
<file path=[Content_Types].xml><?xml version="1.0" encoding="utf-8"?>
<Types xmlns="http://schemas.openxmlformats.org/package/2006/content-types">
  <Default ContentType="application/vnd.openxmlformats-officedocument.spreadsheetml.printerSettings" Extension="bin"/>
  <Default ContentType="image/gif" Extension="gif"/>
  <Default ContentType="image/jpeg" Extension="jpeg"/>
  <Default ContentType="image/png" Extension="png"/>
  <Default ContentType="application/vnd.openxmlformats-package.relationships+xml" Extension="rels"/>
  <Default ContentType="application/vnd.openxmlformats-officedocument.vmlDrawing" Extension="vml"/>
  <Default ContentType="application/xml" Extension="xml"/>
  <Override ContentType="application/vnd.openxmlformats-officedocument.customXmlProperties+xml" PartName="/customXml/itemProps1.xml"/>
  <Override ContentType="application/vnd.openxmlformats-officedocument.customXmlProperties+xml" PartName="/customXml/itemProps2.xml"/>
  <Override ContentType="application/vnd.openxmlformats-officedocument.extended-properties+xml" PartName="/docProps/app.xml"/>
  <Override ContentType="application/vnd.openxmlformats-package.core-properties+xml" PartName="/docProps/core.xml"/>
  <Override ContentType="application/vnd.openxmlformats-officedocument.custom-properties+xml" PartName="/docProps/custom.xml"/>
  <Override ContentType="application/vnd.openxmlformats-officedocument.spreadsheetml.calcChain+xml" PartName="/xl/calcChain.xml"/>
  <Override ContentType="application/vnd.openxmlformats-officedocument.spreadsheetml.comments+xml" PartName="/xl/comments1.xml"/>
  <Override ContentType="application/vnd.openxmlformats-officedocument.spreadsheetml.comments+xml" PartName="/xl/comments2.xml"/>
  <Override ContentType="application/vnd.openxmlformats-officedocument.spreadsheetml.comments+xml" PartName="/xl/comments3.xml"/>
  <Override ContentType="application/vnd.openxmlformats-officedocument.spreadsheetml.comments+xml" PartName="/xl/comments4.xml"/>
  <Override ContentType="application/vnd.openxmlformats-officedocument.spreadsheetml.comments+xml" PartName="/xl/comments5.xml"/>
  <Override ContentType="application/vnd.openxmlformats-officedocument.drawing+xml" PartName="/xl/drawings/drawing1.xml"/>
  <Override ContentType="application/vnd.openxmlformats-officedocument.drawing+xml" PartName="/xl/drawings/drawing2.xml"/>
  <Override ContentType="application/vnd.openxmlformats-officedocument.drawing+xml" PartName="/xl/drawings/drawing3.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theme+xml" PartName="/xl/theme/theme1.xml"/>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10.xml"/>
  <Override ContentType="application/vnd.openxmlformats-officedocument.spreadsheetml.worksheet+xml" PartName="/xl/worksheets/sheet11.xml"/>
  <Override ContentType="application/vnd.openxmlformats-officedocument.spreadsheetml.worksheet+xml" PartName="/xl/worksheets/sheet12.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Types>
</file>

<file path=_rels/.rels><?xml version="1.0" encoding="UTF-8" standalone="yes"?>
<Relationships xmlns="http://schemas.openxmlformats.org/package/2006/relationships">
<Relationship Id="rId1" Target="xl/workbook.xml" Type="http://schemas.openxmlformats.org/officeDocument/2006/relationships/officeDocument"/>
<Relationship Id="rId2" Target="docProps/core.xml" Type="http://schemas.openxmlformats.org/package/2006/relationships/metadata/core-properties"/>
<Relationship Id="rId3" Target="docProps/app.xml" Type="http://schemas.openxmlformats.org/officeDocument/2006/relationships/extended-properties"/>
<Relationship Id="rId4" Target="docProps/custom.xml" Type="http://schemas.openxmlformats.org/officeDocument/2006/relationships/custom-properties"/>
</Relationships>

</file>

<file path=xl/workbook.xml><?xml version="1.0" encoding="utf-8"?>
<workbook xmlns="http://schemas.openxmlformats.org/spreadsheetml/2006/main" xmlns:r="http://schemas.openxmlformats.org/officeDocument/2006/relationships">
  <fileVersion appName="xl" lastEdited="5" lowestEdited="5" rupBuild="9303"/>
  <workbookPr codeName="ThisWorkbook" defaultThemeVersion="124226"/>
  <bookViews>
    <workbookView xWindow="150" yWindow="-120" windowWidth="23655" windowHeight="13560" tabRatio="783" firstSheet="1" activeTab="1"/>
  </bookViews>
  <sheets>
    <sheet name="MW-Cache" sheetId="17" state="veryHidden" r:id="rId1"/>
    <sheet name="ImportantDisclosures" sheetId="40" r:id="rId2"/>
    <sheet name="Valuation" sheetId="28" r:id="rId3"/>
    <sheet name="DCF" sheetId="31" r:id="rId4"/>
    <sheet name="Financials" sheetId="4" r:id="rId5"/>
    <sheet name="Segments" sheetId="32" r:id="rId6"/>
    <sheet name="Earnings" sheetId="27" r:id="rId7"/>
    <sheet name="Changes" sheetId="29" r:id="rId8"/>
    <sheet name="Guidance" sheetId="30" r:id="rId9"/>
    <sheet name="Debt" sheetId="33" r:id="rId10"/>
    <sheet name="IndexInformation" sheetId="41" r:id="rId11"/>
    <sheet name="ModPubIndex" sheetId="42" r:id="rId12"/>
  </sheets>
  <definedNames>
    <definedName name="____abc1" hidden="1">{"cover a","2q",FALSE,"Cover";"Op Earn Mgd Q2",#N/A,FALSE,"Op-Earn (Mng)";"Op Earn Rpt Q2",#N/A,FALSE,"Op-Earn (Rpt)";"Loans",#N/A,FALSE,"Loans";"Credit Costs",#N/A,FALSE,"CCosts";"Net Interest Margin",#N/A,FALSE,"Margin";"Nonint Income",#N/A,FALSE,"NonII";"Nonint Exp",#N/A,FALSE,"NonIE";"Valuation",#N/A,FALSE,"Valuation"}</definedName>
    <definedName name="___abc1" hidden="1">{"cover a","2q",FALSE,"Cover";"Op Earn Mgd Q2",#N/A,FALSE,"Op-Earn (Mng)";"Op Earn Rpt Q2",#N/A,FALSE,"Op-Earn (Rpt)";"Loans",#N/A,FALSE,"Loans";"Credit Costs",#N/A,FALSE,"CCosts";"Net Interest Margin",#N/A,FALSE,"Margin";"Nonint Income",#N/A,FALSE,"NonII";"Nonint Exp",#N/A,FALSE,"NonIE";"Valuation",#N/A,FALSE,"Valuation"}</definedName>
    <definedName name="__abc1" hidden="1">{"cover a","2q",FALSE,"Cover";"Op Earn Mgd Q2",#N/A,FALSE,"Op-Earn (Mng)";"Op Earn Rpt Q2",#N/A,FALSE,"Op-Earn (Rpt)";"Loans",#N/A,FALSE,"Loans";"Credit Costs",#N/A,FALSE,"CCosts";"Net Interest Margin",#N/A,FALSE,"Margin";"Nonint Income",#N/A,FALSE,"NonII";"Nonint Exp",#N/A,FALSE,"NonIE";"Valuation",#N/A,FALSE,"Valuation"}</definedName>
    <definedName name="__FDS_HYPERLINK_TOGGLE_STATE__" hidden="1">"ON"</definedName>
    <definedName name="__FDS_UNIQUE_RANGE_ID_GENERATOR_COUNTER" localSheetId="6" hidden="1">13</definedName>
    <definedName name="__FDS_UNIQUE_RANGE_ID_GENERATOR_COUNTER" localSheetId="2" hidden="1">13</definedName>
    <definedName name="__FDS_UNIQUE_RANGE_ID_GENERATOR_COUNTER" hidden="1">3</definedName>
    <definedName name="__old1" hidden="1">{"PPE-1",#N/A,TRUE,"SNT";"PPE-2",#N/A,TRUE,"SNT";"INC-SNT",#N/A,TRUE,"SNT";"EARN-SNT",#N/A,TRUE,"SNT";"SUMM-SNT",#N/A,TRUE,"SNT";"CASH-SNT",#N/A,TRUE,"SNT";"BAL-SNT",#N/A,TRUE,"SNT";"RATIO-1",#N/A,TRUE,"SNT";"SIP-SNT",#N/A,TRUE,"SNT";"SOP-SNT",#N/A,TRUE,"SNT";"valuation-snt",#N/A,TRUE,"Valuation";"TRANS-SNT",#N/A,TRUE,"Transmission";"reserve-snt",#N/A,TRUE,"E&amp;P";"e&amp;p-snt",#N/A,TRUE,"E&amp;P";"energy-snt",#N/A,TRUE,"Energy Services";"RATIO-2",#N/A,TRUE,"SNT"}</definedName>
    <definedName name="__old2" hidden="1">{"PPE-1",#N/A,TRUE,"SNT";"PPE-2",#N/A,TRUE,"SNT";"INC-SNT",#N/A,TRUE,"SNT";"EARN-SNT",#N/A,TRUE,"SNT";"SUMM-SNT",#N/A,TRUE,"SNT";"CASH-SNT",#N/A,TRUE,"SNT";"BAL-SNT",#N/A,TRUE,"SNT";"RATIO-1",#N/A,TRUE,"SNT";"SIP-SNT",#N/A,TRUE,"SNT";"SOP-SNT",#N/A,TRUE,"SNT";"valuation-snt",#N/A,TRUE,"Valuation";"TRANS-SNT",#N/A,TRUE,"Transmission";"reserve-snt",#N/A,TRUE,"E&amp;P";"e&amp;p-snt",#N/A,TRUE,"E&amp;P";"energy-snt",#N/A,TRUE,"Energy Services";"RATIO-2",#N/A,TRUE,"SNT"}</definedName>
    <definedName name="_1__FDSAUDITLINK__" localSheetId="6" hidden="1">{"fdsup://directions/FAT Viewer?action=UPDATE&amp;creator=factset&amp;DYN_ARGS=TRUE&amp;DOC_NAME=FAT:FQL_AUDITING_CLIENT_TEMPLATE.FAT&amp;display_string=Audit&amp;VAR:KEY=XWZOZMPGZW&amp;VAR:QUERY=RkZfRUJJVERBX09QRVIoQU5OLDEvMS8yMDAwLDEvMjYvMjAwMixDWSk=&amp;WINDOW=FIRST_POPUP&amp;HEIGHT=45","0&amp;WIDTH=450&amp;START_MAXIMIZED=FALSE&amp;VAR:CALENDAR=US&amp;VAR:SYMBOL=BWA&amp;VAR:INDEX=1"}</definedName>
    <definedName name="_1__FDSAUDITLINK__" localSheetId="8" hidden="1">{"fdsup://directions/FAT Viewer?action=UPDATE&amp;creator=factset&amp;DYN_ARGS=TRUE&amp;DOC_NAME=FAT:FQL_AUDITING_CLIENT_TEMPLATE.FAT&amp;display_string=Audit&amp;VAR:KEY=XWZOZMPGZW&amp;VAR:QUERY=RkZfRUJJVERBX09QRVIoQU5OLDEvMS8yMDAwLDEvMjYvMjAwMixDWSk=&amp;WINDOW=FIRST_POPUP&amp;HEIGHT=45","0&amp;WIDTH=450&amp;START_MAXIMIZED=FALSE&amp;VAR:CALENDAR=US&amp;VAR:SYMBOL=BWA&amp;VAR:INDEX=1"}</definedName>
    <definedName name="_1__FDSAUDITLINK__" localSheetId="2" hidden="1">{"fdsup://directions/FAT Viewer?action=UPDATE&amp;creator=factset&amp;DYN_ARGS=TRUE&amp;DOC_NAME=FAT:FQL_AUDITING_CLIENT_TEMPLATE.FAT&amp;display_string=Audit&amp;VAR:KEY=XWZOZMPGZW&amp;VAR:QUERY=RkZfRUJJVERBX09QRVIoQU5OLDEvMS8yMDAwLDEvMjYvMjAwMixDWSk=&amp;WINDOW=FIRST_POPUP&amp;HEIGHT=45","0&amp;WIDTH=450&amp;START_MAXIMIZED=FALSE&amp;VAR:CALENDAR=US&amp;VAR:SYMBOL=BWA&amp;VAR:INDEX=1"}</definedName>
    <definedName name="_1__FDSAUDITLINK__" hidden="1">{"fdsup://directions/FAT Viewer?action=UPDATE&amp;creator=factset&amp;DYN_ARGS=TRUE&amp;DOC_NAME=FAT:FQL_AUDITING_CLIENT_TEMPLATE.FAT&amp;display_string=Audit&amp;VAR:KEY=XWZOZMPGZW&amp;VAR:QUERY=RkZfRUJJVERBX09QRVIoQU5OLDEvMS8yMDAwLDEvMjYvMjAwMixDWSk=&amp;WINDOW=FIRST_POPUP&amp;HEIGHT=45","0&amp;WIDTH=450&amp;START_MAXIMIZED=FALSE&amp;VAR:CALENDAR=US&amp;VAR:SYMBOL=BWA&amp;VAR:INDEX=1"}</definedName>
    <definedName name="_10__FDSAUDITLINK__" localSheetId="6" hidden="1">{"fdsup://directions/FAT Viewer?action=UPDATE&amp;creator=factset&amp;DYN_ARGS=TRUE&amp;DOC_NAME=FAT:FQL_AUDITING_CLIENT_TEMPLATE.FAT&amp;display_string=Audit&amp;VAR:KEY=DYHONQXAZS&amp;VAR:QUERY=RkVfVkFMVUFUSU9OKCdQQlBTJywnTUVBTicsJ0FOTlVBTCcsMjAwOSwwLCwsJycp&amp;WINDOW=FIRST_POPUP&amp;H","EIGHT=450&amp;WIDTH=450&amp;START_MAXIMIZED=FALSE&amp;VAR:CALENDAR=FIVEDAY&amp;VAR:SYMBOL=648963&amp;VAR:INDEX=0"}</definedName>
    <definedName name="_10__FDSAUDITLINK__" localSheetId="8" hidden="1">{"fdsup://directions/FAT Viewer?action=UPDATE&amp;creator=factset&amp;DYN_ARGS=TRUE&amp;DOC_NAME=FAT:FQL_AUDITING_CLIENT_TEMPLATE.FAT&amp;display_string=Audit&amp;VAR:KEY=DYHONQXAZS&amp;VAR:QUERY=RkVfVkFMVUFUSU9OKCdQQlBTJywnTUVBTicsJ0FOTlVBTCcsMjAwOSwwLCwsJycp&amp;WINDOW=FIRST_POPUP&amp;H","EIGHT=450&amp;WIDTH=450&amp;START_MAXIMIZED=FALSE&amp;VAR:CALENDAR=FIVEDAY&amp;VAR:SYMBOL=648963&amp;VAR:INDEX=0"}</definedName>
    <definedName name="_10__FDSAUDITLINK__" localSheetId="2" hidden="1">{"fdsup://directions/FAT Viewer?action=UPDATE&amp;creator=factset&amp;DYN_ARGS=TRUE&amp;DOC_NAME=FAT:FQL_AUDITING_CLIENT_TEMPLATE.FAT&amp;display_string=Audit&amp;VAR:KEY=DYHONQXAZS&amp;VAR:QUERY=RkVfVkFMVUFUSU9OKCdQQlBTJywnTUVBTicsJ0FOTlVBTCcsMjAwOSwwLCwsJycp&amp;WINDOW=FIRST_POPUP&amp;H","EIGHT=450&amp;WIDTH=450&amp;START_MAXIMIZED=FALSE&amp;VAR:CALENDAR=FIVEDAY&amp;VAR:SYMBOL=648963&amp;VAR:INDEX=0"}</definedName>
    <definedName name="_10__FDSAUDITLINK__" hidden="1">{"fdsup://directions/FAT Viewer?action=UPDATE&amp;creator=factset&amp;DYN_ARGS=TRUE&amp;DOC_NAME=FAT:FQL_AUDITING_CLIENT_TEMPLATE.FAT&amp;display_string=Audit&amp;VAR:KEY=DYHONQXAZS&amp;VAR:QUERY=RkVfVkFMVUFUSU9OKCdQQlBTJywnTUVBTicsJ0FOTlVBTCcsMjAwOSwwLCwsJycp&amp;WINDOW=FIRST_POPUP&amp;H","EIGHT=450&amp;WIDTH=450&amp;START_MAXIMIZED=FALSE&amp;VAR:CALENDAR=FIVEDAY&amp;VAR:SYMBOL=648963&amp;VAR:INDEX=0"}</definedName>
    <definedName name="_100__FDSAUDITLINK__" localSheetId="6" hidden="1">{"fdsup://directions/FAT Viewer?action=UPDATE&amp;creator=factset&amp;DYN_ARGS=TRUE&amp;DOC_NAME=FAT:FQL_AUDITING_CLIENT_TEMPLATE.FAT&amp;display_string=Audit&amp;VAR:KEY=NAHWJCVMXQ&amp;VAR:QUERY=RkVfVkFMVUFUSU9OKCdQQlBTJywnTUVBTicsJ0FOTlVBTCcsMjAwOSwwLCwsJycp&amp;WINDOW=FIRST_POPUP&amp;H","EIGHT=450&amp;WIDTH=450&amp;START_MAXIMIZED=FALSE&amp;VAR:CALENDAR=US&amp;VAR:INDEX=0"}</definedName>
    <definedName name="_100__FDSAUDITLINK__" localSheetId="8" hidden="1">{"fdsup://directions/FAT Viewer?action=UPDATE&amp;creator=factset&amp;DYN_ARGS=TRUE&amp;DOC_NAME=FAT:FQL_AUDITING_CLIENT_TEMPLATE.FAT&amp;display_string=Audit&amp;VAR:KEY=NAHWJCVMXQ&amp;VAR:QUERY=RkVfVkFMVUFUSU9OKCdQQlBTJywnTUVBTicsJ0FOTlVBTCcsMjAwOSwwLCwsJycp&amp;WINDOW=FIRST_POPUP&amp;H","EIGHT=450&amp;WIDTH=450&amp;START_MAXIMIZED=FALSE&amp;VAR:CALENDAR=US&amp;VAR:INDEX=0"}</definedName>
    <definedName name="_100__FDSAUDITLINK__" localSheetId="2" hidden="1">{"fdsup://directions/FAT Viewer?action=UPDATE&amp;creator=factset&amp;DYN_ARGS=TRUE&amp;DOC_NAME=FAT:FQL_AUDITING_CLIENT_TEMPLATE.FAT&amp;display_string=Audit&amp;VAR:KEY=NAHWJCVMXQ&amp;VAR:QUERY=RkVfVkFMVUFUSU9OKCdQQlBTJywnTUVBTicsJ0FOTlVBTCcsMjAwOSwwLCwsJycp&amp;WINDOW=FIRST_POPUP&amp;H","EIGHT=450&amp;WIDTH=450&amp;START_MAXIMIZED=FALSE&amp;VAR:CALENDAR=US&amp;VAR:INDEX=0"}</definedName>
    <definedName name="_100__FDSAUDITLINK__" hidden="1">{"fdsup://directions/FAT Viewer?action=UPDATE&amp;creator=factset&amp;DYN_ARGS=TRUE&amp;DOC_NAME=FAT:FQL_AUDITING_CLIENT_TEMPLATE.FAT&amp;display_string=Audit&amp;VAR:KEY=NAHWJCVMXQ&amp;VAR:QUERY=RkVfVkFMVUFUSU9OKCdQQlBTJywnTUVBTicsJ0FOTlVBTCcsMjAwOSwwLCwsJycp&amp;WINDOW=FIRST_POPUP&amp;H","EIGHT=450&amp;WIDTH=450&amp;START_MAXIMIZED=FALSE&amp;VAR:CALENDAR=US&amp;VAR:INDEX=0"}</definedName>
    <definedName name="_1000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001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002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003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004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005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006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007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008__FDSAUDITLINK__" hidden="1">{"fdsup://directions/FAT Viewer?action=UPDATE&amp;creator=factset&amp;DYN_ARGS=TRUE&amp;DOC_NAME=FAT:FQL_AUDITING_CLIENT_TEMPLATE.FAT&amp;display_string=Audit&amp;VAR:KEY=MZMZIRGRQD&amp;VAR:QUERY=RkZfREVCVChBTk4sMjAwOSk=&amp;WINDOW=FIRST_POPUP&amp;HEIGHT=450&amp;WIDTH=450&amp;START_MAXIMIZED=FALS","E&amp;VAR:CALENDAR=US&amp;VAR:SYMBOL=CMLP&amp;VAR:INDEX=0"}</definedName>
    <definedName name="_1009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01__FDSAUDITLINK__" localSheetId="6" hidden="1">{"fdsup://directions/FAT Viewer?action=UPDATE&amp;creator=factset&amp;DYN_ARGS=TRUE&amp;DOC_NAME=FAT:FQL_AUDITING_CLIENT_TEMPLATE.FAT&amp;display_string=Audit&amp;VAR:KEY=HYJWBIFEPE&amp;VAR:QUERY=RkVfVkFMVUFUSU9OKCdQQlBTJywnTUVBTicsJ0FOTlVBTCcsMjAxMiwwLCwsJycp&amp;WINDOW=FIRST_POPUP&amp;H","EIGHT=450&amp;WIDTH=450&amp;START_MAXIMIZED=FALSE&amp;VAR:CALENDAR=US&amp;VAR:SYMBOL=5497168&amp;VAR:INDEX=0"}</definedName>
    <definedName name="_101__FDSAUDITLINK__" localSheetId="8" hidden="1">{"fdsup://directions/FAT Viewer?action=UPDATE&amp;creator=factset&amp;DYN_ARGS=TRUE&amp;DOC_NAME=FAT:FQL_AUDITING_CLIENT_TEMPLATE.FAT&amp;display_string=Audit&amp;VAR:KEY=HYJWBIFEPE&amp;VAR:QUERY=RkVfVkFMVUFUSU9OKCdQQlBTJywnTUVBTicsJ0FOTlVBTCcsMjAxMiwwLCwsJycp&amp;WINDOW=FIRST_POPUP&amp;H","EIGHT=450&amp;WIDTH=450&amp;START_MAXIMIZED=FALSE&amp;VAR:CALENDAR=US&amp;VAR:SYMBOL=5497168&amp;VAR:INDEX=0"}</definedName>
    <definedName name="_101__FDSAUDITLINK__" localSheetId="2" hidden="1">{"fdsup://directions/FAT Viewer?action=UPDATE&amp;creator=factset&amp;DYN_ARGS=TRUE&amp;DOC_NAME=FAT:FQL_AUDITING_CLIENT_TEMPLATE.FAT&amp;display_string=Audit&amp;VAR:KEY=HYJWBIFEPE&amp;VAR:QUERY=RkVfVkFMVUFUSU9OKCdQQlBTJywnTUVBTicsJ0FOTlVBTCcsMjAxMiwwLCwsJycp&amp;WINDOW=FIRST_POPUP&amp;H","EIGHT=450&amp;WIDTH=450&amp;START_MAXIMIZED=FALSE&amp;VAR:CALENDAR=US&amp;VAR:SYMBOL=5497168&amp;VAR:INDEX=0"}</definedName>
    <definedName name="_101__FDSAUDITLINK__" hidden="1">{"fdsup://directions/FAT Viewer?action=UPDATE&amp;creator=factset&amp;DYN_ARGS=TRUE&amp;DOC_NAME=FAT:FQL_AUDITING_CLIENT_TEMPLATE.FAT&amp;display_string=Audit&amp;VAR:KEY=HYJWBIFEPE&amp;VAR:QUERY=RkVfVkFMVUFUSU9OKCdQQlBTJywnTUVBTicsJ0FOTlVBTCcsMjAxMiwwLCwsJycp&amp;WINDOW=FIRST_POPUP&amp;H","EIGHT=450&amp;WIDTH=450&amp;START_MAXIMIZED=FALSE&amp;VAR:CALENDAR=US&amp;VAR:SYMBOL=5497168&amp;VAR:INDEX=0"}</definedName>
    <definedName name="_1010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011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012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013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014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015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016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017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018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019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02__FDSAUDITLINK__" localSheetId="6" hidden="1">{"fdsup://directions/FAT Viewer?action=UPDATE&amp;creator=factset&amp;DYN_ARGS=TRUE&amp;DOC_NAME=FAT:FQL_AUDITING_CLIENT_TEMPLATE.FAT&amp;display_string=Audit&amp;VAR:KEY=HYJWBIFEPE&amp;VAR:QUERY=RkVfVkFMVUFUSU9OKCdQQlBTJywnTUVBTicsJ0FOTlVBTCcsMjAxMiwwLCwsJycp&amp;WINDOW=FIRST_POPUP&amp;H","EIGHT=450&amp;WIDTH=450&amp;START_MAXIMIZED=FALSE&amp;VAR:CALENDAR=US&amp;VAR:SYMBOL=5497168&amp;VAR:INDEX=0"}</definedName>
    <definedName name="_102__FDSAUDITLINK__" localSheetId="8" hidden="1">{"fdsup://directions/FAT Viewer?action=UPDATE&amp;creator=factset&amp;DYN_ARGS=TRUE&amp;DOC_NAME=FAT:FQL_AUDITING_CLIENT_TEMPLATE.FAT&amp;display_string=Audit&amp;VAR:KEY=HYJWBIFEPE&amp;VAR:QUERY=RkVfVkFMVUFUSU9OKCdQQlBTJywnTUVBTicsJ0FOTlVBTCcsMjAxMiwwLCwsJycp&amp;WINDOW=FIRST_POPUP&amp;H","EIGHT=450&amp;WIDTH=450&amp;START_MAXIMIZED=FALSE&amp;VAR:CALENDAR=US&amp;VAR:SYMBOL=5497168&amp;VAR:INDEX=0"}</definedName>
    <definedName name="_102__FDSAUDITLINK__" localSheetId="2" hidden="1">{"fdsup://directions/FAT Viewer?action=UPDATE&amp;creator=factset&amp;DYN_ARGS=TRUE&amp;DOC_NAME=FAT:FQL_AUDITING_CLIENT_TEMPLATE.FAT&amp;display_string=Audit&amp;VAR:KEY=HYJWBIFEPE&amp;VAR:QUERY=RkVfVkFMVUFUSU9OKCdQQlBTJywnTUVBTicsJ0FOTlVBTCcsMjAxMiwwLCwsJycp&amp;WINDOW=FIRST_POPUP&amp;H","EIGHT=450&amp;WIDTH=450&amp;START_MAXIMIZED=FALSE&amp;VAR:CALENDAR=US&amp;VAR:SYMBOL=5497168&amp;VAR:INDEX=0"}</definedName>
    <definedName name="_102__FDSAUDITLINK__" hidden="1">{"fdsup://directions/FAT Viewer?action=UPDATE&amp;creator=factset&amp;DYN_ARGS=TRUE&amp;DOC_NAME=FAT:FQL_AUDITING_CLIENT_TEMPLATE.FAT&amp;display_string=Audit&amp;VAR:KEY=HYJWBIFEPE&amp;VAR:QUERY=RkVfVkFMVUFUSU9OKCdQQlBTJywnTUVBTicsJ0FOTlVBTCcsMjAxMiwwLCwsJycp&amp;WINDOW=FIRST_POPUP&amp;H","EIGHT=450&amp;WIDTH=450&amp;START_MAXIMIZED=FALSE&amp;VAR:CALENDAR=US&amp;VAR:SYMBOL=5497168&amp;VAR:INDEX=0"}</definedName>
    <definedName name="_1020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021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022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023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024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025__FDSAUDITLINK__" hidden="1">{"fdsup://directions/FAT Viewer?action=UPDATE&amp;creator=factset&amp;DYN_ARGS=TRUE&amp;DOC_NAME=FAT:FQL_AUDITING_CLIENT_TEMPLATE.FAT&amp;display_string=Audit&amp;VAR:KEY=MZMZIRGRQD&amp;VAR:QUERY=RkZfREVCVChBTk4sMjAwOSk=&amp;WINDOW=FIRST_POPUP&amp;HEIGHT=450&amp;WIDTH=450&amp;START_MAXIMIZED=FALS","E&amp;VAR:CALENDAR=US&amp;VAR:SYMBOL=CMLP&amp;VAR:INDEX=0"}</definedName>
    <definedName name="_1026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027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028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029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03__FDSAUDITLINK__" localSheetId="6" hidden="1">{"fdsup://directions/FAT Viewer?action=UPDATE&amp;creator=factset&amp;DYN_ARGS=TRUE&amp;DOC_NAME=FAT:FQL_AUDITING_CLIENT_TEMPLATE.FAT&amp;display_string=Audit&amp;VAR:KEY=NQVWRUXWFO&amp;VAR:QUERY=RkVfVkFMVUFUSU9OKCdQQlBTJywnTUVBTicsJ0FOTlVBTCcsMjAxMSwwLCwsJycp&amp;WINDOW=FIRST_POPUP&amp;H","EIGHT=450&amp;WIDTH=450&amp;START_MAXIMIZED=FALSE&amp;VAR:CALENDAR=US&amp;VAR:SYMBOL=5497168&amp;VAR:INDEX=0"}</definedName>
    <definedName name="_103__FDSAUDITLINK__" localSheetId="8" hidden="1">{"fdsup://directions/FAT Viewer?action=UPDATE&amp;creator=factset&amp;DYN_ARGS=TRUE&amp;DOC_NAME=FAT:FQL_AUDITING_CLIENT_TEMPLATE.FAT&amp;display_string=Audit&amp;VAR:KEY=NQVWRUXWFO&amp;VAR:QUERY=RkVfVkFMVUFUSU9OKCdQQlBTJywnTUVBTicsJ0FOTlVBTCcsMjAxMSwwLCwsJycp&amp;WINDOW=FIRST_POPUP&amp;H","EIGHT=450&amp;WIDTH=450&amp;START_MAXIMIZED=FALSE&amp;VAR:CALENDAR=US&amp;VAR:SYMBOL=5497168&amp;VAR:INDEX=0"}</definedName>
    <definedName name="_103__FDSAUDITLINK__" localSheetId="2" hidden="1">{"fdsup://directions/FAT Viewer?action=UPDATE&amp;creator=factset&amp;DYN_ARGS=TRUE&amp;DOC_NAME=FAT:FQL_AUDITING_CLIENT_TEMPLATE.FAT&amp;display_string=Audit&amp;VAR:KEY=NQVWRUXWFO&amp;VAR:QUERY=RkVfVkFMVUFUSU9OKCdQQlBTJywnTUVBTicsJ0FOTlVBTCcsMjAxMSwwLCwsJycp&amp;WINDOW=FIRST_POPUP&amp;H","EIGHT=450&amp;WIDTH=450&amp;START_MAXIMIZED=FALSE&amp;VAR:CALENDAR=US&amp;VAR:SYMBOL=5497168&amp;VAR:INDEX=0"}</definedName>
    <definedName name="_103__FDSAUDITLINK__" hidden="1">{"fdsup://directions/FAT Viewer?action=UPDATE&amp;creator=factset&amp;DYN_ARGS=TRUE&amp;DOC_NAME=FAT:FQL_AUDITING_CLIENT_TEMPLATE.FAT&amp;display_string=Audit&amp;VAR:KEY=NQVWRUXWFO&amp;VAR:QUERY=RkVfVkFMVUFUSU9OKCdQQlBTJywnTUVBTicsJ0FOTlVBTCcsMjAxMSwwLCwsJycp&amp;WINDOW=FIRST_POPUP&amp;H","EIGHT=450&amp;WIDTH=450&amp;START_MAXIMIZED=FALSE&amp;VAR:CALENDAR=US&amp;VAR:SYMBOL=5497168&amp;VAR:INDEX=0"}</definedName>
    <definedName name="_1030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031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032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033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034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035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036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037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038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039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04__FDSAUDITLINK__" localSheetId="6" hidden="1">{"fdsup://directions/FAT Viewer?action=UPDATE&amp;creator=factset&amp;DYN_ARGS=TRUE&amp;DOC_NAME=FAT:FQL_AUDITING_CLIENT_TEMPLATE.FAT&amp;display_string=Audit&amp;VAR:KEY=NQVWRUXWFO&amp;VAR:QUERY=RkVfVkFMVUFUSU9OKCdQQlBTJywnTUVBTicsJ0FOTlVBTCcsMjAxMSwwLCwsJycp&amp;WINDOW=FIRST_POPUP&amp;H","EIGHT=450&amp;WIDTH=450&amp;START_MAXIMIZED=FALSE&amp;VAR:CALENDAR=US&amp;VAR:SYMBOL=5497168&amp;VAR:INDEX=0"}</definedName>
    <definedName name="_104__FDSAUDITLINK__" localSheetId="8" hidden="1">{"fdsup://directions/FAT Viewer?action=UPDATE&amp;creator=factset&amp;DYN_ARGS=TRUE&amp;DOC_NAME=FAT:FQL_AUDITING_CLIENT_TEMPLATE.FAT&amp;display_string=Audit&amp;VAR:KEY=NQVWRUXWFO&amp;VAR:QUERY=RkVfVkFMVUFUSU9OKCdQQlBTJywnTUVBTicsJ0FOTlVBTCcsMjAxMSwwLCwsJycp&amp;WINDOW=FIRST_POPUP&amp;H","EIGHT=450&amp;WIDTH=450&amp;START_MAXIMIZED=FALSE&amp;VAR:CALENDAR=US&amp;VAR:SYMBOL=5497168&amp;VAR:INDEX=0"}</definedName>
    <definedName name="_104__FDSAUDITLINK__" localSheetId="2" hidden="1">{"fdsup://directions/FAT Viewer?action=UPDATE&amp;creator=factset&amp;DYN_ARGS=TRUE&amp;DOC_NAME=FAT:FQL_AUDITING_CLIENT_TEMPLATE.FAT&amp;display_string=Audit&amp;VAR:KEY=NQVWRUXWFO&amp;VAR:QUERY=RkVfVkFMVUFUSU9OKCdQQlBTJywnTUVBTicsJ0FOTlVBTCcsMjAxMSwwLCwsJycp&amp;WINDOW=FIRST_POPUP&amp;H","EIGHT=450&amp;WIDTH=450&amp;START_MAXIMIZED=FALSE&amp;VAR:CALENDAR=US&amp;VAR:SYMBOL=5497168&amp;VAR:INDEX=0"}</definedName>
    <definedName name="_104__FDSAUDITLINK__" hidden="1">{"fdsup://directions/FAT Viewer?action=UPDATE&amp;creator=factset&amp;DYN_ARGS=TRUE&amp;DOC_NAME=FAT:FQL_AUDITING_CLIENT_TEMPLATE.FAT&amp;display_string=Audit&amp;VAR:KEY=NQVWRUXWFO&amp;VAR:QUERY=RkVfVkFMVUFUSU9OKCdQQlBTJywnTUVBTicsJ0FOTlVBTCcsMjAxMSwwLCwsJycp&amp;WINDOW=FIRST_POPUP&amp;H","EIGHT=450&amp;WIDTH=450&amp;START_MAXIMIZED=FALSE&amp;VAR:CALENDAR=US&amp;VAR:SYMBOL=5497168&amp;VAR:INDEX=0"}</definedName>
    <definedName name="_1040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041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042__FDSAUDITLINK__" hidden="1">{"fdsup://directions/FAT Viewer?action=UPDATE&amp;creator=factset&amp;DYN_ARGS=TRUE&amp;DOC_NAME=FAT:FQL_AUDITING_CLIENT_TEMPLATE.FAT&amp;display_string=Audit&amp;VAR:KEY=MZMZIRGRQD&amp;VAR:QUERY=RkZfREVCVChBTk4sMjAwOSk=&amp;WINDOW=FIRST_POPUP&amp;HEIGHT=450&amp;WIDTH=450&amp;START_MAXIMIZED=FALS","E&amp;VAR:CALENDAR=US&amp;VAR:SYMBOL=CMLP&amp;VAR:INDEX=0"}</definedName>
    <definedName name="_1043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044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045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046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047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048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049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05__FDSAUDITLINK__" localSheetId="6" hidden="1">{"fdsup://directions/FAT Viewer?action=UPDATE&amp;creator=factset&amp;DYN_ARGS=TRUE&amp;DOC_NAME=FAT:FQL_AUDITING_CLIENT_TEMPLATE.FAT&amp;display_string=Audit&amp;VAR:KEY=DGPMDIBWVA&amp;VAR:QUERY=RkVfVkFMVUFUSU9OKCdQQlBTJywnTUVBTicsJ0FOTlVBTCcsMjAxMCwwLCwsJycp&amp;WINDOW=FIRST_POPUP&amp;H","EIGHT=450&amp;WIDTH=450&amp;START_MAXIMIZED=FALSE&amp;VAR:CALENDAR=US&amp;VAR:SYMBOL=5497168&amp;VAR:INDEX=0"}</definedName>
    <definedName name="_105__FDSAUDITLINK__" localSheetId="8" hidden="1">{"fdsup://directions/FAT Viewer?action=UPDATE&amp;creator=factset&amp;DYN_ARGS=TRUE&amp;DOC_NAME=FAT:FQL_AUDITING_CLIENT_TEMPLATE.FAT&amp;display_string=Audit&amp;VAR:KEY=DGPMDIBWVA&amp;VAR:QUERY=RkVfVkFMVUFUSU9OKCdQQlBTJywnTUVBTicsJ0FOTlVBTCcsMjAxMCwwLCwsJycp&amp;WINDOW=FIRST_POPUP&amp;H","EIGHT=450&amp;WIDTH=450&amp;START_MAXIMIZED=FALSE&amp;VAR:CALENDAR=US&amp;VAR:SYMBOL=5497168&amp;VAR:INDEX=0"}</definedName>
    <definedName name="_105__FDSAUDITLINK__" localSheetId="2" hidden="1">{"fdsup://directions/FAT Viewer?action=UPDATE&amp;creator=factset&amp;DYN_ARGS=TRUE&amp;DOC_NAME=FAT:FQL_AUDITING_CLIENT_TEMPLATE.FAT&amp;display_string=Audit&amp;VAR:KEY=DGPMDIBWVA&amp;VAR:QUERY=RkVfVkFMVUFUSU9OKCdQQlBTJywnTUVBTicsJ0FOTlVBTCcsMjAxMCwwLCwsJycp&amp;WINDOW=FIRST_POPUP&amp;H","EIGHT=450&amp;WIDTH=450&amp;START_MAXIMIZED=FALSE&amp;VAR:CALENDAR=US&amp;VAR:SYMBOL=5497168&amp;VAR:INDEX=0"}</definedName>
    <definedName name="_105__FDSAUDITLINK__" hidden="1">{"fdsup://directions/FAT Viewer?action=UPDATE&amp;creator=factset&amp;DYN_ARGS=TRUE&amp;DOC_NAME=FAT:FQL_AUDITING_CLIENT_TEMPLATE.FAT&amp;display_string=Audit&amp;VAR:KEY=DGPMDIBWVA&amp;VAR:QUERY=RkVfVkFMVUFUSU9OKCdQQlBTJywnTUVBTicsJ0FOTlVBTCcsMjAxMCwwLCwsJycp&amp;WINDOW=FIRST_POPUP&amp;H","EIGHT=450&amp;WIDTH=450&amp;START_MAXIMIZED=FALSE&amp;VAR:CALENDAR=US&amp;VAR:SYMBOL=5497168&amp;VAR:INDEX=0"}</definedName>
    <definedName name="_1050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051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052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053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054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055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056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057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058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059__FDSAUDITLINK__" hidden="1">{"fdsup://directions/FAT Viewer?action=UPDATE&amp;creator=factset&amp;DYN_ARGS=TRUE&amp;DOC_NAME=FAT:FQL_AUDITING_CLIENT_TEMPLATE.FAT&amp;display_string=Audit&amp;VAR:KEY=MZMZIRGRQD&amp;VAR:QUERY=RkZfREVCVChBTk4sMjAwOSk=&amp;WINDOW=FIRST_POPUP&amp;HEIGHT=450&amp;WIDTH=450&amp;START_MAXIMIZED=FALS","E&amp;VAR:CALENDAR=US&amp;VAR:SYMBOL=CMLP&amp;VAR:INDEX=0"}</definedName>
    <definedName name="_106__FDSAUDITLINK__" localSheetId="6" hidden="1">{"fdsup://directions/FAT Viewer?action=UPDATE&amp;creator=factset&amp;DYN_ARGS=TRUE&amp;DOC_NAME=FAT:FQL_AUDITING_CLIENT_TEMPLATE.FAT&amp;display_string=Audit&amp;VAR:KEY=DGPMDIBWVA&amp;VAR:QUERY=RkVfVkFMVUFUSU9OKCdQQlBTJywnTUVBTicsJ0FOTlVBTCcsMjAxMCwwLCwsJycp&amp;WINDOW=FIRST_POPUP&amp;H","EIGHT=450&amp;WIDTH=450&amp;START_MAXIMIZED=FALSE&amp;VAR:CALENDAR=US&amp;VAR:SYMBOL=5497168&amp;VAR:INDEX=0"}</definedName>
    <definedName name="_106__FDSAUDITLINK__" localSheetId="8" hidden="1">{"fdsup://directions/FAT Viewer?action=UPDATE&amp;creator=factset&amp;DYN_ARGS=TRUE&amp;DOC_NAME=FAT:FQL_AUDITING_CLIENT_TEMPLATE.FAT&amp;display_string=Audit&amp;VAR:KEY=DGPMDIBWVA&amp;VAR:QUERY=RkVfVkFMVUFUSU9OKCdQQlBTJywnTUVBTicsJ0FOTlVBTCcsMjAxMCwwLCwsJycp&amp;WINDOW=FIRST_POPUP&amp;H","EIGHT=450&amp;WIDTH=450&amp;START_MAXIMIZED=FALSE&amp;VAR:CALENDAR=US&amp;VAR:SYMBOL=5497168&amp;VAR:INDEX=0"}</definedName>
    <definedName name="_106__FDSAUDITLINK__" localSheetId="2" hidden="1">{"fdsup://directions/FAT Viewer?action=UPDATE&amp;creator=factset&amp;DYN_ARGS=TRUE&amp;DOC_NAME=FAT:FQL_AUDITING_CLIENT_TEMPLATE.FAT&amp;display_string=Audit&amp;VAR:KEY=DGPMDIBWVA&amp;VAR:QUERY=RkVfVkFMVUFUSU9OKCdQQlBTJywnTUVBTicsJ0FOTlVBTCcsMjAxMCwwLCwsJycp&amp;WINDOW=FIRST_POPUP&amp;H","EIGHT=450&amp;WIDTH=450&amp;START_MAXIMIZED=FALSE&amp;VAR:CALENDAR=US&amp;VAR:SYMBOL=5497168&amp;VAR:INDEX=0"}</definedName>
    <definedName name="_106__FDSAUDITLINK__" hidden="1">{"fdsup://directions/FAT Viewer?action=UPDATE&amp;creator=factset&amp;DYN_ARGS=TRUE&amp;DOC_NAME=FAT:FQL_AUDITING_CLIENT_TEMPLATE.FAT&amp;display_string=Audit&amp;VAR:KEY=DGPMDIBWVA&amp;VAR:QUERY=RkVfVkFMVUFUSU9OKCdQQlBTJywnTUVBTicsJ0FOTlVBTCcsMjAxMCwwLCwsJycp&amp;WINDOW=FIRST_POPUP&amp;H","EIGHT=450&amp;WIDTH=450&amp;START_MAXIMIZED=FALSE&amp;VAR:CALENDAR=US&amp;VAR:SYMBOL=5497168&amp;VAR:INDEX=0"}</definedName>
    <definedName name="_1060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061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062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063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064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065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066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067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068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069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07__FDSAUDITLINK__" localSheetId="6" hidden="1">{"fdsup://directions/FAT Viewer?action=UPDATE&amp;creator=factset&amp;DYN_ARGS=TRUE&amp;DOC_NAME=FAT:FQL_AUDITING_CLIENT_TEMPLATE.FAT&amp;display_string=Audit&amp;VAR:KEY=PSRIJSXIZC&amp;VAR:QUERY=RkVfVkFMVUFUSU9OKCdQQlBTJywnTUVBTicsJ0FOTlVBTCcsMjAwOSwwLCwsJycp&amp;WINDOW=FIRST_POPUP&amp;H","EIGHT=450&amp;WIDTH=450&amp;START_MAXIMIZED=FALSE&amp;VAR:CALENDAR=US&amp;VAR:SYMBOL=5497168&amp;VAR:INDEX=0"}</definedName>
    <definedName name="_107__FDSAUDITLINK__" localSheetId="8" hidden="1">{"fdsup://directions/FAT Viewer?action=UPDATE&amp;creator=factset&amp;DYN_ARGS=TRUE&amp;DOC_NAME=FAT:FQL_AUDITING_CLIENT_TEMPLATE.FAT&amp;display_string=Audit&amp;VAR:KEY=PSRIJSXIZC&amp;VAR:QUERY=RkVfVkFMVUFUSU9OKCdQQlBTJywnTUVBTicsJ0FOTlVBTCcsMjAwOSwwLCwsJycp&amp;WINDOW=FIRST_POPUP&amp;H","EIGHT=450&amp;WIDTH=450&amp;START_MAXIMIZED=FALSE&amp;VAR:CALENDAR=US&amp;VAR:SYMBOL=5497168&amp;VAR:INDEX=0"}</definedName>
    <definedName name="_107__FDSAUDITLINK__" localSheetId="2" hidden="1">{"fdsup://directions/FAT Viewer?action=UPDATE&amp;creator=factset&amp;DYN_ARGS=TRUE&amp;DOC_NAME=FAT:FQL_AUDITING_CLIENT_TEMPLATE.FAT&amp;display_string=Audit&amp;VAR:KEY=PSRIJSXIZC&amp;VAR:QUERY=RkVfVkFMVUFUSU9OKCdQQlBTJywnTUVBTicsJ0FOTlVBTCcsMjAwOSwwLCwsJycp&amp;WINDOW=FIRST_POPUP&amp;H","EIGHT=450&amp;WIDTH=450&amp;START_MAXIMIZED=FALSE&amp;VAR:CALENDAR=US&amp;VAR:SYMBOL=5497168&amp;VAR:INDEX=0"}</definedName>
    <definedName name="_107__FDSAUDITLINK__" hidden="1">{"fdsup://directions/FAT Viewer?action=UPDATE&amp;creator=factset&amp;DYN_ARGS=TRUE&amp;DOC_NAME=FAT:FQL_AUDITING_CLIENT_TEMPLATE.FAT&amp;display_string=Audit&amp;VAR:KEY=PSRIJSXIZC&amp;VAR:QUERY=RkVfVkFMVUFUSU9OKCdQQlBTJywnTUVBTicsJ0FOTlVBTCcsMjAwOSwwLCwsJycp&amp;WINDOW=FIRST_POPUP&amp;H","EIGHT=450&amp;WIDTH=450&amp;START_MAXIMIZED=FALSE&amp;VAR:CALENDAR=US&amp;VAR:SYMBOL=5497168&amp;VAR:INDEX=0"}</definedName>
    <definedName name="_1070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071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072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073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074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075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076__FDSAUDITLINK__" hidden="1">{"fdsup://directions/FAT Viewer?action=UPDATE&amp;creator=factset&amp;DYN_ARGS=TRUE&amp;DOC_NAME=FAT:FQL_AUDITING_CLIENT_TEMPLATE.FAT&amp;display_string=Audit&amp;VAR:KEY=MZMZIRGRQD&amp;VAR:QUERY=RkZfREVCVChBTk4sMjAwOSk=&amp;WINDOW=FIRST_POPUP&amp;HEIGHT=450&amp;WIDTH=450&amp;START_MAXIMIZED=FALS","E&amp;VAR:CALENDAR=US&amp;VAR:SYMBOL=CMLP&amp;VAR:INDEX=0"}</definedName>
    <definedName name="_1077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078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079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08__FDSAUDITLINK__" localSheetId="6" hidden="1">{"fdsup://directions/FAT Viewer?action=UPDATE&amp;creator=factset&amp;DYN_ARGS=TRUE&amp;DOC_NAME=FAT:FQL_AUDITING_CLIENT_TEMPLATE.FAT&amp;display_string=Audit&amp;VAR:KEY=PSRIJSXIZC&amp;VAR:QUERY=RkVfVkFMVUFUSU9OKCdQQlBTJywnTUVBTicsJ0FOTlVBTCcsMjAwOSwwLCwsJycp&amp;WINDOW=FIRST_POPUP&amp;H","EIGHT=450&amp;WIDTH=450&amp;START_MAXIMIZED=FALSE&amp;VAR:CALENDAR=US&amp;VAR:SYMBOL=5497168&amp;VAR:INDEX=0"}</definedName>
    <definedName name="_108__FDSAUDITLINK__" localSheetId="8" hidden="1">{"fdsup://directions/FAT Viewer?action=UPDATE&amp;creator=factset&amp;DYN_ARGS=TRUE&amp;DOC_NAME=FAT:FQL_AUDITING_CLIENT_TEMPLATE.FAT&amp;display_string=Audit&amp;VAR:KEY=PSRIJSXIZC&amp;VAR:QUERY=RkVfVkFMVUFUSU9OKCdQQlBTJywnTUVBTicsJ0FOTlVBTCcsMjAwOSwwLCwsJycp&amp;WINDOW=FIRST_POPUP&amp;H","EIGHT=450&amp;WIDTH=450&amp;START_MAXIMIZED=FALSE&amp;VAR:CALENDAR=US&amp;VAR:SYMBOL=5497168&amp;VAR:INDEX=0"}</definedName>
    <definedName name="_108__FDSAUDITLINK__" localSheetId="2" hidden="1">{"fdsup://directions/FAT Viewer?action=UPDATE&amp;creator=factset&amp;DYN_ARGS=TRUE&amp;DOC_NAME=FAT:FQL_AUDITING_CLIENT_TEMPLATE.FAT&amp;display_string=Audit&amp;VAR:KEY=PSRIJSXIZC&amp;VAR:QUERY=RkVfVkFMVUFUSU9OKCdQQlBTJywnTUVBTicsJ0FOTlVBTCcsMjAwOSwwLCwsJycp&amp;WINDOW=FIRST_POPUP&amp;H","EIGHT=450&amp;WIDTH=450&amp;START_MAXIMIZED=FALSE&amp;VAR:CALENDAR=US&amp;VAR:SYMBOL=5497168&amp;VAR:INDEX=0"}</definedName>
    <definedName name="_108__FDSAUDITLINK__" hidden="1">{"fdsup://directions/FAT Viewer?action=UPDATE&amp;creator=factset&amp;DYN_ARGS=TRUE&amp;DOC_NAME=FAT:FQL_AUDITING_CLIENT_TEMPLATE.FAT&amp;display_string=Audit&amp;VAR:KEY=PSRIJSXIZC&amp;VAR:QUERY=RkVfVkFMVUFUSU9OKCdQQlBTJywnTUVBTicsJ0FOTlVBTCcsMjAwOSwwLCwsJycp&amp;WINDOW=FIRST_POPUP&amp;H","EIGHT=450&amp;WIDTH=450&amp;START_MAXIMIZED=FALSE&amp;VAR:CALENDAR=US&amp;VAR:SYMBOL=5497168&amp;VAR:INDEX=0"}</definedName>
    <definedName name="_1080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081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082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083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084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085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086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087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088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089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09__FDSAUDITLINK__" localSheetId="6" hidden="1">{"fdsup://directions/FAT Viewer?action=UPDATE&amp;creator=factset&amp;DYN_ARGS=TRUE&amp;DOC_NAME=FAT:FQL_AUDITING_CLIENT_TEMPLATE.FAT&amp;display_string=Audit&amp;VAR:KEY=RCNCLSNQFI&amp;VAR:QUERY=RkVfVkFMVUFUSU9OKCdQQlBTJywnTUVBTicsJ0FOTlVBTCcsMjAxMiwwLCwsJycp&amp;WINDOW=FIRST_POPUP&amp;H","EIGHT=450&amp;WIDTH=450&amp;START_MAXIMIZED=FALSE&amp;VAR:CALENDAR=US&amp;VAR:INDEX=0"}</definedName>
    <definedName name="_109__FDSAUDITLINK__" localSheetId="8" hidden="1">{"fdsup://directions/FAT Viewer?action=UPDATE&amp;creator=factset&amp;DYN_ARGS=TRUE&amp;DOC_NAME=FAT:FQL_AUDITING_CLIENT_TEMPLATE.FAT&amp;display_string=Audit&amp;VAR:KEY=RCNCLSNQFI&amp;VAR:QUERY=RkVfVkFMVUFUSU9OKCdQQlBTJywnTUVBTicsJ0FOTlVBTCcsMjAxMiwwLCwsJycp&amp;WINDOW=FIRST_POPUP&amp;H","EIGHT=450&amp;WIDTH=450&amp;START_MAXIMIZED=FALSE&amp;VAR:CALENDAR=US&amp;VAR:INDEX=0"}</definedName>
    <definedName name="_109__FDSAUDITLINK__" localSheetId="2" hidden="1">{"fdsup://directions/FAT Viewer?action=UPDATE&amp;creator=factset&amp;DYN_ARGS=TRUE&amp;DOC_NAME=FAT:FQL_AUDITING_CLIENT_TEMPLATE.FAT&amp;display_string=Audit&amp;VAR:KEY=RCNCLSNQFI&amp;VAR:QUERY=RkVfVkFMVUFUSU9OKCdQQlBTJywnTUVBTicsJ0FOTlVBTCcsMjAxMiwwLCwsJycp&amp;WINDOW=FIRST_POPUP&amp;H","EIGHT=450&amp;WIDTH=450&amp;START_MAXIMIZED=FALSE&amp;VAR:CALENDAR=US&amp;VAR:INDEX=0"}</definedName>
    <definedName name="_109__FDSAUDITLINK__" hidden="1">{"fdsup://directions/FAT Viewer?action=UPDATE&amp;creator=factset&amp;DYN_ARGS=TRUE&amp;DOC_NAME=FAT:FQL_AUDITING_CLIENT_TEMPLATE.FAT&amp;display_string=Audit&amp;VAR:KEY=RCNCLSNQFI&amp;VAR:QUERY=RkVfVkFMVUFUSU9OKCdQQlBTJywnTUVBTicsJ0FOTlVBTCcsMjAxMiwwLCwsJycp&amp;WINDOW=FIRST_POPUP&amp;H","EIGHT=450&amp;WIDTH=450&amp;START_MAXIMIZED=FALSE&amp;VAR:CALENDAR=US&amp;VAR:INDEX=0"}</definedName>
    <definedName name="_1090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091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092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093__FDSAUDITLINK__" hidden="1">{"fdsup://directions/FAT Viewer?action=UPDATE&amp;creator=factset&amp;DYN_ARGS=TRUE&amp;DOC_NAME=FAT:FQL_AUDITING_CLIENT_TEMPLATE.FAT&amp;display_string=Audit&amp;VAR:KEY=MZMZIRGRQD&amp;VAR:QUERY=RkZfREVCVChBTk4sMjAwOSk=&amp;WINDOW=FIRST_POPUP&amp;HEIGHT=450&amp;WIDTH=450&amp;START_MAXIMIZED=FALS","E&amp;VAR:CALENDAR=US&amp;VAR:SYMBOL=CMLP&amp;VAR:INDEX=0"}</definedName>
    <definedName name="_1094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095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096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097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098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099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1__FDSAUDITLINK__" localSheetId="6" hidden="1">{"fdsup://directions/FAT Viewer?action=UPDATE&amp;creator=factset&amp;DYN_ARGS=TRUE&amp;DOC_NAME=FAT:FQL_AUDITING_CLIENT_TEMPLATE.FAT&amp;display_string=Audit&amp;VAR:KEY=DYHONQXAZS&amp;VAR:QUERY=RkVfVkFMVUFUSU9OKCdQQlBTJywnTUVBTicsJ0FOTlVBTCcsMjAwOSwwLCwsJycp&amp;WINDOW=FIRST_POPUP&amp;H","EIGHT=450&amp;WIDTH=450&amp;START_MAXIMIZED=FALSE&amp;VAR:CALENDAR=FIVEDAY&amp;VAR:SYMBOL=648963&amp;VAR:INDEX=0"}</definedName>
    <definedName name="_11__FDSAUDITLINK__" localSheetId="8" hidden="1">{"fdsup://directions/FAT Viewer?action=UPDATE&amp;creator=factset&amp;DYN_ARGS=TRUE&amp;DOC_NAME=FAT:FQL_AUDITING_CLIENT_TEMPLATE.FAT&amp;display_string=Audit&amp;VAR:KEY=DYHONQXAZS&amp;VAR:QUERY=RkVfVkFMVUFUSU9OKCdQQlBTJywnTUVBTicsJ0FOTlVBTCcsMjAwOSwwLCwsJycp&amp;WINDOW=FIRST_POPUP&amp;H","EIGHT=450&amp;WIDTH=450&amp;START_MAXIMIZED=FALSE&amp;VAR:CALENDAR=FIVEDAY&amp;VAR:SYMBOL=648963&amp;VAR:INDEX=0"}</definedName>
    <definedName name="_11__FDSAUDITLINK__" localSheetId="2" hidden="1">{"fdsup://directions/FAT Viewer?action=UPDATE&amp;creator=factset&amp;DYN_ARGS=TRUE&amp;DOC_NAME=FAT:FQL_AUDITING_CLIENT_TEMPLATE.FAT&amp;display_string=Audit&amp;VAR:KEY=DYHONQXAZS&amp;VAR:QUERY=RkVfVkFMVUFUSU9OKCdQQlBTJywnTUVBTicsJ0FOTlVBTCcsMjAwOSwwLCwsJycp&amp;WINDOW=FIRST_POPUP&amp;H","EIGHT=450&amp;WIDTH=450&amp;START_MAXIMIZED=FALSE&amp;VAR:CALENDAR=FIVEDAY&amp;VAR:SYMBOL=648963&amp;VAR:INDEX=0"}</definedName>
    <definedName name="_11__FDSAUDITLINK__" hidden="1">{"fdsup://directions/FAT Viewer?action=UPDATE&amp;creator=factset&amp;DYN_ARGS=TRUE&amp;DOC_NAME=FAT:FQL_AUDITING_CLIENT_TEMPLATE.FAT&amp;display_string=Audit&amp;VAR:KEY=DYHONQXAZS&amp;VAR:QUERY=RkVfVkFMVUFUSU9OKCdQQlBTJywnTUVBTicsJ0FOTlVBTCcsMjAwOSwwLCwsJycp&amp;WINDOW=FIRST_POPUP&amp;H","EIGHT=450&amp;WIDTH=450&amp;START_MAXIMIZED=FALSE&amp;VAR:CALENDAR=FIVEDAY&amp;VAR:SYMBOL=648963&amp;VAR:INDEX=0"}</definedName>
    <definedName name="_110__FDSAUDITLINK__" localSheetId="6" hidden="1">{"fdsup://directions/FAT Viewer?action=UPDATE&amp;creator=factset&amp;DYN_ARGS=TRUE&amp;DOC_NAME=FAT:FQL_AUDITING_CLIENT_TEMPLATE.FAT&amp;display_string=Audit&amp;VAR:KEY=ZUXAFKPSPW&amp;VAR:QUERY=RkVfVkFMVUFUSU9OKCdQQlBTJywnTUVBTicsJ0FOTlVBTCcsMjAxMSwwLCwsJycp&amp;WINDOW=FIRST_POPUP&amp;H","EIGHT=450&amp;WIDTH=450&amp;START_MAXIMIZED=FALSE&amp;VAR:CALENDAR=US&amp;VAR:INDEX=0"}</definedName>
    <definedName name="_110__FDSAUDITLINK__" localSheetId="8" hidden="1">{"fdsup://directions/FAT Viewer?action=UPDATE&amp;creator=factset&amp;DYN_ARGS=TRUE&amp;DOC_NAME=FAT:FQL_AUDITING_CLIENT_TEMPLATE.FAT&amp;display_string=Audit&amp;VAR:KEY=ZUXAFKPSPW&amp;VAR:QUERY=RkVfVkFMVUFUSU9OKCdQQlBTJywnTUVBTicsJ0FOTlVBTCcsMjAxMSwwLCwsJycp&amp;WINDOW=FIRST_POPUP&amp;H","EIGHT=450&amp;WIDTH=450&amp;START_MAXIMIZED=FALSE&amp;VAR:CALENDAR=US&amp;VAR:INDEX=0"}</definedName>
    <definedName name="_110__FDSAUDITLINK__" localSheetId="2" hidden="1">{"fdsup://directions/FAT Viewer?action=UPDATE&amp;creator=factset&amp;DYN_ARGS=TRUE&amp;DOC_NAME=FAT:FQL_AUDITING_CLIENT_TEMPLATE.FAT&amp;display_string=Audit&amp;VAR:KEY=ZUXAFKPSPW&amp;VAR:QUERY=RkVfVkFMVUFUSU9OKCdQQlBTJywnTUVBTicsJ0FOTlVBTCcsMjAxMSwwLCwsJycp&amp;WINDOW=FIRST_POPUP&amp;H","EIGHT=450&amp;WIDTH=450&amp;START_MAXIMIZED=FALSE&amp;VAR:CALENDAR=US&amp;VAR:INDEX=0"}</definedName>
    <definedName name="_110__FDSAUDITLINK__" hidden="1">{"fdsup://directions/FAT Viewer?action=UPDATE&amp;creator=factset&amp;DYN_ARGS=TRUE&amp;DOC_NAME=FAT:FQL_AUDITING_CLIENT_TEMPLATE.FAT&amp;display_string=Audit&amp;VAR:KEY=ZUXAFKPSPW&amp;VAR:QUERY=RkVfVkFMVUFUSU9OKCdQQlBTJywnTUVBTicsJ0FOTlVBTCcsMjAxMSwwLCwsJycp&amp;WINDOW=FIRST_POPUP&amp;H","EIGHT=450&amp;WIDTH=450&amp;START_MAXIMIZED=FALSE&amp;VAR:CALENDAR=US&amp;VAR:INDEX=0"}</definedName>
    <definedName name="_1100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101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102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103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104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105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106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107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108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109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11__FDSAUDITLINK__" localSheetId="6" hidden="1">{"fdsup://directions/FAT Viewer?action=UPDATE&amp;creator=factset&amp;DYN_ARGS=TRUE&amp;DOC_NAME=FAT:FQL_AUDITING_CLIENT_TEMPLATE.FAT&amp;display_string=Audit&amp;VAR:KEY=NUZSVWFEZC&amp;VAR:QUERY=RkVfVkFMVUFUSU9OKCdQQlBTJywnTUVBTicsJ0FOTlVBTCcsMjAxMCwwLCwsJycp&amp;WINDOW=FIRST_POPUP&amp;H","EIGHT=450&amp;WIDTH=450&amp;START_MAXIMIZED=FALSE&amp;VAR:CALENDAR=US&amp;VAR:INDEX=0"}</definedName>
    <definedName name="_111__FDSAUDITLINK__" localSheetId="8" hidden="1">{"fdsup://directions/FAT Viewer?action=UPDATE&amp;creator=factset&amp;DYN_ARGS=TRUE&amp;DOC_NAME=FAT:FQL_AUDITING_CLIENT_TEMPLATE.FAT&amp;display_string=Audit&amp;VAR:KEY=NUZSVWFEZC&amp;VAR:QUERY=RkVfVkFMVUFUSU9OKCdQQlBTJywnTUVBTicsJ0FOTlVBTCcsMjAxMCwwLCwsJycp&amp;WINDOW=FIRST_POPUP&amp;H","EIGHT=450&amp;WIDTH=450&amp;START_MAXIMIZED=FALSE&amp;VAR:CALENDAR=US&amp;VAR:INDEX=0"}</definedName>
    <definedName name="_111__FDSAUDITLINK__" localSheetId="2" hidden="1">{"fdsup://directions/FAT Viewer?action=UPDATE&amp;creator=factset&amp;DYN_ARGS=TRUE&amp;DOC_NAME=FAT:FQL_AUDITING_CLIENT_TEMPLATE.FAT&amp;display_string=Audit&amp;VAR:KEY=NUZSVWFEZC&amp;VAR:QUERY=RkVfVkFMVUFUSU9OKCdQQlBTJywnTUVBTicsJ0FOTlVBTCcsMjAxMCwwLCwsJycp&amp;WINDOW=FIRST_POPUP&amp;H","EIGHT=450&amp;WIDTH=450&amp;START_MAXIMIZED=FALSE&amp;VAR:CALENDAR=US&amp;VAR:INDEX=0"}</definedName>
    <definedName name="_111__FDSAUDITLINK__" hidden="1">{"fdsup://directions/FAT Viewer?action=UPDATE&amp;creator=factset&amp;DYN_ARGS=TRUE&amp;DOC_NAME=FAT:FQL_AUDITING_CLIENT_TEMPLATE.FAT&amp;display_string=Audit&amp;VAR:KEY=NUZSVWFEZC&amp;VAR:QUERY=RkVfVkFMVUFUSU9OKCdQQlBTJywnTUVBTicsJ0FOTlVBTCcsMjAxMCwwLCwsJycp&amp;WINDOW=FIRST_POPUP&amp;H","EIGHT=450&amp;WIDTH=450&amp;START_MAXIMIZED=FALSE&amp;VAR:CALENDAR=US&amp;VAR:INDEX=0"}</definedName>
    <definedName name="_1110__FDSAUDITLINK__" hidden="1">{"fdsup://directions/FAT Viewer?action=UPDATE&amp;creator=factset&amp;DYN_ARGS=TRUE&amp;DOC_NAME=FAT:FQL_AUDITING_CLIENT_TEMPLATE.FAT&amp;display_string=Audit&amp;VAR:KEY=MZMZIRGRQD&amp;VAR:QUERY=RkZfREVCVChBTk4sMjAwOSk=&amp;WINDOW=FIRST_POPUP&amp;HEIGHT=450&amp;WIDTH=450&amp;START_MAXIMIZED=FALS","E&amp;VAR:CALENDAR=US&amp;VAR:SYMBOL=CMLP&amp;VAR:INDEX=0"}</definedName>
    <definedName name="_1111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112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113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114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115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116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117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118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119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12__FDSAUDITLINK__" localSheetId="6" hidden="1">{"fdsup://directions/FAT Viewer?action=UPDATE&amp;creator=factset&amp;DYN_ARGS=TRUE&amp;DOC_NAME=FAT:FQL_AUDITING_CLIENT_TEMPLATE.FAT&amp;display_string=Audit&amp;VAR:KEY=NAHWJCVMXQ&amp;VAR:QUERY=RkVfVkFMVUFUSU9OKCdQQlBTJywnTUVBTicsJ0FOTlVBTCcsMjAwOSwwLCwsJycp&amp;WINDOW=FIRST_POPUP&amp;H","EIGHT=450&amp;WIDTH=450&amp;START_MAXIMIZED=FALSE&amp;VAR:CALENDAR=US&amp;VAR:INDEX=0"}</definedName>
    <definedName name="_112__FDSAUDITLINK__" localSheetId="8" hidden="1">{"fdsup://directions/FAT Viewer?action=UPDATE&amp;creator=factset&amp;DYN_ARGS=TRUE&amp;DOC_NAME=FAT:FQL_AUDITING_CLIENT_TEMPLATE.FAT&amp;display_string=Audit&amp;VAR:KEY=NAHWJCVMXQ&amp;VAR:QUERY=RkVfVkFMVUFUSU9OKCdQQlBTJywnTUVBTicsJ0FOTlVBTCcsMjAwOSwwLCwsJycp&amp;WINDOW=FIRST_POPUP&amp;H","EIGHT=450&amp;WIDTH=450&amp;START_MAXIMIZED=FALSE&amp;VAR:CALENDAR=US&amp;VAR:INDEX=0"}</definedName>
    <definedName name="_112__FDSAUDITLINK__" localSheetId="2" hidden="1">{"fdsup://directions/FAT Viewer?action=UPDATE&amp;creator=factset&amp;DYN_ARGS=TRUE&amp;DOC_NAME=FAT:FQL_AUDITING_CLIENT_TEMPLATE.FAT&amp;display_string=Audit&amp;VAR:KEY=NAHWJCVMXQ&amp;VAR:QUERY=RkVfVkFMVUFUSU9OKCdQQlBTJywnTUVBTicsJ0FOTlVBTCcsMjAwOSwwLCwsJycp&amp;WINDOW=FIRST_POPUP&amp;H","EIGHT=450&amp;WIDTH=450&amp;START_MAXIMIZED=FALSE&amp;VAR:CALENDAR=US&amp;VAR:INDEX=0"}</definedName>
    <definedName name="_112__FDSAUDITLINK__" hidden="1">{"fdsup://directions/FAT Viewer?action=UPDATE&amp;creator=factset&amp;DYN_ARGS=TRUE&amp;DOC_NAME=FAT:FQL_AUDITING_CLIENT_TEMPLATE.FAT&amp;display_string=Audit&amp;VAR:KEY=NAHWJCVMXQ&amp;VAR:QUERY=RkVfVkFMVUFUSU9OKCdQQlBTJywnTUVBTicsJ0FOTlVBTCcsMjAwOSwwLCwsJycp&amp;WINDOW=FIRST_POPUP&amp;H","EIGHT=450&amp;WIDTH=450&amp;START_MAXIMIZED=FALSE&amp;VAR:CALENDAR=US&amp;VAR:INDEX=0"}</definedName>
    <definedName name="_1120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121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122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123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124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125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126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127__FDSAUDITLINK__" hidden="1">{"fdsup://directions/FAT Viewer?action=UPDATE&amp;creator=factset&amp;DYN_ARGS=TRUE&amp;DOC_NAME=FAT:FQL_AUDITING_CLIENT_TEMPLATE.FAT&amp;display_string=Audit&amp;VAR:KEY=MZMZIRGRQD&amp;VAR:QUERY=RkZfREVCVChBTk4sMjAwOSk=&amp;WINDOW=FIRST_POPUP&amp;HEIGHT=450&amp;WIDTH=450&amp;START_MAXIMIZED=FALS","E&amp;VAR:CALENDAR=US&amp;VAR:SYMBOL=CMLP&amp;VAR:INDEX=0"}</definedName>
    <definedName name="_1128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129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13__FDSAUDITLINK__" localSheetId="6" hidden="1">{"fdsup://directions/FAT Viewer?action=UPDATE&amp;creator=factset&amp;DYN_ARGS=TRUE&amp;DOC_NAME=FAT:FQL_AUDITING_CLIENT_TEMPLATE.FAT&amp;display_string=Audit&amp;VAR:KEY=HYJWBIFEPE&amp;VAR:QUERY=RkVfVkFMVUFUSU9OKCdQQlBTJywnTUVBTicsJ0FOTlVBTCcsMjAxMiwwLCwsJycp&amp;WINDOW=FIRST_POPUP&amp;H","EIGHT=450&amp;WIDTH=450&amp;START_MAXIMIZED=FALSE&amp;VAR:CALENDAR=US&amp;VAR:SYMBOL=5497168&amp;VAR:INDEX=0"}</definedName>
    <definedName name="_113__FDSAUDITLINK__" localSheetId="8" hidden="1">{"fdsup://directions/FAT Viewer?action=UPDATE&amp;creator=factset&amp;DYN_ARGS=TRUE&amp;DOC_NAME=FAT:FQL_AUDITING_CLIENT_TEMPLATE.FAT&amp;display_string=Audit&amp;VAR:KEY=HYJWBIFEPE&amp;VAR:QUERY=RkVfVkFMVUFUSU9OKCdQQlBTJywnTUVBTicsJ0FOTlVBTCcsMjAxMiwwLCwsJycp&amp;WINDOW=FIRST_POPUP&amp;H","EIGHT=450&amp;WIDTH=450&amp;START_MAXIMIZED=FALSE&amp;VAR:CALENDAR=US&amp;VAR:SYMBOL=5497168&amp;VAR:INDEX=0"}</definedName>
    <definedName name="_113__FDSAUDITLINK__" localSheetId="2" hidden="1">{"fdsup://directions/FAT Viewer?action=UPDATE&amp;creator=factset&amp;DYN_ARGS=TRUE&amp;DOC_NAME=FAT:FQL_AUDITING_CLIENT_TEMPLATE.FAT&amp;display_string=Audit&amp;VAR:KEY=HYJWBIFEPE&amp;VAR:QUERY=RkVfVkFMVUFUSU9OKCdQQlBTJywnTUVBTicsJ0FOTlVBTCcsMjAxMiwwLCwsJycp&amp;WINDOW=FIRST_POPUP&amp;H","EIGHT=450&amp;WIDTH=450&amp;START_MAXIMIZED=FALSE&amp;VAR:CALENDAR=US&amp;VAR:SYMBOL=5497168&amp;VAR:INDEX=0"}</definedName>
    <definedName name="_113__FDSAUDITLINK__" hidden="1">{"fdsup://directions/FAT Viewer?action=UPDATE&amp;creator=factset&amp;DYN_ARGS=TRUE&amp;DOC_NAME=FAT:FQL_AUDITING_CLIENT_TEMPLATE.FAT&amp;display_string=Audit&amp;VAR:KEY=HYJWBIFEPE&amp;VAR:QUERY=RkVfVkFMVUFUSU9OKCdQQlBTJywnTUVBTicsJ0FOTlVBTCcsMjAxMiwwLCwsJycp&amp;WINDOW=FIRST_POPUP&amp;H","EIGHT=450&amp;WIDTH=450&amp;START_MAXIMIZED=FALSE&amp;VAR:CALENDAR=US&amp;VAR:SYMBOL=5497168&amp;VAR:INDEX=0"}</definedName>
    <definedName name="_1130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131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132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133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134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135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136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137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138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139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14__FDSAUDITLINK__" localSheetId="6" hidden="1">{"fdsup://directions/FAT Viewer?action=UPDATE&amp;creator=factset&amp;DYN_ARGS=TRUE&amp;DOC_NAME=FAT:FQL_AUDITING_CLIENT_TEMPLATE.FAT&amp;display_string=Audit&amp;VAR:KEY=HYJWBIFEPE&amp;VAR:QUERY=RkVfVkFMVUFUSU9OKCdQQlBTJywnTUVBTicsJ0FOTlVBTCcsMjAxMiwwLCwsJycp&amp;WINDOW=FIRST_POPUP&amp;H","EIGHT=450&amp;WIDTH=450&amp;START_MAXIMIZED=FALSE&amp;VAR:CALENDAR=US&amp;VAR:SYMBOL=5497168&amp;VAR:INDEX=0"}</definedName>
    <definedName name="_114__FDSAUDITLINK__" localSheetId="8" hidden="1">{"fdsup://directions/FAT Viewer?action=UPDATE&amp;creator=factset&amp;DYN_ARGS=TRUE&amp;DOC_NAME=FAT:FQL_AUDITING_CLIENT_TEMPLATE.FAT&amp;display_string=Audit&amp;VAR:KEY=HYJWBIFEPE&amp;VAR:QUERY=RkVfVkFMVUFUSU9OKCdQQlBTJywnTUVBTicsJ0FOTlVBTCcsMjAxMiwwLCwsJycp&amp;WINDOW=FIRST_POPUP&amp;H","EIGHT=450&amp;WIDTH=450&amp;START_MAXIMIZED=FALSE&amp;VAR:CALENDAR=US&amp;VAR:SYMBOL=5497168&amp;VAR:INDEX=0"}</definedName>
    <definedName name="_114__FDSAUDITLINK__" localSheetId="2" hidden="1">{"fdsup://directions/FAT Viewer?action=UPDATE&amp;creator=factset&amp;DYN_ARGS=TRUE&amp;DOC_NAME=FAT:FQL_AUDITING_CLIENT_TEMPLATE.FAT&amp;display_string=Audit&amp;VAR:KEY=HYJWBIFEPE&amp;VAR:QUERY=RkVfVkFMVUFUSU9OKCdQQlBTJywnTUVBTicsJ0FOTlVBTCcsMjAxMiwwLCwsJycp&amp;WINDOW=FIRST_POPUP&amp;H","EIGHT=450&amp;WIDTH=450&amp;START_MAXIMIZED=FALSE&amp;VAR:CALENDAR=US&amp;VAR:SYMBOL=5497168&amp;VAR:INDEX=0"}</definedName>
    <definedName name="_114__FDSAUDITLINK__" hidden="1">{"fdsup://directions/FAT Viewer?action=UPDATE&amp;creator=factset&amp;DYN_ARGS=TRUE&amp;DOC_NAME=FAT:FQL_AUDITING_CLIENT_TEMPLATE.FAT&amp;display_string=Audit&amp;VAR:KEY=HYJWBIFEPE&amp;VAR:QUERY=RkVfVkFMVUFUSU9OKCdQQlBTJywnTUVBTicsJ0FOTlVBTCcsMjAxMiwwLCwsJycp&amp;WINDOW=FIRST_POPUP&amp;H","EIGHT=450&amp;WIDTH=450&amp;START_MAXIMIZED=FALSE&amp;VAR:CALENDAR=US&amp;VAR:SYMBOL=5497168&amp;VAR:INDEX=0"}</definedName>
    <definedName name="_1140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141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142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143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144__FDSAUDITLINK__" hidden="1">{"fdsup://directions/FAT Viewer?action=UPDATE&amp;creator=factset&amp;DYN_ARGS=TRUE&amp;DOC_NAME=FAT:FQL_AUDITING_CLIENT_TEMPLATE.FAT&amp;display_string=Audit&amp;VAR:KEY=MZMZIRGRQD&amp;VAR:QUERY=RkZfREVCVChBTk4sMjAwOSk=&amp;WINDOW=FIRST_POPUP&amp;HEIGHT=450&amp;WIDTH=450&amp;START_MAXIMIZED=FALS","E&amp;VAR:CALENDAR=US&amp;VAR:SYMBOL=CMLP&amp;VAR:INDEX=0"}</definedName>
    <definedName name="_1145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146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147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148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149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15__FDSAUDITLINK__" localSheetId="6" hidden="1">{"fdsup://directions/FAT Viewer?action=UPDATE&amp;creator=factset&amp;DYN_ARGS=TRUE&amp;DOC_NAME=FAT:FQL_AUDITING_CLIENT_TEMPLATE.FAT&amp;display_string=Audit&amp;VAR:KEY=NQVWRUXWFO&amp;VAR:QUERY=RkVfVkFMVUFUSU9OKCdQQlBTJywnTUVBTicsJ0FOTlVBTCcsMjAxMSwwLCwsJycp&amp;WINDOW=FIRST_POPUP&amp;H","EIGHT=450&amp;WIDTH=450&amp;START_MAXIMIZED=FALSE&amp;VAR:CALENDAR=US&amp;VAR:SYMBOL=5497168&amp;VAR:INDEX=0"}</definedName>
    <definedName name="_115__FDSAUDITLINK__" localSheetId="8" hidden="1">{"fdsup://directions/FAT Viewer?action=UPDATE&amp;creator=factset&amp;DYN_ARGS=TRUE&amp;DOC_NAME=FAT:FQL_AUDITING_CLIENT_TEMPLATE.FAT&amp;display_string=Audit&amp;VAR:KEY=NQVWRUXWFO&amp;VAR:QUERY=RkVfVkFMVUFUSU9OKCdQQlBTJywnTUVBTicsJ0FOTlVBTCcsMjAxMSwwLCwsJycp&amp;WINDOW=FIRST_POPUP&amp;H","EIGHT=450&amp;WIDTH=450&amp;START_MAXIMIZED=FALSE&amp;VAR:CALENDAR=US&amp;VAR:SYMBOL=5497168&amp;VAR:INDEX=0"}</definedName>
    <definedName name="_115__FDSAUDITLINK__" localSheetId="2" hidden="1">{"fdsup://directions/FAT Viewer?action=UPDATE&amp;creator=factset&amp;DYN_ARGS=TRUE&amp;DOC_NAME=FAT:FQL_AUDITING_CLIENT_TEMPLATE.FAT&amp;display_string=Audit&amp;VAR:KEY=NQVWRUXWFO&amp;VAR:QUERY=RkVfVkFMVUFUSU9OKCdQQlBTJywnTUVBTicsJ0FOTlVBTCcsMjAxMSwwLCwsJycp&amp;WINDOW=FIRST_POPUP&amp;H","EIGHT=450&amp;WIDTH=450&amp;START_MAXIMIZED=FALSE&amp;VAR:CALENDAR=US&amp;VAR:SYMBOL=5497168&amp;VAR:INDEX=0"}</definedName>
    <definedName name="_115__FDSAUDITLINK__" hidden="1">{"fdsup://directions/FAT Viewer?action=UPDATE&amp;creator=factset&amp;DYN_ARGS=TRUE&amp;DOC_NAME=FAT:FQL_AUDITING_CLIENT_TEMPLATE.FAT&amp;display_string=Audit&amp;VAR:KEY=NQVWRUXWFO&amp;VAR:QUERY=RkVfVkFMVUFUSU9OKCdQQlBTJywnTUVBTicsJ0FOTlVBTCcsMjAxMSwwLCwsJycp&amp;WINDOW=FIRST_POPUP&amp;H","EIGHT=450&amp;WIDTH=450&amp;START_MAXIMIZED=FALSE&amp;VAR:CALENDAR=US&amp;VAR:SYMBOL=5497168&amp;VAR:INDEX=0"}</definedName>
    <definedName name="_1150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151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152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153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154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155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156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157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158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159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16__FDSAUDITLINK__" localSheetId="6" hidden="1">{"fdsup://directions/FAT Viewer?action=UPDATE&amp;creator=factset&amp;DYN_ARGS=TRUE&amp;DOC_NAME=FAT:FQL_AUDITING_CLIENT_TEMPLATE.FAT&amp;display_string=Audit&amp;VAR:KEY=NQVWRUXWFO&amp;VAR:QUERY=RkVfVkFMVUFUSU9OKCdQQlBTJywnTUVBTicsJ0FOTlVBTCcsMjAxMSwwLCwsJycp&amp;WINDOW=FIRST_POPUP&amp;H","EIGHT=450&amp;WIDTH=450&amp;START_MAXIMIZED=FALSE&amp;VAR:CALENDAR=US&amp;VAR:SYMBOL=5497168&amp;VAR:INDEX=0"}</definedName>
    <definedName name="_116__FDSAUDITLINK__" localSheetId="8" hidden="1">{"fdsup://directions/FAT Viewer?action=UPDATE&amp;creator=factset&amp;DYN_ARGS=TRUE&amp;DOC_NAME=FAT:FQL_AUDITING_CLIENT_TEMPLATE.FAT&amp;display_string=Audit&amp;VAR:KEY=NQVWRUXWFO&amp;VAR:QUERY=RkVfVkFMVUFUSU9OKCdQQlBTJywnTUVBTicsJ0FOTlVBTCcsMjAxMSwwLCwsJycp&amp;WINDOW=FIRST_POPUP&amp;H","EIGHT=450&amp;WIDTH=450&amp;START_MAXIMIZED=FALSE&amp;VAR:CALENDAR=US&amp;VAR:SYMBOL=5497168&amp;VAR:INDEX=0"}</definedName>
    <definedName name="_116__FDSAUDITLINK__" localSheetId="2" hidden="1">{"fdsup://directions/FAT Viewer?action=UPDATE&amp;creator=factset&amp;DYN_ARGS=TRUE&amp;DOC_NAME=FAT:FQL_AUDITING_CLIENT_TEMPLATE.FAT&amp;display_string=Audit&amp;VAR:KEY=NQVWRUXWFO&amp;VAR:QUERY=RkVfVkFMVUFUSU9OKCdQQlBTJywnTUVBTicsJ0FOTlVBTCcsMjAxMSwwLCwsJycp&amp;WINDOW=FIRST_POPUP&amp;H","EIGHT=450&amp;WIDTH=450&amp;START_MAXIMIZED=FALSE&amp;VAR:CALENDAR=US&amp;VAR:SYMBOL=5497168&amp;VAR:INDEX=0"}</definedName>
    <definedName name="_116__FDSAUDITLINK__" hidden="1">{"fdsup://directions/FAT Viewer?action=UPDATE&amp;creator=factset&amp;DYN_ARGS=TRUE&amp;DOC_NAME=FAT:FQL_AUDITING_CLIENT_TEMPLATE.FAT&amp;display_string=Audit&amp;VAR:KEY=NQVWRUXWFO&amp;VAR:QUERY=RkVfVkFMVUFUSU9OKCdQQlBTJywnTUVBTicsJ0FOTlVBTCcsMjAxMSwwLCwsJycp&amp;WINDOW=FIRST_POPUP&amp;H","EIGHT=450&amp;WIDTH=450&amp;START_MAXIMIZED=FALSE&amp;VAR:CALENDAR=US&amp;VAR:SYMBOL=5497168&amp;VAR:INDEX=0"}</definedName>
    <definedName name="_1160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161__FDSAUDITLINK__" hidden="1">{"fdsup://directions/FAT Viewer?action=UPDATE&amp;creator=factset&amp;DYN_ARGS=TRUE&amp;DOC_NAME=FAT:FQL_AUDITING_CLIENT_TEMPLATE.FAT&amp;display_string=Audit&amp;VAR:KEY=MZMZIRGRQD&amp;VAR:QUERY=RkZfREVCVChBTk4sMjAwOSk=&amp;WINDOW=FIRST_POPUP&amp;HEIGHT=450&amp;WIDTH=450&amp;START_MAXIMIZED=FALS","E&amp;VAR:CALENDAR=US&amp;VAR:SYMBOL=CMLP&amp;VAR:INDEX=0"}</definedName>
    <definedName name="_1162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163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164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165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166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167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168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169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17__FDSAUDITLINK__" localSheetId="6" hidden="1">{"fdsup://directions/FAT Viewer?action=UPDATE&amp;creator=factset&amp;DYN_ARGS=TRUE&amp;DOC_NAME=FAT:FQL_AUDITING_CLIENT_TEMPLATE.FAT&amp;display_string=Audit&amp;VAR:KEY=DGPMDIBWVA&amp;VAR:QUERY=RkVfVkFMVUFUSU9OKCdQQlBTJywnTUVBTicsJ0FOTlVBTCcsMjAxMCwwLCwsJycp&amp;WINDOW=FIRST_POPUP&amp;H","EIGHT=450&amp;WIDTH=450&amp;START_MAXIMIZED=FALSE&amp;VAR:CALENDAR=US&amp;VAR:SYMBOL=5497168&amp;VAR:INDEX=0"}</definedName>
    <definedName name="_117__FDSAUDITLINK__" localSheetId="8" hidden="1">{"fdsup://directions/FAT Viewer?action=UPDATE&amp;creator=factset&amp;DYN_ARGS=TRUE&amp;DOC_NAME=FAT:FQL_AUDITING_CLIENT_TEMPLATE.FAT&amp;display_string=Audit&amp;VAR:KEY=DGPMDIBWVA&amp;VAR:QUERY=RkVfVkFMVUFUSU9OKCdQQlBTJywnTUVBTicsJ0FOTlVBTCcsMjAxMCwwLCwsJycp&amp;WINDOW=FIRST_POPUP&amp;H","EIGHT=450&amp;WIDTH=450&amp;START_MAXIMIZED=FALSE&amp;VAR:CALENDAR=US&amp;VAR:SYMBOL=5497168&amp;VAR:INDEX=0"}</definedName>
    <definedName name="_117__FDSAUDITLINK__" localSheetId="2" hidden="1">{"fdsup://directions/FAT Viewer?action=UPDATE&amp;creator=factset&amp;DYN_ARGS=TRUE&amp;DOC_NAME=FAT:FQL_AUDITING_CLIENT_TEMPLATE.FAT&amp;display_string=Audit&amp;VAR:KEY=DGPMDIBWVA&amp;VAR:QUERY=RkVfVkFMVUFUSU9OKCdQQlBTJywnTUVBTicsJ0FOTlVBTCcsMjAxMCwwLCwsJycp&amp;WINDOW=FIRST_POPUP&amp;H","EIGHT=450&amp;WIDTH=450&amp;START_MAXIMIZED=FALSE&amp;VAR:CALENDAR=US&amp;VAR:SYMBOL=5497168&amp;VAR:INDEX=0"}</definedName>
    <definedName name="_117__FDSAUDITLINK__" hidden="1">{"fdsup://directions/FAT Viewer?action=UPDATE&amp;creator=factset&amp;DYN_ARGS=TRUE&amp;DOC_NAME=FAT:FQL_AUDITING_CLIENT_TEMPLATE.FAT&amp;display_string=Audit&amp;VAR:KEY=DGPMDIBWVA&amp;VAR:QUERY=RkVfVkFMVUFUSU9OKCdQQlBTJywnTUVBTicsJ0FOTlVBTCcsMjAxMCwwLCwsJycp&amp;WINDOW=FIRST_POPUP&amp;H","EIGHT=450&amp;WIDTH=450&amp;START_MAXIMIZED=FALSE&amp;VAR:CALENDAR=US&amp;VAR:SYMBOL=5497168&amp;VAR:INDEX=0"}</definedName>
    <definedName name="_1170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171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172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173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174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175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176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177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178__FDSAUDITLINK__" hidden="1">{"fdsup://directions/FAT Viewer?action=UPDATE&amp;creator=factset&amp;DYN_ARGS=TRUE&amp;DOC_NAME=FAT:FQL_AUDITING_CLIENT_TEMPLATE.FAT&amp;display_string=Audit&amp;VAR:KEY=MZMZIRGRQD&amp;VAR:QUERY=RkZfREVCVChBTk4sMjAwOSk=&amp;WINDOW=FIRST_POPUP&amp;HEIGHT=450&amp;WIDTH=450&amp;START_MAXIMIZED=FALS","E&amp;VAR:CALENDAR=US&amp;VAR:SYMBOL=CMLP&amp;VAR:INDEX=0"}</definedName>
    <definedName name="_1179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18__FDSAUDITLINK__" localSheetId="6" hidden="1">{"fdsup://directions/FAT Viewer?action=UPDATE&amp;creator=factset&amp;DYN_ARGS=TRUE&amp;DOC_NAME=FAT:FQL_AUDITING_CLIENT_TEMPLATE.FAT&amp;display_string=Audit&amp;VAR:KEY=DGPMDIBWVA&amp;VAR:QUERY=RkVfVkFMVUFUSU9OKCdQQlBTJywnTUVBTicsJ0FOTlVBTCcsMjAxMCwwLCwsJycp&amp;WINDOW=FIRST_POPUP&amp;H","EIGHT=450&amp;WIDTH=450&amp;START_MAXIMIZED=FALSE&amp;VAR:CALENDAR=US&amp;VAR:SYMBOL=5497168&amp;VAR:INDEX=0"}</definedName>
    <definedName name="_118__FDSAUDITLINK__" localSheetId="8" hidden="1">{"fdsup://directions/FAT Viewer?action=UPDATE&amp;creator=factset&amp;DYN_ARGS=TRUE&amp;DOC_NAME=FAT:FQL_AUDITING_CLIENT_TEMPLATE.FAT&amp;display_string=Audit&amp;VAR:KEY=DGPMDIBWVA&amp;VAR:QUERY=RkVfVkFMVUFUSU9OKCdQQlBTJywnTUVBTicsJ0FOTlVBTCcsMjAxMCwwLCwsJycp&amp;WINDOW=FIRST_POPUP&amp;H","EIGHT=450&amp;WIDTH=450&amp;START_MAXIMIZED=FALSE&amp;VAR:CALENDAR=US&amp;VAR:SYMBOL=5497168&amp;VAR:INDEX=0"}</definedName>
    <definedName name="_118__FDSAUDITLINK__" localSheetId="2" hidden="1">{"fdsup://directions/FAT Viewer?action=UPDATE&amp;creator=factset&amp;DYN_ARGS=TRUE&amp;DOC_NAME=FAT:FQL_AUDITING_CLIENT_TEMPLATE.FAT&amp;display_string=Audit&amp;VAR:KEY=DGPMDIBWVA&amp;VAR:QUERY=RkVfVkFMVUFUSU9OKCdQQlBTJywnTUVBTicsJ0FOTlVBTCcsMjAxMCwwLCwsJycp&amp;WINDOW=FIRST_POPUP&amp;H","EIGHT=450&amp;WIDTH=450&amp;START_MAXIMIZED=FALSE&amp;VAR:CALENDAR=US&amp;VAR:SYMBOL=5497168&amp;VAR:INDEX=0"}</definedName>
    <definedName name="_118__FDSAUDITLINK__" hidden="1">{"fdsup://directions/FAT Viewer?action=UPDATE&amp;creator=factset&amp;DYN_ARGS=TRUE&amp;DOC_NAME=FAT:FQL_AUDITING_CLIENT_TEMPLATE.FAT&amp;display_string=Audit&amp;VAR:KEY=DGPMDIBWVA&amp;VAR:QUERY=RkVfVkFMVUFUSU9OKCdQQlBTJywnTUVBTicsJ0FOTlVBTCcsMjAxMCwwLCwsJycp&amp;WINDOW=FIRST_POPUP&amp;H","EIGHT=450&amp;WIDTH=450&amp;START_MAXIMIZED=FALSE&amp;VAR:CALENDAR=US&amp;VAR:SYMBOL=5497168&amp;VAR:INDEX=0"}</definedName>
    <definedName name="_1180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181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182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183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184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185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186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187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188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189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19__FDSAUDITLINK__" localSheetId="6" hidden="1">{"fdsup://directions/FAT Viewer?action=UPDATE&amp;creator=factset&amp;DYN_ARGS=TRUE&amp;DOC_NAME=FAT:FQL_AUDITING_CLIENT_TEMPLATE.FAT&amp;display_string=Audit&amp;VAR:KEY=PSRIJSXIZC&amp;VAR:QUERY=RkVfVkFMVUFUSU9OKCdQQlBTJywnTUVBTicsJ0FOTlVBTCcsMjAwOSwwLCwsJycp&amp;WINDOW=FIRST_POPUP&amp;H","EIGHT=450&amp;WIDTH=450&amp;START_MAXIMIZED=FALSE&amp;VAR:CALENDAR=US&amp;VAR:SYMBOL=5497168&amp;VAR:INDEX=0"}</definedName>
    <definedName name="_119__FDSAUDITLINK__" localSheetId="8" hidden="1">{"fdsup://directions/FAT Viewer?action=UPDATE&amp;creator=factset&amp;DYN_ARGS=TRUE&amp;DOC_NAME=FAT:FQL_AUDITING_CLIENT_TEMPLATE.FAT&amp;display_string=Audit&amp;VAR:KEY=PSRIJSXIZC&amp;VAR:QUERY=RkVfVkFMVUFUSU9OKCdQQlBTJywnTUVBTicsJ0FOTlVBTCcsMjAwOSwwLCwsJycp&amp;WINDOW=FIRST_POPUP&amp;H","EIGHT=450&amp;WIDTH=450&amp;START_MAXIMIZED=FALSE&amp;VAR:CALENDAR=US&amp;VAR:SYMBOL=5497168&amp;VAR:INDEX=0"}</definedName>
    <definedName name="_119__FDSAUDITLINK__" localSheetId="2" hidden="1">{"fdsup://directions/FAT Viewer?action=UPDATE&amp;creator=factset&amp;DYN_ARGS=TRUE&amp;DOC_NAME=FAT:FQL_AUDITING_CLIENT_TEMPLATE.FAT&amp;display_string=Audit&amp;VAR:KEY=PSRIJSXIZC&amp;VAR:QUERY=RkVfVkFMVUFUSU9OKCdQQlBTJywnTUVBTicsJ0FOTlVBTCcsMjAwOSwwLCwsJycp&amp;WINDOW=FIRST_POPUP&amp;H","EIGHT=450&amp;WIDTH=450&amp;START_MAXIMIZED=FALSE&amp;VAR:CALENDAR=US&amp;VAR:SYMBOL=5497168&amp;VAR:INDEX=0"}</definedName>
    <definedName name="_119__FDSAUDITLINK__" hidden="1">{"fdsup://directions/FAT Viewer?action=UPDATE&amp;creator=factset&amp;DYN_ARGS=TRUE&amp;DOC_NAME=FAT:FQL_AUDITING_CLIENT_TEMPLATE.FAT&amp;display_string=Audit&amp;VAR:KEY=PSRIJSXIZC&amp;VAR:QUERY=RkVfVkFMVUFUSU9OKCdQQlBTJywnTUVBTicsJ0FOTlVBTCcsMjAwOSwwLCwsJycp&amp;WINDOW=FIRST_POPUP&amp;H","EIGHT=450&amp;WIDTH=450&amp;START_MAXIMIZED=FALSE&amp;VAR:CALENDAR=US&amp;VAR:SYMBOL=5497168&amp;VAR:INDEX=0"}</definedName>
    <definedName name="_1190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191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192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193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194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195__FDSAUDITLINK__" hidden="1">{"fdsup://directions/FAT Viewer?action=UPDATE&amp;creator=factset&amp;DYN_ARGS=TRUE&amp;DOC_NAME=FAT:FQL_AUDITING_CLIENT_TEMPLATE.FAT&amp;display_string=Audit&amp;VAR:KEY=MZMZIRGRQD&amp;VAR:QUERY=RkZfREVCVChBTk4sMjAwOSk=&amp;WINDOW=FIRST_POPUP&amp;HEIGHT=450&amp;WIDTH=450&amp;START_MAXIMIZED=FALS","E&amp;VAR:CALENDAR=US&amp;VAR:SYMBOL=CMLP&amp;VAR:INDEX=0"}</definedName>
    <definedName name="_1196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197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198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199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2__FDSAUDITLINK__" localSheetId="6" hidden="1">{"fdsup://directions/FAT Viewer?action=UPDATE&amp;creator=factset&amp;DYN_ARGS=TRUE&amp;DOC_NAME=FAT:FQL_AUDITING_CLIENT_TEMPLATE.FAT&amp;display_string=Audit&amp;VAR:KEY=DGFSNGJUZG&amp;VAR:QUERY=RkVfVkFMVUFUSU9OKCdQQlBTJywnTUVBTicsJ0FOTlVBTCcsMjAxMiwwLCwsJycp&amp;WINDOW=FIRST_POPUP&amp;H","EIGHT=450&amp;WIDTH=450&amp;START_MAXIMIZED=FALSE&amp;VAR:CALENDAR=FIVEDAY&amp;VAR:SYMBOL=615143&amp;VAR:INDEX=0"}</definedName>
    <definedName name="_12__FDSAUDITLINK__" localSheetId="8" hidden="1">{"fdsup://directions/FAT Viewer?action=UPDATE&amp;creator=factset&amp;DYN_ARGS=TRUE&amp;DOC_NAME=FAT:FQL_AUDITING_CLIENT_TEMPLATE.FAT&amp;display_string=Audit&amp;VAR:KEY=DGFSNGJUZG&amp;VAR:QUERY=RkVfVkFMVUFUSU9OKCdQQlBTJywnTUVBTicsJ0FOTlVBTCcsMjAxMiwwLCwsJycp&amp;WINDOW=FIRST_POPUP&amp;H","EIGHT=450&amp;WIDTH=450&amp;START_MAXIMIZED=FALSE&amp;VAR:CALENDAR=FIVEDAY&amp;VAR:SYMBOL=615143&amp;VAR:INDEX=0"}</definedName>
    <definedName name="_12__FDSAUDITLINK__" localSheetId="2" hidden="1">{"fdsup://directions/FAT Viewer?action=UPDATE&amp;creator=factset&amp;DYN_ARGS=TRUE&amp;DOC_NAME=FAT:FQL_AUDITING_CLIENT_TEMPLATE.FAT&amp;display_string=Audit&amp;VAR:KEY=DGFSNGJUZG&amp;VAR:QUERY=RkVfVkFMVUFUSU9OKCdQQlBTJywnTUVBTicsJ0FOTlVBTCcsMjAxMiwwLCwsJycp&amp;WINDOW=FIRST_POPUP&amp;H","EIGHT=450&amp;WIDTH=450&amp;START_MAXIMIZED=FALSE&amp;VAR:CALENDAR=FIVEDAY&amp;VAR:SYMBOL=615143&amp;VAR:INDEX=0"}</definedName>
    <definedName name="_12__FDSAUDITLINK__" hidden="1">{"fdsup://directions/FAT Viewer?action=UPDATE&amp;creator=factset&amp;DYN_ARGS=TRUE&amp;DOC_NAME=FAT:FQL_AUDITING_CLIENT_TEMPLATE.FAT&amp;display_string=Audit&amp;VAR:KEY=DGFSNGJUZG&amp;VAR:QUERY=RkVfVkFMVUFUSU9OKCdQQlBTJywnTUVBTicsJ0FOTlVBTCcsMjAxMiwwLCwsJycp&amp;WINDOW=FIRST_POPUP&amp;H","EIGHT=450&amp;WIDTH=450&amp;START_MAXIMIZED=FALSE&amp;VAR:CALENDAR=FIVEDAY&amp;VAR:SYMBOL=615143&amp;VAR:INDEX=0"}</definedName>
    <definedName name="_120__FDSAUDITLINK__" localSheetId="6" hidden="1">{"fdsup://directions/FAT Viewer?action=UPDATE&amp;creator=factset&amp;DYN_ARGS=TRUE&amp;DOC_NAME=FAT:FQL_AUDITING_CLIENT_TEMPLATE.FAT&amp;display_string=Audit&amp;VAR:KEY=PSRIJSXIZC&amp;VAR:QUERY=RkVfVkFMVUFUSU9OKCdQQlBTJywnTUVBTicsJ0FOTlVBTCcsMjAwOSwwLCwsJycp&amp;WINDOW=FIRST_POPUP&amp;H","EIGHT=450&amp;WIDTH=450&amp;START_MAXIMIZED=FALSE&amp;VAR:CALENDAR=US&amp;VAR:SYMBOL=5497168&amp;VAR:INDEX=0"}</definedName>
    <definedName name="_120__FDSAUDITLINK__" localSheetId="8" hidden="1">{"fdsup://directions/FAT Viewer?action=UPDATE&amp;creator=factset&amp;DYN_ARGS=TRUE&amp;DOC_NAME=FAT:FQL_AUDITING_CLIENT_TEMPLATE.FAT&amp;display_string=Audit&amp;VAR:KEY=PSRIJSXIZC&amp;VAR:QUERY=RkVfVkFMVUFUSU9OKCdQQlBTJywnTUVBTicsJ0FOTlVBTCcsMjAwOSwwLCwsJycp&amp;WINDOW=FIRST_POPUP&amp;H","EIGHT=450&amp;WIDTH=450&amp;START_MAXIMIZED=FALSE&amp;VAR:CALENDAR=US&amp;VAR:SYMBOL=5497168&amp;VAR:INDEX=0"}</definedName>
    <definedName name="_120__FDSAUDITLINK__" localSheetId="2" hidden="1">{"fdsup://directions/FAT Viewer?action=UPDATE&amp;creator=factset&amp;DYN_ARGS=TRUE&amp;DOC_NAME=FAT:FQL_AUDITING_CLIENT_TEMPLATE.FAT&amp;display_string=Audit&amp;VAR:KEY=PSRIJSXIZC&amp;VAR:QUERY=RkVfVkFMVUFUSU9OKCdQQlBTJywnTUVBTicsJ0FOTlVBTCcsMjAwOSwwLCwsJycp&amp;WINDOW=FIRST_POPUP&amp;H","EIGHT=450&amp;WIDTH=450&amp;START_MAXIMIZED=FALSE&amp;VAR:CALENDAR=US&amp;VAR:SYMBOL=5497168&amp;VAR:INDEX=0"}</definedName>
    <definedName name="_120__FDSAUDITLINK__" hidden="1">{"fdsup://directions/FAT Viewer?action=UPDATE&amp;creator=factset&amp;DYN_ARGS=TRUE&amp;DOC_NAME=FAT:FQL_AUDITING_CLIENT_TEMPLATE.FAT&amp;display_string=Audit&amp;VAR:KEY=PSRIJSXIZC&amp;VAR:QUERY=RkVfVkFMVUFUSU9OKCdQQlBTJywnTUVBTicsJ0FOTlVBTCcsMjAwOSwwLCwsJycp&amp;WINDOW=FIRST_POPUP&amp;H","EIGHT=450&amp;WIDTH=450&amp;START_MAXIMIZED=FALSE&amp;VAR:CALENDAR=US&amp;VAR:SYMBOL=5497168&amp;VAR:INDEX=0"}</definedName>
    <definedName name="_1200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201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202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203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204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205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206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207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208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209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21__FDSAUDITLINK__" localSheetId="6" hidden="1">{"fdsup://directions/FAT Viewer?action=UPDATE&amp;creator=factset&amp;DYN_ARGS=TRUE&amp;DOC_NAME=FAT:FQL_AUDITING_CLIENT_TEMPLATE.FAT&amp;display_string=Audit&amp;VAR:KEY=RCNCLSNQFI&amp;VAR:QUERY=RkVfVkFMVUFUSU9OKCdQQlBTJywnTUVBTicsJ0FOTlVBTCcsMjAxMiwwLCwsJycp&amp;WINDOW=FIRST_POPUP&amp;H","EIGHT=450&amp;WIDTH=450&amp;START_MAXIMIZED=FALSE&amp;VAR:CALENDAR=US&amp;VAR:INDEX=0"}</definedName>
    <definedName name="_121__FDSAUDITLINK__" localSheetId="8" hidden="1">{"fdsup://directions/FAT Viewer?action=UPDATE&amp;creator=factset&amp;DYN_ARGS=TRUE&amp;DOC_NAME=FAT:FQL_AUDITING_CLIENT_TEMPLATE.FAT&amp;display_string=Audit&amp;VAR:KEY=RCNCLSNQFI&amp;VAR:QUERY=RkVfVkFMVUFUSU9OKCdQQlBTJywnTUVBTicsJ0FOTlVBTCcsMjAxMiwwLCwsJycp&amp;WINDOW=FIRST_POPUP&amp;H","EIGHT=450&amp;WIDTH=450&amp;START_MAXIMIZED=FALSE&amp;VAR:CALENDAR=US&amp;VAR:INDEX=0"}</definedName>
    <definedName name="_121__FDSAUDITLINK__" localSheetId="2" hidden="1">{"fdsup://directions/FAT Viewer?action=UPDATE&amp;creator=factset&amp;DYN_ARGS=TRUE&amp;DOC_NAME=FAT:FQL_AUDITING_CLIENT_TEMPLATE.FAT&amp;display_string=Audit&amp;VAR:KEY=RCNCLSNQFI&amp;VAR:QUERY=RkVfVkFMVUFUSU9OKCdQQlBTJywnTUVBTicsJ0FOTlVBTCcsMjAxMiwwLCwsJycp&amp;WINDOW=FIRST_POPUP&amp;H","EIGHT=450&amp;WIDTH=450&amp;START_MAXIMIZED=FALSE&amp;VAR:CALENDAR=US&amp;VAR:INDEX=0"}</definedName>
    <definedName name="_121__FDSAUDITLINK__" hidden="1">{"fdsup://directions/FAT Viewer?action=UPDATE&amp;creator=factset&amp;DYN_ARGS=TRUE&amp;DOC_NAME=FAT:FQL_AUDITING_CLIENT_TEMPLATE.FAT&amp;display_string=Audit&amp;VAR:KEY=RCNCLSNQFI&amp;VAR:QUERY=RkVfVkFMVUFUSU9OKCdQQlBTJywnTUVBTicsJ0FOTlVBTCcsMjAxMiwwLCwsJycp&amp;WINDOW=FIRST_POPUP&amp;H","EIGHT=450&amp;WIDTH=450&amp;START_MAXIMIZED=FALSE&amp;VAR:CALENDAR=US&amp;VAR:INDEX=0"}</definedName>
    <definedName name="_1210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211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212__FDSAUDITLINK__" hidden="1">{"fdsup://directions/FAT Viewer?action=UPDATE&amp;creator=factset&amp;DYN_ARGS=TRUE&amp;DOC_NAME=FAT:FQL_AUDITING_CLIENT_TEMPLATE.FAT&amp;display_string=Audit&amp;VAR:KEY=MZMZIRGRQD&amp;VAR:QUERY=RkZfREVCVChBTk4sMjAwOSk=&amp;WINDOW=FIRST_POPUP&amp;HEIGHT=450&amp;WIDTH=450&amp;START_MAXIMIZED=FALS","E&amp;VAR:CALENDAR=US&amp;VAR:SYMBOL=CMLP&amp;VAR:INDEX=0"}</definedName>
    <definedName name="_1213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214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215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216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217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218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219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22__FDSAUDITLINK__" localSheetId="6" hidden="1">{"fdsup://directions/FAT Viewer?action=UPDATE&amp;creator=factset&amp;DYN_ARGS=TRUE&amp;DOC_NAME=FAT:FQL_AUDITING_CLIENT_TEMPLATE.FAT&amp;display_string=Audit&amp;VAR:KEY=ZUXAFKPSPW&amp;VAR:QUERY=RkVfVkFMVUFUSU9OKCdQQlBTJywnTUVBTicsJ0FOTlVBTCcsMjAxMSwwLCwsJycp&amp;WINDOW=FIRST_POPUP&amp;H","EIGHT=450&amp;WIDTH=450&amp;START_MAXIMIZED=FALSE&amp;VAR:CALENDAR=US&amp;VAR:INDEX=0"}</definedName>
    <definedName name="_122__FDSAUDITLINK__" localSheetId="8" hidden="1">{"fdsup://directions/FAT Viewer?action=UPDATE&amp;creator=factset&amp;DYN_ARGS=TRUE&amp;DOC_NAME=FAT:FQL_AUDITING_CLIENT_TEMPLATE.FAT&amp;display_string=Audit&amp;VAR:KEY=ZUXAFKPSPW&amp;VAR:QUERY=RkVfVkFMVUFUSU9OKCdQQlBTJywnTUVBTicsJ0FOTlVBTCcsMjAxMSwwLCwsJycp&amp;WINDOW=FIRST_POPUP&amp;H","EIGHT=450&amp;WIDTH=450&amp;START_MAXIMIZED=FALSE&amp;VAR:CALENDAR=US&amp;VAR:INDEX=0"}</definedName>
    <definedName name="_122__FDSAUDITLINK__" localSheetId="2" hidden="1">{"fdsup://directions/FAT Viewer?action=UPDATE&amp;creator=factset&amp;DYN_ARGS=TRUE&amp;DOC_NAME=FAT:FQL_AUDITING_CLIENT_TEMPLATE.FAT&amp;display_string=Audit&amp;VAR:KEY=ZUXAFKPSPW&amp;VAR:QUERY=RkVfVkFMVUFUSU9OKCdQQlBTJywnTUVBTicsJ0FOTlVBTCcsMjAxMSwwLCwsJycp&amp;WINDOW=FIRST_POPUP&amp;H","EIGHT=450&amp;WIDTH=450&amp;START_MAXIMIZED=FALSE&amp;VAR:CALENDAR=US&amp;VAR:INDEX=0"}</definedName>
    <definedName name="_122__FDSAUDITLINK__" hidden="1">{"fdsup://directions/FAT Viewer?action=UPDATE&amp;creator=factset&amp;DYN_ARGS=TRUE&amp;DOC_NAME=FAT:FQL_AUDITING_CLIENT_TEMPLATE.FAT&amp;display_string=Audit&amp;VAR:KEY=ZUXAFKPSPW&amp;VAR:QUERY=RkVfVkFMVUFUSU9OKCdQQlBTJywnTUVBTicsJ0FOTlVBTCcsMjAxMSwwLCwsJycp&amp;WINDOW=FIRST_POPUP&amp;H","EIGHT=450&amp;WIDTH=450&amp;START_MAXIMIZED=FALSE&amp;VAR:CALENDAR=US&amp;VAR:INDEX=0"}</definedName>
    <definedName name="_1220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221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222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223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224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225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226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227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228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229__FDSAUDITLINK__" hidden="1">{"fdsup://directions/FAT Viewer?action=UPDATE&amp;creator=factset&amp;DYN_ARGS=TRUE&amp;DOC_NAME=FAT:FQL_AUDITING_CLIENT_TEMPLATE.FAT&amp;display_string=Audit&amp;VAR:KEY=MZMZIRGRQD&amp;VAR:QUERY=RkZfREVCVChBTk4sMjAwOSk=&amp;WINDOW=FIRST_POPUP&amp;HEIGHT=450&amp;WIDTH=450&amp;START_MAXIMIZED=FALS","E&amp;VAR:CALENDAR=US&amp;VAR:SYMBOL=CMLP&amp;VAR:INDEX=0"}</definedName>
    <definedName name="_123__FDSAUDITLINK__" localSheetId="6" hidden="1">{"fdsup://directions/FAT Viewer?action=UPDATE&amp;creator=factset&amp;DYN_ARGS=TRUE&amp;DOC_NAME=FAT:FQL_AUDITING_CLIENT_TEMPLATE.FAT&amp;display_string=Audit&amp;VAR:KEY=NUZSVWFEZC&amp;VAR:QUERY=RkVfVkFMVUFUSU9OKCdQQlBTJywnTUVBTicsJ0FOTlVBTCcsMjAxMCwwLCwsJycp&amp;WINDOW=FIRST_POPUP&amp;H","EIGHT=450&amp;WIDTH=450&amp;START_MAXIMIZED=FALSE&amp;VAR:CALENDAR=US&amp;VAR:INDEX=0"}</definedName>
    <definedName name="_123__FDSAUDITLINK__" localSheetId="8" hidden="1">{"fdsup://directions/FAT Viewer?action=UPDATE&amp;creator=factset&amp;DYN_ARGS=TRUE&amp;DOC_NAME=FAT:FQL_AUDITING_CLIENT_TEMPLATE.FAT&amp;display_string=Audit&amp;VAR:KEY=NUZSVWFEZC&amp;VAR:QUERY=RkVfVkFMVUFUSU9OKCdQQlBTJywnTUVBTicsJ0FOTlVBTCcsMjAxMCwwLCwsJycp&amp;WINDOW=FIRST_POPUP&amp;H","EIGHT=450&amp;WIDTH=450&amp;START_MAXIMIZED=FALSE&amp;VAR:CALENDAR=US&amp;VAR:INDEX=0"}</definedName>
    <definedName name="_123__FDSAUDITLINK__" localSheetId="2" hidden="1">{"fdsup://directions/FAT Viewer?action=UPDATE&amp;creator=factset&amp;DYN_ARGS=TRUE&amp;DOC_NAME=FAT:FQL_AUDITING_CLIENT_TEMPLATE.FAT&amp;display_string=Audit&amp;VAR:KEY=NUZSVWFEZC&amp;VAR:QUERY=RkVfVkFMVUFUSU9OKCdQQlBTJywnTUVBTicsJ0FOTlVBTCcsMjAxMCwwLCwsJycp&amp;WINDOW=FIRST_POPUP&amp;H","EIGHT=450&amp;WIDTH=450&amp;START_MAXIMIZED=FALSE&amp;VAR:CALENDAR=US&amp;VAR:INDEX=0"}</definedName>
    <definedName name="_123__FDSAUDITLINK__" hidden="1">{"fdsup://directions/FAT Viewer?action=UPDATE&amp;creator=factset&amp;DYN_ARGS=TRUE&amp;DOC_NAME=FAT:FQL_AUDITING_CLIENT_TEMPLATE.FAT&amp;display_string=Audit&amp;VAR:KEY=NUZSVWFEZC&amp;VAR:QUERY=RkVfVkFMVUFUSU9OKCdQQlBTJywnTUVBTicsJ0FOTlVBTCcsMjAxMCwwLCwsJycp&amp;WINDOW=FIRST_POPUP&amp;H","EIGHT=450&amp;WIDTH=450&amp;START_MAXIMIZED=FALSE&amp;VAR:CALENDAR=US&amp;VAR:INDEX=0"}</definedName>
    <definedName name="_1230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231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232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233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234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235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236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237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238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239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24__FDSAUDITLINK__" localSheetId="6" hidden="1">{"fdsup://directions/FAT Viewer?action=UPDATE&amp;creator=factset&amp;DYN_ARGS=TRUE&amp;DOC_NAME=FAT:FQL_AUDITING_CLIENT_TEMPLATE.FAT&amp;display_string=Audit&amp;VAR:KEY=NAHWJCVMXQ&amp;VAR:QUERY=RkVfVkFMVUFUSU9OKCdQQlBTJywnTUVBTicsJ0FOTlVBTCcsMjAwOSwwLCwsJycp&amp;WINDOW=FIRST_POPUP&amp;H","EIGHT=450&amp;WIDTH=450&amp;START_MAXIMIZED=FALSE&amp;VAR:CALENDAR=US&amp;VAR:INDEX=0"}</definedName>
    <definedName name="_124__FDSAUDITLINK__" localSheetId="8" hidden="1">{"fdsup://directions/FAT Viewer?action=UPDATE&amp;creator=factset&amp;DYN_ARGS=TRUE&amp;DOC_NAME=FAT:FQL_AUDITING_CLIENT_TEMPLATE.FAT&amp;display_string=Audit&amp;VAR:KEY=NAHWJCVMXQ&amp;VAR:QUERY=RkVfVkFMVUFUSU9OKCdQQlBTJywnTUVBTicsJ0FOTlVBTCcsMjAwOSwwLCwsJycp&amp;WINDOW=FIRST_POPUP&amp;H","EIGHT=450&amp;WIDTH=450&amp;START_MAXIMIZED=FALSE&amp;VAR:CALENDAR=US&amp;VAR:INDEX=0"}</definedName>
    <definedName name="_124__FDSAUDITLINK__" localSheetId="2" hidden="1">{"fdsup://directions/FAT Viewer?action=UPDATE&amp;creator=factset&amp;DYN_ARGS=TRUE&amp;DOC_NAME=FAT:FQL_AUDITING_CLIENT_TEMPLATE.FAT&amp;display_string=Audit&amp;VAR:KEY=NAHWJCVMXQ&amp;VAR:QUERY=RkVfVkFMVUFUSU9OKCdQQlBTJywnTUVBTicsJ0FOTlVBTCcsMjAwOSwwLCwsJycp&amp;WINDOW=FIRST_POPUP&amp;H","EIGHT=450&amp;WIDTH=450&amp;START_MAXIMIZED=FALSE&amp;VAR:CALENDAR=US&amp;VAR:INDEX=0"}</definedName>
    <definedName name="_124__FDSAUDITLINK__" hidden="1">{"fdsup://directions/FAT Viewer?action=UPDATE&amp;creator=factset&amp;DYN_ARGS=TRUE&amp;DOC_NAME=FAT:FQL_AUDITING_CLIENT_TEMPLATE.FAT&amp;display_string=Audit&amp;VAR:KEY=NAHWJCVMXQ&amp;VAR:QUERY=RkVfVkFMVUFUSU9OKCdQQlBTJywnTUVBTicsJ0FOTlVBTCcsMjAwOSwwLCwsJycp&amp;WINDOW=FIRST_POPUP&amp;H","EIGHT=450&amp;WIDTH=450&amp;START_MAXIMIZED=FALSE&amp;VAR:CALENDAR=US&amp;VAR:INDEX=0"}</definedName>
    <definedName name="_1240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241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242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243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244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245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246__FDSAUDITLINK__" hidden="1">{"fdsup://directions/FAT Viewer?action=UPDATE&amp;creator=factset&amp;DYN_ARGS=TRUE&amp;DOC_NAME=FAT:FQL_AUDITING_CLIENT_TEMPLATE.FAT&amp;display_string=Audit&amp;VAR:KEY=MZMZIRGRQD&amp;VAR:QUERY=RkZfREVCVChBTk4sMjAwOSk=&amp;WINDOW=FIRST_POPUP&amp;HEIGHT=450&amp;WIDTH=450&amp;START_MAXIMIZED=FALS","E&amp;VAR:CALENDAR=US&amp;VAR:SYMBOL=CMLP&amp;VAR:INDEX=0"}</definedName>
    <definedName name="_1247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248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249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25__FDSAUDITLINK__" localSheetId="6" hidden="1">{"fdsup://directions/FAT Viewer?action=UPDATE&amp;creator=factset&amp;DYN_ARGS=TRUE&amp;DOC_NAME=FAT:FQL_AUDITING_CLIENT_TEMPLATE.FAT&amp;display_string=Audit&amp;VAR:KEY=HYJWBIFEPE&amp;VAR:QUERY=RkVfVkFMVUFUSU9OKCdQQlBTJywnTUVBTicsJ0FOTlVBTCcsMjAxMiwwLCwsJycp&amp;WINDOW=FIRST_POPUP&amp;H","EIGHT=450&amp;WIDTH=450&amp;START_MAXIMIZED=FALSE&amp;VAR:CALENDAR=US&amp;VAR:SYMBOL=5497168&amp;VAR:INDEX=0"}</definedName>
    <definedName name="_125__FDSAUDITLINK__" localSheetId="8" hidden="1">{"fdsup://directions/FAT Viewer?action=UPDATE&amp;creator=factset&amp;DYN_ARGS=TRUE&amp;DOC_NAME=FAT:FQL_AUDITING_CLIENT_TEMPLATE.FAT&amp;display_string=Audit&amp;VAR:KEY=HYJWBIFEPE&amp;VAR:QUERY=RkVfVkFMVUFUSU9OKCdQQlBTJywnTUVBTicsJ0FOTlVBTCcsMjAxMiwwLCwsJycp&amp;WINDOW=FIRST_POPUP&amp;H","EIGHT=450&amp;WIDTH=450&amp;START_MAXIMIZED=FALSE&amp;VAR:CALENDAR=US&amp;VAR:SYMBOL=5497168&amp;VAR:INDEX=0"}</definedName>
    <definedName name="_125__FDSAUDITLINK__" localSheetId="2" hidden="1">{"fdsup://directions/FAT Viewer?action=UPDATE&amp;creator=factset&amp;DYN_ARGS=TRUE&amp;DOC_NAME=FAT:FQL_AUDITING_CLIENT_TEMPLATE.FAT&amp;display_string=Audit&amp;VAR:KEY=HYJWBIFEPE&amp;VAR:QUERY=RkVfVkFMVUFUSU9OKCdQQlBTJywnTUVBTicsJ0FOTlVBTCcsMjAxMiwwLCwsJycp&amp;WINDOW=FIRST_POPUP&amp;H","EIGHT=450&amp;WIDTH=450&amp;START_MAXIMIZED=FALSE&amp;VAR:CALENDAR=US&amp;VAR:SYMBOL=5497168&amp;VAR:INDEX=0"}</definedName>
    <definedName name="_125__FDSAUDITLINK__" hidden="1">{"fdsup://directions/FAT Viewer?action=UPDATE&amp;creator=factset&amp;DYN_ARGS=TRUE&amp;DOC_NAME=FAT:FQL_AUDITING_CLIENT_TEMPLATE.FAT&amp;display_string=Audit&amp;VAR:KEY=HYJWBIFEPE&amp;VAR:QUERY=RkVfVkFMVUFUSU9OKCdQQlBTJywnTUVBTicsJ0FOTlVBTCcsMjAxMiwwLCwsJycp&amp;WINDOW=FIRST_POPUP&amp;H","EIGHT=450&amp;WIDTH=450&amp;START_MAXIMIZED=FALSE&amp;VAR:CALENDAR=US&amp;VAR:SYMBOL=5497168&amp;VAR:INDEX=0"}</definedName>
    <definedName name="_1250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251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252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253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254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255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256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257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258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259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26__FDSAUDITLINK__" localSheetId="6" hidden="1">{"fdsup://directions/FAT Viewer?action=UPDATE&amp;creator=factset&amp;DYN_ARGS=TRUE&amp;DOC_NAME=FAT:FQL_AUDITING_CLIENT_TEMPLATE.FAT&amp;display_string=Audit&amp;VAR:KEY=HYJWBIFEPE&amp;VAR:QUERY=RkVfVkFMVUFUSU9OKCdQQlBTJywnTUVBTicsJ0FOTlVBTCcsMjAxMiwwLCwsJycp&amp;WINDOW=FIRST_POPUP&amp;H","EIGHT=450&amp;WIDTH=450&amp;START_MAXIMIZED=FALSE&amp;VAR:CALENDAR=US&amp;VAR:SYMBOL=5497168&amp;VAR:INDEX=0"}</definedName>
    <definedName name="_126__FDSAUDITLINK__" localSheetId="8" hidden="1">{"fdsup://directions/FAT Viewer?action=UPDATE&amp;creator=factset&amp;DYN_ARGS=TRUE&amp;DOC_NAME=FAT:FQL_AUDITING_CLIENT_TEMPLATE.FAT&amp;display_string=Audit&amp;VAR:KEY=HYJWBIFEPE&amp;VAR:QUERY=RkVfVkFMVUFUSU9OKCdQQlBTJywnTUVBTicsJ0FOTlVBTCcsMjAxMiwwLCwsJycp&amp;WINDOW=FIRST_POPUP&amp;H","EIGHT=450&amp;WIDTH=450&amp;START_MAXIMIZED=FALSE&amp;VAR:CALENDAR=US&amp;VAR:SYMBOL=5497168&amp;VAR:INDEX=0"}</definedName>
    <definedName name="_126__FDSAUDITLINK__" localSheetId="2" hidden="1">{"fdsup://directions/FAT Viewer?action=UPDATE&amp;creator=factset&amp;DYN_ARGS=TRUE&amp;DOC_NAME=FAT:FQL_AUDITING_CLIENT_TEMPLATE.FAT&amp;display_string=Audit&amp;VAR:KEY=HYJWBIFEPE&amp;VAR:QUERY=RkVfVkFMVUFUSU9OKCdQQlBTJywnTUVBTicsJ0FOTlVBTCcsMjAxMiwwLCwsJycp&amp;WINDOW=FIRST_POPUP&amp;H","EIGHT=450&amp;WIDTH=450&amp;START_MAXIMIZED=FALSE&amp;VAR:CALENDAR=US&amp;VAR:SYMBOL=5497168&amp;VAR:INDEX=0"}</definedName>
    <definedName name="_126__FDSAUDITLINK__" hidden="1">{"fdsup://directions/FAT Viewer?action=UPDATE&amp;creator=factset&amp;DYN_ARGS=TRUE&amp;DOC_NAME=FAT:FQL_AUDITING_CLIENT_TEMPLATE.FAT&amp;display_string=Audit&amp;VAR:KEY=HYJWBIFEPE&amp;VAR:QUERY=RkVfVkFMVUFUSU9OKCdQQlBTJywnTUVBTicsJ0FOTlVBTCcsMjAxMiwwLCwsJycp&amp;WINDOW=FIRST_POPUP&amp;H","EIGHT=450&amp;WIDTH=450&amp;START_MAXIMIZED=FALSE&amp;VAR:CALENDAR=US&amp;VAR:SYMBOL=5497168&amp;VAR:INDEX=0"}</definedName>
    <definedName name="_1260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261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262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263__FDSAUDITLINK__" hidden="1">{"fdsup://directions/FAT Viewer?action=UPDATE&amp;creator=factset&amp;DYN_ARGS=TRUE&amp;DOC_NAME=FAT:FQL_AUDITING_CLIENT_TEMPLATE.FAT&amp;display_string=Audit&amp;VAR:KEY=MZMZIRGRQD&amp;VAR:QUERY=RkZfREVCVChBTk4sMjAwOSk=&amp;WINDOW=FIRST_POPUP&amp;HEIGHT=450&amp;WIDTH=450&amp;START_MAXIMIZED=FALS","E&amp;VAR:CALENDAR=US&amp;VAR:SYMBOL=CMLP&amp;VAR:INDEX=0"}</definedName>
    <definedName name="_1264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265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266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267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268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269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27__FDSAUDITLINK__" localSheetId="6" hidden="1">{"fdsup://directions/FAT Viewer?action=UPDATE&amp;creator=factset&amp;DYN_ARGS=TRUE&amp;DOC_NAME=FAT:FQL_AUDITING_CLIENT_TEMPLATE.FAT&amp;display_string=Audit&amp;VAR:KEY=NQVWRUXWFO&amp;VAR:QUERY=RkVfVkFMVUFUSU9OKCdQQlBTJywnTUVBTicsJ0FOTlVBTCcsMjAxMSwwLCwsJycp&amp;WINDOW=FIRST_POPUP&amp;H","EIGHT=450&amp;WIDTH=450&amp;START_MAXIMIZED=FALSE&amp;VAR:CALENDAR=US&amp;VAR:SYMBOL=5497168&amp;VAR:INDEX=0"}</definedName>
    <definedName name="_127__FDSAUDITLINK__" localSheetId="8" hidden="1">{"fdsup://directions/FAT Viewer?action=UPDATE&amp;creator=factset&amp;DYN_ARGS=TRUE&amp;DOC_NAME=FAT:FQL_AUDITING_CLIENT_TEMPLATE.FAT&amp;display_string=Audit&amp;VAR:KEY=NQVWRUXWFO&amp;VAR:QUERY=RkVfVkFMVUFUSU9OKCdQQlBTJywnTUVBTicsJ0FOTlVBTCcsMjAxMSwwLCwsJycp&amp;WINDOW=FIRST_POPUP&amp;H","EIGHT=450&amp;WIDTH=450&amp;START_MAXIMIZED=FALSE&amp;VAR:CALENDAR=US&amp;VAR:SYMBOL=5497168&amp;VAR:INDEX=0"}</definedName>
    <definedName name="_127__FDSAUDITLINK__" localSheetId="2" hidden="1">{"fdsup://directions/FAT Viewer?action=UPDATE&amp;creator=factset&amp;DYN_ARGS=TRUE&amp;DOC_NAME=FAT:FQL_AUDITING_CLIENT_TEMPLATE.FAT&amp;display_string=Audit&amp;VAR:KEY=NQVWRUXWFO&amp;VAR:QUERY=RkVfVkFMVUFUSU9OKCdQQlBTJywnTUVBTicsJ0FOTlVBTCcsMjAxMSwwLCwsJycp&amp;WINDOW=FIRST_POPUP&amp;H","EIGHT=450&amp;WIDTH=450&amp;START_MAXIMIZED=FALSE&amp;VAR:CALENDAR=US&amp;VAR:SYMBOL=5497168&amp;VAR:INDEX=0"}</definedName>
    <definedName name="_127__FDSAUDITLINK__" hidden="1">{"fdsup://directions/FAT Viewer?action=UPDATE&amp;creator=factset&amp;DYN_ARGS=TRUE&amp;DOC_NAME=FAT:FQL_AUDITING_CLIENT_TEMPLATE.FAT&amp;display_string=Audit&amp;VAR:KEY=NQVWRUXWFO&amp;VAR:QUERY=RkVfVkFMVUFUSU9OKCdQQlBTJywnTUVBTicsJ0FOTlVBTCcsMjAxMSwwLCwsJycp&amp;WINDOW=FIRST_POPUP&amp;H","EIGHT=450&amp;WIDTH=450&amp;START_MAXIMIZED=FALSE&amp;VAR:CALENDAR=US&amp;VAR:SYMBOL=5497168&amp;VAR:INDEX=0"}</definedName>
    <definedName name="_1270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271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272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273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274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275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276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277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278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279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28__FDSAUDITLINK__" localSheetId="6" hidden="1">{"fdsup://directions/FAT Viewer?action=UPDATE&amp;creator=factset&amp;DYN_ARGS=TRUE&amp;DOC_NAME=FAT:FQL_AUDITING_CLIENT_TEMPLATE.FAT&amp;display_string=Audit&amp;VAR:KEY=NQVWRUXWFO&amp;VAR:QUERY=RkVfVkFMVUFUSU9OKCdQQlBTJywnTUVBTicsJ0FOTlVBTCcsMjAxMSwwLCwsJycp&amp;WINDOW=FIRST_POPUP&amp;H","EIGHT=450&amp;WIDTH=450&amp;START_MAXIMIZED=FALSE&amp;VAR:CALENDAR=US&amp;VAR:SYMBOL=5497168&amp;VAR:INDEX=0"}</definedName>
    <definedName name="_128__FDSAUDITLINK__" localSheetId="8" hidden="1">{"fdsup://directions/FAT Viewer?action=UPDATE&amp;creator=factset&amp;DYN_ARGS=TRUE&amp;DOC_NAME=FAT:FQL_AUDITING_CLIENT_TEMPLATE.FAT&amp;display_string=Audit&amp;VAR:KEY=NQVWRUXWFO&amp;VAR:QUERY=RkVfVkFMVUFUSU9OKCdQQlBTJywnTUVBTicsJ0FOTlVBTCcsMjAxMSwwLCwsJycp&amp;WINDOW=FIRST_POPUP&amp;H","EIGHT=450&amp;WIDTH=450&amp;START_MAXIMIZED=FALSE&amp;VAR:CALENDAR=US&amp;VAR:SYMBOL=5497168&amp;VAR:INDEX=0"}</definedName>
    <definedName name="_128__FDSAUDITLINK__" localSheetId="2" hidden="1">{"fdsup://directions/FAT Viewer?action=UPDATE&amp;creator=factset&amp;DYN_ARGS=TRUE&amp;DOC_NAME=FAT:FQL_AUDITING_CLIENT_TEMPLATE.FAT&amp;display_string=Audit&amp;VAR:KEY=NQVWRUXWFO&amp;VAR:QUERY=RkVfVkFMVUFUSU9OKCdQQlBTJywnTUVBTicsJ0FOTlVBTCcsMjAxMSwwLCwsJycp&amp;WINDOW=FIRST_POPUP&amp;H","EIGHT=450&amp;WIDTH=450&amp;START_MAXIMIZED=FALSE&amp;VAR:CALENDAR=US&amp;VAR:SYMBOL=5497168&amp;VAR:INDEX=0"}</definedName>
    <definedName name="_128__FDSAUDITLINK__" hidden="1">{"fdsup://directions/FAT Viewer?action=UPDATE&amp;creator=factset&amp;DYN_ARGS=TRUE&amp;DOC_NAME=FAT:FQL_AUDITING_CLIENT_TEMPLATE.FAT&amp;display_string=Audit&amp;VAR:KEY=NQVWRUXWFO&amp;VAR:QUERY=RkVfVkFMVUFUSU9OKCdQQlBTJywnTUVBTicsJ0FOTlVBTCcsMjAxMSwwLCwsJycp&amp;WINDOW=FIRST_POPUP&amp;H","EIGHT=450&amp;WIDTH=450&amp;START_MAXIMIZED=FALSE&amp;VAR:CALENDAR=US&amp;VAR:SYMBOL=5497168&amp;VAR:INDEX=0"}</definedName>
    <definedName name="_1280__FDSAUDITLINK__" hidden="1">{"fdsup://directions/FAT Viewer?action=UPDATE&amp;creator=factset&amp;DYN_ARGS=TRUE&amp;DOC_NAME=FAT:FQL_AUDITING_CLIENT_TEMPLATE.FAT&amp;display_string=Audit&amp;VAR:KEY=MZMZIRGRQD&amp;VAR:QUERY=RkZfREVCVChBTk4sMjAwOSk=&amp;WINDOW=FIRST_POPUP&amp;HEIGHT=450&amp;WIDTH=450&amp;START_MAXIMIZED=FALS","E&amp;VAR:CALENDAR=US&amp;VAR:SYMBOL=CMLP&amp;VAR:INDEX=0"}</definedName>
    <definedName name="_1281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282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283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284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285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286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287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288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289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29__FDSAUDITLINK__" localSheetId="6" hidden="1">{"fdsup://directions/FAT Viewer?action=UPDATE&amp;creator=factset&amp;DYN_ARGS=TRUE&amp;DOC_NAME=FAT:FQL_AUDITING_CLIENT_TEMPLATE.FAT&amp;display_string=Audit&amp;VAR:KEY=DGPMDIBWVA&amp;VAR:QUERY=RkVfVkFMVUFUSU9OKCdQQlBTJywnTUVBTicsJ0FOTlVBTCcsMjAxMCwwLCwsJycp&amp;WINDOW=FIRST_POPUP&amp;H","EIGHT=450&amp;WIDTH=450&amp;START_MAXIMIZED=FALSE&amp;VAR:CALENDAR=US&amp;VAR:SYMBOL=5497168&amp;VAR:INDEX=0"}</definedName>
    <definedName name="_129__FDSAUDITLINK__" localSheetId="8" hidden="1">{"fdsup://directions/FAT Viewer?action=UPDATE&amp;creator=factset&amp;DYN_ARGS=TRUE&amp;DOC_NAME=FAT:FQL_AUDITING_CLIENT_TEMPLATE.FAT&amp;display_string=Audit&amp;VAR:KEY=DGPMDIBWVA&amp;VAR:QUERY=RkVfVkFMVUFUSU9OKCdQQlBTJywnTUVBTicsJ0FOTlVBTCcsMjAxMCwwLCwsJycp&amp;WINDOW=FIRST_POPUP&amp;H","EIGHT=450&amp;WIDTH=450&amp;START_MAXIMIZED=FALSE&amp;VAR:CALENDAR=US&amp;VAR:SYMBOL=5497168&amp;VAR:INDEX=0"}</definedName>
    <definedName name="_129__FDSAUDITLINK__" localSheetId="2" hidden="1">{"fdsup://directions/FAT Viewer?action=UPDATE&amp;creator=factset&amp;DYN_ARGS=TRUE&amp;DOC_NAME=FAT:FQL_AUDITING_CLIENT_TEMPLATE.FAT&amp;display_string=Audit&amp;VAR:KEY=DGPMDIBWVA&amp;VAR:QUERY=RkVfVkFMVUFUSU9OKCdQQlBTJywnTUVBTicsJ0FOTlVBTCcsMjAxMCwwLCwsJycp&amp;WINDOW=FIRST_POPUP&amp;H","EIGHT=450&amp;WIDTH=450&amp;START_MAXIMIZED=FALSE&amp;VAR:CALENDAR=US&amp;VAR:SYMBOL=5497168&amp;VAR:INDEX=0"}</definedName>
    <definedName name="_129__FDSAUDITLINK__" hidden="1">{"fdsup://directions/FAT Viewer?action=UPDATE&amp;creator=factset&amp;DYN_ARGS=TRUE&amp;DOC_NAME=FAT:FQL_AUDITING_CLIENT_TEMPLATE.FAT&amp;display_string=Audit&amp;VAR:KEY=DGPMDIBWVA&amp;VAR:QUERY=RkVfVkFMVUFUSU9OKCdQQlBTJywnTUVBTicsJ0FOTlVBTCcsMjAxMCwwLCwsJycp&amp;WINDOW=FIRST_POPUP&amp;H","EIGHT=450&amp;WIDTH=450&amp;START_MAXIMIZED=FALSE&amp;VAR:CALENDAR=US&amp;VAR:SYMBOL=5497168&amp;VAR:INDEX=0"}</definedName>
    <definedName name="_1290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291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292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293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294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295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296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297__FDSAUDITLINK__" hidden="1">{"fdsup://directions/FAT Viewer?action=UPDATE&amp;creator=factset&amp;DYN_ARGS=TRUE&amp;DOC_NAME=FAT:FQL_AUDITING_CLIENT_TEMPLATE.FAT&amp;display_string=Audit&amp;VAR:KEY=MZMZIRGRQD&amp;VAR:QUERY=RkZfREVCVChBTk4sMjAwOSk=&amp;WINDOW=FIRST_POPUP&amp;HEIGHT=450&amp;WIDTH=450&amp;START_MAXIMIZED=FALS","E&amp;VAR:CALENDAR=US&amp;VAR:SYMBOL=CMLP&amp;VAR:INDEX=0"}</definedName>
    <definedName name="_1298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299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3__FDSAUDITLINK__" localSheetId="6" hidden="1">{"fdsup://directions/FAT Viewer?action=UPDATE&amp;creator=factset&amp;DYN_ARGS=TRUE&amp;DOC_NAME=FAT:FQL_AUDITING_CLIENT_TEMPLATE.FAT&amp;display_string=Audit&amp;VAR:KEY=BCBUFQRWTM&amp;VAR:QUERY=RkVfVkFMVUFUSU9OKCdQQlBTJywnTUVBTicsJ0FOTlVBTCcsMjAxMSwwLCwsJycp&amp;WINDOW=FIRST_POPUP&amp;H","EIGHT=450&amp;WIDTH=450&amp;START_MAXIMIZED=FALSE&amp;VAR:CALENDAR=FIVEDAY&amp;VAR:SYMBOL=615143&amp;VAR:INDEX=0"}</definedName>
    <definedName name="_13__FDSAUDITLINK__" localSheetId="8" hidden="1">{"fdsup://directions/FAT Viewer?action=UPDATE&amp;creator=factset&amp;DYN_ARGS=TRUE&amp;DOC_NAME=FAT:FQL_AUDITING_CLIENT_TEMPLATE.FAT&amp;display_string=Audit&amp;VAR:KEY=BCBUFQRWTM&amp;VAR:QUERY=RkVfVkFMVUFUSU9OKCdQQlBTJywnTUVBTicsJ0FOTlVBTCcsMjAxMSwwLCwsJycp&amp;WINDOW=FIRST_POPUP&amp;H","EIGHT=450&amp;WIDTH=450&amp;START_MAXIMIZED=FALSE&amp;VAR:CALENDAR=FIVEDAY&amp;VAR:SYMBOL=615143&amp;VAR:INDEX=0"}</definedName>
    <definedName name="_13__FDSAUDITLINK__" localSheetId="2" hidden="1">{"fdsup://directions/FAT Viewer?action=UPDATE&amp;creator=factset&amp;DYN_ARGS=TRUE&amp;DOC_NAME=FAT:FQL_AUDITING_CLIENT_TEMPLATE.FAT&amp;display_string=Audit&amp;VAR:KEY=BCBUFQRWTM&amp;VAR:QUERY=RkVfVkFMVUFUSU9OKCdQQlBTJywnTUVBTicsJ0FOTlVBTCcsMjAxMSwwLCwsJycp&amp;WINDOW=FIRST_POPUP&amp;H","EIGHT=450&amp;WIDTH=450&amp;START_MAXIMIZED=FALSE&amp;VAR:CALENDAR=FIVEDAY&amp;VAR:SYMBOL=615143&amp;VAR:INDEX=0"}</definedName>
    <definedName name="_13__FDSAUDITLINK__" hidden="1">{"fdsup://directions/FAT Viewer?action=UPDATE&amp;creator=factset&amp;DYN_ARGS=TRUE&amp;DOC_NAME=FAT:FQL_AUDITING_CLIENT_TEMPLATE.FAT&amp;display_string=Audit&amp;VAR:KEY=BCBUFQRWTM&amp;VAR:QUERY=RkVfVkFMVUFUSU9OKCdQQlBTJywnTUVBTicsJ0FOTlVBTCcsMjAxMSwwLCwsJycp&amp;WINDOW=FIRST_POPUP&amp;H","EIGHT=450&amp;WIDTH=450&amp;START_MAXIMIZED=FALSE&amp;VAR:CALENDAR=FIVEDAY&amp;VAR:SYMBOL=615143&amp;VAR:INDEX=0"}</definedName>
    <definedName name="_130__FDSAUDITLINK__" localSheetId="6" hidden="1">{"fdsup://directions/FAT Viewer?action=UPDATE&amp;creator=factset&amp;DYN_ARGS=TRUE&amp;DOC_NAME=FAT:FQL_AUDITING_CLIENT_TEMPLATE.FAT&amp;display_string=Audit&amp;VAR:KEY=DGPMDIBWVA&amp;VAR:QUERY=RkVfVkFMVUFUSU9OKCdQQlBTJywnTUVBTicsJ0FOTlVBTCcsMjAxMCwwLCwsJycp&amp;WINDOW=FIRST_POPUP&amp;H","EIGHT=450&amp;WIDTH=450&amp;START_MAXIMIZED=FALSE&amp;VAR:CALENDAR=US&amp;VAR:SYMBOL=5497168&amp;VAR:INDEX=0"}</definedName>
    <definedName name="_130__FDSAUDITLINK__" localSheetId="8" hidden="1">{"fdsup://directions/FAT Viewer?action=UPDATE&amp;creator=factset&amp;DYN_ARGS=TRUE&amp;DOC_NAME=FAT:FQL_AUDITING_CLIENT_TEMPLATE.FAT&amp;display_string=Audit&amp;VAR:KEY=DGPMDIBWVA&amp;VAR:QUERY=RkVfVkFMVUFUSU9OKCdQQlBTJywnTUVBTicsJ0FOTlVBTCcsMjAxMCwwLCwsJycp&amp;WINDOW=FIRST_POPUP&amp;H","EIGHT=450&amp;WIDTH=450&amp;START_MAXIMIZED=FALSE&amp;VAR:CALENDAR=US&amp;VAR:SYMBOL=5497168&amp;VAR:INDEX=0"}</definedName>
    <definedName name="_130__FDSAUDITLINK__" localSheetId="2" hidden="1">{"fdsup://directions/FAT Viewer?action=UPDATE&amp;creator=factset&amp;DYN_ARGS=TRUE&amp;DOC_NAME=FAT:FQL_AUDITING_CLIENT_TEMPLATE.FAT&amp;display_string=Audit&amp;VAR:KEY=DGPMDIBWVA&amp;VAR:QUERY=RkVfVkFMVUFUSU9OKCdQQlBTJywnTUVBTicsJ0FOTlVBTCcsMjAxMCwwLCwsJycp&amp;WINDOW=FIRST_POPUP&amp;H","EIGHT=450&amp;WIDTH=450&amp;START_MAXIMIZED=FALSE&amp;VAR:CALENDAR=US&amp;VAR:SYMBOL=5497168&amp;VAR:INDEX=0"}</definedName>
    <definedName name="_130__FDSAUDITLINK__" hidden="1">{"fdsup://directions/FAT Viewer?action=UPDATE&amp;creator=factset&amp;DYN_ARGS=TRUE&amp;DOC_NAME=FAT:FQL_AUDITING_CLIENT_TEMPLATE.FAT&amp;display_string=Audit&amp;VAR:KEY=DGPMDIBWVA&amp;VAR:QUERY=RkVfVkFMVUFUSU9OKCdQQlBTJywnTUVBTicsJ0FOTlVBTCcsMjAxMCwwLCwsJycp&amp;WINDOW=FIRST_POPUP&amp;H","EIGHT=450&amp;WIDTH=450&amp;START_MAXIMIZED=FALSE&amp;VAR:CALENDAR=US&amp;VAR:SYMBOL=5497168&amp;VAR:INDEX=0"}</definedName>
    <definedName name="_1300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301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302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303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304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305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306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307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308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309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31__FDSAUDITLINK__" localSheetId="6" hidden="1">{"fdsup://directions/FAT Viewer?action=UPDATE&amp;creator=factset&amp;DYN_ARGS=TRUE&amp;DOC_NAME=FAT:FQL_AUDITING_CLIENT_TEMPLATE.FAT&amp;display_string=Audit&amp;VAR:KEY=PSRIJSXIZC&amp;VAR:QUERY=RkVfVkFMVUFUSU9OKCdQQlBTJywnTUVBTicsJ0FOTlVBTCcsMjAwOSwwLCwsJycp&amp;WINDOW=FIRST_POPUP&amp;H","EIGHT=450&amp;WIDTH=450&amp;START_MAXIMIZED=FALSE&amp;VAR:CALENDAR=US&amp;VAR:SYMBOL=5497168&amp;VAR:INDEX=0"}</definedName>
    <definedName name="_131__FDSAUDITLINK__" localSheetId="8" hidden="1">{"fdsup://directions/FAT Viewer?action=UPDATE&amp;creator=factset&amp;DYN_ARGS=TRUE&amp;DOC_NAME=FAT:FQL_AUDITING_CLIENT_TEMPLATE.FAT&amp;display_string=Audit&amp;VAR:KEY=PSRIJSXIZC&amp;VAR:QUERY=RkVfVkFMVUFUSU9OKCdQQlBTJywnTUVBTicsJ0FOTlVBTCcsMjAwOSwwLCwsJycp&amp;WINDOW=FIRST_POPUP&amp;H","EIGHT=450&amp;WIDTH=450&amp;START_MAXIMIZED=FALSE&amp;VAR:CALENDAR=US&amp;VAR:SYMBOL=5497168&amp;VAR:INDEX=0"}</definedName>
    <definedName name="_131__FDSAUDITLINK__" localSheetId="2" hidden="1">{"fdsup://directions/FAT Viewer?action=UPDATE&amp;creator=factset&amp;DYN_ARGS=TRUE&amp;DOC_NAME=FAT:FQL_AUDITING_CLIENT_TEMPLATE.FAT&amp;display_string=Audit&amp;VAR:KEY=PSRIJSXIZC&amp;VAR:QUERY=RkVfVkFMVUFUSU9OKCdQQlBTJywnTUVBTicsJ0FOTlVBTCcsMjAwOSwwLCwsJycp&amp;WINDOW=FIRST_POPUP&amp;H","EIGHT=450&amp;WIDTH=450&amp;START_MAXIMIZED=FALSE&amp;VAR:CALENDAR=US&amp;VAR:SYMBOL=5497168&amp;VAR:INDEX=0"}</definedName>
    <definedName name="_131__FDSAUDITLINK__" hidden="1">{"fdsup://directions/FAT Viewer?action=UPDATE&amp;creator=factset&amp;DYN_ARGS=TRUE&amp;DOC_NAME=FAT:FQL_AUDITING_CLIENT_TEMPLATE.FAT&amp;display_string=Audit&amp;VAR:KEY=PSRIJSXIZC&amp;VAR:QUERY=RkVfVkFMVUFUSU9OKCdQQlBTJywnTUVBTicsJ0FOTlVBTCcsMjAwOSwwLCwsJycp&amp;WINDOW=FIRST_POPUP&amp;H","EIGHT=450&amp;WIDTH=450&amp;START_MAXIMIZED=FALSE&amp;VAR:CALENDAR=US&amp;VAR:SYMBOL=5497168&amp;VAR:INDEX=0"}</definedName>
    <definedName name="_1310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311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312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313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314__FDSAUDITLINK__" hidden="1">{"fdsup://directions/FAT Viewer?action=UPDATE&amp;creator=factset&amp;DYN_ARGS=TRUE&amp;DOC_NAME=FAT:FQL_AUDITING_CLIENT_TEMPLATE.FAT&amp;display_string=Audit&amp;VAR:KEY=MZMZIRGRQD&amp;VAR:QUERY=RkZfREVCVChBTk4sMjAwOSk=&amp;WINDOW=FIRST_POPUP&amp;HEIGHT=450&amp;WIDTH=450&amp;START_MAXIMIZED=FALS","E&amp;VAR:CALENDAR=US&amp;VAR:SYMBOL=CMLP&amp;VAR:INDEX=0"}</definedName>
    <definedName name="_1315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316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317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318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319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32__FDSAUDITLINK__" localSheetId="6" hidden="1">{"fdsup://directions/FAT Viewer?action=UPDATE&amp;creator=factset&amp;DYN_ARGS=TRUE&amp;DOC_NAME=FAT:FQL_AUDITING_CLIENT_TEMPLATE.FAT&amp;display_string=Audit&amp;VAR:KEY=PSRIJSXIZC&amp;VAR:QUERY=RkVfVkFMVUFUSU9OKCdQQlBTJywnTUVBTicsJ0FOTlVBTCcsMjAwOSwwLCwsJycp&amp;WINDOW=FIRST_POPUP&amp;H","EIGHT=450&amp;WIDTH=450&amp;START_MAXIMIZED=FALSE&amp;VAR:CALENDAR=US&amp;VAR:SYMBOL=5497168&amp;VAR:INDEX=0"}</definedName>
    <definedName name="_132__FDSAUDITLINK__" localSheetId="8" hidden="1">{"fdsup://directions/FAT Viewer?action=UPDATE&amp;creator=factset&amp;DYN_ARGS=TRUE&amp;DOC_NAME=FAT:FQL_AUDITING_CLIENT_TEMPLATE.FAT&amp;display_string=Audit&amp;VAR:KEY=PSRIJSXIZC&amp;VAR:QUERY=RkVfVkFMVUFUSU9OKCdQQlBTJywnTUVBTicsJ0FOTlVBTCcsMjAwOSwwLCwsJycp&amp;WINDOW=FIRST_POPUP&amp;H","EIGHT=450&amp;WIDTH=450&amp;START_MAXIMIZED=FALSE&amp;VAR:CALENDAR=US&amp;VAR:SYMBOL=5497168&amp;VAR:INDEX=0"}</definedName>
    <definedName name="_132__FDSAUDITLINK__" localSheetId="2" hidden="1">{"fdsup://directions/FAT Viewer?action=UPDATE&amp;creator=factset&amp;DYN_ARGS=TRUE&amp;DOC_NAME=FAT:FQL_AUDITING_CLIENT_TEMPLATE.FAT&amp;display_string=Audit&amp;VAR:KEY=PSRIJSXIZC&amp;VAR:QUERY=RkVfVkFMVUFUSU9OKCdQQlBTJywnTUVBTicsJ0FOTlVBTCcsMjAwOSwwLCwsJycp&amp;WINDOW=FIRST_POPUP&amp;H","EIGHT=450&amp;WIDTH=450&amp;START_MAXIMIZED=FALSE&amp;VAR:CALENDAR=US&amp;VAR:SYMBOL=5497168&amp;VAR:INDEX=0"}</definedName>
    <definedName name="_132__FDSAUDITLINK__" hidden="1">{"fdsup://directions/FAT Viewer?action=UPDATE&amp;creator=factset&amp;DYN_ARGS=TRUE&amp;DOC_NAME=FAT:FQL_AUDITING_CLIENT_TEMPLATE.FAT&amp;display_string=Audit&amp;VAR:KEY=PSRIJSXIZC&amp;VAR:QUERY=RkVfVkFMVUFUSU9OKCdQQlBTJywnTUVBTicsJ0FOTlVBTCcsMjAwOSwwLCwsJycp&amp;WINDOW=FIRST_POPUP&amp;H","EIGHT=450&amp;WIDTH=450&amp;START_MAXIMIZED=FALSE&amp;VAR:CALENDAR=US&amp;VAR:SYMBOL=5497168&amp;VAR:INDEX=0"}</definedName>
    <definedName name="_1320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321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322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323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324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325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326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327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328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329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33__FDSAUDITLINK__" localSheetId="6" hidden="1">{"fdsup://directions/FAT Viewer?action=UPDATE&amp;creator=factset&amp;DYN_ARGS=TRUE&amp;DOC_NAME=FAT:FQL_AUDITING_CLIENT_TEMPLATE.FAT&amp;display_string=Audit&amp;VAR:KEY=RCNCLSNQFI&amp;VAR:QUERY=RkVfVkFMVUFUSU9OKCdQQlBTJywnTUVBTicsJ0FOTlVBTCcsMjAxMiwwLCwsJycp&amp;WINDOW=FIRST_POPUP&amp;H","EIGHT=450&amp;WIDTH=450&amp;START_MAXIMIZED=FALSE&amp;VAR:CALENDAR=US&amp;VAR:INDEX=0"}</definedName>
    <definedName name="_133__FDSAUDITLINK__" localSheetId="8" hidden="1">{"fdsup://directions/FAT Viewer?action=UPDATE&amp;creator=factset&amp;DYN_ARGS=TRUE&amp;DOC_NAME=FAT:FQL_AUDITING_CLIENT_TEMPLATE.FAT&amp;display_string=Audit&amp;VAR:KEY=RCNCLSNQFI&amp;VAR:QUERY=RkVfVkFMVUFUSU9OKCdQQlBTJywnTUVBTicsJ0FOTlVBTCcsMjAxMiwwLCwsJycp&amp;WINDOW=FIRST_POPUP&amp;H","EIGHT=450&amp;WIDTH=450&amp;START_MAXIMIZED=FALSE&amp;VAR:CALENDAR=US&amp;VAR:INDEX=0"}</definedName>
    <definedName name="_133__FDSAUDITLINK__" localSheetId="2" hidden="1">{"fdsup://directions/FAT Viewer?action=UPDATE&amp;creator=factset&amp;DYN_ARGS=TRUE&amp;DOC_NAME=FAT:FQL_AUDITING_CLIENT_TEMPLATE.FAT&amp;display_string=Audit&amp;VAR:KEY=RCNCLSNQFI&amp;VAR:QUERY=RkVfVkFMVUFUSU9OKCdQQlBTJywnTUVBTicsJ0FOTlVBTCcsMjAxMiwwLCwsJycp&amp;WINDOW=FIRST_POPUP&amp;H","EIGHT=450&amp;WIDTH=450&amp;START_MAXIMIZED=FALSE&amp;VAR:CALENDAR=US&amp;VAR:INDEX=0"}</definedName>
    <definedName name="_133__FDSAUDITLINK__" hidden="1">{"fdsup://directions/FAT Viewer?action=UPDATE&amp;creator=factset&amp;DYN_ARGS=TRUE&amp;DOC_NAME=FAT:FQL_AUDITING_CLIENT_TEMPLATE.FAT&amp;display_string=Audit&amp;VAR:KEY=RCNCLSNQFI&amp;VAR:QUERY=RkVfVkFMVUFUSU9OKCdQQlBTJywnTUVBTicsJ0FOTlVBTCcsMjAxMiwwLCwsJycp&amp;WINDOW=FIRST_POPUP&amp;H","EIGHT=450&amp;WIDTH=450&amp;START_MAXIMIZED=FALSE&amp;VAR:CALENDAR=US&amp;VAR:INDEX=0"}</definedName>
    <definedName name="_1330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331__FDSAUDITLINK__" hidden="1">{"fdsup://directions/FAT Viewer?action=UPDATE&amp;creator=factset&amp;DYN_ARGS=TRUE&amp;DOC_NAME=FAT:FQL_AUDITING_CLIENT_TEMPLATE.FAT&amp;display_string=Audit&amp;VAR:KEY=MZMZIRGRQD&amp;VAR:QUERY=RkZfREVCVChBTk4sMjAwOSk=&amp;WINDOW=FIRST_POPUP&amp;HEIGHT=450&amp;WIDTH=450&amp;START_MAXIMIZED=FALS","E&amp;VAR:CALENDAR=US&amp;VAR:SYMBOL=CMLP&amp;VAR:INDEX=0"}</definedName>
    <definedName name="_1332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333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334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335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336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337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338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339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34__FDSAUDITLINK__" localSheetId="6" hidden="1">{"fdsup://directions/FAT Viewer?action=UPDATE&amp;creator=factset&amp;DYN_ARGS=TRUE&amp;DOC_NAME=FAT:FQL_AUDITING_CLIENT_TEMPLATE.FAT&amp;display_string=Audit&amp;VAR:KEY=ZUXAFKPSPW&amp;VAR:QUERY=RkVfVkFMVUFUSU9OKCdQQlBTJywnTUVBTicsJ0FOTlVBTCcsMjAxMSwwLCwsJycp&amp;WINDOW=FIRST_POPUP&amp;H","EIGHT=450&amp;WIDTH=450&amp;START_MAXIMIZED=FALSE&amp;VAR:CALENDAR=US&amp;VAR:INDEX=0"}</definedName>
    <definedName name="_134__FDSAUDITLINK__" localSheetId="8" hidden="1">{"fdsup://directions/FAT Viewer?action=UPDATE&amp;creator=factset&amp;DYN_ARGS=TRUE&amp;DOC_NAME=FAT:FQL_AUDITING_CLIENT_TEMPLATE.FAT&amp;display_string=Audit&amp;VAR:KEY=ZUXAFKPSPW&amp;VAR:QUERY=RkVfVkFMVUFUSU9OKCdQQlBTJywnTUVBTicsJ0FOTlVBTCcsMjAxMSwwLCwsJycp&amp;WINDOW=FIRST_POPUP&amp;H","EIGHT=450&amp;WIDTH=450&amp;START_MAXIMIZED=FALSE&amp;VAR:CALENDAR=US&amp;VAR:INDEX=0"}</definedName>
    <definedName name="_134__FDSAUDITLINK__" localSheetId="2" hidden="1">{"fdsup://directions/FAT Viewer?action=UPDATE&amp;creator=factset&amp;DYN_ARGS=TRUE&amp;DOC_NAME=FAT:FQL_AUDITING_CLIENT_TEMPLATE.FAT&amp;display_string=Audit&amp;VAR:KEY=ZUXAFKPSPW&amp;VAR:QUERY=RkVfVkFMVUFUSU9OKCdQQlBTJywnTUVBTicsJ0FOTlVBTCcsMjAxMSwwLCwsJycp&amp;WINDOW=FIRST_POPUP&amp;H","EIGHT=450&amp;WIDTH=450&amp;START_MAXIMIZED=FALSE&amp;VAR:CALENDAR=US&amp;VAR:INDEX=0"}</definedName>
    <definedName name="_134__FDSAUDITLINK__" hidden="1">{"fdsup://directions/FAT Viewer?action=UPDATE&amp;creator=factset&amp;DYN_ARGS=TRUE&amp;DOC_NAME=FAT:FQL_AUDITING_CLIENT_TEMPLATE.FAT&amp;display_string=Audit&amp;VAR:KEY=ZUXAFKPSPW&amp;VAR:QUERY=RkVfVkFMVUFUSU9OKCdQQlBTJywnTUVBTicsJ0FOTlVBTCcsMjAxMSwwLCwsJycp&amp;WINDOW=FIRST_POPUP&amp;H","EIGHT=450&amp;WIDTH=450&amp;START_MAXIMIZED=FALSE&amp;VAR:CALENDAR=US&amp;VAR:INDEX=0"}</definedName>
    <definedName name="_1340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341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342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343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344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345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346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347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348__FDSAUDITLINK__" hidden="1">{"fdsup://directions/FAT Viewer?action=UPDATE&amp;creator=factset&amp;DYN_ARGS=TRUE&amp;DOC_NAME=FAT:FQL_AUDITING_CLIENT_TEMPLATE.FAT&amp;display_string=Audit&amp;VAR:KEY=MZMZIRGRQD&amp;VAR:QUERY=RkZfREVCVChBTk4sMjAwOSk=&amp;WINDOW=FIRST_POPUP&amp;HEIGHT=450&amp;WIDTH=450&amp;START_MAXIMIZED=FALS","E&amp;VAR:CALENDAR=US&amp;VAR:SYMBOL=CMLP&amp;VAR:INDEX=0"}</definedName>
    <definedName name="_1349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35__FDSAUDITLINK__" localSheetId="6" hidden="1">{"fdsup://directions/FAT Viewer?action=UPDATE&amp;creator=factset&amp;DYN_ARGS=TRUE&amp;DOC_NAME=FAT:FQL_AUDITING_CLIENT_TEMPLATE.FAT&amp;display_string=Audit&amp;VAR:KEY=NUZSVWFEZC&amp;VAR:QUERY=RkVfVkFMVUFUSU9OKCdQQlBTJywnTUVBTicsJ0FOTlVBTCcsMjAxMCwwLCwsJycp&amp;WINDOW=FIRST_POPUP&amp;H","EIGHT=450&amp;WIDTH=450&amp;START_MAXIMIZED=FALSE&amp;VAR:CALENDAR=US&amp;VAR:INDEX=0"}</definedName>
    <definedName name="_135__FDSAUDITLINK__" localSheetId="8" hidden="1">{"fdsup://directions/FAT Viewer?action=UPDATE&amp;creator=factset&amp;DYN_ARGS=TRUE&amp;DOC_NAME=FAT:FQL_AUDITING_CLIENT_TEMPLATE.FAT&amp;display_string=Audit&amp;VAR:KEY=NUZSVWFEZC&amp;VAR:QUERY=RkVfVkFMVUFUSU9OKCdQQlBTJywnTUVBTicsJ0FOTlVBTCcsMjAxMCwwLCwsJycp&amp;WINDOW=FIRST_POPUP&amp;H","EIGHT=450&amp;WIDTH=450&amp;START_MAXIMIZED=FALSE&amp;VAR:CALENDAR=US&amp;VAR:INDEX=0"}</definedName>
    <definedName name="_135__FDSAUDITLINK__" localSheetId="2" hidden="1">{"fdsup://directions/FAT Viewer?action=UPDATE&amp;creator=factset&amp;DYN_ARGS=TRUE&amp;DOC_NAME=FAT:FQL_AUDITING_CLIENT_TEMPLATE.FAT&amp;display_string=Audit&amp;VAR:KEY=NUZSVWFEZC&amp;VAR:QUERY=RkVfVkFMVUFUSU9OKCdQQlBTJywnTUVBTicsJ0FOTlVBTCcsMjAxMCwwLCwsJycp&amp;WINDOW=FIRST_POPUP&amp;H","EIGHT=450&amp;WIDTH=450&amp;START_MAXIMIZED=FALSE&amp;VAR:CALENDAR=US&amp;VAR:INDEX=0"}</definedName>
    <definedName name="_135__FDSAUDITLINK__" hidden="1">{"fdsup://directions/FAT Viewer?action=UPDATE&amp;creator=factset&amp;DYN_ARGS=TRUE&amp;DOC_NAME=FAT:FQL_AUDITING_CLIENT_TEMPLATE.FAT&amp;display_string=Audit&amp;VAR:KEY=NUZSVWFEZC&amp;VAR:QUERY=RkVfVkFMVUFUSU9OKCdQQlBTJywnTUVBTicsJ0FOTlVBTCcsMjAxMCwwLCwsJycp&amp;WINDOW=FIRST_POPUP&amp;H","EIGHT=450&amp;WIDTH=450&amp;START_MAXIMIZED=FALSE&amp;VAR:CALENDAR=US&amp;VAR:INDEX=0"}</definedName>
    <definedName name="_1350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351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352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353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354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355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356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357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358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359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36__FDSAUDITLINK__" localSheetId="6" hidden="1">{"fdsup://directions/FAT Viewer?action=UPDATE&amp;creator=factset&amp;DYN_ARGS=TRUE&amp;DOC_NAME=FAT:FQL_AUDITING_CLIENT_TEMPLATE.FAT&amp;display_string=Audit&amp;VAR:KEY=NAHWJCVMXQ&amp;VAR:QUERY=RkVfVkFMVUFUSU9OKCdQQlBTJywnTUVBTicsJ0FOTlVBTCcsMjAwOSwwLCwsJycp&amp;WINDOW=FIRST_POPUP&amp;H","EIGHT=450&amp;WIDTH=450&amp;START_MAXIMIZED=FALSE&amp;VAR:CALENDAR=US&amp;VAR:INDEX=0"}</definedName>
    <definedName name="_136__FDSAUDITLINK__" localSheetId="8" hidden="1">{"fdsup://directions/FAT Viewer?action=UPDATE&amp;creator=factset&amp;DYN_ARGS=TRUE&amp;DOC_NAME=FAT:FQL_AUDITING_CLIENT_TEMPLATE.FAT&amp;display_string=Audit&amp;VAR:KEY=NAHWJCVMXQ&amp;VAR:QUERY=RkVfVkFMVUFUSU9OKCdQQlBTJywnTUVBTicsJ0FOTlVBTCcsMjAwOSwwLCwsJycp&amp;WINDOW=FIRST_POPUP&amp;H","EIGHT=450&amp;WIDTH=450&amp;START_MAXIMIZED=FALSE&amp;VAR:CALENDAR=US&amp;VAR:INDEX=0"}</definedName>
    <definedName name="_136__FDSAUDITLINK__" localSheetId="2" hidden="1">{"fdsup://directions/FAT Viewer?action=UPDATE&amp;creator=factset&amp;DYN_ARGS=TRUE&amp;DOC_NAME=FAT:FQL_AUDITING_CLIENT_TEMPLATE.FAT&amp;display_string=Audit&amp;VAR:KEY=NAHWJCVMXQ&amp;VAR:QUERY=RkVfVkFMVUFUSU9OKCdQQlBTJywnTUVBTicsJ0FOTlVBTCcsMjAwOSwwLCwsJycp&amp;WINDOW=FIRST_POPUP&amp;H","EIGHT=450&amp;WIDTH=450&amp;START_MAXIMIZED=FALSE&amp;VAR:CALENDAR=US&amp;VAR:INDEX=0"}</definedName>
    <definedName name="_136__FDSAUDITLINK__" hidden="1">{"fdsup://directions/FAT Viewer?action=UPDATE&amp;creator=factset&amp;DYN_ARGS=TRUE&amp;DOC_NAME=FAT:FQL_AUDITING_CLIENT_TEMPLATE.FAT&amp;display_string=Audit&amp;VAR:KEY=NAHWJCVMXQ&amp;VAR:QUERY=RkVfVkFMVUFUSU9OKCdQQlBTJywnTUVBTicsJ0FOTlVBTCcsMjAwOSwwLCwsJycp&amp;WINDOW=FIRST_POPUP&amp;H","EIGHT=450&amp;WIDTH=450&amp;START_MAXIMIZED=FALSE&amp;VAR:CALENDAR=US&amp;VAR:INDEX=0"}</definedName>
    <definedName name="_1360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361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362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363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364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365__FDSAUDITLINK__" hidden="1">{"fdsup://directions/FAT Viewer?action=UPDATE&amp;creator=factset&amp;DYN_ARGS=TRUE&amp;DOC_NAME=FAT:FQL_AUDITING_CLIENT_TEMPLATE.FAT&amp;display_string=Audit&amp;VAR:KEY=MZMZIRGRQD&amp;VAR:QUERY=RkZfREVCVChBTk4sMjAwOSk=&amp;WINDOW=FIRST_POPUP&amp;HEIGHT=450&amp;WIDTH=450&amp;START_MAXIMIZED=FALS","E&amp;VAR:CALENDAR=US&amp;VAR:SYMBOL=CMLP&amp;VAR:INDEX=0"}</definedName>
    <definedName name="_1366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367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368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369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37__FDSAUDITLINK__" localSheetId="6" hidden="1">{"fdsup://directions/FAT Viewer?action=UPDATE&amp;creator=factset&amp;DYN_ARGS=TRUE&amp;DOC_NAME=FAT:FQL_AUDITING_CLIENT_TEMPLATE.FAT&amp;display_string=Audit&amp;VAR:KEY=HYJWBIFEPE&amp;VAR:QUERY=RkVfVkFMVUFUSU9OKCdQQlBTJywnTUVBTicsJ0FOTlVBTCcsMjAxMiwwLCwsJycp&amp;WINDOW=FIRST_POPUP&amp;H","EIGHT=450&amp;WIDTH=450&amp;START_MAXIMIZED=FALSE&amp;VAR:CALENDAR=US&amp;VAR:SYMBOL=5497168&amp;VAR:INDEX=0"}</definedName>
    <definedName name="_137__FDSAUDITLINK__" localSheetId="8" hidden="1">{"fdsup://directions/FAT Viewer?action=UPDATE&amp;creator=factset&amp;DYN_ARGS=TRUE&amp;DOC_NAME=FAT:FQL_AUDITING_CLIENT_TEMPLATE.FAT&amp;display_string=Audit&amp;VAR:KEY=HYJWBIFEPE&amp;VAR:QUERY=RkVfVkFMVUFUSU9OKCdQQlBTJywnTUVBTicsJ0FOTlVBTCcsMjAxMiwwLCwsJycp&amp;WINDOW=FIRST_POPUP&amp;H","EIGHT=450&amp;WIDTH=450&amp;START_MAXIMIZED=FALSE&amp;VAR:CALENDAR=US&amp;VAR:SYMBOL=5497168&amp;VAR:INDEX=0"}</definedName>
    <definedName name="_137__FDSAUDITLINK__" localSheetId="2" hidden="1">{"fdsup://directions/FAT Viewer?action=UPDATE&amp;creator=factset&amp;DYN_ARGS=TRUE&amp;DOC_NAME=FAT:FQL_AUDITING_CLIENT_TEMPLATE.FAT&amp;display_string=Audit&amp;VAR:KEY=HYJWBIFEPE&amp;VAR:QUERY=RkVfVkFMVUFUSU9OKCdQQlBTJywnTUVBTicsJ0FOTlVBTCcsMjAxMiwwLCwsJycp&amp;WINDOW=FIRST_POPUP&amp;H","EIGHT=450&amp;WIDTH=450&amp;START_MAXIMIZED=FALSE&amp;VAR:CALENDAR=US&amp;VAR:SYMBOL=5497168&amp;VAR:INDEX=0"}</definedName>
    <definedName name="_137__FDSAUDITLINK__" hidden="1">{"fdsup://directions/FAT Viewer?action=UPDATE&amp;creator=factset&amp;DYN_ARGS=TRUE&amp;DOC_NAME=FAT:FQL_AUDITING_CLIENT_TEMPLATE.FAT&amp;display_string=Audit&amp;VAR:KEY=HYJWBIFEPE&amp;VAR:QUERY=RkVfVkFMVUFUSU9OKCdQQlBTJywnTUVBTicsJ0FOTlVBTCcsMjAxMiwwLCwsJycp&amp;WINDOW=FIRST_POPUP&amp;H","EIGHT=450&amp;WIDTH=450&amp;START_MAXIMIZED=FALSE&amp;VAR:CALENDAR=US&amp;VAR:SYMBOL=5497168&amp;VAR:INDEX=0"}</definedName>
    <definedName name="_1370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371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372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373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374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375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376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377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378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379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38__FDSAUDITLINK__" localSheetId="6" hidden="1">{"fdsup://directions/FAT Viewer?action=UPDATE&amp;creator=factset&amp;DYN_ARGS=TRUE&amp;DOC_NAME=FAT:FQL_AUDITING_CLIENT_TEMPLATE.FAT&amp;display_string=Audit&amp;VAR:KEY=HYJWBIFEPE&amp;VAR:QUERY=RkVfVkFMVUFUSU9OKCdQQlBTJywnTUVBTicsJ0FOTlVBTCcsMjAxMiwwLCwsJycp&amp;WINDOW=FIRST_POPUP&amp;H","EIGHT=450&amp;WIDTH=450&amp;START_MAXIMIZED=FALSE&amp;VAR:CALENDAR=US&amp;VAR:SYMBOL=5497168&amp;VAR:INDEX=0"}</definedName>
    <definedName name="_138__FDSAUDITLINK__" localSheetId="8" hidden="1">{"fdsup://directions/FAT Viewer?action=UPDATE&amp;creator=factset&amp;DYN_ARGS=TRUE&amp;DOC_NAME=FAT:FQL_AUDITING_CLIENT_TEMPLATE.FAT&amp;display_string=Audit&amp;VAR:KEY=HYJWBIFEPE&amp;VAR:QUERY=RkVfVkFMVUFUSU9OKCdQQlBTJywnTUVBTicsJ0FOTlVBTCcsMjAxMiwwLCwsJycp&amp;WINDOW=FIRST_POPUP&amp;H","EIGHT=450&amp;WIDTH=450&amp;START_MAXIMIZED=FALSE&amp;VAR:CALENDAR=US&amp;VAR:SYMBOL=5497168&amp;VAR:INDEX=0"}</definedName>
    <definedName name="_138__FDSAUDITLINK__" localSheetId="2" hidden="1">{"fdsup://directions/FAT Viewer?action=UPDATE&amp;creator=factset&amp;DYN_ARGS=TRUE&amp;DOC_NAME=FAT:FQL_AUDITING_CLIENT_TEMPLATE.FAT&amp;display_string=Audit&amp;VAR:KEY=HYJWBIFEPE&amp;VAR:QUERY=RkVfVkFMVUFUSU9OKCdQQlBTJywnTUVBTicsJ0FOTlVBTCcsMjAxMiwwLCwsJycp&amp;WINDOW=FIRST_POPUP&amp;H","EIGHT=450&amp;WIDTH=450&amp;START_MAXIMIZED=FALSE&amp;VAR:CALENDAR=US&amp;VAR:SYMBOL=5497168&amp;VAR:INDEX=0"}</definedName>
    <definedName name="_138__FDSAUDITLINK__" hidden="1">{"fdsup://directions/FAT Viewer?action=UPDATE&amp;creator=factset&amp;DYN_ARGS=TRUE&amp;DOC_NAME=FAT:FQL_AUDITING_CLIENT_TEMPLATE.FAT&amp;display_string=Audit&amp;VAR:KEY=HYJWBIFEPE&amp;VAR:QUERY=RkVfVkFMVUFUSU9OKCdQQlBTJywnTUVBTicsJ0FOTlVBTCcsMjAxMiwwLCwsJycp&amp;WINDOW=FIRST_POPUP&amp;H","EIGHT=450&amp;WIDTH=450&amp;START_MAXIMIZED=FALSE&amp;VAR:CALENDAR=US&amp;VAR:SYMBOL=5497168&amp;VAR:INDEX=0"}</definedName>
    <definedName name="_1380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381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382__FDSAUDITLINK__" hidden="1">{"fdsup://directions/FAT Viewer?action=UPDATE&amp;creator=factset&amp;DYN_ARGS=TRUE&amp;DOC_NAME=FAT:FQL_AUDITING_CLIENT_TEMPLATE.FAT&amp;display_string=Audit&amp;VAR:KEY=MZMZIRGRQD&amp;VAR:QUERY=RkZfREVCVChBTk4sMjAwOSk=&amp;WINDOW=FIRST_POPUP&amp;HEIGHT=450&amp;WIDTH=450&amp;START_MAXIMIZED=FALS","E&amp;VAR:CALENDAR=US&amp;VAR:SYMBOL=CMLP&amp;VAR:INDEX=0"}</definedName>
    <definedName name="_1383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384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385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386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387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388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389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39__FDSAUDITLINK__" localSheetId="6" hidden="1">{"fdsup://directions/FAT Viewer?action=UPDATE&amp;creator=factset&amp;DYN_ARGS=TRUE&amp;DOC_NAME=FAT:FQL_AUDITING_CLIENT_TEMPLATE.FAT&amp;display_string=Audit&amp;VAR:KEY=NQVWRUXWFO&amp;VAR:QUERY=RkVfVkFMVUFUSU9OKCdQQlBTJywnTUVBTicsJ0FOTlVBTCcsMjAxMSwwLCwsJycp&amp;WINDOW=FIRST_POPUP&amp;H","EIGHT=450&amp;WIDTH=450&amp;START_MAXIMIZED=FALSE&amp;VAR:CALENDAR=US&amp;VAR:SYMBOL=5497168&amp;VAR:INDEX=0"}</definedName>
    <definedName name="_139__FDSAUDITLINK__" localSheetId="8" hidden="1">{"fdsup://directions/FAT Viewer?action=UPDATE&amp;creator=factset&amp;DYN_ARGS=TRUE&amp;DOC_NAME=FAT:FQL_AUDITING_CLIENT_TEMPLATE.FAT&amp;display_string=Audit&amp;VAR:KEY=NQVWRUXWFO&amp;VAR:QUERY=RkVfVkFMVUFUSU9OKCdQQlBTJywnTUVBTicsJ0FOTlVBTCcsMjAxMSwwLCwsJycp&amp;WINDOW=FIRST_POPUP&amp;H","EIGHT=450&amp;WIDTH=450&amp;START_MAXIMIZED=FALSE&amp;VAR:CALENDAR=US&amp;VAR:SYMBOL=5497168&amp;VAR:INDEX=0"}</definedName>
    <definedName name="_139__FDSAUDITLINK__" localSheetId="2" hidden="1">{"fdsup://directions/FAT Viewer?action=UPDATE&amp;creator=factset&amp;DYN_ARGS=TRUE&amp;DOC_NAME=FAT:FQL_AUDITING_CLIENT_TEMPLATE.FAT&amp;display_string=Audit&amp;VAR:KEY=NQVWRUXWFO&amp;VAR:QUERY=RkVfVkFMVUFUSU9OKCdQQlBTJywnTUVBTicsJ0FOTlVBTCcsMjAxMSwwLCwsJycp&amp;WINDOW=FIRST_POPUP&amp;H","EIGHT=450&amp;WIDTH=450&amp;START_MAXIMIZED=FALSE&amp;VAR:CALENDAR=US&amp;VAR:SYMBOL=5497168&amp;VAR:INDEX=0"}</definedName>
    <definedName name="_139__FDSAUDITLINK__" hidden="1">{"fdsup://directions/FAT Viewer?action=UPDATE&amp;creator=factset&amp;DYN_ARGS=TRUE&amp;DOC_NAME=FAT:FQL_AUDITING_CLIENT_TEMPLATE.FAT&amp;display_string=Audit&amp;VAR:KEY=NQVWRUXWFO&amp;VAR:QUERY=RkVfVkFMVUFUSU9OKCdQQlBTJywnTUVBTicsJ0FOTlVBTCcsMjAxMSwwLCwsJycp&amp;WINDOW=FIRST_POPUP&amp;H","EIGHT=450&amp;WIDTH=450&amp;START_MAXIMIZED=FALSE&amp;VAR:CALENDAR=US&amp;VAR:SYMBOL=5497168&amp;VAR:INDEX=0"}</definedName>
    <definedName name="_1390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391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392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393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394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395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396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397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398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399__FDSAUDITLINK__" hidden="1">{"fdsup://directions/FAT Viewer?action=UPDATE&amp;creator=factset&amp;DYN_ARGS=TRUE&amp;DOC_NAME=FAT:FQL_AUDITING_CLIENT_TEMPLATE.FAT&amp;display_string=Audit&amp;VAR:KEY=MZMZIRGRQD&amp;VAR:QUERY=RkZfREVCVChBTk4sMjAwOSk=&amp;WINDOW=FIRST_POPUP&amp;HEIGHT=450&amp;WIDTH=450&amp;START_MAXIMIZED=FALS","E&amp;VAR:CALENDAR=US&amp;VAR:SYMBOL=CMLP&amp;VAR:INDEX=0"}</definedName>
    <definedName name="_14__FDSAUDITLINK__" localSheetId="6" hidden="1">{"fdsup://directions/FAT Viewer?action=UPDATE&amp;creator=factset&amp;DYN_ARGS=TRUE&amp;DOC_NAME=FAT:FQL_AUDITING_CLIENT_TEMPLATE.FAT&amp;display_string=Audit&amp;VAR:KEY=VCFMTMNEHC&amp;VAR:QUERY=RkVfVkFMVUFUSU9OKCdQQlBTJywnTUVBTicsJ0FOTlVBTCcsMjAxMCwwLCwsJycp&amp;WINDOW=FIRST_POPUP&amp;H","EIGHT=450&amp;WIDTH=450&amp;START_MAXIMIZED=FALSE&amp;VAR:CALENDAR=FIVEDAY&amp;VAR:SYMBOL=615143&amp;VAR:INDEX=0"}</definedName>
    <definedName name="_14__FDSAUDITLINK__" localSheetId="8" hidden="1">{"fdsup://directions/FAT Viewer?action=UPDATE&amp;creator=factset&amp;DYN_ARGS=TRUE&amp;DOC_NAME=FAT:FQL_AUDITING_CLIENT_TEMPLATE.FAT&amp;display_string=Audit&amp;VAR:KEY=VCFMTMNEHC&amp;VAR:QUERY=RkVfVkFMVUFUSU9OKCdQQlBTJywnTUVBTicsJ0FOTlVBTCcsMjAxMCwwLCwsJycp&amp;WINDOW=FIRST_POPUP&amp;H","EIGHT=450&amp;WIDTH=450&amp;START_MAXIMIZED=FALSE&amp;VAR:CALENDAR=FIVEDAY&amp;VAR:SYMBOL=615143&amp;VAR:INDEX=0"}</definedName>
    <definedName name="_14__FDSAUDITLINK__" localSheetId="2" hidden="1">{"fdsup://directions/FAT Viewer?action=UPDATE&amp;creator=factset&amp;DYN_ARGS=TRUE&amp;DOC_NAME=FAT:FQL_AUDITING_CLIENT_TEMPLATE.FAT&amp;display_string=Audit&amp;VAR:KEY=VCFMTMNEHC&amp;VAR:QUERY=RkVfVkFMVUFUSU9OKCdQQlBTJywnTUVBTicsJ0FOTlVBTCcsMjAxMCwwLCwsJycp&amp;WINDOW=FIRST_POPUP&amp;H","EIGHT=450&amp;WIDTH=450&amp;START_MAXIMIZED=FALSE&amp;VAR:CALENDAR=FIVEDAY&amp;VAR:SYMBOL=615143&amp;VAR:INDEX=0"}</definedName>
    <definedName name="_14__FDSAUDITLINK__" hidden="1">{"fdsup://directions/FAT Viewer?action=UPDATE&amp;creator=factset&amp;DYN_ARGS=TRUE&amp;DOC_NAME=FAT:FQL_AUDITING_CLIENT_TEMPLATE.FAT&amp;display_string=Audit&amp;VAR:KEY=VCFMTMNEHC&amp;VAR:QUERY=RkVfVkFMVUFUSU9OKCdQQlBTJywnTUVBTicsJ0FOTlVBTCcsMjAxMCwwLCwsJycp&amp;WINDOW=FIRST_POPUP&amp;H","EIGHT=450&amp;WIDTH=450&amp;START_MAXIMIZED=FALSE&amp;VAR:CALENDAR=FIVEDAY&amp;VAR:SYMBOL=615143&amp;VAR:INDEX=0"}</definedName>
    <definedName name="_140__FDSAUDITLINK__" localSheetId="6" hidden="1">{"fdsup://directions/FAT Viewer?action=UPDATE&amp;creator=factset&amp;DYN_ARGS=TRUE&amp;DOC_NAME=FAT:FQL_AUDITING_CLIENT_TEMPLATE.FAT&amp;display_string=Audit&amp;VAR:KEY=NQVWRUXWFO&amp;VAR:QUERY=RkVfVkFMVUFUSU9OKCdQQlBTJywnTUVBTicsJ0FOTlVBTCcsMjAxMSwwLCwsJycp&amp;WINDOW=FIRST_POPUP&amp;H","EIGHT=450&amp;WIDTH=450&amp;START_MAXIMIZED=FALSE&amp;VAR:CALENDAR=US&amp;VAR:SYMBOL=5497168&amp;VAR:INDEX=0"}</definedName>
    <definedName name="_140__FDSAUDITLINK__" localSheetId="8" hidden="1">{"fdsup://directions/FAT Viewer?action=UPDATE&amp;creator=factset&amp;DYN_ARGS=TRUE&amp;DOC_NAME=FAT:FQL_AUDITING_CLIENT_TEMPLATE.FAT&amp;display_string=Audit&amp;VAR:KEY=NQVWRUXWFO&amp;VAR:QUERY=RkVfVkFMVUFUSU9OKCdQQlBTJywnTUVBTicsJ0FOTlVBTCcsMjAxMSwwLCwsJycp&amp;WINDOW=FIRST_POPUP&amp;H","EIGHT=450&amp;WIDTH=450&amp;START_MAXIMIZED=FALSE&amp;VAR:CALENDAR=US&amp;VAR:SYMBOL=5497168&amp;VAR:INDEX=0"}</definedName>
    <definedName name="_140__FDSAUDITLINK__" localSheetId="2" hidden="1">{"fdsup://directions/FAT Viewer?action=UPDATE&amp;creator=factset&amp;DYN_ARGS=TRUE&amp;DOC_NAME=FAT:FQL_AUDITING_CLIENT_TEMPLATE.FAT&amp;display_string=Audit&amp;VAR:KEY=NQVWRUXWFO&amp;VAR:QUERY=RkVfVkFMVUFUSU9OKCdQQlBTJywnTUVBTicsJ0FOTlVBTCcsMjAxMSwwLCwsJycp&amp;WINDOW=FIRST_POPUP&amp;H","EIGHT=450&amp;WIDTH=450&amp;START_MAXIMIZED=FALSE&amp;VAR:CALENDAR=US&amp;VAR:SYMBOL=5497168&amp;VAR:INDEX=0"}</definedName>
    <definedName name="_140__FDSAUDITLINK__" hidden="1">{"fdsup://directions/FAT Viewer?action=UPDATE&amp;creator=factset&amp;DYN_ARGS=TRUE&amp;DOC_NAME=FAT:FQL_AUDITING_CLIENT_TEMPLATE.FAT&amp;display_string=Audit&amp;VAR:KEY=NQVWRUXWFO&amp;VAR:QUERY=RkVfVkFMVUFUSU9OKCdQQlBTJywnTUVBTicsJ0FOTlVBTCcsMjAxMSwwLCwsJycp&amp;WINDOW=FIRST_POPUP&amp;H","EIGHT=450&amp;WIDTH=450&amp;START_MAXIMIZED=FALSE&amp;VAR:CALENDAR=US&amp;VAR:SYMBOL=5497168&amp;VAR:INDEX=0"}</definedName>
    <definedName name="_1400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401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402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403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404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405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406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407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408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409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41__FDSAUDITLINK__" localSheetId="6" hidden="1">{"fdsup://directions/FAT Viewer?action=UPDATE&amp;creator=factset&amp;DYN_ARGS=TRUE&amp;DOC_NAME=FAT:FQL_AUDITING_CLIENT_TEMPLATE.FAT&amp;display_string=Audit&amp;VAR:KEY=DGPMDIBWVA&amp;VAR:QUERY=RkVfVkFMVUFUSU9OKCdQQlBTJywnTUVBTicsJ0FOTlVBTCcsMjAxMCwwLCwsJycp&amp;WINDOW=FIRST_POPUP&amp;H","EIGHT=450&amp;WIDTH=450&amp;START_MAXIMIZED=FALSE&amp;VAR:CALENDAR=US&amp;VAR:SYMBOL=5497168&amp;VAR:INDEX=0"}</definedName>
    <definedName name="_141__FDSAUDITLINK__" localSheetId="8" hidden="1">{"fdsup://directions/FAT Viewer?action=UPDATE&amp;creator=factset&amp;DYN_ARGS=TRUE&amp;DOC_NAME=FAT:FQL_AUDITING_CLIENT_TEMPLATE.FAT&amp;display_string=Audit&amp;VAR:KEY=DGPMDIBWVA&amp;VAR:QUERY=RkVfVkFMVUFUSU9OKCdQQlBTJywnTUVBTicsJ0FOTlVBTCcsMjAxMCwwLCwsJycp&amp;WINDOW=FIRST_POPUP&amp;H","EIGHT=450&amp;WIDTH=450&amp;START_MAXIMIZED=FALSE&amp;VAR:CALENDAR=US&amp;VAR:SYMBOL=5497168&amp;VAR:INDEX=0"}</definedName>
    <definedName name="_141__FDSAUDITLINK__" localSheetId="2" hidden="1">{"fdsup://directions/FAT Viewer?action=UPDATE&amp;creator=factset&amp;DYN_ARGS=TRUE&amp;DOC_NAME=FAT:FQL_AUDITING_CLIENT_TEMPLATE.FAT&amp;display_string=Audit&amp;VAR:KEY=DGPMDIBWVA&amp;VAR:QUERY=RkVfVkFMVUFUSU9OKCdQQlBTJywnTUVBTicsJ0FOTlVBTCcsMjAxMCwwLCwsJycp&amp;WINDOW=FIRST_POPUP&amp;H","EIGHT=450&amp;WIDTH=450&amp;START_MAXIMIZED=FALSE&amp;VAR:CALENDAR=US&amp;VAR:SYMBOL=5497168&amp;VAR:INDEX=0"}</definedName>
    <definedName name="_141__FDSAUDITLINK__" hidden="1">{"fdsup://directions/FAT Viewer?action=UPDATE&amp;creator=factset&amp;DYN_ARGS=TRUE&amp;DOC_NAME=FAT:FQL_AUDITING_CLIENT_TEMPLATE.FAT&amp;display_string=Audit&amp;VAR:KEY=DGPMDIBWVA&amp;VAR:QUERY=RkVfVkFMVUFUSU9OKCdQQlBTJywnTUVBTicsJ0FOTlVBTCcsMjAxMCwwLCwsJycp&amp;WINDOW=FIRST_POPUP&amp;H","EIGHT=450&amp;WIDTH=450&amp;START_MAXIMIZED=FALSE&amp;VAR:CALENDAR=US&amp;VAR:SYMBOL=5497168&amp;VAR:INDEX=0"}</definedName>
    <definedName name="_1410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411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412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413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414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415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416__FDSAUDITLINK__" hidden="1">{"fdsup://directions/FAT Viewer?action=UPDATE&amp;creator=factset&amp;DYN_ARGS=TRUE&amp;DOC_NAME=FAT:FQL_AUDITING_CLIENT_TEMPLATE.FAT&amp;display_string=Audit&amp;VAR:KEY=MZMZIRGRQD&amp;VAR:QUERY=RkZfREVCVChBTk4sMjAwOSk=&amp;WINDOW=FIRST_POPUP&amp;HEIGHT=450&amp;WIDTH=450&amp;START_MAXIMIZED=FALS","E&amp;VAR:CALENDAR=US&amp;VAR:SYMBOL=CMLP&amp;VAR:INDEX=0"}</definedName>
    <definedName name="_1417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418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419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42__FDSAUDITLINK__" localSheetId="6" hidden="1">{"fdsup://directions/FAT Viewer?action=UPDATE&amp;creator=factset&amp;DYN_ARGS=TRUE&amp;DOC_NAME=FAT:FQL_AUDITING_CLIENT_TEMPLATE.FAT&amp;display_string=Audit&amp;VAR:KEY=DGPMDIBWVA&amp;VAR:QUERY=RkVfVkFMVUFUSU9OKCdQQlBTJywnTUVBTicsJ0FOTlVBTCcsMjAxMCwwLCwsJycp&amp;WINDOW=FIRST_POPUP&amp;H","EIGHT=450&amp;WIDTH=450&amp;START_MAXIMIZED=FALSE&amp;VAR:CALENDAR=US&amp;VAR:SYMBOL=5497168&amp;VAR:INDEX=0"}</definedName>
    <definedName name="_142__FDSAUDITLINK__" localSheetId="8" hidden="1">{"fdsup://directions/FAT Viewer?action=UPDATE&amp;creator=factset&amp;DYN_ARGS=TRUE&amp;DOC_NAME=FAT:FQL_AUDITING_CLIENT_TEMPLATE.FAT&amp;display_string=Audit&amp;VAR:KEY=DGPMDIBWVA&amp;VAR:QUERY=RkVfVkFMVUFUSU9OKCdQQlBTJywnTUVBTicsJ0FOTlVBTCcsMjAxMCwwLCwsJycp&amp;WINDOW=FIRST_POPUP&amp;H","EIGHT=450&amp;WIDTH=450&amp;START_MAXIMIZED=FALSE&amp;VAR:CALENDAR=US&amp;VAR:SYMBOL=5497168&amp;VAR:INDEX=0"}</definedName>
    <definedName name="_142__FDSAUDITLINK__" localSheetId="2" hidden="1">{"fdsup://directions/FAT Viewer?action=UPDATE&amp;creator=factset&amp;DYN_ARGS=TRUE&amp;DOC_NAME=FAT:FQL_AUDITING_CLIENT_TEMPLATE.FAT&amp;display_string=Audit&amp;VAR:KEY=DGPMDIBWVA&amp;VAR:QUERY=RkVfVkFMVUFUSU9OKCdQQlBTJywnTUVBTicsJ0FOTlVBTCcsMjAxMCwwLCwsJycp&amp;WINDOW=FIRST_POPUP&amp;H","EIGHT=450&amp;WIDTH=450&amp;START_MAXIMIZED=FALSE&amp;VAR:CALENDAR=US&amp;VAR:SYMBOL=5497168&amp;VAR:INDEX=0"}</definedName>
    <definedName name="_142__FDSAUDITLINK__" hidden="1">{"fdsup://directions/FAT Viewer?action=UPDATE&amp;creator=factset&amp;DYN_ARGS=TRUE&amp;DOC_NAME=FAT:FQL_AUDITING_CLIENT_TEMPLATE.FAT&amp;display_string=Audit&amp;VAR:KEY=DGPMDIBWVA&amp;VAR:QUERY=RkVfVkFMVUFUSU9OKCdQQlBTJywnTUVBTicsJ0FOTlVBTCcsMjAxMCwwLCwsJycp&amp;WINDOW=FIRST_POPUP&amp;H","EIGHT=450&amp;WIDTH=450&amp;START_MAXIMIZED=FALSE&amp;VAR:CALENDAR=US&amp;VAR:SYMBOL=5497168&amp;VAR:INDEX=0"}</definedName>
    <definedName name="_1420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421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422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423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424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425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426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427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428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429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43__FDSAUDITLINK__" localSheetId="6" hidden="1">{"fdsup://directions/FAT Viewer?action=UPDATE&amp;creator=factset&amp;DYN_ARGS=TRUE&amp;DOC_NAME=FAT:FQL_AUDITING_CLIENT_TEMPLATE.FAT&amp;display_string=Audit&amp;VAR:KEY=PSRIJSXIZC&amp;VAR:QUERY=RkVfVkFMVUFUSU9OKCdQQlBTJywnTUVBTicsJ0FOTlVBTCcsMjAwOSwwLCwsJycp&amp;WINDOW=FIRST_POPUP&amp;H","EIGHT=450&amp;WIDTH=450&amp;START_MAXIMIZED=FALSE&amp;VAR:CALENDAR=US&amp;VAR:SYMBOL=5497168&amp;VAR:INDEX=0"}</definedName>
    <definedName name="_143__FDSAUDITLINK__" localSheetId="8" hidden="1">{"fdsup://directions/FAT Viewer?action=UPDATE&amp;creator=factset&amp;DYN_ARGS=TRUE&amp;DOC_NAME=FAT:FQL_AUDITING_CLIENT_TEMPLATE.FAT&amp;display_string=Audit&amp;VAR:KEY=PSRIJSXIZC&amp;VAR:QUERY=RkVfVkFMVUFUSU9OKCdQQlBTJywnTUVBTicsJ0FOTlVBTCcsMjAwOSwwLCwsJycp&amp;WINDOW=FIRST_POPUP&amp;H","EIGHT=450&amp;WIDTH=450&amp;START_MAXIMIZED=FALSE&amp;VAR:CALENDAR=US&amp;VAR:SYMBOL=5497168&amp;VAR:INDEX=0"}</definedName>
    <definedName name="_143__FDSAUDITLINK__" localSheetId="2" hidden="1">{"fdsup://directions/FAT Viewer?action=UPDATE&amp;creator=factset&amp;DYN_ARGS=TRUE&amp;DOC_NAME=FAT:FQL_AUDITING_CLIENT_TEMPLATE.FAT&amp;display_string=Audit&amp;VAR:KEY=PSRIJSXIZC&amp;VAR:QUERY=RkVfVkFMVUFUSU9OKCdQQlBTJywnTUVBTicsJ0FOTlVBTCcsMjAwOSwwLCwsJycp&amp;WINDOW=FIRST_POPUP&amp;H","EIGHT=450&amp;WIDTH=450&amp;START_MAXIMIZED=FALSE&amp;VAR:CALENDAR=US&amp;VAR:SYMBOL=5497168&amp;VAR:INDEX=0"}</definedName>
    <definedName name="_143__FDSAUDITLINK__" hidden="1">{"fdsup://directions/FAT Viewer?action=UPDATE&amp;creator=factset&amp;DYN_ARGS=TRUE&amp;DOC_NAME=FAT:FQL_AUDITING_CLIENT_TEMPLATE.FAT&amp;display_string=Audit&amp;VAR:KEY=PSRIJSXIZC&amp;VAR:QUERY=RkVfVkFMVUFUSU9OKCdQQlBTJywnTUVBTicsJ0FOTlVBTCcsMjAwOSwwLCwsJycp&amp;WINDOW=FIRST_POPUP&amp;H","EIGHT=450&amp;WIDTH=450&amp;START_MAXIMIZED=FALSE&amp;VAR:CALENDAR=US&amp;VAR:SYMBOL=5497168&amp;VAR:INDEX=0"}</definedName>
    <definedName name="_1430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431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432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433__FDSAUDITLINK__" hidden="1">{"fdsup://directions/FAT Viewer?action=UPDATE&amp;creator=factset&amp;DYN_ARGS=TRUE&amp;DOC_NAME=FAT:FQL_AUDITING_CLIENT_TEMPLATE.FAT&amp;display_string=Audit&amp;VAR:KEY=MZMZIRGRQD&amp;VAR:QUERY=RkZfREVCVChBTk4sMjAwOSk=&amp;WINDOW=FIRST_POPUP&amp;HEIGHT=450&amp;WIDTH=450&amp;START_MAXIMIZED=FALS","E&amp;VAR:CALENDAR=US&amp;VAR:SYMBOL=CMLP&amp;VAR:INDEX=0"}</definedName>
    <definedName name="_1434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435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436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437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438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439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44__FDSAUDITLINK__" localSheetId="6" hidden="1">{"fdsup://directions/FAT Viewer?action=UPDATE&amp;creator=factset&amp;DYN_ARGS=TRUE&amp;DOC_NAME=FAT:FQL_AUDITING_CLIENT_TEMPLATE.FAT&amp;display_string=Audit&amp;VAR:KEY=PSRIJSXIZC&amp;VAR:QUERY=RkVfVkFMVUFUSU9OKCdQQlBTJywnTUVBTicsJ0FOTlVBTCcsMjAwOSwwLCwsJycp&amp;WINDOW=FIRST_POPUP&amp;H","EIGHT=450&amp;WIDTH=450&amp;START_MAXIMIZED=FALSE&amp;VAR:CALENDAR=US&amp;VAR:SYMBOL=5497168&amp;VAR:INDEX=0"}</definedName>
    <definedName name="_144__FDSAUDITLINK__" localSheetId="8" hidden="1">{"fdsup://directions/FAT Viewer?action=UPDATE&amp;creator=factset&amp;DYN_ARGS=TRUE&amp;DOC_NAME=FAT:FQL_AUDITING_CLIENT_TEMPLATE.FAT&amp;display_string=Audit&amp;VAR:KEY=PSRIJSXIZC&amp;VAR:QUERY=RkVfVkFMVUFUSU9OKCdQQlBTJywnTUVBTicsJ0FOTlVBTCcsMjAwOSwwLCwsJycp&amp;WINDOW=FIRST_POPUP&amp;H","EIGHT=450&amp;WIDTH=450&amp;START_MAXIMIZED=FALSE&amp;VAR:CALENDAR=US&amp;VAR:SYMBOL=5497168&amp;VAR:INDEX=0"}</definedName>
    <definedName name="_144__FDSAUDITLINK__" localSheetId="2" hidden="1">{"fdsup://directions/FAT Viewer?action=UPDATE&amp;creator=factset&amp;DYN_ARGS=TRUE&amp;DOC_NAME=FAT:FQL_AUDITING_CLIENT_TEMPLATE.FAT&amp;display_string=Audit&amp;VAR:KEY=PSRIJSXIZC&amp;VAR:QUERY=RkVfVkFMVUFUSU9OKCdQQlBTJywnTUVBTicsJ0FOTlVBTCcsMjAwOSwwLCwsJycp&amp;WINDOW=FIRST_POPUP&amp;H","EIGHT=450&amp;WIDTH=450&amp;START_MAXIMIZED=FALSE&amp;VAR:CALENDAR=US&amp;VAR:SYMBOL=5497168&amp;VAR:INDEX=0"}</definedName>
    <definedName name="_144__FDSAUDITLINK__" hidden="1">{"fdsup://directions/FAT Viewer?action=UPDATE&amp;creator=factset&amp;DYN_ARGS=TRUE&amp;DOC_NAME=FAT:FQL_AUDITING_CLIENT_TEMPLATE.FAT&amp;display_string=Audit&amp;VAR:KEY=PSRIJSXIZC&amp;VAR:QUERY=RkVfVkFMVUFUSU9OKCdQQlBTJywnTUVBTicsJ0FOTlVBTCcsMjAwOSwwLCwsJycp&amp;WINDOW=FIRST_POPUP&amp;H","EIGHT=450&amp;WIDTH=450&amp;START_MAXIMIZED=FALSE&amp;VAR:CALENDAR=US&amp;VAR:SYMBOL=5497168&amp;VAR:INDEX=0"}</definedName>
    <definedName name="_1440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441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442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443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444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445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446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447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448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449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45__FDSAUDITLINK__" localSheetId="6" hidden="1">{"fdsup://directions/FAT Viewer?action=UPDATE&amp;creator=factset&amp;DYN_ARGS=TRUE&amp;DOC_NAME=FAT:FQL_AUDITING_CLIENT_TEMPLATE.FAT&amp;display_string=Audit&amp;VAR:KEY=RCNCLSNQFI&amp;VAR:QUERY=RkVfVkFMVUFUSU9OKCdQQlBTJywnTUVBTicsJ0FOTlVBTCcsMjAxMiwwLCwsJycp&amp;WINDOW=FIRST_POPUP&amp;H","EIGHT=450&amp;WIDTH=450&amp;START_MAXIMIZED=FALSE&amp;VAR:CALENDAR=US&amp;VAR:INDEX=0"}</definedName>
    <definedName name="_145__FDSAUDITLINK__" localSheetId="8" hidden="1">{"fdsup://directions/FAT Viewer?action=UPDATE&amp;creator=factset&amp;DYN_ARGS=TRUE&amp;DOC_NAME=FAT:FQL_AUDITING_CLIENT_TEMPLATE.FAT&amp;display_string=Audit&amp;VAR:KEY=RCNCLSNQFI&amp;VAR:QUERY=RkVfVkFMVUFUSU9OKCdQQlBTJywnTUVBTicsJ0FOTlVBTCcsMjAxMiwwLCwsJycp&amp;WINDOW=FIRST_POPUP&amp;H","EIGHT=450&amp;WIDTH=450&amp;START_MAXIMIZED=FALSE&amp;VAR:CALENDAR=US&amp;VAR:INDEX=0"}</definedName>
    <definedName name="_145__FDSAUDITLINK__" localSheetId="2" hidden="1">{"fdsup://directions/FAT Viewer?action=UPDATE&amp;creator=factset&amp;DYN_ARGS=TRUE&amp;DOC_NAME=FAT:FQL_AUDITING_CLIENT_TEMPLATE.FAT&amp;display_string=Audit&amp;VAR:KEY=RCNCLSNQFI&amp;VAR:QUERY=RkVfVkFMVUFUSU9OKCdQQlBTJywnTUVBTicsJ0FOTlVBTCcsMjAxMiwwLCwsJycp&amp;WINDOW=FIRST_POPUP&amp;H","EIGHT=450&amp;WIDTH=450&amp;START_MAXIMIZED=FALSE&amp;VAR:CALENDAR=US&amp;VAR:INDEX=0"}</definedName>
    <definedName name="_145__FDSAUDITLINK__" hidden="1">{"fdsup://directions/FAT Viewer?action=UPDATE&amp;creator=factset&amp;DYN_ARGS=TRUE&amp;DOC_NAME=FAT:FQL_AUDITING_CLIENT_TEMPLATE.FAT&amp;display_string=Audit&amp;VAR:KEY=RCNCLSNQFI&amp;VAR:QUERY=RkVfVkFMVUFUSU9OKCdQQlBTJywnTUVBTicsJ0FOTlVBTCcsMjAxMiwwLCwsJycp&amp;WINDOW=FIRST_POPUP&amp;H","EIGHT=450&amp;WIDTH=450&amp;START_MAXIMIZED=FALSE&amp;VAR:CALENDAR=US&amp;VAR:INDEX=0"}</definedName>
    <definedName name="_1450__FDSAUDITLINK__" hidden="1">{"fdsup://directions/FAT Viewer?action=UPDATE&amp;creator=factset&amp;DYN_ARGS=TRUE&amp;DOC_NAME=FAT:FQL_AUDITING_CLIENT_TEMPLATE.FAT&amp;display_string=Audit&amp;VAR:KEY=MZMZIRGRQD&amp;VAR:QUERY=RkZfREVCVChBTk4sMjAwOSk=&amp;WINDOW=FIRST_POPUP&amp;HEIGHT=450&amp;WIDTH=450&amp;START_MAXIMIZED=FALS","E&amp;VAR:CALENDAR=US&amp;VAR:SYMBOL=CMLP&amp;VAR:INDEX=0"}</definedName>
    <definedName name="_1451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452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453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454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455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456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457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458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459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46__FDSAUDITLINK__" localSheetId="6" hidden="1">{"fdsup://directions/FAT Viewer?action=UPDATE&amp;creator=factset&amp;DYN_ARGS=TRUE&amp;DOC_NAME=FAT:FQL_AUDITING_CLIENT_TEMPLATE.FAT&amp;display_string=Audit&amp;VAR:KEY=ZUXAFKPSPW&amp;VAR:QUERY=RkVfVkFMVUFUSU9OKCdQQlBTJywnTUVBTicsJ0FOTlVBTCcsMjAxMSwwLCwsJycp&amp;WINDOW=FIRST_POPUP&amp;H","EIGHT=450&amp;WIDTH=450&amp;START_MAXIMIZED=FALSE&amp;VAR:CALENDAR=US&amp;VAR:INDEX=0"}</definedName>
    <definedName name="_146__FDSAUDITLINK__" localSheetId="8" hidden="1">{"fdsup://directions/FAT Viewer?action=UPDATE&amp;creator=factset&amp;DYN_ARGS=TRUE&amp;DOC_NAME=FAT:FQL_AUDITING_CLIENT_TEMPLATE.FAT&amp;display_string=Audit&amp;VAR:KEY=ZUXAFKPSPW&amp;VAR:QUERY=RkVfVkFMVUFUSU9OKCdQQlBTJywnTUVBTicsJ0FOTlVBTCcsMjAxMSwwLCwsJycp&amp;WINDOW=FIRST_POPUP&amp;H","EIGHT=450&amp;WIDTH=450&amp;START_MAXIMIZED=FALSE&amp;VAR:CALENDAR=US&amp;VAR:INDEX=0"}</definedName>
    <definedName name="_146__FDSAUDITLINK__" localSheetId="2" hidden="1">{"fdsup://directions/FAT Viewer?action=UPDATE&amp;creator=factset&amp;DYN_ARGS=TRUE&amp;DOC_NAME=FAT:FQL_AUDITING_CLIENT_TEMPLATE.FAT&amp;display_string=Audit&amp;VAR:KEY=ZUXAFKPSPW&amp;VAR:QUERY=RkVfVkFMVUFUSU9OKCdQQlBTJywnTUVBTicsJ0FOTlVBTCcsMjAxMSwwLCwsJycp&amp;WINDOW=FIRST_POPUP&amp;H","EIGHT=450&amp;WIDTH=450&amp;START_MAXIMIZED=FALSE&amp;VAR:CALENDAR=US&amp;VAR:INDEX=0"}</definedName>
    <definedName name="_146__FDSAUDITLINK__" hidden="1">{"fdsup://directions/FAT Viewer?action=UPDATE&amp;creator=factset&amp;DYN_ARGS=TRUE&amp;DOC_NAME=FAT:FQL_AUDITING_CLIENT_TEMPLATE.FAT&amp;display_string=Audit&amp;VAR:KEY=ZUXAFKPSPW&amp;VAR:QUERY=RkVfVkFMVUFUSU9OKCdQQlBTJywnTUVBTicsJ0FOTlVBTCcsMjAxMSwwLCwsJycp&amp;WINDOW=FIRST_POPUP&amp;H","EIGHT=450&amp;WIDTH=450&amp;START_MAXIMIZED=FALSE&amp;VAR:CALENDAR=US&amp;VAR:INDEX=0"}</definedName>
    <definedName name="_1460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461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462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463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464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465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466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467__FDSAUDITLINK__" hidden="1">{"fdsup://directions/FAT Viewer?action=UPDATE&amp;creator=factset&amp;DYN_ARGS=TRUE&amp;DOC_NAME=FAT:FQL_AUDITING_CLIENT_TEMPLATE.FAT&amp;display_string=Audit&amp;VAR:KEY=MZMZIRGRQD&amp;VAR:QUERY=RkZfREVCVChBTk4sMjAwOSk=&amp;WINDOW=FIRST_POPUP&amp;HEIGHT=450&amp;WIDTH=450&amp;START_MAXIMIZED=FALS","E&amp;VAR:CALENDAR=US&amp;VAR:SYMBOL=CMLP&amp;VAR:INDEX=0"}</definedName>
    <definedName name="_1468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469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47__FDSAUDITLINK__" localSheetId="6" hidden="1">{"fdsup://directions/FAT Viewer?action=UPDATE&amp;creator=factset&amp;DYN_ARGS=TRUE&amp;DOC_NAME=FAT:FQL_AUDITING_CLIENT_TEMPLATE.FAT&amp;display_string=Audit&amp;VAR:KEY=NUZSVWFEZC&amp;VAR:QUERY=RkVfVkFMVUFUSU9OKCdQQlBTJywnTUVBTicsJ0FOTlVBTCcsMjAxMCwwLCwsJycp&amp;WINDOW=FIRST_POPUP&amp;H","EIGHT=450&amp;WIDTH=450&amp;START_MAXIMIZED=FALSE&amp;VAR:CALENDAR=US&amp;VAR:INDEX=0"}</definedName>
    <definedName name="_147__FDSAUDITLINK__" localSheetId="8" hidden="1">{"fdsup://directions/FAT Viewer?action=UPDATE&amp;creator=factset&amp;DYN_ARGS=TRUE&amp;DOC_NAME=FAT:FQL_AUDITING_CLIENT_TEMPLATE.FAT&amp;display_string=Audit&amp;VAR:KEY=NUZSVWFEZC&amp;VAR:QUERY=RkVfVkFMVUFUSU9OKCdQQlBTJywnTUVBTicsJ0FOTlVBTCcsMjAxMCwwLCwsJycp&amp;WINDOW=FIRST_POPUP&amp;H","EIGHT=450&amp;WIDTH=450&amp;START_MAXIMIZED=FALSE&amp;VAR:CALENDAR=US&amp;VAR:INDEX=0"}</definedName>
    <definedName name="_147__FDSAUDITLINK__" localSheetId="2" hidden="1">{"fdsup://directions/FAT Viewer?action=UPDATE&amp;creator=factset&amp;DYN_ARGS=TRUE&amp;DOC_NAME=FAT:FQL_AUDITING_CLIENT_TEMPLATE.FAT&amp;display_string=Audit&amp;VAR:KEY=NUZSVWFEZC&amp;VAR:QUERY=RkVfVkFMVUFUSU9OKCdQQlBTJywnTUVBTicsJ0FOTlVBTCcsMjAxMCwwLCwsJycp&amp;WINDOW=FIRST_POPUP&amp;H","EIGHT=450&amp;WIDTH=450&amp;START_MAXIMIZED=FALSE&amp;VAR:CALENDAR=US&amp;VAR:INDEX=0"}</definedName>
    <definedName name="_147__FDSAUDITLINK__" hidden="1">{"fdsup://directions/FAT Viewer?action=UPDATE&amp;creator=factset&amp;DYN_ARGS=TRUE&amp;DOC_NAME=FAT:FQL_AUDITING_CLIENT_TEMPLATE.FAT&amp;display_string=Audit&amp;VAR:KEY=NUZSVWFEZC&amp;VAR:QUERY=RkVfVkFMVUFUSU9OKCdQQlBTJywnTUVBTicsJ0FOTlVBTCcsMjAxMCwwLCwsJycp&amp;WINDOW=FIRST_POPUP&amp;H","EIGHT=450&amp;WIDTH=450&amp;START_MAXIMIZED=FALSE&amp;VAR:CALENDAR=US&amp;VAR:INDEX=0"}</definedName>
    <definedName name="_1470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471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472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473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474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475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476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477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478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479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48__FDSAUDITLINK__" localSheetId="6" hidden="1">{"fdsup://directions/FAT Viewer?action=UPDATE&amp;creator=factset&amp;DYN_ARGS=TRUE&amp;DOC_NAME=FAT:FQL_AUDITING_CLIENT_TEMPLATE.FAT&amp;display_string=Audit&amp;VAR:KEY=NAHWJCVMXQ&amp;VAR:QUERY=RkVfVkFMVUFUSU9OKCdQQlBTJywnTUVBTicsJ0FOTlVBTCcsMjAwOSwwLCwsJycp&amp;WINDOW=FIRST_POPUP&amp;H","EIGHT=450&amp;WIDTH=450&amp;START_MAXIMIZED=FALSE&amp;VAR:CALENDAR=US&amp;VAR:INDEX=0"}</definedName>
    <definedName name="_148__FDSAUDITLINK__" localSheetId="8" hidden="1">{"fdsup://directions/FAT Viewer?action=UPDATE&amp;creator=factset&amp;DYN_ARGS=TRUE&amp;DOC_NAME=FAT:FQL_AUDITING_CLIENT_TEMPLATE.FAT&amp;display_string=Audit&amp;VAR:KEY=NAHWJCVMXQ&amp;VAR:QUERY=RkVfVkFMVUFUSU9OKCdQQlBTJywnTUVBTicsJ0FOTlVBTCcsMjAwOSwwLCwsJycp&amp;WINDOW=FIRST_POPUP&amp;H","EIGHT=450&amp;WIDTH=450&amp;START_MAXIMIZED=FALSE&amp;VAR:CALENDAR=US&amp;VAR:INDEX=0"}</definedName>
    <definedName name="_148__FDSAUDITLINK__" localSheetId="2" hidden="1">{"fdsup://directions/FAT Viewer?action=UPDATE&amp;creator=factset&amp;DYN_ARGS=TRUE&amp;DOC_NAME=FAT:FQL_AUDITING_CLIENT_TEMPLATE.FAT&amp;display_string=Audit&amp;VAR:KEY=NAHWJCVMXQ&amp;VAR:QUERY=RkVfVkFMVUFUSU9OKCdQQlBTJywnTUVBTicsJ0FOTlVBTCcsMjAwOSwwLCwsJycp&amp;WINDOW=FIRST_POPUP&amp;H","EIGHT=450&amp;WIDTH=450&amp;START_MAXIMIZED=FALSE&amp;VAR:CALENDAR=US&amp;VAR:INDEX=0"}</definedName>
    <definedName name="_148__FDSAUDITLINK__" hidden="1">{"fdsup://directions/FAT Viewer?action=UPDATE&amp;creator=factset&amp;DYN_ARGS=TRUE&amp;DOC_NAME=FAT:FQL_AUDITING_CLIENT_TEMPLATE.FAT&amp;display_string=Audit&amp;VAR:KEY=NAHWJCVMXQ&amp;VAR:QUERY=RkVfVkFMVUFUSU9OKCdQQlBTJywnTUVBTicsJ0FOTlVBTCcsMjAwOSwwLCwsJycp&amp;WINDOW=FIRST_POPUP&amp;H","EIGHT=450&amp;WIDTH=450&amp;START_MAXIMIZED=FALSE&amp;VAR:CALENDAR=US&amp;VAR:INDEX=0"}</definedName>
    <definedName name="_1480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481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482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483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484__FDSAUDITLINK__" hidden="1">{"fdsup://directions/FAT Viewer?action=UPDATE&amp;creator=factset&amp;DYN_ARGS=TRUE&amp;DOC_NAME=FAT:FQL_AUDITING_CLIENT_TEMPLATE.FAT&amp;display_string=Audit&amp;VAR:KEY=MZMZIRGRQD&amp;VAR:QUERY=RkZfREVCVChBTk4sMjAwOSk=&amp;WINDOW=FIRST_POPUP&amp;HEIGHT=450&amp;WIDTH=450&amp;START_MAXIMIZED=FALS","E&amp;VAR:CALENDAR=US&amp;VAR:SYMBOL=CMLP&amp;VAR:INDEX=0"}</definedName>
    <definedName name="_1485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486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487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488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489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49__FDSAUDITLINK__" localSheetId="6" hidden="1">{"fdsup://directions/FAT Viewer?action=UPDATE&amp;creator=factset&amp;DYN_ARGS=TRUE&amp;DOC_NAME=FAT:FQL_AUDITING_CLIENT_TEMPLATE.FAT&amp;display_string=Audit&amp;VAR:KEY=HYJWBIFEPE&amp;VAR:QUERY=RkVfVkFMVUFUSU9OKCdQQlBTJywnTUVBTicsJ0FOTlVBTCcsMjAxMiwwLCwsJycp&amp;WINDOW=FIRST_POPUP&amp;H","EIGHT=450&amp;WIDTH=450&amp;START_MAXIMIZED=FALSE&amp;VAR:CALENDAR=US&amp;VAR:SYMBOL=5497168&amp;VAR:INDEX=0"}</definedName>
    <definedName name="_149__FDSAUDITLINK__" localSheetId="8" hidden="1">{"fdsup://directions/FAT Viewer?action=UPDATE&amp;creator=factset&amp;DYN_ARGS=TRUE&amp;DOC_NAME=FAT:FQL_AUDITING_CLIENT_TEMPLATE.FAT&amp;display_string=Audit&amp;VAR:KEY=HYJWBIFEPE&amp;VAR:QUERY=RkVfVkFMVUFUSU9OKCdQQlBTJywnTUVBTicsJ0FOTlVBTCcsMjAxMiwwLCwsJycp&amp;WINDOW=FIRST_POPUP&amp;H","EIGHT=450&amp;WIDTH=450&amp;START_MAXIMIZED=FALSE&amp;VAR:CALENDAR=US&amp;VAR:SYMBOL=5497168&amp;VAR:INDEX=0"}</definedName>
    <definedName name="_149__FDSAUDITLINK__" localSheetId="2" hidden="1">{"fdsup://directions/FAT Viewer?action=UPDATE&amp;creator=factset&amp;DYN_ARGS=TRUE&amp;DOC_NAME=FAT:FQL_AUDITING_CLIENT_TEMPLATE.FAT&amp;display_string=Audit&amp;VAR:KEY=HYJWBIFEPE&amp;VAR:QUERY=RkVfVkFMVUFUSU9OKCdQQlBTJywnTUVBTicsJ0FOTlVBTCcsMjAxMiwwLCwsJycp&amp;WINDOW=FIRST_POPUP&amp;H","EIGHT=450&amp;WIDTH=450&amp;START_MAXIMIZED=FALSE&amp;VAR:CALENDAR=US&amp;VAR:SYMBOL=5497168&amp;VAR:INDEX=0"}</definedName>
    <definedName name="_149__FDSAUDITLINK__" hidden="1">{"fdsup://directions/FAT Viewer?action=UPDATE&amp;creator=factset&amp;DYN_ARGS=TRUE&amp;DOC_NAME=FAT:FQL_AUDITING_CLIENT_TEMPLATE.FAT&amp;display_string=Audit&amp;VAR:KEY=HYJWBIFEPE&amp;VAR:QUERY=RkVfVkFMVUFUSU9OKCdQQlBTJywnTUVBTicsJ0FOTlVBTCcsMjAxMiwwLCwsJycp&amp;WINDOW=FIRST_POPUP&amp;H","EIGHT=450&amp;WIDTH=450&amp;START_MAXIMIZED=FALSE&amp;VAR:CALENDAR=US&amp;VAR:SYMBOL=5497168&amp;VAR:INDEX=0"}</definedName>
    <definedName name="_1490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491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492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493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494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495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496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497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498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499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5__FDSAUDITLINK__" localSheetId="6" hidden="1">{"fdsup://directions/FAT Viewer?action=UPDATE&amp;creator=factset&amp;DYN_ARGS=TRUE&amp;DOC_NAME=FAT:FQL_AUDITING_CLIENT_TEMPLATE.FAT&amp;display_string=Audit&amp;VAR:KEY=PEPWDAVAVW&amp;VAR:QUERY=RkVfVkFMVUFUSU9OKCdQQlBTJywnTUVBTicsJ0FOTlVBTCcsMjAwOSwwLCwsJycp&amp;WINDOW=FIRST_POPUP&amp;H","EIGHT=450&amp;WIDTH=450&amp;START_MAXIMIZED=FALSE&amp;VAR:CALENDAR=FIVEDAY&amp;VAR:SYMBOL=615143&amp;VAR:INDEX=0"}</definedName>
    <definedName name="_15__FDSAUDITLINK__" localSheetId="8" hidden="1">{"fdsup://directions/FAT Viewer?action=UPDATE&amp;creator=factset&amp;DYN_ARGS=TRUE&amp;DOC_NAME=FAT:FQL_AUDITING_CLIENT_TEMPLATE.FAT&amp;display_string=Audit&amp;VAR:KEY=PEPWDAVAVW&amp;VAR:QUERY=RkVfVkFMVUFUSU9OKCdQQlBTJywnTUVBTicsJ0FOTlVBTCcsMjAwOSwwLCwsJycp&amp;WINDOW=FIRST_POPUP&amp;H","EIGHT=450&amp;WIDTH=450&amp;START_MAXIMIZED=FALSE&amp;VAR:CALENDAR=FIVEDAY&amp;VAR:SYMBOL=615143&amp;VAR:INDEX=0"}</definedName>
    <definedName name="_15__FDSAUDITLINK__" localSheetId="2" hidden="1">{"fdsup://directions/FAT Viewer?action=UPDATE&amp;creator=factset&amp;DYN_ARGS=TRUE&amp;DOC_NAME=FAT:FQL_AUDITING_CLIENT_TEMPLATE.FAT&amp;display_string=Audit&amp;VAR:KEY=PEPWDAVAVW&amp;VAR:QUERY=RkVfVkFMVUFUSU9OKCdQQlBTJywnTUVBTicsJ0FOTlVBTCcsMjAwOSwwLCwsJycp&amp;WINDOW=FIRST_POPUP&amp;H","EIGHT=450&amp;WIDTH=450&amp;START_MAXIMIZED=FALSE&amp;VAR:CALENDAR=FIVEDAY&amp;VAR:SYMBOL=615143&amp;VAR:INDEX=0"}</definedName>
    <definedName name="_15__FDSAUDITLINK__" hidden="1">{"fdsup://directions/FAT Viewer?action=UPDATE&amp;creator=factset&amp;DYN_ARGS=TRUE&amp;DOC_NAME=FAT:FQL_AUDITING_CLIENT_TEMPLATE.FAT&amp;display_string=Audit&amp;VAR:KEY=PEPWDAVAVW&amp;VAR:QUERY=RkVfVkFMVUFUSU9OKCdQQlBTJywnTUVBTicsJ0FOTlVBTCcsMjAwOSwwLCwsJycp&amp;WINDOW=FIRST_POPUP&amp;H","EIGHT=450&amp;WIDTH=450&amp;START_MAXIMIZED=FALSE&amp;VAR:CALENDAR=FIVEDAY&amp;VAR:SYMBOL=615143&amp;VAR:INDEX=0"}</definedName>
    <definedName name="_150__FDSAUDITLINK__" localSheetId="6" hidden="1">{"fdsup://directions/FAT Viewer?action=UPDATE&amp;creator=factset&amp;DYN_ARGS=TRUE&amp;DOC_NAME=FAT:FQL_AUDITING_CLIENT_TEMPLATE.FAT&amp;display_string=Audit&amp;VAR:KEY=HYJWBIFEPE&amp;VAR:QUERY=RkVfVkFMVUFUSU9OKCdQQlBTJywnTUVBTicsJ0FOTlVBTCcsMjAxMiwwLCwsJycp&amp;WINDOW=FIRST_POPUP&amp;H","EIGHT=450&amp;WIDTH=450&amp;START_MAXIMIZED=FALSE&amp;VAR:CALENDAR=US&amp;VAR:SYMBOL=5497168&amp;VAR:INDEX=0"}</definedName>
    <definedName name="_150__FDSAUDITLINK__" localSheetId="8" hidden="1">{"fdsup://directions/FAT Viewer?action=UPDATE&amp;creator=factset&amp;DYN_ARGS=TRUE&amp;DOC_NAME=FAT:FQL_AUDITING_CLIENT_TEMPLATE.FAT&amp;display_string=Audit&amp;VAR:KEY=HYJWBIFEPE&amp;VAR:QUERY=RkVfVkFMVUFUSU9OKCdQQlBTJywnTUVBTicsJ0FOTlVBTCcsMjAxMiwwLCwsJycp&amp;WINDOW=FIRST_POPUP&amp;H","EIGHT=450&amp;WIDTH=450&amp;START_MAXIMIZED=FALSE&amp;VAR:CALENDAR=US&amp;VAR:SYMBOL=5497168&amp;VAR:INDEX=0"}</definedName>
    <definedName name="_150__FDSAUDITLINK__" localSheetId="2" hidden="1">{"fdsup://directions/FAT Viewer?action=UPDATE&amp;creator=factset&amp;DYN_ARGS=TRUE&amp;DOC_NAME=FAT:FQL_AUDITING_CLIENT_TEMPLATE.FAT&amp;display_string=Audit&amp;VAR:KEY=HYJWBIFEPE&amp;VAR:QUERY=RkVfVkFMVUFUSU9OKCdQQlBTJywnTUVBTicsJ0FOTlVBTCcsMjAxMiwwLCwsJycp&amp;WINDOW=FIRST_POPUP&amp;H","EIGHT=450&amp;WIDTH=450&amp;START_MAXIMIZED=FALSE&amp;VAR:CALENDAR=US&amp;VAR:SYMBOL=5497168&amp;VAR:INDEX=0"}</definedName>
    <definedName name="_150__FDSAUDITLINK__" hidden="1">{"fdsup://directions/FAT Viewer?action=UPDATE&amp;creator=factset&amp;DYN_ARGS=TRUE&amp;DOC_NAME=FAT:FQL_AUDITING_CLIENT_TEMPLATE.FAT&amp;display_string=Audit&amp;VAR:KEY=HYJWBIFEPE&amp;VAR:QUERY=RkVfVkFMVUFUSU9OKCdQQlBTJywnTUVBTicsJ0FOTlVBTCcsMjAxMiwwLCwsJycp&amp;WINDOW=FIRST_POPUP&amp;H","EIGHT=450&amp;WIDTH=450&amp;START_MAXIMIZED=FALSE&amp;VAR:CALENDAR=US&amp;VAR:SYMBOL=5497168&amp;VAR:INDEX=0"}</definedName>
    <definedName name="_1500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501__FDSAUDITLINK__" hidden="1">{"fdsup://directions/FAT Viewer?action=UPDATE&amp;creator=factset&amp;DYN_ARGS=TRUE&amp;DOC_NAME=FAT:FQL_AUDITING_CLIENT_TEMPLATE.FAT&amp;display_string=Audit&amp;VAR:KEY=MZMZIRGRQD&amp;VAR:QUERY=RkZfREVCVChBTk4sMjAwOSk=&amp;WINDOW=FIRST_POPUP&amp;HEIGHT=450&amp;WIDTH=450&amp;START_MAXIMIZED=FALS","E&amp;VAR:CALENDAR=US&amp;VAR:SYMBOL=CMLP&amp;VAR:INDEX=0"}</definedName>
    <definedName name="_1502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503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504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505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506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507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508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509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51__FDSAUDITLINK__" localSheetId="6" hidden="1">{"fdsup://directions/FAT Viewer?action=UPDATE&amp;creator=factset&amp;DYN_ARGS=TRUE&amp;DOC_NAME=FAT:FQL_AUDITING_CLIENT_TEMPLATE.FAT&amp;display_string=Audit&amp;VAR:KEY=NQVWRUXWFO&amp;VAR:QUERY=RkVfVkFMVUFUSU9OKCdQQlBTJywnTUVBTicsJ0FOTlVBTCcsMjAxMSwwLCwsJycp&amp;WINDOW=FIRST_POPUP&amp;H","EIGHT=450&amp;WIDTH=450&amp;START_MAXIMIZED=FALSE&amp;VAR:CALENDAR=US&amp;VAR:SYMBOL=5497168&amp;VAR:INDEX=0"}</definedName>
    <definedName name="_151__FDSAUDITLINK__" localSheetId="8" hidden="1">{"fdsup://directions/FAT Viewer?action=UPDATE&amp;creator=factset&amp;DYN_ARGS=TRUE&amp;DOC_NAME=FAT:FQL_AUDITING_CLIENT_TEMPLATE.FAT&amp;display_string=Audit&amp;VAR:KEY=NQVWRUXWFO&amp;VAR:QUERY=RkVfVkFMVUFUSU9OKCdQQlBTJywnTUVBTicsJ0FOTlVBTCcsMjAxMSwwLCwsJycp&amp;WINDOW=FIRST_POPUP&amp;H","EIGHT=450&amp;WIDTH=450&amp;START_MAXIMIZED=FALSE&amp;VAR:CALENDAR=US&amp;VAR:SYMBOL=5497168&amp;VAR:INDEX=0"}</definedName>
    <definedName name="_151__FDSAUDITLINK__" localSheetId="2" hidden="1">{"fdsup://directions/FAT Viewer?action=UPDATE&amp;creator=factset&amp;DYN_ARGS=TRUE&amp;DOC_NAME=FAT:FQL_AUDITING_CLIENT_TEMPLATE.FAT&amp;display_string=Audit&amp;VAR:KEY=NQVWRUXWFO&amp;VAR:QUERY=RkVfVkFMVUFUSU9OKCdQQlBTJywnTUVBTicsJ0FOTlVBTCcsMjAxMSwwLCwsJycp&amp;WINDOW=FIRST_POPUP&amp;H","EIGHT=450&amp;WIDTH=450&amp;START_MAXIMIZED=FALSE&amp;VAR:CALENDAR=US&amp;VAR:SYMBOL=5497168&amp;VAR:INDEX=0"}</definedName>
    <definedName name="_151__FDSAUDITLINK__" hidden="1">{"fdsup://directions/FAT Viewer?action=UPDATE&amp;creator=factset&amp;DYN_ARGS=TRUE&amp;DOC_NAME=FAT:FQL_AUDITING_CLIENT_TEMPLATE.FAT&amp;display_string=Audit&amp;VAR:KEY=NQVWRUXWFO&amp;VAR:QUERY=RkVfVkFMVUFUSU9OKCdQQlBTJywnTUVBTicsJ0FOTlVBTCcsMjAxMSwwLCwsJycp&amp;WINDOW=FIRST_POPUP&amp;H","EIGHT=450&amp;WIDTH=450&amp;START_MAXIMIZED=FALSE&amp;VAR:CALENDAR=US&amp;VAR:SYMBOL=5497168&amp;VAR:INDEX=0"}</definedName>
    <definedName name="_1510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511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512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513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514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515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516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517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518__FDSAUDITLINK__" hidden="1">{"fdsup://directions/FAT Viewer?action=UPDATE&amp;creator=factset&amp;DYN_ARGS=TRUE&amp;DOC_NAME=FAT:FQL_AUDITING_CLIENT_TEMPLATE.FAT&amp;display_string=Audit&amp;VAR:KEY=MZMZIRGRQD&amp;VAR:QUERY=RkZfREVCVChBTk4sMjAwOSk=&amp;WINDOW=FIRST_POPUP&amp;HEIGHT=450&amp;WIDTH=450&amp;START_MAXIMIZED=FALS","E&amp;VAR:CALENDAR=US&amp;VAR:SYMBOL=CMLP&amp;VAR:INDEX=0"}</definedName>
    <definedName name="_1519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52__FDSAUDITLINK__" localSheetId="6" hidden="1">{"fdsup://directions/FAT Viewer?action=UPDATE&amp;creator=factset&amp;DYN_ARGS=TRUE&amp;DOC_NAME=FAT:FQL_AUDITING_CLIENT_TEMPLATE.FAT&amp;display_string=Audit&amp;VAR:KEY=NQVWRUXWFO&amp;VAR:QUERY=RkVfVkFMVUFUSU9OKCdQQlBTJywnTUVBTicsJ0FOTlVBTCcsMjAxMSwwLCwsJycp&amp;WINDOW=FIRST_POPUP&amp;H","EIGHT=450&amp;WIDTH=450&amp;START_MAXIMIZED=FALSE&amp;VAR:CALENDAR=US&amp;VAR:SYMBOL=5497168&amp;VAR:INDEX=0"}</definedName>
    <definedName name="_152__FDSAUDITLINK__" localSheetId="8" hidden="1">{"fdsup://directions/FAT Viewer?action=UPDATE&amp;creator=factset&amp;DYN_ARGS=TRUE&amp;DOC_NAME=FAT:FQL_AUDITING_CLIENT_TEMPLATE.FAT&amp;display_string=Audit&amp;VAR:KEY=NQVWRUXWFO&amp;VAR:QUERY=RkVfVkFMVUFUSU9OKCdQQlBTJywnTUVBTicsJ0FOTlVBTCcsMjAxMSwwLCwsJycp&amp;WINDOW=FIRST_POPUP&amp;H","EIGHT=450&amp;WIDTH=450&amp;START_MAXIMIZED=FALSE&amp;VAR:CALENDAR=US&amp;VAR:SYMBOL=5497168&amp;VAR:INDEX=0"}</definedName>
    <definedName name="_152__FDSAUDITLINK__" localSheetId="2" hidden="1">{"fdsup://directions/FAT Viewer?action=UPDATE&amp;creator=factset&amp;DYN_ARGS=TRUE&amp;DOC_NAME=FAT:FQL_AUDITING_CLIENT_TEMPLATE.FAT&amp;display_string=Audit&amp;VAR:KEY=NQVWRUXWFO&amp;VAR:QUERY=RkVfVkFMVUFUSU9OKCdQQlBTJywnTUVBTicsJ0FOTlVBTCcsMjAxMSwwLCwsJycp&amp;WINDOW=FIRST_POPUP&amp;H","EIGHT=450&amp;WIDTH=450&amp;START_MAXIMIZED=FALSE&amp;VAR:CALENDAR=US&amp;VAR:SYMBOL=5497168&amp;VAR:INDEX=0"}</definedName>
    <definedName name="_152__FDSAUDITLINK__" hidden="1">{"fdsup://directions/FAT Viewer?action=UPDATE&amp;creator=factset&amp;DYN_ARGS=TRUE&amp;DOC_NAME=FAT:FQL_AUDITING_CLIENT_TEMPLATE.FAT&amp;display_string=Audit&amp;VAR:KEY=NQVWRUXWFO&amp;VAR:QUERY=RkVfVkFMVUFUSU9OKCdQQlBTJywnTUVBTicsJ0FOTlVBTCcsMjAxMSwwLCwsJycp&amp;WINDOW=FIRST_POPUP&amp;H","EIGHT=450&amp;WIDTH=450&amp;START_MAXIMIZED=FALSE&amp;VAR:CALENDAR=US&amp;VAR:SYMBOL=5497168&amp;VAR:INDEX=0"}</definedName>
    <definedName name="_1520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521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522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523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524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525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526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527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528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529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53__FDSAUDITLINK__" localSheetId="6" hidden="1">{"fdsup://directions/FAT Viewer?action=UPDATE&amp;creator=factset&amp;DYN_ARGS=TRUE&amp;DOC_NAME=FAT:FQL_AUDITING_CLIENT_TEMPLATE.FAT&amp;display_string=Audit&amp;VAR:KEY=DGPMDIBWVA&amp;VAR:QUERY=RkVfVkFMVUFUSU9OKCdQQlBTJywnTUVBTicsJ0FOTlVBTCcsMjAxMCwwLCwsJycp&amp;WINDOW=FIRST_POPUP&amp;H","EIGHT=450&amp;WIDTH=450&amp;START_MAXIMIZED=FALSE&amp;VAR:CALENDAR=US&amp;VAR:SYMBOL=5497168&amp;VAR:INDEX=0"}</definedName>
    <definedName name="_153__FDSAUDITLINK__" localSheetId="8" hidden="1">{"fdsup://directions/FAT Viewer?action=UPDATE&amp;creator=factset&amp;DYN_ARGS=TRUE&amp;DOC_NAME=FAT:FQL_AUDITING_CLIENT_TEMPLATE.FAT&amp;display_string=Audit&amp;VAR:KEY=DGPMDIBWVA&amp;VAR:QUERY=RkVfVkFMVUFUSU9OKCdQQlBTJywnTUVBTicsJ0FOTlVBTCcsMjAxMCwwLCwsJycp&amp;WINDOW=FIRST_POPUP&amp;H","EIGHT=450&amp;WIDTH=450&amp;START_MAXIMIZED=FALSE&amp;VAR:CALENDAR=US&amp;VAR:SYMBOL=5497168&amp;VAR:INDEX=0"}</definedName>
    <definedName name="_153__FDSAUDITLINK__" localSheetId="2" hidden="1">{"fdsup://directions/FAT Viewer?action=UPDATE&amp;creator=factset&amp;DYN_ARGS=TRUE&amp;DOC_NAME=FAT:FQL_AUDITING_CLIENT_TEMPLATE.FAT&amp;display_string=Audit&amp;VAR:KEY=DGPMDIBWVA&amp;VAR:QUERY=RkVfVkFMVUFUSU9OKCdQQlBTJywnTUVBTicsJ0FOTlVBTCcsMjAxMCwwLCwsJycp&amp;WINDOW=FIRST_POPUP&amp;H","EIGHT=450&amp;WIDTH=450&amp;START_MAXIMIZED=FALSE&amp;VAR:CALENDAR=US&amp;VAR:SYMBOL=5497168&amp;VAR:INDEX=0"}</definedName>
    <definedName name="_153__FDSAUDITLINK__" hidden="1">{"fdsup://directions/FAT Viewer?action=UPDATE&amp;creator=factset&amp;DYN_ARGS=TRUE&amp;DOC_NAME=FAT:FQL_AUDITING_CLIENT_TEMPLATE.FAT&amp;display_string=Audit&amp;VAR:KEY=DGPMDIBWVA&amp;VAR:QUERY=RkVfVkFMVUFUSU9OKCdQQlBTJywnTUVBTicsJ0FOTlVBTCcsMjAxMCwwLCwsJycp&amp;WINDOW=FIRST_POPUP&amp;H","EIGHT=450&amp;WIDTH=450&amp;START_MAXIMIZED=FALSE&amp;VAR:CALENDAR=US&amp;VAR:SYMBOL=5497168&amp;VAR:INDEX=0"}</definedName>
    <definedName name="_1530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531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532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533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534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535__FDSAUDITLINK__" hidden="1">{"fdsup://directions/FAT Viewer?action=UPDATE&amp;creator=factset&amp;DYN_ARGS=TRUE&amp;DOC_NAME=FAT:FQL_AUDITING_CLIENT_TEMPLATE.FAT&amp;display_string=Audit&amp;VAR:KEY=MZMZIRGRQD&amp;VAR:QUERY=RkZfREVCVChBTk4sMjAwOSk=&amp;WINDOW=FIRST_POPUP&amp;HEIGHT=450&amp;WIDTH=450&amp;START_MAXIMIZED=FALS","E&amp;VAR:CALENDAR=US&amp;VAR:SYMBOL=CMLP&amp;VAR:INDEX=0"}</definedName>
    <definedName name="_1536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537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538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539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54__FDSAUDITLINK__" localSheetId="6" hidden="1">{"fdsup://directions/FAT Viewer?action=UPDATE&amp;creator=factset&amp;DYN_ARGS=TRUE&amp;DOC_NAME=FAT:FQL_AUDITING_CLIENT_TEMPLATE.FAT&amp;display_string=Audit&amp;VAR:KEY=DGPMDIBWVA&amp;VAR:QUERY=RkVfVkFMVUFUSU9OKCdQQlBTJywnTUVBTicsJ0FOTlVBTCcsMjAxMCwwLCwsJycp&amp;WINDOW=FIRST_POPUP&amp;H","EIGHT=450&amp;WIDTH=450&amp;START_MAXIMIZED=FALSE&amp;VAR:CALENDAR=US&amp;VAR:SYMBOL=5497168&amp;VAR:INDEX=0"}</definedName>
    <definedName name="_154__FDSAUDITLINK__" localSheetId="8" hidden="1">{"fdsup://directions/FAT Viewer?action=UPDATE&amp;creator=factset&amp;DYN_ARGS=TRUE&amp;DOC_NAME=FAT:FQL_AUDITING_CLIENT_TEMPLATE.FAT&amp;display_string=Audit&amp;VAR:KEY=DGPMDIBWVA&amp;VAR:QUERY=RkVfVkFMVUFUSU9OKCdQQlBTJywnTUVBTicsJ0FOTlVBTCcsMjAxMCwwLCwsJycp&amp;WINDOW=FIRST_POPUP&amp;H","EIGHT=450&amp;WIDTH=450&amp;START_MAXIMIZED=FALSE&amp;VAR:CALENDAR=US&amp;VAR:SYMBOL=5497168&amp;VAR:INDEX=0"}</definedName>
    <definedName name="_154__FDSAUDITLINK__" localSheetId="2" hidden="1">{"fdsup://directions/FAT Viewer?action=UPDATE&amp;creator=factset&amp;DYN_ARGS=TRUE&amp;DOC_NAME=FAT:FQL_AUDITING_CLIENT_TEMPLATE.FAT&amp;display_string=Audit&amp;VAR:KEY=DGPMDIBWVA&amp;VAR:QUERY=RkVfVkFMVUFUSU9OKCdQQlBTJywnTUVBTicsJ0FOTlVBTCcsMjAxMCwwLCwsJycp&amp;WINDOW=FIRST_POPUP&amp;H","EIGHT=450&amp;WIDTH=450&amp;START_MAXIMIZED=FALSE&amp;VAR:CALENDAR=US&amp;VAR:SYMBOL=5497168&amp;VAR:INDEX=0"}</definedName>
    <definedName name="_154__FDSAUDITLINK__" hidden="1">{"fdsup://directions/FAT Viewer?action=UPDATE&amp;creator=factset&amp;DYN_ARGS=TRUE&amp;DOC_NAME=FAT:FQL_AUDITING_CLIENT_TEMPLATE.FAT&amp;display_string=Audit&amp;VAR:KEY=DGPMDIBWVA&amp;VAR:QUERY=RkVfVkFMVUFUSU9OKCdQQlBTJywnTUVBTicsJ0FOTlVBTCcsMjAxMCwwLCwsJycp&amp;WINDOW=FIRST_POPUP&amp;H","EIGHT=450&amp;WIDTH=450&amp;START_MAXIMIZED=FALSE&amp;VAR:CALENDAR=US&amp;VAR:SYMBOL=5497168&amp;VAR:INDEX=0"}</definedName>
    <definedName name="_1540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541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542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543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544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545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546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547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548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549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55__FDSAUDITLINK__" localSheetId="6" hidden="1">{"fdsup://directions/FAT Viewer?action=UPDATE&amp;creator=factset&amp;DYN_ARGS=TRUE&amp;DOC_NAME=FAT:FQL_AUDITING_CLIENT_TEMPLATE.FAT&amp;display_string=Audit&amp;VAR:KEY=PSRIJSXIZC&amp;VAR:QUERY=RkVfVkFMVUFUSU9OKCdQQlBTJywnTUVBTicsJ0FOTlVBTCcsMjAwOSwwLCwsJycp&amp;WINDOW=FIRST_POPUP&amp;H","EIGHT=450&amp;WIDTH=450&amp;START_MAXIMIZED=FALSE&amp;VAR:CALENDAR=US&amp;VAR:SYMBOL=5497168&amp;VAR:INDEX=0"}</definedName>
    <definedName name="_155__FDSAUDITLINK__" localSheetId="8" hidden="1">{"fdsup://directions/FAT Viewer?action=UPDATE&amp;creator=factset&amp;DYN_ARGS=TRUE&amp;DOC_NAME=FAT:FQL_AUDITING_CLIENT_TEMPLATE.FAT&amp;display_string=Audit&amp;VAR:KEY=PSRIJSXIZC&amp;VAR:QUERY=RkVfVkFMVUFUSU9OKCdQQlBTJywnTUVBTicsJ0FOTlVBTCcsMjAwOSwwLCwsJycp&amp;WINDOW=FIRST_POPUP&amp;H","EIGHT=450&amp;WIDTH=450&amp;START_MAXIMIZED=FALSE&amp;VAR:CALENDAR=US&amp;VAR:SYMBOL=5497168&amp;VAR:INDEX=0"}</definedName>
    <definedName name="_155__FDSAUDITLINK__" localSheetId="2" hidden="1">{"fdsup://directions/FAT Viewer?action=UPDATE&amp;creator=factset&amp;DYN_ARGS=TRUE&amp;DOC_NAME=FAT:FQL_AUDITING_CLIENT_TEMPLATE.FAT&amp;display_string=Audit&amp;VAR:KEY=PSRIJSXIZC&amp;VAR:QUERY=RkVfVkFMVUFUSU9OKCdQQlBTJywnTUVBTicsJ0FOTlVBTCcsMjAwOSwwLCwsJycp&amp;WINDOW=FIRST_POPUP&amp;H","EIGHT=450&amp;WIDTH=450&amp;START_MAXIMIZED=FALSE&amp;VAR:CALENDAR=US&amp;VAR:SYMBOL=5497168&amp;VAR:INDEX=0"}</definedName>
    <definedName name="_155__FDSAUDITLINK__" hidden="1">{"fdsup://directions/FAT Viewer?action=UPDATE&amp;creator=factset&amp;DYN_ARGS=TRUE&amp;DOC_NAME=FAT:FQL_AUDITING_CLIENT_TEMPLATE.FAT&amp;display_string=Audit&amp;VAR:KEY=PSRIJSXIZC&amp;VAR:QUERY=RkVfVkFMVUFUSU9OKCdQQlBTJywnTUVBTicsJ0FOTlVBTCcsMjAwOSwwLCwsJycp&amp;WINDOW=FIRST_POPUP&amp;H","EIGHT=450&amp;WIDTH=450&amp;START_MAXIMIZED=FALSE&amp;VAR:CALENDAR=US&amp;VAR:SYMBOL=5497168&amp;VAR:INDEX=0"}</definedName>
    <definedName name="_1550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551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552__FDSAUDITLINK__" hidden="1">{"fdsup://directions/FAT Viewer?action=UPDATE&amp;creator=factset&amp;DYN_ARGS=TRUE&amp;DOC_NAME=FAT:FQL_AUDITING_CLIENT_TEMPLATE.FAT&amp;display_string=Audit&amp;VAR:KEY=MZMZIRGRQD&amp;VAR:QUERY=RkZfREVCVChBTk4sMjAwOSk=&amp;WINDOW=FIRST_POPUP&amp;HEIGHT=450&amp;WIDTH=450&amp;START_MAXIMIZED=FALS","E&amp;VAR:CALENDAR=US&amp;VAR:SYMBOL=CMLP&amp;VAR:INDEX=0"}</definedName>
    <definedName name="_1553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554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555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556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557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558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559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56__FDSAUDITLINK__" localSheetId="6" hidden="1">{"fdsup://directions/FAT Viewer?action=UPDATE&amp;creator=factset&amp;DYN_ARGS=TRUE&amp;DOC_NAME=FAT:FQL_AUDITING_CLIENT_TEMPLATE.FAT&amp;display_string=Audit&amp;VAR:KEY=PSRIJSXIZC&amp;VAR:QUERY=RkVfVkFMVUFUSU9OKCdQQlBTJywnTUVBTicsJ0FOTlVBTCcsMjAwOSwwLCwsJycp&amp;WINDOW=FIRST_POPUP&amp;H","EIGHT=450&amp;WIDTH=450&amp;START_MAXIMIZED=FALSE&amp;VAR:CALENDAR=US&amp;VAR:SYMBOL=5497168&amp;VAR:INDEX=0"}</definedName>
    <definedName name="_156__FDSAUDITLINK__" localSheetId="8" hidden="1">{"fdsup://directions/FAT Viewer?action=UPDATE&amp;creator=factset&amp;DYN_ARGS=TRUE&amp;DOC_NAME=FAT:FQL_AUDITING_CLIENT_TEMPLATE.FAT&amp;display_string=Audit&amp;VAR:KEY=PSRIJSXIZC&amp;VAR:QUERY=RkVfVkFMVUFUSU9OKCdQQlBTJywnTUVBTicsJ0FOTlVBTCcsMjAwOSwwLCwsJycp&amp;WINDOW=FIRST_POPUP&amp;H","EIGHT=450&amp;WIDTH=450&amp;START_MAXIMIZED=FALSE&amp;VAR:CALENDAR=US&amp;VAR:SYMBOL=5497168&amp;VAR:INDEX=0"}</definedName>
    <definedName name="_156__FDSAUDITLINK__" localSheetId="2" hidden="1">{"fdsup://directions/FAT Viewer?action=UPDATE&amp;creator=factset&amp;DYN_ARGS=TRUE&amp;DOC_NAME=FAT:FQL_AUDITING_CLIENT_TEMPLATE.FAT&amp;display_string=Audit&amp;VAR:KEY=PSRIJSXIZC&amp;VAR:QUERY=RkVfVkFMVUFUSU9OKCdQQlBTJywnTUVBTicsJ0FOTlVBTCcsMjAwOSwwLCwsJycp&amp;WINDOW=FIRST_POPUP&amp;H","EIGHT=450&amp;WIDTH=450&amp;START_MAXIMIZED=FALSE&amp;VAR:CALENDAR=US&amp;VAR:SYMBOL=5497168&amp;VAR:INDEX=0"}</definedName>
    <definedName name="_156__FDSAUDITLINK__" hidden="1">{"fdsup://directions/FAT Viewer?action=UPDATE&amp;creator=factset&amp;DYN_ARGS=TRUE&amp;DOC_NAME=FAT:FQL_AUDITING_CLIENT_TEMPLATE.FAT&amp;display_string=Audit&amp;VAR:KEY=PSRIJSXIZC&amp;VAR:QUERY=RkVfVkFMVUFUSU9OKCdQQlBTJywnTUVBTicsJ0FOTlVBTCcsMjAwOSwwLCwsJycp&amp;WINDOW=FIRST_POPUP&amp;H","EIGHT=450&amp;WIDTH=450&amp;START_MAXIMIZED=FALSE&amp;VAR:CALENDAR=US&amp;VAR:SYMBOL=5497168&amp;VAR:INDEX=0"}</definedName>
    <definedName name="_1560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561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562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563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564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565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566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567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568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569__FDSAUDITLINK__" hidden="1">{"fdsup://directions/FAT Viewer?action=UPDATE&amp;creator=factset&amp;DYN_ARGS=TRUE&amp;DOC_NAME=FAT:FQL_AUDITING_CLIENT_TEMPLATE.FAT&amp;display_string=Audit&amp;VAR:KEY=MZMZIRGRQD&amp;VAR:QUERY=RkZfREVCVChBTk4sMjAwOSk=&amp;WINDOW=FIRST_POPUP&amp;HEIGHT=450&amp;WIDTH=450&amp;START_MAXIMIZED=FALS","E&amp;VAR:CALENDAR=US&amp;VAR:SYMBOL=CMLP&amp;VAR:INDEX=0"}</definedName>
    <definedName name="_157__FDSAUDITLINK__" hidden="1">{"fdsup://directions/FAT Viewer?action=UPDATE&amp;creator=factset&amp;DYN_ARGS=TRUE&amp;DOC_NAME=FAT:FQL_AUDITING_CLIENT_TEMPLATE.FAT&amp;display_string=Audit&amp;VAR:KEY=NYPEJEXQRW&amp;VAR:QUERY=RkZfREVCVChBTk4sMjAwOSk=&amp;WINDOW=FIRST_POPUP&amp;HEIGHT=450&amp;WIDTH=450&amp;START_MAXIMIZED=FALS","E&amp;VAR:CALENDAR=US&amp;VAR:SYMBOL=HEP&amp;VAR:INDEX=0"}</definedName>
    <definedName name="_1570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571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572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573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574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575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576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577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578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579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58__FDSAUDITLINK__" hidden="1">{"fdsup://directions/FAT Viewer?action=UPDATE&amp;creator=factset&amp;DYN_ARGS=TRUE&amp;DOC_NAME=FAT:FQL_AUDITING_CLIENT_TEMPLATE.FAT&amp;display_string=Audit&amp;VAR:KEY=NYPEJEXQRW&amp;VAR:QUERY=RkZfREVCVChBTk4sMjAwOSk=&amp;WINDOW=FIRST_POPUP&amp;HEIGHT=450&amp;WIDTH=450&amp;START_MAXIMIZED=FALS","E&amp;VAR:CALENDAR=US&amp;VAR:SYMBOL=HEP&amp;VAR:INDEX=0"}</definedName>
    <definedName name="_1580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581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582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583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584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585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586__FDSAUDITLINK__" hidden="1">{"fdsup://directions/FAT Viewer?action=UPDATE&amp;creator=factset&amp;DYN_ARGS=TRUE&amp;DOC_NAME=FAT:FQL_AUDITING_CLIENT_TEMPLATE.FAT&amp;display_string=Audit&amp;VAR:KEY=MZMZIRGRQD&amp;VAR:QUERY=RkZfREVCVChBTk4sMjAwOSk=&amp;WINDOW=FIRST_POPUP&amp;HEIGHT=450&amp;WIDTH=450&amp;START_MAXIMIZED=FALS","E&amp;VAR:CALENDAR=US&amp;VAR:SYMBOL=CMLP&amp;VAR:INDEX=0"}</definedName>
    <definedName name="_1587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588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589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59__FDSAUDITLINK__" hidden="1">{"fdsup://directions/FAT Viewer?action=UPDATE&amp;creator=factset&amp;DYN_ARGS=TRUE&amp;DOC_NAME=FAT:FQL_AUDITING_CLIENT_TEMPLATE.FAT&amp;display_string=Audit&amp;VAR:KEY=NYPEJEXQRW&amp;VAR:QUERY=RkZfREVCVChBTk4sMjAwOSk=&amp;WINDOW=FIRST_POPUP&amp;HEIGHT=450&amp;WIDTH=450&amp;START_MAXIMIZED=FALS","E&amp;VAR:CALENDAR=US&amp;VAR:SYMBOL=HEP&amp;VAR:INDEX=0"}</definedName>
    <definedName name="_1590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591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592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593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594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595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596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597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598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599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6__FDSAUDITLINK__" localSheetId="6" hidden="1">{"fdsup://directions/FAT Viewer?action=UPDATE&amp;creator=factset&amp;DYN_ARGS=TRUE&amp;DOC_NAME=FAT:FQL_AUDITING_CLIENT_TEMPLATE.FAT&amp;display_string=Audit&amp;VAR:KEY=ZENALIHQZU&amp;VAR:QUERY=RkVfVkFMVUFUSU9OKCdQQlBTJywnTUVBTicsJ0FOTlVBTCcsMjAxMiwwLCwsJycp&amp;WINDOW=FIRST_POPUP&amp;H","EIGHT=450&amp;WIDTH=450&amp;START_MAXIMIZED=FALSE&amp;VAR:CALENDAR=FIVEDAY&amp;VAR:SYMBOL=669728&amp;VAR:INDEX=0"}</definedName>
    <definedName name="_16__FDSAUDITLINK__" localSheetId="8" hidden="1">{"fdsup://directions/FAT Viewer?action=UPDATE&amp;creator=factset&amp;DYN_ARGS=TRUE&amp;DOC_NAME=FAT:FQL_AUDITING_CLIENT_TEMPLATE.FAT&amp;display_string=Audit&amp;VAR:KEY=ZENALIHQZU&amp;VAR:QUERY=RkVfVkFMVUFUSU9OKCdQQlBTJywnTUVBTicsJ0FOTlVBTCcsMjAxMiwwLCwsJycp&amp;WINDOW=FIRST_POPUP&amp;H","EIGHT=450&amp;WIDTH=450&amp;START_MAXIMIZED=FALSE&amp;VAR:CALENDAR=FIVEDAY&amp;VAR:SYMBOL=669728&amp;VAR:INDEX=0"}</definedName>
    <definedName name="_16__FDSAUDITLINK__" localSheetId="2" hidden="1">{"fdsup://directions/FAT Viewer?action=UPDATE&amp;creator=factset&amp;DYN_ARGS=TRUE&amp;DOC_NAME=FAT:FQL_AUDITING_CLIENT_TEMPLATE.FAT&amp;display_string=Audit&amp;VAR:KEY=ZENALIHQZU&amp;VAR:QUERY=RkVfVkFMVUFUSU9OKCdQQlBTJywnTUVBTicsJ0FOTlVBTCcsMjAxMiwwLCwsJycp&amp;WINDOW=FIRST_POPUP&amp;H","EIGHT=450&amp;WIDTH=450&amp;START_MAXIMIZED=FALSE&amp;VAR:CALENDAR=FIVEDAY&amp;VAR:SYMBOL=669728&amp;VAR:INDEX=0"}</definedName>
    <definedName name="_16__FDSAUDITLINK__" hidden="1">{"fdsup://directions/FAT Viewer?action=UPDATE&amp;creator=factset&amp;DYN_ARGS=TRUE&amp;DOC_NAME=FAT:FQL_AUDITING_CLIENT_TEMPLATE.FAT&amp;display_string=Audit&amp;VAR:KEY=ZENALIHQZU&amp;VAR:QUERY=RkVfVkFMVUFUSU9OKCdQQlBTJywnTUVBTicsJ0FOTlVBTCcsMjAxMiwwLCwsJycp&amp;WINDOW=FIRST_POPUP&amp;H","EIGHT=450&amp;WIDTH=450&amp;START_MAXIMIZED=FALSE&amp;VAR:CALENDAR=FIVEDAY&amp;VAR:SYMBOL=669728&amp;VAR:INDEX=0"}</definedName>
    <definedName name="_160__FDSAUDITLINK__" hidden="1">{"fdsup://directions/FAT Viewer?action=UPDATE&amp;creator=factset&amp;DYN_ARGS=TRUE&amp;DOC_NAME=FAT:FQL_AUDITING_CLIENT_TEMPLATE.FAT&amp;display_string=Audit&amp;VAR:KEY=NYPEJEXQRW&amp;VAR:QUERY=RkZfREVCVChBTk4sMjAwOSk=&amp;WINDOW=FIRST_POPUP&amp;HEIGHT=450&amp;WIDTH=450&amp;START_MAXIMIZED=FALS","E&amp;VAR:CALENDAR=US&amp;VAR:SYMBOL=HEP&amp;VAR:INDEX=0"}</definedName>
    <definedName name="_1600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601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602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603__FDSAUDITLINK__" hidden="1">{"fdsup://directions/FAT Viewer?action=UPDATE&amp;creator=factset&amp;DYN_ARGS=TRUE&amp;DOC_NAME=FAT:FQL_AUDITING_CLIENT_TEMPLATE.FAT&amp;display_string=Audit&amp;VAR:KEY=MZMZIRGRQD&amp;VAR:QUERY=RkZfREVCVChBTk4sMjAwOSk=&amp;WINDOW=FIRST_POPUP&amp;HEIGHT=450&amp;WIDTH=450&amp;START_MAXIMIZED=FALS","E&amp;VAR:CALENDAR=US&amp;VAR:SYMBOL=CMLP&amp;VAR:INDEX=0"}</definedName>
    <definedName name="_1604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605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606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607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608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609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61__FDSAUDITLINK__" hidden="1">{"fdsup://directions/FAT Viewer?action=UPDATE&amp;creator=factset&amp;DYN_ARGS=TRUE&amp;DOC_NAME=FAT:FQL_AUDITING_CLIENT_TEMPLATE.FAT&amp;display_string=Audit&amp;VAR:KEY=SLQTUJOJMJ&amp;VAR:QUERY=RkZfREVCVChBTk4sMjAwOSk=&amp;WINDOW=FIRST_POPUP&amp;HEIGHT=450&amp;WIDTH=450&amp;START_MAXIMIZED=FALS","E&amp;VAR:CALENDAR=US&amp;VAR:SYMBOL=EROC&amp;VAR:INDEX=0"}</definedName>
    <definedName name="_1610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611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612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613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614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615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616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617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618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619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62__FDSAUDITLINK__" hidden="1">{"fdsup://directions/FAT Viewer?action=UPDATE&amp;creator=factset&amp;DYN_ARGS=TRUE&amp;DOC_NAME=FAT:FQL_AUDITING_CLIENT_TEMPLATE.FAT&amp;display_string=Audit&amp;VAR:KEY=SLQTUJOJMJ&amp;VAR:QUERY=RkZfREVCVChBTk4sMjAwOSk=&amp;WINDOW=FIRST_POPUP&amp;HEIGHT=450&amp;WIDTH=450&amp;START_MAXIMIZED=FALS","E&amp;VAR:CALENDAR=US&amp;VAR:SYMBOL=EROC&amp;VAR:INDEX=0"}</definedName>
    <definedName name="_1620__FDSAUDITLINK__" hidden="1">{"fdsup://directions/FAT Viewer?action=UPDATE&amp;creator=factset&amp;DYN_ARGS=TRUE&amp;DOC_NAME=FAT:FQL_AUDITING_CLIENT_TEMPLATE.FAT&amp;display_string=Audit&amp;VAR:KEY=MZMZIRGRQD&amp;VAR:QUERY=RkZfREVCVChBTk4sMjAwOSk=&amp;WINDOW=FIRST_POPUP&amp;HEIGHT=450&amp;WIDTH=450&amp;START_MAXIMIZED=FALS","E&amp;VAR:CALENDAR=US&amp;VAR:SYMBOL=CMLP&amp;VAR:INDEX=0"}</definedName>
    <definedName name="_1621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622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623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624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625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626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627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628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629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63__FDSAUDITLINK__" hidden="1">{"fdsup://directions/FAT Viewer?action=UPDATE&amp;creator=factset&amp;DYN_ARGS=TRUE&amp;DOC_NAME=FAT:FQL_AUDITING_CLIENT_TEMPLATE.FAT&amp;display_string=Audit&amp;VAR:KEY=SLQTUJOJMJ&amp;VAR:QUERY=RkZfREVCVChBTk4sMjAwOSk=&amp;WINDOW=FIRST_POPUP&amp;HEIGHT=450&amp;WIDTH=450&amp;START_MAXIMIZED=FALS","E&amp;VAR:CALENDAR=US&amp;VAR:SYMBOL=EROC&amp;VAR:INDEX=0"}</definedName>
    <definedName name="_1630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631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632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633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634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635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636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637__FDSAUDITLINK__" hidden="1">{"fdsup://directions/FAT Viewer?action=UPDATE&amp;creator=factset&amp;DYN_ARGS=TRUE&amp;DOC_NAME=FAT:FQL_AUDITING_CLIENT_TEMPLATE.FAT&amp;display_string=Audit&amp;VAR:KEY=MZMZIRGRQD&amp;VAR:QUERY=RkZfREVCVChBTk4sMjAwOSk=&amp;WINDOW=FIRST_POPUP&amp;HEIGHT=450&amp;WIDTH=450&amp;START_MAXIMIZED=FALS","E&amp;VAR:CALENDAR=US&amp;VAR:SYMBOL=CMLP&amp;VAR:INDEX=0"}</definedName>
    <definedName name="_1638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639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64__FDSAUDITLINK__" hidden="1">{"fdsup://directions/FAT Viewer?action=UPDATE&amp;creator=factset&amp;DYN_ARGS=TRUE&amp;DOC_NAME=FAT:FQL_AUDITING_CLIENT_TEMPLATE.FAT&amp;display_string=Audit&amp;VAR:KEY=UPUXCLQTKL&amp;VAR:QUERY=RkZfREVCVChBTk4sMjAxMCk=&amp;WINDOW=FIRST_POPUP&amp;HEIGHT=450&amp;WIDTH=450&amp;START_MAXIMIZED=FALS","E&amp;VAR:CALENDAR=US&amp;VAR:SYMBOL=CMLP&amp;VAR:INDEX=0"}</definedName>
    <definedName name="_1640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641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642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643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644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645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646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647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648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649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65__FDSAUDITLINK__" hidden="1">{"fdsup://directions/FAT Viewer?action=UPDATE&amp;creator=factset&amp;DYN_ARGS=TRUE&amp;DOC_NAME=FAT:FQL_AUDITING_CLIENT_TEMPLATE.FAT&amp;display_string=Audit&amp;VAR:KEY=UPUXCLQTKL&amp;VAR:QUERY=RkZfREVCVChBTk4sMjAxMCk=&amp;WINDOW=FIRST_POPUP&amp;HEIGHT=450&amp;WIDTH=450&amp;START_MAXIMIZED=FALS","E&amp;VAR:CALENDAR=US&amp;VAR:SYMBOL=CMLP&amp;VAR:INDEX=0"}</definedName>
    <definedName name="_1650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651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652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653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654__FDSAUDITLINK__" hidden="1">{"fdsup://directions/FAT Viewer?action=UPDATE&amp;creator=factset&amp;DYN_ARGS=TRUE&amp;DOC_NAME=FAT:FQL_AUDITING_CLIENT_TEMPLATE.FAT&amp;display_string=Audit&amp;VAR:KEY=MZMZIRGRQD&amp;VAR:QUERY=RkZfREVCVChBTk4sMjAwOSk=&amp;WINDOW=FIRST_POPUP&amp;HEIGHT=450&amp;WIDTH=450&amp;START_MAXIMIZED=FALS","E&amp;VAR:CALENDAR=US&amp;VAR:SYMBOL=CMLP&amp;VAR:INDEX=0"}</definedName>
    <definedName name="_1655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656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657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658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659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66__FDSAUDITLINK__" hidden="1">{"fdsup://directions/FAT Viewer?action=UPDATE&amp;creator=factset&amp;DYN_ARGS=TRUE&amp;DOC_NAME=FAT:FQL_AUDITING_CLIENT_TEMPLATE.FAT&amp;display_string=Audit&amp;VAR:KEY=UPUXCLQTKL&amp;VAR:QUERY=RkZfREVCVChBTk4sMjAxMCk=&amp;WINDOW=FIRST_POPUP&amp;HEIGHT=450&amp;WIDTH=450&amp;START_MAXIMIZED=FALS","E&amp;VAR:CALENDAR=US&amp;VAR:SYMBOL=CMLP&amp;VAR:INDEX=0"}</definedName>
    <definedName name="_1660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661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662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663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664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665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666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667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668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669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67__FDSAUDITLINK__" hidden="1">{"fdsup://directions/FAT Viewer?action=UPDATE&amp;creator=factset&amp;DYN_ARGS=TRUE&amp;DOC_NAME=FAT:FQL_AUDITING_CLIENT_TEMPLATE.FAT&amp;display_string=Audit&amp;VAR:KEY=HSTMHUVIPE&amp;VAR:QUERY=RkZfREVCVChBTk4sMjAwOSk=&amp;WINDOW=FIRST_POPUP&amp;HEIGHT=450&amp;WIDTH=450&amp;START_MAXIMIZED=FALS","E&amp;VAR:CALENDAR=US&amp;VAR:SYMBOL=TLP&amp;VAR:INDEX=0"}</definedName>
    <definedName name="_1670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671__FDSAUDITLINK__" hidden="1">{"fdsup://directions/FAT Viewer?action=UPDATE&amp;creator=factset&amp;DYN_ARGS=TRUE&amp;DOC_NAME=FAT:FQL_AUDITING_CLIENT_TEMPLATE.FAT&amp;display_string=Audit&amp;VAR:KEY=MZMZIRGRQD&amp;VAR:QUERY=RkZfREVCVChBTk4sMjAwOSk=&amp;WINDOW=FIRST_POPUP&amp;HEIGHT=450&amp;WIDTH=450&amp;START_MAXIMIZED=FALS","E&amp;VAR:CALENDAR=US&amp;VAR:SYMBOL=CMLP&amp;VAR:INDEX=0"}</definedName>
    <definedName name="_1672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673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674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675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676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677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678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679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68__FDSAUDITLINK__" hidden="1">{"fdsup://directions/FAT Viewer?action=UPDATE&amp;creator=factset&amp;DYN_ARGS=TRUE&amp;DOC_NAME=FAT:FQL_AUDITING_CLIENT_TEMPLATE.FAT&amp;display_string=Audit&amp;VAR:KEY=HSTMHUVIPE&amp;VAR:QUERY=RkZfREVCVChBTk4sMjAwOSk=&amp;WINDOW=FIRST_POPUP&amp;HEIGHT=450&amp;WIDTH=450&amp;START_MAXIMIZED=FALS","E&amp;VAR:CALENDAR=US&amp;VAR:SYMBOL=TLP&amp;VAR:INDEX=0"}</definedName>
    <definedName name="_1680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681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682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683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684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685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686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687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688__FDSAUDITLINK__" hidden="1">{"fdsup://directions/FAT Viewer?action=UPDATE&amp;creator=factset&amp;DYN_ARGS=TRUE&amp;DOC_NAME=FAT:FQL_AUDITING_CLIENT_TEMPLATE.FAT&amp;display_string=Audit&amp;VAR:KEY=MZMZIRGRQD&amp;VAR:QUERY=RkZfREVCVChBTk4sMjAwOSk=&amp;WINDOW=FIRST_POPUP&amp;HEIGHT=450&amp;WIDTH=450&amp;START_MAXIMIZED=FALS","E&amp;VAR:CALENDAR=US&amp;VAR:SYMBOL=CMLP&amp;VAR:INDEX=0"}</definedName>
    <definedName name="_1689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69__FDSAUDITLINK__" hidden="1">{"fdsup://directions/FAT Viewer?action=UPDATE&amp;creator=factset&amp;DYN_ARGS=TRUE&amp;DOC_NAME=FAT:FQL_AUDITING_CLIENT_TEMPLATE.FAT&amp;display_string=Audit&amp;VAR:KEY=HSTMHUVIPE&amp;VAR:QUERY=RkZfREVCVChBTk4sMjAwOSk=&amp;WINDOW=FIRST_POPUP&amp;HEIGHT=450&amp;WIDTH=450&amp;START_MAXIMIZED=FALS","E&amp;VAR:CALENDAR=US&amp;VAR:SYMBOL=TLP&amp;VAR:INDEX=0"}</definedName>
    <definedName name="_1690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691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692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693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694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695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696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697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698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699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7__FDSAUDITLINK__" localSheetId="6" hidden="1">{"fdsup://directions/FAT Viewer?action=UPDATE&amp;creator=factset&amp;DYN_ARGS=TRUE&amp;DOC_NAME=FAT:FQL_AUDITING_CLIENT_TEMPLATE.FAT&amp;display_string=Audit&amp;VAR:KEY=NEFKFOZQBK&amp;VAR:QUERY=RkVfVkFMVUFUSU9OKCdQQlBTJywnTUVBTicsJ0FOTlVBTCcsMjAxMSwwLCwsJycp&amp;WINDOW=FIRST_POPUP&amp;H","EIGHT=450&amp;WIDTH=450&amp;START_MAXIMIZED=FALSE&amp;VAR:CALENDAR=FIVEDAY&amp;VAR:SYMBOL=669728&amp;VAR:INDEX=0"}</definedName>
    <definedName name="_17__FDSAUDITLINK__" localSheetId="8" hidden="1">{"fdsup://directions/FAT Viewer?action=UPDATE&amp;creator=factset&amp;DYN_ARGS=TRUE&amp;DOC_NAME=FAT:FQL_AUDITING_CLIENT_TEMPLATE.FAT&amp;display_string=Audit&amp;VAR:KEY=NEFKFOZQBK&amp;VAR:QUERY=RkVfVkFMVUFUSU9OKCdQQlBTJywnTUVBTicsJ0FOTlVBTCcsMjAxMSwwLCwsJycp&amp;WINDOW=FIRST_POPUP&amp;H","EIGHT=450&amp;WIDTH=450&amp;START_MAXIMIZED=FALSE&amp;VAR:CALENDAR=FIVEDAY&amp;VAR:SYMBOL=669728&amp;VAR:INDEX=0"}</definedName>
    <definedName name="_17__FDSAUDITLINK__" localSheetId="2" hidden="1">{"fdsup://directions/FAT Viewer?action=UPDATE&amp;creator=factset&amp;DYN_ARGS=TRUE&amp;DOC_NAME=FAT:FQL_AUDITING_CLIENT_TEMPLATE.FAT&amp;display_string=Audit&amp;VAR:KEY=NEFKFOZQBK&amp;VAR:QUERY=RkVfVkFMVUFUSU9OKCdQQlBTJywnTUVBTicsJ0FOTlVBTCcsMjAxMSwwLCwsJycp&amp;WINDOW=FIRST_POPUP&amp;H","EIGHT=450&amp;WIDTH=450&amp;START_MAXIMIZED=FALSE&amp;VAR:CALENDAR=FIVEDAY&amp;VAR:SYMBOL=669728&amp;VAR:INDEX=0"}</definedName>
    <definedName name="_17__FDSAUDITLINK__" hidden="1">{"fdsup://directions/FAT Viewer?action=UPDATE&amp;creator=factset&amp;DYN_ARGS=TRUE&amp;DOC_NAME=FAT:FQL_AUDITING_CLIENT_TEMPLATE.FAT&amp;display_string=Audit&amp;VAR:KEY=NEFKFOZQBK&amp;VAR:QUERY=RkVfVkFMVUFUSU9OKCdQQlBTJywnTUVBTicsJ0FOTlVBTCcsMjAxMSwwLCwsJycp&amp;WINDOW=FIRST_POPUP&amp;H","EIGHT=450&amp;WIDTH=450&amp;START_MAXIMIZED=FALSE&amp;VAR:CALENDAR=FIVEDAY&amp;VAR:SYMBOL=669728&amp;VAR:INDEX=0"}</definedName>
    <definedName name="_170__FDSAUDITLINK__" hidden="1">{"fdsup://directions/FAT Viewer?action=UPDATE&amp;creator=factset&amp;DYN_ARGS=TRUE&amp;DOC_NAME=FAT:FQL_AUDITING_CLIENT_TEMPLATE.FAT&amp;display_string=Audit&amp;VAR:KEY=NYPEJEXQRW&amp;VAR:QUERY=RkZfREVCVChBTk4sMjAwOSk=&amp;WINDOW=FIRST_POPUP&amp;HEIGHT=450&amp;WIDTH=450&amp;START_MAXIMIZED=FALS","E&amp;VAR:CALENDAR=US&amp;VAR:SYMBOL=HEP&amp;VAR:INDEX=0"}</definedName>
    <definedName name="_1700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701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702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703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704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705__FDSAUDITLINK__" hidden="1">{"fdsup://directions/FAT Viewer?action=UPDATE&amp;creator=factset&amp;DYN_ARGS=TRUE&amp;DOC_NAME=FAT:FQL_AUDITING_CLIENT_TEMPLATE.FAT&amp;display_string=Audit&amp;VAR:KEY=MZMZIRGRQD&amp;VAR:QUERY=RkZfREVCVChBTk4sMjAwOSk=&amp;WINDOW=FIRST_POPUP&amp;HEIGHT=450&amp;WIDTH=450&amp;START_MAXIMIZED=FALS","E&amp;VAR:CALENDAR=US&amp;VAR:SYMBOL=CMLP&amp;VAR:INDEX=0"}</definedName>
    <definedName name="_1706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707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708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709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71__FDSAUDITLINK__" hidden="1">{"fdsup://directions/FAT Viewer?action=UPDATE&amp;creator=factset&amp;DYN_ARGS=TRUE&amp;DOC_NAME=FAT:FQL_AUDITING_CLIENT_TEMPLATE.FAT&amp;display_string=Audit&amp;VAR:KEY=NYPEJEXQRW&amp;VAR:QUERY=RkZfREVCVChBTk4sMjAwOSk=&amp;WINDOW=FIRST_POPUP&amp;HEIGHT=450&amp;WIDTH=450&amp;START_MAXIMIZED=FALS","E&amp;VAR:CALENDAR=US&amp;VAR:SYMBOL=HEP&amp;VAR:INDEX=0"}</definedName>
    <definedName name="_1710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711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712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713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714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715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716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717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718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719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72__FDSAUDITLINK__" hidden="1">{"fdsup://directions/FAT Viewer?action=UPDATE&amp;creator=factset&amp;DYN_ARGS=TRUE&amp;DOC_NAME=FAT:FQL_AUDITING_CLIENT_TEMPLATE.FAT&amp;display_string=Audit&amp;VAR:KEY=NYPEJEXQRW&amp;VAR:QUERY=RkZfREVCVChBTk4sMjAwOSk=&amp;WINDOW=FIRST_POPUP&amp;HEIGHT=450&amp;WIDTH=450&amp;START_MAXIMIZED=FALS","E&amp;VAR:CALENDAR=US&amp;VAR:SYMBOL=HEP&amp;VAR:INDEX=0"}</definedName>
    <definedName name="_1720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721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722__FDSAUDITLINK__" hidden="1">{"fdsup://directions/FAT Viewer?action=UPDATE&amp;creator=factset&amp;DYN_ARGS=TRUE&amp;DOC_NAME=FAT:FQL_AUDITING_CLIENT_TEMPLATE.FAT&amp;display_string=Audit&amp;VAR:KEY=MZMZIRGRQD&amp;VAR:QUERY=RkZfREVCVChBTk4sMjAwOSk=&amp;WINDOW=FIRST_POPUP&amp;HEIGHT=450&amp;WIDTH=450&amp;START_MAXIMIZED=FALS","E&amp;VAR:CALENDAR=US&amp;VAR:SYMBOL=CMLP&amp;VAR:INDEX=0"}</definedName>
    <definedName name="_1723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724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725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726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727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728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729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73__FDSAUDITLINK__" hidden="1">{"fdsup://directions/FAT Viewer?action=UPDATE&amp;creator=factset&amp;DYN_ARGS=TRUE&amp;DOC_NAME=FAT:FQL_AUDITING_CLIENT_TEMPLATE.FAT&amp;display_string=Audit&amp;VAR:KEY=SLQTUJOJMJ&amp;VAR:QUERY=RkZfREVCVChBTk4sMjAwOSk=&amp;WINDOW=FIRST_POPUP&amp;HEIGHT=450&amp;WIDTH=450&amp;START_MAXIMIZED=FALS","E&amp;VAR:CALENDAR=US&amp;VAR:SYMBOL=EROC&amp;VAR:INDEX=0"}</definedName>
    <definedName name="_1730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731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732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733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734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735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736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737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738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739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74__FDSAUDITLINK__" hidden="1">{"fdsup://directions/FAT Viewer?action=UPDATE&amp;creator=factset&amp;DYN_ARGS=TRUE&amp;DOC_NAME=FAT:FQL_AUDITING_CLIENT_TEMPLATE.FAT&amp;display_string=Audit&amp;VAR:KEY=SLQTUJOJMJ&amp;VAR:QUERY=RkZfREVCVChBTk4sMjAwOSk=&amp;WINDOW=FIRST_POPUP&amp;HEIGHT=450&amp;WIDTH=450&amp;START_MAXIMIZED=FALS","E&amp;VAR:CALENDAR=US&amp;VAR:SYMBOL=EROC&amp;VAR:INDEX=0"}</definedName>
    <definedName name="_1740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741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742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743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744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745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746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747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748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1749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75__FDSAUDITLINK__" hidden="1">{"fdsup://directions/FAT Viewer?action=UPDATE&amp;creator=factset&amp;DYN_ARGS=TRUE&amp;DOC_NAME=FAT:FQL_AUDITING_CLIENT_TEMPLATE.FAT&amp;display_string=Audit&amp;VAR:KEY=UPUXCLQTKL&amp;VAR:QUERY=RkZfREVCVChBTk4sMjAxMCk=&amp;WINDOW=FIRST_POPUP&amp;HEIGHT=450&amp;WIDTH=450&amp;START_MAXIMIZED=FALS","E&amp;VAR:CALENDAR=US&amp;VAR:SYMBOL=CMLP&amp;VAR:INDEX=0"}</definedName>
    <definedName name="_1750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751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1752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753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1754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755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756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176__FDSAUDITLINK__" hidden="1">{"fdsup://directions/FAT Viewer?action=UPDATE&amp;creator=factset&amp;DYN_ARGS=TRUE&amp;DOC_NAME=FAT:FQL_AUDITING_CLIENT_TEMPLATE.FAT&amp;display_string=Audit&amp;VAR:KEY=UPUXCLQTKL&amp;VAR:QUERY=RkZfREVCVChBTk4sMjAxMCk=&amp;WINDOW=FIRST_POPUP&amp;HEIGHT=450&amp;WIDTH=450&amp;START_MAXIMIZED=FALS","E&amp;VAR:CALENDAR=US&amp;VAR:SYMBOL=CMLP&amp;VAR:INDEX=0"}</definedName>
    <definedName name="_177__FDSAUDITLINK__" hidden="1">{"fdsup://directions/FAT Viewer?action=UPDATE&amp;creator=factset&amp;DYN_ARGS=TRUE&amp;DOC_NAME=FAT:FQL_AUDITING_CLIENT_TEMPLATE.FAT&amp;display_string=Audit&amp;VAR:KEY=UPUXCLQTKL&amp;VAR:QUERY=RkZfREVCVChBTk4sMjAxMCk=&amp;WINDOW=FIRST_POPUP&amp;HEIGHT=450&amp;WIDTH=450&amp;START_MAXIMIZED=FALS","E&amp;VAR:CALENDAR=US&amp;VAR:SYMBOL=CMLP&amp;VAR:INDEX=0"}</definedName>
    <definedName name="_178__FDSAUDITLINK__" hidden="1">{"fdsup://directions/FAT Viewer?action=UPDATE&amp;creator=factset&amp;DYN_ARGS=TRUE&amp;DOC_NAME=FAT:FQL_AUDITING_CLIENT_TEMPLATE.FAT&amp;display_string=Audit&amp;VAR:KEY=HSTMHUVIPE&amp;VAR:QUERY=RkZfREVCVChBTk4sMjAwOSk=&amp;WINDOW=FIRST_POPUP&amp;HEIGHT=450&amp;WIDTH=450&amp;START_MAXIMIZED=FALS","E&amp;VAR:CALENDAR=US&amp;VAR:SYMBOL=TLP&amp;VAR:INDEX=0"}</definedName>
    <definedName name="_179__FDSAUDITLINK__" hidden="1">{"fdsup://directions/FAT Viewer?action=UPDATE&amp;creator=factset&amp;DYN_ARGS=TRUE&amp;DOC_NAME=FAT:FQL_AUDITING_CLIENT_TEMPLATE.FAT&amp;display_string=Audit&amp;VAR:KEY=HSTMHUVIPE&amp;VAR:QUERY=RkZfREVCVChBTk4sMjAwOSk=&amp;WINDOW=FIRST_POPUP&amp;HEIGHT=450&amp;WIDTH=450&amp;START_MAXIMIZED=FALS","E&amp;VAR:CALENDAR=US&amp;VAR:SYMBOL=TLP&amp;VAR:INDEX=0"}</definedName>
    <definedName name="_18__FDSAUDITLINK__" localSheetId="6" hidden="1">{"fdsup://directions/FAT Viewer?action=UPDATE&amp;creator=factset&amp;DYN_ARGS=TRUE&amp;DOC_NAME=FAT:FQL_AUDITING_CLIENT_TEMPLATE.FAT&amp;display_string=Audit&amp;VAR:KEY=BOZKRUNWHI&amp;VAR:QUERY=RkVfVkFMVUFUSU9OKCdQQlBTJywnTUVBTicsJ0FOTlVBTCcsMjAxMCwwLCwsJycp&amp;WINDOW=FIRST_POPUP&amp;H","EIGHT=450&amp;WIDTH=450&amp;START_MAXIMIZED=FALSE&amp;VAR:CALENDAR=FIVEDAY&amp;VAR:SYMBOL=669728&amp;VAR:INDEX=0"}</definedName>
    <definedName name="_18__FDSAUDITLINK__" localSheetId="8" hidden="1">{"fdsup://directions/FAT Viewer?action=UPDATE&amp;creator=factset&amp;DYN_ARGS=TRUE&amp;DOC_NAME=FAT:FQL_AUDITING_CLIENT_TEMPLATE.FAT&amp;display_string=Audit&amp;VAR:KEY=BOZKRUNWHI&amp;VAR:QUERY=RkVfVkFMVUFUSU9OKCdQQlBTJywnTUVBTicsJ0FOTlVBTCcsMjAxMCwwLCwsJycp&amp;WINDOW=FIRST_POPUP&amp;H","EIGHT=450&amp;WIDTH=450&amp;START_MAXIMIZED=FALSE&amp;VAR:CALENDAR=FIVEDAY&amp;VAR:SYMBOL=669728&amp;VAR:INDEX=0"}</definedName>
    <definedName name="_18__FDSAUDITLINK__" localSheetId="2" hidden="1">{"fdsup://directions/FAT Viewer?action=UPDATE&amp;creator=factset&amp;DYN_ARGS=TRUE&amp;DOC_NAME=FAT:FQL_AUDITING_CLIENT_TEMPLATE.FAT&amp;display_string=Audit&amp;VAR:KEY=BOZKRUNWHI&amp;VAR:QUERY=RkVfVkFMVUFUSU9OKCdQQlBTJywnTUVBTicsJ0FOTlVBTCcsMjAxMCwwLCwsJycp&amp;WINDOW=FIRST_POPUP&amp;H","EIGHT=450&amp;WIDTH=450&amp;START_MAXIMIZED=FALSE&amp;VAR:CALENDAR=FIVEDAY&amp;VAR:SYMBOL=669728&amp;VAR:INDEX=0"}</definedName>
    <definedName name="_18__FDSAUDITLINK__" hidden="1">{"fdsup://directions/FAT Viewer?action=UPDATE&amp;creator=factset&amp;DYN_ARGS=TRUE&amp;DOC_NAME=FAT:FQL_AUDITING_CLIENT_TEMPLATE.FAT&amp;display_string=Audit&amp;VAR:KEY=BOZKRUNWHI&amp;VAR:QUERY=RkVfVkFMVUFUSU9OKCdQQlBTJywnTUVBTicsJ0FOTlVBTCcsMjAxMCwwLCwsJycp&amp;WINDOW=FIRST_POPUP&amp;H","EIGHT=450&amp;WIDTH=450&amp;START_MAXIMIZED=FALSE&amp;VAR:CALENDAR=FIVEDAY&amp;VAR:SYMBOL=669728&amp;VAR:INDEX=0"}</definedName>
    <definedName name="_180__FDSAUDITLINK__" hidden="1">{"fdsup://directions/FAT Viewer?action=UPDATE&amp;creator=factset&amp;DYN_ARGS=TRUE&amp;DOC_NAME=FAT:FQL_AUDITING_CLIENT_TEMPLATE.FAT&amp;display_string=Audit&amp;VAR:KEY=NYPEJEXQRW&amp;VAR:QUERY=RkZfREVCVChBTk4sMjAwOSk=&amp;WINDOW=FIRST_POPUP&amp;HEIGHT=450&amp;WIDTH=450&amp;START_MAXIMIZED=FALS","E&amp;VAR:CALENDAR=US&amp;VAR:SYMBOL=HEP&amp;VAR:INDEX=0"}</definedName>
    <definedName name="_181__FDSAUDITLINK__" hidden="1">{"fdsup://directions/FAT Viewer?action=UPDATE&amp;creator=factset&amp;DYN_ARGS=TRUE&amp;DOC_NAME=FAT:FQL_AUDITING_CLIENT_TEMPLATE.FAT&amp;display_string=Audit&amp;VAR:KEY=NYPEJEXQRW&amp;VAR:QUERY=RkZfREVCVChBTk4sMjAwOSk=&amp;WINDOW=FIRST_POPUP&amp;HEIGHT=450&amp;WIDTH=450&amp;START_MAXIMIZED=FALS","E&amp;VAR:CALENDAR=US&amp;VAR:SYMBOL=HEP&amp;VAR:INDEX=0"}</definedName>
    <definedName name="_182__FDSAUDITLINK__" hidden="1">{"fdsup://directions/FAT Viewer?action=UPDATE&amp;creator=factset&amp;DYN_ARGS=TRUE&amp;DOC_NAME=FAT:FQL_AUDITING_CLIENT_TEMPLATE.FAT&amp;display_string=Audit&amp;VAR:KEY=NYPEJEXQRW&amp;VAR:QUERY=RkZfREVCVChBTk4sMjAwOSk=&amp;WINDOW=FIRST_POPUP&amp;HEIGHT=450&amp;WIDTH=450&amp;START_MAXIMIZED=FALS","E&amp;VAR:CALENDAR=US&amp;VAR:SYMBOL=HEP&amp;VAR:INDEX=0"}</definedName>
    <definedName name="_183__FDSAUDITLINK__" hidden="1">{"fdsup://directions/FAT Viewer?action=UPDATE&amp;creator=factset&amp;DYN_ARGS=TRUE&amp;DOC_NAME=FAT:FQL_AUDITING_CLIENT_TEMPLATE.FAT&amp;display_string=Audit&amp;VAR:KEY=FMPWVADIFS&amp;VAR:QUERY=RkZfREVCVChBTk4sMjAwOSk=&amp;WINDOW=FIRST_POPUP&amp;HEIGHT=450&amp;WIDTH=450&amp;START_MAXIMIZED=FALS","E&amp;VAR:CALENDAR=US&amp;VAR:SYMBOL=TLLP&amp;VAR:INDEX=0"}</definedName>
    <definedName name="_184__FDSAUDITLINK__" hidden="1">{"fdsup://directions/FAT Viewer?action=UPDATE&amp;creator=factset&amp;DYN_ARGS=TRUE&amp;DOC_NAME=FAT:FQL_AUDITING_CLIENT_TEMPLATE.FAT&amp;display_string=Audit&amp;VAR:KEY=FMPWVADIFS&amp;VAR:QUERY=RkZfREVCVChBTk4sMjAwOSk=&amp;WINDOW=FIRST_POPUP&amp;HEIGHT=450&amp;WIDTH=450&amp;START_MAXIMIZED=FALS","E&amp;VAR:CALENDAR=US&amp;VAR:SYMBOL=TLLP&amp;VAR:INDEX=0"}</definedName>
    <definedName name="_185__FDSAUDITLINK__" hidden="1">{"fdsup://directions/FAT Viewer?action=UPDATE&amp;creator=factset&amp;DYN_ARGS=TRUE&amp;DOC_NAME=FAT:FQL_AUDITING_CLIENT_TEMPLATE.FAT&amp;display_string=Audit&amp;VAR:KEY=FMPWVADIFS&amp;VAR:QUERY=RkZfREVCVChBTk4sMjAwOSk=&amp;WINDOW=FIRST_POPUP&amp;HEIGHT=450&amp;WIDTH=450&amp;START_MAXIMIZED=FALS","E&amp;VAR:CALENDAR=US&amp;VAR:SYMBOL=TLLP&amp;VAR:INDEX=0"}</definedName>
    <definedName name="_186__FDSAUDITLINK__" hidden="1">{"fdsup://directions/FAT Viewer?action=UPDATE&amp;creator=factset&amp;DYN_ARGS=TRUE&amp;DOC_NAME=FAT:FQL_AUDITING_CLIENT_TEMPLATE.FAT&amp;display_string=Audit&amp;VAR:KEY=FMPWVADIFS&amp;VAR:QUERY=RkZfREVCVChBTk4sMjAwOSk=&amp;WINDOW=FIRST_POPUP&amp;HEIGHT=450&amp;WIDTH=450&amp;START_MAXIMIZED=FALS","E&amp;VAR:CALENDAR=US&amp;VAR:SYMBOL=TLLP&amp;VAR:INDEX=0"}</definedName>
    <definedName name="_187__FDSAUDITLINK__" hidden="1">{"fdsup://directions/FAT Viewer?action=UPDATE&amp;creator=factset&amp;DYN_ARGS=TRUE&amp;DOC_NAME=FAT:FQL_AUDITING_CLIENT_TEMPLATE.FAT&amp;display_string=Audit&amp;VAR:KEY=FMPWVADIFS&amp;VAR:QUERY=RkZfREVCVChBTk4sMjAwOSk=&amp;WINDOW=FIRST_POPUP&amp;HEIGHT=450&amp;WIDTH=450&amp;START_MAXIMIZED=FALS","E&amp;VAR:CALENDAR=US&amp;VAR:SYMBOL=TLLP&amp;VAR:INDEX=0"}</definedName>
    <definedName name="_188__FDSAUDITLINK__" hidden="1">{"fdsup://directions/FAT Viewer?action=UPDATE&amp;creator=factset&amp;DYN_ARGS=TRUE&amp;DOC_NAME=FAT:FQL_AUDITING_CLIENT_TEMPLATE.FAT&amp;display_string=Audit&amp;VAR:KEY=DANIFYBKNY&amp;VAR:QUERY=RkZfREVCVChBTk4sMjAwOSk=&amp;WINDOW=FIRST_POPUP&amp;HEIGHT=450&amp;WIDTH=450&amp;START_MAXIMIZED=FALS","E&amp;VAR:CALENDAR=US&amp;VAR:SYMBOL=TLP&amp;VAR:INDEX=0"}</definedName>
    <definedName name="_189__FDSAUDITLINK__" hidden="1">{"fdsup://directions/FAT Viewer?action=UPDATE&amp;creator=factset&amp;DYN_ARGS=TRUE&amp;DOC_NAME=FAT:FQL_AUDITING_CLIENT_TEMPLATE.FAT&amp;display_string=Audit&amp;VAR:KEY=DANIFYBKNY&amp;VAR:QUERY=RkZfREVCVChBTk4sMjAwOSk=&amp;WINDOW=FIRST_POPUP&amp;HEIGHT=450&amp;WIDTH=450&amp;START_MAXIMIZED=FALS","E&amp;VAR:CALENDAR=US&amp;VAR:SYMBOL=TLP&amp;VAR:INDEX=0"}</definedName>
    <definedName name="_19__FDSAUDITLINK__" localSheetId="6" hidden="1">{"fdsup://directions/FAT Viewer?action=UPDATE&amp;creator=factset&amp;DYN_ARGS=TRUE&amp;DOC_NAME=FAT:FQL_AUDITING_CLIENT_TEMPLATE.FAT&amp;display_string=Audit&amp;VAR:KEY=BOZKRUNWHI&amp;VAR:QUERY=RkVfVkFMVUFUSU9OKCdQQlBTJywnTUVBTicsJ0FOTlVBTCcsMjAxMCwwLCwsJycp&amp;WINDOW=FIRST_POPUP&amp;H","EIGHT=450&amp;WIDTH=450&amp;START_MAXIMIZED=FALSE&amp;VAR:CALENDAR=FIVEDAY&amp;VAR:SYMBOL=669728&amp;VAR:INDEX=0"}</definedName>
    <definedName name="_19__FDSAUDITLINK__" localSheetId="8" hidden="1">{"fdsup://directions/FAT Viewer?action=UPDATE&amp;creator=factset&amp;DYN_ARGS=TRUE&amp;DOC_NAME=FAT:FQL_AUDITING_CLIENT_TEMPLATE.FAT&amp;display_string=Audit&amp;VAR:KEY=BOZKRUNWHI&amp;VAR:QUERY=RkVfVkFMVUFUSU9OKCdQQlBTJywnTUVBTicsJ0FOTlVBTCcsMjAxMCwwLCwsJycp&amp;WINDOW=FIRST_POPUP&amp;H","EIGHT=450&amp;WIDTH=450&amp;START_MAXIMIZED=FALSE&amp;VAR:CALENDAR=FIVEDAY&amp;VAR:SYMBOL=669728&amp;VAR:INDEX=0"}</definedName>
    <definedName name="_19__FDSAUDITLINK__" localSheetId="2" hidden="1">{"fdsup://directions/FAT Viewer?action=UPDATE&amp;creator=factset&amp;DYN_ARGS=TRUE&amp;DOC_NAME=FAT:FQL_AUDITING_CLIENT_TEMPLATE.FAT&amp;display_string=Audit&amp;VAR:KEY=BOZKRUNWHI&amp;VAR:QUERY=RkVfVkFMVUFUSU9OKCdQQlBTJywnTUVBTicsJ0FOTlVBTCcsMjAxMCwwLCwsJycp&amp;WINDOW=FIRST_POPUP&amp;H","EIGHT=450&amp;WIDTH=450&amp;START_MAXIMIZED=FALSE&amp;VAR:CALENDAR=FIVEDAY&amp;VAR:SYMBOL=669728&amp;VAR:INDEX=0"}</definedName>
    <definedName name="_19__FDSAUDITLINK__" hidden="1">{"fdsup://directions/FAT Viewer?action=UPDATE&amp;creator=factset&amp;DYN_ARGS=TRUE&amp;DOC_NAME=FAT:FQL_AUDITING_CLIENT_TEMPLATE.FAT&amp;display_string=Audit&amp;VAR:KEY=BOZKRUNWHI&amp;VAR:QUERY=RkVfVkFMVUFUSU9OKCdQQlBTJywnTUVBTicsJ0FOTlVBTCcsMjAxMCwwLCwsJycp&amp;WINDOW=FIRST_POPUP&amp;H","EIGHT=450&amp;WIDTH=450&amp;START_MAXIMIZED=FALSE&amp;VAR:CALENDAR=FIVEDAY&amp;VAR:SYMBOL=669728&amp;VAR:INDEX=0"}</definedName>
    <definedName name="_190__FDSAUDITLINK__" hidden="1">{"fdsup://directions/FAT Viewer?action=UPDATE&amp;creator=factset&amp;DYN_ARGS=TRUE&amp;DOC_NAME=FAT:FQL_AUDITING_CLIENT_TEMPLATE.FAT&amp;display_string=Audit&amp;VAR:KEY=DANIFYBKNY&amp;VAR:QUERY=RkZfREVCVChBTk4sMjAwOSk=&amp;WINDOW=FIRST_POPUP&amp;HEIGHT=450&amp;WIDTH=450&amp;START_MAXIMIZED=FALS","E&amp;VAR:CALENDAR=US&amp;VAR:SYMBOL=TLP&amp;VAR:INDEX=0"}</definedName>
    <definedName name="_191__FDSAUDITLINK__" hidden="1">{"fdsup://directions/FAT Viewer?action=UPDATE&amp;creator=factset&amp;DYN_ARGS=TRUE&amp;DOC_NAME=FAT:FQL_AUDITING_CLIENT_TEMPLATE.FAT&amp;display_string=Audit&amp;VAR:KEY=DANIFYBKNY&amp;VAR:QUERY=RkZfREVCVChBTk4sMjAwOSk=&amp;WINDOW=FIRST_POPUP&amp;HEIGHT=450&amp;WIDTH=450&amp;START_MAXIMIZED=FALS","E&amp;VAR:CALENDAR=US&amp;VAR:SYMBOL=TLP&amp;VAR:INDEX=0"}</definedName>
    <definedName name="_192__FDSAUDITLINK__" hidden="1">{"fdsup://directions/FAT Viewer?action=UPDATE&amp;creator=factset&amp;DYN_ARGS=TRUE&amp;DOC_NAME=FAT:FQL_AUDITING_CLIENT_TEMPLATE.FAT&amp;display_string=Audit&amp;VAR:KEY=NQLUDULWRQ&amp;VAR:QUERY=RkZfREVCVChBTk4sMjAwOSk=&amp;WINDOW=FIRST_POPUP&amp;HEIGHT=450&amp;WIDTH=450&amp;START_MAXIMIZED=FALS","E&amp;VAR:CALENDAR=US&amp;VAR:SYMBOL=HEP&amp;VAR:INDEX=0"}</definedName>
    <definedName name="_193__FDSAUDITLINK__" hidden="1">{"fdsup://directions/FAT Viewer?action=UPDATE&amp;creator=factset&amp;DYN_ARGS=TRUE&amp;DOC_NAME=FAT:FQL_AUDITING_CLIENT_TEMPLATE.FAT&amp;display_string=Audit&amp;VAR:KEY=NQLUDULWRQ&amp;VAR:QUERY=RkZfREVCVChBTk4sMjAwOSk=&amp;WINDOW=FIRST_POPUP&amp;HEIGHT=450&amp;WIDTH=450&amp;START_MAXIMIZED=FALS","E&amp;VAR:CALENDAR=US&amp;VAR:SYMBOL=HEP&amp;VAR:INDEX=0"}</definedName>
    <definedName name="_194__FDSAUDITLINK__" hidden="1">{"fdsup://directions/FAT Viewer?action=UPDATE&amp;creator=factset&amp;DYN_ARGS=TRUE&amp;DOC_NAME=FAT:FQL_AUDITING_CLIENT_TEMPLATE.FAT&amp;display_string=Audit&amp;VAR:KEY=NQLUDULWRQ&amp;VAR:QUERY=RkZfREVCVChBTk4sMjAwOSk=&amp;WINDOW=FIRST_POPUP&amp;HEIGHT=450&amp;WIDTH=450&amp;START_MAXIMIZED=FALS","E&amp;VAR:CALENDAR=US&amp;VAR:SYMBOL=HEP&amp;VAR:INDEX=0"}</definedName>
    <definedName name="_195__FDSAUDITLINK__" hidden="1">{"fdsup://directions/FAT Viewer?action=UPDATE&amp;creator=factset&amp;DYN_ARGS=TRUE&amp;DOC_NAME=FAT:FQL_AUDITING_CLIENT_TEMPLATE.FAT&amp;display_string=Audit&amp;VAR:KEY=NQLUDULWRQ&amp;VAR:QUERY=RkZfREVCVChBTk4sMjAwOSk=&amp;WINDOW=FIRST_POPUP&amp;HEIGHT=450&amp;WIDTH=450&amp;START_MAXIMIZED=FALS","E&amp;VAR:CALENDAR=US&amp;VAR:SYMBOL=HEP&amp;VAR:INDEX=0"}</definedName>
    <definedName name="_196__FDSAUDITLINK__" hidden="1">{"fdsup://directions/FAT Viewer?action=UPDATE&amp;creator=factset&amp;DYN_ARGS=TRUE&amp;DOC_NAME=FAT:FQL_AUDITING_CLIENT_TEMPLATE.FAT&amp;display_string=Audit&amp;VAR:KEY=NQLUDULWRQ&amp;VAR:QUERY=RkZfREVCVChBTk4sMjAwOSk=&amp;WINDOW=FIRST_POPUP&amp;HEIGHT=450&amp;WIDTH=450&amp;START_MAXIMIZED=FALS","E&amp;VAR:CALENDAR=US&amp;VAR:SYMBOL=HEP&amp;VAR:INDEX=0"}</definedName>
    <definedName name="_197__FDSAUDITLINK__" hidden="1">{"fdsup://directions/FAT Viewer?action=UPDATE&amp;creator=factset&amp;DYN_ARGS=TRUE&amp;DOC_NAME=FAT:FQL_AUDITING_CLIENT_TEMPLATE.FAT&amp;display_string=Audit&amp;VAR:KEY=QREXAPWFKL&amp;VAR:QUERY=RkZfREVCVChBTk4sMjAwOSk=&amp;WINDOW=FIRST_POPUP&amp;HEIGHT=450&amp;WIDTH=450&amp;START_MAXIMIZED=FALS","E&amp;VAR:CALENDAR=US&amp;VAR:SYMBOL=TLLP&amp;VAR:INDEX=0"}</definedName>
    <definedName name="_198__FDSAUDITLINK__" hidden="1">{"fdsup://directions/FAT Viewer?action=UPDATE&amp;creator=factset&amp;DYN_ARGS=TRUE&amp;DOC_NAME=FAT:FQL_AUDITING_CLIENT_TEMPLATE.FAT&amp;display_string=Audit&amp;VAR:KEY=QREXAPWFKL&amp;VAR:QUERY=RkZfREVCVChBTk4sMjAwOSk=&amp;WINDOW=FIRST_POPUP&amp;HEIGHT=450&amp;WIDTH=450&amp;START_MAXIMIZED=FALS","E&amp;VAR:CALENDAR=US&amp;VAR:SYMBOL=TLLP&amp;VAR:INDEX=0"}</definedName>
    <definedName name="_199__FDSAUDITLINK__" hidden="1">{"fdsup://directions/FAT Viewer?action=UPDATE&amp;creator=factset&amp;DYN_ARGS=TRUE&amp;DOC_NAME=FAT:FQL_AUDITING_CLIENT_TEMPLATE.FAT&amp;display_string=Audit&amp;VAR:KEY=QREXAPWFKL&amp;VAR:QUERY=RkZfREVCVChBTk4sMjAwOSk=&amp;WINDOW=FIRST_POPUP&amp;HEIGHT=450&amp;WIDTH=450&amp;START_MAXIMIZED=FALS","E&amp;VAR:CALENDAR=US&amp;VAR:SYMBOL=TLLP&amp;VAR:INDEX=0"}</definedName>
    <definedName name="_2__FDSAUDITLINK__" localSheetId="6" hidden="1">{"fdsup://directions/FAT Viewer?action=UPDATE&amp;creator=factset&amp;DYN_ARGS=TRUE&amp;DOC_NAME=FAT:FQL_AUDITING_CLIENT_TEMPLATE.FAT&amp;display_string=Audit&amp;VAR:KEY=XWZOZMPGZW&amp;VAR:QUERY=RkZfRUJJVERBX09QRVIoQU5OLDEvMS8yMDAwLDEvMjYvMjAwMixDWSk=&amp;WINDOW=FIRST_POPUP&amp;HEIGHT=45","0&amp;WIDTH=450&amp;START_MAXIMIZED=FALSE&amp;VAR:CALENDAR=US&amp;VAR:SYMBOL=BWA&amp;VAR:INDEX=0"}</definedName>
    <definedName name="_2__FDSAUDITLINK__" localSheetId="8" hidden="1">{"fdsup://directions/FAT Viewer?action=UPDATE&amp;creator=factset&amp;DYN_ARGS=TRUE&amp;DOC_NAME=FAT:FQL_AUDITING_CLIENT_TEMPLATE.FAT&amp;display_string=Audit&amp;VAR:KEY=XWZOZMPGZW&amp;VAR:QUERY=RkZfRUJJVERBX09QRVIoQU5OLDEvMS8yMDAwLDEvMjYvMjAwMixDWSk=&amp;WINDOW=FIRST_POPUP&amp;HEIGHT=45","0&amp;WIDTH=450&amp;START_MAXIMIZED=FALSE&amp;VAR:CALENDAR=US&amp;VAR:SYMBOL=BWA&amp;VAR:INDEX=0"}</definedName>
    <definedName name="_2__FDSAUDITLINK__" localSheetId="2" hidden="1">{"fdsup://directions/FAT Viewer?action=UPDATE&amp;creator=factset&amp;DYN_ARGS=TRUE&amp;DOC_NAME=FAT:FQL_AUDITING_CLIENT_TEMPLATE.FAT&amp;display_string=Audit&amp;VAR:KEY=XWZOZMPGZW&amp;VAR:QUERY=RkZfRUJJVERBX09QRVIoQU5OLDEvMS8yMDAwLDEvMjYvMjAwMixDWSk=&amp;WINDOW=FIRST_POPUP&amp;HEIGHT=45","0&amp;WIDTH=450&amp;START_MAXIMIZED=FALSE&amp;VAR:CALENDAR=US&amp;VAR:SYMBOL=BWA&amp;VAR:INDEX=0"}</definedName>
    <definedName name="_2__FDSAUDITLINK__" hidden="1">{"fdsup://directions/FAT Viewer?action=UPDATE&amp;creator=factset&amp;DYN_ARGS=TRUE&amp;DOC_NAME=FAT:FQL_AUDITING_CLIENT_TEMPLATE.FAT&amp;display_string=Audit&amp;VAR:KEY=XWZOZMPGZW&amp;VAR:QUERY=RkZfRUJJVERBX09QRVIoQU5OLDEvMS8yMDAwLDEvMjYvMjAwMixDWSk=&amp;WINDOW=FIRST_POPUP&amp;HEIGHT=45","0&amp;WIDTH=450&amp;START_MAXIMIZED=FALSE&amp;VAR:CALENDAR=US&amp;VAR:SYMBOL=BWA&amp;VAR:INDEX=0"}</definedName>
    <definedName name="_20__FDSAUDITLINK__" localSheetId="6" hidden="1">{"fdsup://directions/FAT Viewer?action=UPDATE&amp;creator=factset&amp;DYN_ARGS=TRUE&amp;DOC_NAME=FAT:FQL_AUDITING_CLIENT_TEMPLATE.FAT&amp;display_string=Audit&amp;VAR:KEY=NQPUPARQXU&amp;VAR:QUERY=RkVfVkFMVUFUSU9OKCdQQlBTJywnTUVBTicsJ0FOTlVBTCcsMjAwOSwwLCwsJycp&amp;WINDOW=FIRST_POPUP&amp;H","EIGHT=450&amp;WIDTH=450&amp;START_MAXIMIZED=FALSE&amp;VAR:CALENDAR=FIVEDAY&amp;VAR:SYMBOL=669728&amp;VAR:INDEX=0"}</definedName>
    <definedName name="_20__FDSAUDITLINK__" localSheetId="8" hidden="1">{"fdsup://directions/FAT Viewer?action=UPDATE&amp;creator=factset&amp;DYN_ARGS=TRUE&amp;DOC_NAME=FAT:FQL_AUDITING_CLIENT_TEMPLATE.FAT&amp;display_string=Audit&amp;VAR:KEY=NQPUPARQXU&amp;VAR:QUERY=RkVfVkFMVUFUSU9OKCdQQlBTJywnTUVBTicsJ0FOTlVBTCcsMjAwOSwwLCwsJycp&amp;WINDOW=FIRST_POPUP&amp;H","EIGHT=450&amp;WIDTH=450&amp;START_MAXIMIZED=FALSE&amp;VAR:CALENDAR=FIVEDAY&amp;VAR:SYMBOL=669728&amp;VAR:INDEX=0"}</definedName>
    <definedName name="_20__FDSAUDITLINK__" localSheetId="2" hidden="1">{"fdsup://directions/FAT Viewer?action=UPDATE&amp;creator=factset&amp;DYN_ARGS=TRUE&amp;DOC_NAME=FAT:FQL_AUDITING_CLIENT_TEMPLATE.FAT&amp;display_string=Audit&amp;VAR:KEY=NQPUPARQXU&amp;VAR:QUERY=RkVfVkFMVUFUSU9OKCdQQlBTJywnTUVBTicsJ0FOTlVBTCcsMjAwOSwwLCwsJycp&amp;WINDOW=FIRST_POPUP&amp;H","EIGHT=450&amp;WIDTH=450&amp;START_MAXIMIZED=FALSE&amp;VAR:CALENDAR=FIVEDAY&amp;VAR:SYMBOL=669728&amp;VAR:INDEX=0"}</definedName>
    <definedName name="_20__FDSAUDITLINK__" hidden="1">{"fdsup://directions/FAT Viewer?action=UPDATE&amp;creator=factset&amp;DYN_ARGS=TRUE&amp;DOC_NAME=FAT:FQL_AUDITING_CLIENT_TEMPLATE.FAT&amp;display_string=Audit&amp;VAR:KEY=NQPUPARQXU&amp;VAR:QUERY=RkVfVkFMVUFUSU9OKCdQQlBTJywnTUVBTicsJ0FOTlVBTCcsMjAwOSwwLCwsJycp&amp;WINDOW=FIRST_POPUP&amp;H","EIGHT=450&amp;WIDTH=450&amp;START_MAXIMIZED=FALSE&amp;VAR:CALENDAR=FIVEDAY&amp;VAR:SYMBOL=669728&amp;VAR:INDEX=0"}</definedName>
    <definedName name="_200__FDSAUDITLINK__" hidden="1">{"fdsup://directions/FAT Viewer?action=UPDATE&amp;creator=factset&amp;DYN_ARGS=TRUE&amp;DOC_NAME=FAT:FQL_AUDITING_CLIENT_TEMPLATE.FAT&amp;display_string=Audit&amp;VAR:KEY=QREXAPWFKL&amp;VAR:QUERY=RkZfREVCVChBTk4sMjAwOSk=&amp;WINDOW=FIRST_POPUP&amp;HEIGHT=450&amp;WIDTH=450&amp;START_MAXIMIZED=FALS","E&amp;VAR:CALENDAR=US&amp;VAR:SYMBOL=TLLP&amp;VAR:INDEX=0"}</definedName>
    <definedName name="_201__FDSAUDITLINK__" hidden="1">{"fdsup://directions/FAT Viewer?action=UPDATE&amp;creator=factset&amp;DYN_ARGS=TRUE&amp;DOC_NAME=FAT:FQL_AUDITING_CLIENT_TEMPLATE.FAT&amp;display_string=Audit&amp;VAR:KEY=QREXAPWFKL&amp;VAR:QUERY=RkZfREVCVChBTk4sMjAwOSk=&amp;WINDOW=FIRST_POPUP&amp;HEIGHT=450&amp;WIDTH=450&amp;START_MAXIMIZED=FALS","E&amp;VAR:CALENDAR=US&amp;VAR:SYMBOL=TLLP&amp;VAR:INDEX=0"}</definedName>
    <definedName name="_202__FDSAUDITLINK__" hidden="1">{"fdsup://directions/FAT Viewer?action=UPDATE&amp;creator=factset&amp;DYN_ARGS=TRUE&amp;DOC_NAME=FAT:FQL_AUDITING_CLIENT_TEMPLATE.FAT&amp;display_string=Audit&amp;VAR:KEY=EDGRKLSFGB&amp;VAR:QUERY=RkZfREVCVChBTk4sMjAwOSk=&amp;WINDOW=FIRST_POPUP&amp;HEIGHT=450&amp;WIDTH=450&amp;START_MAXIMIZED=FALS","E&amp;VAR:CALENDAR=US&amp;VAR:SYMBOL=TLP&amp;VAR:INDEX=0"}</definedName>
    <definedName name="_203__FDSAUDITLINK__" hidden="1">{"fdsup://directions/FAT Viewer?action=UPDATE&amp;creator=factset&amp;DYN_ARGS=TRUE&amp;DOC_NAME=FAT:FQL_AUDITING_CLIENT_TEMPLATE.FAT&amp;display_string=Audit&amp;VAR:KEY=EDGRKLSFGB&amp;VAR:QUERY=RkZfREVCVChBTk4sMjAwOSk=&amp;WINDOW=FIRST_POPUP&amp;HEIGHT=450&amp;WIDTH=450&amp;START_MAXIMIZED=FALS","E&amp;VAR:CALENDAR=US&amp;VAR:SYMBOL=TLP&amp;VAR:INDEX=0"}</definedName>
    <definedName name="_204__FDSAUDITLINK__" hidden="1">{"fdsup://directions/FAT Viewer?action=UPDATE&amp;creator=factset&amp;DYN_ARGS=TRUE&amp;DOC_NAME=FAT:FQL_AUDITING_CLIENT_TEMPLATE.FAT&amp;display_string=Audit&amp;VAR:KEY=EDGRKLSFGB&amp;VAR:QUERY=RkZfREVCVChBTk4sMjAwOSk=&amp;WINDOW=FIRST_POPUP&amp;HEIGHT=450&amp;WIDTH=450&amp;START_MAXIMIZED=FALS","E&amp;VAR:CALENDAR=US&amp;VAR:SYMBOL=TLP&amp;VAR:INDEX=0"}</definedName>
    <definedName name="_205__FDSAUDITLINK__" hidden="1">{"fdsup://directions/FAT Viewer?action=UPDATE&amp;creator=factset&amp;DYN_ARGS=TRUE&amp;DOC_NAME=FAT:FQL_AUDITING_CLIENT_TEMPLATE.FAT&amp;display_string=Audit&amp;VAR:KEY=EDGRKLSFGB&amp;VAR:QUERY=RkZfREVCVChBTk4sMjAwOSk=&amp;WINDOW=FIRST_POPUP&amp;HEIGHT=450&amp;WIDTH=450&amp;START_MAXIMIZED=FALS","E&amp;VAR:CALENDAR=US&amp;VAR:SYMBOL=TLP&amp;VAR:INDEX=0"}</definedName>
    <definedName name="_206__FDSAUDITLINK__" hidden="1">{"fdsup://directions/FAT Viewer?action=UPDATE&amp;creator=factset&amp;DYN_ARGS=TRUE&amp;DOC_NAME=FAT:FQL_AUDITING_CLIENT_TEMPLATE.FAT&amp;display_string=Audit&amp;VAR:KEY=IFOXUNSTGV&amp;VAR:QUERY=RkZfREVCVChBTk4sMjAwOSk=&amp;WINDOW=FIRST_POPUP&amp;HEIGHT=450&amp;WIDTH=450&amp;START_MAXIMIZED=FALS","E&amp;VAR:CALENDAR=US&amp;VAR:SYMBOL=HEP&amp;VAR:INDEX=0"}</definedName>
    <definedName name="_207__FDSAUDITLINK__" hidden="1">{"fdsup://directions/FAT Viewer?action=UPDATE&amp;creator=factset&amp;DYN_ARGS=TRUE&amp;DOC_NAME=FAT:FQL_AUDITING_CLIENT_TEMPLATE.FAT&amp;display_string=Audit&amp;VAR:KEY=IFOXUNSTGV&amp;VAR:QUERY=RkZfREVCVChBTk4sMjAwOSk=&amp;WINDOW=FIRST_POPUP&amp;HEIGHT=450&amp;WIDTH=450&amp;START_MAXIMIZED=FALS","E&amp;VAR:CALENDAR=US&amp;VAR:SYMBOL=HEP&amp;VAR:INDEX=0"}</definedName>
    <definedName name="_208__FDSAUDITLINK__" hidden="1">{"fdsup://directions/FAT Viewer?action=UPDATE&amp;creator=factset&amp;DYN_ARGS=TRUE&amp;DOC_NAME=FAT:FQL_AUDITING_CLIENT_TEMPLATE.FAT&amp;display_string=Audit&amp;VAR:KEY=IFOXUNSTGV&amp;VAR:QUERY=RkZfREVCVChBTk4sMjAwOSk=&amp;WINDOW=FIRST_POPUP&amp;HEIGHT=450&amp;WIDTH=450&amp;START_MAXIMIZED=FALS","E&amp;VAR:CALENDAR=US&amp;VAR:SYMBOL=HEP&amp;VAR:INDEX=0"}</definedName>
    <definedName name="_209__FDSAUDITLINK__" hidden="1">{"fdsup://directions/FAT Viewer?action=UPDATE&amp;creator=factset&amp;DYN_ARGS=TRUE&amp;DOC_NAME=FAT:FQL_AUDITING_CLIENT_TEMPLATE.FAT&amp;display_string=Audit&amp;VAR:KEY=IFOXUNSTGV&amp;VAR:QUERY=RkZfREVCVChBTk4sMjAwOSk=&amp;WINDOW=FIRST_POPUP&amp;HEIGHT=450&amp;WIDTH=450&amp;START_MAXIMIZED=FALS","E&amp;VAR:CALENDAR=US&amp;VAR:SYMBOL=HEP&amp;VAR:INDEX=0"}</definedName>
    <definedName name="_21__FDSAUDITLINK__" localSheetId="6" hidden="1">{"fdsup://directions/FAT Viewer?action=UPDATE&amp;creator=factset&amp;DYN_ARGS=TRUE&amp;DOC_NAME=FAT:FQL_AUDITING_CLIENT_TEMPLATE.FAT&amp;display_string=Audit&amp;VAR:KEY=RUNOBIVMNG&amp;VAR:QUERY=RkVfVkFMVUFUSU9OKCdQQlBTJywnTUVBTicsJ0FOTlVBTCcsMjAxMiwwLCwsJycp&amp;WINDOW=FIRST_POPUP&amp;H","EIGHT=450&amp;WIDTH=450&amp;START_MAXIMIZED=FALSE&amp;VAR:CALENDAR=FIVEDAY&amp;VAR:SYMBOL=B064SH&amp;VAR:INDEX=0"}</definedName>
    <definedName name="_21__FDSAUDITLINK__" localSheetId="8" hidden="1">{"fdsup://directions/FAT Viewer?action=UPDATE&amp;creator=factset&amp;DYN_ARGS=TRUE&amp;DOC_NAME=FAT:FQL_AUDITING_CLIENT_TEMPLATE.FAT&amp;display_string=Audit&amp;VAR:KEY=RUNOBIVMNG&amp;VAR:QUERY=RkVfVkFMVUFUSU9OKCdQQlBTJywnTUVBTicsJ0FOTlVBTCcsMjAxMiwwLCwsJycp&amp;WINDOW=FIRST_POPUP&amp;H","EIGHT=450&amp;WIDTH=450&amp;START_MAXIMIZED=FALSE&amp;VAR:CALENDAR=FIVEDAY&amp;VAR:SYMBOL=B064SH&amp;VAR:INDEX=0"}</definedName>
    <definedName name="_21__FDSAUDITLINK__" localSheetId="2" hidden="1">{"fdsup://directions/FAT Viewer?action=UPDATE&amp;creator=factset&amp;DYN_ARGS=TRUE&amp;DOC_NAME=FAT:FQL_AUDITING_CLIENT_TEMPLATE.FAT&amp;display_string=Audit&amp;VAR:KEY=RUNOBIVMNG&amp;VAR:QUERY=RkVfVkFMVUFUSU9OKCdQQlBTJywnTUVBTicsJ0FOTlVBTCcsMjAxMiwwLCwsJycp&amp;WINDOW=FIRST_POPUP&amp;H","EIGHT=450&amp;WIDTH=450&amp;START_MAXIMIZED=FALSE&amp;VAR:CALENDAR=FIVEDAY&amp;VAR:SYMBOL=B064SH&amp;VAR:INDEX=0"}</definedName>
    <definedName name="_21__FDSAUDITLINK__" hidden="1">{"fdsup://directions/FAT Viewer?action=UPDATE&amp;creator=factset&amp;DYN_ARGS=TRUE&amp;DOC_NAME=FAT:FQL_AUDITING_CLIENT_TEMPLATE.FAT&amp;display_string=Audit&amp;VAR:KEY=RUNOBIVMNG&amp;VAR:QUERY=RkVfVkFMVUFUSU9OKCdQQlBTJywnTUVBTicsJ0FOTlVBTCcsMjAxMiwwLCwsJycp&amp;WINDOW=FIRST_POPUP&amp;H","EIGHT=450&amp;WIDTH=450&amp;START_MAXIMIZED=FALSE&amp;VAR:CALENDAR=FIVEDAY&amp;VAR:SYMBOL=B064SH&amp;VAR:INDEX=0"}</definedName>
    <definedName name="_210__FDSAUDITLINK__" hidden="1">{"fdsup://directions/FAT Viewer?action=UPDATE&amp;creator=factset&amp;DYN_ARGS=TRUE&amp;DOC_NAME=FAT:FQL_AUDITING_CLIENT_TEMPLATE.FAT&amp;display_string=Audit&amp;VAR:KEY=IFOXUNSTGV&amp;VAR:QUERY=RkZfREVCVChBTk4sMjAwOSk=&amp;WINDOW=FIRST_POPUP&amp;HEIGHT=450&amp;WIDTH=450&amp;START_MAXIMIZED=FALS","E&amp;VAR:CALENDAR=US&amp;VAR:SYMBOL=HEP&amp;VAR:INDEX=0"}</definedName>
    <definedName name="_211__FDSAUDITLINK__" hidden="1">{"fdsup://directions/FAT Viewer?action=UPDATE&amp;creator=factset&amp;DYN_ARGS=TRUE&amp;DOC_NAME=FAT:FQL_AUDITING_CLIENT_TEMPLATE.FAT&amp;display_string=Audit&amp;VAR:KEY=IRYFIFYNOZ&amp;VAR:QUERY=RkZfREVCVChBTk4sMjAwOSk=&amp;WINDOW=FIRST_POPUP&amp;HEIGHT=450&amp;WIDTH=450&amp;START_MAXIMIZED=FALS","E&amp;VAR:CALENDAR=US&amp;VAR:SYMBOL=TLLP&amp;VAR:INDEX=0"}</definedName>
    <definedName name="_212__FDSAUDITLINK__" hidden="1">{"fdsup://directions/FAT Viewer?action=UPDATE&amp;creator=factset&amp;DYN_ARGS=TRUE&amp;DOC_NAME=FAT:FQL_AUDITING_CLIENT_TEMPLATE.FAT&amp;display_string=Audit&amp;VAR:KEY=IRYFIFYNOZ&amp;VAR:QUERY=RkZfREVCVChBTk4sMjAwOSk=&amp;WINDOW=FIRST_POPUP&amp;HEIGHT=450&amp;WIDTH=450&amp;START_MAXIMIZED=FALS","E&amp;VAR:CALENDAR=US&amp;VAR:SYMBOL=TLLP&amp;VAR:INDEX=0"}</definedName>
    <definedName name="_213__FDSAUDITLINK__" hidden="1">{"fdsup://directions/FAT Viewer?action=UPDATE&amp;creator=factset&amp;DYN_ARGS=TRUE&amp;DOC_NAME=FAT:FQL_AUDITING_CLIENT_TEMPLATE.FAT&amp;display_string=Audit&amp;VAR:KEY=IRYFIFYNOZ&amp;VAR:QUERY=RkZfREVCVChBTk4sMjAwOSk=&amp;WINDOW=FIRST_POPUP&amp;HEIGHT=450&amp;WIDTH=450&amp;START_MAXIMIZED=FALS","E&amp;VAR:CALENDAR=US&amp;VAR:SYMBOL=TLLP&amp;VAR:INDEX=0"}</definedName>
    <definedName name="_214__FDSAUDITLINK__" hidden="1">{"fdsup://directions/FAT Viewer?action=UPDATE&amp;creator=factset&amp;DYN_ARGS=TRUE&amp;DOC_NAME=FAT:FQL_AUDITING_CLIENT_TEMPLATE.FAT&amp;display_string=Audit&amp;VAR:KEY=IRYFIFYNOZ&amp;VAR:QUERY=RkZfREVCVChBTk4sMjAwOSk=&amp;WINDOW=FIRST_POPUP&amp;HEIGHT=450&amp;WIDTH=450&amp;START_MAXIMIZED=FALS","E&amp;VAR:CALENDAR=US&amp;VAR:SYMBOL=TLLP&amp;VAR:INDEX=0"}</definedName>
    <definedName name="_215__FDSAUDITLINK__" hidden="1">{"fdsup://directions/FAT Viewer?action=UPDATE&amp;creator=factset&amp;DYN_ARGS=TRUE&amp;DOC_NAME=FAT:FQL_AUDITING_CLIENT_TEMPLATE.FAT&amp;display_string=Audit&amp;VAR:KEY=IRYFIFYNOZ&amp;VAR:QUERY=RkZfREVCVChBTk4sMjAwOSk=&amp;WINDOW=FIRST_POPUP&amp;HEIGHT=450&amp;WIDTH=450&amp;START_MAXIMIZED=FALS","E&amp;VAR:CALENDAR=US&amp;VAR:SYMBOL=TLLP&amp;VAR:INDEX=0"}</definedName>
    <definedName name="_216__FDSAUDITLINK__" hidden="1">{"fdsup://directions/FAT Viewer?action=UPDATE&amp;creator=factset&amp;DYN_ARGS=TRUE&amp;DOC_NAME=FAT:FQL_AUDITING_CLIENT_TEMPLATE.FAT&amp;display_string=Audit&amp;VAR:KEY=EPSXOFKJWJ&amp;VAR:QUERY=RkZfREVCVChBTk4sMjAwOSk=&amp;WINDOW=FIRST_POPUP&amp;HEIGHT=450&amp;WIDTH=450&amp;START_MAXIMIZED=FALS","E&amp;VAR:CALENDAR=US&amp;VAR:SYMBOL=TLP&amp;VAR:INDEX=0"}</definedName>
    <definedName name="_217__FDSAUDITLINK__" hidden="1">{"fdsup://directions/FAT Viewer?action=UPDATE&amp;creator=factset&amp;DYN_ARGS=TRUE&amp;DOC_NAME=FAT:FQL_AUDITING_CLIENT_TEMPLATE.FAT&amp;display_string=Audit&amp;VAR:KEY=EPSXOFKJWJ&amp;VAR:QUERY=RkZfREVCVChBTk4sMjAwOSk=&amp;WINDOW=FIRST_POPUP&amp;HEIGHT=450&amp;WIDTH=450&amp;START_MAXIMIZED=FALS","E&amp;VAR:CALENDAR=US&amp;VAR:SYMBOL=TLP&amp;VAR:INDEX=0"}</definedName>
    <definedName name="_218__FDSAUDITLINK__" hidden="1">{"fdsup://directions/FAT Viewer?action=UPDATE&amp;creator=factset&amp;DYN_ARGS=TRUE&amp;DOC_NAME=FAT:FQL_AUDITING_CLIENT_TEMPLATE.FAT&amp;display_string=Audit&amp;VAR:KEY=EPSXOFKJWJ&amp;VAR:QUERY=RkZfREVCVChBTk4sMjAwOSk=&amp;WINDOW=FIRST_POPUP&amp;HEIGHT=450&amp;WIDTH=450&amp;START_MAXIMIZED=FALS","E&amp;VAR:CALENDAR=US&amp;VAR:SYMBOL=TLP&amp;VAR:INDEX=0"}</definedName>
    <definedName name="_219__FDSAUDITLINK__" hidden="1">{"fdsup://directions/FAT Viewer?action=UPDATE&amp;creator=factset&amp;DYN_ARGS=TRUE&amp;DOC_NAME=FAT:FQL_AUDITING_CLIENT_TEMPLATE.FAT&amp;display_string=Audit&amp;VAR:KEY=EPSXOFKJWJ&amp;VAR:QUERY=RkZfREVCVChBTk4sMjAwOSk=&amp;WINDOW=FIRST_POPUP&amp;HEIGHT=450&amp;WIDTH=450&amp;START_MAXIMIZED=FALS","E&amp;VAR:CALENDAR=US&amp;VAR:SYMBOL=TLP&amp;VAR:INDEX=0"}</definedName>
    <definedName name="_22__FDSAUDITLINK__" localSheetId="6" hidden="1">{"fdsup://directions/FAT Viewer?action=UPDATE&amp;creator=factset&amp;DYN_ARGS=TRUE&amp;DOC_NAME=FAT:FQL_AUDITING_CLIENT_TEMPLATE.FAT&amp;display_string=Audit&amp;VAR:KEY=LCHSVMLSVY&amp;VAR:QUERY=RkVfVkFMVUFUSU9OKCdQQlBTJywnTUVBTicsJ0FOTlVBTCcsMjAxMSwwLCwsJycp&amp;WINDOW=FIRST_POPUP&amp;H","EIGHT=450&amp;WIDTH=450&amp;START_MAXIMIZED=FALSE&amp;VAR:CALENDAR=FIVEDAY&amp;VAR:SYMBOL=B064SH&amp;VAR:INDEX=0"}</definedName>
    <definedName name="_22__FDSAUDITLINK__" localSheetId="8" hidden="1">{"fdsup://directions/FAT Viewer?action=UPDATE&amp;creator=factset&amp;DYN_ARGS=TRUE&amp;DOC_NAME=FAT:FQL_AUDITING_CLIENT_TEMPLATE.FAT&amp;display_string=Audit&amp;VAR:KEY=LCHSVMLSVY&amp;VAR:QUERY=RkVfVkFMVUFUSU9OKCdQQlBTJywnTUVBTicsJ0FOTlVBTCcsMjAxMSwwLCwsJycp&amp;WINDOW=FIRST_POPUP&amp;H","EIGHT=450&amp;WIDTH=450&amp;START_MAXIMIZED=FALSE&amp;VAR:CALENDAR=FIVEDAY&amp;VAR:SYMBOL=B064SH&amp;VAR:INDEX=0"}</definedName>
    <definedName name="_22__FDSAUDITLINK__" localSheetId="2" hidden="1">{"fdsup://directions/FAT Viewer?action=UPDATE&amp;creator=factset&amp;DYN_ARGS=TRUE&amp;DOC_NAME=FAT:FQL_AUDITING_CLIENT_TEMPLATE.FAT&amp;display_string=Audit&amp;VAR:KEY=LCHSVMLSVY&amp;VAR:QUERY=RkVfVkFMVUFUSU9OKCdQQlBTJywnTUVBTicsJ0FOTlVBTCcsMjAxMSwwLCwsJycp&amp;WINDOW=FIRST_POPUP&amp;H","EIGHT=450&amp;WIDTH=450&amp;START_MAXIMIZED=FALSE&amp;VAR:CALENDAR=FIVEDAY&amp;VAR:SYMBOL=B064SH&amp;VAR:INDEX=0"}</definedName>
    <definedName name="_22__FDSAUDITLINK__" hidden="1">{"fdsup://directions/FAT Viewer?action=UPDATE&amp;creator=factset&amp;DYN_ARGS=TRUE&amp;DOC_NAME=FAT:FQL_AUDITING_CLIENT_TEMPLATE.FAT&amp;display_string=Audit&amp;VAR:KEY=LCHSVMLSVY&amp;VAR:QUERY=RkVfVkFMVUFUSU9OKCdQQlBTJywnTUVBTicsJ0FOTlVBTCcsMjAxMSwwLCwsJycp&amp;WINDOW=FIRST_POPUP&amp;H","EIGHT=450&amp;WIDTH=450&amp;START_MAXIMIZED=FALSE&amp;VAR:CALENDAR=FIVEDAY&amp;VAR:SYMBOL=B064SH&amp;VAR:INDEX=0"}</definedName>
    <definedName name="_220__FDSAUDITLINK__" hidden="1">{"fdsup://directions/FAT Viewer?action=UPDATE&amp;creator=factset&amp;DYN_ARGS=TRUE&amp;DOC_NAME=FAT:FQL_AUDITING_CLIENT_TEMPLATE.FAT&amp;display_string=Audit&amp;VAR:KEY=MJMLUXUPQZ&amp;VAR:QUERY=RkZfREVCVChBTk4sMjAwOSk=&amp;WINDOW=FIRST_POPUP&amp;HEIGHT=450&amp;WIDTH=450&amp;START_MAXIMIZED=FALS","E&amp;VAR:CALENDAR=US&amp;VAR:SYMBOL=HEP&amp;VAR:INDEX=0"}</definedName>
    <definedName name="_221__FDSAUDITLINK__" hidden="1">{"fdsup://directions/FAT Viewer?action=UPDATE&amp;creator=factset&amp;DYN_ARGS=TRUE&amp;DOC_NAME=FAT:FQL_AUDITING_CLIENT_TEMPLATE.FAT&amp;display_string=Audit&amp;VAR:KEY=MJMLUXUPQZ&amp;VAR:QUERY=RkZfREVCVChBTk4sMjAwOSk=&amp;WINDOW=FIRST_POPUP&amp;HEIGHT=450&amp;WIDTH=450&amp;START_MAXIMIZED=FALS","E&amp;VAR:CALENDAR=US&amp;VAR:SYMBOL=HEP&amp;VAR:INDEX=0"}</definedName>
    <definedName name="_222__FDSAUDITLINK__" hidden="1">{"fdsup://directions/FAT Viewer?action=UPDATE&amp;creator=factset&amp;DYN_ARGS=TRUE&amp;DOC_NAME=FAT:FQL_AUDITING_CLIENT_TEMPLATE.FAT&amp;display_string=Audit&amp;VAR:KEY=MJMLUXUPQZ&amp;VAR:QUERY=RkZfREVCVChBTk4sMjAwOSk=&amp;WINDOW=FIRST_POPUP&amp;HEIGHT=450&amp;WIDTH=450&amp;START_MAXIMIZED=FALS","E&amp;VAR:CALENDAR=US&amp;VAR:SYMBOL=HEP&amp;VAR:INDEX=0"}</definedName>
    <definedName name="_223__FDSAUDITLINK__" hidden="1">{"fdsup://directions/FAT Viewer?action=UPDATE&amp;creator=factset&amp;DYN_ARGS=TRUE&amp;DOC_NAME=FAT:FQL_AUDITING_CLIENT_TEMPLATE.FAT&amp;display_string=Audit&amp;VAR:KEY=MJMLUXUPQZ&amp;VAR:QUERY=RkZfREVCVChBTk4sMjAwOSk=&amp;WINDOW=FIRST_POPUP&amp;HEIGHT=450&amp;WIDTH=450&amp;START_MAXIMIZED=FALS","E&amp;VAR:CALENDAR=US&amp;VAR:SYMBOL=HEP&amp;VAR:INDEX=0"}</definedName>
    <definedName name="_224__FDSAUDITLINK__" hidden="1">{"fdsup://directions/FAT Viewer?action=UPDATE&amp;creator=factset&amp;DYN_ARGS=TRUE&amp;DOC_NAME=FAT:FQL_AUDITING_CLIENT_TEMPLATE.FAT&amp;display_string=Audit&amp;VAR:KEY=MJMLUXUPQZ&amp;VAR:QUERY=RkZfREVCVChBTk4sMjAwOSk=&amp;WINDOW=FIRST_POPUP&amp;HEIGHT=450&amp;WIDTH=450&amp;START_MAXIMIZED=FALS","E&amp;VAR:CALENDAR=US&amp;VAR:SYMBOL=HEP&amp;VAR:INDEX=0"}</definedName>
    <definedName name="_225__FDSAUDITLINK__" hidden="1">{"fdsup://directions/FAT Viewer?action=UPDATE&amp;creator=factset&amp;DYN_ARGS=TRUE&amp;DOC_NAME=FAT:FQL_AUDITING_CLIENT_TEMPLATE.FAT&amp;display_string=Audit&amp;VAR:KEY=OPSFGTCZST&amp;VAR:QUERY=RkZfREVCVChBTk4sMjAwOSk=&amp;WINDOW=FIRST_POPUP&amp;HEIGHT=450&amp;WIDTH=450&amp;START_MAXIMIZED=FALS","E&amp;VAR:CALENDAR=US&amp;VAR:SYMBOL=EROC&amp;VAR:INDEX=0"}</definedName>
    <definedName name="_226__FDSAUDITLINK__" hidden="1">{"fdsup://directions/FAT Viewer?action=UPDATE&amp;creator=factset&amp;DYN_ARGS=TRUE&amp;DOC_NAME=FAT:FQL_AUDITING_CLIENT_TEMPLATE.FAT&amp;display_string=Audit&amp;VAR:KEY=OPSFGTCZST&amp;VAR:QUERY=RkZfREVCVChBTk4sMjAwOSk=&amp;WINDOW=FIRST_POPUP&amp;HEIGHT=450&amp;WIDTH=450&amp;START_MAXIMIZED=FALS","E&amp;VAR:CALENDAR=US&amp;VAR:SYMBOL=EROC&amp;VAR:INDEX=0"}</definedName>
    <definedName name="_227__FDSAUDITLINK__" hidden="1">{"fdsup://directions/FAT Viewer?action=UPDATE&amp;creator=factset&amp;DYN_ARGS=TRUE&amp;DOC_NAME=FAT:FQL_AUDITING_CLIENT_TEMPLATE.FAT&amp;display_string=Audit&amp;VAR:KEY=OPSFGTCZST&amp;VAR:QUERY=RkZfREVCVChBTk4sMjAwOSk=&amp;WINDOW=FIRST_POPUP&amp;HEIGHT=450&amp;WIDTH=450&amp;START_MAXIMIZED=FALS","E&amp;VAR:CALENDAR=US&amp;VAR:SYMBOL=EROC&amp;VAR:INDEX=0"}</definedName>
    <definedName name="_228__FDSAUDITLINK__" hidden="1">{"fdsup://directions/FAT Viewer?action=UPDATE&amp;creator=factset&amp;DYN_ARGS=TRUE&amp;DOC_NAME=FAT:FQL_AUDITING_CLIENT_TEMPLATE.FAT&amp;display_string=Audit&amp;VAR:KEY=IRMPWPEJWZ&amp;VAR:QUERY=RkZfREVCVChBTk4sMjAxMCk=&amp;WINDOW=FIRST_POPUP&amp;HEIGHT=450&amp;WIDTH=450&amp;START_MAXIMIZED=FALS","E&amp;VAR:CALENDAR=US&amp;VAR:SYMBOL=CMLP&amp;VAR:INDEX=0"}</definedName>
    <definedName name="_229__FDSAUDITLINK__" hidden="1">{"fdsup://directions/FAT Viewer?action=UPDATE&amp;creator=factset&amp;DYN_ARGS=TRUE&amp;DOC_NAME=FAT:FQL_AUDITING_CLIENT_TEMPLATE.FAT&amp;display_string=Audit&amp;VAR:KEY=IRMPWPEJWZ&amp;VAR:QUERY=RkZfREVCVChBTk4sMjAxMCk=&amp;WINDOW=FIRST_POPUP&amp;HEIGHT=450&amp;WIDTH=450&amp;START_MAXIMIZED=FALS","E&amp;VAR:CALENDAR=US&amp;VAR:SYMBOL=CMLP&amp;VAR:INDEX=0"}</definedName>
    <definedName name="_23__FDSAUDITLINK__" localSheetId="6" hidden="1">{"fdsup://directions/FAT Viewer?action=UPDATE&amp;creator=factset&amp;DYN_ARGS=TRUE&amp;DOC_NAME=FAT:FQL_AUDITING_CLIENT_TEMPLATE.FAT&amp;display_string=Audit&amp;VAR:KEY=DCBKNWDAHK&amp;VAR:QUERY=RkVfVkFMVUFUSU9OKCdQQlBTJywnTUVBTicsJ0FOTlVBTCcsMjAxMCwwLCwsJycp&amp;WINDOW=FIRST_POPUP&amp;H","EIGHT=450&amp;WIDTH=450&amp;START_MAXIMIZED=FALSE&amp;VAR:CALENDAR=FIVEDAY&amp;VAR:SYMBOL=B064SH&amp;VAR:INDEX=0"}</definedName>
    <definedName name="_23__FDSAUDITLINK__" localSheetId="8" hidden="1">{"fdsup://directions/FAT Viewer?action=UPDATE&amp;creator=factset&amp;DYN_ARGS=TRUE&amp;DOC_NAME=FAT:FQL_AUDITING_CLIENT_TEMPLATE.FAT&amp;display_string=Audit&amp;VAR:KEY=DCBKNWDAHK&amp;VAR:QUERY=RkVfVkFMVUFUSU9OKCdQQlBTJywnTUVBTicsJ0FOTlVBTCcsMjAxMCwwLCwsJycp&amp;WINDOW=FIRST_POPUP&amp;H","EIGHT=450&amp;WIDTH=450&amp;START_MAXIMIZED=FALSE&amp;VAR:CALENDAR=FIVEDAY&amp;VAR:SYMBOL=B064SH&amp;VAR:INDEX=0"}</definedName>
    <definedName name="_23__FDSAUDITLINK__" localSheetId="2" hidden="1">{"fdsup://directions/FAT Viewer?action=UPDATE&amp;creator=factset&amp;DYN_ARGS=TRUE&amp;DOC_NAME=FAT:FQL_AUDITING_CLIENT_TEMPLATE.FAT&amp;display_string=Audit&amp;VAR:KEY=DCBKNWDAHK&amp;VAR:QUERY=RkVfVkFMVUFUSU9OKCdQQlBTJywnTUVBTicsJ0FOTlVBTCcsMjAxMCwwLCwsJycp&amp;WINDOW=FIRST_POPUP&amp;H","EIGHT=450&amp;WIDTH=450&amp;START_MAXIMIZED=FALSE&amp;VAR:CALENDAR=FIVEDAY&amp;VAR:SYMBOL=B064SH&amp;VAR:INDEX=0"}</definedName>
    <definedName name="_23__FDSAUDITLINK__" hidden="1">{"fdsup://directions/FAT Viewer?action=UPDATE&amp;creator=factset&amp;DYN_ARGS=TRUE&amp;DOC_NAME=FAT:FQL_AUDITING_CLIENT_TEMPLATE.FAT&amp;display_string=Audit&amp;VAR:KEY=DCBKNWDAHK&amp;VAR:QUERY=RkVfVkFMVUFUSU9OKCdQQlBTJywnTUVBTicsJ0FOTlVBTCcsMjAxMCwwLCwsJycp&amp;WINDOW=FIRST_POPUP&amp;H","EIGHT=450&amp;WIDTH=450&amp;START_MAXIMIZED=FALSE&amp;VAR:CALENDAR=FIVEDAY&amp;VAR:SYMBOL=B064SH&amp;VAR:INDEX=0"}</definedName>
    <definedName name="_230__FDSAUDITLINK__" hidden="1">{"fdsup://directions/FAT Viewer?action=UPDATE&amp;creator=factset&amp;DYN_ARGS=TRUE&amp;DOC_NAME=FAT:FQL_AUDITING_CLIENT_TEMPLATE.FAT&amp;display_string=Audit&amp;VAR:KEY=IRMPWPEJWZ&amp;VAR:QUERY=RkZfREVCVChBTk4sMjAxMCk=&amp;WINDOW=FIRST_POPUP&amp;HEIGHT=450&amp;WIDTH=450&amp;START_MAXIMIZED=FALS","E&amp;VAR:CALENDAR=US&amp;VAR:SYMBOL=CMLP&amp;VAR:INDEX=0"}</definedName>
    <definedName name="_231__FDSAUDITLINK__" hidden="1">{"fdsup://directions/FAT Viewer?action=UPDATE&amp;creator=factset&amp;DYN_ARGS=TRUE&amp;DOC_NAME=FAT:FQL_AUDITING_CLIENT_TEMPLATE.FAT&amp;display_string=Audit&amp;VAR:KEY=EPSXOFKJWJ&amp;VAR:QUERY=RkZfREVCVChBTk4sMjAwOSk=&amp;WINDOW=FIRST_POPUP&amp;HEIGHT=450&amp;WIDTH=450&amp;START_MAXIMIZED=FALS","E&amp;VAR:CALENDAR=US&amp;VAR:SYMBOL=TLP&amp;VAR:INDEX=0"}</definedName>
    <definedName name="_232__FDSAUDITLINK__" hidden="1">{"fdsup://directions/FAT Viewer?action=UPDATE&amp;creator=factset&amp;DYN_ARGS=TRUE&amp;DOC_NAME=FAT:FQL_AUDITING_CLIENT_TEMPLATE.FAT&amp;display_string=Audit&amp;VAR:KEY=EPSXOFKJWJ&amp;VAR:QUERY=RkZfREVCVChBTk4sMjAwOSk=&amp;WINDOW=FIRST_POPUP&amp;HEIGHT=450&amp;WIDTH=450&amp;START_MAXIMIZED=FALS","E&amp;VAR:CALENDAR=US&amp;VAR:SYMBOL=TLP&amp;VAR:INDEX=0"}</definedName>
    <definedName name="_233__FDSAUDITLINK__" hidden="1">{"fdsup://directions/FAT Viewer?action=UPDATE&amp;creator=factset&amp;DYN_ARGS=TRUE&amp;DOC_NAME=FAT:FQL_AUDITING_CLIENT_TEMPLATE.FAT&amp;display_string=Audit&amp;VAR:KEY=EPSXOFKJWJ&amp;VAR:QUERY=RkZfREVCVChBTk4sMjAwOSk=&amp;WINDOW=FIRST_POPUP&amp;HEIGHT=450&amp;WIDTH=450&amp;START_MAXIMIZED=FALS","E&amp;VAR:CALENDAR=US&amp;VAR:SYMBOL=TLP&amp;VAR:INDEX=0"}</definedName>
    <definedName name="_234__FDSAUDITLINK__" hidden="1">{"fdsup://directions/FAT Viewer?action=UPDATE&amp;creator=factset&amp;DYN_ARGS=TRUE&amp;DOC_NAME=FAT:FQL_AUDITING_CLIENT_TEMPLATE.FAT&amp;display_string=Audit&amp;VAR:KEY=MJMLUXUPQZ&amp;VAR:QUERY=RkZfREVCVChBTk4sMjAwOSk=&amp;WINDOW=FIRST_POPUP&amp;HEIGHT=450&amp;WIDTH=450&amp;START_MAXIMIZED=FALS","E&amp;VAR:CALENDAR=US&amp;VAR:SYMBOL=HEP&amp;VAR:INDEX=0"}</definedName>
    <definedName name="_235__FDSAUDITLINK__" hidden="1">{"fdsup://directions/FAT Viewer?action=UPDATE&amp;creator=factset&amp;DYN_ARGS=TRUE&amp;DOC_NAME=FAT:FQL_AUDITING_CLIENT_TEMPLATE.FAT&amp;display_string=Audit&amp;VAR:KEY=MJMLUXUPQZ&amp;VAR:QUERY=RkZfREVCVChBTk4sMjAwOSk=&amp;WINDOW=FIRST_POPUP&amp;HEIGHT=450&amp;WIDTH=450&amp;START_MAXIMIZED=FALS","E&amp;VAR:CALENDAR=US&amp;VAR:SYMBOL=HEP&amp;VAR:INDEX=0"}</definedName>
    <definedName name="_236__FDSAUDITLINK__" hidden="1">{"fdsup://directions/FAT Viewer?action=UPDATE&amp;creator=factset&amp;DYN_ARGS=TRUE&amp;DOC_NAME=FAT:FQL_AUDITING_CLIENT_TEMPLATE.FAT&amp;display_string=Audit&amp;VAR:KEY=MJMLUXUPQZ&amp;VAR:QUERY=RkZfREVCVChBTk4sMjAwOSk=&amp;WINDOW=FIRST_POPUP&amp;HEIGHT=450&amp;WIDTH=450&amp;START_MAXIMIZED=FALS","E&amp;VAR:CALENDAR=US&amp;VAR:SYMBOL=HEP&amp;VAR:INDEX=0"}</definedName>
    <definedName name="_237__FDSAUDITLINK__" hidden="1">{"fdsup://directions/FAT Viewer?action=UPDATE&amp;creator=factset&amp;DYN_ARGS=TRUE&amp;DOC_NAME=FAT:FQL_AUDITING_CLIENT_TEMPLATE.FAT&amp;display_string=Audit&amp;VAR:KEY=OPSFGTCZST&amp;VAR:QUERY=RkZfREVCVChBTk4sMjAwOSk=&amp;WINDOW=FIRST_POPUP&amp;HEIGHT=450&amp;WIDTH=450&amp;START_MAXIMIZED=FALS","E&amp;VAR:CALENDAR=US&amp;VAR:SYMBOL=EROC&amp;VAR:INDEX=0"}</definedName>
    <definedName name="_238__FDSAUDITLINK__" hidden="1">{"fdsup://directions/FAT Viewer?action=UPDATE&amp;creator=factset&amp;DYN_ARGS=TRUE&amp;DOC_NAME=FAT:FQL_AUDITING_CLIENT_TEMPLATE.FAT&amp;display_string=Audit&amp;VAR:KEY=OPSFGTCZST&amp;VAR:QUERY=RkZfREVCVChBTk4sMjAwOSk=&amp;WINDOW=FIRST_POPUP&amp;HEIGHT=450&amp;WIDTH=450&amp;START_MAXIMIZED=FALS","E&amp;VAR:CALENDAR=US&amp;VAR:SYMBOL=EROC&amp;VAR:INDEX=0"}</definedName>
    <definedName name="_239__FDSAUDITLINK__" hidden="1">{"fdsup://directions/FAT Viewer?action=UPDATE&amp;creator=factset&amp;DYN_ARGS=TRUE&amp;DOC_NAME=FAT:FQL_AUDITING_CLIENT_TEMPLATE.FAT&amp;display_string=Audit&amp;VAR:KEY=IRMPWPEJWZ&amp;VAR:QUERY=RkZfREVCVChBTk4sMjAxMCk=&amp;WINDOW=FIRST_POPUP&amp;HEIGHT=450&amp;WIDTH=450&amp;START_MAXIMIZED=FALS","E&amp;VAR:CALENDAR=US&amp;VAR:SYMBOL=CMLP&amp;VAR:INDEX=0"}</definedName>
    <definedName name="_24__FDSAUDITLINK__" localSheetId="6" hidden="1">{"fdsup://directions/FAT Viewer?action=UPDATE&amp;creator=factset&amp;DYN_ARGS=TRUE&amp;DOC_NAME=FAT:FQL_AUDITING_CLIENT_TEMPLATE.FAT&amp;display_string=Audit&amp;VAR:KEY=HKPODUPWHY&amp;VAR:QUERY=RkVfVkFMVUFUSU9OKCdQQlBTJywnTUVBTicsJ0FOTlVBTCcsMjAwOSwwLCwsJycp&amp;WINDOW=FIRST_POPUP&amp;H","EIGHT=450&amp;WIDTH=450&amp;START_MAXIMIZED=FALSE&amp;VAR:CALENDAR=FIVEDAY&amp;VAR:SYMBOL=B064SH&amp;VAR:INDEX=0"}</definedName>
    <definedName name="_24__FDSAUDITLINK__" localSheetId="8" hidden="1">{"fdsup://directions/FAT Viewer?action=UPDATE&amp;creator=factset&amp;DYN_ARGS=TRUE&amp;DOC_NAME=FAT:FQL_AUDITING_CLIENT_TEMPLATE.FAT&amp;display_string=Audit&amp;VAR:KEY=HKPODUPWHY&amp;VAR:QUERY=RkVfVkFMVUFUSU9OKCdQQlBTJywnTUVBTicsJ0FOTlVBTCcsMjAwOSwwLCwsJycp&amp;WINDOW=FIRST_POPUP&amp;H","EIGHT=450&amp;WIDTH=450&amp;START_MAXIMIZED=FALSE&amp;VAR:CALENDAR=FIVEDAY&amp;VAR:SYMBOL=B064SH&amp;VAR:INDEX=0"}</definedName>
    <definedName name="_24__FDSAUDITLINK__" localSheetId="2" hidden="1">{"fdsup://directions/FAT Viewer?action=UPDATE&amp;creator=factset&amp;DYN_ARGS=TRUE&amp;DOC_NAME=FAT:FQL_AUDITING_CLIENT_TEMPLATE.FAT&amp;display_string=Audit&amp;VAR:KEY=HKPODUPWHY&amp;VAR:QUERY=RkVfVkFMVUFUSU9OKCdQQlBTJywnTUVBTicsJ0FOTlVBTCcsMjAwOSwwLCwsJycp&amp;WINDOW=FIRST_POPUP&amp;H","EIGHT=450&amp;WIDTH=450&amp;START_MAXIMIZED=FALSE&amp;VAR:CALENDAR=FIVEDAY&amp;VAR:SYMBOL=B064SH&amp;VAR:INDEX=0"}</definedName>
    <definedName name="_24__FDSAUDITLINK__" hidden="1">{"fdsup://directions/FAT Viewer?action=UPDATE&amp;creator=factset&amp;DYN_ARGS=TRUE&amp;DOC_NAME=FAT:FQL_AUDITING_CLIENT_TEMPLATE.FAT&amp;display_string=Audit&amp;VAR:KEY=HKPODUPWHY&amp;VAR:QUERY=RkVfVkFMVUFUSU9OKCdQQlBTJywnTUVBTicsJ0FOTlVBTCcsMjAwOSwwLCwsJycp&amp;WINDOW=FIRST_POPUP&amp;H","EIGHT=450&amp;WIDTH=450&amp;START_MAXIMIZED=FALSE&amp;VAR:CALENDAR=FIVEDAY&amp;VAR:SYMBOL=B064SH&amp;VAR:INDEX=0"}</definedName>
    <definedName name="_240__FDSAUDITLINK__" hidden="1">{"fdsup://directions/FAT Viewer?action=UPDATE&amp;creator=factset&amp;DYN_ARGS=TRUE&amp;DOC_NAME=FAT:FQL_AUDITING_CLIENT_TEMPLATE.FAT&amp;display_string=Audit&amp;VAR:KEY=IRMPWPEJWZ&amp;VAR:QUERY=RkZfREVCVChBTk4sMjAxMCk=&amp;WINDOW=FIRST_POPUP&amp;HEIGHT=450&amp;WIDTH=450&amp;START_MAXIMIZED=FALS","E&amp;VAR:CALENDAR=US&amp;VAR:SYMBOL=CMLP&amp;VAR:INDEX=0"}</definedName>
    <definedName name="_241__FDSAUDITLINK__" hidden="1">{"fdsup://directions/FAT Viewer?action=UPDATE&amp;creator=factset&amp;DYN_ARGS=TRUE&amp;DOC_NAME=FAT:FQL_AUDITING_CLIENT_TEMPLATE.FAT&amp;display_string=Audit&amp;VAR:KEY=IRMPWPEJWZ&amp;VAR:QUERY=RkZfREVCVChBTk4sMjAxMCk=&amp;WINDOW=FIRST_POPUP&amp;HEIGHT=450&amp;WIDTH=450&amp;START_MAXIMIZED=FALS","E&amp;VAR:CALENDAR=US&amp;VAR:SYMBOL=CMLP&amp;VAR:INDEX=0"}</definedName>
    <definedName name="_242__FDSAUDITLINK__" hidden="1">{"fdsup://directions/FAT Viewer?action=UPDATE&amp;creator=factset&amp;DYN_ARGS=TRUE&amp;DOC_NAME=FAT:FQL_AUDITING_CLIENT_TEMPLATE.FAT&amp;display_string=Audit&amp;VAR:KEY=EPSXOFKJWJ&amp;VAR:QUERY=RkZfREVCVChBTk4sMjAwOSk=&amp;WINDOW=FIRST_POPUP&amp;HEIGHT=450&amp;WIDTH=450&amp;START_MAXIMIZED=FALS","E&amp;VAR:CALENDAR=US&amp;VAR:SYMBOL=TLP&amp;VAR:INDEX=0"}</definedName>
    <definedName name="_243__FDSAUDITLINK__" hidden="1">{"fdsup://directions/FAT Viewer?action=UPDATE&amp;creator=factset&amp;DYN_ARGS=TRUE&amp;DOC_NAME=FAT:FQL_AUDITING_CLIENT_TEMPLATE.FAT&amp;display_string=Audit&amp;VAR:KEY=EPSXOFKJWJ&amp;VAR:QUERY=RkZfREVCVChBTk4sMjAwOSk=&amp;WINDOW=FIRST_POPUP&amp;HEIGHT=450&amp;WIDTH=450&amp;START_MAXIMIZED=FALS","E&amp;VAR:CALENDAR=US&amp;VAR:SYMBOL=TLP&amp;VAR:INDEX=0"}</definedName>
    <definedName name="_244__FDSAUDITLINK__" hidden="1">{"fdsup://directions/FAT Viewer?action=UPDATE&amp;creator=factset&amp;DYN_ARGS=TRUE&amp;DOC_NAME=FAT:FQL_AUDITING_CLIENT_TEMPLATE.FAT&amp;display_string=Audit&amp;VAR:KEY=MJMLUXUPQZ&amp;VAR:QUERY=RkZfREVCVChBTk4sMjAwOSk=&amp;WINDOW=FIRST_POPUP&amp;HEIGHT=450&amp;WIDTH=450&amp;START_MAXIMIZED=FALS","E&amp;VAR:CALENDAR=US&amp;VAR:SYMBOL=HEP&amp;VAR:INDEX=0"}</definedName>
    <definedName name="_245__FDSAUDITLINK__" hidden="1">{"fdsup://directions/FAT Viewer?action=UPDATE&amp;creator=factset&amp;DYN_ARGS=TRUE&amp;DOC_NAME=FAT:FQL_AUDITING_CLIENT_TEMPLATE.FAT&amp;display_string=Audit&amp;VAR:KEY=MJMLUXUPQZ&amp;VAR:QUERY=RkZfREVCVChBTk4sMjAwOSk=&amp;WINDOW=FIRST_POPUP&amp;HEIGHT=450&amp;WIDTH=450&amp;START_MAXIMIZED=FALS","E&amp;VAR:CALENDAR=US&amp;VAR:SYMBOL=HEP&amp;VAR:INDEX=0"}</definedName>
    <definedName name="_246__FDSAUDITLINK__" hidden="1">{"fdsup://directions/FAT Viewer?action=UPDATE&amp;creator=factset&amp;DYN_ARGS=TRUE&amp;DOC_NAME=FAT:FQL_AUDITING_CLIENT_TEMPLATE.FAT&amp;display_string=Audit&amp;VAR:KEY=MJMLUXUPQZ&amp;VAR:QUERY=RkZfREVCVChBTk4sMjAwOSk=&amp;WINDOW=FIRST_POPUP&amp;HEIGHT=450&amp;WIDTH=450&amp;START_MAXIMIZED=FALS","E&amp;VAR:CALENDAR=US&amp;VAR:SYMBOL=HEP&amp;VAR:INDEX=0"}</definedName>
    <definedName name="_247__FDSAUDITLINK__" hidden="1">{"fdsup://directions/FAT Viewer?action=UPDATE&amp;creator=factset&amp;DYN_ARGS=TRUE&amp;DOC_NAME=FAT:FQL_AUDITING_CLIENT_TEMPLATE.FAT&amp;display_string=Audit&amp;VAR:KEY=KRAHKFYFIB&amp;VAR:QUERY=RkZfREVCVChBTk4sMjAwOSk=&amp;WINDOW=FIRST_POPUP&amp;HEIGHT=450&amp;WIDTH=450&amp;START_MAXIMIZED=FALS","E&amp;VAR:CALENDAR=US&amp;VAR:SYMBOL=HEP&amp;VAR:INDEX=0"}</definedName>
    <definedName name="_248__FDSAUDITLINK__" hidden="1">{"fdsup://directions/FAT Viewer?action=UPDATE&amp;creator=factset&amp;DYN_ARGS=TRUE&amp;DOC_NAME=FAT:FQL_AUDITING_CLIENT_TEMPLATE.FAT&amp;display_string=Audit&amp;VAR:KEY=KRAHKFYFIB&amp;VAR:QUERY=RkZfREVCVChBTk4sMjAwOSk=&amp;WINDOW=FIRST_POPUP&amp;HEIGHT=450&amp;WIDTH=450&amp;START_MAXIMIZED=FALS","E&amp;VAR:CALENDAR=US&amp;VAR:SYMBOL=HEP&amp;VAR:INDEX=0"}</definedName>
    <definedName name="_249__FDSAUDITLINK__" hidden="1">{"fdsup://directions/FAT Viewer?action=UPDATE&amp;creator=factset&amp;DYN_ARGS=TRUE&amp;DOC_NAME=FAT:FQL_AUDITING_CLIENT_TEMPLATE.FAT&amp;display_string=Audit&amp;VAR:KEY=KRAHKFYFIB&amp;VAR:QUERY=RkZfREVCVChBTk4sMjAwOSk=&amp;WINDOW=FIRST_POPUP&amp;HEIGHT=450&amp;WIDTH=450&amp;START_MAXIMIZED=FALS","E&amp;VAR:CALENDAR=US&amp;VAR:SYMBOL=HEP&amp;VAR:INDEX=0"}</definedName>
    <definedName name="_25__FDSAUDITLINK__" localSheetId="6" hidden="1">{"fdsup://directions/FAT Viewer?action=UPDATE&amp;creator=factset&amp;DYN_ARGS=TRUE&amp;DOC_NAME=FAT:FQL_AUDITING_CLIENT_TEMPLATE.FAT&amp;display_string=Audit&amp;VAR:KEY=DWHUFCHOVA&amp;VAR:QUERY=RkVfVkFMVUFUSU9OKCdQQlBTJywnTUVBTicsJ0FOTlVBTCcsMjAxMiwwLCwsJycp&amp;WINDOW=FIRST_POPUP&amp;H","EIGHT=450&amp;WIDTH=450&amp;START_MAXIMIZED=FALSE&amp;VAR:CALENDAR=FIVEDAY&amp;VAR:SYMBOL=698646&amp;VAR:INDEX=0"}</definedName>
    <definedName name="_25__FDSAUDITLINK__" localSheetId="8" hidden="1">{"fdsup://directions/FAT Viewer?action=UPDATE&amp;creator=factset&amp;DYN_ARGS=TRUE&amp;DOC_NAME=FAT:FQL_AUDITING_CLIENT_TEMPLATE.FAT&amp;display_string=Audit&amp;VAR:KEY=DWHUFCHOVA&amp;VAR:QUERY=RkVfVkFMVUFUSU9OKCdQQlBTJywnTUVBTicsJ0FOTlVBTCcsMjAxMiwwLCwsJycp&amp;WINDOW=FIRST_POPUP&amp;H","EIGHT=450&amp;WIDTH=450&amp;START_MAXIMIZED=FALSE&amp;VAR:CALENDAR=FIVEDAY&amp;VAR:SYMBOL=698646&amp;VAR:INDEX=0"}</definedName>
    <definedName name="_25__FDSAUDITLINK__" localSheetId="2" hidden="1">{"fdsup://directions/FAT Viewer?action=UPDATE&amp;creator=factset&amp;DYN_ARGS=TRUE&amp;DOC_NAME=FAT:FQL_AUDITING_CLIENT_TEMPLATE.FAT&amp;display_string=Audit&amp;VAR:KEY=DWHUFCHOVA&amp;VAR:QUERY=RkVfVkFMVUFUSU9OKCdQQlBTJywnTUVBTicsJ0FOTlVBTCcsMjAxMiwwLCwsJycp&amp;WINDOW=FIRST_POPUP&amp;H","EIGHT=450&amp;WIDTH=450&amp;START_MAXIMIZED=FALSE&amp;VAR:CALENDAR=FIVEDAY&amp;VAR:SYMBOL=698646&amp;VAR:INDEX=0"}</definedName>
    <definedName name="_25__FDSAUDITLINK__" hidden="1">{"fdsup://directions/FAT Viewer?action=UPDATE&amp;creator=factset&amp;DYN_ARGS=TRUE&amp;DOC_NAME=FAT:FQL_AUDITING_CLIENT_TEMPLATE.FAT&amp;display_string=Audit&amp;VAR:KEY=DWHUFCHOVA&amp;VAR:QUERY=RkVfVkFMVUFUSU9OKCdQQlBTJywnTUVBTicsJ0FOTlVBTCcsMjAxMiwwLCwsJycp&amp;WINDOW=FIRST_POPUP&amp;H","EIGHT=450&amp;WIDTH=450&amp;START_MAXIMIZED=FALSE&amp;VAR:CALENDAR=FIVEDAY&amp;VAR:SYMBOL=698646&amp;VAR:INDEX=0"}</definedName>
    <definedName name="_250__FDSAUDITLINK__" hidden="1">{"fdsup://directions/FAT Viewer?action=UPDATE&amp;creator=factset&amp;DYN_ARGS=TRUE&amp;DOC_NAME=FAT:FQL_AUDITING_CLIENT_TEMPLATE.FAT&amp;display_string=Audit&amp;VAR:KEY=KRAHKFYFIB&amp;VAR:QUERY=RkZfREVCVChBTk4sMjAwOSk=&amp;WINDOW=FIRST_POPUP&amp;HEIGHT=450&amp;WIDTH=450&amp;START_MAXIMIZED=FALS","E&amp;VAR:CALENDAR=US&amp;VAR:SYMBOL=HEP&amp;VAR:INDEX=0"}</definedName>
    <definedName name="_251__FDSAUDITLINK__" hidden="1">{"fdsup://directions/FAT Viewer?action=UPDATE&amp;creator=factset&amp;DYN_ARGS=TRUE&amp;DOC_NAME=FAT:FQL_AUDITING_CLIENT_TEMPLATE.FAT&amp;display_string=Audit&amp;VAR:KEY=KRAHKFYFIB&amp;VAR:QUERY=RkZfREVCVChBTk4sMjAwOSk=&amp;WINDOW=FIRST_POPUP&amp;HEIGHT=450&amp;WIDTH=450&amp;START_MAXIMIZED=FALS","E&amp;VAR:CALENDAR=US&amp;VAR:SYMBOL=HEP&amp;VAR:INDEX=0"}</definedName>
    <definedName name="_252__FDSAUDITLINK__" hidden="1">{"fdsup://directions/FAT Viewer?action=UPDATE&amp;creator=factset&amp;DYN_ARGS=TRUE&amp;DOC_NAME=FAT:FQL_AUDITING_CLIENT_TEMPLATE.FAT&amp;display_string=Audit&amp;VAR:KEY=OJYTYRYFKF&amp;VAR:QUERY=RkZfREVCVChBTk4sMjAwOSk=&amp;WINDOW=FIRST_POPUP&amp;HEIGHT=450&amp;WIDTH=450&amp;START_MAXIMIZED=FALS","E&amp;VAR:CALENDAR=US&amp;VAR:SYMBOL=HEP&amp;VAR:INDEX=0"}</definedName>
    <definedName name="_253__FDSAUDITLINK__" hidden="1">{"fdsup://directions/FAT Viewer?action=UPDATE&amp;creator=factset&amp;DYN_ARGS=TRUE&amp;DOC_NAME=FAT:FQL_AUDITING_CLIENT_TEMPLATE.FAT&amp;display_string=Audit&amp;VAR:KEY=OJYTYRYFKF&amp;VAR:QUERY=RkZfREVCVChBTk4sMjAwOSk=&amp;WINDOW=FIRST_POPUP&amp;HEIGHT=450&amp;WIDTH=450&amp;START_MAXIMIZED=FALS","E&amp;VAR:CALENDAR=US&amp;VAR:SYMBOL=HEP&amp;VAR:INDEX=0"}</definedName>
    <definedName name="_254__FDSAUDITLINK__" hidden="1">{"fdsup://directions/FAT Viewer?action=UPDATE&amp;creator=factset&amp;DYN_ARGS=TRUE&amp;DOC_NAME=FAT:FQL_AUDITING_CLIENT_TEMPLATE.FAT&amp;display_string=Audit&amp;VAR:KEY=OJYTYRYFKF&amp;VAR:QUERY=RkZfREVCVChBTk4sMjAwOSk=&amp;WINDOW=FIRST_POPUP&amp;HEIGHT=450&amp;WIDTH=450&amp;START_MAXIMIZED=FALS","E&amp;VAR:CALENDAR=US&amp;VAR:SYMBOL=HEP&amp;VAR:INDEX=0"}</definedName>
    <definedName name="_255__FDSAUDITLINK__" hidden="1">{"fdsup://directions/FAT Viewer?action=UPDATE&amp;creator=factset&amp;DYN_ARGS=TRUE&amp;DOC_NAME=FAT:FQL_AUDITING_CLIENT_TEMPLATE.FAT&amp;display_string=Audit&amp;VAR:KEY=OJYTYRYFKF&amp;VAR:QUERY=RkZfREVCVChBTk4sMjAwOSk=&amp;WINDOW=FIRST_POPUP&amp;HEIGHT=450&amp;WIDTH=450&amp;START_MAXIMIZED=FALS","E&amp;VAR:CALENDAR=US&amp;VAR:SYMBOL=HEP&amp;VAR:INDEX=0"}</definedName>
    <definedName name="_256__FDSAUDITLINK__" hidden="1">{"fdsup://directions/FAT Viewer?action=UPDATE&amp;creator=factset&amp;DYN_ARGS=TRUE&amp;DOC_NAME=FAT:FQL_AUDITING_CLIENT_TEMPLATE.FAT&amp;display_string=Audit&amp;VAR:KEY=OJYTYRYFKF&amp;VAR:QUERY=RkZfREVCVChBTk4sMjAwOSk=&amp;WINDOW=FIRST_POPUP&amp;HEIGHT=450&amp;WIDTH=450&amp;START_MAXIMIZED=FALS","E&amp;VAR:CALENDAR=US&amp;VAR:SYMBOL=HEP&amp;VAR:INDEX=0"}</definedName>
    <definedName name="_257__FDSAUDITLINK__" hidden="1">{"fdsup://directions/FAT Viewer?action=UPDATE&amp;creator=factset&amp;DYN_ARGS=TRUE&amp;DOC_NAME=FAT:FQL_AUDITING_CLIENT_TEMPLATE.FAT&amp;display_string=Audit&amp;VAR:KEY=OPSFGTCZST&amp;VAR:QUERY=RkZfREVCVChBTk4sMjAwOSk=&amp;WINDOW=FIRST_POPUP&amp;HEIGHT=450&amp;WIDTH=450&amp;START_MAXIMIZED=FALS","E&amp;VAR:CALENDAR=US&amp;VAR:SYMBOL=EROC&amp;VAR:INDEX=0"}</definedName>
    <definedName name="_258__FDSAUDITLINK__" hidden="1">{"fdsup://directions/FAT Viewer?action=UPDATE&amp;creator=factset&amp;DYN_ARGS=TRUE&amp;DOC_NAME=FAT:FQL_AUDITING_CLIENT_TEMPLATE.FAT&amp;display_string=Audit&amp;VAR:KEY=OPSFGTCZST&amp;VAR:QUERY=RkZfREVCVChBTk4sMjAwOSk=&amp;WINDOW=FIRST_POPUP&amp;HEIGHT=450&amp;WIDTH=450&amp;START_MAXIMIZED=FALS","E&amp;VAR:CALENDAR=US&amp;VAR:SYMBOL=EROC&amp;VAR:INDEX=0"}</definedName>
    <definedName name="_259__FDSAUDITLINK__" hidden="1">{"fdsup://directions/FAT Viewer?action=UPDATE&amp;creator=factset&amp;DYN_ARGS=TRUE&amp;DOC_NAME=FAT:FQL_AUDITING_CLIENT_TEMPLATE.FAT&amp;display_string=Audit&amp;VAR:KEY=OPSFGTCZST&amp;VAR:QUERY=RkZfREVCVChBTk4sMjAwOSk=&amp;WINDOW=FIRST_POPUP&amp;HEIGHT=450&amp;WIDTH=450&amp;START_MAXIMIZED=FALS","E&amp;VAR:CALENDAR=US&amp;VAR:SYMBOL=EROC&amp;VAR:INDEX=0"}</definedName>
    <definedName name="_26__FDSAUDITLINK__" localSheetId="6" hidden="1">{"fdsup://directions/FAT Viewer?action=UPDATE&amp;creator=factset&amp;DYN_ARGS=TRUE&amp;DOC_NAME=FAT:FQL_AUDITING_CLIENT_TEMPLATE.FAT&amp;display_string=Audit&amp;VAR:KEY=DWHUFCHOVA&amp;VAR:QUERY=RkVfVkFMVUFUSU9OKCdQQlBTJywnTUVBTicsJ0FOTlVBTCcsMjAxMiwwLCwsJycp&amp;WINDOW=FIRST_POPUP&amp;H","EIGHT=450&amp;WIDTH=450&amp;START_MAXIMIZED=FALSE&amp;VAR:CALENDAR=FIVEDAY&amp;VAR:SYMBOL=698646&amp;VAR:INDEX=0"}</definedName>
    <definedName name="_26__FDSAUDITLINK__" localSheetId="8" hidden="1">{"fdsup://directions/FAT Viewer?action=UPDATE&amp;creator=factset&amp;DYN_ARGS=TRUE&amp;DOC_NAME=FAT:FQL_AUDITING_CLIENT_TEMPLATE.FAT&amp;display_string=Audit&amp;VAR:KEY=DWHUFCHOVA&amp;VAR:QUERY=RkVfVkFMVUFUSU9OKCdQQlBTJywnTUVBTicsJ0FOTlVBTCcsMjAxMiwwLCwsJycp&amp;WINDOW=FIRST_POPUP&amp;H","EIGHT=450&amp;WIDTH=450&amp;START_MAXIMIZED=FALSE&amp;VAR:CALENDAR=FIVEDAY&amp;VAR:SYMBOL=698646&amp;VAR:INDEX=0"}</definedName>
    <definedName name="_26__FDSAUDITLINK__" localSheetId="2" hidden="1">{"fdsup://directions/FAT Viewer?action=UPDATE&amp;creator=factset&amp;DYN_ARGS=TRUE&amp;DOC_NAME=FAT:FQL_AUDITING_CLIENT_TEMPLATE.FAT&amp;display_string=Audit&amp;VAR:KEY=DWHUFCHOVA&amp;VAR:QUERY=RkVfVkFMVUFUSU9OKCdQQlBTJywnTUVBTicsJ0FOTlVBTCcsMjAxMiwwLCwsJycp&amp;WINDOW=FIRST_POPUP&amp;H","EIGHT=450&amp;WIDTH=450&amp;START_MAXIMIZED=FALSE&amp;VAR:CALENDAR=FIVEDAY&amp;VAR:SYMBOL=698646&amp;VAR:INDEX=0"}</definedName>
    <definedName name="_26__FDSAUDITLINK__" hidden="1">{"fdsup://directions/FAT Viewer?action=UPDATE&amp;creator=factset&amp;DYN_ARGS=TRUE&amp;DOC_NAME=FAT:FQL_AUDITING_CLIENT_TEMPLATE.FAT&amp;display_string=Audit&amp;VAR:KEY=DWHUFCHOVA&amp;VAR:QUERY=RkVfVkFMVUFUSU9OKCdQQlBTJywnTUVBTicsJ0FOTlVBTCcsMjAxMiwwLCwsJycp&amp;WINDOW=FIRST_POPUP&amp;H","EIGHT=450&amp;WIDTH=450&amp;START_MAXIMIZED=FALSE&amp;VAR:CALENDAR=FIVEDAY&amp;VAR:SYMBOL=698646&amp;VAR:INDEX=0"}</definedName>
    <definedName name="_260__FDSAUDITLINK__" hidden="1">{"fdsup://directions/FAT Viewer?action=UPDATE&amp;creator=factset&amp;DYN_ARGS=TRUE&amp;DOC_NAME=FAT:FQL_AUDITING_CLIENT_TEMPLATE.FAT&amp;display_string=Audit&amp;VAR:KEY=OPSFGTCZST&amp;VAR:QUERY=RkZfREVCVChBTk4sMjAwOSk=&amp;WINDOW=FIRST_POPUP&amp;HEIGHT=450&amp;WIDTH=450&amp;START_MAXIMIZED=FALS","E&amp;VAR:CALENDAR=US&amp;VAR:SYMBOL=EROC&amp;VAR:INDEX=0"}</definedName>
    <definedName name="_261__FDSAUDITLINK__" hidden="1">{"fdsup://directions/FAT Viewer?action=UPDATE&amp;creator=factset&amp;DYN_ARGS=TRUE&amp;DOC_NAME=FAT:FQL_AUDITING_CLIENT_TEMPLATE.FAT&amp;display_string=Audit&amp;VAR:KEY=WFKHUJMBWF&amp;VAR:QUERY=RkZfREVCVChBTk4sMjAwOSk=&amp;WINDOW=FIRST_POPUP&amp;HEIGHT=450&amp;WIDTH=450&amp;START_MAXIMIZED=FALS","E&amp;VAR:CALENDAR=US&amp;VAR:SYMBOL=CMLP&amp;VAR:INDEX=0"}</definedName>
    <definedName name="_262__FDSAUDITLINK__" hidden="1">{"fdsup://directions/FAT Viewer?action=UPDATE&amp;creator=factset&amp;DYN_ARGS=TRUE&amp;DOC_NAME=FAT:FQL_AUDITING_CLIENT_TEMPLATE.FAT&amp;display_string=Audit&amp;VAR:KEY=IRMPWPEJWZ&amp;VAR:QUERY=RkZfREVCVChBTk4sMjAxMCk=&amp;WINDOW=FIRST_POPUP&amp;HEIGHT=450&amp;WIDTH=450&amp;START_MAXIMIZED=FALS","E&amp;VAR:CALENDAR=US&amp;VAR:SYMBOL=CMLP&amp;VAR:INDEX=0"}</definedName>
    <definedName name="_263__FDSAUDITLINK__" hidden="1">{"fdsup://directions/FAT Viewer?action=UPDATE&amp;creator=factset&amp;DYN_ARGS=TRUE&amp;DOC_NAME=FAT:FQL_AUDITING_CLIENT_TEMPLATE.FAT&amp;display_string=Audit&amp;VAR:KEY=IRMPWPEJWZ&amp;VAR:QUERY=RkZfREVCVChBTk4sMjAxMCk=&amp;WINDOW=FIRST_POPUP&amp;HEIGHT=450&amp;WIDTH=450&amp;START_MAXIMIZED=FALS","E&amp;VAR:CALENDAR=US&amp;VAR:SYMBOL=CMLP&amp;VAR:INDEX=0"}</definedName>
    <definedName name="_264__FDSAUDITLINK__" hidden="1">{"fdsup://directions/FAT Viewer?action=UPDATE&amp;creator=factset&amp;DYN_ARGS=TRUE&amp;DOC_NAME=FAT:FQL_AUDITING_CLIENT_TEMPLATE.FAT&amp;display_string=Audit&amp;VAR:KEY=IRMPWPEJWZ&amp;VAR:QUERY=RkZfREVCVChBTk4sMjAxMCk=&amp;WINDOW=FIRST_POPUP&amp;HEIGHT=450&amp;WIDTH=450&amp;START_MAXIMIZED=FALS","E&amp;VAR:CALENDAR=US&amp;VAR:SYMBOL=CMLP&amp;VAR:INDEX=0"}</definedName>
    <definedName name="_265__FDSAUDITLINK__" hidden="1">{"fdsup://directions/FAT Viewer?action=UPDATE&amp;creator=factset&amp;DYN_ARGS=TRUE&amp;DOC_NAME=FAT:FQL_AUDITING_CLIENT_TEMPLATE.FAT&amp;display_string=Audit&amp;VAR:KEY=IRYFIFYNOZ&amp;VAR:QUERY=RkZfREVCVChBTk4sMjAwOSk=&amp;WINDOW=FIRST_POPUP&amp;HEIGHT=450&amp;WIDTH=450&amp;START_MAXIMIZED=FALS","E&amp;VAR:CALENDAR=US&amp;VAR:SYMBOL=TLLP&amp;VAR:INDEX=0"}</definedName>
    <definedName name="_266__FDSAUDITLINK__" hidden="1">{"fdsup://directions/FAT Viewer?action=UPDATE&amp;creator=factset&amp;DYN_ARGS=TRUE&amp;DOC_NAME=FAT:FQL_AUDITING_CLIENT_TEMPLATE.FAT&amp;display_string=Audit&amp;VAR:KEY=IRYFIFYNOZ&amp;VAR:QUERY=RkZfREVCVChBTk4sMjAwOSk=&amp;WINDOW=FIRST_POPUP&amp;HEIGHT=450&amp;WIDTH=450&amp;START_MAXIMIZED=FALS","E&amp;VAR:CALENDAR=US&amp;VAR:SYMBOL=TLLP&amp;VAR:INDEX=0"}</definedName>
    <definedName name="_267__FDSAUDITLINK__" hidden="1">{"fdsup://directions/FAT Viewer?action=UPDATE&amp;creator=factset&amp;DYN_ARGS=TRUE&amp;DOC_NAME=FAT:FQL_AUDITING_CLIENT_TEMPLATE.FAT&amp;display_string=Audit&amp;VAR:KEY=IRYFIFYNOZ&amp;VAR:QUERY=RkZfREVCVChBTk4sMjAwOSk=&amp;WINDOW=FIRST_POPUP&amp;HEIGHT=450&amp;WIDTH=450&amp;START_MAXIMIZED=FALS","E&amp;VAR:CALENDAR=US&amp;VAR:SYMBOL=TLLP&amp;VAR:INDEX=0"}</definedName>
    <definedName name="_268__FDSAUDITLINK__" hidden="1">{"fdsup://directions/FAT Viewer?action=UPDATE&amp;creator=factset&amp;DYN_ARGS=TRUE&amp;DOC_NAME=FAT:FQL_AUDITING_CLIENT_TEMPLATE.FAT&amp;display_string=Audit&amp;VAR:KEY=IRYFIFYNOZ&amp;VAR:QUERY=RkZfREVCVChBTk4sMjAwOSk=&amp;WINDOW=FIRST_POPUP&amp;HEIGHT=450&amp;WIDTH=450&amp;START_MAXIMIZED=FALS","E&amp;VAR:CALENDAR=US&amp;VAR:SYMBOL=TLLP&amp;VAR:INDEX=0"}</definedName>
    <definedName name="_269__FDSAUDITLINK__" hidden="1">{"fdsup://directions/FAT Viewer?action=UPDATE&amp;creator=factset&amp;DYN_ARGS=TRUE&amp;DOC_NAME=FAT:FQL_AUDITING_CLIENT_TEMPLATE.FAT&amp;display_string=Audit&amp;VAR:KEY=IRYFIFYNOZ&amp;VAR:QUERY=RkZfREVCVChBTk4sMjAwOSk=&amp;WINDOW=FIRST_POPUP&amp;HEIGHT=450&amp;WIDTH=450&amp;START_MAXIMIZED=FALS","E&amp;VAR:CALENDAR=US&amp;VAR:SYMBOL=TLLP&amp;VAR:INDEX=0"}</definedName>
    <definedName name="_27__FDSAUDITLINK__" localSheetId="6" hidden="1">{"fdsup://directions/FAT Viewer?action=UPDATE&amp;creator=factset&amp;DYN_ARGS=TRUE&amp;DOC_NAME=FAT:FQL_AUDITING_CLIENT_TEMPLATE.FAT&amp;display_string=Audit&amp;VAR:KEY=HQDWBINOJI&amp;VAR:QUERY=RkVfVkFMVUFUSU9OKCdQQlBTJywnTUVBTicsJ0FOTlVBTCcsMjAxMSwwLCwsJycp&amp;WINDOW=FIRST_POPUP&amp;H","EIGHT=450&amp;WIDTH=450&amp;START_MAXIMIZED=FALSE&amp;VAR:CALENDAR=FIVEDAY&amp;VAR:SYMBOL=698646&amp;VAR:INDEX=0"}</definedName>
    <definedName name="_27__FDSAUDITLINK__" localSheetId="8" hidden="1">{"fdsup://directions/FAT Viewer?action=UPDATE&amp;creator=factset&amp;DYN_ARGS=TRUE&amp;DOC_NAME=FAT:FQL_AUDITING_CLIENT_TEMPLATE.FAT&amp;display_string=Audit&amp;VAR:KEY=HQDWBINOJI&amp;VAR:QUERY=RkVfVkFMVUFUSU9OKCdQQlBTJywnTUVBTicsJ0FOTlVBTCcsMjAxMSwwLCwsJycp&amp;WINDOW=FIRST_POPUP&amp;H","EIGHT=450&amp;WIDTH=450&amp;START_MAXIMIZED=FALSE&amp;VAR:CALENDAR=FIVEDAY&amp;VAR:SYMBOL=698646&amp;VAR:INDEX=0"}</definedName>
    <definedName name="_27__FDSAUDITLINK__" localSheetId="2" hidden="1">{"fdsup://directions/FAT Viewer?action=UPDATE&amp;creator=factset&amp;DYN_ARGS=TRUE&amp;DOC_NAME=FAT:FQL_AUDITING_CLIENT_TEMPLATE.FAT&amp;display_string=Audit&amp;VAR:KEY=HQDWBINOJI&amp;VAR:QUERY=RkVfVkFMVUFUSU9OKCdQQlBTJywnTUVBTicsJ0FOTlVBTCcsMjAxMSwwLCwsJycp&amp;WINDOW=FIRST_POPUP&amp;H","EIGHT=450&amp;WIDTH=450&amp;START_MAXIMIZED=FALSE&amp;VAR:CALENDAR=FIVEDAY&amp;VAR:SYMBOL=698646&amp;VAR:INDEX=0"}</definedName>
    <definedName name="_27__FDSAUDITLINK__" hidden="1">{"fdsup://directions/FAT Viewer?action=UPDATE&amp;creator=factset&amp;DYN_ARGS=TRUE&amp;DOC_NAME=FAT:FQL_AUDITING_CLIENT_TEMPLATE.FAT&amp;display_string=Audit&amp;VAR:KEY=HQDWBINOJI&amp;VAR:QUERY=RkVfVkFMVUFUSU9OKCdQQlBTJywnTUVBTicsJ0FOTlVBTCcsMjAxMSwwLCwsJycp&amp;WINDOW=FIRST_POPUP&amp;H","EIGHT=450&amp;WIDTH=450&amp;START_MAXIMIZED=FALSE&amp;VAR:CALENDAR=FIVEDAY&amp;VAR:SYMBOL=698646&amp;VAR:INDEX=0"}</definedName>
    <definedName name="_270__FDSAUDITLINK__" hidden="1">{"fdsup://directions/FAT Viewer?action=UPDATE&amp;creator=factset&amp;DYN_ARGS=TRUE&amp;DOC_NAME=FAT:FQL_AUDITING_CLIENT_TEMPLATE.FAT&amp;display_string=Audit&amp;VAR:KEY=EPSXOFKJWJ&amp;VAR:QUERY=RkZfREVCVChBTk4sMjAwOSk=&amp;WINDOW=FIRST_POPUP&amp;HEIGHT=450&amp;WIDTH=450&amp;START_MAXIMIZED=FALS","E&amp;VAR:CALENDAR=US&amp;VAR:SYMBOL=TLP&amp;VAR:INDEX=0"}</definedName>
    <definedName name="_271__FDSAUDITLINK__" hidden="1">{"fdsup://directions/FAT Viewer?action=UPDATE&amp;creator=factset&amp;DYN_ARGS=TRUE&amp;DOC_NAME=FAT:FQL_AUDITING_CLIENT_TEMPLATE.FAT&amp;display_string=Audit&amp;VAR:KEY=EPSXOFKJWJ&amp;VAR:QUERY=RkZfREVCVChBTk4sMjAwOSk=&amp;WINDOW=FIRST_POPUP&amp;HEIGHT=450&amp;WIDTH=450&amp;START_MAXIMIZED=FALS","E&amp;VAR:CALENDAR=US&amp;VAR:SYMBOL=TLP&amp;VAR:INDEX=0"}</definedName>
    <definedName name="_272__FDSAUDITLINK__" hidden="1">{"fdsup://directions/FAT Viewer?action=UPDATE&amp;creator=factset&amp;DYN_ARGS=TRUE&amp;DOC_NAME=FAT:FQL_AUDITING_CLIENT_TEMPLATE.FAT&amp;display_string=Audit&amp;VAR:KEY=EPSXOFKJWJ&amp;VAR:QUERY=RkZfREVCVChBTk4sMjAwOSk=&amp;WINDOW=FIRST_POPUP&amp;HEIGHT=450&amp;WIDTH=450&amp;START_MAXIMIZED=FALS","E&amp;VAR:CALENDAR=US&amp;VAR:SYMBOL=TLP&amp;VAR:INDEX=0"}</definedName>
    <definedName name="_273__FDSAUDITLINK__" hidden="1">{"fdsup://directions/FAT Viewer?action=UPDATE&amp;creator=factset&amp;DYN_ARGS=TRUE&amp;DOC_NAME=FAT:FQL_AUDITING_CLIENT_TEMPLATE.FAT&amp;display_string=Audit&amp;VAR:KEY=EPSXOFKJWJ&amp;VAR:QUERY=RkZfREVCVChBTk4sMjAwOSk=&amp;WINDOW=FIRST_POPUP&amp;HEIGHT=450&amp;WIDTH=450&amp;START_MAXIMIZED=FALS","E&amp;VAR:CALENDAR=US&amp;VAR:SYMBOL=TLP&amp;VAR:INDEX=0"}</definedName>
    <definedName name="_274__FDSAUDITLINK__" hidden="1">{"fdsup://directions/FAT Viewer?action=UPDATE&amp;creator=factset&amp;DYN_ARGS=TRUE&amp;DOC_NAME=FAT:FQL_AUDITING_CLIENT_TEMPLATE.FAT&amp;display_string=Audit&amp;VAR:KEY=OJYTYRYFKF&amp;VAR:QUERY=RkZfREVCVChBTk4sMjAwOSk=&amp;WINDOW=FIRST_POPUP&amp;HEIGHT=450&amp;WIDTH=450&amp;START_MAXIMIZED=FALS","E&amp;VAR:CALENDAR=US&amp;VAR:SYMBOL=HEP&amp;VAR:INDEX=0"}</definedName>
    <definedName name="_275__FDSAUDITLINK__" hidden="1">{"fdsup://directions/FAT Viewer?action=UPDATE&amp;creator=factset&amp;DYN_ARGS=TRUE&amp;DOC_NAME=FAT:FQL_AUDITING_CLIENT_TEMPLATE.FAT&amp;display_string=Audit&amp;VAR:KEY=OJYTYRYFKF&amp;VAR:QUERY=RkZfREVCVChBTk4sMjAwOSk=&amp;WINDOW=FIRST_POPUP&amp;HEIGHT=450&amp;WIDTH=450&amp;START_MAXIMIZED=FALS","E&amp;VAR:CALENDAR=US&amp;VAR:SYMBOL=HEP&amp;VAR:INDEX=0"}</definedName>
    <definedName name="_276__FDSAUDITLINK__" hidden="1">{"fdsup://directions/FAT Viewer?action=UPDATE&amp;creator=factset&amp;DYN_ARGS=TRUE&amp;DOC_NAME=FAT:FQL_AUDITING_CLIENT_TEMPLATE.FAT&amp;display_string=Audit&amp;VAR:KEY=OJYTYRYFKF&amp;VAR:QUERY=RkZfREVCVChBTk4sMjAwOSk=&amp;WINDOW=FIRST_POPUP&amp;HEIGHT=450&amp;WIDTH=450&amp;START_MAXIMIZED=FALS","E&amp;VAR:CALENDAR=US&amp;VAR:SYMBOL=HEP&amp;VAR:INDEX=0"}</definedName>
    <definedName name="_277__FDSAUDITLINK__" hidden="1">{"fdsup://directions/FAT Viewer?action=UPDATE&amp;creator=factset&amp;DYN_ARGS=TRUE&amp;DOC_NAME=FAT:FQL_AUDITING_CLIENT_TEMPLATE.FAT&amp;display_string=Audit&amp;VAR:KEY=OJYTYRYFKF&amp;VAR:QUERY=RkZfREVCVChBTk4sMjAwOSk=&amp;WINDOW=FIRST_POPUP&amp;HEIGHT=450&amp;WIDTH=450&amp;START_MAXIMIZED=FALS","E&amp;VAR:CALENDAR=US&amp;VAR:SYMBOL=HEP&amp;VAR:INDEX=0"}</definedName>
    <definedName name="_278__FDSAUDITLINK__" hidden="1">{"fdsup://directions/FAT Viewer?action=UPDATE&amp;creator=factset&amp;DYN_ARGS=TRUE&amp;DOC_NAME=FAT:FQL_AUDITING_CLIENT_TEMPLATE.FAT&amp;display_string=Audit&amp;VAR:KEY=OJYTYRYFKF&amp;VAR:QUERY=RkZfREVCVChBTk4sMjAwOSk=&amp;WINDOW=FIRST_POPUP&amp;HEIGHT=450&amp;WIDTH=450&amp;START_MAXIMIZED=FALS","E&amp;VAR:CALENDAR=US&amp;VAR:SYMBOL=HEP&amp;VAR:INDEX=0"}</definedName>
    <definedName name="_279__FDSAUDITLINK__" hidden="1">{"fdsup://directions/FAT Viewer?action=UPDATE&amp;creator=factset&amp;DYN_ARGS=TRUE&amp;DOC_NAME=FAT:FQL_AUDITING_CLIENT_TEMPLATE.FAT&amp;display_string=Audit&amp;VAR:KEY=OPSFGTCZST&amp;VAR:QUERY=RkZfREVCVChBTk4sMjAwOSk=&amp;WINDOW=FIRST_POPUP&amp;HEIGHT=450&amp;WIDTH=450&amp;START_MAXIMIZED=FALS","E&amp;VAR:CALENDAR=US&amp;VAR:SYMBOL=EROC&amp;VAR:INDEX=0"}</definedName>
    <definedName name="_28__FDSAUDITLINK__" localSheetId="6" hidden="1">{"fdsup://directions/FAT Viewer?action=UPDATE&amp;creator=factset&amp;DYN_ARGS=TRUE&amp;DOC_NAME=FAT:FQL_AUDITING_CLIENT_TEMPLATE.FAT&amp;display_string=Audit&amp;VAR:KEY=HQDWBINOJI&amp;VAR:QUERY=RkVfVkFMVUFUSU9OKCdQQlBTJywnTUVBTicsJ0FOTlVBTCcsMjAxMSwwLCwsJycp&amp;WINDOW=FIRST_POPUP&amp;H","EIGHT=450&amp;WIDTH=450&amp;START_MAXIMIZED=FALSE&amp;VAR:CALENDAR=FIVEDAY&amp;VAR:SYMBOL=698646&amp;VAR:INDEX=0"}</definedName>
    <definedName name="_28__FDSAUDITLINK__" localSheetId="8" hidden="1">{"fdsup://directions/FAT Viewer?action=UPDATE&amp;creator=factset&amp;DYN_ARGS=TRUE&amp;DOC_NAME=FAT:FQL_AUDITING_CLIENT_TEMPLATE.FAT&amp;display_string=Audit&amp;VAR:KEY=HQDWBINOJI&amp;VAR:QUERY=RkVfVkFMVUFUSU9OKCdQQlBTJywnTUVBTicsJ0FOTlVBTCcsMjAxMSwwLCwsJycp&amp;WINDOW=FIRST_POPUP&amp;H","EIGHT=450&amp;WIDTH=450&amp;START_MAXIMIZED=FALSE&amp;VAR:CALENDAR=FIVEDAY&amp;VAR:SYMBOL=698646&amp;VAR:INDEX=0"}</definedName>
    <definedName name="_28__FDSAUDITLINK__" localSheetId="2" hidden="1">{"fdsup://directions/FAT Viewer?action=UPDATE&amp;creator=factset&amp;DYN_ARGS=TRUE&amp;DOC_NAME=FAT:FQL_AUDITING_CLIENT_TEMPLATE.FAT&amp;display_string=Audit&amp;VAR:KEY=HQDWBINOJI&amp;VAR:QUERY=RkVfVkFMVUFUSU9OKCdQQlBTJywnTUVBTicsJ0FOTlVBTCcsMjAxMSwwLCwsJycp&amp;WINDOW=FIRST_POPUP&amp;H","EIGHT=450&amp;WIDTH=450&amp;START_MAXIMIZED=FALSE&amp;VAR:CALENDAR=FIVEDAY&amp;VAR:SYMBOL=698646&amp;VAR:INDEX=0"}</definedName>
    <definedName name="_28__FDSAUDITLINK__" hidden="1">{"fdsup://directions/FAT Viewer?action=UPDATE&amp;creator=factset&amp;DYN_ARGS=TRUE&amp;DOC_NAME=FAT:FQL_AUDITING_CLIENT_TEMPLATE.FAT&amp;display_string=Audit&amp;VAR:KEY=HQDWBINOJI&amp;VAR:QUERY=RkVfVkFMVUFUSU9OKCdQQlBTJywnTUVBTicsJ0FOTlVBTCcsMjAxMSwwLCwsJycp&amp;WINDOW=FIRST_POPUP&amp;H","EIGHT=450&amp;WIDTH=450&amp;START_MAXIMIZED=FALSE&amp;VAR:CALENDAR=FIVEDAY&amp;VAR:SYMBOL=698646&amp;VAR:INDEX=0"}</definedName>
    <definedName name="_280__FDSAUDITLINK__" hidden="1">{"fdsup://directions/FAT Viewer?action=UPDATE&amp;creator=factset&amp;DYN_ARGS=TRUE&amp;DOC_NAME=FAT:FQL_AUDITING_CLIENT_TEMPLATE.FAT&amp;display_string=Audit&amp;VAR:KEY=OPSFGTCZST&amp;VAR:QUERY=RkZfREVCVChBTk4sMjAwOSk=&amp;WINDOW=FIRST_POPUP&amp;HEIGHT=450&amp;WIDTH=450&amp;START_MAXIMIZED=FALS","E&amp;VAR:CALENDAR=US&amp;VAR:SYMBOL=EROC&amp;VAR:INDEX=0"}</definedName>
    <definedName name="_281__FDSAUDITLINK__" hidden="1">{"fdsup://directions/FAT Viewer?action=UPDATE&amp;creator=factset&amp;DYN_ARGS=TRUE&amp;DOC_NAME=FAT:FQL_AUDITING_CLIENT_TEMPLATE.FAT&amp;display_string=Audit&amp;VAR:KEY=OPSFGTCZST&amp;VAR:QUERY=RkZfREVCVChBTk4sMjAwOSk=&amp;WINDOW=FIRST_POPUP&amp;HEIGHT=450&amp;WIDTH=450&amp;START_MAXIMIZED=FALS","E&amp;VAR:CALENDAR=US&amp;VAR:SYMBOL=EROC&amp;VAR:INDEX=0"}</definedName>
    <definedName name="_282__FDSAUDITLINK__" hidden="1">{"fdsup://directions/FAT Viewer?action=UPDATE&amp;creator=factset&amp;DYN_ARGS=TRUE&amp;DOC_NAME=FAT:FQL_AUDITING_CLIENT_TEMPLATE.FAT&amp;display_string=Audit&amp;VAR:KEY=OPSFGTCZST&amp;VAR:QUERY=RkZfREVCVChBTk4sMjAwOSk=&amp;WINDOW=FIRST_POPUP&amp;HEIGHT=450&amp;WIDTH=450&amp;START_MAXIMIZED=FALS","E&amp;VAR:CALENDAR=US&amp;VAR:SYMBOL=EROC&amp;VAR:INDEX=0"}</definedName>
    <definedName name="_283__FDSAUDITLINK__" hidden="1">{"fdsup://directions/FAT Viewer?action=UPDATE&amp;creator=factset&amp;DYN_ARGS=TRUE&amp;DOC_NAME=FAT:FQL_AUDITING_CLIENT_TEMPLATE.FAT&amp;display_string=Audit&amp;VAR:KEY=WFKHUJMBWF&amp;VAR:QUERY=RkZfREVCVChBTk4sMjAwOSk=&amp;WINDOW=FIRST_POPUP&amp;HEIGHT=450&amp;WIDTH=450&amp;START_MAXIMIZED=FALS","E&amp;VAR:CALENDAR=US&amp;VAR:SYMBOL=CMLP&amp;VAR:INDEX=0"}</definedName>
    <definedName name="_284__FDSAUDITLINK__" hidden="1">{"fdsup://directions/FAT Viewer?action=UPDATE&amp;creator=factset&amp;DYN_ARGS=TRUE&amp;DOC_NAME=FAT:FQL_AUDITING_CLIENT_TEMPLATE.FAT&amp;display_string=Audit&amp;VAR:KEY=IRMPWPEJWZ&amp;VAR:QUERY=RkZfREVCVChBTk4sMjAxMCk=&amp;WINDOW=FIRST_POPUP&amp;HEIGHT=450&amp;WIDTH=450&amp;START_MAXIMIZED=FALS","E&amp;VAR:CALENDAR=US&amp;VAR:SYMBOL=CMLP&amp;VAR:INDEX=0"}</definedName>
    <definedName name="_285__FDSAUDITLINK__" hidden="1">{"fdsup://directions/FAT Viewer?action=UPDATE&amp;creator=factset&amp;DYN_ARGS=TRUE&amp;DOC_NAME=FAT:FQL_AUDITING_CLIENT_TEMPLATE.FAT&amp;display_string=Audit&amp;VAR:KEY=IRMPWPEJWZ&amp;VAR:QUERY=RkZfREVCVChBTk4sMjAxMCk=&amp;WINDOW=FIRST_POPUP&amp;HEIGHT=450&amp;WIDTH=450&amp;START_MAXIMIZED=FALS","E&amp;VAR:CALENDAR=US&amp;VAR:SYMBOL=CMLP&amp;VAR:INDEX=0"}</definedName>
    <definedName name="_286__FDSAUDITLINK__" hidden="1">{"fdsup://directions/FAT Viewer?action=UPDATE&amp;creator=factset&amp;DYN_ARGS=TRUE&amp;DOC_NAME=FAT:FQL_AUDITING_CLIENT_TEMPLATE.FAT&amp;display_string=Audit&amp;VAR:KEY=IRMPWPEJWZ&amp;VAR:QUERY=RkZfREVCVChBTk4sMjAxMCk=&amp;WINDOW=FIRST_POPUP&amp;HEIGHT=450&amp;WIDTH=450&amp;START_MAXIMIZED=FALS","E&amp;VAR:CALENDAR=US&amp;VAR:SYMBOL=CMLP&amp;VAR:INDEX=0"}</definedName>
    <definedName name="_287__FDSAUDITLINK__" hidden="1">{"fdsup://directions/FAT Viewer?action=UPDATE&amp;creator=factset&amp;DYN_ARGS=TRUE&amp;DOC_NAME=FAT:FQL_AUDITING_CLIENT_TEMPLATE.FAT&amp;display_string=Audit&amp;VAR:KEY=IRYFIFYNOZ&amp;VAR:QUERY=RkZfREVCVChBTk4sMjAwOSk=&amp;WINDOW=FIRST_POPUP&amp;HEIGHT=450&amp;WIDTH=450&amp;START_MAXIMIZED=FALS","E&amp;VAR:CALENDAR=US&amp;VAR:SYMBOL=TLLP&amp;VAR:INDEX=0"}</definedName>
    <definedName name="_288__FDSAUDITLINK__" hidden="1">{"fdsup://directions/FAT Viewer?action=UPDATE&amp;creator=factset&amp;DYN_ARGS=TRUE&amp;DOC_NAME=FAT:FQL_AUDITING_CLIENT_TEMPLATE.FAT&amp;display_string=Audit&amp;VAR:KEY=IRYFIFYNOZ&amp;VAR:QUERY=RkZfREVCVChBTk4sMjAwOSk=&amp;WINDOW=FIRST_POPUP&amp;HEIGHT=450&amp;WIDTH=450&amp;START_MAXIMIZED=FALS","E&amp;VAR:CALENDAR=US&amp;VAR:SYMBOL=TLLP&amp;VAR:INDEX=0"}</definedName>
    <definedName name="_289__FDSAUDITLINK__" hidden="1">{"fdsup://directions/FAT Viewer?action=UPDATE&amp;creator=factset&amp;DYN_ARGS=TRUE&amp;DOC_NAME=FAT:FQL_AUDITING_CLIENT_TEMPLATE.FAT&amp;display_string=Audit&amp;VAR:KEY=IRYFIFYNOZ&amp;VAR:QUERY=RkZfREVCVChBTk4sMjAwOSk=&amp;WINDOW=FIRST_POPUP&amp;HEIGHT=450&amp;WIDTH=450&amp;START_MAXIMIZED=FALS","E&amp;VAR:CALENDAR=US&amp;VAR:SYMBOL=TLLP&amp;VAR:INDEX=0"}</definedName>
    <definedName name="_29__FDSAUDITLINK__" localSheetId="6" hidden="1">{"fdsup://directions/FAT Viewer?action=UPDATE&amp;creator=factset&amp;DYN_ARGS=TRUE&amp;DOC_NAME=FAT:FQL_AUDITING_CLIENT_TEMPLATE.FAT&amp;display_string=Audit&amp;VAR:KEY=FUXUVUJWNO&amp;VAR:QUERY=RkVfVkFMVUFUSU9OKCdQQlBTJywnTUVBTicsJ0FOTlVBTCcsMjAxMCwwLCwsJycp&amp;WINDOW=FIRST_POPUP&amp;H","EIGHT=450&amp;WIDTH=450&amp;START_MAXIMIZED=FALSE&amp;VAR:CALENDAR=FIVEDAY&amp;VAR:SYMBOL=698646&amp;VAR:INDEX=0"}</definedName>
    <definedName name="_29__FDSAUDITLINK__" localSheetId="8" hidden="1">{"fdsup://directions/FAT Viewer?action=UPDATE&amp;creator=factset&amp;DYN_ARGS=TRUE&amp;DOC_NAME=FAT:FQL_AUDITING_CLIENT_TEMPLATE.FAT&amp;display_string=Audit&amp;VAR:KEY=FUXUVUJWNO&amp;VAR:QUERY=RkVfVkFMVUFUSU9OKCdQQlBTJywnTUVBTicsJ0FOTlVBTCcsMjAxMCwwLCwsJycp&amp;WINDOW=FIRST_POPUP&amp;H","EIGHT=450&amp;WIDTH=450&amp;START_MAXIMIZED=FALSE&amp;VAR:CALENDAR=FIVEDAY&amp;VAR:SYMBOL=698646&amp;VAR:INDEX=0"}</definedName>
    <definedName name="_29__FDSAUDITLINK__" localSheetId="2" hidden="1">{"fdsup://directions/FAT Viewer?action=UPDATE&amp;creator=factset&amp;DYN_ARGS=TRUE&amp;DOC_NAME=FAT:FQL_AUDITING_CLIENT_TEMPLATE.FAT&amp;display_string=Audit&amp;VAR:KEY=FUXUVUJWNO&amp;VAR:QUERY=RkVfVkFMVUFUSU9OKCdQQlBTJywnTUVBTicsJ0FOTlVBTCcsMjAxMCwwLCwsJycp&amp;WINDOW=FIRST_POPUP&amp;H","EIGHT=450&amp;WIDTH=450&amp;START_MAXIMIZED=FALSE&amp;VAR:CALENDAR=FIVEDAY&amp;VAR:SYMBOL=698646&amp;VAR:INDEX=0"}</definedName>
    <definedName name="_29__FDSAUDITLINK__" hidden="1">{"fdsup://directions/FAT Viewer?action=UPDATE&amp;creator=factset&amp;DYN_ARGS=TRUE&amp;DOC_NAME=FAT:FQL_AUDITING_CLIENT_TEMPLATE.FAT&amp;display_string=Audit&amp;VAR:KEY=FUXUVUJWNO&amp;VAR:QUERY=RkVfVkFMVUFUSU9OKCdQQlBTJywnTUVBTicsJ0FOTlVBTCcsMjAxMCwwLCwsJycp&amp;WINDOW=FIRST_POPUP&amp;H","EIGHT=450&amp;WIDTH=450&amp;START_MAXIMIZED=FALSE&amp;VAR:CALENDAR=FIVEDAY&amp;VAR:SYMBOL=698646&amp;VAR:INDEX=0"}</definedName>
    <definedName name="_290__FDSAUDITLINK__" hidden="1">{"fdsup://directions/FAT Viewer?action=UPDATE&amp;creator=factset&amp;DYN_ARGS=TRUE&amp;DOC_NAME=FAT:FQL_AUDITING_CLIENT_TEMPLATE.FAT&amp;display_string=Audit&amp;VAR:KEY=IRYFIFYNOZ&amp;VAR:QUERY=RkZfREVCVChBTk4sMjAwOSk=&amp;WINDOW=FIRST_POPUP&amp;HEIGHT=450&amp;WIDTH=450&amp;START_MAXIMIZED=FALS","E&amp;VAR:CALENDAR=US&amp;VAR:SYMBOL=TLLP&amp;VAR:INDEX=0"}</definedName>
    <definedName name="_291__FDSAUDITLINK__" hidden="1">{"fdsup://directions/FAT Viewer?action=UPDATE&amp;creator=factset&amp;DYN_ARGS=TRUE&amp;DOC_NAME=FAT:FQL_AUDITING_CLIENT_TEMPLATE.FAT&amp;display_string=Audit&amp;VAR:KEY=IRYFIFYNOZ&amp;VAR:QUERY=RkZfREVCVChBTk4sMjAwOSk=&amp;WINDOW=FIRST_POPUP&amp;HEIGHT=450&amp;WIDTH=450&amp;START_MAXIMIZED=FALS","E&amp;VAR:CALENDAR=US&amp;VAR:SYMBOL=TLLP&amp;VAR:INDEX=0"}</definedName>
    <definedName name="_292__FDSAUDITLINK__" hidden="1">{"fdsup://directions/FAT Viewer?action=UPDATE&amp;creator=factset&amp;DYN_ARGS=TRUE&amp;DOC_NAME=FAT:FQL_AUDITING_CLIENT_TEMPLATE.FAT&amp;display_string=Audit&amp;VAR:KEY=EPSXOFKJWJ&amp;VAR:QUERY=RkZfREVCVChBTk4sMjAwOSk=&amp;WINDOW=FIRST_POPUP&amp;HEIGHT=450&amp;WIDTH=450&amp;START_MAXIMIZED=FALS","E&amp;VAR:CALENDAR=US&amp;VAR:SYMBOL=TLP&amp;VAR:INDEX=0"}</definedName>
    <definedName name="_293__FDSAUDITLINK__" hidden="1">{"fdsup://directions/FAT Viewer?action=UPDATE&amp;creator=factset&amp;DYN_ARGS=TRUE&amp;DOC_NAME=FAT:FQL_AUDITING_CLIENT_TEMPLATE.FAT&amp;display_string=Audit&amp;VAR:KEY=EPSXOFKJWJ&amp;VAR:QUERY=RkZfREVCVChBTk4sMjAwOSk=&amp;WINDOW=FIRST_POPUP&amp;HEIGHT=450&amp;WIDTH=450&amp;START_MAXIMIZED=FALS","E&amp;VAR:CALENDAR=US&amp;VAR:SYMBOL=TLP&amp;VAR:INDEX=0"}</definedName>
    <definedName name="_294__FDSAUDITLINK__" hidden="1">{"fdsup://directions/FAT Viewer?action=UPDATE&amp;creator=factset&amp;DYN_ARGS=TRUE&amp;DOC_NAME=FAT:FQL_AUDITING_CLIENT_TEMPLATE.FAT&amp;display_string=Audit&amp;VAR:KEY=EPSXOFKJWJ&amp;VAR:QUERY=RkZfREVCVChBTk4sMjAwOSk=&amp;WINDOW=FIRST_POPUP&amp;HEIGHT=450&amp;WIDTH=450&amp;START_MAXIMIZED=FALS","E&amp;VAR:CALENDAR=US&amp;VAR:SYMBOL=TLP&amp;VAR:INDEX=0"}</definedName>
    <definedName name="_295__FDSAUDITLINK__" hidden="1">{"fdsup://directions/FAT Viewer?action=UPDATE&amp;creator=factset&amp;DYN_ARGS=TRUE&amp;DOC_NAME=FAT:FQL_AUDITING_CLIENT_TEMPLATE.FAT&amp;display_string=Audit&amp;VAR:KEY=EPSXOFKJWJ&amp;VAR:QUERY=RkZfREVCVChBTk4sMjAwOSk=&amp;WINDOW=FIRST_POPUP&amp;HEIGHT=450&amp;WIDTH=450&amp;START_MAXIMIZED=FALS","E&amp;VAR:CALENDAR=US&amp;VAR:SYMBOL=TLP&amp;VAR:INDEX=0"}</definedName>
    <definedName name="_296__FDSAUDITLINK__" hidden="1">{"fdsup://directions/FAT Viewer?action=UPDATE&amp;creator=factset&amp;DYN_ARGS=TRUE&amp;DOC_NAME=FAT:FQL_AUDITING_CLIENT_TEMPLATE.FAT&amp;display_string=Audit&amp;VAR:KEY=OJYTYRYFKF&amp;VAR:QUERY=RkZfREVCVChBTk4sMjAwOSk=&amp;WINDOW=FIRST_POPUP&amp;HEIGHT=450&amp;WIDTH=450&amp;START_MAXIMIZED=FALS","E&amp;VAR:CALENDAR=US&amp;VAR:SYMBOL=HEP&amp;VAR:INDEX=0"}</definedName>
    <definedName name="_297__FDSAUDITLINK__" hidden="1">{"fdsup://directions/FAT Viewer?action=UPDATE&amp;creator=factset&amp;DYN_ARGS=TRUE&amp;DOC_NAME=FAT:FQL_AUDITING_CLIENT_TEMPLATE.FAT&amp;display_string=Audit&amp;VAR:KEY=OJYTYRYFKF&amp;VAR:QUERY=RkZfREVCVChBTk4sMjAwOSk=&amp;WINDOW=FIRST_POPUP&amp;HEIGHT=450&amp;WIDTH=450&amp;START_MAXIMIZED=FALS","E&amp;VAR:CALENDAR=US&amp;VAR:SYMBOL=HEP&amp;VAR:INDEX=0"}</definedName>
    <definedName name="_298__FDSAUDITLINK__" hidden="1">{"fdsup://directions/FAT Viewer?action=UPDATE&amp;creator=factset&amp;DYN_ARGS=TRUE&amp;DOC_NAME=FAT:FQL_AUDITING_CLIENT_TEMPLATE.FAT&amp;display_string=Audit&amp;VAR:KEY=OJYTYRYFKF&amp;VAR:QUERY=RkZfREVCVChBTk4sMjAwOSk=&amp;WINDOW=FIRST_POPUP&amp;HEIGHT=450&amp;WIDTH=450&amp;START_MAXIMIZED=FALS","E&amp;VAR:CALENDAR=US&amp;VAR:SYMBOL=HEP&amp;VAR:INDEX=0"}</definedName>
    <definedName name="_299__FDSAUDITLINK__" hidden="1">{"fdsup://directions/FAT Viewer?action=UPDATE&amp;creator=factset&amp;DYN_ARGS=TRUE&amp;DOC_NAME=FAT:FQL_AUDITING_CLIENT_TEMPLATE.FAT&amp;display_string=Audit&amp;VAR:KEY=OJYTYRYFKF&amp;VAR:QUERY=RkZfREVCVChBTk4sMjAwOSk=&amp;WINDOW=FIRST_POPUP&amp;HEIGHT=450&amp;WIDTH=450&amp;START_MAXIMIZED=FALS","E&amp;VAR:CALENDAR=US&amp;VAR:SYMBOL=HEP&amp;VAR:INDEX=0"}</definedName>
    <definedName name="_3__FDSAUDITLINK__" localSheetId="6" hidden="1">{"fdsup://directions/FAT Viewer?action=UPDATE&amp;creator=factset&amp;DYN_ARGS=TRUE&amp;DOC_NAME=FAT:FQL_AUDITING_CLIENT_TEMPLATE.FAT&amp;display_string=Audit&amp;VAR:KEY=VYHOZMZUDY&amp;VAR:QUERY=RkVfVkFMVUFUSU9OKCdQQlBTJywnTUVBTicsJ0FOTlVBTCcsMjAxMCwwLCwsJycp&amp;WINDOW=FIRST_POPUP&amp;H","EIGHT=450&amp;WIDTH=450&amp;START_MAXIMIZED=FALSE&amp;VAR:CALENDAR=FIVEDAY&amp;VAR:SYMBOL=671499&amp;VAR:INDEX=0"}</definedName>
    <definedName name="_3__FDSAUDITLINK__" localSheetId="8" hidden="1">{"fdsup://directions/FAT Viewer?action=UPDATE&amp;creator=factset&amp;DYN_ARGS=TRUE&amp;DOC_NAME=FAT:FQL_AUDITING_CLIENT_TEMPLATE.FAT&amp;display_string=Audit&amp;VAR:KEY=VYHOZMZUDY&amp;VAR:QUERY=RkVfVkFMVUFUSU9OKCdQQlBTJywnTUVBTicsJ0FOTlVBTCcsMjAxMCwwLCwsJycp&amp;WINDOW=FIRST_POPUP&amp;H","EIGHT=450&amp;WIDTH=450&amp;START_MAXIMIZED=FALSE&amp;VAR:CALENDAR=FIVEDAY&amp;VAR:SYMBOL=671499&amp;VAR:INDEX=0"}</definedName>
    <definedName name="_3__FDSAUDITLINK__" localSheetId="2" hidden="1">{"fdsup://directions/FAT Viewer?action=UPDATE&amp;creator=factset&amp;DYN_ARGS=TRUE&amp;DOC_NAME=FAT:FQL_AUDITING_CLIENT_TEMPLATE.FAT&amp;display_string=Audit&amp;VAR:KEY=VYHOZMZUDY&amp;VAR:QUERY=RkVfVkFMVUFUSU9OKCdQQlBTJywnTUVBTicsJ0FOTlVBTCcsMjAxMCwwLCwsJycp&amp;WINDOW=FIRST_POPUP&amp;H","EIGHT=450&amp;WIDTH=450&amp;START_MAXIMIZED=FALSE&amp;VAR:CALENDAR=FIVEDAY&amp;VAR:SYMBOL=671499&amp;VAR:INDEX=0"}</definedName>
    <definedName name="_3__FDSAUDITLINK__" hidden="1">{"fdsup://directions/FAT Viewer?action=UPDATE&amp;creator=factset&amp;DYN_ARGS=TRUE&amp;DOC_NAME=FAT:FQL_AUDITING_CLIENT_TEMPLATE.FAT&amp;display_string=Audit&amp;VAR:KEY=VYHOZMZUDY&amp;VAR:QUERY=RkVfVkFMVUFUSU9OKCdQQlBTJywnTUVBTicsJ0FOTlVBTCcsMjAxMCwwLCwsJycp&amp;WINDOW=FIRST_POPUP&amp;H","EIGHT=450&amp;WIDTH=450&amp;START_MAXIMIZED=FALSE&amp;VAR:CALENDAR=FIVEDAY&amp;VAR:SYMBOL=671499&amp;VAR:INDEX=0"}</definedName>
    <definedName name="_30__FDSAUDITLINK__" localSheetId="6" hidden="1">{"fdsup://directions/FAT Viewer?action=UPDATE&amp;creator=factset&amp;DYN_ARGS=TRUE&amp;DOC_NAME=FAT:FQL_AUDITING_CLIENT_TEMPLATE.FAT&amp;display_string=Audit&amp;VAR:KEY=FUXUVUJWNO&amp;VAR:QUERY=RkVfVkFMVUFUSU9OKCdQQlBTJywnTUVBTicsJ0FOTlVBTCcsMjAxMCwwLCwsJycp&amp;WINDOW=FIRST_POPUP&amp;H","EIGHT=450&amp;WIDTH=450&amp;START_MAXIMIZED=FALSE&amp;VAR:CALENDAR=FIVEDAY&amp;VAR:SYMBOL=698646&amp;VAR:INDEX=0"}</definedName>
    <definedName name="_30__FDSAUDITLINK__" localSheetId="8" hidden="1">{"fdsup://directions/FAT Viewer?action=UPDATE&amp;creator=factset&amp;DYN_ARGS=TRUE&amp;DOC_NAME=FAT:FQL_AUDITING_CLIENT_TEMPLATE.FAT&amp;display_string=Audit&amp;VAR:KEY=FUXUVUJWNO&amp;VAR:QUERY=RkVfVkFMVUFUSU9OKCdQQlBTJywnTUVBTicsJ0FOTlVBTCcsMjAxMCwwLCwsJycp&amp;WINDOW=FIRST_POPUP&amp;H","EIGHT=450&amp;WIDTH=450&amp;START_MAXIMIZED=FALSE&amp;VAR:CALENDAR=FIVEDAY&amp;VAR:SYMBOL=698646&amp;VAR:INDEX=0"}</definedName>
    <definedName name="_30__FDSAUDITLINK__" localSheetId="2" hidden="1">{"fdsup://directions/FAT Viewer?action=UPDATE&amp;creator=factset&amp;DYN_ARGS=TRUE&amp;DOC_NAME=FAT:FQL_AUDITING_CLIENT_TEMPLATE.FAT&amp;display_string=Audit&amp;VAR:KEY=FUXUVUJWNO&amp;VAR:QUERY=RkVfVkFMVUFUSU9OKCdQQlBTJywnTUVBTicsJ0FOTlVBTCcsMjAxMCwwLCwsJycp&amp;WINDOW=FIRST_POPUP&amp;H","EIGHT=450&amp;WIDTH=450&amp;START_MAXIMIZED=FALSE&amp;VAR:CALENDAR=FIVEDAY&amp;VAR:SYMBOL=698646&amp;VAR:INDEX=0"}</definedName>
    <definedName name="_30__FDSAUDITLINK__" hidden="1">{"fdsup://directions/FAT Viewer?action=UPDATE&amp;creator=factset&amp;DYN_ARGS=TRUE&amp;DOC_NAME=FAT:FQL_AUDITING_CLIENT_TEMPLATE.FAT&amp;display_string=Audit&amp;VAR:KEY=FUXUVUJWNO&amp;VAR:QUERY=RkVfVkFMVUFUSU9OKCdQQlBTJywnTUVBTicsJ0FOTlVBTCcsMjAxMCwwLCwsJycp&amp;WINDOW=FIRST_POPUP&amp;H","EIGHT=450&amp;WIDTH=450&amp;START_MAXIMIZED=FALSE&amp;VAR:CALENDAR=FIVEDAY&amp;VAR:SYMBOL=698646&amp;VAR:INDEX=0"}</definedName>
    <definedName name="_300__FDSAUDITLINK__" hidden="1">{"fdsup://directions/FAT Viewer?action=UPDATE&amp;creator=factset&amp;DYN_ARGS=TRUE&amp;DOC_NAME=FAT:FQL_AUDITING_CLIENT_TEMPLATE.FAT&amp;display_string=Audit&amp;VAR:KEY=OJYTYRYFKF&amp;VAR:QUERY=RkZfREVCVChBTk4sMjAwOSk=&amp;WINDOW=FIRST_POPUP&amp;HEIGHT=450&amp;WIDTH=450&amp;START_MAXIMIZED=FALS","E&amp;VAR:CALENDAR=US&amp;VAR:SYMBOL=HEP&amp;VAR:INDEX=0"}</definedName>
    <definedName name="_301__FDSAUDITLINK__" hidden="1">{"fdsup://directions/FAT Viewer?action=UPDATE&amp;creator=factset&amp;DYN_ARGS=TRUE&amp;DOC_NAME=FAT:FQL_AUDITING_CLIENT_TEMPLATE.FAT&amp;display_string=Audit&amp;VAR:KEY=OPSFGTCZST&amp;VAR:QUERY=RkZfREVCVChBTk4sMjAwOSk=&amp;WINDOW=FIRST_POPUP&amp;HEIGHT=450&amp;WIDTH=450&amp;START_MAXIMIZED=FALS","E&amp;VAR:CALENDAR=US&amp;VAR:SYMBOL=EROC&amp;VAR:INDEX=0"}</definedName>
    <definedName name="_302__FDSAUDITLINK__" hidden="1">{"fdsup://directions/FAT Viewer?action=UPDATE&amp;creator=factset&amp;DYN_ARGS=TRUE&amp;DOC_NAME=FAT:FQL_AUDITING_CLIENT_TEMPLATE.FAT&amp;display_string=Audit&amp;VAR:KEY=OPSFGTCZST&amp;VAR:QUERY=RkZfREVCVChBTk4sMjAwOSk=&amp;WINDOW=FIRST_POPUP&amp;HEIGHT=450&amp;WIDTH=450&amp;START_MAXIMIZED=FALS","E&amp;VAR:CALENDAR=US&amp;VAR:SYMBOL=EROC&amp;VAR:INDEX=0"}</definedName>
    <definedName name="_303__FDSAUDITLINK__" hidden="1">{"fdsup://directions/FAT Viewer?action=UPDATE&amp;creator=factset&amp;DYN_ARGS=TRUE&amp;DOC_NAME=FAT:FQL_AUDITING_CLIENT_TEMPLATE.FAT&amp;display_string=Audit&amp;VAR:KEY=OPSFGTCZST&amp;VAR:QUERY=RkZfREVCVChBTk4sMjAwOSk=&amp;WINDOW=FIRST_POPUP&amp;HEIGHT=450&amp;WIDTH=450&amp;START_MAXIMIZED=FALS","E&amp;VAR:CALENDAR=US&amp;VAR:SYMBOL=EROC&amp;VAR:INDEX=0"}</definedName>
    <definedName name="_304__FDSAUDITLINK__" hidden="1">{"fdsup://directions/FAT Viewer?action=UPDATE&amp;creator=factset&amp;DYN_ARGS=TRUE&amp;DOC_NAME=FAT:FQL_AUDITING_CLIENT_TEMPLATE.FAT&amp;display_string=Audit&amp;VAR:KEY=OPSFGTCZST&amp;VAR:QUERY=RkZfREVCVChBTk4sMjAwOSk=&amp;WINDOW=FIRST_POPUP&amp;HEIGHT=450&amp;WIDTH=450&amp;START_MAXIMIZED=FALS","E&amp;VAR:CALENDAR=US&amp;VAR:SYMBOL=EROC&amp;VAR:INDEX=0"}</definedName>
    <definedName name="_305__FDSAUDITLINK__" hidden="1">{"fdsup://directions/FAT Viewer?action=UPDATE&amp;creator=factset&amp;DYN_ARGS=TRUE&amp;DOC_NAME=FAT:FQL_AUDITING_CLIENT_TEMPLATE.FAT&amp;display_string=Audit&amp;VAR:KEY=WFKHUJMBWF&amp;VAR:QUERY=RkZfREVCVChBTk4sMjAwOSk=&amp;WINDOW=FIRST_POPUP&amp;HEIGHT=450&amp;WIDTH=450&amp;START_MAXIMIZED=FALS","E&amp;VAR:CALENDAR=US&amp;VAR:SYMBOL=CMLP&amp;VAR:INDEX=0"}</definedName>
    <definedName name="_306__FDSAUDITLINK__" hidden="1">{"fdsup://directions/FAT Viewer?action=UPDATE&amp;creator=factset&amp;DYN_ARGS=TRUE&amp;DOC_NAME=FAT:FQL_AUDITING_CLIENT_TEMPLATE.FAT&amp;display_string=Audit&amp;VAR:KEY=IRMPWPEJWZ&amp;VAR:QUERY=RkZfREVCVChBTk4sMjAxMCk=&amp;WINDOW=FIRST_POPUP&amp;HEIGHT=450&amp;WIDTH=450&amp;START_MAXIMIZED=FALS","E&amp;VAR:CALENDAR=US&amp;VAR:SYMBOL=CMLP&amp;VAR:INDEX=0"}</definedName>
    <definedName name="_307__FDSAUDITLINK__" hidden="1">{"fdsup://directions/FAT Viewer?action=UPDATE&amp;creator=factset&amp;DYN_ARGS=TRUE&amp;DOC_NAME=FAT:FQL_AUDITING_CLIENT_TEMPLATE.FAT&amp;display_string=Audit&amp;VAR:KEY=IRMPWPEJWZ&amp;VAR:QUERY=RkZfREVCVChBTk4sMjAxMCk=&amp;WINDOW=FIRST_POPUP&amp;HEIGHT=450&amp;WIDTH=450&amp;START_MAXIMIZED=FALS","E&amp;VAR:CALENDAR=US&amp;VAR:SYMBOL=CMLP&amp;VAR:INDEX=0"}</definedName>
    <definedName name="_308__FDSAUDITLINK__" hidden="1">{"fdsup://directions/FAT Viewer?action=UPDATE&amp;creator=factset&amp;DYN_ARGS=TRUE&amp;DOC_NAME=FAT:FQL_AUDITING_CLIENT_TEMPLATE.FAT&amp;display_string=Audit&amp;VAR:KEY=IRMPWPEJWZ&amp;VAR:QUERY=RkZfREVCVChBTk4sMjAxMCk=&amp;WINDOW=FIRST_POPUP&amp;HEIGHT=450&amp;WIDTH=450&amp;START_MAXIMIZED=FALS","E&amp;VAR:CALENDAR=US&amp;VAR:SYMBOL=CMLP&amp;VAR:INDEX=0"}</definedName>
    <definedName name="_309__FDSAUDITLINK__" hidden="1">{"fdsup://directions/FAT Viewer?action=UPDATE&amp;creator=factset&amp;DYN_ARGS=TRUE&amp;DOC_NAME=FAT:FQL_AUDITING_CLIENT_TEMPLATE.FAT&amp;display_string=Audit&amp;VAR:KEY=IRYFIFYNOZ&amp;VAR:QUERY=RkZfREVCVChBTk4sMjAwOSk=&amp;WINDOW=FIRST_POPUP&amp;HEIGHT=450&amp;WIDTH=450&amp;START_MAXIMIZED=FALS","E&amp;VAR:CALENDAR=US&amp;VAR:SYMBOL=TLLP&amp;VAR:INDEX=0"}</definedName>
    <definedName name="_31__FDSAUDITLINK__" localSheetId="6" hidden="1">{"fdsup://directions/FAT Viewer?action=UPDATE&amp;creator=factset&amp;DYN_ARGS=TRUE&amp;DOC_NAME=FAT:FQL_AUDITING_CLIENT_TEMPLATE.FAT&amp;display_string=Audit&amp;VAR:KEY=RGPYRITKBW&amp;VAR:QUERY=RkVfVkFMVUFUSU9OKCdQQlBTJywnTUVBTicsJ0FOTlVBTCcsMjAwOSwwLCwsJycp&amp;WINDOW=FIRST_POPUP&amp;H","EIGHT=450&amp;WIDTH=450&amp;START_MAXIMIZED=FALSE&amp;VAR:CALENDAR=FIVEDAY&amp;VAR:SYMBOL=698646&amp;VAR:INDEX=0"}</definedName>
    <definedName name="_31__FDSAUDITLINK__" localSheetId="8" hidden="1">{"fdsup://directions/FAT Viewer?action=UPDATE&amp;creator=factset&amp;DYN_ARGS=TRUE&amp;DOC_NAME=FAT:FQL_AUDITING_CLIENT_TEMPLATE.FAT&amp;display_string=Audit&amp;VAR:KEY=RGPYRITKBW&amp;VAR:QUERY=RkVfVkFMVUFUSU9OKCdQQlBTJywnTUVBTicsJ0FOTlVBTCcsMjAwOSwwLCwsJycp&amp;WINDOW=FIRST_POPUP&amp;H","EIGHT=450&amp;WIDTH=450&amp;START_MAXIMIZED=FALSE&amp;VAR:CALENDAR=FIVEDAY&amp;VAR:SYMBOL=698646&amp;VAR:INDEX=0"}</definedName>
    <definedName name="_31__FDSAUDITLINK__" localSheetId="2" hidden="1">{"fdsup://directions/FAT Viewer?action=UPDATE&amp;creator=factset&amp;DYN_ARGS=TRUE&amp;DOC_NAME=FAT:FQL_AUDITING_CLIENT_TEMPLATE.FAT&amp;display_string=Audit&amp;VAR:KEY=RGPYRITKBW&amp;VAR:QUERY=RkVfVkFMVUFUSU9OKCdQQlBTJywnTUVBTicsJ0FOTlVBTCcsMjAwOSwwLCwsJycp&amp;WINDOW=FIRST_POPUP&amp;H","EIGHT=450&amp;WIDTH=450&amp;START_MAXIMIZED=FALSE&amp;VAR:CALENDAR=FIVEDAY&amp;VAR:SYMBOL=698646&amp;VAR:INDEX=0"}</definedName>
    <definedName name="_31__FDSAUDITLINK__" hidden="1">{"fdsup://directions/FAT Viewer?action=UPDATE&amp;creator=factset&amp;DYN_ARGS=TRUE&amp;DOC_NAME=FAT:FQL_AUDITING_CLIENT_TEMPLATE.FAT&amp;display_string=Audit&amp;VAR:KEY=RGPYRITKBW&amp;VAR:QUERY=RkVfVkFMVUFUSU9OKCdQQlBTJywnTUVBTicsJ0FOTlVBTCcsMjAwOSwwLCwsJycp&amp;WINDOW=FIRST_POPUP&amp;H","EIGHT=450&amp;WIDTH=450&amp;START_MAXIMIZED=FALSE&amp;VAR:CALENDAR=FIVEDAY&amp;VAR:SYMBOL=698646&amp;VAR:INDEX=0"}</definedName>
    <definedName name="_310__FDSAUDITLINK__" hidden="1">{"fdsup://directions/FAT Viewer?action=UPDATE&amp;creator=factset&amp;DYN_ARGS=TRUE&amp;DOC_NAME=FAT:FQL_AUDITING_CLIENT_TEMPLATE.FAT&amp;display_string=Audit&amp;VAR:KEY=IRYFIFYNOZ&amp;VAR:QUERY=RkZfREVCVChBTk4sMjAwOSk=&amp;WINDOW=FIRST_POPUP&amp;HEIGHT=450&amp;WIDTH=450&amp;START_MAXIMIZED=FALS","E&amp;VAR:CALENDAR=US&amp;VAR:SYMBOL=TLLP&amp;VAR:INDEX=0"}</definedName>
    <definedName name="_311__FDSAUDITLINK__" hidden="1">{"fdsup://directions/FAT Viewer?action=UPDATE&amp;creator=factset&amp;DYN_ARGS=TRUE&amp;DOC_NAME=FAT:FQL_AUDITING_CLIENT_TEMPLATE.FAT&amp;display_string=Audit&amp;VAR:KEY=IRYFIFYNOZ&amp;VAR:QUERY=RkZfREVCVChBTk4sMjAwOSk=&amp;WINDOW=FIRST_POPUP&amp;HEIGHT=450&amp;WIDTH=450&amp;START_MAXIMIZED=FALS","E&amp;VAR:CALENDAR=US&amp;VAR:SYMBOL=TLLP&amp;VAR:INDEX=0"}</definedName>
    <definedName name="_312__FDSAUDITLINK__" hidden="1">{"fdsup://directions/FAT Viewer?action=UPDATE&amp;creator=factset&amp;DYN_ARGS=TRUE&amp;DOC_NAME=FAT:FQL_AUDITING_CLIENT_TEMPLATE.FAT&amp;display_string=Audit&amp;VAR:KEY=IRYFIFYNOZ&amp;VAR:QUERY=RkZfREVCVChBTk4sMjAwOSk=&amp;WINDOW=FIRST_POPUP&amp;HEIGHT=450&amp;WIDTH=450&amp;START_MAXIMIZED=FALS","E&amp;VAR:CALENDAR=US&amp;VAR:SYMBOL=TLLP&amp;VAR:INDEX=0"}</definedName>
    <definedName name="_313__FDSAUDITLINK__" hidden="1">{"fdsup://directions/FAT Viewer?action=UPDATE&amp;creator=factset&amp;DYN_ARGS=TRUE&amp;DOC_NAME=FAT:FQL_AUDITING_CLIENT_TEMPLATE.FAT&amp;display_string=Audit&amp;VAR:KEY=IRYFIFYNOZ&amp;VAR:QUERY=RkZfREVCVChBTk4sMjAwOSk=&amp;WINDOW=FIRST_POPUP&amp;HEIGHT=450&amp;WIDTH=450&amp;START_MAXIMIZED=FALS","E&amp;VAR:CALENDAR=US&amp;VAR:SYMBOL=TLLP&amp;VAR:INDEX=0"}</definedName>
    <definedName name="_314__FDSAUDITLINK__" hidden="1">{"fdsup://directions/FAT Viewer?action=UPDATE&amp;creator=factset&amp;DYN_ARGS=TRUE&amp;DOC_NAME=FAT:FQL_AUDITING_CLIENT_TEMPLATE.FAT&amp;display_string=Audit&amp;VAR:KEY=EPSXOFKJWJ&amp;VAR:QUERY=RkZfREVCVChBTk4sMjAwOSk=&amp;WINDOW=FIRST_POPUP&amp;HEIGHT=450&amp;WIDTH=450&amp;START_MAXIMIZED=FALS","E&amp;VAR:CALENDAR=US&amp;VAR:SYMBOL=TLP&amp;VAR:INDEX=0"}</definedName>
    <definedName name="_315__FDSAUDITLINK__" hidden="1">{"fdsup://directions/FAT Viewer?action=UPDATE&amp;creator=factset&amp;DYN_ARGS=TRUE&amp;DOC_NAME=FAT:FQL_AUDITING_CLIENT_TEMPLATE.FAT&amp;display_string=Audit&amp;VAR:KEY=EPSXOFKJWJ&amp;VAR:QUERY=RkZfREVCVChBTk4sMjAwOSk=&amp;WINDOW=FIRST_POPUP&amp;HEIGHT=450&amp;WIDTH=450&amp;START_MAXIMIZED=FALS","E&amp;VAR:CALENDAR=US&amp;VAR:SYMBOL=TLP&amp;VAR:INDEX=0"}</definedName>
    <definedName name="_316__FDSAUDITLINK__" hidden="1">{"fdsup://directions/FAT Viewer?action=UPDATE&amp;creator=factset&amp;DYN_ARGS=TRUE&amp;DOC_NAME=FAT:FQL_AUDITING_CLIENT_TEMPLATE.FAT&amp;display_string=Audit&amp;VAR:KEY=EPSXOFKJWJ&amp;VAR:QUERY=RkZfREVCVChBTk4sMjAwOSk=&amp;WINDOW=FIRST_POPUP&amp;HEIGHT=450&amp;WIDTH=450&amp;START_MAXIMIZED=FALS","E&amp;VAR:CALENDAR=US&amp;VAR:SYMBOL=TLP&amp;VAR:INDEX=0"}</definedName>
    <definedName name="_317__FDSAUDITLINK__" hidden="1">{"fdsup://directions/FAT Viewer?action=UPDATE&amp;creator=factset&amp;DYN_ARGS=TRUE&amp;DOC_NAME=FAT:FQL_AUDITING_CLIENT_TEMPLATE.FAT&amp;display_string=Audit&amp;VAR:KEY=EPSXOFKJWJ&amp;VAR:QUERY=RkZfREVCVChBTk4sMjAwOSk=&amp;WINDOW=FIRST_POPUP&amp;HEIGHT=450&amp;WIDTH=450&amp;START_MAXIMIZED=FALS","E&amp;VAR:CALENDAR=US&amp;VAR:SYMBOL=TLP&amp;VAR:INDEX=0"}</definedName>
    <definedName name="_318__FDSAUDITLINK__" hidden="1">{"fdsup://directions/FAT Viewer?action=UPDATE&amp;creator=factset&amp;DYN_ARGS=TRUE&amp;DOC_NAME=FAT:FQL_AUDITING_CLIENT_TEMPLATE.FAT&amp;display_string=Audit&amp;VAR:KEY=OJYTYRYFKF&amp;VAR:QUERY=RkZfREVCVChBTk4sMjAwOSk=&amp;WINDOW=FIRST_POPUP&amp;HEIGHT=450&amp;WIDTH=450&amp;START_MAXIMIZED=FALS","E&amp;VAR:CALENDAR=US&amp;VAR:SYMBOL=HEP&amp;VAR:INDEX=0"}</definedName>
    <definedName name="_319__FDSAUDITLINK__" hidden="1">{"fdsup://directions/FAT Viewer?action=UPDATE&amp;creator=factset&amp;DYN_ARGS=TRUE&amp;DOC_NAME=FAT:FQL_AUDITING_CLIENT_TEMPLATE.FAT&amp;display_string=Audit&amp;VAR:KEY=OJYTYRYFKF&amp;VAR:QUERY=RkZfREVCVChBTk4sMjAwOSk=&amp;WINDOW=FIRST_POPUP&amp;HEIGHT=450&amp;WIDTH=450&amp;START_MAXIMIZED=FALS","E&amp;VAR:CALENDAR=US&amp;VAR:SYMBOL=HEP&amp;VAR:INDEX=0"}</definedName>
    <definedName name="_32__FDSAUDITLINK__" localSheetId="6" hidden="1">{"fdsup://directions/FAT Viewer?action=UPDATE&amp;creator=factset&amp;DYN_ARGS=TRUE&amp;DOC_NAME=FAT:FQL_AUDITING_CLIENT_TEMPLATE.FAT&amp;display_string=Audit&amp;VAR:KEY=RGPYRITKBW&amp;VAR:QUERY=RkVfVkFMVUFUSU9OKCdQQlBTJywnTUVBTicsJ0FOTlVBTCcsMjAwOSwwLCwsJycp&amp;WINDOW=FIRST_POPUP&amp;H","EIGHT=450&amp;WIDTH=450&amp;START_MAXIMIZED=FALSE&amp;VAR:CALENDAR=FIVEDAY&amp;VAR:SYMBOL=698646&amp;VAR:INDEX=0"}</definedName>
    <definedName name="_32__FDSAUDITLINK__" localSheetId="8" hidden="1">{"fdsup://directions/FAT Viewer?action=UPDATE&amp;creator=factset&amp;DYN_ARGS=TRUE&amp;DOC_NAME=FAT:FQL_AUDITING_CLIENT_TEMPLATE.FAT&amp;display_string=Audit&amp;VAR:KEY=RGPYRITKBW&amp;VAR:QUERY=RkVfVkFMVUFUSU9OKCdQQlBTJywnTUVBTicsJ0FOTlVBTCcsMjAwOSwwLCwsJycp&amp;WINDOW=FIRST_POPUP&amp;H","EIGHT=450&amp;WIDTH=450&amp;START_MAXIMIZED=FALSE&amp;VAR:CALENDAR=FIVEDAY&amp;VAR:SYMBOL=698646&amp;VAR:INDEX=0"}</definedName>
    <definedName name="_32__FDSAUDITLINK__" localSheetId="2" hidden="1">{"fdsup://directions/FAT Viewer?action=UPDATE&amp;creator=factset&amp;DYN_ARGS=TRUE&amp;DOC_NAME=FAT:FQL_AUDITING_CLIENT_TEMPLATE.FAT&amp;display_string=Audit&amp;VAR:KEY=RGPYRITKBW&amp;VAR:QUERY=RkVfVkFMVUFUSU9OKCdQQlBTJywnTUVBTicsJ0FOTlVBTCcsMjAwOSwwLCwsJycp&amp;WINDOW=FIRST_POPUP&amp;H","EIGHT=450&amp;WIDTH=450&amp;START_MAXIMIZED=FALSE&amp;VAR:CALENDAR=FIVEDAY&amp;VAR:SYMBOL=698646&amp;VAR:INDEX=0"}</definedName>
    <definedName name="_32__FDSAUDITLINK__" hidden="1">{"fdsup://directions/FAT Viewer?action=UPDATE&amp;creator=factset&amp;DYN_ARGS=TRUE&amp;DOC_NAME=FAT:FQL_AUDITING_CLIENT_TEMPLATE.FAT&amp;display_string=Audit&amp;VAR:KEY=RGPYRITKBW&amp;VAR:QUERY=RkVfVkFMVUFUSU9OKCdQQlBTJywnTUVBTicsJ0FOTlVBTCcsMjAwOSwwLCwsJycp&amp;WINDOW=FIRST_POPUP&amp;H","EIGHT=450&amp;WIDTH=450&amp;START_MAXIMIZED=FALSE&amp;VAR:CALENDAR=FIVEDAY&amp;VAR:SYMBOL=698646&amp;VAR:INDEX=0"}</definedName>
    <definedName name="_320__FDSAUDITLINK__" hidden="1">{"fdsup://directions/FAT Viewer?action=UPDATE&amp;creator=factset&amp;DYN_ARGS=TRUE&amp;DOC_NAME=FAT:FQL_AUDITING_CLIENT_TEMPLATE.FAT&amp;display_string=Audit&amp;VAR:KEY=OJYTYRYFKF&amp;VAR:QUERY=RkZfREVCVChBTk4sMjAwOSk=&amp;WINDOW=FIRST_POPUP&amp;HEIGHT=450&amp;WIDTH=450&amp;START_MAXIMIZED=FALS","E&amp;VAR:CALENDAR=US&amp;VAR:SYMBOL=HEP&amp;VAR:INDEX=0"}</definedName>
    <definedName name="_321__FDSAUDITLINK__" hidden="1">{"fdsup://directions/FAT Viewer?action=UPDATE&amp;creator=factset&amp;DYN_ARGS=TRUE&amp;DOC_NAME=FAT:FQL_AUDITING_CLIENT_TEMPLATE.FAT&amp;display_string=Audit&amp;VAR:KEY=OJYTYRYFKF&amp;VAR:QUERY=RkZfREVCVChBTk4sMjAwOSk=&amp;WINDOW=FIRST_POPUP&amp;HEIGHT=450&amp;WIDTH=450&amp;START_MAXIMIZED=FALS","E&amp;VAR:CALENDAR=US&amp;VAR:SYMBOL=HEP&amp;VAR:INDEX=0"}</definedName>
    <definedName name="_322__FDSAUDITLINK__" hidden="1">{"fdsup://directions/FAT Viewer?action=UPDATE&amp;creator=factset&amp;DYN_ARGS=TRUE&amp;DOC_NAME=FAT:FQL_AUDITING_CLIENT_TEMPLATE.FAT&amp;display_string=Audit&amp;VAR:KEY=OJYTYRYFKF&amp;VAR:QUERY=RkZfREVCVChBTk4sMjAwOSk=&amp;WINDOW=FIRST_POPUP&amp;HEIGHT=450&amp;WIDTH=450&amp;START_MAXIMIZED=FALS","E&amp;VAR:CALENDAR=US&amp;VAR:SYMBOL=HEP&amp;VAR:INDEX=0"}</definedName>
    <definedName name="_323__FDSAUDITLINK__" hidden="1">{"fdsup://directions/FAT Viewer?action=UPDATE&amp;creator=factset&amp;DYN_ARGS=TRUE&amp;DOC_NAME=FAT:FQL_AUDITING_CLIENT_TEMPLATE.FAT&amp;display_string=Audit&amp;VAR:KEY=OPSFGTCZST&amp;VAR:QUERY=RkZfREVCVChBTk4sMjAwOSk=&amp;WINDOW=FIRST_POPUP&amp;HEIGHT=450&amp;WIDTH=450&amp;START_MAXIMIZED=FALS","E&amp;VAR:CALENDAR=US&amp;VAR:SYMBOL=EROC&amp;VAR:INDEX=0"}</definedName>
    <definedName name="_324__FDSAUDITLINK__" hidden="1">{"fdsup://directions/FAT Viewer?action=UPDATE&amp;creator=factset&amp;DYN_ARGS=TRUE&amp;DOC_NAME=FAT:FQL_AUDITING_CLIENT_TEMPLATE.FAT&amp;display_string=Audit&amp;VAR:KEY=OPSFGTCZST&amp;VAR:QUERY=RkZfREVCVChBTk4sMjAwOSk=&amp;WINDOW=FIRST_POPUP&amp;HEIGHT=450&amp;WIDTH=450&amp;START_MAXIMIZED=FALS","E&amp;VAR:CALENDAR=US&amp;VAR:SYMBOL=EROC&amp;VAR:INDEX=0"}</definedName>
    <definedName name="_325__FDSAUDITLINK__" hidden="1">{"fdsup://directions/FAT Viewer?action=UPDATE&amp;creator=factset&amp;DYN_ARGS=TRUE&amp;DOC_NAME=FAT:FQL_AUDITING_CLIENT_TEMPLATE.FAT&amp;display_string=Audit&amp;VAR:KEY=OPSFGTCZST&amp;VAR:QUERY=RkZfREVCVChBTk4sMjAwOSk=&amp;WINDOW=FIRST_POPUP&amp;HEIGHT=450&amp;WIDTH=450&amp;START_MAXIMIZED=FALS","E&amp;VAR:CALENDAR=US&amp;VAR:SYMBOL=EROC&amp;VAR:INDEX=0"}</definedName>
    <definedName name="_326__FDSAUDITLINK__" hidden="1">{"fdsup://directions/FAT Viewer?action=UPDATE&amp;creator=factset&amp;DYN_ARGS=TRUE&amp;DOC_NAME=FAT:FQL_AUDITING_CLIENT_TEMPLATE.FAT&amp;display_string=Audit&amp;VAR:KEY=IRMPWPEJWZ&amp;VAR:QUERY=RkZfREVCVChBTk4sMjAxMCk=&amp;WINDOW=FIRST_POPUP&amp;HEIGHT=450&amp;WIDTH=450&amp;START_MAXIMIZED=FALS","E&amp;VAR:CALENDAR=US&amp;VAR:SYMBOL=CMLP&amp;VAR:INDEX=0"}</definedName>
    <definedName name="_327__FDSAUDITLINK__" hidden="1">{"fdsup://directions/FAT Viewer?action=UPDATE&amp;creator=factset&amp;DYN_ARGS=TRUE&amp;DOC_NAME=FAT:FQL_AUDITING_CLIENT_TEMPLATE.FAT&amp;display_string=Audit&amp;VAR:KEY=IRMPWPEJWZ&amp;VAR:QUERY=RkZfREVCVChBTk4sMjAxMCk=&amp;WINDOW=FIRST_POPUP&amp;HEIGHT=450&amp;WIDTH=450&amp;START_MAXIMIZED=FALS","E&amp;VAR:CALENDAR=US&amp;VAR:SYMBOL=CMLP&amp;VAR:INDEX=0"}</definedName>
    <definedName name="_328__FDSAUDITLINK__" hidden="1">{"fdsup://directions/FAT Viewer?action=UPDATE&amp;creator=factset&amp;DYN_ARGS=TRUE&amp;DOC_NAME=FAT:FQL_AUDITING_CLIENT_TEMPLATE.FAT&amp;display_string=Audit&amp;VAR:KEY=IRMPWPEJWZ&amp;VAR:QUERY=RkZfREVCVChBTk4sMjAxMCk=&amp;WINDOW=FIRST_POPUP&amp;HEIGHT=450&amp;WIDTH=450&amp;START_MAXIMIZED=FALS","E&amp;VAR:CALENDAR=US&amp;VAR:SYMBOL=CMLP&amp;VAR:INDEX=0"}</definedName>
    <definedName name="_329__FDSAUDITLINK__" hidden="1">{"fdsup://directions/FAT Viewer?action=UPDATE&amp;creator=factset&amp;DYN_ARGS=TRUE&amp;DOC_NAME=FAT:FQL_AUDITING_CLIENT_TEMPLATE.FAT&amp;display_string=Audit&amp;VAR:KEY=EPSXOFKJWJ&amp;VAR:QUERY=RkZfREVCVChBTk4sMjAwOSk=&amp;WINDOW=FIRST_POPUP&amp;HEIGHT=450&amp;WIDTH=450&amp;START_MAXIMIZED=FALS","E&amp;VAR:CALENDAR=US&amp;VAR:SYMBOL=TLP&amp;VAR:INDEX=0"}</definedName>
    <definedName name="_33__FDSAUDITLINK__" localSheetId="6" hidden="1">{"fdsup://directions/FAT Viewer?action=UPDATE&amp;creator=factset&amp;DYN_ARGS=TRUE&amp;DOC_NAME=FAT:FQL_AUDITING_CLIENT_TEMPLATE.FAT&amp;display_string=Audit&amp;VAR:KEY=JGBOFAPUNS&amp;VAR:QUERY=RkVfVkFMVUFUSU9OKCdQQlBTJywnTUVBTicsJ0FOTlVBTCcsMjAxMiwwLCwsJycp&amp;WINDOW=FIRST_POPUP&amp;H","EIGHT=450&amp;WIDTH=450&amp;START_MAXIMIZED=FALSE&amp;VAR:CALENDAR=FIVEDAY&amp;VAR:SYMBOL=0896265&amp;VAR:INDEX=0"}</definedName>
    <definedName name="_33__FDSAUDITLINK__" localSheetId="8" hidden="1">{"fdsup://directions/FAT Viewer?action=UPDATE&amp;creator=factset&amp;DYN_ARGS=TRUE&amp;DOC_NAME=FAT:FQL_AUDITING_CLIENT_TEMPLATE.FAT&amp;display_string=Audit&amp;VAR:KEY=JGBOFAPUNS&amp;VAR:QUERY=RkVfVkFMVUFUSU9OKCdQQlBTJywnTUVBTicsJ0FOTlVBTCcsMjAxMiwwLCwsJycp&amp;WINDOW=FIRST_POPUP&amp;H","EIGHT=450&amp;WIDTH=450&amp;START_MAXIMIZED=FALSE&amp;VAR:CALENDAR=FIVEDAY&amp;VAR:SYMBOL=0896265&amp;VAR:INDEX=0"}</definedName>
    <definedName name="_33__FDSAUDITLINK__" localSheetId="2" hidden="1">{"fdsup://directions/FAT Viewer?action=UPDATE&amp;creator=factset&amp;DYN_ARGS=TRUE&amp;DOC_NAME=FAT:FQL_AUDITING_CLIENT_TEMPLATE.FAT&amp;display_string=Audit&amp;VAR:KEY=JGBOFAPUNS&amp;VAR:QUERY=RkVfVkFMVUFUSU9OKCdQQlBTJywnTUVBTicsJ0FOTlVBTCcsMjAxMiwwLCwsJycp&amp;WINDOW=FIRST_POPUP&amp;H","EIGHT=450&amp;WIDTH=450&amp;START_MAXIMIZED=FALSE&amp;VAR:CALENDAR=FIVEDAY&amp;VAR:SYMBOL=0896265&amp;VAR:INDEX=0"}</definedName>
    <definedName name="_33__FDSAUDITLINK__" hidden="1">{"fdsup://directions/FAT Viewer?action=UPDATE&amp;creator=factset&amp;DYN_ARGS=TRUE&amp;DOC_NAME=FAT:FQL_AUDITING_CLIENT_TEMPLATE.FAT&amp;display_string=Audit&amp;VAR:KEY=JGBOFAPUNS&amp;VAR:QUERY=RkVfVkFMVUFUSU9OKCdQQlBTJywnTUVBTicsJ0FOTlVBTCcsMjAxMiwwLCwsJycp&amp;WINDOW=FIRST_POPUP&amp;H","EIGHT=450&amp;WIDTH=450&amp;START_MAXIMIZED=FALSE&amp;VAR:CALENDAR=FIVEDAY&amp;VAR:SYMBOL=0896265&amp;VAR:INDEX=0"}</definedName>
    <definedName name="_330__FDSAUDITLINK__" hidden="1">{"fdsup://directions/FAT Viewer?action=UPDATE&amp;creator=factset&amp;DYN_ARGS=TRUE&amp;DOC_NAME=FAT:FQL_AUDITING_CLIENT_TEMPLATE.FAT&amp;display_string=Audit&amp;VAR:KEY=EPSXOFKJWJ&amp;VAR:QUERY=RkZfREVCVChBTk4sMjAwOSk=&amp;WINDOW=FIRST_POPUP&amp;HEIGHT=450&amp;WIDTH=450&amp;START_MAXIMIZED=FALS","E&amp;VAR:CALENDAR=US&amp;VAR:SYMBOL=TLP&amp;VAR:INDEX=0"}</definedName>
    <definedName name="_331__FDSAUDITLINK__" hidden="1">{"fdsup://directions/FAT Viewer?action=UPDATE&amp;creator=factset&amp;DYN_ARGS=TRUE&amp;DOC_NAME=FAT:FQL_AUDITING_CLIENT_TEMPLATE.FAT&amp;display_string=Audit&amp;VAR:KEY=EPSXOFKJWJ&amp;VAR:QUERY=RkZfREVCVChBTk4sMjAwOSk=&amp;WINDOW=FIRST_POPUP&amp;HEIGHT=450&amp;WIDTH=450&amp;START_MAXIMIZED=FALS","E&amp;VAR:CALENDAR=US&amp;VAR:SYMBOL=TLP&amp;VAR:INDEX=0"}</definedName>
    <definedName name="_332__FDSAUDITLINK__" hidden="1">{"fdsup://directions/FAT Viewer?action=UPDATE&amp;creator=factset&amp;DYN_ARGS=TRUE&amp;DOC_NAME=FAT:FQL_AUDITING_CLIENT_TEMPLATE.FAT&amp;display_string=Audit&amp;VAR:KEY=OJYTYRYFKF&amp;VAR:QUERY=RkZfREVCVChBTk4sMjAwOSk=&amp;WINDOW=FIRST_POPUP&amp;HEIGHT=450&amp;WIDTH=450&amp;START_MAXIMIZED=FALS","E&amp;VAR:CALENDAR=US&amp;VAR:SYMBOL=HEP&amp;VAR:INDEX=0"}</definedName>
    <definedName name="_333__FDSAUDITLINK__" hidden="1">{"fdsup://directions/FAT Viewer?action=UPDATE&amp;creator=factset&amp;DYN_ARGS=TRUE&amp;DOC_NAME=FAT:FQL_AUDITING_CLIENT_TEMPLATE.FAT&amp;display_string=Audit&amp;VAR:KEY=OJYTYRYFKF&amp;VAR:QUERY=RkZfREVCVChBTk4sMjAwOSk=&amp;WINDOW=FIRST_POPUP&amp;HEIGHT=450&amp;WIDTH=450&amp;START_MAXIMIZED=FALS","E&amp;VAR:CALENDAR=US&amp;VAR:SYMBOL=HEP&amp;VAR:INDEX=0"}</definedName>
    <definedName name="_334__FDSAUDITLINK__" hidden="1">{"fdsup://directions/FAT Viewer?action=UPDATE&amp;creator=factset&amp;DYN_ARGS=TRUE&amp;DOC_NAME=FAT:FQL_AUDITING_CLIENT_TEMPLATE.FAT&amp;display_string=Audit&amp;VAR:KEY=OJYTYRYFKF&amp;VAR:QUERY=RkZfREVCVChBTk4sMjAwOSk=&amp;WINDOW=FIRST_POPUP&amp;HEIGHT=450&amp;WIDTH=450&amp;START_MAXIMIZED=FALS","E&amp;VAR:CALENDAR=US&amp;VAR:SYMBOL=HEP&amp;VAR:INDEX=0"}</definedName>
    <definedName name="_335__FDSAUDITLINK__" hidden="1">{"fdsup://directions/FAT Viewer?action=UPDATE&amp;creator=factset&amp;DYN_ARGS=TRUE&amp;DOC_NAME=FAT:FQL_AUDITING_CLIENT_TEMPLATE.FAT&amp;display_string=Audit&amp;VAR:KEY=OPSFGTCZST&amp;VAR:QUERY=RkZfREVCVChBTk4sMjAwOSk=&amp;WINDOW=FIRST_POPUP&amp;HEIGHT=450&amp;WIDTH=450&amp;START_MAXIMIZED=FALS","E&amp;VAR:CALENDAR=US&amp;VAR:SYMBOL=EROC&amp;VAR:INDEX=0"}</definedName>
    <definedName name="_336__FDSAUDITLINK__" hidden="1">{"fdsup://directions/FAT Viewer?action=UPDATE&amp;creator=factset&amp;DYN_ARGS=TRUE&amp;DOC_NAME=FAT:FQL_AUDITING_CLIENT_TEMPLATE.FAT&amp;display_string=Audit&amp;VAR:KEY=OPSFGTCZST&amp;VAR:QUERY=RkZfREVCVChBTk4sMjAwOSk=&amp;WINDOW=FIRST_POPUP&amp;HEIGHT=450&amp;WIDTH=450&amp;START_MAXIMIZED=FALS","E&amp;VAR:CALENDAR=US&amp;VAR:SYMBOL=EROC&amp;VAR:INDEX=0"}</definedName>
    <definedName name="_337__FDSAUDITLINK__" hidden="1">{"fdsup://directions/FAT Viewer?action=UPDATE&amp;creator=factset&amp;DYN_ARGS=TRUE&amp;DOC_NAME=FAT:FQL_AUDITING_CLIENT_TEMPLATE.FAT&amp;display_string=Audit&amp;VAR:KEY=IRMPWPEJWZ&amp;VAR:QUERY=RkZfREVCVChBTk4sMjAxMCk=&amp;WINDOW=FIRST_POPUP&amp;HEIGHT=450&amp;WIDTH=450&amp;START_MAXIMIZED=FALS","E&amp;VAR:CALENDAR=US&amp;VAR:SYMBOL=CMLP&amp;VAR:INDEX=0"}</definedName>
    <definedName name="_338__FDSAUDITLINK__" hidden="1">{"fdsup://directions/FAT Viewer?action=UPDATE&amp;creator=factset&amp;DYN_ARGS=TRUE&amp;DOC_NAME=FAT:FQL_AUDITING_CLIENT_TEMPLATE.FAT&amp;display_string=Audit&amp;VAR:KEY=IRMPWPEJWZ&amp;VAR:QUERY=RkZfREVCVChBTk4sMjAxMCk=&amp;WINDOW=FIRST_POPUP&amp;HEIGHT=450&amp;WIDTH=450&amp;START_MAXIMIZED=FALS","E&amp;VAR:CALENDAR=US&amp;VAR:SYMBOL=CMLP&amp;VAR:INDEX=0"}</definedName>
    <definedName name="_339__FDSAUDITLINK__" hidden="1">{"fdsup://directions/FAT Viewer?action=UPDATE&amp;creator=factset&amp;DYN_ARGS=TRUE&amp;DOC_NAME=FAT:FQL_AUDITING_CLIENT_TEMPLATE.FAT&amp;display_string=Audit&amp;VAR:KEY=IRMPWPEJWZ&amp;VAR:QUERY=RkZfREVCVChBTk4sMjAxMCk=&amp;WINDOW=FIRST_POPUP&amp;HEIGHT=450&amp;WIDTH=450&amp;START_MAXIMIZED=FALS","E&amp;VAR:CALENDAR=US&amp;VAR:SYMBOL=CMLP&amp;VAR:INDEX=0"}</definedName>
    <definedName name="_34__FDSAUDITLINK__" localSheetId="6" hidden="1">{"fdsup://directions/FAT Viewer?action=UPDATE&amp;creator=factset&amp;DYN_ARGS=TRUE&amp;DOC_NAME=FAT:FQL_AUDITING_CLIENT_TEMPLATE.FAT&amp;display_string=Audit&amp;VAR:KEY=JCNCDWZYHQ&amp;VAR:QUERY=RkVfVkFMVUFUSU9OKCdQQlBTJywnTUVBTicsJ0FOTlVBTCcsMjAxMSwwLCwsJycp&amp;WINDOW=FIRST_POPUP&amp;H","EIGHT=450&amp;WIDTH=450&amp;START_MAXIMIZED=FALSE&amp;VAR:CALENDAR=FIVEDAY&amp;VAR:SYMBOL=0896265&amp;VAR:INDEX=0"}</definedName>
    <definedName name="_34__FDSAUDITLINK__" localSheetId="8" hidden="1">{"fdsup://directions/FAT Viewer?action=UPDATE&amp;creator=factset&amp;DYN_ARGS=TRUE&amp;DOC_NAME=FAT:FQL_AUDITING_CLIENT_TEMPLATE.FAT&amp;display_string=Audit&amp;VAR:KEY=JCNCDWZYHQ&amp;VAR:QUERY=RkVfVkFMVUFUSU9OKCdQQlBTJywnTUVBTicsJ0FOTlVBTCcsMjAxMSwwLCwsJycp&amp;WINDOW=FIRST_POPUP&amp;H","EIGHT=450&amp;WIDTH=450&amp;START_MAXIMIZED=FALSE&amp;VAR:CALENDAR=FIVEDAY&amp;VAR:SYMBOL=0896265&amp;VAR:INDEX=0"}</definedName>
    <definedName name="_34__FDSAUDITLINK__" localSheetId="2" hidden="1">{"fdsup://directions/FAT Viewer?action=UPDATE&amp;creator=factset&amp;DYN_ARGS=TRUE&amp;DOC_NAME=FAT:FQL_AUDITING_CLIENT_TEMPLATE.FAT&amp;display_string=Audit&amp;VAR:KEY=JCNCDWZYHQ&amp;VAR:QUERY=RkVfVkFMVUFUSU9OKCdQQlBTJywnTUVBTicsJ0FOTlVBTCcsMjAxMSwwLCwsJycp&amp;WINDOW=FIRST_POPUP&amp;H","EIGHT=450&amp;WIDTH=450&amp;START_MAXIMIZED=FALSE&amp;VAR:CALENDAR=FIVEDAY&amp;VAR:SYMBOL=0896265&amp;VAR:INDEX=0"}</definedName>
    <definedName name="_34__FDSAUDITLINK__" hidden="1">{"fdsup://directions/FAT Viewer?action=UPDATE&amp;creator=factset&amp;DYN_ARGS=TRUE&amp;DOC_NAME=FAT:FQL_AUDITING_CLIENT_TEMPLATE.FAT&amp;display_string=Audit&amp;VAR:KEY=JCNCDWZYHQ&amp;VAR:QUERY=RkVfVkFMVUFUSU9OKCdQQlBTJywnTUVBTicsJ0FOTlVBTCcsMjAxMSwwLCwsJycp&amp;WINDOW=FIRST_POPUP&amp;H","EIGHT=450&amp;WIDTH=450&amp;START_MAXIMIZED=FALSE&amp;VAR:CALENDAR=FIVEDAY&amp;VAR:SYMBOL=0896265&amp;VAR:INDEX=0"}</definedName>
    <definedName name="_340__FDSAUDITLINK__" hidden="1">{"fdsup://directions/FAT Viewer?action=UPDATE&amp;creator=factset&amp;DYN_ARGS=TRUE&amp;DOC_NAME=FAT:FQL_AUDITING_CLIENT_TEMPLATE.FAT&amp;display_string=Audit&amp;VAR:KEY=EPSXOFKJWJ&amp;VAR:QUERY=RkZfREVCVChBTk4sMjAwOSk=&amp;WINDOW=FIRST_POPUP&amp;HEIGHT=450&amp;WIDTH=450&amp;START_MAXIMIZED=FALS","E&amp;VAR:CALENDAR=US&amp;VAR:SYMBOL=TLP&amp;VAR:INDEX=0"}</definedName>
    <definedName name="_341__FDSAUDITLINK__" hidden="1">{"fdsup://directions/FAT Viewer?action=UPDATE&amp;creator=factset&amp;DYN_ARGS=TRUE&amp;DOC_NAME=FAT:FQL_AUDITING_CLIENT_TEMPLATE.FAT&amp;display_string=Audit&amp;VAR:KEY=EPSXOFKJWJ&amp;VAR:QUERY=RkZfREVCVChBTk4sMjAwOSk=&amp;WINDOW=FIRST_POPUP&amp;HEIGHT=450&amp;WIDTH=450&amp;START_MAXIMIZED=FALS","E&amp;VAR:CALENDAR=US&amp;VAR:SYMBOL=TLP&amp;VAR:INDEX=0"}</definedName>
    <definedName name="_342__FDSAUDITLINK__" hidden="1">{"fdsup://directions/FAT Viewer?action=UPDATE&amp;creator=factset&amp;DYN_ARGS=TRUE&amp;DOC_NAME=FAT:FQL_AUDITING_CLIENT_TEMPLATE.FAT&amp;display_string=Audit&amp;VAR:KEY=OJYTYRYFKF&amp;VAR:QUERY=RkZfREVCVChBTk4sMjAwOSk=&amp;WINDOW=FIRST_POPUP&amp;HEIGHT=450&amp;WIDTH=450&amp;START_MAXIMIZED=FALS","E&amp;VAR:CALENDAR=US&amp;VAR:SYMBOL=HEP&amp;VAR:INDEX=0"}</definedName>
    <definedName name="_343__FDSAUDITLINK__" hidden="1">{"fdsup://directions/FAT Viewer?action=UPDATE&amp;creator=factset&amp;DYN_ARGS=TRUE&amp;DOC_NAME=FAT:FQL_AUDITING_CLIENT_TEMPLATE.FAT&amp;display_string=Audit&amp;VAR:KEY=OJYTYRYFKF&amp;VAR:QUERY=RkZfREVCVChBTk4sMjAwOSk=&amp;WINDOW=FIRST_POPUP&amp;HEIGHT=450&amp;WIDTH=450&amp;START_MAXIMIZED=FALS","E&amp;VAR:CALENDAR=US&amp;VAR:SYMBOL=HEP&amp;VAR:INDEX=0"}</definedName>
    <definedName name="_344__FDSAUDITLINK__" hidden="1">{"fdsup://directions/FAT Viewer?action=UPDATE&amp;creator=factset&amp;DYN_ARGS=TRUE&amp;DOC_NAME=FAT:FQL_AUDITING_CLIENT_TEMPLATE.FAT&amp;display_string=Audit&amp;VAR:KEY=OJYTYRYFKF&amp;VAR:QUERY=RkZfREVCVChBTk4sMjAwOSk=&amp;WINDOW=FIRST_POPUP&amp;HEIGHT=450&amp;WIDTH=450&amp;START_MAXIMIZED=FALS","E&amp;VAR:CALENDAR=US&amp;VAR:SYMBOL=HEP&amp;VAR:INDEX=0"}</definedName>
    <definedName name="_345__FDSAUDITLINK__" hidden="1">{"fdsup://directions/FAT Viewer?action=UPDATE&amp;creator=factset&amp;DYN_ARGS=TRUE&amp;DOC_NAME=FAT:FQL_AUDITING_CLIENT_TEMPLATE.FAT&amp;display_string=Audit&amp;VAR:KEY=MZMZIRGRQD&amp;VAR:QUERY=RkZfREVCVChBTk4sMjAwOSk=&amp;WINDOW=FIRST_POPUP&amp;HEIGHT=450&amp;WIDTH=450&amp;START_MAXIMIZED=FALS","E&amp;VAR:CALENDAR=US&amp;VAR:SYMBOL=CMLP&amp;VAR:INDEX=0"}</definedName>
    <definedName name="_346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347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348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349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35__FDSAUDITLINK__" localSheetId="6" hidden="1">{"fdsup://directions/FAT Viewer?action=UPDATE&amp;creator=factset&amp;DYN_ARGS=TRUE&amp;DOC_NAME=FAT:FQL_AUDITING_CLIENT_TEMPLATE.FAT&amp;display_string=Audit&amp;VAR:KEY=LILIHILQPE&amp;VAR:QUERY=RkVfVkFMVUFUSU9OKCdQQlBTJywnTUVBTicsJ0FOTlVBTCcsMjAxMCwwLCwsJycp&amp;WINDOW=FIRST_POPUP&amp;H","EIGHT=450&amp;WIDTH=450&amp;START_MAXIMIZED=FALSE&amp;VAR:CALENDAR=FIVEDAY&amp;VAR:SYMBOL=0896265&amp;VAR:INDEX=0"}</definedName>
    <definedName name="_35__FDSAUDITLINK__" localSheetId="8" hidden="1">{"fdsup://directions/FAT Viewer?action=UPDATE&amp;creator=factset&amp;DYN_ARGS=TRUE&amp;DOC_NAME=FAT:FQL_AUDITING_CLIENT_TEMPLATE.FAT&amp;display_string=Audit&amp;VAR:KEY=LILIHILQPE&amp;VAR:QUERY=RkVfVkFMVUFUSU9OKCdQQlBTJywnTUVBTicsJ0FOTlVBTCcsMjAxMCwwLCwsJycp&amp;WINDOW=FIRST_POPUP&amp;H","EIGHT=450&amp;WIDTH=450&amp;START_MAXIMIZED=FALSE&amp;VAR:CALENDAR=FIVEDAY&amp;VAR:SYMBOL=0896265&amp;VAR:INDEX=0"}</definedName>
    <definedName name="_35__FDSAUDITLINK__" localSheetId="2" hidden="1">{"fdsup://directions/FAT Viewer?action=UPDATE&amp;creator=factset&amp;DYN_ARGS=TRUE&amp;DOC_NAME=FAT:FQL_AUDITING_CLIENT_TEMPLATE.FAT&amp;display_string=Audit&amp;VAR:KEY=LILIHILQPE&amp;VAR:QUERY=RkVfVkFMVUFUSU9OKCdQQlBTJywnTUVBTicsJ0FOTlVBTCcsMjAxMCwwLCwsJycp&amp;WINDOW=FIRST_POPUP&amp;H","EIGHT=450&amp;WIDTH=450&amp;START_MAXIMIZED=FALSE&amp;VAR:CALENDAR=FIVEDAY&amp;VAR:SYMBOL=0896265&amp;VAR:INDEX=0"}</definedName>
    <definedName name="_35__FDSAUDITLINK__" hidden="1">{"fdsup://directions/FAT Viewer?action=UPDATE&amp;creator=factset&amp;DYN_ARGS=TRUE&amp;DOC_NAME=FAT:FQL_AUDITING_CLIENT_TEMPLATE.FAT&amp;display_string=Audit&amp;VAR:KEY=LILIHILQPE&amp;VAR:QUERY=RkVfVkFMVUFUSU9OKCdQQlBTJywnTUVBTicsJ0FOTlVBTCcsMjAxMCwwLCwsJycp&amp;WINDOW=FIRST_POPUP&amp;H","EIGHT=450&amp;WIDTH=450&amp;START_MAXIMIZED=FALSE&amp;VAR:CALENDAR=FIVEDAY&amp;VAR:SYMBOL=0896265&amp;VAR:INDEX=0"}</definedName>
    <definedName name="_350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351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352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353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354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355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356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357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358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359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36__FDSAUDITLINK__" localSheetId="6" hidden="1">{"fdsup://directions/FAT Viewer?action=UPDATE&amp;creator=factset&amp;DYN_ARGS=TRUE&amp;DOC_NAME=FAT:FQL_AUDITING_CLIENT_TEMPLATE.FAT&amp;display_string=Audit&amp;VAR:KEY=LWBKHSXEZQ&amp;VAR:QUERY=RkVfVkFMVUFUSU9OKCdQQlBTJywnTUVBTicsJ0FOTlVBTCcsMjAwOSwwLCwsJycp&amp;WINDOW=FIRST_POPUP&amp;H","EIGHT=450&amp;WIDTH=450&amp;START_MAXIMIZED=FALSE&amp;VAR:CALENDAR=FIVEDAY&amp;VAR:SYMBOL=0896265&amp;VAR:INDEX=0"}</definedName>
    <definedName name="_36__FDSAUDITLINK__" localSheetId="8" hidden="1">{"fdsup://directions/FAT Viewer?action=UPDATE&amp;creator=factset&amp;DYN_ARGS=TRUE&amp;DOC_NAME=FAT:FQL_AUDITING_CLIENT_TEMPLATE.FAT&amp;display_string=Audit&amp;VAR:KEY=LWBKHSXEZQ&amp;VAR:QUERY=RkVfVkFMVUFUSU9OKCdQQlBTJywnTUVBTicsJ0FOTlVBTCcsMjAwOSwwLCwsJycp&amp;WINDOW=FIRST_POPUP&amp;H","EIGHT=450&amp;WIDTH=450&amp;START_MAXIMIZED=FALSE&amp;VAR:CALENDAR=FIVEDAY&amp;VAR:SYMBOL=0896265&amp;VAR:INDEX=0"}</definedName>
    <definedName name="_36__FDSAUDITLINK__" localSheetId="2" hidden="1">{"fdsup://directions/FAT Viewer?action=UPDATE&amp;creator=factset&amp;DYN_ARGS=TRUE&amp;DOC_NAME=FAT:FQL_AUDITING_CLIENT_TEMPLATE.FAT&amp;display_string=Audit&amp;VAR:KEY=LWBKHSXEZQ&amp;VAR:QUERY=RkVfVkFMVUFUSU9OKCdQQlBTJywnTUVBTicsJ0FOTlVBTCcsMjAwOSwwLCwsJycp&amp;WINDOW=FIRST_POPUP&amp;H","EIGHT=450&amp;WIDTH=450&amp;START_MAXIMIZED=FALSE&amp;VAR:CALENDAR=FIVEDAY&amp;VAR:SYMBOL=0896265&amp;VAR:INDEX=0"}</definedName>
    <definedName name="_36__FDSAUDITLINK__" hidden="1">{"fdsup://directions/FAT Viewer?action=UPDATE&amp;creator=factset&amp;DYN_ARGS=TRUE&amp;DOC_NAME=FAT:FQL_AUDITING_CLIENT_TEMPLATE.FAT&amp;display_string=Audit&amp;VAR:KEY=LWBKHSXEZQ&amp;VAR:QUERY=RkVfVkFMVUFUSU9OKCdQQlBTJywnTUVBTicsJ0FOTlVBTCcsMjAwOSwwLCwsJycp&amp;WINDOW=FIRST_POPUP&amp;H","EIGHT=450&amp;WIDTH=450&amp;START_MAXIMIZED=FALSE&amp;VAR:CALENDAR=FIVEDAY&amp;VAR:SYMBOL=0896265&amp;VAR:INDEX=0"}</definedName>
    <definedName name="_360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361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362__FDSAUDITLINK__" hidden="1">{"fdsup://directions/FAT Viewer?action=UPDATE&amp;creator=factset&amp;DYN_ARGS=TRUE&amp;DOC_NAME=FAT:FQL_AUDITING_CLIENT_TEMPLATE.FAT&amp;display_string=Audit&amp;VAR:KEY=MZMZIRGRQD&amp;VAR:QUERY=RkZfREVCVChBTk4sMjAwOSk=&amp;WINDOW=FIRST_POPUP&amp;HEIGHT=450&amp;WIDTH=450&amp;START_MAXIMIZED=FALS","E&amp;VAR:CALENDAR=US&amp;VAR:SYMBOL=CMLP&amp;VAR:INDEX=0"}</definedName>
    <definedName name="_363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364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365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366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367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368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369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37__FDSAUDITLINK__" localSheetId="6" hidden="1">{"fdsup://directions/FAT Viewer?action=UPDATE&amp;creator=factset&amp;DYN_ARGS=TRUE&amp;DOC_NAME=FAT:FQL_AUDITING_CLIENT_TEMPLATE.FAT&amp;display_string=Audit&amp;VAR:KEY=JKNYZOXGHU&amp;VAR:QUERY=RkVfVkFMVUFUSU9OKCdQQlBTJywnTUVBTicsJ0FOTlVBTCcsMjAxMiwwLCwsJycp&amp;WINDOW=FIRST_POPUP&amp;H","EIGHT=450&amp;WIDTH=450&amp;START_MAXIMIZED=FALSE&amp;VAR:CALENDAR=FIVEDAY&amp;VAR:SYMBOL=306465&amp;VAR:INDEX=0"}</definedName>
    <definedName name="_37__FDSAUDITLINK__" localSheetId="8" hidden="1">{"fdsup://directions/FAT Viewer?action=UPDATE&amp;creator=factset&amp;DYN_ARGS=TRUE&amp;DOC_NAME=FAT:FQL_AUDITING_CLIENT_TEMPLATE.FAT&amp;display_string=Audit&amp;VAR:KEY=JKNYZOXGHU&amp;VAR:QUERY=RkVfVkFMVUFUSU9OKCdQQlBTJywnTUVBTicsJ0FOTlVBTCcsMjAxMiwwLCwsJycp&amp;WINDOW=FIRST_POPUP&amp;H","EIGHT=450&amp;WIDTH=450&amp;START_MAXIMIZED=FALSE&amp;VAR:CALENDAR=FIVEDAY&amp;VAR:SYMBOL=306465&amp;VAR:INDEX=0"}</definedName>
    <definedName name="_37__FDSAUDITLINK__" localSheetId="2" hidden="1">{"fdsup://directions/FAT Viewer?action=UPDATE&amp;creator=factset&amp;DYN_ARGS=TRUE&amp;DOC_NAME=FAT:FQL_AUDITING_CLIENT_TEMPLATE.FAT&amp;display_string=Audit&amp;VAR:KEY=JKNYZOXGHU&amp;VAR:QUERY=RkVfVkFMVUFUSU9OKCdQQlBTJywnTUVBTicsJ0FOTlVBTCcsMjAxMiwwLCwsJycp&amp;WINDOW=FIRST_POPUP&amp;H","EIGHT=450&amp;WIDTH=450&amp;START_MAXIMIZED=FALSE&amp;VAR:CALENDAR=FIVEDAY&amp;VAR:SYMBOL=306465&amp;VAR:INDEX=0"}</definedName>
    <definedName name="_37__FDSAUDITLINK__" hidden="1">{"fdsup://directions/FAT Viewer?action=UPDATE&amp;creator=factset&amp;DYN_ARGS=TRUE&amp;DOC_NAME=FAT:FQL_AUDITING_CLIENT_TEMPLATE.FAT&amp;display_string=Audit&amp;VAR:KEY=JKNYZOXGHU&amp;VAR:QUERY=RkVfVkFMVUFUSU9OKCdQQlBTJywnTUVBTicsJ0FOTlVBTCcsMjAxMiwwLCwsJycp&amp;WINDOW=FIRST_POPUP&amp;H","EIGHT=450&amp;WIDTH=450&amp;START_MAXIMIZED=FALSE&amp;VAR:CALENDAR=FIVEDAY&amp;VAR:SYMBOL=306465&amp;VAR:INDEX=0"}</definedName>
    <definedName name="_370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371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372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373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374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375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376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377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378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379__FDSAUDITLINK__" hidden="1">{"fdsup://directions/FAT Viewer?action=UPDATE&amp;creator=factset&amp;DYN_ARGS=TRUE&amp;DOC_NAME=FAT:FQL_AUDITING_CLIENT_TEMPLATE.FAT&amp;display_string=Audit&amp;VAR:KEY=MZMZIRGRQD&amp;VAR:QUERY=RkZfREVCVChBTk4sMjAwOSk=&amp;WINDOW=FIRST_POPUP&amp;HEIGHT=450&amp;WIDTH=450&amp;START_MAXIMIZED=FALS","E&amp;VAR:CALENDAR=US&amp;VAR:SYMBOL=CMLP&amp;VAR:INDEX=0"}</definedName>
    <definedName name="_38__FDSAUDITLINK__" localSheetId="6" hidden="1">{"fdsup://directions/FAT Viewer?action=UPDATE&amp;creator=factset&amp;DYN_ARGS=TRUE&amp;DOC_NAME=FAT:FQL_AUDITING_CLIENT_TEMPLATE.FAT&amp;display_string=Audit&amp;VAR:KEY=ZINYXYJIPE&amp;VAR:QUERY=RkVfVkFMVUFUSU9OKCdQQlBTJywnTUVBTicsJ0FOTlVBTCcsMjAxMSwwLCwsJycp&amp;WINDOW=FIRST_POPUP&amp;H","EIGHT=450&amp;WIDTH=450&amp;START_MAXIMIZED=FALSE&amp;VAR:CALENDAR=FIVEDAY&amp;VAR:SYMBOL=306465&amp;VAR:INDEX=0"}</definedName>
    <definedName name="_38__FDSAUDITLINK__" localSheetId="8" hidden="1">{"fdsup://directions/FAT Viewer?action=UPDATE&amp;creator=factset&amp;DYN_ARGS=TRUE&amp;DOC_NAME=FAT:FQL_AUDITING_CLIENT_TEMPLATE.FAT&amp;display_string=Audit&amp;VAR:KEY=ZINYXYJIPE&amp;VAR:QUERY=RkVfVkFMVUFUSU9OKCdQQlBTJywnTUVBTicsJ0FOTlVBTCcsMjAxMSwwLCwsJycp&amp;WINDOW=FIRST_POPUP&amp;H","EIGHT=450&amp;WIDTH=450&amp;START_MAXIMIZED=FALSE&amp;VAR:CALENDAR=FIVEDAY&amp;VAR:SYMBOL=306465&amp;VAR:INDEX=0"}</definedName>
    <definedName name="_38__FDSAUDITLINK__" localSheetId="2" hidden="1">{"fdsup://directions/FAT Viewer?action=UPDATE&amp;creator=factset&amp;DYN_ARGS=TRUE&amp;DOC_NAME=FAT:FQL_AUDITING_CLIENT_TEMPLATE.FAT&amp;display_string=Audit&amp;VAR:KEY=ZINYXYJIPE&amp;VAR:QUERY=RkVfVkFMVUFUSU9OKCdQQlBTJywnTUVBTicsJ0FOTlVBTCcsMjAxMSwwLCwsJycp&amp;WINDOW=FIRST_POPUP&amp;H","EIGHT=450&amp;WIDTH=450&amp;START_MAXIMIZED=FALSE&amp;VAR:CALENDAR=FIVEDAY&amp;VAR:SYMBOL=306465&amp;VAR:INDEX=0"}</definedName>
    <definedName name="_38__FDSAUDITLINK__" hidden="1">{"fdsup://directions/FAT Viewer?action=UPDATE&amp;creator=factset&amp;DYN_ARGS=TRUE&amp;DOC_NAME=FAT:FQL_AUDITING_CLIENT_TEMPLATE.FAT&amp;display_string=Audit&amp;VAR:KEY=ZINYXYJIPE&amp;VAR:QUERY=RkVfVkFMVUFUSU9OKCdQQlBTJywnTUVBTicsJ0FOTlVBTCcsMjAxMSwwLCwsJycp&amp;WINDOW=FIRST_POPUP&amp;H","EIGHT=450&amp;WIDTH=450&amp;START_MAXIMIZED=FALSE&amp;VAR:CALENDAR=FIVEDAY&amp;VAR:SYMBOL=306465&amp;VAR:INDEX=0"}</definedName>
    <definedName name="_380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381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382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383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384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385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386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387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388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389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39__FDSAUDITLINK__" localSheetId="6" hidden="1">{"fdsup://directions/FAT Viewer?action=UPDATE&amp;creator=factset&amp;DYN_ARGS=TRUE&amp;DOC_NAME=FAT:FQL_AUDITING_CLIENT_TEMPLATE.FAT&amp;display_string=Audit&amp;VAR:KEY=BUNSBMVWPM&amp;VAR:QUERY=RkVfVkFMVUFUSU9OKCdQQlBTJywnTUVBTicsJ0FOTlVBTCcsMjAxMCwwLCwsJycp&amp;WINDOW=FIRST_POPUP&amp;H","EIGHT=450&amp;WIDTH=450&amp;START_MAXIMIZED=FALSE&amp;VAR:CALENDAR=FIVEDAY&amp;VAR:SYMBOL=306465&amp;VAR:INDEX=0"}</definedName>
    <definedName name="_39__FDSAUDITLINK__" localSheetId="8" hidden="1">{"fdsup://directions/FAT Viewer?action=UPDATE&amp;creator=factset&amp;DYN_ARGS=TRUE&amp;DOC_NAME=FAT:FQL_AUDITING_CLIENT_TEMPLATE.FAT&amp;display_string=Audit&amp;VAR:KEY=BUNSBMVWPM&amp;VAR:QUERY=RkVfVkFMVUFUSU9OKCdQQlBTJywnTUVBTicsJ0FOTlVBTCcsMjAxMCwwLCwsJycp&amp;WINDOW=FIRST_POPUP&amp;H","EIGHT=450&amp;WIDTH=450&amp;START_MAXIMIZED=FALSE&amp;VAR:CALENDAR=FIVEDAY&amp;VAR:SYMBOL=306465&amp;VAR:INDEX=0"}</definedName>
    <definedName name="_39__FDSAUDITLINK__" localSheetId="2" hidden="1">{"fdsup://directions/FAT Viewer?action=UPDATE&amp;creator=factset&amp;DYN_ARGS=TRUE&amp;DOC_NAME=FAT:FQL_AUDITING_CLIENT_TEMPLATE.FAT&amp;display_string=Audit&amp;VAR:KEY=BUNSBMVWPM&amp;VAR:QUERY=RkVfVkFMVUFUSU9OKCdQQlBTJywnTUVBTicsJ0FOTlVBTCcsMjAxMCwwLCwsJycp&amp;WINDOW=FIRST_POPUP&amp;H","EIGHT=450&amp;WIDTH=450&amp;START_MAXIMIZED=FALSE&amp;VAR:CALENDAR=FIVEDAY&amp;VAR:SYMBOL=306465&amp;VAR:INDEX=0"}</definedName>
    <definedName name="_39__FDSAUDITLINK__" hidden="1">{"fdsup://directions/FAT Viewer?action=UPDATE&amp;creator=factset&amp;DYN_ARGS=TRUE&amp;DOC_NAME=FAT:FQL_AUDITING_CLIENT_TEMPLATE.FAT&amp;display_string=Audit&amp;VAR:KEY=BUNSBMVWPM&amp;VAR:QUERY=RkVfVkFMVUFUSU9OKCdQQlBTJywnTUVBTicsJ0FOTlVBTCcsMjAxMCwwLCwsJycp&amp;WINDOW=FIRST_POPUP&amp;H","EIGHT=450&amp;WIDTH=450&amp;START_MAXIMIZED=FALSE&amp;VAR:CALENDAR=FIVEDAY&amp;VAR:SYMBOL=306465&amp;VAR:INDEX=0"}</definedName>
    <definedName name="_390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391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392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393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394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395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396__FDSAUDITLINK__" hidden="1">{"fdsup://directions/FAT Viewer?action=UPDATE&amp;creator=factset&amp;DYN_ARGS=TRUE&amp;DOC_NAME=FAT:FQL_AUDITING_CLIENT_TEMPLATE.FAT&amp;display_string=Audit&amp;VAR:KEY=MZMZIRGRQD&amp;VAR:QUERY=RkZfREVCVChBTk4sMjAwOSk=&amp;WINDOW=FIRST_POPUP&amp;HEIGHT=450&amp;WIDTH=450&amp;START_MAXIMIZED=FALS","E&amp;VAR:CALENDAR=US&amp;VAR:SYMBOL=CMLP&amp;VAR:INDEX=0"}</definedName>
    <definedName name="_397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398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399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4__FDSAUDITLINK__" localSheetId="6" hidden="1">{"fdsup://directions/FAT Viewer?action=UPDATE&amp;creator=factset&amp;DYN_ARGS=TRUE&amp;DOC_NAME=FAT:FQL_AUDITING_CLIENT_TEMPLATE.FAT&amp;display_string=Audit&amp;VAR:KEY=PUZOZGRKXK&amp;VAR:QUERY=RkVfVkFMVUFUSU9OKCdQQlBTJywnTUVBTicsJ0FOTlVBTCcsMjAwOSwwLCwsJycp&amp;WINDOW=FIRST_POPUP&amp;H","EIGHT=450&amp;WIDTH=450&amp;START_MAXIMIZED=FALSE&amp;VAR:CALENDAR=FIVEDAY&amp;VAR:SYMBOL=671499&amp;VAR:INDEX=0"}</definedName>
    <definedName name="_4__FDSAUDITLINK__" localSheetId="8" hidden="1">{"fdsup://directions/FAT Viewer?action=UPDATE&amp;creator=factset&amp;DYN_ARGS=TRUE&amp;DOC_NAME=FAT:FQL_AUDITING_CLIENT_TEMPLATE.FAT&amp;display_string=Audit&amp;VAR:KEY=PUZOZGRKXK&amp;VAR:QUERY=RkVfVkFMVUFUSU9OKCdQQlBTJywnTUVBTicsJ0FOTlVBTCcsMjAwOSwwLCwsJycp&amp;WINDOW=FIRST_POPUP&amp;H","EIGHT=450&amp;WIDTH=450&amp;START_MAXIMIZED=FALSE&amp;VAR:CALENDAR=FIVEDAY&amp;VAR:SYMBOL=671499&amp;VAR:INDEX=0"}</definedName>
    <definedName name="_4__FDSAUDITLINK__" localSheetId="2" hidden="1">{"fdsup://directions/FAT Viewer?action=UPDATE&amp;creator=factset&amp;DYN_ARGS=TRUE&amp;DOC_NAME=FAT:FQL_AUDITING_CLIENT_TEMPLATE.FAT&amp;display_string=Audit&amp;VAR:KEY=PUZOZGRKXK&amp;VAR:QUERY=RkVfVkFMVUFUSU9OKCdQQlBTJywnTUVBTicsJ0FOTlVBTCcsMjAwOSwwLCwsJycp&amp;WINDOW=FIRST_POPUP&amp;H","EIGHT=450&amp;WIDTH=450&amp;START_MAXIMIZED=FALSE&amp;VAR:CALENDAR=FIVEDAY&amp;VAR:SYMBOL=671499&amp;VAR:INDEX=0"}</definedName>
    <definedName name="_4__FDSAUDITLINK__" hidden="1">{"fdsup://directions/FAT Viewer?action=UPDATE&amp;creator=factset&amp;DYN_ARGS=TRUE&amp;DOC_NAME=FAT:FQL_AUDITING_CLIENT_TEMPLATE.FAT&amp;display_string=Audit&amp;VAR:KEY=PUZOZGRKXK&amp;VAR:QUERY=RkVfVkFMVUFUSU9OKCdQQlBTJywnTUVBTicsJ0FOTlVBTCcsMjAwOSwwLCwsJycp&amp;WINDOW=FIRST_POPUP&amp;H","EIGHT=450&amp;WIDTH=450&amp;START_MAXIMIZED=FALSE&amp;VAR:CALENDAR=FIVEDAY&amp;VAR:SYMBOL=671499&amp;VAR:INDEX=0"}</definedName>
    <definedName name="_40__FDSAUDITLINK__" localSheetId="6" hidden="1">{"fdsup://directions/FAT Viewer?action=UPDATE&amp;creator=factset&amp;DYN_ARGS=TRUE&amp;DOC_NAME=FAT:FQL_AUDITING_CLIENT_TEMPLATE.FAT&amp;display_string=Audit&amp;VAR:KEY=TIRGRCNQPW&amp;VAR:QUERY=RkVfVkFMVUFUSU9OKCdQQlBTJywnTUVBTicsJ0FOTlVBTCcsMjAwOSwwLCwsJycp&amp;WINDOW=FIRST_POPUP&amp;H","EIGHT=450&amp;WIDTH=450&amp;START_MAXIMIZED=FALSE&amp;VAR:CALENDAR=FIVEDAY&amp;VAR:SYMBOL=306465&amp;VAR:INDEX=0"}</definedName>
    <definedName name="_40__FDSAUDITLINK__" localSheetId="8" hidden="1">{"fdsup://directions/FAT Viewer?action=UPDATE&amp;creator=factset&amp;DYN_ARGS=TRUE&amp;DOC_NAME=FAT:FQL_AUDITING_CLIENT_TEMPLATE.FAT&amp;display_string=Audit&amp;VAR:KEY=TIRGRCNQPW&amp;VAR:QUERY=RkVfVkFMVUFUSU9OKCdQQlBTJywnTUVBTicsJ0FOTlVBTCcsMjAwOSwwLCwsJycp&amp;WINDOW=FIRST_POPUP&amp;H","EIGHT=450&amp;WIDTH=450&amp;START_MAXIMIZED=FALSE&amp;VAR:CALENDAR=FIVEDAY&amp;VAR:SYMBOL=306465&amp;VAR:INDEX=0"}</definedName>
    <definedName name="_40__FDSAUDITLINK__" localSheetId="2" hidden="1">{"fdsup://directions/FAT Viewer?action=UPDATE&amp;creator=factset&amp;DYN_ARGS=TRUE&amp;DOC_NAME=FAT:FQL_AUDITING_CLIENT_TEMPLATE.FAT&amp;display_string=Audit&amp;VAR:KEY=TIRGRCNQPW&amp;VAR:QUERY=RkVfVkFMVUFUSU9OKCdQQlBTJywnTUVBTicsJ0FOTlVBTCcsMjAwOSwwLCwsJycp&amp;WINDOW=FIRST_POPUP&amp;H","EIGHT=450&amp;WIDTH=450&amp;START_MAXIMIZED=FALSE&amp;VAR:CALENDAR=FIVEDAY&amp;VAR:SYMBOL=306465&amp;VAR:INDEX=0"}</definedName>
    <definedName name="_40__FDSAUDITLINK__" hidden="1">{"fdsup://directions/FAT Viewer?action=UPDATE&amp;creator=factset&amp;DYN_ARGS=TRUE&amp;DOC_NAME=FAT:FQL_AUDITING_CLIENT_TEMPLATE.FAT&amp;display_string=Audit&amp;VAR:KEY=TIRGRCNQPW&amp;VAR:QUERY=RkVfVkFMVUFUSU9OKCdQQlBTJywnTUVBTicsJ0FOTlVBTCcsMjAwOSwwLCwsJycp&amp;WINDOW=FIRST_POPUP&amp;H","EIGHT=450&amp;WIDTH=450&amp;START_MAXIMIZED=FALSE&amp;VAR:CALENDAR=FIVEDAY&amp;VAR:SYMBOL=306465&amp;VAR:INDEX=0"}</definedName>
    <definedName name="_400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401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402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403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404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405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406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407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408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409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41__FDSAUDITLINK__" localSheetId="6" hidden="1">{"fdsup://directions/FAT Viewer?action=UPDATE&amp;creator=factset&amp;DYN_ARGS=TRUE&amp;DOC_NAME=FAT:FQL_AUDITING_CLIENT_TEMPLATE.FAT&amp;display_string=Audit&amp;VAR:KEY=VGNCPODUVU&amp;VAR:QUERY=RkVfVkFMVUFUSU9OKCdQQlBTJywnTUVBTicsJ0FOTlVBTCcsMjAxMiwwLCwsJycp&amp;WINDOW=FIRST_POPUP&amp;H","EIGHT=450&amp;WIDTH=450&amp;START_MAXIMIZED=FALSE&amp;VAR:CALENDAR=FIVEDAY&amp;VAR:SYMBOL=440044&amp;VAR:INDEX=0"}</definedName>
    <definedName name="_41__FDSAUDITLINK__" localSheetId="8" hidden="1">{"fdsup://directions/FAT Viewer?action=UPDATE&amp;creator=factset&amp;DYN_ARGS=TRUE&amp;DOC_NAME=FAT:FQL_AUDITING_CLIENT_TEMPLATE.FAT&amp;display_string=Audit&amp;VAR:KEY=VGNCPODUVU&amp;VAR:QUERY=RkVfVkFMVUFUSU9OKCdQQlBTJywnTUVBTicsJ0FOTlVBTCcsMjAxMiwwLCwsJycp&amp;WINDOW=FIRST_POPUP&amp;H","EIGHT=450&amp;WIDTH=450&amp;START_MAXIMIZED=FALSE&amp;VAR:CALENDAR=FIVEDAY&amp;VAR:SYMBOL=440044&amp;VAR:INDEX=0"}</definedName>
    <definedName name="_41__FDSAUDITLINK__" localSheetId="2" hidden="1">{"fdsup://directions/FAT Viewer?action=UPDATE&amp;creator=factset&amp;DYN_ARGS=TRUE&amp;DOC_NAME=FAT:FQL_AUDITING_CLIENT_TEMPLATE.FAT&amp;display_string=Audit&amp;VAR:KEY=VGNCPODUVU&amp;VAR:QUERY=RkVfVkFMVUFUSU9OKCdQQlBTJywnTUVBTicsJ0FOTlVBTCcsMjAxMiwwLCwsJycp&amp;WINDOW=FIRST_POPUP&amp;H","EIGHT=450&amp;WIDTH=450&amp;START_MAXIMIZED=FALSE&amp;VAR:CALENDAR=FIVEDAY&amp;VAR:SYMBOL=440044&amp;VAR:INDEX=0"}</definedName>
    <definedName name="_41__FDSAUDITLINK__" hidden="1">{"fdsup://directions/FAT Viewer?action=UPDATE&amp;creator=factset&amp;DYN_ARGS=TRUE&amp;DOC_NAME=FAT:FQL_AUDITING_CLIENT_TEMPLATE.FAT&amp;display_string=Audit&amp;VAR:KEY=VGNCPODUVU&amp;VAR:QUERY=RkVfVkFMVUFUSU9OKCdQQlBTJywnTUVBTicsJ0FOTlVBTCcsMjAxMiwwLCwsJycp&amp;WINDOW=FIRST_POPUP&amp;H","EIGHT=450&amp;WIDTH=450&amp;START_MAXIMIZED=FALSE&amp;VAR:CALENDAR=FIVEDAY&amp;VAR:SYMBOL=440044&amp;VAR:INDEX=0"}</definedName>
    <definedName name="_410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411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412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413__FDSAUDITLINK__" hidden="1">{"fdsup://directions/FAT Viewer?action=UPDATE&amp;creator=factset&amp;DYN_ARGS=TRUE&amp;DOC_NAME=FAT:FQL_AUDITING_CLIENT_TEMPLATE.FAT&amp;display_string=Audit&amp;VAR:KEY=MZMZIRGRQD&amp;VAR:QUERY=RkZfREVCVChBTk4sMjAwOSk=&amp;WINDOW=FIRST_POPUP&amp;HEIGHT=450&amp;WIDTH=450&amp;START_MAXIMIZED=FALS","E&amp;VAR:CALENDAR=US&amp;VAR:SYMBOL=CMLP&amp;VAR:INDEX=0"}</definedName>
    <definedName name="_414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415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416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417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418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419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42__FDSAUDITLINK__" localSheetId="6" hidden="1">{"fdsup://directions/FAT Viewer?action=UPDATE&amp;creator=factset&amp;DYN_ARGS=TRUE&amp;DOC_NAME=FAT:FQL_AUDITING_CLIENT_TEMPLATE.FAT&amp;display_string=Audit&amp;VAR:KEY=XGRIVODUVA&amp;VAR:QUERY=RkVfVkFMVUFUSU9OKCdQQlBTJywnTUVBTicsJ0FOTlVBTCcsMjAxMSwwLCwsJycp&amp;WINDOW=FIRST_POPUP&amp;H","EIGHT=450&amp;WIDTH=450&amp;START_MAXIMIZED=FALSE&amp;VAR:CALENDAR=FIVEDAY&amp;VAR:SYMBOL=440044&amp;VAR:INDEX=0"}</definedName>
    <definedName name="_42__FDSAUDITLINK__" localSheetId="8" hidden="1">{"fdsup://directions/FAT Viewer?action=UPDATE&amp;creator=factset&amp;DYN_ARGS=TRUE&amp;DOC_NAME=FAT:FQL_AUDITING_CLIENT_TEMPLATE.FAT&amp;display_string=Audit&amp;VAR:KEY=XGRIVODUVA&amp;VAR:QUERY=RkVfVkFMVUFUSU9OKCdQQlBTJywnTUVBTicsJ0FOTlVBTCcsMjAxMSwwLCwsJycp&amp;WINDOW=FIRST_POPUP&amp;H","EIGHT=450&amp;WIDTH=450&amp;START_MAXIMIZED=FALSE&amp;VAR:CALENDAR=FIVEDAY&amp;VAR:SYMBOL=440044&amp;VAR:INDEX=0"}</definedName>
    <definedName name="_42__FDSAUDITLINK__" localSheetId="2" hidden="1">{"fdsup://directions/FAT Viewer?action=UPDATE&amp;creator=factset&amp;DYN_ARGS=TRUE&amp;DOC_NAME=FAT:FQL_AUDITING_CLIENT_TEMPLATE.FAT&amp;display_string=Audit&amp;VAR:KEY=XGRIVODUVA&amp;VAR:QUERY=RkVfVkFMVUFUSU9OKCdQQlBTJywnTUVBTicsJ0FOTlVBTCcsMjAxMSwwLCwsJycp&amp;WINDOW=FIRST_POPUP&amp;H","EIGHT=450&amp;WIDTH=450&amp;START_MAXIMIZED=FALSE&amp;VAR:CALENDAR=FIVEDAY&amp;VAR:SYMBOL=440044&amp;VAR:INDEX=0"}</definedName>
    <definedName name="_42__FDSAUDITLINK__" hidden="1">{"fdsup://directions/FAT Viewer?action=UPDATE&amp;creator=factset&amp;DYN_ARGS=TRUE&amp;DOC_NAME=FAT:FQL_AUDITING_CLIENT_TEMPLATE.FAT&amp;display_string=Audit&amp;VAR:KEY=XGRIVODUVA&amp;VAR:QUERY=RkVfVkFMVUFUSU9OKCdQQlBTJywnTUVBTicsJ0FOTlVBTCcsMjAxMSwwLCwsJycp&amp;WINDOW=FIRST_POPUP&amp;H","EIGHT=450&amp;WIDTH=450&amp;START_MAXIMIZED=FALSE&amp;VAR:CALENDAR=FIVEDAY&amp;VAR:SYMBOL=440044&amp;VAR:INDEX=0"}</definedName>
    <definedName name="_420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421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422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423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424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425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426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427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428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429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43__FDSAUDITLINK__" localSheetId="6" hidden="1">{"fdsup://directions/FAT Viewer?action=UPDATE&amp;creator=factset&amp;DYN_ARGS=TRUE&amp;DOC_NAME=FAT:FQL_AUDITING_CLIENT_TEMPLATE.FAT&amp;display_string=Audit&amp;VAR:KEY=RANOROXQDY&amp;VAR:QUERY=RkVfVkFMVUFUSU9OKCdQQlBTJywnTUVBTicsJ0FOTlVBTCcsMjAxMCwwLCwsJycp&amp;WINDOW=FIRST_POPUP&amp;H","EIGHT=450&amp;WIDTH=450&amp;START_MAXIMIZED=FALSE&amp;VAR:CALENDAR=FIVEDAY&amp;VAR:SYMBOL=440044&amp;VAR:INDEX=0"}</definedName>
    <definedName name="_43__FDSAUDITLINK__" localSheetId="8" hidden="1">{"fdsup://directions/FAT Viewer?action=UPDATE&amp;creator=factset&amp;DYN_ARGS=TRUE&amp;DOC_NAME=FAT:FQL_AUDITING_CLIENT_TEMPLATE.FAT&amp;display_string=Audit&amp;VAR:KEY=RANOROXQDY&amp;VAR:QUERY=RkVfVkFMVUFUSU9OKCdQQlBTJywnTUVBTicsJ0FOTlVBTCcsMjAxMCwwLCwsJycp&amp;WINDOW=FIRST_POPUP&amp;H","EIGHT=450&amp;WIDTH=450&amp;START_MAXIMIZED=FALSE&amp;VAR:CALENDAR=FIVEDAY&amp;VAR:SYMBOL=440044&amp;VAR:INDEX=0"}</definedName>
    <definedName name="_43__FDSAUDITLINK__" localSheetId="2" hidden="1">{"fdsup://directions/FAT Viewer?action=UPDATE&amp;creator=factset&amp;DYN_ARGS=TRUE&amp;DOC_NAME=FAT:FQL_AUDITING_CLIENT_TEMPLATE.FAT&amp;display_string=Audit&amp;VAR:KEY=RANOROXQDY&amp;VAR:QUERY=RkVfVkFMVUFUSU9OKCdQQlBTJywnTUVBTicsJ0FOTlVBTCcsMjAxMCwwLCwsJycp&amp;WINDOW=FIRST_POPUP&amp;H","EIGHT=450&amp;WIDTH=450&amp;START_MAXIMIZED=FALSE&amp;VAR:CALENDAR=FIVEDAY&amp;VAR:SYMBOL=440044&amp;VAR:INDEX=0"}</definedName>
    <definedName name="_43__FDSAUDITLINK__" hidden="1">{"fdsup://directions/FAT Viewer?action=UPDATE&amp;creator=factset&amp;DYN_ARGS=TRUE&amp;DOC_NAME=FAT:FQL_AUDITING_CLIENT_TEMPLATE.FAT&amp;display_string=Audit&amp;VAR:KEY=RANOROXQDY&amp;VAR:QUERY=RkVfVkFMVUFUSU9OKCdQQlBTJywnTUVBTicsJ0FOTlVBTCcsMjAxMCwwLCwsJycp&amp;WINDOW=FIRST_POPUP&amp;H","EIGHT=450&amp;WIDTH=450&amp;START_MAXIMIZED=FALSE&amp;VAR:CALENDAR=FIVEDAY&amp;VAR:SYMBOL=440044&amp;VAR:INDEX=0"}</definedName>
    <definedName name="_430__FDSAUDITLINK__" hidden="1">{"fdsup://directions/FAT Viewer?action=UPDATE&amp;creator=factset&amp;DYN_ARGS=TRUE&amp;DOC_NAME=FAT:FQL_AUDITING_CLIENT_TEMPLATE.FAT&amp;display_string=Audit&amp;VAR:KEY=MZMZIRGRQD&amp;VAR:QUERY=RkZfREVCVChBTk4sMjAwOSk=&amp;WINDOW=FIRST_POPUP&amp;HEIGHT=450&amp;WIDTH=450&amp;START_MAXIMIZED=FALS","E&amp;VAR:CALENDAR=US&amp;VAR:SYMBOL=CMLP&amp;VAR:INDEX=0"}</definedName>
    <definedName name="_431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432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433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434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435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436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437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438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439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44__FDSAUDITLINK__" localSheetId="6" hidden="1">{"fdsup://directions/FAT Viewer?action=UPDATE&amp;creator=factset&amp;DYN_ARGS=TRUE&amp;DOC_NAME=FAT:FQL_AUDITING_CLIENT_TEMPLATE.FAT&amp;display_string=Audit&amp;VAR:KEY=LUTQLCLGJU&amp;VAR:QUERY=RkVfVkFMVUFUSU9OKCdQQlBTJywnTUVBTicsJ0FOTlVBTCcsMjAwOSwwLCwsJycp&amp;WINDOW=FIRST_POPUP&amp;H","EIGHT=450&amp;WIDTH=450&amp;START_MAXIMIZED=FALSE&amp;VAR:CALENDAR=FIVEDAY&amp;VAR:SYMBOL=440044&amp;VAR:INDEX=0"}</definedName>
    <definedName name="_44__FDSAUDITLINK__" localSheetId="8" hidden="1">{"fdsup://directions/FAT Viewer?action=UPDATE&amp;creator=factset&amp;DYN_ARGS=TRUE&amp;DOC_NAME=FAT:FQL_AUDITING_CLIENT_TEMPLATE.FAT&amp;display_string=Audit&amp;VAR:KEY=LUTQLCLGJU&amp;VAR:QUERY=RkVfVkFMVUFUSU9OKCdQQlBTJywnTUVBTicsJ0FOTlVBTCcsMjAwOSwwLCwsJycp&amp;WINDOW=FIRST_POPUP&amp;H","EIGHT=450&amp;WIDTH=450&amp;START_MAXIMIZED=FALSE&amp;VAR:CALENDAR=FIVEDAY&amp;VAR:SYMBOL=440044&amp;VAR:INDEX=0"}</definedName>
    <definedName name="_44__FDSAUDITLINK__" localSheetId="2" hidden="1">{"fdsup://directions/FAT Viewer?action=UPDATE&amp;creator=factset&amp;DYN_ARGS=TRUE&amp;DOC_NAME=FAT:FQL_AUDITING_CLIENT_TEMPLATE.FAT&amp;display_string=Audit&amp;VAR:KEY=LUTQLCLGJU&amp;VAR:QUERY=RkVfVkFMVUFUSU9OKCdQQlBTJywnTUVBTicsJ0FOTlVBTCcsMjAwOSwwLCwsJycp&amp;WINDOW=FIRST_POPUP&amp;H","EIGHT=450&amp;WIDTH=450&amp;START_MAXIMIZED=FALSE&amp;VAR:CALENDAR=FIVEDAY&amp;VAR:SYMBOL=440044&amp;VAR:INDEX=0"}</definedName>
    <definedName name="_44__FDSAUDITLINK__" hidden="1">{"fdsup://directions/FAT Viewer?action=UPDATE&amp;creator=factset&amp;DYN_ARGS=TRUE&amp;DOC_NAME=FAT:FQL_AUDITING_CLIENT_TEMPLATE.FAT&amp;display_string=Audit&amp;VAR:KEY=LUTQLCLGJU&amp;VAR:QUERY=RkVfVkFMVUFUSU9OKCdQQlBTJywnTUVBTicsJ0FOTlVBTCcsMjAwOSwwLCwsJycp&amp;WINDOW=FIRST_POPUP&amp;H","EIGHT=450&amp;WIDTH=450&amp;START_MAXIMIZED=FALSE&amp;VAR:CALENDAR=FIVEDAY&amp;VAR:SYMBOL=440044&amp;VAR:INDEX=0"}</definedName>
    <definedName name="_440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441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442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443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444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445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446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447__FDSAUDITLINK__" hidden="1">{"fdsup://directions/FAT Viewer?action=UPDATE&amp;creator=factset&amp;DYN_ARGS=TRUE&amp;DOC_NAME=FAT:FQL_AUDITING_CLIENT_TEMPLATE.FAT&amp;display_string=Audit&amp;VAR:KEY=MZMZIRGRQD&amp;VAR:QUERY=RkZfREVCVChBTk4sMjAwOSk=&amp;WINDOW=FIRST_POPUP&amp;HEIGHT=450&amp;WIDTH=450&amp;START_MAXIMIZED=FALS","E&amp;VAR:CALENDAR=US&amp;VAR:SYMBOL=CMLP&amp;VAR:INDEX=0"}</definedName>
    <definedName name="_448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449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45__FDSAUDITLINK__" localSheetId="6" hidden="1">{"fdsup://directions/FAT Viewer?action=UPDATE&amp;creator=factset&amp;DYN_ARGS=TRUE&amp;DOC_NAME=FAT:FQL_AUDITING_CLIENT_TEMPLATE.FAT&amp;display_string=Audit&amp;VAR:KEY=ZGTCLSBADE&amp;VAR:QUERY=RkVfVkFMVUFUSU9OKCdQQlBTJywnTUVBTicsJ0FOTlVBTCcsMjAxMiwwLCwsJycp&amp;WINDOW=FIRST_POPUP&amp;H","EIGHT=450&amp;WIDTH=450&amp;START_MAXIMIZED=FALSE&amp;VAR:CALENDAR=FIVEDAY&amp;VAR:SYMBOL=441901&amp;VAR:INDEX=0"}</definedName>
    <definedName name="_45__FDSAUDITLINK__" localSheetId="8" hidden="1">{"fdsup://directions/FAT Viewer?action=UPDATE&amp;creator=factset&amp;DYN_ARGS=TRUE&amp;DOC_NAME=FAT:FQL_AUDITING_CLIENT_TEMPLATE.FAT&amp;display_string=Audit&amp;VAR:KEY=ZGTCLSBADE&amp;VAR:QUERY=RkVfVkFMVUFUSU9OKCdQQlBTJywnTUVBTicsJ0FOTlVBTCcsMjAxMiwwLCwsJycp&amp;WINDOW=FIRST_POPUP&amp;H","EIGHT=450&amp;WIDTH=450&amp;START_MAXIMIZED=FALSE&amp;VAR:CALENDAR=FIVEDAY&amp;VAR:SYMBOL=441901&amp;VAR:INDEX=0"}</definedName>
    <definedName name="_45__FDSAUDITLINK__" localSheetId="2" hidden="1">{"fdsup://directions/FAT Viewer?action=UPDATE&amp;creator=factset&amp;DYN_ARGS=TRUE&amp;DOC_NAME=FAT:FQL_AUDITING_CLIENT_TEMPLATE.FAT&amp;display_string=Audit&amp;VAR:KEY=ZGTCLSBADE&amp;VAR:QUERY=RkVfVkFMVUFUSU9OKCdQQlBTJywnTUVBTicsJ0FOTlVBTCcsMjAxMiwwLCwsJycp&amp;WINDOW=FIRST_POPUP&amp;H","EIGHT=450&amp;WIDTH=450&amp;START_MAXIMIZED=FALSE&amp;VAR:CALENDAR=FIVEDAY&amp;VAR:SYMBOL=441901&amp;VAR:INDEX=0"}</definedName>
    <definedName name="_45__FDSAUDITLINK__" hidden="1">{"fdsup://directions/FAT Viewer?action=UPDATE&amp;creator=factset&amp;DYN_ARGS=TRUE&amp;DOC_NAME=FAT:FQL_AUDITING_CLIENT_TEMPLATE.FAT&amp;display_string=Audit&amp;VAR:KEY=ZGTCLSBADE&amp;VAR:QUERY=RkVfVkFMVUFUSU9OKCdQQlBTJywnTUVBTicsJ0FOTlVBTCcsMjAxMiwwLCwsJycp&amp;WINDOW=FIRST_POPUP&amp;H","EIGHT=450&amp;WIDTH=450&amp;START_MAXIMIZED=FALSE&amp;VAR:CALENDAR=FIVEDAY&amp;VAR:SYMBOL=441901&amp;VAR:INDEX=0"}</definedName>
    <definedName name="_450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451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452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453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454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455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456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457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458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459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46__FDSAUDITLINK__" localSheetId="6" hidden="1">{"fdsup://directions/FAT Viewer?action=UPDATE&amp;creator=factset&amp;DYN_ARGS=TRUE&amp;DOC_NAME=FAT:FQL_AUDITING_CLIENT_TEMPLATE.FAT&amp;display_string=Audit&amp;VAR:KEY=JKTCVWVCXS&amp;VAR:QUERY=RkVfVkFMVUFUSU9OKCdQQlBTJywnTUVBTicsJ0FOTlVBTCcsMjAxMSwwLCwsJycp&amp;WINDOW=FIRST_POPUP&amp;H","EIGHT=450&amp;WIDTH=450&amp;START_MAXIMIZED=FALSE&amp;VAR:CALENDAR=FIVEDAY&amp;VAR:SYMBOL=441901&amp;VAR:INDEX=0"}</definedName>
    <definedName name="_46__FDSAUDITLINK__" localSheetId="8" hidden="1">{"fdsup://directions/FAT Viewer?action=UPDATE&amp;creator=factset&amp;DYN_ARGS=TRUE&amp;DOC_NAME=FAT:FQL_AUDITING_CLIENT_TEMPLATE.FAT&amp;display_string=Audit&amp;VAR:KEY=JKTCVWVCXS&amp;VAR:QUERY=RkVfVkFMVUFUSU9OKCdQQlBTJywnTUVBTicsJ0FOTlVBTCcsMjAxMSwwLCwsJycp&amp;WINDOW=FIRST_POPUP&amp;H","EIGHT=450&amp;WIDTH=450&amp;START_MAXIMIZED=FALSE&amp;VAR:CALENDAR=FIVEDAY&amp;VAR:SYMBOL=441901&amp;VAR:INDEX=0"}</definedName>
    <definedName name="_46__FDSAUDITLINK__" localSheetId="2" hidden="1">{"fdsup://directions/FAT Viewer?action=UPDATE&amp;creator=factset&amp;DYN_ARGS=TRUE&amp;DOC_NAME=FAT:FQL_AUDITING_CLIENT_TEMPLATE.FAT&amp;display_string=Audit&amp;VAR:KEY=JKTCVWVCXS&amp;VAR:QUERY=RkVfVkFMVUFUSU9OKCdQQlBTJywnTUVBTicsJ0FOTlVBTCcsMjAxMSwwLCwsJycp&amp;WINDOW=FIRST_POPUP&amp;H","EIGHT=450&amp;WIDTH=450&amp;START_MAXIMIZED=FALSE&amp;VAR:CALENDAR=FIVEDAY&amp;VAR:SYMBOL=441901&amp;VAR:INDEX=0"}</definedName>
    <definedName name="_46__FDSAUDITLINK__" hidden="1">{"fdsup://directions/FAT Viewer?action=UPDATE&amp;creator=factset&amp;DYN_ARGS=TRUE&amp;DOC_NAME=FAT:FQL_AUDITING_CLIENT_TEMPLATE.FAT&amp;display_string=Audit&amp;VAR:KEY=JKTCVWVCXS&amp;VAR:QUERY=RkVfVkFMVUFUSU9OKCdQQlBTJywnTUVBTicsJ0FOTlVBTCcsMjAxMSwwLCwsJycp&amp;WINDOW=FIRST_POPUP&amp;H","EIGHT=450&amp;WIDTH=450&amp;START_MAXIMIZED=FALSE&amp;VAR:CALENDAR=FIVEDAY&amp;VAR:SYMBOL=441901&amp;VAR:INDEX=0"}</definedName>
    <definedName name="_460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461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462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463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464__FDSAUDITLINK__" hidden="1">{"fdsup://directions/FAT Viewer?action=UPDATE&amp;creator=factset&amp;DYN_ARGS=TRUE&amp;DOC_NAME=FAT:FQL_AUDITING_CLIENT_TEMPLATE.FAT&amp;display_string=Audit&amp;VAR:KEY=MZMZIRGRQD&amp;VAR:QUERY=RkZfREVCVChBTk4sMjAwOSk=&amp;WINDOW=FIRST_POPUP&amp;HEIGHT=450&amp;WIDTH=450&amp;START_MAXIMIZED=FALS","E&amp;VAR:CALENDAR=US&amp;VAR:SYMBOL=CMLP&amp;VAR:INDEX=0"}</definedName>
    <definedName name="_465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466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467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468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469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47__FDSAUDITLINK__" localSheetId="6" hidden="1">{"fdsup://directions/FAT Viewer?action=UPDATE&amp;creator=factset&amp;DYN_ARGS=TRUE&amp;DOC_NAME=FAT:FQL_AUDITING_CLIENT_TEMPLATE.FAT&amp;display_string=Audit&amp;VAR:KEY=NIFKRWBWPY&amp;VAR:QUERY=RkVfVkFMVUFUSU9OKCdQQlBTJywnTUVBTicsJ0FOTlVBTCcsMjAxMCwwLCwsJycp&amp;WINDOW=FIRST_POPUP&amp;H","EIGHT=450&amp;WIDTH=450&amp;START_MAXIMIZED=FALSE&amp;VAR:CALENDAR=FIVEDAY&amp;VAR:SYMBOL=441901&amp;VAR:INDEX=0"}</definedName>
    <definedName name="_47__FDSAUDITLINK__" localSheetId="8" hidden="1">{"fdsup://directions/FAT Viewer?action=UPDATE&amp;creator=factset&amp;DYN_ARGS=TRUE&amp;DOC_NAME=FAT:FQL_AUDITING_CLIENT_TEMPLATE.FAT&amp;display_string=Audit&amp;VAR:KEY=NIFKRWBWPY&amp;VAR:QUERY=RkVfVkFMVUFUSU9OKCdQQlBTJywnTUVBTicsJ0FOTlVBTCcsMjAxMCwwLCwsJycp&amp;WINDOW=FIRST_POPUP&amp;H","EIGHT=450&amp;WIDTH=450&amp;START_MAXIMIZED=FALSE&amp;VAR:CALENDAR=FIVEDAY&amp;VAR:SYMBOL=441901&amp;VAR:INDEX=0"}</definedName>
    <definedName name="_47__FDSAUDITLINK__" localSheetId="2" hidden="1">{"fdsup://directions/FAT Viewer?action=UPDATE&amp;creator=factset&amp;DYN_ARGS=TRUE&amp;DOC_NAME=FAT:FQL_AUDITING_CLIENT_TEMPLATE.FAT&amp;display_string=Audit&amp;VAR:KEY=NIFKRWBWPY&amp;VAR:QUERY=RkVfVkFMVUFUSU9OKCdQQlBTJywnTUVBTicsJ0FOTlVBTCcsMjAxMCwwLCwsJycp&amp;WINDOW=FIRST_POPUP&amp;H","EIGHT=450&amp;WIDTH=450&amp;START_MAXIMIZED=FALSE&amp;VAR:CALENDAR=FIVEDAY&amp;VAR:SYMBOL=441901&amp;VAR:INDEX=0"}</definedName>
    <definedName name="_47__FDSAUDITLINK__" hidden="1">{"fdsup://directions/FAT Viewer?action=UPDATE&amp;creator=factset&amp;DYN_ARGS=TRUE&amp;DOC_NAME=FAT:FQL_AUDITING_CLIENT_TEMPLATE.FAT&amp;display_string=Audit&amp;VAR:KEY=NIFKRWBWPY&amp;VAR:QUERY=RkVfVkFMVUFUSU9OKCdQQlBTJywnTUVBTicsJ0FOTlVBTCcsMjAxMCwwLCwsJycp&amp;WINDOW=FIRST_POPUP&amp;H","EIGHT=450&amp;WIDTH=450&amp;START_MAXIMIZED=FALSE&amp;VAR:CALENDAR=FIVEDAY&amp;VAR:SYMBOL=441901&amp;VAR:INDEX=0"}</definedName>
    <definedName name="_470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471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472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473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474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475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476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477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478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479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48__FDSAUDITLINK__" localSheetId="6" hidden="1">{"fdsup://directions/FAT Viewer?action=UPDATE&amp;creator=factset&amp;DYN_ARGS=TRUE&amp;DOC_NAME=FAT:FQL_AUDITING_CLIENT_TEMPLATE.FAT&amp;display_string=Audit&amp;VAR:KEY=DCBWBYDQBY&amp;VAR:QUERY=RkVfVkFMVUFUSU9OKCdQQlBTJywnTUVBTicsJ0FOTlVBTCcsMjAwOSwwLCwsJycp&amp;WINDOW=FIRST_POPUP&amp;H","EIGHT=450&amp;WIDTH=450&amp;START_MAXIMIZED=FALSE&amp;VAR:CALENDAR=FIVEDAY&amp;VAR:SYMBOL=441901&amp;VAR:INDEX=0"}</definedName>
    <definedName name="_48__FDSAUDITLINK__" localSheetId="8" hidden="1">{"fdsup://directions/FAT Viewer?action=UPDATE&amp;creator=factset&amp;DYN_ARGS=TRUE&amp;DOC_NAME=FAT:FQL_AUDITING_CLIENT_TEMPLATE.FAT&amp;display_string=Audit&amp;VAR:KEY=DCBWBYDQBY&amp;VAR:QUERY=RkVfVkFMVUFUSU9OKCdQQlBTJywnTUVBTicsJ0FOTlVBTCcsMjAwOSwwLCwsJycp&amp;WINDOW=FIRST_POPUP&amp;H","EIGHT=450&amp;WIDTH=450&amp;START_MAXIMIZED=FALSE&amp;VAR:CALENDAR=FIVEDAY&amp;VAR:SYMBOL=441901&amp;VAR:INDEX=0"}</definedName>
    <definedName name="_48__FDSAUDITLINK__" localSheetId="2" hidden="1">{"fdsup://directions/FAT Viewer?action=UPDATE&amp;creator=factset&amp;DYN_ARGS=TRUE&amp;DOC_NAME=FAT:FQL_AUDITING_CLIENT_TEMPLATE.FAT&amp;display_string=Audit&amp;VAR:KEY=DCBWBYDQBY&amp;VAR:QUERY=RkVfVkFMVUFUSU9OKCdQQlBTJywnTUVBTicsJ0FOTlVBTCcsMjAwOSwwLCwsJycp&amp;WINDOW=FIRST_POPUP&amp;H","EIGHT=450&amp;WIDTH=450&amp;START_MAXIMIZED=FALSE&amp;VAR:CALENDAR=FIVEDAY&amp;VAR:SYMBOL=441901&amp;VAR:INDEX=0"}</definedName>
    <definedName name="_48__FDSAUDITLINK__" hidden="1">{"fdsup://directions/FAT Viewer?action=UPDATE&amp;creator=factset&amp;DYN_ARGS=TRUE&amp;DOC_NAME=FAT:FQL_AUDITING_CLIENT_TEMPLATE.FAT&amp;display_string=Audit&amp;VAR:KEY=DCBWBYDQBY&amp;VAR:QUERY=RkVfVkFMVUFUSU9OKCdQQlBTJywnTUVBTicsJ0FOTlVBTCcsMjAwOSwwLCwsJycp&amp;WINDOW=FIRST_POPUP&amp;H","EIGHT=450&amp;WIDTH=450&amp;START_MAXIMIZED=FALSE&amp;VAR:CALENDAR=FIVEDAY&amp;VAR:SYMBOL=441901&amp;VAR:INDEX=0"}</definedName>
    <definedName name="_480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481__FDSAUDITLINK__" hidden="1">{"fdsup://directions/FAT Viewer?action=UPDATE&amp;creator=factset&amp;DYN_ARGS=TRUE&amp;DOC_NAME=FAT:FQL_AUDITING_CLIENT_TEMPLATE.FAT&amp;display_string=Audit&amp;VAR:KEY=MZMZIRGRQD&amp;VAR:QUERY=RkZfREVCVChBTk4sMjAwOSk=&amp;WINDOW=FIRST_POPUP&amp;HEIGHT=450&amp;WIDTH=450&amp;START_MAXIMIZED=FALS","E&amp;VAR:CALENDAR=US&amp;VAR:SYMBOL=CMLP&amp;VAR:INDEX=0"}</definedName>
    <definedName name="_482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483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484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485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486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487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488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489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49__FDSAUDITLINK__" localSheetId="6" hidden="1">{"fdsup://directions/FAT Viewer?action=UPDATE&amp;creator=factset&amp;DYN_ARGS=TRUE&amp;DOC_NAME=FAT:FQL_AUDITING_CLIENT_TEMPLATE.FAT&amp;display_string=Audit&amp;VAR:KEY=JERCXQTOJO&amp;VAR:QUERY=RkVfVkFMVUFUSU9OKCdQQlBTJywnTUVBTicsJ0FOTlVBTCcsMjAxMiwwLCwsJycp&amp;WINDOW=FIRST_POPUP&amp;H","EIGHT=450&amp;WIDTH=450&amp;START_MAXIMIZED=FALSE&amp;VAR:CALENDAR=US&amp;VAR:INDEX=0"}</definedName>
    <definedName name="_49__FDSAUDITLINK__" localSheetId="8" hidden="1">{"fdsup://directions/FAT Viewer?action=UPDATE&amp;creator=factset&amp;DYN_ARGS=TRUE&amp;DOC_NAME=FAT:FQL_AUDITING_CLIENT_TEMPLATE.FAT&amp;display_string=Audit&amp;VAR:KEY=JERCXQTOJO&amp;VAR:QUERY=RkVfVkFMVUFUSU9OKCdQQlBTJywnTUVBTicsJ0FOTlVBTCcsMjAxMiwwLCwsJycp&amp;WINDOW=FIRST_POPUP&amp;H","EIGHT=450&amp;WIDTH=450&amp;START_MAXIMIZED=FALSE&amp;VAR:CALENDAR=US&amp;VAR:INDEX=0"}</definedName>
    <definedName name="_49__FDSAUDITLINK__" localSheetId="2" hidden="1">{"fdsup://directions/FAT Viewer?action=UPDATE&amp;creator=factset&amp;DYN_ARGS=TRUE&amp;DOC_NAME=FAT:FQL_AUDITING_CLIENT_TEMPLATE.FAT&amp;display_string=Audit&amp;VAR:KEY=JERCXQTOJO&amp;VAR:QUERY=RkVfVkFMVUFUSU9OKCdQQlBTJywnTUVBTicsJ0FOTlVBTCcsMjAxMiwwLCwsJycp&amp;WINDOW=FIRST_POPUP&amp;H","EIGHT=450&amp;WIDTH=450&amp;START_MAXIMIZED=FALSE&amp;VAR:CALENDAR=US&amp;VAR:INDEX=0"}</definedName>
    <definedName name="_49__FDSAUDITLINK__" hidden="1">{"fdsup://directions/FAT Viewer?action=UPDATE&amp;creator=factset&amp;DYN_ARGS=TRUE&amp;DOC_NAME=FAT:FQL_AUDITING_CLIENT_TEMPLATE.FAT&amp;display_string=Audit&amp;VAR:KEY=JERCXQTOJO&amp;VAR:QUERY=RkVfVkFMVUFUSU9OKCdQQlBTJywnTUVBTicsJ0FOTlVBTCcsMjAxMiwwLCwsJycp&amp;WINDOW=FIRST_POPUP&amp;H","EIGHT=450&amp;WIDTH=450&amp;START_MAXIMIZED=FALSE&amp;VAR:CALENDAR=US&amp;VAR:INDEX=0"}</definedName>
    <definedName name="_490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491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492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493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494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495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496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497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498__FDSAUDITLINK__" hidden="1">{"fdsup://directions/FAT Viewer?action=UPDATE&amp;creator=factset&amp;DYN_ARGS=TRUE&amp;DOC_NAME=FAT:FQL_AUDITING_CLIENT_TEMPLATE.FAT&amp;display_string=Audit&amp;VAR:KEY=MZMZIRGRQD&amp;VAR:QUERY=RkZfREVCVChBTk4sMjAwOSk=&amp;WINDOW=FIRST_POPUP&amp;HEIGHT=450&amp;WIDTH=450&amp;START_MAXIMIZED=FALS","E&amp;VAR:CALENDAR=US&amp;VAR:SYMBOL=CMLP&amp;VAR:INDEX=0"}</definedName>
    <definedName name="_499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5__FDSAUDITLINK__" localSheetId="6" hidden="1">{"fdsup://directions/FAT Viewer?action=UPDATE&amp;creator=factset&amp;DYN_ARGS=TRUE&amp;DOC_NAME=FAT:FQL_AUDITING_CLIENT_TEMPLATE.FAT&amp;display_string=Audit&amp;VAR:KEY=HQTSVONSRI&amp;VAR:QUERY=RkVfVkFMVUFUSU9OKCdQQlBTJywnTUVBTicsJ0FOTlVBTCcsMjAxMiwwLCwsJycp&amp;WINDOW=FIRST_POPUP&amp;H","EIGHT=450&amp;WIDTH=450&amp;START_MAXIMIZED=FALSE&amp;VAR:CALENDAR=FIVEDAY&amp;VAR:SYMBOL=648963&amp;VAR:INDEX=0"}</definedName>
    <definedName name="_5__FDSAUDITLINK__" localSheetId="8" hidden="1">{"fdsup://directions/FAT Viewer?action=UPDATE&amp;creator=factset&amp;DYN_ARGS=TRUE&amp;DOC_NAME=FAT:FQL_AUDITING_CLIENT_TEMPLATE.FAT&amp;display_string=Audit&amp;VAR:KEY=HQTSVONSRI&amp;VAR:QUERY=RkVfVkFMVUFUSU9OKCdQQlBTJywnTUVBTicsJ0FOTlVBTCcsMjAxMiwwLCwsJycp&amp;WINDOW=FIRST_POPUP&amp;H","EIGHT=450&amp;WIDTH=450&amp;START_MAXIMIZED=FALSE&amp;VAR:CALENDAR=FIVEDAY&amp;VAR:SYMBOL=648963&amp;VAR:INDEX=0"}</definedName>
    <definedName name="_5__FDSAUDITLINK__" localSheetId="2" hidden="1">{"fdsup://directions/FAT Viewer?action=UPDATE&amp;creator=factset&amp;DYN_ARGS=TRUE&amp;DOC_NAME=FAT:FQL_AUDITING_CLIENT_TEMPLATE.FAT&amp;display_string=Audit&amp;VAR:KEY=HQTSVONSRI&amp;VAR:QUERY=RkVfVkFMVUFUSU9OKCdQQlBTJywnTUVBTicsJ0FOTlVBTCcsMjAxMiwwLCwsJycp&amp;WINDOW=FIRST_POPUP&amp;H","EIGHT=450&amp;WIDTH=450&amp;START_MAXIMIZED=FALSE&amp;VAR:CALENDAR=FIVEDAY&amp;VAR:SYMBOL=648963&amp;VAR:INDEX=0"}</definedName>
    <definedName name="_5__FDSAUDITLINK__" hidden="1">{"fdsup://directions/FAT Viewer?action=UPDATE&amp;creator=factset&amp;DYN_ARGS=TRUE&amp;DOC_NAME=FAT:FQL_AUDITING_CLIENT_TEMPLATE.FAT&amp;display_string=Audit&amp;VAR:KEY=HQTSVONSRI&amp;VAR:QUERY=RkVfVkFMVUFUSU9OKCdQQlBTJywnTUVBTicsJ0FOTlVBTCcsMjAxMiwwLCwsJycp&amp;WINDOW=FIRST_POPUP&amp;H","EIGHT=450&amp;WIDTH=450&amp;START_MAXIMIZED=FALSE&amp;VAR:CALENDAR=FIVEDAY&amp;VAR:SYMBOL=648963&amp;VAR:INDEX=0"}</definedName>
    <definedName name="_50__FDSAUDITLINK__" localSheetId="6" hidden="1">{"fdsup://directions/FAT Viewer?action=UPDATE&amp;creator=factset&amp;DYN_ARGS=TRUE&amp;DOC_NAME=FAT:FQL_AUDITING_CLIENT_TEMPLATE.FAT&amp;display_string=Audit&amp;VAR:KEY=FUPMPONMFY&amp;VAR:QUERY=RkVfVkFMVUFUSU9OKCdQQlBTJywnTUVBTicsJ0FOTlVBTCcsMjAxMSwwLCwsJycp&amp;WINDOW=FIRST_POPUP&amp;H","EIGHT=450&amp;WIDTH=450&amp;START_MAXIMIZED=FALSE&amp;VAR:CALENDAR=US&amp;VAR:INDEX=0"}</definedName>
    <definedName name="_50__FDSAUDITLINK__" localSheetId="8" hidden="1">{"fdsup://directions/FAT Viewer?action=UPDATE&amp;creator=factset&amp;DYN_ARGS=TRUE&amp;DOC_NAME=FAT:FQL_AUDITING_CLIENT_TEMPLATE.FAT&amp;display_string=Audit&amp;VAR:KEY=FUPMPONMFY&amp;VAR:QUERY=RkVfVkFMVUFUSU9OKCdQQlBTJywnTUVBTicsJ0FOTlVBTCcsMjAxMSwwLCwsJycp&amp;WINDOW=FIRST_POPUP&amp;H","EIGHT=450&amp;WIDTH=450&amp;START_MAXIMIZED=FALSE&amp;VAR:CALENDAR=US&amp;VAR:INDEX=0"}</definedName>
    <definedName name="_50__FDSAUDITLINK__" localSheetId="2" hidden="1">{"fdsup://directions/FAT Viewer?action=UPDATE&amp;creator=factset&amp;DYN_ARGS=TRUE&amp;DOC_NAME=FAT:FQL_AUDITING_CLIENT_TEMPLATE.FAT&amp;display_string=Audit&amp;VAR:KEY=FUPMPONMFY&amp;VAR:QUERY=RkVfVkFMVUFUSU9OKCdQQlBTJywnTUVBTicsJ0FOTlVBTCcsMjAxMSwwLCwsJycp&amp;WINDOW=FIRST_POPUP&amp;H","EIGHT=450&amp;WIDTH=450&amp;START_MAXIMIZED=FALSE&amp;VAR:CALENDAR=US&amp;VAR:INDEX=0"}</definedName>
    <definedName name="_50__FDSAUDITLINK__" hidden="1">{"fdsup://directions/FAT Viewer?action=UPDATE&amp;creator=factset&amp;DYN_ARGS=TRUE&amp;DOC_NAME=FAT:FQL_AUDITING_CLIENT_TEMPLATE.FAT&amp;display_string=Audit&amp;VAR:KEY=FUPMPONMFY&amp;VAR:QUERY=RkVfVkFMVUFUSU9OKCdQQlBTJywnTUVBTicsJ0FOTlVBTCcsMjAxMSwwLCwsJycp&amp;WINDOW=FIRST_POPUP&amp;H","EIGHT=450&amp;WIDTH=450&amp;START_MAXIMIZED=FALSE&amp;VAR:CALENDAR=US&amp;VAR:INDEX=0"}</definedName>
    <definedName name="_500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501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502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503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504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505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506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507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508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509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51__FDSAUDITLINK__" localSheetId="6" hidden="1">{"fdsup://directions/FAT Viewer?action=UPDATE&amp;creator=factset&amp;DYN_ARGS=TRUE&amp;DOC_NAME=FAT:FQL_AUDITING_CLIENT_TEMPLATE.FAT&amp;display_string=Audit&amp;VAR:KEY=ZURCLIDSFE&amp;VAR:QUERY=RkVfVkFMVUFUSU9OKCdQQlBTJywnTUVBTicsJ0FOTlVBTCcsMjAxMCwwLCwsJycp&amp;WINDOW=FIRST_POPUP&amp;H","EIGHT=450&amp;WIDTH=450&amp;START_MAXIMIZED=FALSE&amp;VAR:CALENDAR=US&amp;VAR:INDEX=0"}</definedName>
    <definedName name="_51__FDSAUDITLINK__" localSheetId="8" hidden="1">{"fdsup://directions/FAT Viewer?action=UPDATE&amp;creator=factset&amp;DYN_ARGS=TRUE&amp;DOC_NAME=FAT:FQL_AUDITING_CLIENT_TEMPLATE.FAT&amp;display_string=Audit&amp;VAR:KEY=ZURCLIDSFE&amp;VAR:QUERY=RkVfVkFMVUFUSU9OKCdQQlBTJywnTUVBTicsJ0FOTlVBTCcsMjAxMCwwLCwsJycp&amp;WINDOW=FIRST_POPUP&amp;H","EIGHT=450&amp;WIDTH=450&amp;START_MAXIMIZED=FALSE&amp;VAR:CALENDAR=US&amp;VAR:INDEX=0"}</definedName>
    <definedName name="_51__FDSAUDITLINK__" localSheetId="2" hidden="1">{"fdsup://directions/FAT Viewer?action=UPDATE&amp;creator=factset&amp;DYN_ARGS=TRUE&amp;DOC_NAME=FAT:FQL_AUDITING_CLIENT_TEMPLATE.FAT&amp;display_string=Audit&amp;VAR:KEY=ZURCLIDSFE&amp;VAR:QUERY=RkVfVkFMVUFUSU9OKCdQQlBTJywnTUVBTicsJ0FOTlVBTCcsMjAxMCwwLCwsJycp&amp;WINDOW=FIRST_POPUP&amp;H","EIGHT=450&amp;WIDTH=450&amp;START_MAXIMIZED=FALSE&amp;VAR:CALENDAR=US&amp;VAR:INDEX=0"}</definedName>
    <definedName name="_51__FDSAUDITLINK__" hidden="1">{"fdsup://directions/FAT Viewer?action=UPDATE&amp;creator=factset&amp;DYN_ARGS=TRUE&amp;DOC_NAME=FAT:FQL_AUDITING_CLIENT_TEMPLATE.FAT&amp;display_string=Audit&amp;VAR:KEY=ZURCLIDSFE&amp;VAR:QUERY=RkVfVkFMVUFUSU9OKCdQQlBTJywnTUVBTicsJ0FOTlVBTCcsMjAxMCwwLCwsJycp&amp;WINDOW=FIRST_POPUP&amp;H","EIGHT=450&amp;WIDTH=450&amp;START_MAXIMIZED=FALSE&amp;VAR:CALENDAR=US&amp;VAR:INDEX=0"}</definedName>
    <definedName name="_510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511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512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513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514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515__FDSAUDITLINK__" hidden="1">{"fdsup://directions/FAT Viewer?action=UPDATE&amp;creator=factset&amp;DYN_ARGS=TRUE&amp;DOC_NAME=FAT:FQL_AUDITING_CLIENT_TEMPLATE.FAT&amp;display_string=Audit&amp;VAR:KEY=MZMZIRGRQD&amp;VAR:QUERY=RkZfREVCVChBTk4sMjAwOSk=&amp;WINDOW=FIRST_POPUP&amp;HEIGHT=450&amp;WIDTH=450&amp;START_MAXIMIZED=FALS","E&amp;VAR:CALENDAR=US&amp;VAR:SYMBOL=CMLP&amp;VAR:INDEX=0"}</definedName>
    <definedName name="_516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517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518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519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52__FDSAUDITLINK__" localSheetId="6" hidden="1">{"fdsup://directions/FAT Viewer?action=UPDATE&amp;creator=factset&amp;DYN_ARGS=TRUE&amp;DOC_NAME=FAT:FQL_AUDITING_CLIENT_TEMPLATE.FAT&amp;display_string=Audit&amp;VAR:KEY=JULQVADWDI&amp;VAR:QUERY=RkVfVkFMVUFUSU9OKCdQQlBTJywnTUVBTicsJ0FOTlVBTCcsMjAwOSwwLCwsJycp&amp;WINDOW=FIRST_POPUP&amp;H","EIGHT=450&amp;WIDTH=450&amp;START_MAXIMIZED=FALSE&amp;VAR:CALENDAR=US&amp;VAR:INDEX=0"}</definedName>
    <definedName name="_52__FDSAUDITLINK__" localSheetId="8" hidden="1">{"fdsup://directions/FAT Viewer?action=UPDATE&amp;creator=factset&amp;DYN_ARGS=TRUE&amp;DOC_NAME=FAT:FQL_AUDITING_CLIENT_TEMPLATE.FAT&amp;display_string=Audit&amp;VAR:KEY=JULQVADWDI&amp;VAR:QUERY=RkVfVkFMVUFUSU9OKCdQQlBTJywnTUVBTicsJ0FOTlVBTCcsMjAwOSwwLCwsJycp&amp;WINDOW=FIRST_POPUP&amp;H","EIGHT=450&amp;WIDTH=450&amp;START_MAXIMIZED=FALSE&amp;VAR:CALENDAR=US&amp;VAR:INDEX=0"}</definedName>
    <definedName name="_52__FDSAUDITLINK__" localSheetId="2" hidden="1">{"fdsup://directions/FAT Viewer?action=UPDATE&amp;creator=factset&amp;DYN_ARGS=TRUE&amp;DOC_NAME=FAT:FQL_AUDITING_CLIENT_TEMPLATE.FAT&amp;display_string=Audit&amp;VAR:KEY=JULQVADWDI&amp;VAR:QUERY=RkVfVkFMVUFUSU9OKCdQQlBTJywnTUVBTicsJ0FOTlVBTCcsMjAwOSwwLCwsJycp&amp;WINDOW=FIRST_POPUP&amp;H","EIGHT=450&amp;WIDTH=450&amp;START_MAXIMIZED=FALSE&amp;VAR:CALENDAR=US&amp;VAR:INDEX=0"}</definedName>
    <definedName name="_52__FDSAUDITLINK__" hidden="1">{"fdsup://directions/FAT Viewer?action=UPDATE&amp;creator=factset&amp;DYN_ARGS=TRUE&amp;DOC_NAME=FAT:FQL_AUDITING_CLIENT_TEMPLATE.FAT&amp;display_string=Audit&amp;VAR:KEY=JULQVADWDI&amp;VAR:QUERY=RkVfVkFMVUFUSU9OKCdQQlBTJywnTUVBTicsJ0FOTlVBTCcsMjAwOSwwLCwsJycp&amp;WINDOW=FIRST_POPUP&amp;H","EIGHT=450&amp;WIDTH=450&amp;START_MAXIMIZED=FALSE&amp;VAR:CALENDAR=US&amp;VAR:INDEX=0"}</definedName>
    <definedName name="_520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521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522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523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524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525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526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527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528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529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53__FDSAUDITLINK__" localSheetId="6" hidden="1">{"fdsup://directions/FAT Viewer?action=UPDATE&amp;creator=factset&amp;DYN_ARGS=TRUE&amp;DOC_NAME=FAT:FQL_AUDITING_CLIENT_TEMPLATE.FAT&amp;display_string=Audit&amp;VAR:KEY=VEHCNYHAFI&amp;VAR:QUERY=RkVfVkFMVUFUSU9OKCdQQlBTJywnTUVBTicsJ0FOTlVBTCcsMjAxMiwwLCwsJycp&amp;WINDOW=FIRST_POPUP&amp;H","EIGHT=450&amp;WIDTH=450&amp;START_MAXIMIZED=FALSE&amp;VAR:CALENDAR=US&amp;VAR:SYMBOL=5497168&amp;VAR:INDEX=0"}</definedName>
    <definedName name="_53__FDSAUDITLINK__" localSheetId="8" hidden="1">{"fdsup://directions/FAT Viewer?action=UPDATE&amp;creator=factset&amp;DYN_ARGS=TRUE&amp;DOC_NAME=FAT:FQL_AUDITING_CLIENT_TEMPLATE.FAT&amp;display_string=Audit&amp;VAR:KEY=VEHCNYHAFI&amp;VAR:QUERY=RkVfVkFMVUFUSU9OKCdQQlBTJywnTUVBTicsJ0FOTlVBTCcsMjAxMiwwLCwsJycp&amp;WINDOW=FIRST_POPUP&amp;H","EIGHT=450&amp;WIDTH=450&amp;START_MAXIMIZED=FALSE&amp;VAR:CALENDAR=US&amp;VAR:SYMBOL=5497168&amp;VAR:INDEX=0"}</definedName>
    <definedName name="_53__FDSAUDITLINK__" localSheetId="2" hidden="1">{"fdsup://directions/FAT Viewer?action=UPDATE&amp;creator=factset&amp;DYN_ARGS=TRUE&amp;DOC_NAME=FAT:FQL_AUDITING_CLIENT_TEMPLATE.FAT&amp;display_string=Audit&amp;VAR:KEY=VEHCNYHAFI&amp;VAR:QUERY=RkVfVkFMVUFUSU9OKCdQQlBTJywnTUVBTicsJ0FOTlVBTCcsMjAxMiwwLCwsJycp&amp;WINDOW=FIRST_POPUP&amp;H","EIGHT=450&amp;WIDTH=450&amp;START_MAXIMIZED=FALSE&amp;VAR:CALENDAR=US&amp;VAR:SYMBOL=5497168&amp;VAR:INDEX=0"}</definedName>
    <definedName name="_53__FDSAUDITLINK__" hidden="1">{"fdsup://directions/FAT Viewer?action=UPDATE&amp;creator=factset&amp;DYN_ARGS=TRUE&amp;DOC_NAME=FAT:FQL_AUDITING_CLIENT_TEMPLATE.FAT&amp;display_string=Audit&amp;VAR:KEY=VEHCNYHAFI&amp;VAR:QUERY=RkVfVkFMVUFUSU9OKCdQQlBTJywnTUVBTicsJ0FOTlVBTCcsMjAxMiwwLCwsJycp&amp;WINDOW=FIRST_POPUP&amp;H","EIGHT=450&amp;WIDTH=450&amp;START_MAXIMIZED=FALSE&amp;VAR:CALENDAR=US&amp;VAR:SYMBOL=5497168&amp;VAR:INDEX=0"}</definedName>
    <definedName name="_530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531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532__FDSAUDITLINK__" hidden="1">{"fdsup://directions/FAT Viewer?action=UPDATE&amp;creator=factset&amp;DYN_ARGS=TRUE&amp;DOC_NAME=FAT:FQL_AUDITING_CLIENT_TEMPLATE.FAT&amp;display_string=Audit&amp;VAR:KEY=MZMZIRGRQD&amp;VAR:QUERY=RkZfREVCVChBTk4sMjAwOSk=&amp;WINDOW=FIRST_POPUP&amp;HEIGHT=450&amp;WIDTH=450&amp;START_MAXIMIZED=FALS","E&amp;VAR:CALENDAR=US&amp;VAR:SYMBOL=CMLP&amp;VAR:INDEX=0"}</definedName>
    <definedName name="_533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534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535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536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537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538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539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54__FDSAUDITLINK__" localSheetId="6" hidden="1">{"fdsup://directions/FAT Viewer?action=UPDATE&amp;creator=factset&amp;DYN_ARGS=TRUE&amp;DOC_NAME=FAT:FQL_AUDITING_CLIENT_TEMPLATE.FAT&amp;display_string=Audit&amp;VAR:KEY=VEHCNYHAFI&amp;VAR:QUERY=RkVfVkFMVUFUSU9OKCdQQlBTJywnTUVBTicsJ0FOTlVBTCcsMjAxMiwwLCwsJycp&amp;WINDOW=FIRST_POPUP&amp;H","EIGHT=450&amp;WIDTH=450&amp;START_MAXIMIZED=FALSE&amp;VAR:CALENDAR=US&amp;VAR:SYMBOL=5497168&amp;VAR:INDEX=0"}</definedName>
    <definedName name="_54__FDSAUDITLINK__" localSheetId="8" hidden="1">{"fdsup://directions/FAT Viewer?action=UPDATE&amp;creator=factset&amp;DYN_ARGS=TRUE&amp;DOC_NAME=FAT:FQL_AUDITING_CLIENT_TEMPLATE.FAT&amp;display_string=Audit&amp;VAR:KEY=VEHCNYHAFI&amp;VAR:QUERY=RkVfVkFMVUFUSU9OKCdQQlBTJywnTUVBTicsJ0FOTlVBTCcsMjAxMiwwLCwsJycp&amp;WINDOW=FIRST_POPUP&amp;H","EIGHT=450&amp;WIDTH=450&amp;START_MAXIMIZED=FALSE&amp;VAR:CALENDAR=US&amp;VAR:SYMBOL=5497168&amp;VAR:INDEX=0"}</definedName>
    <definedName name="_54__FDSAUDITLINK__" localSheetId="2" hidden="1">{"fdsup://directions/FAT Viewer?action=UPDATE&amp;creator=factset&amp;DYN_ARGS=TRUE&amp;DOC_NAME=FAT:FQL_AUDITING_CLIENT_TEMPLATE.FAT&amp;display_string=Audit&amp;VAR:KEY=VEHCNYHAFI&amp;VAR:QUERY=RkVfVkFMVUFUSU9OKCdQQlBTJywnTUVBTicsJ0FOTlVBTCcsMjAxMiwwLCwsJycp&amp;WINDOW=FIRST_POPUP&amp;H","EIGHT=450&amp;WIDTH=450&amp;START_MAXIMIZED=FALSE&amp;VAR:CALENDAR=US&amp;VAR:SYMBOL=5497168&amp;VAR:INDEX=0"}</definedName>
    <definedName name="_54__FDSAUDITLINK__" hidden="1">{"fdsup://directions/FAT Viewer?action=UPDATE&amp;creator=factset&amp;DYN_ARGS=TRUE&amp;DOC_NAME=FAT:FQL_AUDITING_CLIENT_TEMPLATE.FAT&amp;display_string=Audit&amp;VAR:KEY=VEHCNYHAFI&amp;VAR:QUERY=RkVfVkFMVUFUSU9OKCdQQlBTJywnTUVBTicsJ0FOTlVBTCcsMjAxMiwwLCwsJycp&amp;WINDOW=FIRST_POPUP&amp;H","EIGHT=450&amp;WIDTH=450&amp;START_MAXIMIZED=FALSE&amp;VAR:CALENDAR=US&amp;VAR:SYMBOL=5497168&amp;VAR:INDEX=0"}</definedName>
    <definedName name="_540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541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542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543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544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545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546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547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548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549__FDSAUDITLINK__" hidden="1">{"fdsup://directions/FAT Viewer?action=UPDATE&amp;creator=factset&amp;DYN_ARGS=TRUE&amp;DOC_NAME=FAT:FQL_AUDITING_CLIENT_TEMPLATE.FAT&amp;display_string=Audit&amp;VAR:KEY=MZMZIRGRQD&amp;VAR:QUERY=RkZfREVCVChBTk4sMjAwOSk=&amp;WINDOW=FIRST_POPUP&amp;HEIGHT=450&amp;WIDTH=450&amp;START_MAXIMIZED=FALS","E&amp;VAR:CALENDAR=US&amp;VAR:SYMBOL=CMLP&amp;VAR:INDEX=0"}</definedName>
    <definedName name="_55__FDSAUDITLINK__" localSheetId="6" hidden="1">{"fdsup://directions/FAT Viewer?action=UPDATE&amp;creator=factset&amp;DYN_ARGS=TRUE&amp;DOC_NAME=FAT:FQL_AUDITING_CLIENT_TEMPLATE.FAT&amp;display_string=Audit&amp;VAR:KEY=NWHWNMDOLS&amp;VAR:QUERY=RkVfVkFMVUFUSU9OKCdQQlBTJywnTUVBTicsJ0FOTlVBTCcsMjAxMSwwLCwsJycp&amp;WINDOW=FIRST_POPUP&amp;H","EIGHT=450&amp;WIDTH=450&amp;START_MAXIMIZED=FALSE&amp;VAR:CALENDAR=US&amp;VAR:SYMBOL=5497168&amp;VAR:INDEX=0"}</definedName>
    <definedName name="_55__FDSAUDITLINK__" localSheetId="8" hidden="1">{"fdsup://directions/FAT Viewer?action=UPDATE&amp;creator=factset&amp;DYN_ARGS=TRUE&amp;DOC_NAME=FAT:FQL_AUDITING_CLIENT_TEMPLATE.FAT&amp;display_string=Audit&amp;VAR:KEY=NWHWNMDOLS&amp;VAR:QUERY=RkVfVkFMVUFUSU9OKCdQQlBTJywnTUVBTicsJ0FOTlVBTCcsMjAxMSwwLCwsJycp&amp;WINDOW=FIRST_POPUP&amp;H","EIGHT=450&amp;WIDTH=450&amp;START_MAXIMIZED=FALSE&amp;VAR:CALENDAR=US&amp;VAR:SYMBOL=5497168&amp;VAR:INDEX=0"}</definedName>
    <definedName name="_55__FDSAUDITLINK__" localSheetId="2" hidden="1">{"fdsup://directions/FAT Viewer?action=UPDATE&amp;creator=factset&amp;DYN_ARGS=TRUE&amp;DOC_NAME=FAT:FQL_AUDITING_CLIENT_TEMPLATE.FAT&amp;display_string=Audit&amp;VAR:KEY=NWHWNMDOLS&amp;VAR:QUERY=RkVfVkFMVUFUSU9OKCdQQlBTJywnTUVBTicsJ0FOTlVBTCcsMjAxMSwwLCwsJycp&amp;WINDOW=FIRST_POPUP&amp;H","EIGHT=450&amp;WIDTH=450&amp;START_MAXIMIZED=FALSE&amp;VAR:CALENDAR=US&amp;VAR:SYMBOL=5497168&amp;VAR:INDEX=0"}</definedName>
    <definedName name="_55__FDSAUDITLINK__" hidden="1">{"fdsup://directions/FAT Viewer?action=UPDATE&amp;creator=factset&amp;DYN_ARGS=TRUE&amp;DOC_NAME=FAT:FQL_AUDITING_CLIENT_TEMPLATE.FAT&amp;display_string=Audit&amp;VAR:KEY=NWHWNMDOLS&amp;VAR:QUERY=RkVfVkFMVUFUSU9OKCdQQlBTJywnTUVBTicsJ0FOTlVBTCcsMjAxMSwwLCwsJycp&amp;WINDOW=FIRST_POPUP&amp;H","EIGHT=450&amp;WIDTH=450&amp;START_MAXIMIZED=FALSE&amp;VAR:CALENDAR=US&amp;VAR:SYMBOL=5497168&amp;VAR:INDEX=0"}</definedName>
    <definedName name="_550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551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552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553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554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555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556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557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558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559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56__FDSAUDITLINK__" localSheetId="6" hidden="1">{"fdsup://directions/FAT Viewer?action=UPDATE&amp;creator=factset&amp;DYN_ARGS=TRUE&amp;DOC_NAME=FAT:FQL_AUDITING_CLIENT_TEMPLATE.FAT&amp;display_string=Audit&amp;VAR:KEY=NWHWNMDOLS&amp;VAR:QUERY=RkVfVkFMVUFUSU9OKCdQQlBTJywnTUVBTicsJ0FOTlVBTCcsMjAxMSwwLCwsJycp&amp;WINDOW=FIRST_POPUP&amp;H","EIGHT=450&amp;WIDTH=450&amp;START_MAXIMIZED=FALSE&amp;VAR:CALENDAR=US&amp;VAR:SYMBOL=5497168&amp;VAR:INDEX=0"}</definedName>
    <definedName name="_56__FDSAUDITLINK__" localSheetId="8" hidden="1">{"fdsup://directions/FAT Viewer?action=UPDATE&amp;creator=factset&amp;DYN_ARGS=TRUE&amp;DOC_NAME=FAT:FQL_AUDITING_CLIENT_TEMPLATE.FAT&amp;display_string=Audit&amp;VAR:KEY=NWHWNMDOLS&amp;VAR:QUERY=RkVfVkFMVUFUSU9OKCdQQlBTJywnTUVBTicsJ0FOTlVBTCcsMjAxMSwwLCwsJycp&amp;WINDOW=FIRST_POPUP&amp;H","EIGHT=450&amp;WIDTH=450&amp;START_MAXIMIZED=FALSE&amp;VAR:CALENDAR=US&amp;VAR:SYMBOL=5497168&amp;VAR:INDEX=0"}</definedName>
    <definedName name="_56__FDSAUDITLINK__" localSheetId="2" hidden="1">{"fdsup://directions/FAT Viewer?action=UPDATE&amp;creator=factset&amp;DYN_ARGS=TRUE&amp;DOC_NAME=FAT:FQL_AUDITING_CLIENT_TEMPLATE.FAT&amp;display_string=Audit&amp;VAR:KEY=NWHWNMDOLS&amp;VAR:QUERY=RkVfVkFMVUFUSU9OKCdQQlBTJywnTUVBTicsJ0FOTlVBTCcsMjAxMSwwLCwsJycp&amp;WINDOW=FIRST_POPUP&amp;H","EIGHT=450&amp;WIDTH=450&amp;START_MAXIMIZED=FALSE&amp;VAR:CALENDAR=US&amp;VAR:SYMBOL=5497168&amp;VAR:INDEX=0"}</definedName>
    <definedName name="_56__FDSAUDITLINK__" hidden="1">{"fdsup://directions/FAT Viewer?action=UPDATE&amp;creator=factset&amp;DYN_ARGS=TRUE&amp;DOC_NAME=FAT:FQL_AUDITING_CLIENT_TEMPLATE.FAT&amp;display_string=Audit&amp;VAR:KEY=NWHWNMDOLS&amp;VAR:QUERY=RkVfVkFMVUFUSU9OKCdQQlBTJywnTUVBTicsJ0FOTlVBTCcsMjAxMSwwLCwsJycp&amp;WINDOW=FIRST_POPUP&amp;H","EIGHT=450&amp;WIDTH=450&amp;START_MAXIMIZED=FALSE&amp;VAR:CALENDAR=US&amp;VAR:SYMBOL=5497168&amp;VAR:INDEX=0"}</definedName>
    <definedName name="_560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561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562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563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564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565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566__FDSAUDITLINK__" hidden="1">{"fdsup://directions/FAT Viewer?action=UPDATE&amp;creator=factset&amp;DYN_ARGS=TRUE&amp;DOC_NAME=FAT:FQL_AUDITING_CLIENT_TEMPLATE.FAT&amp;display_string=Audit&amp;VAR:KEY=MZMZIRGRQD&amp;VAR:QUERY=RkZfREVCVChBTk4sMjAwOSk=&amp;WINDOW=FIRST_POPUP&amp;HEIGHT=450&amp;WIDTH=450&amp;START_MAXIMIZED=FALS","E&amp;VAR:CALENDAR=US&amp;VAR:SYMBOL=CMLP&amp;VAR:INDEX=0"}</definedName>
    <definedName name="_567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568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569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57__FDSAUDITLINK__" localSheetId="6" hidden="1">{"fdsup://directions/FAT Viewer?action=UPDATE&amp;creator=factset&amp;DYN_ARGS=TRUE&amp;DOC_NAME=FAT:FQL_AUDITING_CLIENT_TEMPLATE.FAT&amp;display_string=Audit&amp;VAR:KEY=XCTIDENSVI&amp;VAR:QUERY=RkVfVkFMVUFUSU9OKCdQQlBTJywnTUVBTicsJ0FOTlVBTCcsMjAxMCwwLCwsJycp&amp;WINDOW=FIRST_POPUP&amp;H","EIGHT=450&amp;WIDTH=450&amp;START_MAXIMIZED=FALSE&amp;VAR:CALENDAR=US&amp;VAR:SYMBOL=5497168&amp;VAR:INDEX=0"}</definedName>
    <definedName name="_57__FDSAUDITLINK__" localSheetId="8" hidden="1">{"fdsup://directions/FAT Viewer?action=UPDATE&amp;creator=factset&amp;DYN_ARGS=TRUE&amp;DOC_NAME=FAT:FQL_AUDITING_CLIENT_TEMPLATE.FAT&amp;display_string=Audit&amp;VAR:KEY=XCTIDENSVI&amp;VAR:QUERY=RkVfVkFMVUFUSU9OKCdQQlBTJywnTUVBTicsJ0FOTlVBTCcsMjAxMCwwLCwsJycp&amp;WINDOW=FIRST_POPUP&amp;H","EIGHT=450&amp;WIDTH=450&amp;START_MAXIMIZED=FALSE&amp;VAR:CALENDAR=US&amp;VAR:SYMBOL=5497168&amp;VAR:INDEX=0"}</definedName>
    <definedName name="_57__FDSAUDITLINK__" localSheetId="2" hidden="1">{"fdsup://directions/FAT Viewer?action=UPDATE&amp;creator=factset&amp;DYN_ARGS=TRUE&amp;DOC_NAME=FAT:FQL_AUDITING_CLIENT_TEMPLATE.FAT&amp;display_string=Audit&amp;VAR:KEY=XCTIDENSVI&amp;VAR:QUERY=RkVfVkFMVUFUSU9OKCdQQlBTJywnTUVBTicsJ0FOTlVBTCcsMjAxMCwwLCwsJycp&amp;WINDOW=FIRST_POPUP&amp;H","EIGHT=450&amp;WIDTH=450&amp;START_MAXIMIZED=FALSE&amp;VAR:CALENDAR=US&amp;VAR:SYMBOL=5497168&amp;VAR:INDEX=0"}</definedName>
    <definedName name="_57__FDSAUDITLINK__" hidden="1">{"fdsup://directions/FAT Viewer?action=UPDATE&amp;creator=factset&amp;DYN_ARGS=TRUE&amp;DOC_NAME=FAT:FQL_AUDITING_CLIENT_TEMPLATE.FAT&amp;display_string=Audit&amp;VAR:KEY=XCTIDENSVI&amp;VAR:QUERY=RkVfVkFMVUFUSU9OKCdQQlBTJywnTUVBTicsJ0FOTlVBTCcsMjAxMCwwLCwsJycp&amp;WINDOW=FIRST_POPUP&amp;H","EIGHT=450&amp;WIDTH=450&amp;START_MAXIMIZED=FALSE&amp;VAR:CALENDAR=US&amp;VAR:SYMBOL=5497168&amp;VAR:INDEX=0"}</definedName>
    <definedName name="_570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571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572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573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574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575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576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577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578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579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58__FDSAUDITLINK__" localSheetId="6" hidden="1">{"fdsup://directions/FAT Viewer?action=UPDATE&amp;creator=factset&amp;DYN_ARGS=TRUE&amp;DOC_NAME=FAT:FQL_AUDITING_CLIENT_TEMPLATE.FAT&amp;display_string=Audit&amp;VAR:KEY=XCTIDENSVI&amp;VAR:QUERY=RkVfVkFMVUFUSU9OKCdQQlBTJywnTUVBTicsJ0FOTlVBTCcsMjAxMCwwLCwsJycp&amp;WINDOW=FIRST_POPUP&amp;H","EIGHT=450&amp;WIDTH=450&amp;START_MAXIMIZED=FALSE&amp;VAR:CALENDAR=US&amp;VAR:SYMBOL=5497168&amp;VAR:INDEX=0"}</definedName>
    <definedName name="_58__FDSAUDITLINK__" localSheetId="8" hidden="1">{"fdsup://directions/FAT Viewer?action=UPDATE&amp;creator=factset&amp;DYN_ARGS=TRUE&amp;DOC_NAME=FAT:FQL_AUDITING_CLIENT_TEMPLATE.FAT&amp;display_string=Audit&amp;VAR:KEY=XCTIDENSVI&amp;VAR:QUERY=RkVfVkFMVUFUSU9OKCdQQlBTJywnTUVBTicsJ0FOTlVBTCcsMjAxMCwwLCwsJycp&amp;WINDOW=FIRST_POPUP&amp;H","EIGHT=450&amp;WIDTH=450&amp;START_MAXIMIZED=FALSE&amp;VAR:CALENDAR=US&amp;VAR:SYMBOL=5497168&amp;VAR:INDEX=0"}</definedName>
    <definedName name="_58__FDSAUDITLINK__" localSheetId="2" hidden="1">{"fdsup://directions/FAT Viewer?action=UPDATE&amp;creator=factset&amp;DYN_ARGS=TRUE&amp;DOC_NAME=FAT:FQL_AUDITING_CLIENT_TEMPLATE.FAT&amp;display_string=Audit&amp;VAR:KEY=XCTIDENSVI&amp;VAR:QUERY=RkVfVkFMVUFUSU9OKCdQQlBTJywnTUVBTicsJ0FOTlVBTCcsMjAxMCwwLCwsJycp&amp;WINDOW=FIRST_POPUP&amp;H","EIGHT=450&amp;WIDTH=450&amp;START_MAXIMIZED=FALSE&amp;VAR:CALENDAR=US&amp;VAR:SYMBOL=5497168&amp;VAR:INDEX=0"}</definedName>
    <definedName name="_58__FDSAUDITLINK__" hidden="1">{"fdsup://directions/FAT Viewer?action=UPDATE&amp;creator=factset&amp;DYN_ARGS=TRUE&amp;DOC_NAME=FAT:FQL_AUDITING_CLIENT_TEMPLATE.FAT&amp;display_string=Audit&amp;VAR:KEY=XCTIDENSVI&amp;VAR:QUERY=RkVfVkFMVUFUSU9OKCdQQlBTJywnTUVBTicsJ0FOTlVBTCcsMjAxMCwwLCwsJycp&amp;WINDOW=FIRST_POPUP&amp;H","EIGHT=450&amp;WIDTH=450&amp;START_MAXIMIZED=FALSE&amp;VAR:CALENDAR=US&amp;VAR:SYMBOL=5497168&amp;VAR:INDEX=0"}</definedName>
    <definedName name="_580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581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582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583__FDSAUDITLINK__" hidden="1">{"fdsup://directions/FAT Viewer?action=UPDATE&amp;creator=factset&amp;DYN_ARGS=TRUE&amp;DOC_NAME=FAT:FQL_AUDITING_CLIENT_TEMPLATE.FAT&amp;display_string=Audit&amp;VAR:KEY=MZMZIRGRQD&amp;VAR:QUERY=RkZfREVCVChBTk4sMjAwOSk=&amp;WINDOW=FIRST_POPUP&amp;HEIGHT=450&amp;WIDTH=450&amp;START_MAXIMIZED=FALS","E&amp;VAR:CALENDAR=US&amp;VAR:SYMBOL=CMLP&amp;VAR:INDEX=0"}</definedName>
    <definedName name="_584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585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586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587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588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589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59__FDSAUDITLINK__" localSheetId="6" hidden="1">{"fdsup://directions/FAT Viewer?action=UPDATE&amp;creator=factset&amp;DYN_ARGS=TRUE&amp;DOC_NAME=FAT:FQL_AUDITING_CLIENT_TEMPLATE.FAT&amp;display_string=Audit&amp;VAR:KEY=DODUZQZWFK&amp;VAR:QUERY=RkVfVkFMVUFUSU9OKCdQQlBTJywnTUVBTicsJ0FOTlVBTCcsMjAwOSwwLCwsJycp&amp;WINDOW=FIRST_POPUP&amp;H","EIGHT=450&amp;WIDTH=450&amp;START_MAXIMIZED=FALSE&amp;VAR:CALENDAR=US&amp;VAR:SYMBOL=5497168&amp;VAR:INDEX=0"}</definedName>
    <definedName name="_59__FDSAUDITLINK__" localSheetId="8" hidden="1">{"fdsup://directions/FAT Viewer?action=UPDATE&amp;creator=factset&amp;DYN_ARGS=TRUE&amp;DOC_NAME=FAT:FQL_AUDITING_CLIENT_TEMPLATE.FAT&amp;display_string=Audit&amp;VAR:KEY=DODUZQZWFK&amp;VAR:QUERY=RkVfVkFMVUFUSU9OKCdQQlBTJywnTUVBTicsJ0FOTlVBTCcsMjAwOSwwLCwsJycp&amp;WINDOW=FIRST_POPUP&amp;H","EIGHT=450&amp;WIDTH=450&amp;START_MAXIMIZED=FALSE&amp;VAR:CALENDAR=US&amp;VAR:SYMBOL=5497168&amp;VAR:INDEX=0"}</definedName>
    <definedName name="_59__FDSAUDITLINK__" localSheetId="2" hidden="1">{"fdsup://directions/FAT Viewer?action=UPDATE&amp;creator=factset&amp;DYN_ARGS=TRUE&amp;DOC_NAME=FAT:FQL_AUDITING_CLIENT_TEMPLATE.FAT&amp;display_string=Audit&amp;VAR:KEY=DODUZQZWFK&amp;VAR:QUERY=RkVfVkFMVUFUSU9OKCdQQlBTJywnTUVBTicsJ0FOTlVBTCcsMjAwOSwwLCwsJycp&amp;WINDOW=FIRST_POPUP&amp;H","EIGHT=450&amp;WIDTH=450&amp;START_MAXIMIZED=FALSE&amp;VAR:CALENDAR=US&amp;VAR:SYMBOL=5497168&amp;VAR:INDEX=0"}</definedName>
    <definedName name="_59__FDSAUDITLINK__" hidden="1">{"fdsup://directions/FAT Viewer?action=UPDATE&amp;creator=factset&amp;DYN_ARGS=TRUE&amp;DOC_NAME=FAT:FQL_AUDITING_CLIENT_TEMPLATE.FAT&amp;display_string=Audit&amp;VAR:KEY=DODUZQZWFK&amp;VAR:QUERY=RkVfVkFMVUFUSU9OKCdQQlBTJywnTUVBTicsJ0FOTlVBTCcsMjAwOSwwLCwsJycp&amp;WINDOW=FIRST_POPUP&amp;H","EIGHT=450&amp;WIDTH=450&amp;START_MAXIMIZED=FALSE&amp;VAR:CALENDAR=US&amp;VAR:SYMBOL=5497168&amp;VAR:INDEX=0"}</definedName>
    <definedName name="_590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591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592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593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594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595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596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597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598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599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6__FDSAUDITLINK__" localSheetId="6" hidden="1">{"fdsup://directions/FAT Viewer?action=UPDATE&amp;creator=factset&amp;DYN_ARGS=TRUE&amp;DOC_NAME=FAT:FQL_AUDITING_CLIENT_TEMPLATE.FAT&amp;display_string=Audit&amp;VAR:KEY=LSZKFETWBY&amp;VAR:QUERY=RkVfVkFMVUFUSU9OKCdQQlBTJywnTUVBTicsJ0FOTlVBTCcsMjAxMSwwLCwsJycp&amp;WINDOW=FIRST_POPUP&amp;H","EIGHT=450&amp;WIDTH=450&amp;START_MAXIMIZED=FALSE&amp;VAR:CALENDAR=FIVEDAY&amp;VAR:SYMBOL=648963&amp;VAR:INDEX=0"}</definedName>
    <definedName name="_6__FDSAUDITLINK__" localSheetId="8" hidden="1">{"fdsup://directions/FAT Viewer?action=UPDATE&amp;creator=factset&amp;DYN_ARGS=TRUE&amp;DOC_NAME=FAT:FQL_AUDITING_CLIENT_TEMPLATE.FAT&amp;display_string=Audit&amp;VAR:KEY=LSZKFETWBY&amp;VAR:QUERY=RkVfVkFMVUFUSU9OKCdQQlBTJywnTUVBTicsJ0FOTlVBTCcsMjAxMSwwLCwsJycp&amp;WINDOW=FIRST_POPUP&amp;H","EIGHT=450&amp;WIDTH=450&amp;START_MAXIMIZED=FALSE&amp;VAR:CALENDAR=FIVEDAY&amp;VAR:SYMBOL=648963&amp;VAR:INDEX=0"}</definedName>
    <definedName name="_6__FDSAUDITLINK__" localSheetId="2" hidden="1">{"fdsup://directions/FAT Viewer?action=UPDATE&amp;creator=factset&amp;DYN_ARGS=TRUE&amp;DOC_NAME=FAT:FQL_AUDITING_CLIENT_TEMPLATE.FAT&amp;display_string=Audit&amp;VAR:KEY=LSZKFETWBY&amp;VAR:QUERY=RkVfVkFMVUFUSU9OKCdQQlBTJywnTUVBTicsJ0FOTlVBTCcsMjAxMSwwLCwsJycp&amp;WINDOW=FIRST_POPUP&amp;H","EIGHT=450&amp;WIDTH=450&amp;START_MAXIMIZED=FALSE&amp;VAR:CALENDAR=FIVEDAY&amp;VAR:SYMBOL=648963&amp;VAR:INDEX=0"}</definedName>
    <definedName name="_6__FDSAUDITLINK__" hidden="1">{"fdsup://directions/FAT Viewer?action=UPDATE&amp;creator=factset&amp;DYN_ARGS=TRUE&amp;DOC_NAME=FAT:FQL_AUDITING_CLIENT_TEMPLATE.FAT&amp;display_string=Audit&amp;VAR:KEY=LSZKFETWBY&amp;VAR:QUERY=RkVfVkFMVUFUSU9OKCdQQlBTJywnTUVBTicsJ0FOTlVBTCcsMjAxMSwwLCwsJycp&amp;WINDOW=FIRST_POPUP&amp;H","EIGHT=450&amp;WIDTH=450&amp;START_MAXIMIZED=FALSE&amp;VAR:CALENDAR=FIVEDAY&amp;VAR:SYMBOL=648963&amp;VAR:INDEX=0"}</definedName>
    <definedName name="_60__FDSAUDITLINK__" localSheetId="6" hidden="1">{"fdsup://directions/FAT Viewer?action=UPDATE&amp;creator=factset&amp;DYN_ARGS=TRUE&amp;DOC_NAME=FAT:FQL_AUDITING_CLIENT_TEMPLATE.FAT&amp;display_string=Audit&amp;VAR:KEY=DODUZQZWFK&amp;VAR:QUERY=RkVfVkFMVUFUSU9OKCdQQlBTJywnTUVBTicsJ0FOTlVBTCcsMjAwOSwwLCwsJycp&amp;WINDOW=FIRST_POPUP&amp;H","EIGHT=450&amp;WIDTH=450&amp;START_MAXIMIZED=FALSE&amp;VAR:CALENDAR=US&amp;VAR:SYMBOL=5497168&amp;VAR:INDEX=0"}</definedName>
    <definedName name="_60__FDSAUDITLINK__" localSheetId="8" hidden="1">{"fdsup://directions/FAT Viewer?action=UPDATE&amp;creator=factset&amp;DYN_ARGS=TRUE&amp;DOC_NAME=FAT:FQL_AUDITING_CLIENT_TEMPLATE.FAT&amp;display_string=Audit&amp;VAR:KEY=DODUZQZWFK&amp;VAR:QUERY=RkVfVkFMVUFUSU9OKCdQQlBTJywnTUVBTicsJ0FOTlVBTCcsMjAwOSwwLCwsJycp&amp;WINDOW=FIRST_POPUP&amp;H","EIGHT=450&amp;WIDTH=450&amp;START_MAXIMIZED=FALSE&amp;VAR:CALENDAR=US&amp;VAR:SYMBOL=5497168&amp;VAR:INDEX=0"}</definedName>
    <definedName name="_60__FDSAUDITLINK__" localSheetId="2" hidden="1">{"fdsup://directions/FAT Viewer?action=UPDATE&amp;creator=factset&amp;DYN_ARGS=TRUE&amp;DOC_NAME=FAT:FQL_AUDITING_CLIENT_TEMPLATE.FAT&amp;display_string=Audit&amp;VAR:KEY=DODUZQZWFK&amp;VAR:QUERY=RkVfVkFMVUFUSU9OKCdQQlBTJywnTUVBTicsJ0FOTlVBTCcsMjAwOSwwLCwsJycp&amp;WINDOW=FIRST_POPUP&amp;H","EIGHT=450&amp;WIDTH=450&amp;START_MAXIMIZED=FALSE&amp;VAR:CALENDAR=US&amp;VAR:SYMBOL=5497168&amp;VAR:INDEX=0"}</definedName>
    <definedName name="_60__FDSAUDITLINK__" hidden="1">{"fdsup://directions/FAT Viewer?action=UPDATE&amp;creator=factset&amp;DYN_ARGS=TRUE&amp;DOC_NAME=FAT:FQL_AUDITING_CLIENT_TEMPLATE.FAT&amp;display_string=Audit&amp;VAR:KEY=DODUZQZWFK&amp;VAR:QUERY=RkVfVkFMVUFUSU9OKCdQQlBTJywnTUVBTicsJ0FOTlVBTCcsMjAwOSwwLCwsJycp&amp;WINDOW=FIRST_POPUP&amp;H","EIGHT=450&amp;WIDTH=450&amp;START_MAXIMIZED=FALSE&amp;VAR:CALENDAR=US&amp;VAR:SYMBOL=5497168&amp;VAR:INDEX=0"}</definedName>
    <definedName name="_600__FDSAUDITLINK__" hidden="1">{"fdsup://directions/FAT Viewer?action=UPDATE&amp;creator=factset&amp;DYN_ARGS=TRUE&amp;DOC_NAME=FAT:FQL_AUDITING_CLIENT_TEMPLATE.FAT&amp;display_string=Audit&amp;VAR:KEY=MZMZIRGRQD&amp;VAR:QUERY=RkZfREVCVChBTk4sMjAwOSk=&amp;WINDOW=FIRST_POPUP&amp;HEIGHT=450&amp;WIDTH=450&amp;START_MAXIMIZED=FALS","E&amp;VAR:CALENDAR=US&amp;VAR:SYMBOL=CMLP&amp;VAR:INDEX=0"}</definedName>
    <definedName name="_601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602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603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604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605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606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607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608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609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61__FDSAUDITLINK__" localSheetId="6" hidden="1">{"fdsup://directions/FAT Viewer?action=UPDATE&amp;creator=factset&amp;DYN_ARGS=TRUE&amp;DOC_NAME=FAT:FQL_AUDITING_CLIENT_TEMPLATE.FAT&amp;display_string=Audit&amp;VAR:KEY=RCNCLSNQFI&amp;VAR:QUERY=RkVfVkFMVUFUSU9OKCdQQlBTJywnTUVBTicsJ0FOTlVBTCcsMjAxMiwwLCwsJycp&amp;WINDOW=FIRST_POPUP&amp;H","EIGHT=450&amp;WIDTH=450&amp;START_MAXIMIZED=FALSE&amp;VAR:CALENDAR=US&amp;VAR:INDEX=0"}</definedName>
    <definedName name="_61__FDSAUDITLINK__" localSheetId="8" hidden="1">{"fdsup://directions/FAT Viewer?action=UPDATE&amp;creator=factset&amp;DYN_ARGS=TRUE&amp;DOC_NAME=FAT:FQL_AUDITING_CLIENT_TEMPLATE.FAT&amp;display_string=Audit&amp;VAR:KEY=RCNCLSNQFI&amp;VAR:QUERY=RkVfVkFMVUFUSU9OKCdQQlBTJywnTUVBTicsJ0FOTlVBTCcsMjAxMiwwLCwsJycp&amp;WINDOW=FIRST_POPUP&amp;H","EIGHT=450&amp;WIDTH=450&amp;START_MAXIMIZED=FALSE&amp;VAR:CALENDAR=US&amp;VAR:INDEX=0"}</definedName>
    <definedName name="_61__FDSAUDITLINK__" localSheetId="2" hidden="1">{"fdsup://directions/FAT Viewer?action=UPDATE&amp;creator=factset&amp;DYN_ARGS=TRUE&amp;DOC_NAME=FAT:FQL_AUDITING_CLIENT_TEMPLATE.FAT&amp;display_string=Audit&amp;VAR:KEY=RCNCLSNQFI&amp;VAR:QUERY=RkVfVkFMVUFUSU9OKCdQQlBTJywnTUVBTicsJ0FOTlVBTCcsMjAxMiwwLCwsJycp&amp;WINDOW=FIRST_POPUP&amp;H","EIGHT=450&amp;WIDTH=450&amp;START_MAXIMIZED=FALSE&amp;VAR:CALENDAR=US&amp;VAR:INDEX=0"}</definedName>
    <definedName name="_61__FDSAUDITLINK__" hidden="1">{"fdsup://directions/FAT Viewer?action=UPDATE&amp;creator=factset&amp;DYN_ARGS=TRUE&amp;DOC_NAME=FAT:FQL_AUDITING_CLIENT_TEMPLATE.FAT&amp;display_string=Audit&amp;VAR:KEY=RCNCLSNQFI&amp;VAR:QUERY=RkVfVkFMVUFUSU9OKCdQQlBTJywnTUVBTicsJ0FOTlVBTCcsMjAxMiwwLCwsJycp&amp;WINDOW=FIRST_POPUP&amp;H","EIGHT=450&amp;WIDTH=450&amp;START_MAXIMIZED=FALSE&amp;VAR:CALENDAR=US&amp;VAR:INDEX=0"}</definedName>
    <definedName name="_610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611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612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613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614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615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616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617__FDSAUDITLINK__" hidden="1">{"fdsup://directions/FAT Viewer?action=UPDATE&amp;creator=factset&amp;DYN_ARGS=TRUE&amp;DOC_NAME=FAT:FQL_AUDITING_CLIENT_TEMPLATE.FAT&amp;display_string=Audit&amp;VAR:KEY=MZMZIRGRQD&amp;VAR:QUERY=RkZfREVCVChBTk4sMjAwOSk=&amp;WINDOW=FIRST_POPUP&amp;HEIGHT=450&amp;WIDTH=450&amp;START_MAXIMIZED=FALS","E&amp;VAR:CALENDAR=US&amp;VAR:SYMBOL=CMLP&amp;VAR:INDEX=0"}</definedName>
    <definedName name="_618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619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62__FDSAUDITLINK__" localSheetId="6" hidden="1">{"fdsup://directions/FAT Viewer?action=UPDATE&amp;creator=factset&amp;DYN_ARGS=TRUE&amp;DOC_NAME=FAT:FQL_AUDITING_CLIENT_TEMPLATE.FAT&amp;display_string=Audit&amp;VAR:KEY=ZUXAFKPSPW&amp;VAR:QUERY=RkVfVkFMVUFUSU9OKCdQQlBTJywnTUVBTicsJ0FOTlVBTCcsMjAxMSwwLCwsJycp&amp;WINDOW=FIRST_POPUP&amp;H","EIGHT=450&amp;WIDTH=450&amp;START_MAXIMIZED=FALSE&amp;VAR:CALENDAR=US&amp;VAR:INDEX=0"}</definedName>
    <definedName name="_62__FDSAUDITLINK__" localSheetId="8" hidden="1">{"fdsup://directions/FAT Viewer?action=UPDATE&amp;creator=factset&amp;DYN_ARGS=TRUE&amp;DOC_NAME=FAT:FQL_AUDITING_CLIENT_TEMPLATE.FAT&amp;display_string=Audit&amp;VAR:KEY=ZUXAFKPSPW&amp;VAR:QUERY=RkVfVkFMVUFUSU9OKCdQQlBTJywnTUVBTicsJ0FOTlVBTCcsMjAxMSwwLCwsJycp&amp;WINDOW=FIRST_POPUP&amp;H","EIGHT=450&amp;WIDTH=450&amp;START_MAXIMIZED=FALSE&amp;VAR:CALENDAR=US&amp;VAR:INDEX=0"}</definedName>
    <definedName name="_62__FDSAUDITLINK__" localSheetId="2" hidden="1">{"fdsup://directions/FAT Viewer?action=UPDATE&amp;creator=factset&amp;DYN_ARGS=TRUE&amp;DOC_NAME=FAT:FQL_AUDITING_CLIENT_TEMPLATE.FAT&amp;display_string=Audit&amp;VAR:KEY=ZUXAFKPSPW&amp;VAR:QUERY=RkVfVkFMVUFUSU9OKCdQQlBTJywnTUVBTicsJ0FOTlVBTCcsMjAxMSwwLCwsJycp&amp;WINDOW=FIRST_POPUP&amp;H","EIGHT=450&amp;WIDTH=450&amp;START_MAXIMIZED=FALSE&amp;VAR:CALENDAR=US&amp;VAR:INDEX=0"}</definedName>
    <definedName name="_62__FDSAUDITLINK__" hidden="1">{"fdsup://directions/FAT Viewer?action=UPDATE&amp;creator=factset&amp;DYN_ARGS=TRUE&amp;DOC_NAME=FAT:FQL_AUDITING_CLIENT_TEMPLATE.FAT&amp;display_string=Audit&amp;VAR:KEY=ZUXAFKPSPW&amp;VAR:QUERY=RkVfVkFMVUFUSU9OKCdQQlBTJywnTUVBTicsJ0FOTlVBTCcsMjAxMSwwLCwsJycp&amp;WINDOW=FIRST_POPUP&amp;H","EIGHT=450&amp;WIDTH=450&amp;START_MAXIMIZED=FALSE&amp;VAR:CALENDAR=US&amp;VAR:INDEX=0"}</definedName>
    <definedName name="_620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621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622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623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624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625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626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627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628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629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63__FDSAUDITLINK__" localSheetId="6" hidden="1">{"fdsup://directions/FAT Viewer?action=UPDATE&amp;creator=factset&amp;DYN_ARGS=TRUE&amp;DOC_NAME=FAT:FQL_AUDITING_CLIENT_TEMPLATE.FAT&amp;display_string=Audit&amp;VAR:KEY=NUZSVWFEZC&amp;VAR:QUERY=RkVfVkFMVUFUSU9OKCdQQlBTJywnTUVBTicsJ0FOTlVBTCcsMjAxMCwwLCwsJycp&amp;WINDOW=FIRST_POPUP&amp;H","EIGHT=450&amp;WIDTH=450&amp;START_MAXIMIZED=FALSE&amp;VAR:CALENDAR=US&amp;VAR:INDEX=0"}</definedName>
    <definedName name="_63__FDSAUDITLINK__" localSheetId="8" hidden="1">{"fdsup://directions/FAT Viewer?action=UPDATE&amp;creator=factset&amp;DYN_ARGS=TRUE&amp;DOC_NAME=FAT:FQL_AUDITING_CLIENT_TEMPLATE.FAT&amp;display_string=Audit&amp;VAR:KEY=NUZSVWFEZC&amp;VAR:QUERY=RkVfVkFMVUFUSU9OKCdQQlBTJywnTUVBTicsJ0FOTlVBTCcsMjAxMCwwLCwsJycp&amp;WINDOW=FIRST_POPUP&amp;H","EIGHT=450&amp;WIDTH=450&amp;START_MAXIMIZED=FALSE&amp;VAR:CALENDAR=US&amp;VAR:INDEX=0"}</definedName>
    <definedName name="_63__FDSAUDITLINK__" localSheetId="2" hidden="1">{"fdsup://directions/FAT Viewer?action=UPDATE&amp;creator=factset&amp;DYN_ARGS=TRUE&amp;DOC_NAME=FAT:FQL_AUDITING_CLIENT_TEMPLATE.FAT&amp;display_string=Audit&amp;VAR:KEY=NUZSVWFEZC&amp;VAR:QUERY=RkVfVkFMVUFUSU9OKCdQQlBTJywnTUVBTicsJ0FOTlVBTCcsMjAxMCwwLCwsJycp&amp;WINDOW=FIRST_POPUP&amp;H","EIGHT=450&amp;WIDTH=450&amp;START_MAXIMIZED=FALSE&amp;VAR:CALENDAR=US&amp;VAR:INDEX=0"}</definedName>
    <definedName name="_63__FDSAUDITLINK__" hidden="1">{"fdsup://directions/FAT Viewer?action=UPDATE&amp;creator=factset&amp;DYN_ARGS=TRUE&amp;DOC_NAME=FAT:FQL_AUDITING_CLIENT_TEMPLATE.FAT&amp;display_string=Audit&amp;VAR:KEY=NUZSVWFEZC&amp;VAR:QUERY=RkVfVkFMVUFUSU9OKCdQQlBTJywnTUVBTicsJ0FOTlVBTCcsMjAxMCwwLCwsJycp&amp;WINDOW=FIRST_POPUP&amp;H","EIGHT=450&amp;WIDTH=450&amp;START_MAXIMIZED=FALSE&amp;VAR:CALENDAR=US&amp;VAR:INDEX=0"}</definedName>
    <definedName name="_630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631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632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633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634__FDSAUDITLINK__" hidden="1">{"fdsup://directions/FAT Viewer?action=UPDATE&amp;creator=factset&amp;DYN_ARGS=TRUE&amp;DOC_NAME=FAT:FQL_AUDITING_CLIENT_TEMPLATE.FAT&amp;display_string=Audit&amp;VAR:KEY=MZMZIRGRQD&amp;VAR:QUERY=RkZfREVCVChBTk4sMjAwOSk=&amp;WINDOW=FIRST_POPUP&amp;HEIGHT=450&amp;WIDTH=450&amp;START_MAXIMIZED=FALS","E&amp;VAR:CALENDAR=US&amp;VAR:SYMBOL=CMLP&amp;VAR:INDEX=0"}</definedName>
    <definedName name="_635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636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637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638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639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64__FDSAUDITLINK__" localSheetId="6" hidden="1">{"fdsup://directions/FAT Viewer?action=UPDATE&amp;creator=factset&amp;DYN_ARGS=TRUE&amp;DOC_NAME=FAT:FQL_AUDITING_CLIENT_TEMPLATE.FAT&amp;display_string=Audit&amp;VAR:KEY=NAHWJCVMXQ&amp;VAR:QUERY=RkVfVkFMVUFUSU9OKCdQQlBTJywnTUVBTicsJ0FOTlVBTCcsMjAwOSwwLCwsJycp&amp;WINDOW=FIRST_POPUP&amp;H","EIGHT=450&amp;WIDTH=450&amp;START_MAXIMIZED=FALSE&amp;VAR:CALENDAR=US&amp;VAR:INDEX=0"}</definedName>
    <definedName name="_64__FDSAUDITLINK__" localSheetId="8" hidden="1">{"fdsup://directions/FAT Viewer?action=UPDATE&amp;creator=factset&amp;DYN_ARGS=TRUE&amp;DOC_NAME=FAT:FQL_AUDITING_CLIENT_TEMPLATE.FAT&amp;display_string=Audit&amp;VAR:KEY=NAHWJCVMXQ&amp;VAR:QUERY=RkVfVkFMVUFUSU9OKCdQQlBTJywnTUVBTicsJ0FOTlVBTCcsMjAwOSwwLCwsJycp&amp;WINDOW=FIRST_POPUP&amp;H","EIGHT=450&amp;WIDTH=450&amp;START_MAXIMIZED=FALSE&amp;VAR:CALENDAR=US&amp;VAR:INDEX=0"}</definedName>
    <definedName name="_64__FDSAUDITLINK__" localSheetId="2" hidden="1">{"fdsup://directions/FAT Viewer?action=UPDATE&amp;creator=factset&amp;DYN_ARGS=TRUE&amp;DOC_NAME=FAT:FQL_AUDITING_CLIENT_TEMPLATE.FAT&amp;display_string=Audit&amp;VAR:KEY=NAHWJCVMXQ&amp;VAR:QUERY=RkVfVkFMVUFUSU9OKCdQQlBTJywnTUVBTicsJ0FOTlVBTCcsMjAwOSwwLCwsJycp&amp;WINDOW=FIRST_POPUP&amp;H","EIGHT=450&amp;WIDTH=450&amp;START_MAXIMIZED=FALSE&amp;VAR:CALENDAR=US&amp;VAR:INDEX=0"}</definedName>
    <definedName name="_64__FDSAUDITLINK__" hidden="1">{"fdsup://directions/FAT Viewer?action=UPDATE&amp;creator=factset&amp;DYN_ARGS=TRUE&amp;DOC_NAME=FAT:FQL_AUDITING_CLIENT_TEMPLATE.FAT&amp;display_string=Audit&amp;VAR:KEY=NAHWJCVMXQ&amp;VAR:QUERY=RkVfVkFMVUFUSU9OKCdQQlBTJywnTUVBTicsJ0FOTlVBTCcsMjAwOSwwLCwsJycp&amp;WINDOW=FIRST_POPUP&amp;H","EIGHT=450&amp;WIDTH=450&amp;START_MAXIMIZED=FALSE&amp;VAR:CALENDAR=US&amp;VAR:INDEX=0"}</definedName>
    <definedName name="_640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641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642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643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644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645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646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647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648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649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65__FDSAUDITLINK__" localSheetId="6" hidden="1">{"fdsup://directions/FAT Viewer?action=UPDATE&amp;creator=factset&amp;DYN_ARGS=TRUE&amp;DOC_NAME=FAT:FQL_AUDITING_CLIENT_TEMPLATE.FAT&amp;display_string=Audit&amp;VAR:KEY=DGPMDIBWVA&amp;VAR:QUERY=RkVfVkFMVUFUSU9OKCdQQlBTJywnTUVBTicsJ0FOTlVBTCcsMjAxMCwwLCwsJycp&amp;WINDOW=FIRST_POPUP&amp;H","EIGHT=450&amp;WIDTH=450&amp;START_MAXIMIZED=FALSE&amp;VAR:CALENDAR=US&amp;VAR:SYMBOL=5497168&amp;VAR:INDEX=0"}</definedName>
    <definedName name="_65__FDSAUDITLINK__" localSheetId="8" hidden="1">{"fdsup://directions/FAT Viewer?action=UPDATE&amp;creator=factset&amp;DYN_ARGS=TRUE&amp;DOC_NAME=FAT:FQL_AUDITING_CLIENT_TEMPLATE.FAT&amp;display_string=Audit&amp;VAR:KEY=DGPMDIBWVA&amp;VAR:QUERY=RkVfVkFMVUFUSU9OKCdQQlBTJywnTUVBTicsJ0FOTlVBTCcsMjAxMCwwLCwsJycp&amp;WINDOW=FIRST_POPUP&amp;H","EIGHT=450&amp;WIDTH=450&amp;START_MAXIMIZED=FALSE&amp;VAR:CALENDAR=US&amp;VAR:SYMBOL=5497168&amp;VAR:INDEX=0"}</definedName>
    <definedName name="_65__FDSAUDITLINK__" localSheetId="2" hidden="1">{"fdsup://directions/FAT Viewer?action=UPDATE&amp;creator=factset&amp;DYN_ARGS=TRUE&amp;DOC_NAME=FAT:FQL_AUDITING_CLIENT_TEMPLATE.FAT&amp;display_string=Audit&amp;VAR:KEY=DGPMDIBWVA&amp;VAR:QUERY=RkVfVkFMVUFUSU9OKCdQQlBTJywnTUVBTicsJ0FOTlVBTCcsMjAxMCwwLCwsJycp&amp;WINDOW=FIRST_POPUP&amp;H","EIGHT=450&amp;WIDTH=450&amp;START_MAXIMIZED=FALSE&amp;VAR:CALENDAR=US&amp;VAR:SYMBOL=5497168&amp;VAR:INDEX=0"}</definedName>
    <definedName name="_65__FDSAUDITLINK__" hidden="1">{"fdsup://directions/FAT Viewer?action=UPDATE&amp;creator=factset&amp;DYN_ARGS=TRUE&amp;DOC_NAME=FAT:FQL_AUDITING_CLIENT_TEMPLATE.FAT&amp;display_string=Audit&amp;VAR:KEY=DGPMDIBWVA&amp;VAR:QUERY=RkVfVkFMVUFUSU9OKCdQQlBTJywnTUVBTicsJ0FOTlVBTCcsMjAxMCwwLCwsJycp&amp;WINDOW=FIRST_POPUP&amp;H","EIGHT=450&amp;WIDTH=450&amp;START_MAXIMIZED=FALSE&amp;VAR:CALENDAR=US&amp;VAR:SYMBOL=5497168&amp;VAR:INDEX=0"}</definedName>
    <definedName name="_650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651__FDSAUDITLINK__" hidden="1">{"fdsup://directions/FAT Viewer?action=UPDATE&amp;creator=factset&amp;DYN_ARGS=TRUE&amp;DOC_NAME=FAT:FQL_AUDITING_CLIENT_TEMPLATE.FAT&amp;display_string=Audit&amp;VAR:KEY=MZMZIRGRQD&amp;VAR:QUERY=RkZfREVCVChBTk4sMjAwOSk=&amp;WINDOW=FIRST_POPUP&amp;HEIGHT=450&amp;WIDTH=450&amp;START_MAXIMIZED=FALS","E&amp;VAR:CALENDAR=US&amp;VAR:SYMBOL=CMLP&amp;VAR:INDEX=0"}</definedName>
    <definedName name="_652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653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654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655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656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657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658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659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66__FDSAUDITLINK__" localSheetId="6" hidden="1">{"fdsup://directions/FAT Viewer?action=UPDATE&amp;creator=factset&amp;DYN_ARGS=TRUE&amp;DOC_NAME=FAT:FQL_AUDITING_CLIENT_TEMPLATE.FAT&amp;display_string=Audit&amp;VAR:KEY=DGPMDIBWVA&amp;VAR:QUERY=RkVfVkFMVUFUSU9OKCdQQlBTJywnTUVBTicsJ0FOTlVBTCcsMjAxMCwwLCwsJycp&amp;WINDOW=FIRST_POPUP&amp;H","EIGHT=450&amp;WIDTH=450&amp;START_MAXIMIZED=FALSE&amp;VAR:CALENDAR=US&amp;VAR:SYMBOL=5497168&amp;VAR:INDEX=0"}</definedName>
    <definedName name="_66__FDSAUDITLINK__" localSheetId="8" hidden="1">{"fdsup://directions/FAT Viewer?action=UPDATE&amp;creator=factset&amp;DYN_ARGS=TRUE&amp;DOC_NAME=FAT:FQL_AUDITING_CLIENT_TEMPLATE.FAT&amp;display_string=Audit&amp;VAR:KEY=DGPMDIBWVA&amp;VAR:QUERY=RkVfVkFMVUFUSU9OKCdQQlBTJywnTUVBTicsJ0FOTlVBTCcsMjAxMCwwLCwsJycp&amp;WINDOW=FIRST_POPUP&amp;H","EIGHT=450&amp;WIDTH=450&amp;START_MAXIMIZED=FALSE&amp;VAR:CALENDAR=US&amp;VAR:SYMBOL=5497168&amp;VAR:INDEX=0"}</definedName>
    <definedName name="_66__FDSAUDITLINK__" localSheetId="2" hidden="1">{"fdsup://directions/FAT Viewer?action=UPDATE&amp;creator=factset&amp;DYN_ARGS=TRUE&amp;DOC_NAME=FAT:FQL_AUDITING_CLIENT_TEMPLATE.FAT&amp;display_string=Audit&amp;VAR:KEY=DGPMDIBWVA&amp;VAR:QUERY=RkVfVkFMVUFUSU9OKCdQQlBTJywnTUVBTicsJ0FOTlVBTCcsMjAxMCwwLCwsJycp&amp;WINDOW=FIRST_POPUP&amp;H","EIGHT=450&amp;WIDTH=450&amp;START_MAXIMIZED=FALSE&amp;VAR:CALENDAR=US&amp;VAR:SYMBOL=5497168&amp;VAR:INDEX=0"}</definedName>
    <definedName name="_66__FDSAUDITLINK__" hidden="1">{"fdsup://directions/FAT Viewer?action=UPDATE&amp;creator=factset&amp;DYN_ARGS=TRUE&amp;DOC_NAME=FAT:FQL_AUDITING_CLIENT_TEMPLATE.FAT&amp;display_string=Audit&amp;VAR:KEY=DGPMDIBWVA&amp;VAR:QUERY=RkVfVkFMVUFUSU9OKCdQQlBTJywnTUVBTicsJ0FOTlVBTCcsMjAxMCwwLCwsJycp&amp;WINDOW=FIRST_POPUP&amp;H","EIGHT=450&amp;WIDTH=450&amp;START_MAXIMIZED=FALSE&amp;VAR:CALENDAR=US&amp;VAR:SYMBOL=5497168&amp;VAR:INDEX=0"}</definedName>
    <definedName name="_660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661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662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663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664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665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666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667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668__FDSAUDITLINK__" hidden="1">{"fdsup://directions/FAT Viewer?action=UPDATE&amp;creator=factset&amp;DYN_ARGS=TRUE&amp;DOC_NAME=FAT:FQL_AUDITING_CLIENT_TEMPLATE.FAT&amp;display_string=Audit&amp;VAR:KEY=MZMZIRGRQD&amp;VAR:QUERY=RkZfREVCVChBTk4sMjAwOSk=&amp;WINDOW=FIRST_POPUP&amp;HEIGHT=450&amp;WIDTH=450&amp;START_MAXIMIZED=FALS","E&amp;VAR:CALENDAR=US&amp;VAR:SYMBOL=CMLP&amp;VAR:INDEX=0"}</definedName>
    <definedName name="_669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67__FDSAUDITLINK__" localSheetId="6" hidden="1">{"fdsup://directions/FAT Viewer?action=UPDATE&amp;creator=factset&amp;DYN_ARGS=TRUE&amp;DOC_NAME=FAT:FQL_AUDITING_CLIENT_TEMPLATE.FAT&amp;display_string=Audit&amp;VAR:KEY=PSRIJSXIZC&amp;VAR:QUERY=RkVfVkFMVUFUSU9OKCdQQlBTJywnTUVBTicsJ0FOTlVBTCcsMjAwOSwwLCwsJycp&amp;WINDOW=FIRST_POPUP&amp;H","EIGHT=450&amp;WIDTH=450&amp;START_MAXIMIZED=FALSE&amp;VAR:CALENDAR=US&amp;VAR:SYMBOL=5497168&amp;VAR:INDEX=0"}</definedName>
    <definedName name="_67__FDSAUDITLINK__" localSheetId="8" hidden="1">{"fdsup://directions/FAT Viewer?action=UPDATE&amp;creator=factset&amp;DYN_ARGS=TRUE&amp;DOC_NAME=FAT:FQL_AUDITING_CLIENT_TEMPLATE.FAT&amp;display_string=Audit&amp;VAR:KEY=PSRIJSXIZC&amp;VAR:QUERY=RkVfVkFMVUFUSU9OKCdQQlBTJywnTUVBTicsJ0FOTlVBTCcsMjAwOSwwLCwsJycp&amp;WINDOW=FIRST_POPUP&amp;H","EIGHT=450&amp;WIDTH=450&amp;START_MAXIMIZED=FALSE&amp;VAR:CALENDAR=US&amp;VAR:SYMBOL=5497168&amp;VAR:INDEX=0"}</definedName>
    <definedName name="_67__FDSAUDITLINK__" localSheetId="2" hidden="1">{"fdsup://directions/FAT Viewer?action=UPDATE&amp;creator=factset&amp;DYN_ARGS=TRUE&amp;DOC_NAME=FAT:FQL_AUDITING_CLIENT_TEMPLATE.FAT&amp;display_string=Audit&amp;VAR:KEY=PSRIJSXIZC&amp;VAR:QUERY=RkVfVkFMVUFUSU9OKCdQQlBTJywnTUVBTicsJ0FOTlVBTCcsMjAwOSwwLCwsJycp&amp;WINDOW=FIRST_POPUP&amp;H","EIGHT=450&amp;WIDTH=450&amp;START_MAXIMIZED=FALSE&amp;VAR:CALENDAR=US&amp;VAR:SYMBOL=5497168&amp;VAR:INDEX=0"}</definedName>
    <definedName name="_67__FDSAUDITLINK__" hidden="1">{"fdsup://directions/FAT Viewer?action=UPDATE&amp;creator=factset&amp;DYN_ARGS=TRUE&amp;DOC_NAME=FAT:FQL_AUDITING_CLIENT_TEMPLATE.FAT&amp;display_string=Audit&amp;VAR:KEY=PSRIJSXIZC&amp;VAR:QUERY=RkVfVkFMVUFUSU9OKCdQQlBTJywnTUVBTicsJ0FOTlVBTCcsMjAwOSwwLCwsJycp&amp;WINDOW=FIRST_POPUP&amp;H","EIGHT=450&amp;WIDTH=450&amp;START_MAXIMIZED=FALSE&amp;VAR:CALENDAR=US&amp;VAR:SYMBOL=5497168&amp;VAR:INDEX=0"}</definedName>
    <definedName name="_670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671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672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673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674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675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676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677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678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679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68__FDSAUDITLINK__" localSheetId="6" hidden="1">{"fdsup://directions/FAT Viewer?action=UPDATE&amp;creator=factset&amp;DYN_ARGS=TRUE&amp;DOC_NAME=FAT:FQL_AUDITING_CLIENT_TEMPLATE.FAT&amp;display_string=Audit&amp;VAR:KEY=PSRIJSXIZC&amp;VAR:QUERY=RkVfVkFMVUFUSU9OKCdQQlBTJywnTUVBTicsJ0FOTlVBTCcsMjAwOSwwLCwsJycp&amp;WINDOW=FIRST_POPUP&amp;H","EIGHT=450&amp;WIDTH=450&amp;START_MAXIMIZED=FALSE&amp;VAR:CALENDAR=US&amp;VAR:SYMBOL=5497168&amp;VAR:INDEX=0"}</definedName>
    <definedName name="_68__FDSAUDITLINK__" localSheetId="8" hidden="1">{"fdsup://directions/FAT Viewer?action=UPDATE&amp;creator=factset&amp;DYN_ARGS=TRUE&amp;DOC_NAME=FAT:FQL_AUDITING_CLIENT_TEMPLATE.FAT&amp;display_string=Audit&amp;VAR:KEY=PSRIJSXIZC&amp;VAR:QUERY=RkVfVkFMVUFUSU9OKCdQQlBTJywnTUVBTicsJ0FOTlVBTCcsMjAwOSwwLCwsJycp&amp;WINDOW=FIRST_POPUP&amp;H","EIGHT=450&amp;WIDTH=450&amp;START_MAXIMIZED=FALSE&amp;VAR:CALENDAR=US&amp;VAR:SYMBOL=5497168&amp;VAR:INDEX=0"}</definedName>
    <definedName name="_68__FDSAUDITLINK__" localSheetId="2" hidden="1">{"fdsup://directions/FAT Viewer?action=UPDATE&amp;creator=factset&amp;DYN_ARGS=TRUE&amp;DOC_NAME=FAT:FQL_AUDITING_CLIENT_TEMPLATE.FAT&amp;display_string=Audit&amp;VAR:KEY=PSRIJSXIZC&amp;VAR:QUERY=RkVfVkFMVUFUSU9OKCdQQlBTJywnTUVBTicsJ0FOTlVBTCcsMjAwOSwwLCwsJycp&amp;WINDOW=FIRST_POPUP&amp;H","EIGHT=450&amp;WIDTH=450&amp;START_MAXIMIZED=FALSE&amp;VAR:CALENDAR=US&amp;VAR:SYMBOL=5497168&amp;VAR:INDEX=0"}</definedName>
    <definedName name="_68__FDSAUDITLINK__" hidden="1">{"fdsup://directions/FAT Viewer?action=UPDATE&amp;creator=factset&amp;DYN_ARGS=TRUE&amp;DOC_NAME=FAT:FQL_AUDITING_CLIENT_TEMPLATE.FAT&amp;display_string=Audit&amp;VAR:KEY=PSRIJSXIZC&amp;VAR:QUERY=RkVfVkFMVUFUSU9OKCdQQlBTJywnTUVBTicsJ0FOTlVBTCcsMjAwOSwwLCwsJycp&amp;WINDOW=FIRST_POPUP&amp;H","EIGHT=450&amp;WIDTH=450&amp;START_MAXIMIZED=FALSE&amp;VAR:CALENDAR=US&amp;VAR:SYMBOL=5497168&amp;VAR:INDEX=0"}</definedName>
    <definedName name="_680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681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682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683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684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685__FDSAUDITLINK__" hidden="1">{"fdsup://directions/FAT Viewer?action=UPDATE&amp;creator=factset&amp;DYN_ARGS=TRUE&amp;DOC_NAME=FAT:FQL_AUDITING_CLIENT_TEMPLATE.FAT&amp;display_string=Audit&amp;VAR:KEY=MZMZIRGRQD&amp;VAR:QUERY=RkZfREVCVChBTk4sMjAwOSk=&amp;WINDOW=FIRST_POPUP&amp;HEIGHT=450&amp;WIDTH=450&amp;START_MAXIMIZED=FALS","E&amp;VAR:CALENDAR=US&amp;VAR:SYMBOL=CMLP&amp;VAR:INDEX=0"}</definedName>
    <definedName name="_686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687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688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689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69__FDSAUDITLINK__" localSheetId="6" hidden="1">{"fdsup://directions/FAT Viewer?action=UPDATE&amp;creator=factset&amp;DYN_ARGS=TRUE&amp;DOC_NAME=FAT:FQL_AUDITING_CLIENT_TEMPLATE.FAT&amp;display_string=Audit&amp;VAR:KEY=HYJWBIFEPE&amp;VAR:QUERY=RkVfVkFMVUFUSU9OKCdQQlBTJywnTUVBTicsJ0FOTlVBTCcsMjAxMiwwLCwsJycp&amp;WINDOW=FIRST_POPUP&amp;H","EIGHT=450&amp;WIDTH=450&amp;START_MAXIMIZED=FALSE&amp;VAR:CALENDAR=US&amp;VAR:SYMBOL=5497168&amp;VAR:INDEX=0"}</definedName>
    <definedName name="_69__FDSAUDITLINK__" localSheetId="8" hidden="1">{"fdsup://directions/FAT Viewer?action=UPDATE&amp;creator=factset&amp;DYN_ARGS=TRUE&amp;DOC_NAME=FAT:FQL_AUDITING_CLIENT_TEMPLATE.FAT&amp;display_string=Audit&amp;VAR:KEY=HYJWBIFEPE&amp;VAR:QUERY=RkVfVkFMVUFUSU9OKCdQQlBTJywnTUVBTicsJ0FOTlVBTCcsMjAxMiwwLCwsJycp&amp;WINDOW=FIRST_POPUP&amp;H","EIGHT=450&amp;WIDTH=450&amp;START_MAXIMIZED=FALSE&amp;VAR:CALENDAR=US&amp;VAR:SYMBOL=5497168&amp;VAR:INDEX=0"}</definedName>
    <definedName name="_69__FDSAUDITLINK__" localSheetId="2" hidden="1">{"fdsup://directions/FAT Viewer?action=UPDATE&amp;creator=factset&amp;DYN_ARGS=TRUE&amp;DOC_NAME=FAT:FQL_AUDITING_CLIENT_TEMPLATE.FAT&amp;display_string=Audit&amp;VAR:KEY=HYJWBIFEPE&amp;VAR:QUERY=RkVfVkFMVUFUSU9OKCdQQlBTJywnTUVBTicsJ0FOTlVBTCcsMjAxMiwwLCwsJycp&amp;WINDOW=FIRST_POPUP&amp;H","EIGHT=450&amp;WIDTH=450&amp;START_MAXIMIZED=FALSE&amp;VAR:CALENDAR=US&amp;VAR:SYMBOL=5497168&amp;VAR:INDEX=0"}</definedName>
    <definedName name="_69__FDSAUDITLINK__" hidden="1">{"fdsup://directions/FAT Viewer?action=UPDATE&amp;creator=factset&amp;DYN_ARGS=TRUE&amp;DOC_NAME=FAT:FQL_AUDITING_CLIENT_TEMPLATE.FAT&amp;display_string=Audit&amp;VAR:KEY=HYJWBIFEPE&amp;VAR:QUERY=RkVfVkFMVUFUSU9OKCdQQlBTJywnTUVBTicsJ0FOTlVBTCcsMjAxMiwwLCwsJycp&amp;WINDOW=FIRST_POPUP&amp;H","EIGHT=450&amp;WIDTH=450&amp;START_MAXIMIZED=FALSE&amp;VAR:CALENDAR=US&amp;VAR:SYMBOL=5497168&amp;VAR:INDEX=0"}</definedName>
    <definedName name="_690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691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692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693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694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695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696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697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698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699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7__FDSAUDITLINK__" localSheetId="6" hidden="1">{"fdsup://directions/FAT Viewer?action=UPDATE&amp;creator=factset&amp;DYN_ARGS=TRUE&amp;DOC_NAME=FAT:FQL_AUDITING_CLIENT_TEMPLATE.FAT&amp;display_string=Audit&amp;VAR:KEY=LSZKFETWBY&amp;VAR:QUERY=RkVfVkFMVUFUSU9OKCdQQlBTJywnTUVBTicsJ0FOTlVBTCcsMjAxMSwwLCwsJycp&amp;WINDOW=FIRST_POPUP&amp;H","EIGHT=450&amp;WIDTH=450&amp;START_MAXIMIZED=FALSE&amp;VAR:CALENDAR=FIVEDAY&amp;VAR:SYMBOL=648963&amp;VAR:INDEX=0"}</definedName>
    <definedName name="_7__FDSAUDITLINK__" localSheetId="8" hidden="1">{"fdsup://directions/FAT Viewer?action=UPDATE&amp;creator=factset&amp;DYN_ARGS=TRUE&amp;DOC_NAME=FAT:FQL_AUDITING_CLIENT_TEMPLATE.FAT&amp;display_string=Audit&amp;VAR:KEY=LSZKFETWBY&amp;VAR:QUERY=RkVfVkFMVUFUSU9OKCdQQlBTJywnTUVBTicsJ0FOTlVBTCcsMjAxMSwwLCwsJycp&amp;WINDOW=FIRST_POPUP&amp;H","EIGHT=450&amp;WIDTH=450&amp;START_MAXIMIZED=FALSE&amp;VAR:CALENDAR=FIVEDAY&amp;VAR:SYMBOL=648963&amp;VAR:INDEX=0"}</definedName>
    <definedName name="_7__FDSAUDITLINK__" localSheetId="2" hidden="1">{"fdsup://directions/FAT Viewer?action=UPDATE&amp;creator=factset&amp;DYN_ARGS=TRUE&amp;DOC_NAME=FAT:FQL_AUDITING_CLIENT_TEMPLATE.FAT&amp;display_string=Audit&amp;VAR:KEY=LSZKFETWBY&amp;VAR:QUERY=RkVfVkFMVUFUSU9OKCdQQlBTJywnTUVBTicsJ0FOTlVBTCcsMjAxMSwwLCwsJycp&amp;WINDOW=FIRST_POPUP&amp;H","EIGHT=450&amp;WIDTH=450&amp;START_MAXIMIZED=FALSE&amp;VAR:CALENDAR=FIVEDAY&amp;VAR:SYMBOL=648963&amp;VAR:INDEX=0"}</definedName>
    <definedName name="_7__FDSAUDITLINK__" hidden="1">{"fdsup://directions/FAT Viewer?action=UPDATE&amp;creator=factset&amp;DYN_ARGS=TRUE&amp;DOC_NAME=FAT:FQL_AUDITING_CLIENT_TEMPLATE.FAT&amp;display_string=Audit&amp;VAR:KEY=LSZKFETWBY&amp;VAR:QUERY=RkVfVkFMVUFUSU9OKCdQQlBTJywnTUVBTicsJ0FOTlVBTCcsMjAxMSwwLCwsJycp&amp;WINDOW=FIRST_POPUP&amp;H","EIGHT=450&amp;WIDTH=450&amp;START_MAXIMIZED=FALSE&amp;VAR:CALENDAR=FIVEDAY&amp;VAR:SYMBOL=648963&amp;VAR:INDEX=0"}</definedName>
    <definedName name="_70__FDSAUDITLINK__" localSheetId="6" hidden="1">{"fdsup://directions/FAT Viewer?action=UPDATE&amp;creator=factset&amp;DYN_ARGS=TRUE&amp;DOC_NAME=FAT:FQL_AUDITING_CLIENT_TEMPLATE.FAT&amp;display_string=Audit&amp;VAR:KEY=HYJWBIFEPE&amp;VAR:QUERY=RkVfVkFMVUFUSU9OKCdQQlBTJywnTUVBTicsJ0FOTlVBTCcsMjAxMiwwLCwsJycp&amp;WINDOW=FIRST_POPUP&amp;H","EIGHT=450&amp;WIDTH=450&amp;START_MAXIMIZED=FALSE&amp;VAR:CALENDAR=US&amp;VAR:SYMBOL=5497168&amp;VAR:INDEX=0"}</definedName>
    <definedName name="_70__FDSAUDITLINK__" localSheetId="8" hidden="1">{"fdsup://directions/FAT Viewer?action=UPDATE&amp;creator=factset&amp;DYN_ARGS=TRUE&amp;DOC_NAME=FAT:FQL_AUDITING_CLIENT_TEMPLATE.FAT&amp;display_string=Audit&amp;VAR:KEY=HYJWBIFEPE&amp;VAR:QUERY=RkVfVkFMVUFUSU9OKCdQQlBTJywnTUVBTicsJ0FOTlVBTCcsMjAxMiwwLCwsJycp&amp;WINDOW=FIRST_POPUP&amp;H","EIGHT=450&amp;WIDTH=450&amp;START_MAXIMIZED=FALSE&amp;VAR:CALENDAR=US&amp;VAR:SYMBOL=5497168&amp;VAR:INDEX=0"}</definedName>
    <definedName name="_70__FDSAUDITLINK__" localSheetId="2" hidden="1">{"fdsup://directions/FAT Viewer?action=UPDATE&amp;creator=factset&amp;DYN_ARGS=TRUE&amp;DOC_NAME=FAT:FQL_AUDITING_CLIENT_TEMPLATE.FAT&amp;display_string=Audit&amp;VAR:KEY=HYJWBIFEPE&amp;VAR:QUERY=RkVfVkFMVUFUSU9OKCdQQlBTJywnTUVBTicsJ0FOTlVBTCcsMjAxMiwwLCwsJycp&amp;WINDOW=FIRST_POPUP&amp;H","EIGHT=450&amp;WIDTH=450&amp;START_MAXIMIZED=FALSE&amp;VAR:CALENDAR=US&amp;VAR:SYMBOL=5497168&amp;VAR:INDEX=0"}</definedName>
    <definedName name="_70__FDSAUDITLINK__" hidden="1">{"fdsup://directions/FAT Viewer?action=UPDATE&amp;creator=factset&amp;DYN_ARGS=TRUE&amp;DOC_NAME=FAT:FQL_AUDITING_CLIENT_TEMPLATE.FAT&amp;display_string=Audit&amp;VAR:KEY=HYJWBIFEPE&amp;VAR:QUERY=RkVfVkFMVUFUSU9OKCdQQlBTJywnTUVBTicsJ0FOTlVBTCcsMjAxMiwwLCwsJycp&amp;WINDOW=FIRST_POPUP&amp;H","EIGHT=450&amp;WIDTH=450&amp;START_MAXIMIZED=FALSE&amp;VAR:CALENDAR=US&amp;VAR:SYMBOL=5497168&amp;VAR:INDEX=0"}</definedName>
    <definedName name="_700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701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702__FDSAUDITLINK__" hidden="1">{"fdsup://directions/FAT Viewer?action=UPDATE&amp;creator=factset&amp;DYN_ARGS=TRUE&amp;DOC_NAME=FAT:FQL_AUDITING_CLIENT_TEMPLATE.FAT&amp;display_string=Audit&amp;VAR:KEY=MZMZIRGRQD&amp;VAR:QUERY=RkZfREVCVChBTk4sMjAwOSk=&amp;WINDOW=FIRST_POPUP&amp;HEIGHT=450&amp;WIDTH=450&amp;START_MAXIMIZED=FALS","E&amp;VAR:CALENDAR=US&amp;VAR:SYMBOL=CMLP&amp;VAR:INDEX=0"}</definedName>
    <definedName name="_703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704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705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706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707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708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709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71__FDSAUDITLINK__" localSheetId="6" hidden="1">{"fdsup://directions/FAT Viewer?action=UPDATE&amp;creator=factset&amp;DYN_ARGS=TRUE&amp;DOC_NAME=FAT:FQL_AUDITING_CLIENT_TEMPLATE.FAT&amp;display_string=Audit&amp;VAR:KEY=NQVWRUXWFO&amp;VAR:QUERY=RkVfVkFMVUFUSU9OKCdQQlBTJywnTUVBTicsJ0FOTlVBTCcsMjAxMSwwLCwsJycp&amp;WINDOW=FIRST_POPUP&amp;H","EIGHT=450&amp;WIDTH=450&amp;START_MAXIMIZED=FALSE&amp;VAR:CALENDAR=US&amp;VAR:SYMBOL=5497168&amp;VAR:INDEX=0"}</definedName>
    <definedName name="_71__FDSAUDITLINK__" localSheetId="8" hidden="1">{"fdsup://directions/FAT Viewer?action=UPDATE&amp;creator=factset&amp;DYN_ARGS=TRUE&amp;DOC_NAME=FAT:FQL_AUDITING_CLIENT_TEMPLATE.FAT&amp;display_string=Audit&amp;VAR:KEY=NQVWRUXWFO&amp;VAR:QUERY=RkVfVkFMVUFUSU9OKCdQQlBTJywnTUVBTicsJ0FOTlVBTCcsMjAxMSwwLCwsJycp&amp;WINDOW=FIRST_POPUP&amp;H","EIGHT=450&amp;WIDTH=450&amp;START_MAXIMIZED=FALSE&amp;VAR:CALENDAR=US&amp;VAR:SYMBOL=5497168&amp;VAR:INDEX=0"}</definedName>
    <definedName name="_71__FDSAUDITLINK__" localSheetId="2" hidden="1">{"fdsup://directions/FAT Viewer?action=UPDATE&amp;creator=factset&amp;DYN_ARGS=TRUE&amp;DOC_NAME=FAT:FQL_AUDITING_CLIENT_TEMPLATE.FAT&amp;display_string=Audit&amp;VAR:KEY=NQVWRUXWFO&amp;VAR:QUERY=RkVfVkFMVUFUSU9OKCdQQlBTJywnTUVBTicsJ0FOTlVBTCcsMjAxMSwwLCwsJycp&amp;WINDOW=FIRST_POPUP&amp;H","EIGHT=450&amp;WIDTH=450&amp;START_MAXIMIZED=FALSE&amp;VAR:CALENDAR=US&amp;VAR:SYMBOL=5497168&amp;VAR:INDEX=0"}</definedName>
    <definedName name="_71__FDSAUDITLINK__" hidden="1">{"fdsup://directions/FAT Viewer?action=UPDATE&amp;creator=factset&amp;DYN_ARGS=TRUE&amp;DOC_NAME=FAT:FQL_AUDITING_CLIENT_TEMPLATE.FAT&amp;display_string=Audit&amp;VAR:KEY=NQVWRUXWFO&amp;VAR:QUERY=RkVfVkFMVUFUSU9OKCdQQlBTJywnTUVBTicsJ0FOTlVBTCcsMjAxMSwwLCwsJycp&amp;WINDOW=FIRST_POPUP&amp;H","EIGHT=450&amp;WIDTH=450&amp;START_MAXIMIZED=FALSE&amp;VAR:CALENDAR=US&amp;VAR:SYMBOL=5497168&amp;VAR:INDEX=0"}</definedName>
    <definedName name="_710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711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712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713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714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715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716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717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718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719__FDSAUDITLINK__" hidden="1">{"fdsup://directions/FAT Viewer?action=UPDATE&amp;creator=factset&amp;DYN_ARGS=TRUE&amp;DOC_NAME=FAT:FQL_AUDITING_CLIENT_TEMPLATE.FAT&amp;display_string=Audit&amp;VAR:KEY=MZMZIRGRQD&amp;VAR:QUERY=RkZfREVCVChBTk4sMjAwOSk=&amp;WINDOW=FIRST_POPUP&amp;HEIGHT=450&amp;WIDTH=450&amp;START_MAXIMIZED=FALS","E&amp;VAR:CALENDAR=US&amp;VAR:SYMBOL=CMLP&amp;VAR:INDEX=0"}</definedName>
    <definedName name="_72__FDSAUDITLINK__" localSheetId="6" hidden="1">{"fdsup://directions/FAT Viewer?action=UPDATE&amp;creator=factset&amp;DYN_ARGS=TRUE&amp;DOC_NAME=FAT:FQL_AUDITING_CLIENT_TEMPLATE.FAT&amp;display_string=Audit&amp;VAR:KEY=NQVWRUXWFO&amp;VAR:QUERY=RkVfVkFMVUFUSU9OKCdQQlBTJywnTUVBTicsJ0FOTlVBTCcsMjAxMSwwLCwsJycp&amp;WINDOW=FIRST_POPUP&amp;H","EIGHT=450&amp;WIDTH=450&amp;START_MAXIMIZED=FALSE&amp;VAR:CALENDAR=US&amp;VAR:SYMBOL=5497168&amp;VAR:INDEX=0"}</definedName>
    <definedName name="_72__FDSAUDITLINK__" localSheetId="8" hidden="1">{"fdsup://directions/FAT Viewer?action=UPDATE&amp;creator=factset&amp;DYN_ARGS=TRUE&amp;DOC_NAME=FAT:FQL_AUDITING_CLIENT_TEMPLATE.FAT&amp;display_string=Audit&amp;VAR:KEY=NQVWRUXWFO&amp;VAR:QUERY=RkVfVkFMVUFUSU9OKCdQQlBTJywnTUVBTicsJ0FOTlVBTCcsMjAxMSwwLCwsJycp&amp;WINDOW=FIRST_POPUP&amp;H","EIGHT=450&amp;WIDTH=450&amp;START_MAXIMIZED=FALSE&amp;VAR:CALENDAR=US&amp;VAR:SYMBOL=5497168&amp;VAR:INDEX=0"}</definedName>
    <definedName name="_72__FDSAUDITLINK__" localSheetId="2" hidden="1">{"fdsup://directions/FAT Viewer?action=UPDATE&amp;creator=factset&amp;DYN_ARGS=TRUE&amp;DOC_NAME=FAT:FQL_AUDITING_CLIENT_TEMPLATE.FAT&amp;display_string=Audit&amp;VAR:KEY=NQVWRUXWFO&amp;VAR:QUERY=RkVfVkFMVUFUSU9OKCdQQlBTJywnTUVBTicsJ0FOTlVBTCcsMjAxMSwwLCwsJycp&amp;WINDOW=FIRST_POPUP&amp;H","EIGHT=450&amp;WIDTH=450&amp;START_MAXIMIZED=FALSE&amp;VAR:CALENDAR=US&amp;VAR:SYMBOL=5497168&amp;VAR:INDEX=0"}</definedName>
    <definedName name="_72__FDSAUDITLINK__" hidden="1">{"fdsup://directions/FAT Viewer?action=UPDATE&amp;creator=factset&amp;DYN_ARGS=TRUE&amp;DOC_NAME=FAT:FQL_AUDITING_CLIENT_TEMPLATE.FAT&amp;display_string=Audit&amp;VAR:KEY=NQVWRUXWFO&amp;VAR:QUERY=RkVfVkFMVUFUSU9OKCdQQlBTJywnTUVBTicsJ0FOTlVBTCcsMjAxMSwwLCwsJycp&amp;WINDOW=FIRST_POPUP&amp;H","EIGHT=450&amp;WIDTH=450&amp;START_MAXIMIZED=FALSE&amp;VAR:CALENDAR=US&amp;VAR:SYMBOL=5497168&amp;VAR:INDEX=0"}</definedName>
    <definedName name="_720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721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722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723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724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725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726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727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728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729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73__FDSAUDITLINK__" localSheetId="6" hidden="1">{"fdsup://directions/FAT Viewer?action=UPDATE&amp;creator=factset&amp;DYN_ARGS=TRUE&amp;DOC_NAME=FAT:FQL_AUDITING_CLIENT_TEMPLATE.FAT&amp;display_string=Audit&amp;VAR:KEY=RCNCLSNQFI&amp;VAR:QUERY=RkVfVkFMVUFUSU9OKCdQQlBTJywnTUVBTicsJ0FOTlVBTCcsMjAxMiwwLCwsJycp&amp;WINDOW=FIRST_POPUP&amp;H","EIGHT=450&amp;WIDTH=450&amp;START_MAXIMIZED=FALSE&amp;VAR:CALENDAR=US&amp;VAR:INDEX=0"}</definedName>
    <definedName name="_73__FDSAUDITLINK__" localSheetId="8" hidden="1">{"fdsup://directions/FAT Viewer?action=UPDATE&amp;creator=factset&amp;DYN_ARGS=TRUE&amp;DOC_NAME=FAT:FQL_AUDITING_CLIENT_TEMPLATE.FAT&amp;display_string=Audit&amp;VAR:KEY=RCNCLSNQFI&amp;VAR:QUERY=RkVfVkFMVUFUSU9OKCdQQlBTJywnTUVBTicsJ0FOTlVBTCcsMjAxMiwwLCwsJycp&amp;WINDOW=FIRST_POPUP&amp;H","EIGHT=450&amp;WIDTH=450&amp;START_MAXIMIZED=FALSE&amp;VAR:CALENDAR=US&amp;VAR:INDEX=0"}</definedName>
    <definedName name="_73__FDSAUDITLINK__" localSheetId="2" hidden="1">{"fdsup://directions/FAT Viewer?action=UPDATE&amp;creator=factset&amp;DYN_ARGS=TRUE&amp;DOC_NAME=FAT:FQL_AUDITING_CLIENT_TEMPLATE.FAT&amp;display_string=Audit&amp;VAR:KEY=RCNCLSNQFI&amp;VAR:QUERY=RkVfVkFMVUFUSU9OKCdQQlBTJywnTUVBTicsJ0FOTlVBTCcsMjAxMiwwLCwsJycp&amp;WINDOW=FIRST_POPUP&amp;H","EIGHT=450&amp;WIDTH=450&amp;START_MAXIMIZED=FALSE&amp;VAR:CALENDAR=US&amp;VAR:INDEX=0"}</definedName>
    <definedName name="_73__FDSAUDITLINK__" hidden="1">{"fdsup://directions/FAT Viewer?action=UPDATE&amp;creator=factset&amp;DYN_ARGS=TRUE&amp;DOC_NAME=FAT:FQL_AUDITING_CLIENT_TEMPLATE.FAT&amp;display_string=Audit&amp;VAR:KEY=RCNCLSNQFI&amp;VAR:QUERY=RkVfVkFMVUFUSU9OKCdQQlBTJywnTUVBTicsJ0FOTlVBTCcsMjAxMiwwLCwsJycp&amp;WINDOW=FIRST_POPUP&amp;H","EIGHT=450&amp;WIDTH=450&amp;START_MAXIMIZED=FALSE&amp;VAR:CALENDAR=US&amp;VAR:INDEX=0"}</definedName>
    <definedName name="_730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731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732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733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734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735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736__FDSAUDITLINK__" hidden="1">{"fdsup://directions/FAT Viewer?action=UPDATE&amp;creator=factset&amp;DYN_ARGS=TRUE&amp;DOC_NAME=FAT:FQL_AUDITING_CLIENT_TEMPLATE.FAT&amp;display_string=Audit&amp;VAR:KEY=MZMZIRGRQD&amp;VAR:QUERY=RkZfREVCVChBTk4sMjAwOSk=&amp;WINDOW=FIRST_POPUP&amp;HEIGHT=450&amp;WIDTH=450&amp;START_MAXIMIZED=FALS","E&amp;VAR:CALENDAR=US&amp;VAR:SYMBOL=CMLP&amp;VAR:INDEX=0"}</definedName>
    <definedName name="_737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738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739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74__FDSAUDITLINK__" localSheetId="6" hidden="1">{"fdsup://directions/FAT Viewer?action=UPDATE&amp;creator=factset&amp;DYN_ARGS=TRUE&amp;DOC_NAME=FAT:FQL_AUDITING_CLIENT_TEMPLATE.FAT&amp;display_string=Audit&amp;VAR:KEY=ZUXAFKPSPW&amp;VAR:QUERY=RkVfVkFMVUFUSU9OKCdQQlBTJywnTUVBTicsJ0FOTlVBTCcsMjAxMSwwLCwsJycp&amp;WINDOW=FIRST_POPUP&amp;H","EIGHT=450&amp;WIDTH=450&amp;START_MAXIMIZED=FALSE&amp;VAR:CALENDAR=US&amp;VAR:INDEX=0"}</definedName>
    <definedName name="_74__FDSAUDITLINK__" localSheetId="8" hidden="1">{"fdsup://directions/FAT Viewer?action=UPDATE&amp;creator=factset&amp;DYN_ARGS=TRUE&amp;DOC_NAME=FAT:FQL_AUDITING_CLIENT_TEMPLATE.FAT&amp;display_string=Audit&amp;VAR:KEY=ZUXAFKPSPW&amp;VAR:QUERY=RkVfVkFMVUFUSU9OKCdQQlBTJywnTUVBTicsJ0FOTlVBTCcsMjAxMSwwLCwsJycp&amp;WINDOW=FIRST_POPUP&amp;H","EIGHT=450&amp;WIDTH=450&amp;START_MAXIMIZED=FALSE&amp;VAR:CALENDAR=US&amp;VAR:INDEX=0"}</definedName>
    <definedName name="_74__FDSAUDITLINK__" localSheetId="2" hidden="1">{"fdsup://directions/FAT Viewer?action=UPDATE&amp;creator=factset&amp;DYN_ARGS=TRUE&amp;DOC_NAME=FAT:FQL_AUDITING_CLIENT_TEMPLATE.FAT&amp;display_string=Audit&amp;VAR:KEY=ZUXAFKPSPW&amp;VAR:QUERY=RkVfVkFMVUFUSU9OKCdQQlBTJywnTUVBTicsJ0FOTlVBTCcsMjAxMSwwLCwsJycp&amp;WINDOW=FIRST_POPUP&amp;H","EIGHT=450&amp;WIDTH=450&amp;START_MAXIMIZED=FALSE&amp;VAR:CALENDAR=US&amp;VAR:INDEX=0"}</definedName>
    <definedName name="_74__FDSAUDITLINK__" hidden="1">{"fdsup://directions/FAT Viewer?action=UPDATE&amp;creator=factset&amp;DYN_ARGS=TRUE&amp;DOC_NAME=FAT:FQL_AUDITING_CLIENT_TEMPLATE.FAT&amp;display_string=Audit&amp;VAR:KEY=ZUXAFKPSPW&amp;VAR:QUERY=RkVfVkFMVUFUSU9OKCdQQlBTJywnTUVBTicsJ0FOTlVBTCcsMjAxMSwwLCwsJycp&amp;WINDOW=FIRST_POPUP&amp;H","EIGHT=450&amp;WIDTH=450&amp;START_MAXIMIZED=FALSE&amp;VAR:CALENDAR=US&amp;VAR:INDEX=0"}</definedName>
    <definedName name="_740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741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742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743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744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745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746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747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748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749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75__FDSAUDITLINK__" localSheetId="6" hidden="1">{"fdsup://directions/FAT Viewer?action=UPDATE&amp;creator=factset&amp;DYN_ARGS=TRUE&amp;DOC_NAME=FAT:FQL_AUDITING_CLIENT_TEMPLATE.FAT&amp;display_string=Audit&amp;VAR:KEY=NUZSVWFEZC&amp;VAR:QUERY=RkVfVkFMVUFUSU9OKCdQQlBTJywnTUVBTicsJ0FOTlVBTCcsMjAxMCwwLCwsJycp&amp;WINDOW=FIRST_POPUP&amp;H","EIGHT=450&amp;WIDTH=450&amp;START_MAXIMIZED=FALSE&amp;VAR:CALENDAR=US&amp;VAR:INDEX=0"}</definedName>
    <definedName name="_75__FDSAUDITLINK__" localSheetId="8" hidden="1">{"fdsup://directions/FAT Viewer?action=UPDATE&amp;creator=factset&amp;DYN_ARGS=TRUE&amp;DOC_NAME=FAT:FQL_AUDITING_CLIENT_TEMPLATE.FAT&amp;display_string=Audit&amp;VAR:KEY=NUZSVWFEZC&amp;VAR:QUERY=RkVfVkFMVUFUSU9OKCdQQlBTJywnTUVBTicsJ0FOTlVBTCcsMjAxMCwwLCwsJycp&amp;WINDOW=FIRST_POPUP&amp;H","EIGHT=450&amp;WIDTH=450&amp;START_MAXIMIZED=FALSE&amp;VAR:CALENDAR=US&amp;VAR:INDEX=0"}</definedName>
    <definedName name="_75__FDSAUDITLINK__" localSheetId="2" hidden="1">{"fdsup://directions/FAT Viewer?action=UPDATE&amp;creator=factset&amp;DYN_ARGS=TRUE&amp;DOC_NAME=FAT:FQL_AUDITING_CLIENT_TEMPLATE.FAT&amp;display_string=Audit&amp;VAR:KEY=NUZSVWFEZC&amp;VAR:QUERY=RkVfVkFMVUFUSU9OKCdQQlBTJywnTUVBTicsJ0FOTlVBTCcsMjAxMCwwLCwsJycp&amp;WINDOW=FIRST_POPUP&amp;H","EIGHT=450&amp;WIDTH=450&amp;START_MAXIMIZED=FALSE&amp;VAR:CALENDAR=US&amp;VAR:INDEX=0"}</definedName>
    <definedName name="_75__FDSAUDITLINK__" hidden="1">{"fdsup://directions/FAT Viewer?action=UPDATE&amp;creator=factset&amp;DYN_ARGS=TRUE&amp;DOC_NAME=FAT:FQL_AUDITING_CLIENT_TEMPLATE.FAT&amp;display_string=Audit&amp;VAR:KEY=NUZSVWFEZC&amp;VAR:QUERY=RkVfVkFMVUFUSU9OKCdQQlBTJywnTUVBTicsJ0FOTlVBTCcsMjAxMCwwLCwsJycp&amp;WINDOW=FIRST_POPUP&amp;H","EIGHT=450&amp;WIDTH=450&amp;START_MAXIMIZED=FALSE&amp;VAR:CALENDAR=US&amp;VAR:INDEX=0"}</definedName>
    <definedName name="_750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751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752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753__FDSAUDITLINK__" hidden="1">{"fdsup://directions/FAT Viewer?action=UPDATE&amp;creator=factset&amp;DYN_ARGS=TRUE&amp;DOC_NAME=FAT:FQL_AUDITING_CLIENT_TEMPLATE.FAT&amp;display_string=Audit&amp;VAR:KEY=MZMZIRGRQD&amp;VAR:QUERY=RkZfREVCVChBTk4sMjAwOSk=&amp;WINDOW=FIRST_POPUP&amp;HEIGHT=450&amp;WIDTH=450&amp;START_MAXIMIZED=FALS","E&amp;VAR:CALENDAR=US&amp;VAR:SYMBOL=CMLP&amp;VAR:INDEX=0"}</definedName>
    <definedName name="_754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755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756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757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758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759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76__FDSAUDITLINK__" localSheetId="6" hidden="1">{"fdsup://directions/FAT Viewer?action=UPDATE&amp;creator=factset&amp;DYN_ARGS=TRUE&amp;DOC_NAME=FAT:FQL_AUDITING_CLIENT_TEMPLATE.FAT&amp;display_string=Audit&amp;VAR:KEY=NAHWJCVMXQ&amp;VAR:QUERY=RkVfVkFMVUFUSU9OKCdQQlBTJywnTUVBTicsJ0FOTlVBTCcsMjAwOSwwLCwsJycp&amp;WINDOW=FIRST_POPUP&amp;H","EIGHT=450&amp;WIDTH=450&amp;START_MAXIMIZED=FALSE&amp;VAR:CALENDAR=US&amp;VAR:INDEX=0"}</definedName>
    <definedName name="_76__FDSAUDITLINK__" localSheetId="8" hidden="1">{"fdsup://directions/FAT Viewer?action=UPDATE&amp;creator=factset&amp;DYN_ARGS=TRUE&amp;DOC_NAME=FAT:FQL_AUDITING_CLIENT_TEMPLATE.FAT&amp;display_string=Audit&amp;VAR:KEY=NAHWJCVMXQ&amp;VAR:QUERY=RkVfVkFMVUFUSU9OKCdQQlBTJywnTUVBTicsJ0FOTlVBTCcsMjAwOSwwLCwsJycp&amp;WINDOW=FIRST_POPUP&amp;H","EIGHT=450&amp;WIDTH=450&amp;START_MAXIMIZED=FALSE&amp;VAR:CALENDAR=US&amp;VAR:INDEX=0"}</definedName>
    <definedName name="_76__FDSAUDITLINK__" localSheetId="2" hidden="1">{"fdsup://directions/FAT Viewer?action=UPDATE&amp;creator=factset&amp;DYN_ARGS=TRUE&amp;DOC_NAME=FAT:FQL_AUDITING_CLIENT_TEMPLATE.FAT&amp;display_string=Audit&amp;VAR:KEY=NAHWJCVMXQ&amp;VAR:QUERY=RkVfVkFMVUFUSU9OKCdQQlBTJywnTUVBTicsJ0FOTlVBTCcsMjAwOSwwLCwsJycp&amp;WINDOW=FIRST_POPUP&amp;H","EIGHT=450&amp;WIDTH=450&amp;START_MAXIMIZED=FALSE&amp;VAR:CALENDAR=US&amp;VAR:INDEX=0"}</definedName>
    <definedName name="_76__FDSAUDITLINK__" hidden="1">{"fdsup://directions/FAT Viewer?action=UPDATE&amp;creator=factset&amp;DYN_ARGS=TRUE&amp;DOC_NAME=FAT:FQL_AUDITING_CLIENT_TEMPLATE.FAT&amp;display_string=Audit&amp;VAR:KEY=NAHWJCVMXQ&amp;VAR:QUERY=RkVfVkFMVUFUSU9OKCdQQlBTJywnTUVBTicsJ0FOTlVBTCcsMjAwOSwwLCwsJycp&amp;WINDOW=FIRST_POPUP&amp;H","EIGHT=450&amp;WIDTH=450&amp;START_MAXIMIZED=FALSE&amp;VAR:CALENDAR=US&amp;VAR:INDEX=0"}</definedName>
    <definedName name="_760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761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762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763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764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765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766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767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768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769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77__FDSAUDITLINK__" localSheetId="6" hidden="1">{"fdsup://directions/FAT Viewer?action=UPDATE&amp;creator=factset&amp;DYN_ARGS=TRUE&amp;DOC_NAME=FAT:FQL_AUDITING_CLIENT_TEMPLATE.FAT&amp;display_string=Audit&amp;VAR:KEY=DGPMDIBWVA&amp;VAR:QUERY=RkVfVkFMVUFUSU9OKCdQQlBTJywnTUVBTicsJ0FOTlVBTCcsMjAxMCwwLCwsJycp&amp;WINDOW=FIRST_POPUP&amp;H","EIGHT=450&amp;WIDTH=450&amp;START_MAXIMIZED=FALSE&amp;VAR:CALENDAR=US&amp;VAR:SYMBOL=5497168&amp;VAR:INDEX=0"}</definedName>
    <definedName name="_77__FDSAUDITLINK__" localSheetId="8" hidden="1">{"fdsup://directions/FAT Viewer?action=UPDATE&amp;creator=factset&amp;DYN_ARGS=TRUE&amp;DOC_NAME=FAT:FQL_AUDITING_CLIENT_TEMPLATE.FAT&amp;display_string=Audit&amp;VAR:KEY=DGPMDIBWVA&amp;VAR:QUERY=RkVfVkFMVUFUSU9OKCdQQlBTJywnTUVBTicsJ0FOTlVBTCcsMjAxMCwwLCwsJycp&amp;WINDOW=FIRST_POPUP&amp;H","EIGHT=450&amp;WIDTH=450&amp;START_MAXIMIZED=FALSE&amp;VAR:CALENDAR=US&amp;VAR:SYMBOL=5497168&amp;VAR:INDEX=0"}</definedName>
    <definedName name="_77__FDSAUDITLINK__" localSheetId="2" hidden="1">{"fdsup://directions/FAT Viewer?action=UPDATE&amp;creator=factset&amp;DYN_ARGS=TRUE&amp;DOC_NAME=FAT:FQL_AUDITING_CLIENT_TEMPLATE.FAT&amp;display_string=Audit&amp;VAR:KEY=DGPMDIBWVA&amp;VAR:QUERY=RkVfVkFMVUFUSU9OKCdQQlBTJywnTUVBTicsJ0FOTlVBTCcsMjAxMCwwLCwsJycp&amp;WINDOW=FIRST_POPUP&amp;H","EIGHT=450&amp;WIDTH=450&amp;START_MAXIMIZED=FALSE&amp;VAR:CALENDAR=US&amp;VAR:SYMBOL=5497168&amp;VAR:INDEX=0"}</definedName>
    <definedName name="_77__FDSAUDITLINK__" hidden="1">{"fdsup://directions/FAT Viewer?action=UPDATE&amp;creator=factset&amp;DYN_ARGS=TRUE&amp;DOC_NAME=FAT:FQL_AUDITING_CLIENT_TEMPLATE.FAT&amp;display_string=Audit&amp;VAR:KEY=DGPMDIBWVA&amp;VAR:QUERY=RkVfVkFMVUFUSU9OKCdQQlBTJywnTUVBTicsJ0FOTlVBTCcsMjAxMCwwLCwsJycp&amp;WINDOW=FIRST_POPUP&amp;H","EIGHT=450&amp;WIDTH=450&amp;START_MAXIMIZED=FALSE&amp;VAR:CALENDAR=US&amp;VAR:SYMBOL=5497168&amp;VAR:INDEX=0"}</definedName>
    <definedName name="_770__FDSAUDITLINK__" hidden="1">{"fdsup://directions/FAT Viewer?action=UPDATE&amp;creator=factset&amp;DYN_ARGS=TRUE&amp;DOC_NAME=FAT:FQL_AUDITING_CLIENT_TEMPLATE.FAT&amp;display_string=Audit&amp;VAR:KEY=MZMZIRGRQD&amp;VAR:QUERY=RkZfREVCVChBTk4sMjAwOSk=&amp;WINDOW=FIRST_POPUP&amp;HEIGHT=450&amp;WIDTH=450&amp;START_MAXIMIZED=FALS","E&amp;VAR:CALENDAR=US&amp;VAR:SYMBOL=CMLP&amp;VAR:INDEX=0"}</definedName>
    <definedName name="_771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772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773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774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775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776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777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778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779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78__FDSAUDITLINK__" localSheetId="6" hidden="1">{"fdsup://directions/FAT Viewer?action=UPDATE&amp;creator=factset&amp;DYN_ARGS=TRUE&amp;DOC_NAME=FAT:FQL_AUDITING_CLIENT_TEMPLATE.FAT&amp;display_string=Audit&amp;VAR:KEY=DGPMDIBWVA&amp;VAR:QUERY=RkVfVkFMVUFUSU9OKCdQQlBTJywnTUVBTicsJ0FOTlVBTCcsMjAxMCwwLCwsJycp&amp;WINDOW=FIRST_POPUP&amp;H","EIGHT=450&amp;WIDTH=450&amp;START_MAXIMIZED=FALSE&amp;VAR:CALENDAR=US&amp;VAR:SYMBOL=5497168&amp;VAR:INDEX=0"}</definedName>
    <definedName name="_78__FDSAUDITLINK__" localSheetId="8" hidden="1">{"fdsup://directions/FAT Viewer?action=UPDATE&amp;creator=factset&amp;DYN_ARGS=TRUE&amp;DOC_NAME=FAT:FQL_AUDITING_CLIENT_TEMPLATE.FAT&amp;display_string=Audit&amp;VAR:KEY=DGPMDIBWVA&amp;VAR:QUERY=RkVfVkFMVUFUSU9OKCdQQlBTJywnTUVBTicsJ0FOTlVBTCcsMjAxMCwwLCwsJycp&amp;WINDOW=FIRST_POPUP&amp;H","EIGHT=450&amp;WIDTH=450&amp;START_MAXIMIZED=FALSE&amp;VAR:CALENDAR=US&amp;VAR:SYMBOL=5497168&amp;VAR:INDEX=0"}</definedName>
    <definedName name="_78__FDSAUDITLINK__" localSheetId="2" hidden="1">{"fdsup://directions/FAT Viewer?action=UPDATE&amp;creator=factset&amp;DYN_ARGS=TRUE&amp;DOC_NAME=FAT:FQL_AUDITING_CLIENT_TEMPLATE.FAT&amp;display_string=Audit&amp;VAR:KEY=DGPMDIBWVA&amp;VAR:QUERY=RkVfVkFMVUFUSU9OKCdQQlBTJywnTUVBTicsJ0FOTlVBTCcsMjAxMCwwLCwsJycp&amp;WINDOW=FIRST_POPUP&amp;H","EIGHT=450&amp;WIDTH=450&amp;START_MAXIMIZED=FALSE&amp;VAR:CALENDAR=US&amp;VAR:SYMBOL=5497168&amp;VAR:INDEX=0"}</definedName>
    <definedName name="_78__FDSAUDITLINK__" hidden="1">{"fdsup://directions/FAT Viewer?action=UPDATE&amp;creator=factset&amp;DYN_ARGS=TRUE&amp;DOC_NAME=FAT:FQL_AUDITING_CLIENT_TEMPLATE.FAT&amp;display_string=Audit&amp;VAR:KEY=DGPMDIBWVA&amp;VAR:QUERY=RkVfVkFMVUFUSU9OKCdQQlBTJywnTUVBTicsJ0FOTlVBTCcsMjAxMCwwLCwsJycp&amp;WINDOW=FIRST_POPUP&amp;H","EIGHT=450&amp;WIDTH=450&amp;START_MAXIMIZED=FALSE&amp;VAR:CALENDAR=US&amp;VAR:SYMBOL=5497168&amp;VAR:INDEX=0"}</definedName>
    <definedName name="_780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781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782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783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784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785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786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787__FDSAUDITLINK__" hidden="1">{"fdsup://directions/FAT Viewer?action=UPDATE&amp;creator=factset&amp;DYN_ARGS=TRUE&amp;DOC_NAME=FAT:FQL_AUDITING_CLIENT_TEMPLATE.FAT&amp;display_string=Audit&amp;VAR:KEY=MZMZIRGRQD&amp;VAR:QUERY=RkZfREVCVChBTk4sMjAwOSk=&amp;WINDOW=FIRST_POPUP&amp;HEIGHT=450&amp;WIDTH=450&amp;START_MAXIMIZED=FALS","E&amp;VAR:CALENDAR=US&amp;VAR:SYMBOL=CMLP&amp;VAR:INDEX=0"}</definedName>
    <definedName name="_788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789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79__FDSAUDITLINK__" localSheetId="6" hidden="1">{"fdsup://directions/FAT Viewer?action=UPDATE&amp;creator=factset&amp;DYN_ARGS=TRUE&amp;DOC_NAME=FAT:FQL_AUDITING_CLIENT_TEMPLATE.FAT&amp;display_string=Audit&amp;VAR:KEY=PSRIJSXIZC&amp;VAR:QUERY=RkVfVkFMVUFUSU9OKCdQQlBTJywnTUVBTicsJ0FOTlVBTCcsMjAwOSwwLCwsJycp&amp;WINDOW=FIRST_POPUP&amp;H","EIGHT=450&amp;WIDTH=450&amp;START_MAXIMIZED=FALSE&amp;VAR:CALENDAR=US&amp;VAR:SYMBOL=5497168&amp;VAR:INDEX=0"}</definedName>
    <definedName name="_79__FDSAUDITLINK__" localSheetId="8" hidden="1">{"fdsup://directions/FAT Viewer?action=UPDATE&amp;creator=factset&amp;DYN_ARGS=TRUE&amp;DOC_NAME=FAT:FQL_AUDITING_CLIENT_TEMPLATE.FAT&amp;display_string=Audit&amp;VAR:KEY=PSRIJSXIZC&amp;VAR:QUERY=RkVfVkFMVUFUSU9OKCdQQlBTJywnTUVBTicsJ0FOTlVBTCcsMjAwOSwwLCwsJycp&amp;WINDOW=FIRST_POPUP&amp;H","EIGHT=450&amp;WIDTH=450&amp;START_MAXIMIZED=FALSE&amp;VAR:CALENDAR=US&amp;VAR:SYMBOL=5497168&amp;VAR:INDEX=0"}</definedName>
    <definedName name="_79__FDSAUDITLINK__" localSheetId="2" hidden="1">{"fdsup://directions/FAT Viewer?action=UPDATE&amp;creator=factset&amp;DYN_ARGS=TRUE&amp;DOC_NAME=FAT:FQL_AUDITING_CLIENT_TEMPLATE.FAT&amp;display_string=Audit&amp;VAR:KEY=PSRIJSXIZC&amp;VAR:QUERY=RkVfVkFMVUFUSU9OKCdQQlBTJywnTUVBTicsJ0FOTlVBTCcsMjAwOSwwLCwsJycp&amp;WINDOW=FIRST_POPUP&amp;H","EIGHT=450&amp;WIDTH=450&amp;START_MAXIMIZED=FALSE&amp;VAR:CALENDAR=US&amp;VAR:SYMBOL=5497168&amp;VAR:INDEX=0"}</definedName>
    <definedName name="_79__FDSAUDITLINK__" hidden="1">{"fdsup://directions/FAT Viewer?action=UPDATE&amp;creator=factset&amp;DYN_ARGS=TRUE&amp;DOC_NAME=FAT:FQL_AUDITING_CLIENT_TEMPLATE.FAT&amp;display_string=Audit&amp;VAR:KEY=PSRIJSXIZC&amp;VAR:QUERY=RkVfVkFMVUFUSU9OKCdQQlBTJywnTUVBTicsJ0FOTlVBTCcsMjAwOSwwLCwsJycp&amp;WINDOW=FIRST_POPUP&amp;H","EIGHT=450&amp;WIDTH=450&amp;START_MAXIMIZED=FALSE&amp;VAR:CALENDAR=US&amp;VAR:SYMBOL=5497168&amp;VAR:INDEX=0"}</definedName>
    <definedName name="_790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791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792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793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794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795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796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797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798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799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8__FDSAUDITLINK__" localSheetId="6" hidden="1">{"fdsup://directions/FAT Viewer?action=UPDATE&amp;creator=factset&amp;DYN_ARGS=TRUE&amp;DOC_NAME=FAT:FQL_AUDITING_CLIENT_TEMPLATE.FAT&amp;display_string=Audit&amp;VAR:KEY=FALUTYBGPK&amp;VAR:QUERY=RkVfVkFMVUFUSU9OKCdQQlBTJywnTUVBTicsJ0FOTlVBTCcsMjAxMCwwLCwsJycp&amp;WINDOW=FIRST_POPUP&amp;H","EIGHT=450&amp;WIDTH=450&amp;START_MAXIMIZED=FALSE&amp;VAR:CALENDAR=FIVEDAY&amp;VAR:SYMBOL=648963&amp;VAR:INDEX=0"}</definedName>
    <definedName name="_8__FDSAUDITLINK__" localSheetId="8" hidden="1">{"fdsup://directions/FAT Viewer?action=UPDATE&amp;creator=factset&amp;DYN_ARGS=TRUE&amp;DOC_NAME=FAT:FQL_AUDITING_CLIENT_TEMPLATE.FAT&amp;display_string=Audit&amp;VAR:KEY=FALUTYBGPK&amp;VAR:QUERY=RkVfVkFMVUFUSU9OKCdQQlBTJywnTUVBTicsJ0FOTlVBTCcsMjAxMCwwLCwsJycp&amp;WINDOW=FIRST_POPUP&amp;H","EIGHT=450&amp;WIDTH=450&amp;START_MAXIMIZED=FALSE&amp;VAR:CALENDAR=FIVEDAY&amp;VAR:SYMBOL=648963&amp;VAR:INDEX=0"}</definedName>
    <definedName name="_8__FDSAUDITLINK__" localSheetId="2" hidden="1">{"fdsup://directions/FAT Viewer?action=UPDATE&amp;creator=factset&amp;DYN_ARGS=TRUE&amp;DOC_NAME=FAT:FQL_AUDITING_CLIENT_TEMPLATE.FAT&amp;display_string=Audit&amp;VAR:KEY=FALUTYBGPK&amp;VAR:QUERY=RkVfVkFMVUFUSU9OKCdQQlBTJywnTUVBTicsJ0FOTlVBTCcsMjAxMCwwLCwsJycp&amp;WINDOW=FIRST_POPUP&amp;H","EIGHT=450&amp;WIDTH=450&amp;START_MAXIMIZED=FALSE&amp;VAR:CALENDAR=FIVEDAY&amp;VAR:SYMBOL=648963&amp;VAR:INDEX=0"}</definedName>
    <definedName name="_8__FDSAUDITLINK__" hidden="1">{"fdsup://directions/FAT Viewer?action=UPDATE&amp;creator=factset&amp;DYN_ARGS=TRUE&amp;DOC_NAME=FAT:FQL_AUDITING_CLIENT_TEMPLATE.FAT&amp;display_string=Audit&amp;VAR:KEY=FALUTYBGPK&amp;VAR:QUERY=RkVfVkFMVUFUSU9OKCdQQlBTJywnTUVBTicsJ0FOTlVBTCcsMjAxMCwwLCwsJycp&amp;WINDOW=FIRST_POPUP&amp;H","EIGHT=450&amp;WIDTH=450&amp;START_MAXIMIZED=FALSE&amp;VAR:CALENDAR=FIVEDAY&amp;VAR:SYMBOL=648963&amp;VAR:INDEX=0"}</definedName>
    <definedName name="_80__FDSAUDITLINK__" localSheetId="6" hidden="1">{"fdsup://directions/FAT Viewer?action=UPDATE&amp;creator=factset&amp;DYN_ARGS=TRUE&amp;DOC_NAME=FAT:FQL_AUDITING_CLIENT_TEMPLATE.FAT&amp;display_string=Audit&amp;VAR:KEY=PSRIJSXIZC&amp;VAR:QUERY=RkVfVkFMVUFUSU9OKCdQQlBTJywnTUVBTicsJ0FOTlVBTCcsMjAwOSwwLCwsJycp&amp;WINDOW=FIRST_POPUP&amp;H","EIGHT=450&amp;WIDTH=450&amp;START_MAXIMIZED=FALSE&amp;VAR:CALENDAR=US&amp;VAR:SYMBOL=5497168&amp;VAR:INDEX=0"}</definedName>
    <definedName name="_80__FDSAUDITLINK__" localSheetId="8" hidden="1">{"fdsup://directions/FAT Viewer?action=UPDATE&amp;creator=factset&amp;DYN_ARGS=TRUE&amp;DOC_NAME=FAT:FQL_AUDITING_CLIENT_TEMPLATE.FAT&amp;display_string=Audit&amp;VAR:KEY=PSRIJSXIZC&amp;VAR:QUERY=RkVfVkFMVUFUSU9OKCdQQlBTJywnTUVBTicsJ0FOTlVBTCcsMjAwOSwwLCwsJycp&amp;WINDOW=FIRST_POPUP&amp;H","EIGHT=450&amp;WIDTH=450&amp;START_MAXIMIZED=FALSE&amp;VAR:CALENDAR=US&amp;VAR:SYMBOL=5497168&amp;VAR:INDEX=0"}</definedName>
    <definedName name="_80__FDSAUDITLINK__" localSheetId="2" hidden="1">{"fdsup://directions/FAT Viewer?action=UPDATE&amp;creator=factset&amp;DYN_ARGS=TRUE&amp;DOC_NAME=FAT:FQL_AUDITING_CLIENT_TEMPLATE.FAT&amp;display_string=Audit&amp;VAR:KEY=PSRIJSXIZC&amp;VAR:QUERY=RkVfVkFMVUFUSU9OKCdQQlBTJywnTUVBTicsJ0FOTlVBTCcsMjAwOSwwLCwsJycp&amp;WINDOW=FIRST_POPUP&amp;H","EIGHT=450&amp;WIDTH=450&amp;START_MAXIMIZED=FALSE&amp;VAR:CALENDAR=US&amp;VAR:SYMBOL=5497168&amp;VAR:INDEX=0"}</definedName>
    <definedName name="_80__FDSAUDITLINK__" hidden="1">{"fdsup://directions/FAT Viewer?action=UPDATE&amp;creator=factset&amp;DYN_ARGS=TRUE&amp;DOC_NAME=FAT:FQL_AUDITING_CLIENT_TEMPLATE.FAT&amp;display_string=Audit&amp;VAR:KEY=PSRIJSXIZC&amp;VAR:QUERY=RkVfVkFMVUFUSU9OKCdQQlBTJywnTUVBTicsJ0FOTlVBTCcsMjAwOSwwLCwsJycp&amp;WINDOW=FIRST_POPUP&amp;H","EIGHT=450&amp;WIDTH=450&amp;START_MAXIMIZED=FALSE&amp;VAR:CALENDAR=US&amp;VAR:SYMBOL=5497168&amp;VAR:INDEX=0"}</definedName>
    <definedName name="_800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801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802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803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804__FDSAUDITLINK__" hidden="1">{"fdsup://directions/FAT Viewer?action=UPDATE&amp;creator=factset&amp;DYN_ARGS=TRUE&amp;DOC_NAME=FAT:FQL_AUDITING_CLIENT_TEMPLATE.FAT&amp;display_string=Audit&amp;VAR:KEY=MZMZIRGRQD&amp;VAR:QUERY=RkZfREVCVChBTk4sMjAwOSk=&amp;WINDOW=FIRST_POPUP&amp;HEIGHT=450&amp;WIDTH=450&amp;START_MAXIMIZED=FALS","E&amp;VAR:CALENDAR=US&amp;VAR:SYMBOL=CMLP&amp;VAR:INDEX=0"}</definedName>
    <definedName name="_805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806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807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808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809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81__FDSAUDITLINK__" localSheetId="6" hidden="1">{"fdsup://directions/FAT Viewer?action=UPDATE&amp;creator=factset&amp;DYN_ARGS=TRUE&amp;DOC_NAME=FAT:FQL_AUDITING_CLIENT_TEMPLATE.FAT&amp;display_string=Audit&amp;VAR:KEY=HYJWBIFEPE&amp;VAR:QUERY=RkVfVkFMVUFUSU9OKCdQQlBTJywnTUVBTicsJ0FOTlVBTCcsMjAxMiwwLCwsJycp&amp;WINDOW=FIRST_POPUP&amp;H","EIGHT=450&amp;WIDTH=450&amp;START_MAXIMIZED=FALSE&amp;VAR:CALENDAR=US&amp;VAR:SYMBOL=5497168&amp;VAR:INDEX=0"}</definedName>
    <definedName name="_81__FDSAUDITLINK__" localSheetId="8" hidden="1">{"fdsup://directions/FAT Viewer?action=UPDATE&amp;creator=factset&amp;DYN_ARGS=TRUE&amp;DOC_NAME=FAT:FQL_AUDITING_CLIENT_TEMPLATE.FAT&amp;display_string=Audit&amp;VAR:KEY=HYJWBIFEPE&amp;VAR:QUERY=RkVfVkFMVUFUSU9OKCdQQlBTJywnTUVBTicsJ0FOTlVBTCcsMjAxMiwwLCwsJycp&amp;WINDOW=FIRST_POPUP&amp;H","EIGHT=450&amp;WIDTH=450&amp;START_MAXIMIZED=FALSE&amp;VAR:CALENDAR=US&amp;VAR:SYMBOL=5497168&amp;VAR:INDEX=0"}</definedName>
    <definedName name="_81__FDSAUDITLINK__" localSheetId="2" hidden="1">{"fdsup://directions/FAT Viewer?action=UPDATE&amp;creator=factset&amp;DYN_ARGS=TRUE&amp;DOC_NAME=FAT:FQL_AUDITING_CLIENT_TEMPLATE.FAT&amp;display_string=Audit&amp;VAR:KEY=HYJWBIFEPE&amp;VAR:QUERY=RkVfVkFMVUFUSU9OKCdQQlBTJywnTUVBTicsJ0FOTlVBTCcsMjAxMiwwLCwsJycp&amp;WINDOW=FIRST_POPUP&amp;H","EIGHT=450&amp;WIDTH=450&amp;START_MAXIMIZED=FALSE&amp;VAR:CALENDAR=US&amp;VAR:SYMBOL=5497168&amp;VAR:INDEX=0"}</definedName>
    <definedName name="_81__FDSAUDITLINK__" hidden="1">{"fdsup://directions/FAT Viewer?action=UPDATE&amp;creator=factset&amp;DYN_ARGS=TRUE&amp;DOC_NAME=FAT:FQL_AUDITING_CLIENT_TEMPLATE.FAT&amp;display_string=Audit&amp;VAR:KEY=HYJWBIFEPE&amp;VAR:QUERY=RkVfVkFMVUFUSU9OKCdQQlBTJywnTUVBTicsJ0FOTlVBTCcsMjAxMiwwLCwsJycp&amp;WINDOW=FIRST_POPUP&amp;H","EIGHT=450&amp;WIDTH=450&amp;START_MAXIMIZED=FALSE&amp;VAR:CALENDAR=US&amp;VAR:SYMBOL=5497168&amp;VAR:INDEX=0"}</definedName>
    <definedName name="_810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811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812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813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814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815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816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817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818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819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82__FDSAUDITLINK__" localSheetId="6" hidden="1">{"fdsup://directions/FAT Viewer?action=UPDATE&amp;creator=factset&amp;DYN_ARGS=TRUE&amp;DOC_NAME=FAT:FQL_AUDITING_CLIENT_TEMPLATE.FAT&amp;display_string=Audit&amp;VAR:KEY=HYJWBIFEPE&amp;VAR:QUERY=RkVfVkFMVUFUSU9OKCdQQlBTJywnTUVBTicsJ0FOTlVBTCcsMjAxMiwwLCwsJycp&amp;WINDOW=FIRST_POPUP&amp;H","EIGHT=450&amp;WIDTH=450&amp;START_MAXIMIZED=FALSE&amp;VAR:CALENDAR=US&amp;VAR:SYMBOL=5497168&amp;VAR:INDEX=0"}</definedName>
    <definedName name="_82__FDSAUDITLINK__" localSheetId="8" hidden="1">{"fdsup://directions/FAT Viewer?action=UPDATE&amp;creator=factset&amp;DYN_ARGS=TRUE&amp;DOC_NAME=FAT:FQL_AUDITING_CLIENT_TEMPLATE.FAT&amp;display_string=Audit&amp;VAR:KEY=HYJWBIFEPE&amp;VAR:QUERY=RkVfVkFMVUFUSU9OKCdQQlBTJywnTUVBTicsJ0FOTlVBTCcsMjAxMiwwLCwsJycp&amp;WINDOW=FIRST_POPUP&amp;H","EIGHT=450&amp;WIDTH=450&amp;START_MAXIMIZED=FALSE&amp;VAR:CALENDAR=US&amp;VAR:SYMBOL=5497168&amp;VAR:INDEX=0"}</definedName>
    <definedName name="_82__FDSAUDITLINK__" localSheetId="2" hidden="1">{"fdsup://directions/FAT Viewer?action=UPDATE&amp;creator=factset&amp;DYN_ARGS=TRUE&amp;DOC_NAME=FAT:FQL_AUDITING_CLIENT_TEMPLATE.FAT&amp;display_string=Audit&amp;VAR:KEY=HYJWBIFEPE&amp;VAR:QUERY=RkVfVkFMVUFUSU9OKCdQQlBTJywnTUVBTicsJ0FOTlVBTCcsMjAxMiwwLCwsJycp&amp;WINDOW=FIRST_POPUP&amp;H","EIGHT=450&amp;WIDTH=450&amp;START_MAXIMIZED=FALSE&amp;VAR:CALENDAR=US&amp;VAR:SYMBOL=5497168&amp;VAR:INDEX=0"}</definedName>
    <definedName name="_82__FDSAUDITLINK__" hidden="1">{"fdsup://directions/FAT Viewer?action=UPDATE&amp;creator=factset&amp;DYN_ARGS=TRUE&amp;DOC_NAME=FAT:FQL_AUDITING_CLIENT_TEMPLATE.FAT&amp;display_string=Audit&amp;VAR:KEY=HYJWBIFEPE&amp;VAR:QUERY=RkVfVkFMVUFUSU9OKCdQQlBTJywnTUVBTicsJ0FOTlVBTCcsMjAxMiwwLCwsJycp&amp;WINDOW=FIRST_POPUP&amp;H","EIGHT=450&amp;WIDTH=450&amp;START_MAXIMIZED=FALSE&amp;VAR:CALENDAR=US&amp;VAR:SYMBOL=5497168&amp;VAR:INDEX=0"}</definedName>
    <definedName name="_820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821__FDSAUDITLINK__" hidden="1">{"fdsup://directions/FAT Viewer?action=UPDATE&amp;creator=factset&amp;DYN_ARGS=TRUE&amp;DOC_NAME=FAT:FQL_AUDITING_CLIENT_TEMPLATE.FAT&amp;display_string=Audit&amp;VAR:KEY=MZMZIRGRQD&amp;VAR:QUERY=RkZfREVCVChBTk4sMjAwOSk=&amp;WINDOW=FIRST_POPUP&amp;HEIGHT=450&amp;WIDTH=450&amp;START_MAXIMIZED=FALS","E&amp;VAR:CALENDAR=US&amp;VAR:SYMBOL=CMLP&amp;VAR:INDEX=0"}</definedName>
    <definedName name="_822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823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824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825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826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827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828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829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83__FDSAUDITLINK__" localSheetId="6" hidden="1">{"fdsup://directions/FAT Viewer?action=UPDATE&amp;creator=factset&amp;DYN_ARGS=TRUE&amp;DOC_NAME=FAT:FQL_AUDITING_CLIENT_TEMPLATE.FAT&amp;display_string=Audit&amp;VAR:KEY=NQVWRUXWFO&amp;VAR:QUERY=RkVfVkFMVUFUSU9OKCdQQlBTJywnTUVBTicsJ0FOTlVBTCcsMjAxMSwwLCwsJycp&amp;WINDOW=FIRST_POPUP&amp;H","EIGHT=450&amp;WIDTH=450&amp;START_MAXIMIZED=FALSE&amp;VAR:CALENDAR=US&amp;VAR:SYMBOL=5497168&amp;VAR:INDEX=0"}</definedName>
    <definedName name="_83__FDSAUDITLINK__" localSheetId="8" hidden="1">{"fdsup://directions/FAT Viewer?action=UPDATE&amp;creator=factset&amp;DYN_ARGS=TRUE&amp;DOC_NAME=FAT:FQL_AUDITING_CLIENT_TEMPLATE.FAT&amp;display_string=Audit&amp;VAR:KEY=NQVWRUXWFO&amp;VAR:QUERY=RkVfVkFMVUFUSU9OKCdQQlBTJywnTUVBTicsJ0FOTlVBTCcsMjAxMSwwLCwsJycp&amp;WINDOW=FIRST_POPUP&amp;H","EIGHT=450&amp;WIDTH=450&amp;START_MAXIMIZED=FALSE&amp;VAR:CALENDAR=US&amp;VAR:SYMBOL=5497168&amp;VAR:INDEX=0"}</definedName>
    <definedName name="_83__FDSAUDITLINK__" localSheetId="2" hidden="1">{"fdsup://directions/FAT Viewer?action=UPDATE&amp;creator=factset&amp;DYN_ARGS=TRUE&amp;DOC_NAME=FAT:FQL_AUDITING_CLIENT_TEMPLATE.FAT&amp;display_string=Audit&amp;VAR:KEY=NQVWRUXWFO&amp;VAR:QUERY=RkVfVkFMVUFUSU9OKCdQQlBTJywnTUVBTicsJ0FOTlVBTCcsMjAxMSwwLCwsJycp&amp;WINDOW=FIRST_POPUP&amp;H","EIGHT=450&amp;WIDTH=450&amp;START_MAXIMIZED=FALSE&amp;VAR:CALENDAR=US&amp;VAR:SYMBOL=5497168&amp;VAR:INDEX=0"}</definedName>
    <definedName name="_83__FDSAUDITLINK__" hidden="1">{"fdsup://directions/FAT Viewer?action=UPDATE&amp;creator=factset&amp;DYN_ARGS=TRUE&amp;DOC_NAME=FAT:FQL_AUDITING_CLIENT_TEMPLATE.FAT&amp;display_string=Audit&amp;VAR:KEY=NQVWRUXWFO&amp;VAR:QUERY=RkVfVkFMVUFUSU9OKCdQQlBTJywnTUVBTicsJ0FOTlVBTCcsMjAxMSwwLCwsJycp&amp;WINDOW=FIRST_POPUP&amp;H","EIGHT=450&amp;WIDTH=450&amp;START_MAXIMIZED=FALSE&amp;VAR:CALENDAR=US&amp;VAR:SYMBOL=5497168&amp;VAR:INDEX=0"}</definedName>
    <definedName name="_830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831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832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833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834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835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836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837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838__FDSAUDITLINK__" hidden="1">{"fdsup://directions/FAT Viewer?action=UPDATE&amp;creator=factset&amp;DYN_ARGS=TRUE&amp;DOC_NAME=FAT:FQL_AUDITING_CLIENT_TEMPLATE.FAT&amp;display_string=Audit&amp;VAR:KEY=MZMZIRGRQD&amp;VAR:QUERY=RkZfREVCVChBTk4sMjAwOSk=&amp;WINDOW=FIRST_POPUP&amp;HEIGHT=450&amp;WIDTH=450&amp;START_MAXIMIZED=FALS","E&amp;VAR:CALENDAR=US&amp;VAR:SYMBOL=CMLP&amp;VAR:INDEX=0"}</definedName>
    <definedName name="_839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84__FDSAUDITLINK__" localSheetId="6" hidden="1">{"fdsup://directions/FAT Viewer?action=UPDATE&amp;creator=factset&amp;DYN_ARGS=TRUE&amp;DOC_NAME=FAT:FQL_AUDITING_CLIENT_TEMPLATE.FAT&amp;display_string=Audit&amp;VAR:KEY=NQVWRUXWFO&amp;VAR:QUERY=RkVfVkFMVUFUSU9OKCdQQlBTJywnTUVBTicsJ0FOTlVBTCcsMjAxMSwwLCwsJycp&amp;WINDOW=FIRST_POPUP&amp;H","EIGHT=450&amp;WIDTH=450&amp;START_MAXIMIZED=FALSE&amp;VAR:CALENDAR=US&amp;VAR:SYMBOL=5497168&amp;VAR:INDEX=0"}</definedName>
    <definedName name="_84__FDSAUDITLINK__" localSheetId="8" hidden="1">{"fdsup://directions/FAT Viewer?action=UPDATE&amp;creator=factset&amp;DYN_ARGS=TRUE&amp;DOC_NAME=FAT:FQL_AUDITING_CLIENT_TEMPLATE.FAT&amp;display_string=Audit&amp;VAR:KEY=NQVWRUXWFO&amp;VAR:QUERY=RkVfVkFMVUFUSU9OKCdQQlBTJywnTUVBTicsJ0FOTlVBTCcsMjAxMSwwLCwsJycp&amp;WINDOW=FIRST_POPUP&amp;H","EIGHT=450&amp;WIDTH=450&amp;START_MAXIMIZED=FALSE&amp;VAR:CALENDAR=US&amp;VAR:SYMBOL=5497168&amp;VAR:INDEX=0"}</definedName>
    <definedName name="_84__FDSAUDITLINK__" localSheetId="2" hidden="1">{"fdsup://directions/FAT Viewer?action=UPDATE&amp;creator=factset&amp;DYN_ARGS=TRUE&amp;DOC_NAME=FAT:FQL_AUDITING_CLIENT_TEMPLATE.FAT&amp;display_string=Audit&amp;VAR:KEY=NQVWRUXWFO&amp;VAR:QUERY=RkVfVkFMVUFUSU9OKCdQQlBTJywnTUVBTicsJ0FOTlVBTCcsMjAxMSwwLCwsJycp&amp;WINDOW=FIRST_POPUP&amp;H","EIGHT=450&amp;WIDTH=450&amp;START_MAXIMIZED=FALSE&amp;VAR:CALENDAR=US&amp;VAR:SYMBOL=5497168&amp;VAR:INDEX=0"}</definedName>
    <definedName name="_84__FDSAUDITLINK__" hidden="1">{"fdsup://directions/FAT Viewer?action=UPDATE&amp;creator=factset&amp;DYN_ARGS=TRUE&amp;DOC_NAME=FAT:FQL_AUDITING_CLIENT_TEMPLATE.FAT&amp;display_string=Audit&amp;VAR:KEY=NQVWRUXWFO&amp;VAR:QUERY=RkVfVkFMVUFUSU9OKCdQQlBTJywnTUVBTicsJ0FOTlVBTCcsMjAxMSwwLCwsJycp&amp;WINDOW=FIRST_POPUP&amp;H","EIGHT=450&amp;WIDTH=450&amp;START_MAXIMIZED=FALSE&amp;VAR:CALENDAR=US&amp;VAR:SYMBOL=5497168&amp;VAR:INDEX=0"}</definedName>
    <definedName name="_840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841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842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843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844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845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846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847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848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849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85__FDSAUDITLINK__" localSheetId="6" hidden="1">{"fdsup://directions/FAT Viewer?action=UPDATE&amp;creator=factset&amp;DYN_ARGS=TRUE&amp;DOC_NAME=FAT:FQL_AUDITING_CLIENT_TEMPLATE.FAT&amp;display_string=Audit&amp;VAR:KEY=RCNCLSNQFI&amp;VAR:QUERY=RkVfVkFMVUFUSU9OKCdQQlBTJywnTUVBTicsJ0FOTlVBTCcsMjAxMiwwLCwsJycp&amp;WINDOW=FIRST_POPUP&amp;H","EIGHT=450&amp;WIDTH=450&amp;START_MAXIMIZED=FALSE&amp;VAR:CALENDAR=US&amp;VAR:INDEX=0"}</definedName>
    <definedName name="_85__FDSAUDITLINK__" localSheetId="8" hidden="1">{"fdsup://directions/FAT Viewer?action=UPDATE&amp;creator=factset&amp;DYN_ARGS=TRUE&amp;DOC_NAME=FAT:FQL_AUDITING_CLIENT_TEMPLATE.FAT&amp;display_string=Audit&amp;VAR:KEY=RCNCLSNQFI&amp;VAR:QUERY=RkVfVkFMVUFUSU9OKCdQQlBTJywnTUVBTicsJ0FOTlVBTCcsMjAxMiwwLCwsJycp&amp;WINDOW=FIRST_POPUP&amp;H","EIGHT=450&amp;WIDTH=450&amp;START_MAXIMIZED=FALSE&amp;VAR:CALENDAR=US&amp;VAR:INDEX=0"}</definedName>
    <definedName name="_85__FDSAUDITLINK__" localSheetId="2" hidden="1">{"fdsup://directions/FAT Viewer?action=UPDATE&amp;creator=factset&amp;DYN_ARGS=TRUE&amp;DOC_NAME=FAT:FQL_AUDITING_CLIENT_TEMPLATE.FAT&amp;display_string=Audit&amp;VAR:KEY=RCNCLSNQFI&amp;VAR:QUERY=RkVfVkFMVUFUSU9OKCdQQlBTJywnTUVBTicsJ0FOTlVBTCcsMjAxMiwwLCwsJycp&amp;WINDOW=FIRST_POPUP&amp;H","EIGHT=450&amp;WIDTH=450&amp;START_MAXIMIZED=FALSE&amp;VAR:CALENDAR=US&amp;VAR:INDEX=0"}</definedName>
    <definedName name="_85__FDSAUDITLINK__" hidden="1">{"fdsup://directions/FAT Viewer?action=UPDATE&amp;creator=factset&amp;DYN_ARGS=TRUE&amp;DOC_NAME=FAT:FQL_AUDITING_CLIENT_TEMPLATE.FAT&amp;display_string=Audit&amp;VAR:KEY=RCNCLSNQFI&amp;VAR:QUERY=RkVfVkFMVUFUSU9OKCdQQlBTJywnTUVBTicsJ0FOTlVBTCcsMjAxMiwwLCwsJycp&amp;WINDOW=FIRST_POPUP&amp;H","EIGHT=450&amp;WIDTH=450&amp;START_MAXIMIZED=FALSE&amp;VAR:CALENDAR=US&amp;VAR:INDEX=0"}</definedName>
    <definedName name="_850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851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852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853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854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855__FDSAUDITLINK__" hidden="1">{"fdsup://directions/FAT Viewer?action=UPDATE&amp;creator=factset&amp;DYN_ARGS=TRUE&amp;DOC_NAME=FAT:FQL_AUDITING_CLIENT_TEMPLATE.FAT&amp;display_string=Audit&amp;VAR:KEY=MZMZIRGRQD&amp;VAR:QUERY=RkZfREVCVChBTk4sMjAwOSk=&amp;WINDOW=FIRST_POPUP&amp;HEIGHT=450&amp;WIDTH=450&amp;START_MAXIMIZED=FALS","E&amp;VAR:CALENDAR=US&amp;VAR:SYMBOL=CMLP&amp;VAR:INDEX=0"}</definedName>
    <definedName name="_856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857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858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859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86__FDSAUDITLINK__" localSheetId="6" hidden="1">{"fdsup://directions/FAT Viewer?action=UPDATE&amp;creator=factset&amp;DYN_ARGS=TRUE&amp;DOC_NAME=FAT:FQL_AUDITING_CLIENT_TEMPLATE.FAT&amp;display_string=Audit&amp;VAR:KEY=ZUXAFKPSPW&amp;VAR:QUERY=RkVfVkFMVUFUSU9OKCdQQlBTJywnTUVBTicsJ0FOTlVBTCcsMjAxMSwwLCwsJycp&amp;WINDOW=FIRST_POPUP&amp;H","EIGHT=450&amp;WIDTH=450&amp;START_MAXIMIZED=FALSE&amp;VAR:CALENDAR=US&amp;VAR:INDEX=0"}</definedName>
    <definedName name="_86__FDSAUDITLINK__" localSheetId="8" hidden="1">{"fdsup://directions/FAT Viewer?action=UPDATE&amp;creator=factset&amp;DYN_ARGS=TRUE&amp;DOC_NAME=FAT:FQL_AUDITING_CLIENT_TEMPLATE.FAT&amp;display_string=Audit&amp;VAR:KEY=ZUXAFKPSPW&amp;VAR:QUERY=RkVfVkFMVUFUSU9OKCdQQlBTJywnTUVBTicsJ0FOTlVBTCcsMjAxMSwwLCwsJycp&amp;WINDOW=FIRST_POPUP&amp;H","EIGHT=450&amp;WIDTH=450&amp;START_MAXIMIZED=FALSE&amp;VAR:CALENDAR=US&amp;VAR:INDEX=0"}</definedName>
    <definedName name="_86__FDSAUDITLINK__" localSheetId="2" hidden="1">{"fdsup://directions/FAT Viewer?action=UPDATE&amp;creator=factset&amp;DYN_ARGS=TRUE&amp;DOC_NAME=FAT:FQL_AUDITING_CLIENT_TEMPLATE.FAT&amp;display_string=Audit&amp;VAR:KEY=ZUXAFKPSPW&amp;VAR:QUERY=RkVfVkFMVUFUSU9OKCdQQlBTJywnTUVBTicsJ0FOTlVBTCcsMjAxMSwwLCwsJycp&amp;WINDOW=FIRST_POPUP&amp;H","EIGHT=450&amp;WIDTH=450&amp;START_MAXIMIZED=FALSE&amp;VAR:CALENDAR=US&amp;VAR:INDEX=0"}</definedName>
    <definedName name="_86__FDSAUDITLINK__" hidden="1">{"fdsup://directions/FAT Viewer?action=UPDATE&amp;creator=factset&amp;DYN_ARGS=TRUE&amp;DOC_NAME=FAT:FQL_AUDITING_CLIENT_TEMPLATE.FAT&amp;display_string=Audit&amp;VAR:KEY=ZUXAFKPSPW&amp;VAR:QUERY=RkVfVkFMVUFUSU9OKCdQQlBTJywnTUVBTicsJ0FOTlVBTCcsMjAxMSwwLCwsJycp&amp;WINDOW=FIRST_POPUP&amp;H","EIGHT=450&amp;WIDTH=450&amp;START_MAXIMIZED=FALSE&amp;VAR:CALENDAR=US&amp;VAR:INDEX=0"}</definedName>
    <definedName name="_860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861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862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863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864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865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866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867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868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869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87__FDSAUDITLINK__" localSheetId="6" hidden="1">{"fdsup://directions/FAT Viewer?action=UPDATE&amp;creator=factset&amp;DYN_ARGS=TRUE&amp;DOC_NAME=FAT:FQL_AUDITING_CLIENT_TEMPLATE.FAT&amp;display_string=Audit&amp;VAR:KEY=NUZSVWFEZC&amp;VAR:QUERY=RkVfVkFMVUFUSU9OKCdQQlBTJywnTUVBTicsJ0FOTlVBTCcsMjAxMCwwLCwsJycp&amp;WINDOW=FIRST_POPUP&amp;H","EIGHT=450&amp;WIDTH=450&amp;START_MAXIMIZED=FALSE&amp;VAR:CALENDAR=US&amp;VAR:INDEX=0"}</definedName>
    <definedName name="_87__FDSAUDITLINK__" localSheetId="8" hidden="1">{"fdsup://directions/FAT Viewer?action=UPDATE&amp;creator=factset&amp;DYN_ARGS=TRUE&amp;DOC_NAME=FAT:FQL_AUDITING_CLIENT_TEMPLATE.FAT&amp;display_string=Audit&amp;VAR:KEY=NUZSVWFEZC&amp;VAR:QUERY=RkVfVkFMVUFUSU9OKCdQQlBTJywnTUVBTicsJ0FOTlVBTCcsMjAxMCwwLCwsJycp&amp;WINDOW=FIRST_POPUP&amp;H","EIGHT=450&amp;WIDTH=450&amp;START_MAXIMIZED=FALSE&amp;VAR:CALENDAR=US&amp;VAR:INDEX=0"}</definedName>
    <definedName name="_87__FDSAUDITLINK__" localSheetId="2" hidden="1">{"fdsup://directions/FAT Viewer?action=UPDATE&amp;creator=factset&amp;DYN_ARGS=TRUE&amp;DOC_NAME=FAT:FQL_AUDITING_CLIENT_TEMPLATE.FAT&amp;display_string=Audit&amp;VAR:KEY=NUZSVWFEZC&amp;VAR:QUERY=RkVfVkFMVUFUSU9OKCdQQlBTJywnTUVBTicsJ0FOTlVBTCcsMjAxMCwwLCwsJycp&amp;WINDOW=FIRST_POPUP&amp;H","EIGHT=450&amp;WIDTH=450&amp;START_MAXIMIZED=FALSE&amp;VAR:CALENDAR=US&amp;VAR:INDEX=0"}</definedName>
    <definedName name="_87__FDSAUDITLINK__" hidden="1">{"fdsup://directions/FAT Viewer?action=UPDATE&amp;creator=factset&amp;DYN_ARGS=TRUE&amp;DOC_NAME=FAT:FQL_AUDITING_CLIENT_TEMPLATE.FAT&amp;display_string=Audit&amp;VAR:KEY=NUZSVWFEZC&amp;VAR:QUERY=RkVfVkFMVUFUSU9OKCdQQlBTJywnTUVBTicsJ0FOTlVBTCcsMjAxMCwwLCwsJycp&amp;WINDOW=FIRST_POPUP&amp;H","EIGHT=450&amp;WIDTH=450&amp;START_MAXIMIZED=FALSE&amp;VAR:CALENDAR=US&amp;VAR:INDEX=0"}</definedName>
    <definedName name="_870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871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872__FDSAUDITLINK__" hidden="1">{"fdsup://directions/FAT Viewer?action=UPDATE&amp;creator=factset&amp;DYN_ARGS=TRUE&amp;DOC_NAME=FAT:FQL_AUDITING_CLIENT_TEMPLATE.FAT&amp;display_string=Audit&amp;VAR:KEY=MZMZIRGRQD&amp;VAR:QUERY=RkZfREVCVChBTk4sMjAwOSk=&amp;WINDOW=FIRST_POPUP&amp;HEIGHT=450&amp;WIDTH=450&amp;START_MAXIMIZED=FALS","E&amp;VAR:CALENDAR=US&amp;VAR:SYMBOL=CMLP&amp;VAR:INDEX=0"}</definedName>
    <definedName name="_873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874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875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876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877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878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879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88__FDSAUDITLINK__" localSheetId="6" hidden="1">{"fdsup://directions/FAT Viewer?action=UPDATE&amp;creator=factset&amp;DYN_ARGS=TRUE&amp;DOC_NAME=FAT:FQL_AUDITING_CLIENT_TEMPLATE.FAT&amp;display_string=Audit&amp;VAR:KEY=NAHWJCVMXQ&amp;VAR:QUERY=RkVfVkFMVUFUSU9OKCdQQlBTJywnTUVBTicsJ0FOTlVBTCcsMjAwOSwwLCwsJycp&amp;WINDOW=FIRST_POPUP&amp;H","EIGHT=450&amp;WIDTH=450&amp;START_MAXIMIZED=FALSE&amp;VAR:CALENDAR=US&amp;VAR:INDEX=0"}</definedName>
    <definedName name="_88__FDSAUDITLINK__" localSheetId="8" hidden="1">{"fdsup://directions/FAT Viewer?action=UPDATE&amp;creator=factset&amp;DYN_ARGS=TRUE&amp;DOC_NAME=FAT:FQL_AUDITING_CLIENT_TEMPLATE.FAT&amp;display_string=Audit&amp;VAR:KEY=NAHWJCVMXQ&amp;VAR:QUERY=RkVfVkFMVUFUSU9OKCdQQlBTJywnTUVBTicsJ0FOTlVBTCcsMjAwOSwwLCwsJycp&amp;WINDOW=FIRST_POPUP&amp;H","EIGHT=450&amp;WIDTH=450&amp;START_MAXIMIZED=FALSE&amp;VAR:CALENDAR=US&amp;VAR:INDEX=0"}</definedName>
    <definedName name="_88__FDSAUDITLINK__" localSheetId="2" hidden="1">{"fdsup://directions/FAT Viewer?action=UPDATE&amp;creator=factset&amp;DYN_ARGS=TRUE&amp;DOC_NAME=FAT:FQL_AUDITING_CLIENT_TEMPLATE.FAT&amp;display_string=Audit&amp;VAR:KEY=NAHWJCVMXQ&amp;VAR:QUERY=RkVfVkFMVUFUSU9OKCdQQlBTJywnTUVBTicsJ0FOTlVBTCcsMjAwOSwwLCwsJycp&amp;WINDOW=FIRST_POPUP&amp;H","EIGHT=450&amp;WIDTH=450&amp;START_MAXIMIZED=FALSE&amp;VAR:CALENDAR=US&amp;VAR:INDEX=0"}</definedName>
    <definedName name="_88__FDSAUDITLINK__" hidden="1">{"fdsup://directions/FAT Viewer?action=UPDATE&amp;creator=factset&amp;DYN_ARGS=TRUE&amp;DOC_NAME=FAT:FQL_AUDITING_CLIENT_TEMPLATE.FAT&amp;display_string=Audit&amp;VAR:KEY=NAHWJCVMXQ&amp;VAR:QUERY=RkVfVkFMVUFUSU9OKCdQQlBTJywnTUVBTicsJ0FOTlVBTCcsMjAwOSwwLCwsJycp&amp;WINDOW=FIRST_POPUP&amp;H","EIGHT=450&amp;WIDTH=450&amp;START_MAXIMIZED=FALSE&amp;VAR:CALENDAR=US&amp;VAR:INDEX=0"}</definedName>
    <definedName name="_880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881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882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883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884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885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886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887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888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889__FDSAUDITLINK__" hidden="1">{"fdsup://directions/FAT Viewer?action=UPDATE&amp;creator=factset&amp;DYN_ARGS=TRUE&amp;DOC_NAME=FAT:FQL_AUDITING_CLIENT_TEMPLATE.FAT&amp;display_string=Audit&amp;VAR:KEY=MZMZIRGRQD&amp;VAR:QUERY=RkZfREVCVChBTk4sMjAwOSk=&amp;WINDOW=FIRST_POPUP&amp;HEIGHT=450&amp;WIDTH=450&amp;START_MAXIMIZED=FALS","E&amp;VAR:CALENDAR=US&amp;VAR:SYMBOL=CMLP&amp;VAR:INDEX=0"}</definedName>
    <definedName name="_89__FDSAUDITLINK__" localSheetId="6" hidden="1">{"fdsup://directions/FAT Viewer?action=UPDATE&amp;creator=factset&amp;DYN_ARGS=TRUE&amp;DOC_NAME=FAT:FQL_AUDITING_CLIENT_TEMPLATE.FAT&amp;display_string=Audit&amp;VAR:KEY=HYJWBIFEPE&amp;VAR:QUERY=RkVfVkFMVUFUSU9OKCdQQlBTJywnTUVBTicsJ0FOTlVBTCcsMjAxMiwwLCwsJycp&amp;WINDOW=FIRST_POPUP&amp;H","EIGHT=450&amp;WIDTH=450&amp;START_MAXIMIZED=FALSE&amp;VAR:CALENDAR=US&amp;VAR:SYMBOL=5497168&amp;VAR:INDEX=0"}</definedName>
    <definedName name="_89__FDSAUDITLINK__" localSheetId="8" hidden="1">{"fdsup://directions/FAT Viewer?action=UPDATE&amp;creator=factset&amp;DYN_ARGS=TRUE&amp;DOC_NAME=FAT:FQL_AUDITING_CLIENT_TEMPLATE.FAT&amp;display_string=Audit&amp;VAR:KEY=HYJWBIFEPE&amp;VAR:QUERY=RkVfVkFMVUFUSU9OKCdQQlBTJywnTUVBTicsJ0FOTlVBTCcsMjAxMiwwLCwsJycp&amp;WINDOW=FIRST_POPUP&amp;H","EIGHT=450&amp;WIDTH=450&amp;START_MAXIMIZED=FALSE&amp;VAR:CALENDAR=US&amp;VAR:SYMBOL=5497168&amp;VAR:INDEX=0"}</definedName>
    <definedName name="_89__FDSAUDITLINK__" localSheetId="2" hidden="1">{"fdsup://directions/FAT Viewer?action=UPDATE&amp;creator=factset&amp;DYN_ARGS=TRUE&amp;DOC_NAME=FAT:FQL_AUDITING_CLIENT_TEMPLATE.FAT&amp;display_string=Audit&amp;VAR:KEY=HYJWBIFEPE&amp;VAR:QUERY=RkVfVkFMVUFUSU9OKCdQQlBTJywnTUVBTicsJ0FOTlVBTCcsMjAxMiwwLCwsJycp&amp;WINDOW=FIRST_POPUP&amp;H","EIGHT=450&amp;WIDTH=450&amp;START_MAXIMIZED=FALSE&amp;VAR:CALENDAR=US&amp;VAR:SYMBOL=5497168&amp;VAR:INDEX=0"}</definedName>
    <definedName name="_89__FDSAUDITLINK__" hidden="1">{"fdsup://directions/FAT Viewer?action=UPDATE&amp;creator=factset&amp;DYN_ARGS=TRUE&amp;DOC_NAME=FAT:FQL_AUDITING_CLIENT_TEMPLATE.FAT&amp;display_string=Audit&amp;VAR:KEY=HYJWBIFEPE&amp;VAR:QUERY=RkVfVkFMVUFUSU9OKCdQQlBTJywnTUVBTicsJ0FOTlVBTCcsMjAxMiwwLCwsJycp&amp;WINDOW=FIRST_POPUP&amp;H","EIGHT=450&amp;WIDTH=450&amp;START_MAXIMIZED=FALSE&amp;VAR:CALENDAR=US&amp;VAR:SYMBOL=5497168&amp;VAR:INDEX=0"}</definedName>
    <definedName name="_890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891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892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893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894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895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896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897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898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899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9__FDSAUDITLINK__" localSheetId="6" hidden="1">{"fdsup://directions/FAT Viewer?action=UPDATE&amp;creator=factset&amp;DYN_ARGS=TRUE&amp;DOC_NAME=FAT:FQL_AUDITING_CLIENT_TEMPLATE.FAT&amp;display_string=Audit&amp;VAR:KEY=FALUTYBGPK&amp;VAR:QUERY=RkVfVkFMVUFUSU9OKCdQQlBTJywnTUVBTicsJ0FOTlVBTCcsMjAxMCwwLCwsJycp&amp;WINDOW=FIRST_POPUP&amp;H","EIGHT=450&amp;WIDTH=450&amp;START_MAXIMIZED=FALSE&amp;VAR:CALENDAR=FIVEDAY&amp;VAR:SYMBOL=648963&amp;VAR:INDEX=0"}</definedName>
    <definedName name="_9__FDSAUDITLINK__" localSheetId="8" hidden="1">{"fdsup://directions/FAT Viewer?action=UPDATE&amp;creator=factset&amp;DYN_ARGS=TRUE&amp;DOC_NAME=FAT:FQL_AUDITING_CLIENT_TEMPLATE.FAT&amp;display_string=Audit&amp;VAR:KEY=FALUTYBGPK&amp;VAR:QUERY=RkVfVkFMVUFUSU9OKCdQQlBTJywnTUVBTicsJ0FOTlVBTCcsMjAxMCwwLCwsJycp&amp;WINDOW=FIRST_POPUP&amp;H","EIGHT=450&amp;WIDTH=450&amp;START_MAXIMIZED=FALSE&amp;VAR:CALENDAR=FIVEDAY&amp;VAR:SYMBOL=648963&amp;VAR:INDEX=0"}</definedName>
    <definedName name="_9__FDSAUDITLINK__" localSheetId="2" hidden="1">{"fdsup://directions/FAT Viewer?action=UPDATE&amp;creator=factset&amp;DYN_ARGS=TRUE&amp;DOC_NAME=FAT:FQL_AUDITING_CLIENT_TEMPLATE.FAT&amp;display_string=Audit&amp;VAR:KEY=FALUTYBGPK&amp;VAR:QUERY=RkVfVkFMVUFUSU9OKCdQQlBTJywnTUVBTicsJ0FOTlVBTCcsMjAxMCwwLCwsJycp&amp;WINDOW=FIRST_POPUP&amp;H","EIGHT=450&amp;WIDTH=450&amp;START_MAXIMIZED=FALSE&amp;VAR:CALENDAR=FIVEDAY&amp;VAR:SYMBOL=648963&amp;VAR:INDEX=0"}</definedName>
    <definedName name="_9__FDSAUDITLINK__" hidden="1">{"fdsup://directions/FAT Viewer?action=UPDATE&amp;creator=factset&amp;DYN_ARGS=TRUE&amp;DOC_NAME=FAT:FQL_AUDITING_CLIENT_TEMPLATE.FAT&amp;display_string=Audit&amp;VAR:KEY=FALUTYBGPK&amp;VAR:QUERY=RkVfVkFMVUFUSU9OKCdQQlBTJywnTUVBTicsJ0FOTlVBTCcsMjAxMCwwLCwsJycp&amp;WINDOW=FIRST_POPUP&amp;H","EIGHT=450&amp;WIDTH=450&amp;START_MAXIMIZED=FALSE&amp;VAR:CALENDAR=FIVEDAY&amp;VAR:SYMBOL=648963&amp;VAR:INDEX=0"}</definedName>
    <definedName name="_90__FDSAUDITLINK__" localSheetId="6" hidden="1">{"fdsup://directions/FAT Viewer?action=UPDATE&amp;creator=factset&amp;DYN_ARGS=TRUE&amp;DOC_NAME=FAT:FQL_AUDITING_CLIENT_TEMPLATE.FAT&amp;display_string=Audit&amp;VAR:KEY=HYJWBIFEPE&amp;VAR:QUERY=RkVfVkFMVUFUSU9OKCdQQlBTJywnTUVBTicsJ0FOTlVBTCcsMjAxMiwwLCwsJycp&amp;WINDOW=FIRST_POPUP&amp;H","EIGHT=450&amp;WIDTH=450&amp;START_MAXIMIZED=FALSE&amp;VAR:CALENDAR=US&amp;VAR:SYMBOL=5497168&amp;VAR:INDEX=0"}</definedName>
    <definedName name="_90__FDSAUDITLINK__" localSheetId="8" hidden="1">{"fdsup://directions/FAT Viewer?action=UPDATE&amp;creator=factset&amp;DYN_ARGS=TRUE&amp;DOC_NAME=FAT:FQL_AUDITING_CLIENT_TEMPLATE.FAT&amp;display_string=Audit&amp;VAR:KEY=HYJWBIFEPE&amp;VAR:QUERY=RkVfVkFMVUFUSU9OKCdQQlBTJywnTUVBTicsJ0FOTlVBTCcsMjAxMiwwLCwsJycp&amp;WINDOW=FIRST_POPUP&amp;H","EIGHT=450&amp;WIDTH=450&amp;START_MAXIMIZED=FALSE&amp;VAR:CALENDAR=US&amp;VAR:SYMBOL=5497168&amp;VAR:INDEX=0"}</definedName>
    <definedName name="_90__FDSAUDITLINK__" localSheetId="2" hidden="1">{"fdsup://directions/FAT Viewer?action=UPDATE&amp;creator=factset&amp;DYN_ARGS=TRUE&amp;DOC_NAME=FAT:FQL_AUDITING_CLIENT_TEMPLATE.FAT&amp;display_string=Audit&amp;VAR:KEY=HYJWBIFEPE&amp;VAR:QUERY=RkVfVkFMVUFUSU9OKCdQQlBTJywnTUVBTicsJ0FOTlVBTCcsMjAxMiwwLCwsJycp&amp;WINDOW=FIRST_POPUP&amp;H","EIGHT=450&amp;WIDTH=450&amp;START_MAXIMIZED=FALSE&amp;VAR:CALENDAR=US&amp;VAR:SYMBOL=5497168&amp;VAR:INDEX=0"}</definedName>
    <definedName name="_90__FDSAUDITLINK__" hidden="1">{"fdsup://directions/FAT Viewer?action=UPDATE&amp;creator=factset&amp;DYN_ARGS=TRUE&amp;DOC_NAME=FAT:FQL_AUDITING_CLIENT_TEMPLATE.FAT&amp;display_string=Audit&amp;VAR:KEY=HYJWBIFEPE&amp;VAR:QUERY=RkVfVkFMVUFUSU9OKCdQQlBTJywnTUVBTicsJ0FOTlVBTCcsMjAxMiwwLCwsJycp&amp;WINDOW=FIRST_POPUP&amp;H","EIGHT=450&amp;WIDTH=450&amp;START_MAXIMIZED=FALSE&amp;VAR:CALENDAR=US&amp;VAR:SYMBOL=5497168&amp;VAR:INDEX=0"}</definedName>
    <definedName name="_900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901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902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903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904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905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906__FDSAUDITLINK__" hidden="1">{"fdsup://directions/FAT Viewer?action=UPDATE&amp;creator=factset&amp;DYN_ARGS=TRUE&amp;DOC_NAME=FAT:FQL_AUDITING_CLIENT_TEMPLATE.FAT&amp;display_string=Audit&amp;VAR:KEY=MZMZIRGRQD&amp;VAR:QUERY=RkZfREVCVChBTk4sMjAwOSk=&amp;WINDOW=FIRST_POPUP&amp;HEIGHT=450&amp;WIDTH=450&amp;START_MAXIMIZED=FALS","E&amp;VAR:CALENDAR=US&amp;VAR:SYMBOL=CMLP&amp;VAR:INDEX=0"}</definedName>
    <definedName name="_907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908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909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91__FDSAUDITLINK__" localSheetId="6" hidden="1">{"fdsup://directions/FAT Viewer?action=UPDATE&amp;creator=factset&amp;DYN_ARGS=TRUE&amp;DOC_NAME=FAT:FQL_AUDITING_CLIENT_TEMPLATE.FAT&amp;display_string=Audit&amp;VAR:KEY=NQVWRUXWFO&amp;VAR:QUERY=RkVfVkFMVUFUSU9OKCdQQlBTJywnTUVBTicsJ0FOTlVBTCcsMjAxMSwwLCwsJycp&amp;WINDOW=FIRST_POPUP&amp;H","EIGHT=450&amp;WIDTH=450&amp;START_MAXIMIZED=FALSE&amp;VAR:CALENDAR=US&amp;VAR:SYMBOL=5497168&amp;VAR:INDEX=0"}</definedName>
    <definedName name="_91__FDSAUDITLINK__" localSheetId="8" hidden="1">{"fdsup://directions/FAT Viewer?action=UPDATE&amp;creator=factset&amp;DYN_ARGS=TRUE&amp;DOC_NAME=FAT:FQL_AUDITING_CLIENT_TEMPLATE.FAT&amp;display_string=Audit&amp;VAR:KEY=NQVWRUXWFO&amp;VAR:QUERY=RkVfVkFMVUFUSU9OKCdQQlBTJywnTUVBTicsJ0FOTlVBTCcsMjAxMSwwLCwsJycp&amp;WINDOW=FIRST_POPUP&amp;H","EIGHT=450&amp;WIDTH=450&amp;START_MAXIMIZED=FALSE&amp;VAR:CALENDAR=US&amp;VAR:SYMBOL=5497168&amp;VAR:INDEX=0"}</definedName>
    <definedName name="_91__FDSAUDITLINK__" localSheetId="2" hidden="1">{"fdsup://directions/FAT Viewer?action=UPDATE&amp;creator=factset&amp;DYN_ARGS=TRUE&amp;DOC_NAME=FAT:FQL_AUDITING_CLIENT_TEMPLATE.FAT&amp;display_string=Audit&amp;VAR:KEY=NQVWRUXWFO&amp;VAR:QUERY=RkVfVkFMVUFUSU9OKCdQQlBTJywnTUVBTicsJ0FOTlVBTCcsMjAxMSwwLCwsJycp&amp;WINDOW=FIRST_POPUP&amp;H","EIGHT=450&amp;WIDTH=450&amp;START_MAXIMIZED=FALSE&amp;VAR:CALENDAR=US&amp;VAR:SYMBOL=5497168&amp;VAR:INDEX=0"}</definedName>
    <definedName name="_91__FDSAUDITLINK__" hidden="1">{"fdsup://directions/FAT Viewer?action=UPDATE&amp;creator=factset&amp;DYN_ARGS=TRUE&amp;DOC_NAME=FAT:FQL_AUDITING_CLIENT_TEMPLATE.FAT&amp;display_string=Audit&amp;VAR:KEY=NQVWRUXWFO&amp;VAR:QUERY=RkVfVkFMVUFUSU9OKCdQQlBTJywnTUVBTicsJ0FOTlVBTCcsMjAxMSwwLCwsJycp&amp;WINDOW=FIRST_POPUP&amp;H","EIGHT=450&amp;WIDTH=450&amp;START_MAXIMIZED=FALSE&amp;VAR:CALENDAR=US&amp;VAR:SYMBOL=5497168&amp;VAR:INDEX=0"}</definedName>
    <definedName name="_910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911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912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913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914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915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916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917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918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919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92__FDSAUDITLINK__" localSheetId="6" hidden="1">{"fdsup://directions/FAT Viewer?action=UPDATE&amp;creator=factset&amp;DYN_ARGS=TRUE&amp;DOC_NAME=FAT:FQL_AUDITING_CLIENT_TEMPLATE.FAT&amp;display_string=Audit&amp;VAR:KEY=NQVWRUXWFO&amp;VAR:QUERY=RkVfVkFMVUFUSU9OKCdQQlBTJywnTUVBTicsJ0FOTlVBTCcsMjAxMSwwLCwsJycp&amp;WINDOW=FIRST_POPUP&amp;H","EIGHT=450&amp;WIDTH=450&amp;START_MAXIMIZED=FALSE&amp;VAR:CALENDAR=US&amp;VAR:SYMBOL=5497168&amp;VAR:INDEX=0"}</definedName>
    <definedName name="_92__FDSAUDITLINK__" localSheetId="8" hidden="1">{"fdsup://directions/FAT Viewer?action=UPDATE&amp;creator=factset&amp;DYN_ARGS=TRUE&amp;DOC_NAME=FAT:FQL_AUDITING_CLIENT_TEMPLATE.FAT&amp;display_string=Audit&amp;VAR:KEY=NQVWRUXWFO&amp;VAR:QUERY=RkVfVkFMVUFUSU9OKCdQQlBTJywnTUVBTicsJ0FOTlVBTCcsMjAxMSwwLCwsJycp&amp;WINDOW=FIRST_POPUP&amp;H","EIGHT=450&amp;WIDTH=450&amp;START_MAXIMIZED=FALSE&amp;VAR:CALENDAR=US&amp;VAR:SYMBOL=5497168&amp;VAR:INDEX=0"}</definedName>
    <definedName name="_92__FDSAUDITLINK__" localSheetId="2" hidden="1">{"fdsup://directions/FAT Viewer?action=UPDATE&amp;creator=factset&amp;DYN_ARGS=TRUE&amp;DOC_NAME=FAT:FQL_AUDITING_CLIENT_TEMPLATE.FAT&amp;display_string=Audit&amp;VAR:KEY=NQVWRUXWFO&amp;VAR:QUERY=RkVfVkFMVUFUSU9OKCdQQlBTJywnTUVBTicsJ0FOTlVBTCcsMjAxMSwwLCwsJycp&amp;WINDOW=FIRST_POPUP&amp;H","EIGHT=450&amp;WIDTH=450&amp;START_MAXIMIZED=FALSE&amp;VAR:CALENDAR=US&amp;VAR:SYMBOL=5497168&amp;VAR:INDEX=0"}</definedName>
    <definedName name="_92__FDSAUDITLINK__" hidden="1">{"fdsup://directions/FAT Viewer?action=UPDATE&amp;creator=factset&amp;DYN_ARGS=TRUE&amp;DOC_NAME=FAT:FQL_AUDITING_CLIENT_TEMPLATE.FAT&amp;display_string=Audit&amp;VAR:KEY=NQVWRUXWFO&amp;VAR:QUERY=RkVfVkFMVUFUSU9OKCdQQlBTJywnTUVBTicsJ0FOTlVBTCcsMjAxMSwwLCwsJycp&amp;WINDOW=FIRST_POPUP&amp;H","EIGHT=450&amp;WIDTH=450&amp;START_MAXIMIZED=FALSE&amp;VAR:CALENDAR=US&amp;VAR:SYMBOL=5497168&amp;VAR:INDEX=0"}</definedName>
    <definedName name="_920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921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922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923__FDSAUDITLINK__" hidden="1">{"fdsup://directions/FAT Viewer?action=UPDATE&amp;creator=factset&amp;DYN_ARGS=TRUE&amp;DOC_NAME=FAT:FQL_AUDITING_CLIENT_TEMPLATE.FAT&amp;display_string=Audit&amp;VAR:KEY=MZMZIRGRQD&amp;VAR:QUERY=RkZfREVCVChBTk4sMjAwOSk=&amp;WINDOW=FIRST_POPUP&amp;HEIGHT=450&amp;WIDTH=450&amp;START_MAXIMIZED=FALS","E&amp;VAR:CALENDAR=US&amp;VAR:SYMBOL=CMLP&amp;VAR:INDEX=0"}</definedName>
    <definedName name="_924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925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926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927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928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929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93__FDSAUDITLINK__" localSheetId="6" hidden="1">{"fdsup://directions/FAT Viewer?action=UPDATE&amp;creator=factset&amp;DYN_ARGS=TRUE&amp;DOC_NAME=FAT:FQL_AUDITING_CLIENT_TEMPLATE.FAT&amp;display_string=Audit&amp;VAR:KEY=DGPMDIBWVA&amp;VAR:QUERY=RkVfVkFMVUFUSU9OKCdQQlBTJywnTUVBTicsJ0FOTlVBTCcsMjAxMCwwLCwsJycp&amp;WINDOW=FIRST_POPUP&amp;H","EIGHT=450&amp;WIDTH=450&amp;START_MAXIMIZED=FALSE&amp;VAR:CALENDAR=US&amp;VAR:SYMBOL=5497168&amp;VAR:INDEX=0"}</definedName>
    <definedName name="_93__FDSAUDITLINK__" localSheetId="8" hidden="1">{"fdsup://directions/FAT Viewer?action=UPDATE&amp;creator=factset&amp;DYN_ARGS=TRUE&amp;DOC_NAME=FAT:FQL_AUDITING_CLIENT_TEMPLATE.FAT&amp;display_string=Audit&amp;VAR:KEY=DGPMDIBWVA&amp;VAR:QUERY=RkVfVkFMVUFUSU9OKCdQQlBTJywnTUVBTicsJ0FOTlVBTCcsMjAxMCwwLCwsJycp&amp;WINDOW=FIRST_POPUP&amp;H","EIGHT=450&amp;WIDTH=450&amp;START_MAXIMIZED=FALSE&amp;VAR:CALENDAR=US&amp;VAR:SYMBOL=5497168&amp;VAR:INDEX=0"}</definedName>
    <definedName name="_93__FDSAUDITLINK__" localSheetId="2" hidden="1">{"fdsup://directions/FAT Viewer?action=UPDATE&amp;creator=factset&amp;DYN_ARGS=TRUE&amp;DOC_NAME=FAT:FQL_AUDITING_CLIENT_TEMPLATE.FAT&amp;display_string=Audit&amp;VAR:KEY=DGPMDIBWVA&amp;VAR:QUERY=RkVfVkFMVUFUSU9OKCdQQlBTJywnTUVBTicsJ0FOTlVBTCcsMjAxMCwwLCwsJycp&amp;WINDOW=FIRST_POPUP&amp;H","EIGHT=450&amp;WIDTH=450&amp;START_MAXIMIZED=FALSE&amp;VAR:CALENDAR=US&amp;VAR:SYMBOL=5497168&amp;VAR:INDEX=0"}</definedName>
    <definedName name="_93__FDSAUDITLINK__" hidden="1">{"fdsup://directions/FAT Viewer?action=UPDATE&amp;creator=factset&amp;DYN_ARGS=TRUE&amp;DOC_NAME=FAT:FQL_AUDITING_CLIENT_TEMPLATE.FAT&amp;display_string=Audit&amp;VAR:KEY=DGPMDIBWVA&amp;VAR:QUERY=RkVfVkFMVUFUSU9OKCdQQlBTJywnTUVBTicsJ0FOTlVBTCcsMjAxMCwwLCwsJycp&amp;WINDOW=FIRST_POPUP&amp;H","EIGHT=450&amp;WIDTH=450&amp;START_MAXIMIZED=FALSE&amp;VAR:CALENDAR=US&amp;VAR:SYMBOL=5497168&amp;VAR:INDEX=0"}</definedName>
    <definedName name="_930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931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932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933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934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935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936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937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938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939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94__FDSAUDITLINK__" localSheetId="6" hidden="1">{"fdsup://directions/FAT Viewer?action=UPDATE&amp;creator=factset&amp;DYN_ARGS=TRUE&amp;DOC_NAME=FAT:FQL_AUDITING_CLIENT_TEMPLATE.FAT&amp;display_string=Audit&amp;VAR:KEY=DGPMDIBWVA&amp;VAR:QUERY=RkVfVkFMVUFUSU9OKCdQQlBTJywnTUVBTicsJ0FOTlVBTCcsMjAxMCwwLCwsJycp&amp;WINDOW=FIRST_POPUP&amp;H","EIGHT=450&amp;WIDTH=450&amp;START_MAXIMIZED=FALSE&amp;VAR:CALENDAR=US&amp;VAR:SYMBOL=5497168&amp;VAR:INDEX=0"}</definedName>
    <definedName name="_94__FDSAUDITLINK__" localSheetId="8" hidden="1">{"fdsup://directions/FAT Viewer?action=UPDATE&amp;creator=factset&amp;DYN_ARGS=TRUE&amp;DOC_NAME=FAT:FQL_AUDITING_CLIENT_TEMPLATE.FAT&amp;display_string=Audit&amp;VAR:KEY=DGPMDIBWVA&amp;VAR:QUERY=RkVfVkFMVUFUSU9OKCdQQlBTJywnTUVBTicsJ0FOTlVBTCcsMjAxMCwwLCwsJycp&amp;WINDOW=FIRST_POPUP&amp;H","EIGHT=450&amp;WIDTH=450&amp;START_MAXIMIZED=FALSE&amp;VAR:CALENDAR=US&amp;VAR:SYMBOL=5497168&amp;VAR:INDEX=0"}</definedName>
    <definedName name="_94__FDSAUDITLINK__" localSheetId="2" hidden="1">{"fdsup://directions/FAT Viewer?action=UPDATE&amp;creator=factset&amp;DYN_ARGS=TRUE&amp;DOC_NAME=FAT:FQL_AUDITING_CLIENT_TEMPLATE.FAT&amp;display_string=Audit&amp;VAR:KEY=DGPMDIBWVA&amp;VAR:QUERY=RkVfVkFMVUFUSU9OKCdQQlBTJywnTUVBTicsJ0FOTlVBTCcsMjAxMCwwLCwsJycp&amp;WINDOW=FIRST_POPUP&amp;H","EIGHT=450&amp;WIDTH=450&amp;START_MAXIMIZED=FALSE&amp;VAR:CALENDAR=US&amp;VAR:SYMBOL=5497168&amp;VAR:INDEX=0"}</definedName>
    <definedName name="_94__FDSAUDITLINK__" hidden="1">{"fdsup://directions/FAT Viewer?action=UPDATE&amp;creator=factset&amp;DYN_ARGS=TRUE&amp;DOC_NAME=FAT:FQL_AUDITING_CLIENT_TEMPLATE.FAT&amp;display_string=Audit&amp;VAR:KEY=DGPMDIBWVA&amp;VAR:QUERY=RkVfVkFMVUFUSU9OKCdQQlBTJywnTUVBTicsJ0FOTlVBTCcsMjAxMCwwLCwsJycp&amp;WINDOW=FIRST_POPUP&amp;H","EIGHT=450&amp;WIDTH=450&amp;START_MAXIMIZED=FALSE&amp;VAR:CALENDAR=US&amp;VAR:SYMBOL=5497168&amp;VAR:INDEX=0"}</definedName>
    <definedName name="_940__FDSAUDITLINK__" hidden="1">{"fdsup://directions/FAT Viewer?action=UPDATE&amp;creator=factset&amp;DYN_ARGS=TRUE&amp;DOC_NAME=FAT:FQL_AUDITING_CLIENT_TEMPLATE.FAT&amp;display_string=Audit&amp;VAR:KEY=MZMZIRGRQD&amp;VAR:QUERY=RkZfREVCVChBTk4sMjAwOSk=&amp;WINDOW=FIRST_POPUP&amp;HEIGHT=450&amp;WIDTH=450&amp;START_MAXIMIZED=FALS","E&amp;VAR:CALENDAR=US&amp;VAR:SYMBOL=CMLP&amp;VAR:INDEX=0"}</definedName>
    <definedName name="_941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942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943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944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945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946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947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948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949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95__FDSAUDITLINK__" localSheetId="6" hidden="1">{"fdsup://directions/FAT Viewer?action=UPDATE&amp;creator=factset&amp;DYN_ARGS=TRUE&amp;DOC_NAME=FAT:FQL_AUDITING_CLIENT_TEMPLATE.FAT&amp;display_string=Audit&amp;VAR:KEY=PSRIJSXIZC&amp;VAR:QUERY=RkVfVkFMVUFUSU9OKCdQQlBTJywnTUVBTicsJ0FOTlVBTCcsMjAwOSwwLCwsJycp&amp;WINDOW=FIRST_POPUP&amp;H","EIGHT=450&amp;WIDTH=450&amp;START_MAXIMIZED=FALSE&amp;VAR:CALENDAR=US&amp;VAR:SYMBOL=5497168&amp;VAR:INDEX=0"}</definedName>
    <definedName name="_95__FDSAUDITLINK__" localSheetId="8" hidden="1">{"fdsup://directions/FAT Viewer?action=UPDATE&amp;creator=factset&amp;DYN_ARGS=TRUE&amp;DOC_NAME=FAT:FQL_AUDITING_CLIENT_TEMPLATE.FAT&amp;display_string=Audit&amp;VAR:KEY=PSRIJSXIZC&amp;VAR:QUERY=RkVfVkFMVUFUSU9OKCdQQlBTJywnTUVBTicsJ0FOTlVBTCcsMjAwOSwwLCwsJycp&amp;WINDOW=FIRST_POPUP&amp;H","EIGHT=450&amp;WIDTH=450&amp;START_MAXIMIZED=FALSE&amp;VAR:CALENDAR=US&amp;VAR:SYMBOL=5497168&amp;VAR:INDEX=0"}</definedName>
    <definedName name="_95__FDSAUDITLINK__" localSheetId="2" hidden="1">{"fdsup://directions/FAT Viewer?action=UPDATE&amp;creator=factset&amp;DYN_ARGS=TRUE&amp;DOC_NAME=FAT:FQL_AUDITING_CLIENT_TEMPLATE.FAT&amp;display_string=Audit&amp;VAR:KEY=PSRIJSXIZC&amp;VAR:QUERY=RkVfVkFMVUFUSU9OKCdQQlBTJywnTUVBTicsJ0FOTlVBTCcsMjAwOSwwLCwsJycp&amp;WINDOW=FIRST_POPUP&amp;H","EIGHT=450&amp;WIDTH=450&amp;START_MAXIMIZED=FALSE&amp;VAR:CALENDAR=US&amp;VAR:SYMBOL=5497168&amp;VAR:INDEX=0"}</definedName>
    <definedName name="_95__FDSAUDITLINK__" hidden="1">{"fdsup://directions/FAT Viewer?action=UPDATE&amp;creator=factset&amp;DYN_ARGS=TRUE&amp;DOC_NAME=FAT:FQL_AUDITING_CLIENT_TEMPLATE.FAT&amp;display_string=Audit&amp;VAR:KEY=PSRIJSXIZC&amp;VAR:QUERY=RkVfVkFMVUFUSU9OKCdQQlBTJywnTUVBTicsJ0FOTlVBTCcsMjAwOSwwLCwsJycp&amp;WINDOW=FIRST_POPUP&amp;H","EIGHT=450&amp;WIDTH=450&amp;START_MAXIMIZED=FALSE&amp;VAR:CALENDAR=US&amp;VAR:SYMBOL=5497168&amp;VAR:INDEX=0"}</definedName>
    <definedName name="_950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951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952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953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954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955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956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957__FDSAUDITLINK__" hidden="1">{"fdsup://directions/FAT Viewer?action=UPDATE&amp;creator=factset&amp;DYN_ARGS=TRUE&amp;DOC_NAME=FAT:FQL_AUDITING_CLIENT_TEMPLATE.FAT&amp;display_string=Audit&amp;VAR:KEY=MZMZIRGRQD&amp;VAR:QUERY=RkZfREVCVChBTk4sMjAwOSk=&amp;WINDOW=FIRST_POPUP&amp;HEIGHT=450&amp;WIDTH=450&amp;START_MAXIMIZED=FALS","E&amp;VAR:CALENDAR=US&amp;VAR:SYMBOL=CMLP&amp;VAR:INDEX=0"}</definedName>
    <definedName name="_958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959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96__FDSAUDITLINK__" localSheetId="6" hidden="1">{"fdsup://directions/FAT Viewer?action=UPDATE&amp;creator=factset&amp;DYN_ARGS=TRUE&amp;DOC_NAME=FAT:FQL_AUDITING_CLIENT_TEMPLATE.FAT&amp;display_string=Audit&amp;VAR:KEY=PSRIJSXIZC&amp;VAR:QUERY=RkVfVkFMVUFUSU9OKCdQQlBTJywnTUVBTicsJ0FOTlVBTCcsMjAwOSwwLCwsJycp&amp;WINDOW=FIRST_POPUP&amp;H","EIGHT=450&amp;WIDTH=450&amp;START_MAXIMIZED=FALSE&amp;VAR:CALENDAR=US&amp;VAR:SYMBOL=5497168&amp;VAR:INDEX=0"}</definedName>
    <definedName name="_96__FDSAUDITLINK__" localSheetId="8" hidden="1">{"fdsup://directions/FAT Viewer?action=UPDATE&amp;creator=factset&amp;DYN_ARGS=TRUE&amp;DOC_NAME=FAT:FQL_AUDITING_CLIENT_TEMPLATE.FAT&amp;display_string=Audit&amp;VAR:KEY=PSRIJSXIZC&amp;VAR:QUERY=RkVfVkFMVUFUSU9OKCdQQlBTJywnTUVBTicsJ0FOTlVBTCcsMjAwOSwwLCwsJycp&amp;WINDOW=FIRST_POPUP&amp;H","EIGHT=450&amp;WIDTH=450&amp;START_MAXIMIZED=FALSE&amp;VAR:CALENDAR=US&amp;VAR:SYMBOL=5497168&amp;VAR:INDEX=0"}</definedName>
    <definedName name="_96__FDSAUDITLINK__" localSheetId="2" hidden="1">{"fdsup://directions/FAT Viewer?action=UPDATE&amp;creator=factset&amp;DYN_ARGS=TRUE&amp;DOC_NAME=FAT:FQL_AUDITING_CLIENT_TEMPLATE.FAT&amp;display_string=Audit&amp;VAR:KEY=PSRIJSXIZC&amp;VAR:QUERY=RkVfVkFMVUFUSU9OKCdQQlBTJywnTUVBTicsJ0FOTlVBTCcsMjAwOSwwLCwsJycp&amp;WINDOW=FIRST_POPUP&amp;H","EIGHT=450&amp;WIDTH=450&amp;START_MAXIMIZED=FALSE&amp;VAR:CALENDAR=US&amp;VAR:SYMBOL=5497168&amp;VAR:INDEX=0"}</definedName>
    <definedName name="_96__FDSAUDITLINK__" hidden="1">{"fdsup://directions/FAT Viewer?action=UPDATE&amp;creator=factset&amp;DYN_ARGS=TRUE&amp;DOC_NAME=FAT:FQL_AUDITING_CLIENT_TEMPLATE.FAT&amp;display_string=Audit&amp;VAR:KEY=PSRIJSXIZC&amp;VAR:QUERY=RkVfVkFMVUFUSU9OKCdQQlBTJywnTUVBTicsJ0FOTlVBTCcsMjAwOSwwLCwsJycp&amp;WINDOW=FIRST_POPUP&amp;H","EIGHT=450&amp;WIDTH=450&amp;START_MAXIMIZED=FALSE&amp;VAR:CALENDAR=US&amp;VAR:SYMBOL=5497168&amp;VAR:INDEX=0"}</definedName>
    <definedName name="_960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961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962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963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964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965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966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967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968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969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97__FDSAUDITLINK__" localSheetId="6" hidden="1">{"fdsup://directions/FAT Viewer?action=UPDATE&amp;creator=factset&amp;DYN_ARGS=TRUE&amp;DOC_NAME=FAT:FQL_AUDITING_CLIENT_TEMPLATE.FAT&amp;display_string=Audit&amp;VAR:KEY=RCNCLSNQFI&amp;VAR:QUERY=RkVfVkFMVUFUSU9OKCdQQlBTJywnTUVBTicsJ0FOTlVBTCcsMjAxMiwwLCwsJycp&amp;WINDOW=FIRST_POPUP&amp;H","EIGHT=450&amp;WIDTH=450&amp;START_MAXIMIZED=FALSE&amp;VAR:CALENDAR=US&amp;VAR:INDEX=0"}</definedName>
    <definedName name="_97__FDSAUDITLINK__" localSheetId="8" hidden="1">{"fdsup://directions/FAT Viewer?action=UPDATE&amp;creator=factset&amp;DYN_ARGS=TRUE&amp;DOC_NAME=FAT:FQL_AUDITING_CLIENT_TEMPLATE.FAT&amp;display_string=Audit&amp;VAR:KEY=RCNCLSNQFI&amp;VAR:QUERY=RkVfVkFMVUFUSU9OKCdQQlBTJywnTUVBTicsJ0FOTlVBTCcsMjAxMiwwLCwsJycp&amp;WINDOW=FIRST_POPUP&amp;H","EIGHT=450&amp;WIDTH=450&amp;START_MAXIMIZED=FALSE&amp;VAR:CALENDAR=US&amp;VAR:INDEX=0"}</definedName>
    <definedName name="_97__FDSAUDITLINK__" localSheetId="2" hidden="1">{"fdsup://directions/FAT Viewer?action=UPDATE&amp;creator=factset&amp;DYN_ARGS=TRUE&amp;DOC_NAME=FAT:FQL_AUDITING_CLIENT_TEMPLATE.FAT&amp;display_string=Audit&amp;VAR:KEY=RCNCLSNQFI&amp;VAR:QUERY=RkVfVkFMVUFUSU9OKCdQQlBTJywnTUVBTicsJ0FOTlVBTCcsMjAxMiwwLCwsJycp&amp;WINDOW=FIRST_POPUP&amp;H","EIGHT=450&amp;WIDTH=450&amp;START_MAXIMIZED=FALSE&amp;VAR:CALENDAR=US&amp;VAR:INDEX=0"}</definedName>
    <definedName name="_97__FDSAUDITLINK__" hidden="1">{"fdsup://directions/FAT Viewer?action=UPDATE&amp;creator=factset&amp;DYN_ARGS=TRUE&amp;DOC_NAME=FAT:FQL_AUDITING_CLIENT_TEMPLATE.FAT&amp;display_string=Audit&amp;VAR:KEY=RCNCLSNQFI&amp;VAR:QUERY=RkVfVkFMVUFUSU9OKCdQQlBTJywnTUVBTicsJ0FOTlVBTCcsMjAxMiwwLCwsJycp&amp;WINDOW=FIRST_POPUP&amp;H","EIGHT=450&amp;WIDTH=450&amp;START_MAXIMIZED=FALSE&amp;VAR:CALENDAR=US&amp;VAR:INDEX=0"}</definedName>
    <definedName name="_970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971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972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973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974__FDSAUDITLINK__" hidden="1">{"fdsup://directions/FAT Viewer?action=UPDATE&amp;creator=factset&amp;DYN_ARGS=TRUE&amp;DOC_NAME=FAT:FQL_AUDITING_CLIENT_TEMPLATE.FAT&amp;display_string=Audit&amp;VAR:KEY=MZMZIRGRQD&amp;VAR:QUERY=RkZfREVCVChBTk4sMjAwOSk=&amp;WINDOW=FIRST_POPUP&amp;HEIGHT=450&amp;WIDTH=450&amp;START_MAXIMIZED=FALS","E&amp;VAR:CALENDAR=US&amp;VAR:SYMBOL=CMLP&amp;VAR:INDEX=0"}</definedName>
    <definedName name="_975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976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977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978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979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98__FDSAUDITLINK__" localSheetId="6" hidden="1">{"fdsup://directions/FAT Viewer?action=UPDATE&amp;creator=factset&amp;DYN_ARGS=TRUE&amp;DOC_NAME=FAT:FQL_AUDITING_CLIENT_TEMPLATE.FAT&amp;display_string=Audit&amp;VAR:KEY=ZUXAFKPSPW&amp;VAR:QUERY=RkVfVkFMVUFUSU9OKCdQQlBTJywnTUVBTicsJ0FOTlVBTCcsMjAxMSwwLCwsJycp&amp;WINDOW=FIRST_POPUP&amp;H","EIGHT=450&amp;WIDTH=450&amp;START_MAXIMIZED=FALSE&amp;VAR:CALENDAR=US&amp;VAR:INDEX=0"}</definedName>
    <definedName name="_98__FDSAUDITLINK__" localSheetId="8" hidden="1">{"fdsup://directions/FAT Viewer?action=UPDATE&amp;creator=factset&amp;DYN_ARGS=TRUE&amp;DOC_NAME=FAT:FQL_AUDITING_CLIENT_TEMPLATE.FAT&amp;display_string=Audit&amp;VAR:KEY=ZUXAFKPSPW&amp;VAR:QUERY=RkVfVkFMVUFUSU9OKCdQQlBTJywnTUVBTicsJ0FOTlVBTCcsMjAxMSwwLCwsJycp&amp;WINDOW=FIRST_POPUP&amp;H","EIGHT=450&amp;WIDTH=450&amp;START_MAXIMIZED=FALSE&amp;VAR:CALENDAR=US&amp;VAR:INDEX=0"}</definedName>
    <definedName name="_98__FDSAUDITLINK__" localSheetId="2" hidden="1">{"fdsup://directions/FAT Viewer?action=UPDATE&amp;creator=factset&amp;DYN_ARGS=TRUE&amp;DOC_NAME=FAT:FQL_AUDITING_CLIENT_TEMPLATE.FAT&amp;display_string=Audit&amp;VAR:KEY=ZUXAFKPSPW&amp;VAR:QUERY=RkVfVkFMVUFUSU9OKCdQQlBTJywnTUVBTicsJ0FOTlVBTCcsMjAxMSwwLCwsJycp&amp;WINDOW=FIRST_POPUP&amp;H","EIGHT=450&amp;WIDTH=450&amp;START_MAXIMIZED=FALSE&amp;VAR:CALENDAR=US&amp;VAR:INDEX=0"}</definedName>
    <definedName name="_98__FDSAUDITLINK__" hidden="1">{"fdsup://directions/FAT Viewer?action=UPDATE&amp;creator=factset&amp;DYN_ARGS=TRUE&amp;DOC_NAME=FAT:FQL_AUDITING_CLIENT_TEMPLATE.FAT&amp;display_string=Audit&amp;VAR:KEY=ZUXAFKPSPW&amp;VAR:QUERY=RkVfVkFMVUFUSU9OKCdQQlBTJywnTUVBTicsJ0FOTlVBTCcsMjAxMSwwLCwsJycp&amp;WINDOW=FIRST_POPUP&amp;H","EIGHT=450&amp;WIDTH=450&amp;START_MAXIMIZED=FALSE&amp;VAR:CALENDAR=US&amp;VAR:INDEX=0"}</definedName>
    <definedName name="_980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981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982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983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984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985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986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987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988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989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99__FDSAUDITLINK__" localSheetId="6" hidden="1">{"fdsup://directions/FAT Viewer?action=UPDATE&amp;creator=factset&amp;DYN_ARGS=TRUE&amp;DOC_NAME=FAT:FQL_AUDITING_CLIENT_TEMPLATE.FAT&amp;display_string=Audit&amp;VAR:KEY=NUZSVWFEZC&amp;VAR:QUERY=RkVfVkFMVUFUSU9OKCdQQlBTJywnTUVBTicsJ0FOTlVBTCcsMjAxMCwwLCwsJycp&amp;WINDOW=FIRST_POPUP&amp;H","EIGHT=450&amp;WIDTH=450&amp;START_MAXIMIZED=FALSE&amp;VAR:CALENDAR=US&amp;VAR:INDEX=0"}</definedName>
    <definedName name="_99__FDSAUDITLINK__" localSheetId="8" hidden="1">{"fdsup://directions/FAT Viewer?action=UPDATE&amp;creator=factset&amp;DYN_ARGS=TRUE&amp;DOC_NAME=FAT:FQL_AUDITING_CLIENT_TEMPLATE.FAT&amp;display_string=Audit&amp;VAR:KEY=NUZSVWFEZC&amp;VAR:QUERY=RkVfVkFMVUFUSU9OKCdQQlBTJywnTUVBTicsJ0FOTlVBTCcsMjAxMCwwLCwsJycp&amp;WINDOW=FIRST_POPUP&amp;H","EIGHT=450&amp;WIDTH=450&amp;START_MAXIMIZED=FALSE&amp;VAR:CALENDAR=US&amp;VAR:INDEX=0"}</definedName>
    <definedName name="_99__FDSAUDITLINK__" localSheetId="2" hidden="1">{"fdsup://directions/FAT Viewer?action=UPDATE&amp;creator=factset&amp;DYN_ARGS=TRUE&amp;DOC_NAME=FAT:FQL_AUDITING_CLIENT_TEMPLATE.FAT&amp;display_string=Audit&amp;VAR:KEY=NUZSVWFEZC&amp;VAR:QUERY=RkVfVkFMVUFUSU9OKCdQQlBTJywnTUVBTicsJ0FOTlVBTCcsMjAxMCwwLCwsJycp&amp;WINDOW=FIRST_POPUP&amp;H","EIGHT=450&amp;WIDTH=450&amp;START_MAXIMIZED=FALSE&amp;VAR:CALENDAR=US&amp;VAR:INDEX=0"}</definedName>
    <definedName name="_99__FDSAUDITLINK__" hidden="1">{"fdsup://directions/FAT Viewer?action=UPDATE&amp;creator=factset&amp;DYN_ARGS=TRUE&amp;DOC_NAME=FAT:FQL_AUDITING_CLIENT_TEMPLATE.FAT&amp;display_string=Audit&amp;VAR:KEY=NUZSVWFEZC&amp;VAR:QUERY=RkVfVkFMVUFUSU9OKCdQQlBTJywnTUVBTicsJ0FOTlVBTCcsMjAxMCwwLCwsJycp&amp;WINDOW=FIRST_POPUP&amp;H","EIGHT=450&amp;WIDTH=450&amp;START_MAXIMIZED=FALSE&amp;VAR:CALENDAR=US&amp;VAR:INDEX=0"}</definedName>
    <definedName name="_990__FDSAUDITLINK__" hidden="1">{"fdsup://directions/FAT Viewer?action=UPDATE&amp;creator=factset&amp;DYN_ARGS=TRUE&amp;DOC_NAME=FAT:FQL_AUDITING_CLIENT_TEMPLATE.FAT&amp;display_string=Audit&amp;VAR:KEY=OPCBYLCVWF&amp;VAR:QUERY=RkZfREVCVChBTk4sMjAwOSk=&amp;WINDOW=FIRST_POPUP&amp;HEIGHT=450&amp;WIDTH=450&amp;START_MAXIMIZED=FALS","E&amp;VAR:CALENDAR=US&amp;VAR:SYMBOL=EROC&amp;VAR:INDEX=0"}</definedName>
    <definedName name="_991__FDSAUDITLINK__" hidden="1">{"fdsup://directions/FAT Viewer?action=UPDATE&amp;creator=factset&amp;DYN_ARGS=TRUE&amp;DOC_NAME=FAT:FQL_AUDITING_CLIENT_TEMPLATE.FAT&amp;display_string=Audit&amp;VAR:KEY=MZMZIRGRQD&amp;VAR:QUERY=RkZfREVCVChBTk4sMjAwOSk=&amp;WINDOW=FIRST_POPUP&amp;HEIGHT=450&amp;WIDTH=450&amp;START_MAXIMIZED=FALS","E&amp;VAR:CALENDAR=US&amp;VAR:SYMBOL=CMLP&amp;VAR:INDEX=0"}</definedName>
    <definedName name="_992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993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994__FDSAUDITLINK__" hidden="1">{"fdsup://directions/FAT Viewer?action=UPDATE&amp;creator=factset&amp;DYN_ARGS=TRUE&amp;DOC_NAME=FAT:FQL_AUDITING_CLIENT_TEMPLATE.FAT&amp;display_string=Audit&amp;VAR:KEY=OLWNEPKPEB&amp;VAR:QUERY=RkZfREVCVChBTk4sMjAxMCk=&amp;WINDOW=FIRST_POPUP&amp;HEIGHT=450&amp;WIDTH=450&amp;START_MAXIMIZED=FALS","E&amp;VAR:CALENDAR=US&amp;VAR:SYMBOL=CMLP&amp;VAR:INDEX=0"}</definedName>
    <definedName name="_995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996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997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998__FDSAUDITLINK__" hidden="1">{"fdsup://directions/FAT Viewer?action=UPDATE&amp;creator=factset&amp;DYN_ARGS=TRUE&amp;DOC_NAME=FAT:FQL_AUDITING_CLIENT_TEMPLATE.FAT&amp;display_string=Audit&amp;VAR:KEY=GTKDCPCRGJ&amp;VAR:QUERY=RkZfREVCVChBTk4sMjAwOSk=&amp;WINDOW=FIRST_POPUP&amp;HEIGHT=450&amp;WIDTH=450&amp;START_MAXIMIZED=FALS","E&amp;VAR:CALENDAR=US&amp;VAR:SYMBOL=TLP&amp;VAR:INDEX=0"}</definedName>
    <definedName name="_999__FDSAUDITLINK__" hidden="1">{"fdsup://directions/FAT Viewer?action=UPDATE&amp;creator=factset&amp;DYN_ARGS=TRUE&amp;DOC_NAME=FAT:FQL_AUDITING_CLIENT_TEMPLATE.FAT&amp;display_string=Audit&amp;VAR:KEY=WFAZYZAZOH&amp;VAR:QUERY=RkZfREVCVChBTk4sMjAwOSk=&amp;WINDOW=FIRST_POPUP&amp;HEIGHT=450&amp;WIDTH=450&amp;START_MAXIMIZED=FALS","E&amp;VAR:CALENDAR=US&amp;VAR:SYMBOL=HEP&amp;VAR:INDEX=0"}</definedName>
    <definedName name="_abc1" localSheetId="6" hidden="1">{"cover a","2q",FALSE,"Cover";"Op Earn Mgd Q2",#N/A,FALSE,"Op-Earn (Mng)";"Op Earn Rpt Q2",#N/A,FALSE,"Op-Earn (Rpt)";"Loans",#N/A,FALSE,"Loans";"Credit Costs",#N/A,FALSE,"CCosts";"Net Interest Margin",#N/A,FALSE,"Margin";"Nonint Income",#N/A,FALSE,"NonII";"Nonint Exp",#N/A,FALSE,"NonIE";"Valuation",#N/A,FALSE,"Valuation"}</definedName>
    <definedName name="_abc1" localSheetId="8" hidden="1">{"cover a","2q",FALSE,"Cover";"Op Earn Mgd Q2",#N/A,FALSE,"Op-Earn (Mng)";"Op Earn Rpt Q2",#N/A,FALSE,"Op-Earn (Rpt)";"Loans",#N/A,FALSE,"Loans";"Credit Costs",#N/A,FALSE,"CCosts";"Net Interest Margin",#N/A,FALSE,"Margin";"Nonint Income",#N/A,FALSE,"NonII";"Nonint Exp",#N/A,FALSE,"NonIE";"Valuation",#N/A,FALSE,"Valuation"}</definedName>
    <definedName name="_abc1" localSheetId="2" hidden="1">{"cover a","2q",FALSE,"Cover";"Op Earn Mgd Q2",#N/A,FALSE,"Op-Earn (Mng)";"Op Earn Rpt Q2",#N/A,FALSE,"Op-Earn (Rpt)";"Loans",#N/A,FALSE,"Loans";"Credit Costs",#N/A,FALSE,"CCosts";"Net Interest Margin",#N/A,FALSE,"Margin";"Nonint Income",#N/A,FALSE,"NonII";"Nonint Exp",#N/A,FALSE,"NonIE";"Valuation",#N/A,FALSE,"Valuation"}</definedName>
    <definedName name="_abc1" hidden="1">{"cover a","2q",FALSE,"Cover";"Op Earn Mgd Q2",#N/A,FALSE,"Op-Earn (Mng)";"Op Earn Rpt Q2",#N/A,FALSE,"Op-Earn (Rpt)";"Loans",#N/A,FALSE,"Loans";"Credit Costs",#N/A,FALSE,"CCosts";"Net Interest Margin",#N/A,FALSE,"Margin";"Nonint Income",#N/A,FALSE,"NonII";"Nonint Exp",#N/A,FALSE,"NonIE";"Valuation",#N/A,FALSE,"Valuation"}</definedName>
    <definedName name="_Order1" hidden="1">0</definedName>
    <definedName name="_Order2" hidden="1">0</definedName>
    <definedName name="_Regression_Int" hidden="1">1</definedName>
    <definedName name="a" localSheetId="6" hidden="1">{"Pulp Production",#N/A,FALSE,"Pulp";"Pulp Earnings",#N/A,FALSE,"Pulp"}</definedName>
    <definedName name="a" localSheetId="8" hidden="1">{"Pulp Production",#N/A,FALSE,"Pulp";"Pulp Earnings",#N/A,FALSE,"Pulp"}</definedName>
    <definedName name="a" localSheetId="2" hidden="1">{"Pulp Production",#N/A,FALSE,"Pulp";"Pulp Earnings",#N/A,FALSE,"Pulp"}</definedName>
    <definedName name="a" hidden="1">{"Pulp Production",#N/A,FALSE,"Pulp";"Pulp Earnings",#N/A,FALSE,"Pulp"}</definedName>
    <definedName name="abc" localSheetId="6" hidden="1">{"Cover",#N/A,FALSE,"Cover";"Summary",#N/A,FALSE,"Summarpage";"Assumptions",#N/A,FALSE,"Assumptions";"Earnings",#N/A,FALSE,"Earnings";"CF Oper.",#N/A,FALSE,"Earnings";"Balance Sheet",#N/A,FALSE,"balance";"Cash Flow",#N/A,FALSE,"cash flow";"Paper Production",#N/A,FALSE,"Paper";"Paper Earnings",#N/A,FALSE,"Paper";"Wood Production",#N/A,FALSE,"Wood Products";"Wood Earnings",#N/A,FALSE,"Wood Products";"Pulp Production",#N/A,FALSE,"Pulp";"Pulp Earnings",#N/A,FALSE,"Pulp"}</definedName>
    <definedName name="abc" localSheetId="8" hidden="1">{"Cover",#N/A,FALSE,"Cover";"Summary",#N/A,FALSE,"Summarpage";"Assumptions",#N/A,FALSE,"Assumptions";"Earnings",#N/A,FALSE,"Earnings";"CF Oper.",#N/A,FALSE,"Earnings";"Balance Sheet",#N/A,FALSE,"balance";"Cash Flow",#N/A,FALSE,"cash flow";"Paper Production",#N/A,FALSE,"Paper";"Paper Earnings",#N/A,FALSE,"Paper";"Wood Production",#N/A,FALSE,"Wood Products";"Wood Earnings",#N/A,FALSE,"Wood Products";"Pulp Production",#N/A,FALSE,"Pulp";"Pulp Earnings",#N/A,FALSE,"Pulp"}</definedName>
    <definedName name="abc" localSheetId="2" hidden="1">{"Cover",#N/A,FALSE,"Cover";"Summary",#N/A,FALSE,"Summarpage";"Assumptions",#N/A,FALSE,"Assumptions";"Earnings",#N/A,FALSE,"Earnings";"CF Oper.",#N/A,FALSE,"Earnings";"Balance Sheet",#N/A,FALSE,"balance";"Cash Flow",#N/A,FALSE,"cash flow";"Paper Production",#N/A,FALSE,"Paper";"Paper Earnings",#N/A,FALSE,"Paper";"Wood Production",#N/A,FALSE,"Wood Products";"Wood Earnings",#N/A,FALSE,"Wood Products";"Pulp Production",#N/A,FALSE,"Pulp";"Pulp Earnings",#N/A,FALSE,"Pulp"}</definedName>
    <definedName name="abc" hidden="1">{"Cover",#N/A,FALSE,"Cover";"Summary",#N/A,FALSE,"Summarpage";"Assumptions",#N/A,FALSE,"Assumptions";"Earnings",#N/A,FALSE,"Earnings";"CF Oper.",#N/A,FALSE,"Earnings";"Balance Sheet",#N/A,FALSE,"balance";"Cash Flow",#N/A,FALSE,"cash flow";"Paper Production",#N/A,FALSE,"Paper";"Paper Earnings",#N/A,FALSE,"Paper";"Wood Production",#N/A,FALSE,"Wood Products";"Wood Earnings",#N/A,FALSE,"Wood Products";"Pulp Production",#N/A,FALSE,"Pulp";"Pulp Earnings",#N/A,FALSE,"Pulp"}</definedName>
    <definedName name="Actual" localSheetId="6" hidden="1">{#N/A,#N/A,TRUE,"Historicals";#N/A,#N/A,TRUE,"Charts";#N/A,#N/A,TRUE,"Forecasts"}</definedName>
    <definedName name="Actual" localSheetId="8" hidden="1">{#N/A,#N/A,TRUE,"Historicals";#N/A,#N/A,TRUE,"Charts";#N/A,#N/A,TRUE,"Forecasts"}</definedName>
    <definedName name="Actual" localSheetId="2" hidden="1">{#N/A,#N/A,TRUE,"Historicals";#N/A,#N/A,TRUE,"Charts";#N/A,#N/A,TRUE,"Forecasts"}</definedName>
    <definedName name="Actual" hidden="1">{#N/A,#N/A,TRUE,"Historicals";#N/A,#N/A,TRUE,"Charts";#N/A,#N/A,TRUE,"Forecasts"}</definedName>
    <definedName name="AdditionalInstructions">IndexInformation!$B$42</definedName>
    <definedName name="Address" localSheetId="1">ImportantDisclosures!$A$2:$A$2</definedName>
    <definedName name="AllTables">{5}</definedName>
    <definedName name="ANA" localSheetId="11">ModPubIndex!$A$7</definedName>
    <definedName name="anscount" hidden="1">1</definedName>
    <definedName name="AS2DocOpenMode" hidden="1">"AS2DocumentEdit"</definedName>
    <definedName name="Authors" localSheetId="1">ImportantDisclosures!$A$7</definedName>
    <definedName name="Authors" localSheetId="10">IndexInformation!$B$18</definedName>
    <definedName name="bcd" localSheetId="6" hidden="1">{"Cover",#N/A,FALSE,"Cover";"Summary",#N/A,FALSE,"Summarpage";"Assumptions",#N/A,FALSE,"Assumptions";"Earnings",#N/A,FALSE,"Earnings";"CF Oper.",#N/A,FALSE,"Earnings";"Balance Sheet",#N/A,FALSE,"balance";"Cash Flow",#N/A,FALSE,"cash flow";"Paper Production",#N/A,FALSE,"Paper";"Paper Earnings",#N/A,FALSE,"Paper";"Wood Production",#N/A,FALSE,"Wood Products";"Wood Earnings",#N/A,FALSE,"Wood Products";"Pulp Production",#N/A,FALSE,"Pulp";"Pulp Earnings",#N/A,FALSE,"Pulp"}</definedName>
    <definedName name="bcd" localSheetId="8" hidden="1">{"Cover",#N/A,FALSE,"Cover";"Summary",#N/A,FALSE,"Summarpage";"Assumptions",#N/A,FALSE,"Assumptions";"Earnings",#N/A,FALSE,"Earnings";"CF Oper.",#N/A,FALSE,"Earnings";"Balance Sheet",#N/A,FALSE,"balance";"Cash Flow",#N/A,FALSE,"cash flow";"Paper Production",#N/A,FALSE,"Paper";"Paper Earnings",#N/A,FALSE,"Paper";"Wood Production",#N/A,FALSE,"Wood Products";"Wood Earnings",#N/A,FALSE,"Wood Products";"Pulp Production",#N/A,FALSE,"Pulp";"Pulp Earnings",#N/A,FALSE,"Pulp"}</definedName>
    <definedName name="bcd" localSheetId="2" hidden="1">{"Cover",#N/A,FALSE,"Cover";"Summary",#N/A,FALSE,"Summarpage";"Assumptions",#N/A,FALSE,"Assumptions";"Earnings",#N/A,FALSE,"Earnings";"CF Oper.",#N/A,FALSE,"Earnings";"Balance Sheet",#N/A,FALSE,"balance";"Cash Flow",#N/A,FALSE,"cash flow";"Paper Production",#N/A,FALSE,"Paper";"Paper Earnings",#N/A,FALSE,"Paper";"Wood Production",#N/A,FALSE,"Wood Products";"Wood Earnings",#N/A,FALSE,"Wood Products";"Pulp Production",#N/A,FALSE,"Pulp";"Pulp Earnings",#N/A,FALSE,"Pulp"}</definedName>
    <definedName name="bcd" hidden="1">{"Cover",#N/A,FALSE,"Cover";"Summary",#N/A,FALSE,"Summarpage";"Assumptions",#N/A,FALSE,"Assumptions";"Earnings",#N/A,FALSE,"Earnings";"CF Oper.",#N/A,FALSE,"Earnings";"Balance Sheet",#N/A,FALSE,"balance";"Cash Flow",#N/A,FALSE,"cash flow";"Paper Production",#N/A,FALSE,"Paper";"Paper Earnings",#N/A,FALSE,"Paper";"Wood Production",#N/A,FALSE,"Wood Products";"Wood Earnings",#N/A,FALSE,"Wood Products";"Pulp Production",#N/A,FALSE,"Pulp";"Pulp Earnings",#N/A,FALSE,"Pulp"}</definedName>
    <definedName name="BRO" localSheetId="11">ModPubIndex!$A$1</definedName>
    <definedName name="BSMethod">2</definedName>
    <definedName name="Company_Code" hidden="1">"USSLP"</definedName>
    <definedName name="CopyrightStamp">ImportantDisclosures!$A$27</definedName>
    <definedName name="COU" localSheetId="11">ModPubIndex!$A$5</definedName>
    <definedName name="CQEnd" localSheetId="10">IndexInformation!$B$31</definedName>
    <definedName name="cu102.ShareScalingFactor" hidden="1">1000000</definedName>
    <definedName name="cu103.EmployeeScalingFactor" hidden="1">1000</definedName>
    <definedName name="cu107.DPSSymbol" hidden="1">"US$"</definedName>
    <definedName name="cu107.EPSSymbol" hidden="1">"US$"</definedName>
    <definedName name="cu107.RepSymbol" hidden="1">"US$"</definedName>
    <definedName name="cu42.CurrFinancialMth" hidden="1">12</definedName>
    <definedName name="cu42.CurrFinancialYear" hidden="1">2005</definedName>
    <definedName name="cu61.ScalingFactor" hidden="1">"M"</definedName>
    <definedName name="cu71.ScalingFactor" hidden="1">1000000</definedName>
    <definedName name="Currency" localSheetId="10">IndexInformation!$B$24</definedName>
    <definedName name="CurrentStockPrice" localSheetId="10">IndexInformation!$B$23</definedName>
    <definedName name="CurrQtrEPS" localSheetId="10">IndexInformation!$B$29</definedName>
    <definedName name="CurrYearEPS" localSheetId="10">IndexInformation!$B$11</definedName>
    <definedName name="CurrYearTotalRevenue" localSheetId="10">IndexInformation!$B$10</definedName>
    <definedName name="CurrYearTotalRevenueActual" localSheetId="10">IndexInformation!$B$32</definedName>
    <definedName name="CUSClassVersion">0</definedName>
    <definedName name="CUSHeadFont" hidden="1">16777215</definedName>
    <definedName name="CUSHeading" hidden="1">8421504</definedName>
    <definedName name="CUSIP" localSheetId="10">IndexInformation!$B$20</definedName>
    <definedName name="CUSItemFont" hidden="1">9868950</definedName>
    <definedName name="CUSItemHeading" hidden="1">16777215</definedName>
    <definedName name="CUSSheetClass">"USIN"</definedName>
    <definedName name="CustomView" hidden="1">"optAllRows"</definedName>
    <definedName name="CYEnd" localSheetId="10">IndexInformation!$B$30</definedName>
    <definedName name="dasdasd" localSheetId="6" hidden="1">{"Bell",#N/A,TRUE,"Earnings Model";"Cessna",#N/A,TRUE,"Earnings Model"}</definedName>
    <definedName name="dasdasd" localSheetId="8" hidden="1">{"Bell",#N/A,TRUE,"Earnings Model";"Cessna",#N/A,TRUE,"Earnings Model"}</definedName>
    <definedName name="dasdasd" localSheetId="2" hidden="1">{"Bell",#N/A,TRUE,"Earnings Model";"Cessna",#N/A,TRUE,"Earnings Model"}</definedName>
    <definedName name="dasdasd" hidden="1">{"Bell",#N/A,TRUE,"Earnings Model";"Cessna",#N/A,TRUE,"Earnings Model"}</definedName>
    <definedName name="Date" localSheetId="1">ImportantDisclosures!$A$8</definedName>
    <definedName name="DB">"WIRENYPROD"</definedName>
    <definedName name="Deleted" localSheetId="10">IndexInformation!$B$27</definedName>
    <definedName name="Description" localSheetId="10">IndexInformation!$B$7</definedName>
    <definedName name="DEVELOPMENT">5</definedName>
    <definedName name="DfltCUSHeadFont" hidden="1">16777215</definedName>
    <definedName name="DfltCUSHeading" hidden="1">8421504</definedName>
    <definedName name="DfltCUSItemHeading" hidden="1">16777215</definedName>
    <definedName name="DfltFinalColumn" hidden="1">16777215</definedName>
    <definedName name="DfltFinalHeadFont" hidden="1">16777215</definedName>
    <definedName name="DfltFinalHeading" hidden="1">8421504</definedName>
    <definedName name="DfltInterimColumn" hidden="1">16777215</definedName>
    <definedName name="DfltInterimHeadFont" hidden="1">8388608</definedName>
    <definedName name="DfltInterimHeading" hidden="1">16777215</definedName>
    <definedName name="DfltQuarterlyColumn" hidden="1">16777215</definedName>
    <definedName name="DfltQuarterlyHeadFont" hidden="1">8388608</definedName>
    <definedName name="DfltQuarterlyHeading" hidden="1">16777215</definedName>
    <definedName name="DfltSectionHeadFont" hidden="1">0</definedName>
    <definedName name="DfltSectionHeading" hidden="1">12632256</definedName>
    <definedName name="Discipline" localSheetId="10">IndexInformation!$B$3</definedName>
    <definedName name="DISCIPLINE" localSheetId="11">ModPubIndex!$A$12</definedName>
    <definedName name="DisclosuresText">ImportantDisclosures!$A$22</definedName>
    <definedName name="Distribution" localSheetId="10">IndexInformation!$B$26</definedName>
    <definedName name="DistTable" localSheetId="1">ImportantDisclosures!#REF!</definedName>
    <definedName name="DistTablePreamble" localSheetId="1">ImportantDisclosures!#REF!</definedName>
    <definedName name="DOCDAT" localSheetId="11">ModPubIndex!$A$2</definedName>
    <definedName name="DOCTIME" localSheetId="11">ModPubIndex!$A$3</definedName>
    <definedName name="DocType" localSheetId="10">IndexInformation!$B$5</definedName>
    <definedName name="DPSCurr" hidden="1">IF([0]!cu107.DPSSymbol=[0]!cu107.EPSSymbol,"", ", " &amp; [0]!cu107.DPSSymbol)</definedName>
    <definedName name="DPSCurrency" hidden="1">IF([0]!cu107.DPSSymbol=[0]!cu107.EPSSymbol,"", ", " &amp; [0]!cu107.DPSSymbol)</definedName>
    <definedName name="EMAIL_ALERT" localSheetId="11">ModPubIndex!$A$10</definedName>
    <definedName name="EmailAlert" localSheetId="10">IndexInformation!$B$28</definedName>
    <definedName name="EmpScale" hidden="1">#N/A</definedName>
    <definedName name="ev.Calculation">-4135</definedName>
    <definedName name="ev.Initialized">FALSE</definedName>
    <definedName name="ｆ" hidden="1">"iQShowAnnual"</definedName>
    <definedName name="FinalColumn" hidden="1">16777215</definedName>
    <definedName name="FinalHeadFont" hidden="1">16777215</definedName>
    <definedName name="FinalHeading" hidden="1">8421504</definedName>
    <definedName name="FiveYearGrowthRate" localSheetId="10">IndexInformation!$B$16</definedName>
    <definedName name="FollowingYearEPS" localSheetId="10">IndexInformation!$B$15</definedName>
    <definedName name="FollowingYearTotalRevenue" localSheetId="10">IndexInformation!$B$14</definedName>
    <definedName name="FollowingYearTotalRevenueActual" localSheetId="10">IndexInformation!$B$34</definedName>
    <definedName name="forecast" localSheetId="6" hidden="1">{"cover a","1q",FALSE,"Cover";"Op Earn Mgd Q1",#N/A,FALSE,"Op-Earn (Mng)";"Op Earn Rpt Q1",#N/A,FALSE,"Op-Earn (Rpt)";"Loans",#N/A,FALSE,"Loans";"Credit Costs",#N/A,FALSE,"CCosts";"Net Interest Margin",#N/A,FALSE,"Margin";"Nonint Income",#N/A,FALSE,"NonII";"Nonint Exp",#N/A,FALSE,"NonIE";"Valuation",#N/A,FALSE,"Valuation"}</definedName>
    <definedName name="forecast" localSheetId="8" hidden="1">{"cover a","1q",FALSE,"Cover";"Op Earn Mgd Q1",#N/A,FALSE,"Op-Earn (Mng)";"Op Earn Rpt Q1",#N/A,FALSE,"Op-Earn (Rpt)";"Loans",#N/A,FALSE,"Loans";"Credit Costs",#N/A,FALSE,"CCosts";"Net Interest Margin",#N/A,FALSE,"Margin";"Nonint Income",#N/A,FALSE,"NonII";"Nonint Exp",#N/A,FALSE,"NonIE";"Valuation",#N/A,FALSE,"Valuation"}</definedName>
    <definedName name="forecast" localSheetId="2" hidden="1">{"cover a","1q",FALSE,"Cover";"Op Earn Mgd Q1",#N/A,FALSE,"Op-Earn (Mng)";"Op Earn Rpt Q1",#N/A,FALSE,"Op-Earn (Rpt)";"Loans",#N/A,FALSE,"Loans";"Credit Costs",#N/A,FALSE,"CCosts";"Net Interest Margin",#N/A,FALSE,"Margin";"Nonint Income",#N/A,FALSE,"NonII";"Nonint Exp",#N/A,FALSE,"NonIE";"Valuation",#N/A,FALSE,"Valuation"}</definedName>
    <definedName name="forecast" hidden="1">{"cover a","1q",FALSE,"Cover";"Op Earn Mgd Q1",#N/A,FALSE,"Op-Earn (Mng)";"Op Earn Rpt Q1",#N/A,FALSE,"Op-Earn (Rpt)";"Loans",#N/A,FALSE,"Loans";"Credit Costs",#N/A,FALSE,"CCosts";"Net Interest Margin",#N/A,FALSE,"Margin";"Nonint Income",#N/A,FALSE,"NonII";"Nonint Exp",#N/A,FALSE,"NonIE";"Valuation",#N/A,FALSE,"Valuation"}</definedName>
    <definedName name="forecast1" localSheetId="6" hidden="1">{"cover a","1q",FALSE,"Cover";"Op Earn Mgd Q1",#N/A,FALSE,"Op-Earn (Mng)";"Op Earn Rpt Q1",#N/A,FALSE,"Op-Earn (Rpt)";"Loans",#N/A,FALSE,"Loans";"Credit Costs",#N/A,FALSE,"CCosts";"Net Interest Margin",#N/A,FALSE,"Margin";"Nonint Income",#N/A,FALSE,"NonII";"Nonint Exp",#N/A,FALSE,"NonIE";"Valuation",#N/A,FALSE,"Valuation"}</definedName>
    <definedName name="forecast1" localSheetId="8" hidden="1">{"cover a","1q",FALSE,"Cover";"Op Earn Mgd Q1",#N/A,FALSE,"Op-Earn (Mng)";"Op Earn Rpt Q1",#N/A,FALSE,"Op-Earn (Rpt)";"Loans",#N/A,FALSE,"Loans";"Credit Costs",#N/A,FALSE,"CCosts";"Net Interest Margin",#N/A,FALSE,"Margin";"Nonint Income",#N/A,FALSE,"NonII";"Nonint Exp",#N/A,FALSE,"NonIE";"Valuation",#N/A,FALSE,"Valuation"}</definedName>
    <definedName name="forecast1" localSheetId="2" hidden="1">{"cover a","1q",FALSE,"Cover";"Op Earn Mgd Q1",#N/A,FALSE,"Op-Earn (Mng)";"Op Earn Rpt Q1",#N/A,FALSE,"Op-Earn (Rpt)";"Loans",#N/A,FALSE,"Loans";"Credit Costs",#N/A,FALSE,"CCosts";"Net Interest Margin",#N/A,FALSE,"Margin";"Nonint Income",#N/A,FALSE,"NonII";"Nonint Exp",#N/A,FALSE,"NonIE";"Valuation",#N/A,FALSE,"Valuation"}</definedName>
    <definedName name="forecast1" hidden="1">{"cover a","1q",FALSE,"Cover";"Op Earn Mgd Q1",#N/A,FALSE,"Op-Earn (Mng)";"Op Earn Rpt Q1",#N/A,FALSE,"Op-Earn (Rpt)";"Loans",#N/A,FALSE,"Loans";"Credit Costs",#N/A,FALSE,"CCosts";"Net Interest Margin",#N/A,FALSE,"Margin";"Nonint Income",#N/A,FALSE,"NonII";"Nonint Exp",#N/A,FALSE,"NonIE";"Valuation",#N/A,FALSE,"Valuation"}</definedName>
    <definedName name="FR_CODE_COPY_LINK">" "</definedName>
    <definedName name="FR_CODE_DOWNLOAD_START">" "</definedName>
    <definedName name="FR_CODE_STOCK_LINK">" "</definedName>
    <definedName name="FR_COM_ABBR">"SUN"</definedName>
    <definedName name="FR_COM_ABBR_LINK">" "</definedName>
    <definedName name="FR_COM_AGG">0</definedName>
    <definedName name="FR_COM_NAME_LINK">" "</definedName>
    <definedName name="FR_COU_ABBR">"usa"</definedName>
    <definedName name="FR_DATABOX_DOWNLOAD">"Y"</definedName>
    <definedName name="FR_DISP_HIDDEN">TRUE</definedName>
    <definedName name="FR_END_DATE">"'"</definedName>
    <definedName name="FR_LINKS_OVERRUN">TRUE</definedName>
    <definedName name="FR_LOG_END_DATE">"'"</definedName>
    <definedName name="FR_LOG_START_DATE">"'"</definedName>
    <definedName name="FR_RATIO_ABBR">"EXTEL_RATIO_BUNDLE"</definedName>
    <definedName name="FR_RATIO_COM_ABBR">"ZZUK.L"</definedName>
    <definedName name="FR_RATIO_COU_ABBR">"uk"</definedName>
    <definedName name="FR_RATIO_IGNORE_PROT_FLAG">TRUE</definedName>
    <definedName name="FR_RATIO_RECALC_FLAG">TRUE</definedName>
    <definedName name="FR_REPORT_TYPE">""</definedName>
    <definedName name="FR_RPT_AREA_LINK">" "</definedName>
    <definedName name="FR_RPT_FOOTER_LINK">" "</definedName>
    <definedName name="FR_RPT_HEADER_LINK">" "</definedName>
    <definedName name="FR_RPT_LINE_SPACING">1</definedName>
    <definedName name="FR_RPT_PAGE_BREAK">0</definedName>
    <definedName name="FR_SDS_KEY">6</definedName>
    <definedName name="FR_SHOW_LINK_MARKER">TRUE</definedName>
    <definedName name="FR_START_DATE">"'"</definedName>
    <definedName name="FR_SYBASE_SERVER">"PNYEQFRD01"</definedName>
    <definedName name="FR_TEMPLATE_KEY">"76018|1"</definedName>
    <definedName name="FR_USE_BILLIONS">FALSE</definedName>
    <definedName name="FR_USE_DIMFAC">TRUE</definedName>
    <definedName name="FR_USE_LOCAL_CCY">FALSE</definedName>
    <definedName name="FR_USE_PRICEFACTORING">FALSE</definedName>
    <definedName name="FR_USE_SCALE_FLAG">TRUE</definedName>
    <definedName name="FR_WORKBOOK">"G:\research\SHARED\GORDON\MODELS\PRIMARY\SII.xls"</definedName>
    <definedName name="Growth_ROIC" localSheetId="7">OFFSET([0]!XRange,10,0)</definedName>
    <definedName name="Growth_ROIC">OFFSET([0]!XRange,10,0)</definedName>
    <definedName name="HL" localSheetId="11">ModPubIndex!$A$8</definedName>
    <definedName name="hn.ExtDb">FALSE</definedName>
    <definedName name="hn.ModelType">"DEAL"</definedName>
    <definedName name="hn.ModelVersion">1</definedName>
    <definedName name="hn.NoUpload">0</definedName>
    <definedName name="HTML_CodePage" hidden="1">1252</definedName>
    <definedName name="HTML_Control" localSheetId="6" hidden="1">{"'Breakup 01 Euro'!$A$3:$I$30"}</definedName>
    <definedName name="HTML_Control" localSheetId="8" hidden="1">{"'Breakup 01 Euro'!$A$3:$I$30"}</definedName>
    <definedName name="HTML_Control" localSheetId="2" hidden="1">{"'Breakup 01 Euro'!$A$3:$I$30"}</definedName>
    <definedName name="HTML_Control" hidden="1">{"'Breakup 01 Euro'!$A$3:$I$30"}</definedName>
    <definedName name="HTML_Control1" hidden="1">{"'Sheet1'!$A$1:$J$121"}</definedName>
    <definedName name="HTML_Description" hidden="1">""</definedName>
    <definedName name="HTML_Email" hidden="1">""</definedName>
    <definedName name="HTML_Header" hidden="1">"Breakup 01 Euro"</definedName>
    <definedName name="HTML_LastUpdate" hidden="1">"27/02/2001"</definedName>
    <definedName name="HTML_LineAfter" hidden="1">FALSE</definedName>
    <definedName name="HTML_LineBefore" hidden="1">FALSE</definedName>
    <definedName name="HTML_Name" hidden="1">"jonasa"</definedName>
    <definedName name="HTML_OBDlg2" hidden="1">TRUE</definedName>
    <definedName name="HTML_OBDlg4" hidden="1">TRUE</definedName>
    <definedName name="HTML_OS" hidden="1">0</definedName>
    <definedName name="HTML_PathFile" hidden="1">"L:\AUTOS\XLDATA\Jonas\other\DCX_Sop.htm"</definedName>
    <definedName name="HTML_Title" hidden="1">"DAIC-INC"</definedName>
    <definedName name="i" localSheetId="6">{"Qtr Op Mgd Q3",#N/A,FALSE,"Qtr-Op (Mng)";"Qtr Op Rpt Q3",#N/A,FALSE,"Qtr-Op (Rpt)";"Operating Vs Reported",#N/A,FALSE,"Rpt-Op Inc"}</definedName>
    <definedName name="i" localSheetId="8">{"Qtr Op Mgd Q3",#N/A,FALSE,"Qtr-Op (Mng)";"Qtr Op Rpt Q3",#N/A,FALSE,"Qtr-Op (Rpt)";"Operating Vs Reported",#N/A,FALSE,"Rpt-Op Inc"}</definedName>
    <definedName name="i" localSheetId="2">{"Qtr Op Mgd Q3",#N/A,FALSE,"Qtr-Op (Mng)";"Qtr Op Rpt Q3",#N/A,FALSE,"Qtr-Op (Rpt)";"Operating Vs Reported",#N/A,FALSE,"Rpt-Op Inc"}</definedName>
    <definedName name="i">{"Qtr Op Mgd Q3",#N/A,FALSE,"Qtr-Op (Mng)";"Qtr Op Rpt Q3",#N/A,FALSE,"Qtr-Op (Rpt)";"Operating Vs Reported",#N/A,FALSE,"Rpt-Op Inc"}</definedName>
    <definedName name="IND" localSheetId="11">ModPubIndex!$A$9</definedName>
    <definedName name="Industry" localSheetId="1">ImportantDisclosures!$A$12</definedName>
    <definedName name="IndustryId">IndexInformation!$B$40</definedName>
    <definedName name="IndustryRating" localSheetId="1">ImportantDisclosures!$A$13</definedName>
    <definedName name="InterimColumn" hidden="1">16777215</definedName>
    <definedName name="InterimHeadFont" hidden="1">8388608</definedName>
    <definedName name="InterimHeading" hidden="1">16777215</definedName>
    <definedName name="InvestCapGrowth" localSheetId="7">OFFSET([0]!XRange2,4,0)</definedName>
    <definedName name="InvestCapGrowth">OFFSET([0]!XRange2,4,0)</definedName>
    <definedName name="IQ_ACCOUNT_CHANGE" hidden="1">"c1449"</definedName>
    <definedName name="IQ_ACCOUNTS_PAY" hidden="1">"c1343"</definedName>
    <definedName name="IQ_ACCR_INT_PAY" hidden="1">"c1"</definedName>
    <definedName name="IQ_ACCR_INT_PAY_CF" hidden="1">"c2"</definedName>
    <definedName name="IQ_ACCR_INT_RECEIV" hidden="1">"c3"</definedName>
    <definedName name="IQ_ACCR_INT_RECEIV_CF" hidden="1">"c4"</definedName>
    <definedName name="IQ_ACCRUED_EXP" hidden="1">"c1341"</definedName>
    <definedName name="IQ_ACCT_RECV_10YR_ANN_GROWTH" hidden="1">"c1924"</definedName>
    <definedName name="IQ_ACCT_RECV_1YR_ANN_GROWTH" hidden="1">"c1919"</definedName>
    <definedName name="IQ_ACCT_RECV_2YR_ANN_GROWTH" hidden="1">"c1920"</definedName>
    <definedName name="IQ_ACCT_RECV_3YR_ANN_GROWTH" hidden="1">"c1921"</definedName>
    <definedName name="IQ_ACCT_RECV_5YR_ANN_GROWTH" hidden="1">"c1922"</definedName>
    <definedName name="IQ_ACCT_RECV_7YR_ANN_GROWTH" hidden="1">"c1923"</definedName>
    <definedName name="IQ_ACCUM_DEP" hidden="1">"c1340"</definedName>
    <definedName name="IQ_ACCUMULATED_PENSION_OBLIGATION" hidden="1">"c2244"</definedName>
    <definedName name="IQ_ACCUMULATED_PENSION_OBLIGATION_DOMESTIC" hidden="1">"c2657"</definedName>
    <definedName name="IQ_ACCUMULATED_PENSION_OBLIGATION_FOREIGN" hidden="1">"c2665"</definedName>
    <definedName name="IQ_ACQ_COST_SUB" hidden="1">"c2125"</definedName>
    <definedName name="IQ_ACQ_COSTS_CAPITALIZED" hidden="1">"c5"</definedName>
    <definedName name="IQ_ACQUIRE_REAL_ESTATE_CF" hidden="1">"c6"</definedName>
    <definedName name="IQ_ACQUISITION_RE_ASSETS" hidden="1">"c1628"</definedName>
    <definedName name="IQ_AD" hidden="1">"c7"</definedName>
    <definedName name="IQ_ADD_PAID_IN" hidden="1">"c1344"</definedName>
    <definedName name="IQ_ADDIN" hidden="1">"AUTO"</definedName>
    <definedName name="IQ_ADJ_AVG_BANK_ASSETS" hidden="1">"c2671"</definedName>
    <definedName name="IQ_ADMIN_RATIO" hidden="1">"c2784"</definedName>
    <definedName name="IQ_ADVERTISING" hidden="1">"c2246"</definedName>
    <definedName name="IQ_ADVERTISING_MARKETING" hidden="1">"c1566"</definedName>
    <definedName name="IQ_AE" hidden="1">"c8"</definedName>
    <definedName name="IQ_AE_BNK" hidden="1">"c9"</definedName>
    <definedName name="IQ_AE_BR" hidden="1">"c10"</definedName>
    <definedName name="IQ_AE_FIN" hidden="1">"c11"</definedName>
    <definedName name="IQ_AE_INS" hidden="1">"c12"</definedName>
    <definedName name="IQ_AE_REIT" hidden="1">"c13"</definedName>
    <definedName name="IQ_AE_UTI" hidden="1">"c14"</definedName>
    <definedName name="IQ_AH_EARNED" hidden="1">"c2744"</definedName>
    <definedName name="IQ_AH_POLICY_BENEFITS_EXP" hidden="1">"c2789"</definedName>
    <definedName name="IQ_AIR_AIRPLANES_NOT_IN_SERVICE" hidden="1">"c2842"</definedName>
    <definedName name="IQ_AIR_AIRPLANES_SUBLEASED" hidden="1">"c2841"</definedName>
    <definedName name="IQ_AIR_ASK" hidden="1">"c2813"</definedName>
    <definedName name="IQ_AIR_ASK_INCREASE" hidden="1">"c2826"</definedName>
    <definedName name="IQ_AIR_ASM" hidden="1">"c2812"</definedName>
    <definedName name="IQ_AIR_ASM_INCREASE" hidden="1">"c2825"</definedName>
    <definedName name="IQ_AIR_AVG_AGE" hidden="1">"c2843"</definedName>
    <definedName name="IQ_AIR_BREAK_EVEN_FACTOR" hidden="1">"c2822"</definedName>
    <definedName name="IQ_AIR_CAPITAL_LEASE" hidden="1">"c2833"</definedName>
    <definedName name="IQ_AIR_COMPLETION_FACTOR" hidden="1">"c2824"</definedName>
    <definedName name="IQ_AIR_ENPLANED_PSGRS" hidden="1">"c2809"</definedName>
    <definedName name="IQ_AIR_FUEL_CONSUMED" hidden="1">"c2806"</definedName>
    <definedName name="IQ_AIR_FUEL_CONSUMED_L" hidden="1">"c2807"</definedName>
    <definedName name="IQ_AIR_FUEL_COST" hidden="1">"c2803"</definedName>
    <definedName name="IQ_AIR_FUEL_COST_L" hidden="1">"c2804"</definedName>
    <definedName name="IQ_AIR_FUEL_EXP" hidden="1">"c2802"</definedName>
    <definedName name="IQ_AIR_FUEL_EXP_PERCENT" hidden="1">"c2805"</definedName>
    <definedName name="IQ_AIR_LEASED" hidden="1">"c2835"</definedName>
    <definedName name="IQ_AIR_LOAD_FACTOR" hidden="1">"c2823"</definedName>
    <definedName name="IQ_AIR_NEW_AIRPLANES" hidden="1">"c2839"</definedName>
    <definedName name="IQ_AIR_OPER_EXP_ASK" hidden="1">"c2821"</definedName>
    <definedName name="IQ_AIR_OPER_EXP_ASM" hidden="1">"c2820"</definedName>
    <definedName name="IQ_AIR_OPER_LEASE" hidden="1">"c2834"</definedName>
    <definedName name="IQ_AIR_OPER_REV_YIELD_ASK" hidden="1">"c2819"</definedName>
    <definedName name="IQ_AIR_OPER_REV_YIELD_ASM" hidden="1">"c2818"</definedName>
    <definedName name="IQ_AIR_OPTIONS" hidden="1">"c2837"</definedName>
    <definedName name="IQ_AIR_ORDERS" hidden="1">"c2836"</definedName>
    <definedName name="IQ_AIR_OWNED" hidden="1">"c2832"</definedName>
    <definedName name="IQ_AIR_PSGR_REV_YIELD_ASK" hidden="1">"c2817"</definedName>
    <definedName name="IQ_AIR_PSGR_REV_YIELD_ASM" hidden="1">"c2816"</definedName>
    <definedName name="IQ_AIR_PSGR_REV_YIELD_RPK" hidden="1">"c2815"</definedName>
    <definedName name="IQ_AIR_PSGR_REV_YIELD_RPM" hidden="1">"c2814"</definedName>
    <definedName name="IQ_AIR_PURCHASE_RIGHTS" hidden="1">"c2838"</definedName>
    <definedName name="IQ_AIR_RETIRED_AIRPLANES" hidden="1">"c2840"</definedName>
    <definedName name="IQ_AIR_REV_PSGRS_CARRIED" hidden="1">"c2808"</definedName>
    <definedName name="IQ_AIR_REV_SCHEDULED_SERVICE" hidden="1">"c2830"</definedName>
    <definedName name="IQ_AIR_RPK" hidden="1">"c2811"</definedName>
    <definedName name="IQ_AIR_RPM" hidden="1">"c2810"</definedName>
    <definedName name="IQ_AIR_STAGE_LENGTH" hidden="1">"c2828"</definedName>
    <definedName name="IQ_AIR_STAGE_LENGTH_KM" hidden="1">"c2829"</definedName>
    <definedName name="IQ_AIR_TOTAL" hidden="1">"c2831"</definedName>
    <definedName name="IQ_AIR_UTILIZATION" hidden="1">"c2827"</definedName>
    <definedName name="IQ_ALLOW_BORROW_CONST" hidden="1">"c15"</definedName>
    <definedName name="IQ_ALLOW_CONST" hidden="1">"c1342"</definedName>
    <definedName name="IQ_ALLOW_DOUBT_ACCT" hidden="1">"c2092"</definedName>
    <definedName name="IQ_ALLOW_EQUITY_CONST" hidden="1">"c16"</definedName>
    <definedName name="IQ_ALLOW_LL" hidden="1">"c17"</definedName>
    <definedName name="IQ_ALLOWANCE_10YR_ANN_GROWTH" hidden="1">"c18"</definedName>
    <definedName name="IQ_ALLOWANCE_1YR_ANN_GROWTH" hidden="1">"c19"</definedName>
    <definedName name="IQ_ALLOWANCE_2YR_ANN_GROWTH" hidden="1">"c20"</definedName>
    <definedName name="IQ_ALLOWANCE_3YR_ANN_GROWTH" hidden="1">"c21"</definedName>
    <definedName name="IQ_ALLOWANCE_5YR_ANN_GROWTH" hidden="1">"c22"</definedName>
    <definedName name="IQ_ALLOWANCE_7YR_ANN_GROWTH" hidden="1">"c23"</definedName>
    <definedName name="IQ_ALLOWANCE_CHARGE_OFFS" hidden="1">"c24"</definedName>
    <definedName name="IQ_ALLOWANCE_NON_PERF_LOANS" hidden="1">"c25"</definedName>
    <definedName name="IQ_ALLOWANCE_TOTAL_LOANS" hidden="1">"c26"</definedName>
    <definedName name="IQ_AMORTIZATION" hidden="1">"c1591"</definedName>
    <definedName name="IQ_AMT_OUT" hidden="1">"c2145"</definedName>
    <definedName name="IQ_ANNU_DISTRIBUTION_UNIT" hidden="1">"c3004"</definedName>
    <definedName name="IQ_ANNUALIZED_DIVIDEND" hidden="1">"c1579"</definedName>
    <definedName name="IQ_ANNUITY_LIAB" hidden="1">"c27"</definedName>
    <definedName name="IQ_ANNUITY_PAY" hidden="1">"c28"</definedName>
    <definedName name="IQ_ANNUITY_POLICY_EXP" hidden="1">"c29"</definedName>
    <definedName name="IQ_ANNUITY_REC" hidden="1">"c30"</definedName>
    <definedName name="IQ_ANNUITY_REV" hidden="1">"c31"</definedName>
    <definedName name="IQ_AP" hidden="1">"c32"</definedName>
    <definedName name="IQ_AP_BNK" hidden="1">"c33"</definedName>
    <definedName name="IQ_AP_BR" hidden="1">"c34"</definedName>
    <definedName name="IQ_AP_FIN" hidden="1">"c35"</definedName>
    <definedName name="IQ_AP_INS" hidden="1">"c36"</definedName>
    <definedName name="IQ_AP_REIT" hidden="1">"c37"</definedName>
    <definedName name="IQ_AP_UTI" hidden="1">"c38"</definedName>
    <definedName name="IQ_APIC" hidden="1">"c39"</definedName>
    <definedName name="IQ_AR" hidden="1">"c40"</definedName>
    <definedName name="IQ_AR_BR" hidden="1">"c41"</definedName>
    <definedName name="IQ_AR_LT" hidden="1">"c42"</definedName>
    <definedName name="IQ_AR_REIT" hidden="1">"c43"</definedName>
    <definedName name="IQ_AR_TURNS" hidden="1">"c44"</definedName>
    <definedName name="IQ_AR_UTI" hidden="1">"c45"</definedName>
    <definedName name="IQ_ARPU" hidden="1">"c2126"</definedName>
    <definedName name="IQ_ASSET_MGMT_FEE" hidden="1">"c46"</definedName>
    <definedName name="IQ_ASSET_TURNS" hidden="1">"c47"</definedName>
    <definedName name="IQ_ASSET_WRITEDOWN" hidden="1">"c48"</definedName>
    <definedName name="IQ_ASSET_WRITEDOWN_BNK" hidden="1">"c49"</definedName>
    <definedName name="IQ_ASSET_WRITEDOWN_BR" hidden="1">"c50"</definedName>
    <definedName name="IQ_ASSET_WRITEDOWN_CF" hidden="1">"c51"</definedName>
    <definedName name="IQ_ASSET_WRITEDOWN_CF_BNK" hidden="1">"c52"</definedName>
    <definedName name="IQ_ASSET_WRITEDOWN_CF_BR" hidden="1">"c53"</definedName>
    <definedName name="IQ_ASSET_WRITEDOWN_CF_FIN" hidden="1">"c54"</definedName>
    <definedName name="IQ_ASSET_WRITEDOWN_CF_INS" hidden="1">"c55"</definedName>
    <definedName name="IQ_ASSET_WRITEDOWN_CF_REIT" hidden="1">"c56"</definedName>
    <definedName name="IQ_ASSET_WRITEDOWN_CF_UTI" hidden="1">"c57"</definedName>
    <definedName name="IQ_ASSET_WRITEDOWN_FIN" hidden="1">"c58"</definedName>
    <definedName name="IQ_ASSET_WRITEDOWN_INS" hidden="1">"c59"</definedName>
    <definedName name="IQ_ASSET_WRITEDOWN_REIT" hidden="1">"c60"</definedName>
    <definedName name="IQ_ASSET_WRITEDOWN_UTI" hidden="1">"c61"</definedName>
    <definedName name="IQ_ASSETS_CAP_LEASE_DEPR" hidden="1">"c2068"</definedName>
    <definedName name="IQ_ASSETS_CAP_LEASE_GROSS" hidden="1">"c2069"</definedName>
    <definedName name="IQ_ASSETS_OPER_LEASE_DEPR" hidden="1">"c2070"</definedName>
    <definedName name="IQ_ASSETS_OPER_LEASE_GROSS" hidden="1">"c2071"</definedName>
    <definedName name="IQ_ASSUMED_AH_EARNED" hidden="1">"c2741"</definedName>
    <definedName name="IQ_ASSUMED_EARNED" hidden="1">"c2731"</definedName>
    <definedName name="IQ_ASSUMED_LIFE_EARNED" hidden="1">"c2736"</definedName>
    <definedName name="IQ_ASSUMED_LIFE_IN_FORCE" hidden="1">"c2766"</definedName>
    <definedName name="IQ_ASSUMED_PC_EARNED" hidden="1">"c2746"</definedName>
    <definedName name="IQ_ASSUMED_WRITTEN" hidden="1">"c2725"</definedName>
    <definedName name="IQ_AUDITOR_NAME" hidden="1">"c1539"</definedName>
    <definedName name="IQ_AUDITOR_OPINION" hidden="1">"c1540"</definedName>
    <definedName name="IQ_AUTO_WRITTEN" hidden="1">"c62"</definedName>
    <definedName name="IQ_AVG_BANK_ASSETS" hidden="1">"c2072"</definedName>
    <definedName name="IQ_AVG_BANK_LOANS" hidden="1">"c2073"</definedName>
    <definedName name="IQ_AVG_BROKER_REC" hidden="1">"c63"</definedName>
    <definedName name="IQ_AVG_BROKER_REC_NO" hidden="1">"c64"</definedName>
    <definedName name="IQ_AVG_BROKER_REC_NO_REUT" hidden="1">"c5315"</definedName>
    <definedName name="IQ_AVG_BROKER_REC_REUT" hidden="1">"c3630"</definedName>
    <definedName name="IQ_AVG_DAILY_VOL" hidden="1">"c65"</definedName>
    <definedName name="IQ_AVG_INDUSTRY_REC" hidden="1">"c4455"</definedName>
    <definedName name="IQ_AVG_INT_BEAR_LIAB" hidden="1">"c66"</definedName>
    <definedName name="IQ_AVG_INT_BEAR_LIAB_10YR_ANN_GROWTH" hidden="1">"c67"</definedName>
    <definedName name="IQ_AVG_INT_BEAR_LIAB_1YR_ANN_GROWTH" hidden="1">"c68"</definedName>
    <definedName name="IQ_AVG_INT_BEAR_LIAB_2YR_ANN_GROWTH" hidden="1">"c69"</definedName>
    <definedName name="IQ_AVG_INT_BEAR_LIAB_3YR_ANN_GROWTH" hidden="1">"c70"</definedName>
    <definedName name="IQ_AVG_INT_BEAR_LIAB_5YR_ANN_GROWTH" hidden="1">"c71"</definedName>
    <definedName name="IQ_AVG_INT_BEAR_LIAB_7YR_ANN_GROWTH" hidden="1">"c72"</definedName>
    <definedName name="IQ_AVG_INT_EARN_ASSETS" hidden="1">"c73"</definedName>
    <definedName name="IQ_AVG_INT_EARN_ASSETS_10YR_ANN_GROWTH" hidden="1">"c74"</definedName>
    <definedName name="IQ_AVG_INT_EARN_ASSETS_1YR_ANN_GROWTH" hidden="1">"c75"</definedName>
    <definedName name="IQ_AVG_INT_EARN_ASSETS_2YR_ANN_GROWTH" hidden="1">"c76"</definedName>
    <definedName name="IQ_AVG_INT_EARN_ASSETS_3YR_ANN_GROWTH" hidden="1">"c77"</definedName>
    <definedName name="IQ_AVG_INT_EARN_ASSETS_5YR_ANN_GROWTH" hidden="1">"c78"</definedName>
    <definedName name="IQ_AVG_INT_EARN_ASSETS_7YR_ANN_GROWTH" hidden="1">"c79"</definedName>
    <definedName name="IQ_AVG_MKTCAP" hidden="1">"c80"</definedName>
    <definedName name="IQ_AVG_PRICE" hidden="1">"c81"</definedName>
    <definedName name="IQ_AVG_SHAREOUTSTANDING" hidden="1">"c83"</definedName>
    <definedName name="IQ_AVG_TEV" hidden="1">"c84"</definedName>
    <definedName name="IQ_AVG_VOLUME" hidden="1">"c1346"</definedName>
    <definedName name="IQ_BANK_DEBT" hidden="1">"c2544"</definedName>
    <definedName name="IQ_BANK_DEBT_PCT" hidden="1">"c2545"</definedName>
    <definedName name="IQ_BASIC_EPS_EXCL" hidden="1">"c85"</definedName>
    <definedName name="IQ_BASIC_EPS_INCL" hidden="1">"c86"</definedName>
    <definedName name="IQ_BASIC_NORMAL_EPS" hidden="1">"c1592"</definedName>
    <definedName name="IQ_BASIC_WEIGHT" hidden="1">"c87"</definedName>
    <definedName name="IQ_BENCHMARK_SECURITY" hidden="1">"c2154"</definedName>
    <definedName name="IQ_BENCHMARK_SPRD" hidden="1">"c2153"</definedName>
    <definedName name="IQ_BETA" hidden="1">"c2133"</definedName>
    <definedName name="IQ_BETA_1YR" hidden="1">"c1966"</definedName>
    <definedName name="IQ_BETA_1YR_RSQ" hidden="1">"c2132"</definedName>
    <definedName name="IQ_BETA_2YR" hidden="1">"c1965"</definedName>
    <definedName name="IQ_BETA_2YR_RSQ" hidden="1">"c2131"</definedName>
    <definedName name="IQ_BETA_5YR" hidden="1">"c88"</definedName>
    <definedName name="IQ_BETA_5YR_RSQ" hidden="1">"c2130"</definedName>
    <definedName name="IQ_BIG_INT_BEAR_CD" hidden="1">"c89"</definedName>
    <definedName name="IQ_BOARD_MEMBER" hidden="1">"c96"</definedName>
    <definedName name="IQ_BOARD_MEMBER_BACKGROUND" hidden="1">"c2101"</definedName>
    <definedName name="IQ_BOARD_MEMBER_TITLE" hidden="1">"c97"</definedName>
    <definedName name="IQ_BOND_COUPON" hidden="1">"c2183"</definedName>
    <definedName name="IQ_BOND_COUPON_TYPE" hidden="1">"c2184"</definedName>
    <definedName name="IQ_BOND_PRICE" hidden="1">"c2162"</definedName>
    <definedName name="IQ_BROK_COMISSION" hidden="1">"c98"</definedName>
    <definedName name="IQ_BROK_COMMISSION" hidden="1">"c3514"</definedName>
    <definedName name="IQ_BUILDINGS" hidden="1">"c99"</definedName>
    <definedName name="IQ_BUS_SEG_ASSETS" hidden="1">"c4067"</definedName>
    <definedName name="IQ_BUS_SEG_ASSETS_ABS" hidden="1">"c4089"</definedName>
    <definedName name="IQ_BUS_SEG_ASSETS_TOTAL" hidden="1">"c4112"</definedName>
    <definedName name="IQ_BUS_SEG_CAPEX" hidden="1">"c4079"</definedName>
    <definedName name="IQ_BUS_SEG_CAPEX_ABS" hidden="1">"c4101"</definedName>
    <definedName name="IQ_BUS_SEG_CAPEX_TOTAL" hidden="1">"c4116"</definedName>
    <definedName name="IQ_BUS_SEG_DA" hidden="1">"c4078"</definedName>
    <definedName name="IQ_BUS_SEG_DA_ABS" hidden="1">"c4100"</definedName>
    <definedName name="IQ_BUS_SEG_DA_TOTAL" hidden="1">"c4115"</definedName>
    <definedName name="IQ_BUS_SEG_EARNINGS_OP" hidden="1">"c4063"</definedName>
    <definedName name="IQ_BUS_SEG_EARNINGS_OP_ABS" hidden="1">"c4085"</definedName>
    <definedName name="IQ_BUS_SEG_EARNINGS_OP_TOTAL" hidden="1">"c4108"</definedName>
    <definedName name="IQ_BUS_SEG_EBT" hidden="1">"c4064"</definedName>
    <definedName name="IQ_BUS_SEG_EBT_ABS" hidden="1">"c4086"</definedName>
    <definedName name="IQ_BUS_SEG_EBT_TOTAL" hidden="1">"c4110"</definedName>
    <definedName name="IQ_BUS_SEG_GP" hidden="1">"c4066"</definedName>
    <definedName name="IQ_BUS_SEG_GP_ABS" hidden="1">"c4088"</definedName>
    <definedName name="IQ_BUS_SEG_GP_TOTAL" hidden="1">"c4109"</definedName>
    <definedName name="IQ_BUS_SEG_INC_TAX" hidden="1">"c4077"</definedName>
    <definedName name="IQ_BUS_SEG_INC_TAX_ABS" hidden="1">"c4099"</definedName>
    <definedName name="IQ_BUS_SEG_INC_TAX_TOTAL" hidden="1">"c4114"</definedName>
    <definedName name="IQ_BUS_SEG_INTEREST_EXP" hidden="1">"c4076"</definedName>
    <definedName name="IQ_BUS_SEG_INTEREST_EXP_ABS" hidden="1">"c4098"</definedName>
    <definedName name="IQ_BUS_SEG_INTEREST_EXP_TOTAL" hidden="1">"c4113"</definedName>
    <definedName name="IQ_BUS_SEG_NAME" hidden="1">"c5482"</definedName>
    <definedName name="IQ_BUS_SEG_NAME_ABS" hidden="1">"c5483"</definedName>
    <definedName name="IQ_BUS_SEG_NI" hidden="1">"c4065"</definedName>
    <definedName name="IQ_BUS_SEG_NI_ABS" hidden="1">"c4087"</definedName>
    <definedName name="IQ_BUS_SEG_NI_TOTAL" hidden="1">"c4111"</definedName>
    <definedName name="IQ_BUS_SEG_OPER_INC" hidden="1">"c4062"</definedName>
    <definedName name="IQ_BUS_SEG_OPER_INC_ABS" hidden="1">"c4084"</definedName>
    <definedName name="IQ_BUS_SEG_OPER_INC_TOTAL" hidden="1">"c4107"</definedName>
    <definedName name="IQ_BUS_SEG_REV" hidden="1">"c4068"</definedName>
    <definedName name="IQ_BUS_SEG_REV_ABS" hidden="1">"c4090"</definedName>
    <definedName name="IQ_BUS_SEG_REV_TOTAL" hidden="1">"c4106"</definedName>
    <definedName name="IQ_BUSINESS_DESCRIPTION" hidden="1">"c322"</definedName>
    <definedName name="IQ_BV_OVER_SHARES" hidden="1">"c1349"</definedName>
    <definedName name="IQ_BV_SHARE" hidden="1">"c100"</definedName>
    <definedName name="IQ_CABLE_ARPU" hidden="1">"c2869"</definedName>
    <definedName name="IQ_CABLE_ARPU_ANALOG" hidden="1">"c2864"</definedName>
    <definedName name="IQ_CABLE_ARPU_BASIC" hidden="1">"c2866"</definedName>
    <definedName name="IQ_CABLE_ARPU_BBAND" hidden="1">"c2867"</definedName>
    <definedName name="IQ_CABLE_ARPU_DIG" hidden="1">"c2865"</definedName>
    <definedName name="IQ_CABLE_ARPU_PHONE" hidden="1">"c2868"</definedName>
    <definedName name="IQ_CABLE_BASIC_PENETRATION" hidden="1">"c2850"</definedName>
    <definedName name="IQ_CABLE_BBAND_PENETRATION" hidden="1">"c2852"</definedName>
    <definedName name="IQ_CABLE_BBAND_PENETRATION_THP" hidden="1">"c2851"</definedName>
    <definedName name="IQ_CABLE_CHURN" hidden="1">"c2874"</definedName>
    <definedName name="IQ_CABLE_CHURN_BASIC" hidden="1">"c2871"</definedName>
    <definedName name="IQ_CABLE_CHURN_BBAND" hidden="1">"c2872"</definedName>
    <definedName name="IQ_CABLE_CHURN_DIG" hidden="1">"c2870"</definedName>
    <definedName name="IQ_CABLE_CHURN_PHONE" hidden="1">"c2873"</definedName>
    <definedName name="IQ_CABLE_HOMES_PER_MILE" hidden="1">"c2849"</definedName>
    <definedName name="IQ_CABLE_HP_BBAND" hidden="1">"c2845"</definedName>
    <definedName name="IQ_CABLE_HP_DIG" hidden="1">"c2844"</definedName>
    <definedName name="IQ_CABLE_HP_PHONE" hidden="1">"c2846"</definedName>
    <definedName name="IQ_CABLE_MILES_PASSED" hidden="1">"c2848"</definedName>
    <definedName name="IQ_CABLE_OTHER_REV" hidden="1">"c2882"</definedName>
    <definedName name="IQ_CABLE_PHONE_PENETRATION" hidden="1">"c2853"</definedName>
    <definedName name="IQ_CABLE_PROGRAMMING_COSTS" hidden="1">"c2884"</definedName>
    <definedName name="IQ_CABLE_REV_ADVERT" hidden="1">"c2880"</definedName>
    <definedName name="IQ_CABLE_REV_ANALOG" hidden="1">"c2875"</definedName>
    <definedName name="IQ_CABLE_REV_BASIC" hidden="1">"c2877"</definedName>
    <definedName name="IQ_CABLE_REV_BBAND" hidden="1">"c2878"</definedName>
    <definedName name="IQ_CABLE_REV_COMMERCIAL" hidden="1">"c2881"</definedName>
    <definedName name="IQ_CABLE_REV_DIG" hidden="1">"c2876"</definedName>
    <definedName name="IQ_CABLE_REV_PHONE" hidden="1">"c2879"</definedName>
    <definedName name="IQ_CABLE_RGU" hidden="1">"c2863"</definedName>
    <definedName name="IQ_CABLE_SUBS_ANALOG" hidden="1">"c2855"</definedName>
    <definedName name="IQ_CABLE_SUBS_BASIC" hidden="1">"c2857"</definedName>
    <definedName name="IQ_CABLE_SUBS_BBAND" hidden="1">"c2858"</definedName>
    <definedName name="IQ_CABLE_SUBS_BUNDLED" hidden="1">"c2861"</definedName>
    <definedName name="IQ_CABLE_SUBS_DIG" hidden="1">"c2856"</definedName>
    <definedName name="IQ_CABLE_SUBS_NON_VIDEO" hidden="1">"c2860"</definedName>
    <definedName name="IQ_CABLE_SUBS_PHONE" hidden="1">"c2859"</definedName>
    <definedName name="IQ_CABLE_SUBS_TOTAL" hidden="1">"c2862"</definedName>
    <definedName name="IQ_CABLE_THP" hidden="1">"c2847"</definedName>
    <definedName name="IQ_CABLE_TOTAL_PENETRATION" hidden="1">"c2854"</definedName>
    <definedName name="IQ_CABLE_TOTAL_REV" hidden="1">"c2883"</definedName>
    <definedName name="IQ_CAL_Q" hidden="1">"c101"</definedName>
    <definedName name="IQ_CAL_Y" hidden="1">"c102"</definedName>
    <definedName name="IQ_CALC_TYPE_BS" hidden="1">"c3086"</definedName>
    <definedName name="IQ_CALC_TYPE_CF" hidden="1">"c3085"</definedName>
    <definedName name="IQ_CALC_TYPE_IS" hidden="1">"c3084"</definedName>
    <definedName name="IQ_CALL_DATE_SCHEDULE" hidden="1">"c2481"</definedName>
    <definedName name="IQ_CALL_FEATURE" hidden="1">"c2197"</definedName>
    <definedName name="IQ_CALL_PRICE_SCHEDULE" hidden="1">"c2482"</definedName>
    <definedName name="IQ_CALLABLE" hidden="1">"c2196"</definedName>
    <definedName name="IQ_CAP_LOSS_CF_1YR" hidden="1">"c3474"</definedName>
    <definedName name="IQ_CAP_LOSS_CF_2YR" hidden="1">"c3475"</definedName>
    <definedName name="IQ_CAP_LOSS_CF_3YR" hidden="1">"c3476"</definedName>
    <definedName name="IQ_CAP_LOSS_CF_4YR" hidden="1">"c3477"</definedName>
    <definedName name="IQ_CAP_LOSS_CF_5YR" hidden="1">"c3478"</definedName>
    <definedName name="IQ_CAP_LOSS_CF_AFTER_FIVE" hidden="1">"c3479"</definedName>
    <definedName name="IQ_CAP_LOSS_CF_MAX_YEAR" hidden="1">"c3482"</definedName>
    <definedName name="IQ_CAP_LOSS_CF_NO_EXP" hidden="1">"c3480"</definedName>
    <definedName name="IQ_CAP_LOSS_CF_TOTAL" hidden="1">"c3481"</definedName>
    <definedName name="IQ_CAPEX" hidden="1">"c103"</definedName>
    <definedName name="IQ_CAPEX_10YR_ANN_GROWTH" hidden="1">"c104"</definedName>
    <definedName name="IQ_CAPEX_1YR_ANN_GROWTH" hidden="1">"c105"</definedName>
    <definedName name="IQ_CAPEX_2YR_ANN_GROWTH" hidden="1">"c106"</definedName>
    <definedName name="IQ_CAPEX_3YR_ANN_GROWTH" hidden="1">"c107"</definedName>
    <definedName name="IQ_CAPEX_5YR_ANN_GROWTH" hidden="1">"c108"</definedName>
    <definedName name="IQ_CAPEX_7YR_ANN_GROWTH" hidden="1">"c109"</definedName>
    <definedName name="IQ_CAPEX_BNK" hidden="1">"c110"</definedName>
    <definedName name="IQ_CAPEX_BR" hidden="1">"c111"</definedName>
    <definedName name="IQ_CAPEX_FIN" hidden="1">"c112"</definedName>
    <definedName name="IQ_CAPEX_INS" hidden="1">"c113"</definedName>
    <definedName name="IQ_CAPEX_UTI" hidden="1">"c114"</definedName>
    <definedName name="IQ_CAPITAL_LEASE" hidden="1">"c1350"</definedName>
    <definedName name="IQ_CAPITAL_LEASES" hidden="1">"c115"</definedName>
    <definedName name="IQ_CAPITAL_LEASES_TOTAL" hidden="1">"c3031"</definedName>
    <definedName name="IQ_CAPITAL_LEASES_TOTAL_PCT" hidden="1">"c2506"</definedName>
    <definedName name="IQ_CAPITALIZED_INTEREST" hidden="1">"c2076"</definedName>
    <definedName name="IQ_CAPITALIZED_INTEREST_BOP" hidden="1">"c3459"</definedName>
    <definedName name="IQ_CAPITALIZED_INTEREST_EOP" hidden="1">"c3464"</definedName>
    <definedName name="IQ_CAPITALIZED_INTEREST_EXP" hidden="1">"c3461"</definedName>
    <definedName name="IQ_CAPITALIZED_INTEREST_OTHER_ADJ" hidden="1">"c3463"</definedName>
    <definedName name="IQ_CAPITALIZED_INTEREST_WRITE_OFF" hidden="1">"c3462"</definedName>
    <definedName name="IQ_CASH" hidden="1">"c1458"</definedName>
    <definedName name="IQ_CASH_ACQUIRE_CF" localSheetId="2" hidden="1">"c1630"</definedName>
    <definedName name="IQ_CASH_ACQUIRE_CF" hidden="1">"c116"</definedName>
    <definedName name="IQ_CASH_CONVERSION" hidden="1">"c117"</definedName>
    <definedName name="IQ_CASH_DUE_BANKS" hidden="1">"c1351"</definedName>
    <definedName name="IQ_CASH_EQUIV" hidden="1">"c118"</definedName>
    <definedName name="IQ_CASH_FINAN" hidden="1">"c119"</definedName>
    <definedName name="IQ_CASH_FLOW_ACT_OR_EST" hidden="1">"c4154"</definedName>
    <definedName name="IQ_CASH_INTEREST" hidden="1">"c120"</definedName>
    <definedName name="IQ_CASH_INVEST" hidden="1">"c121"</definedName>
    <definedName name="IQ_CASH_OPER" hidden="1">"c122"</definedName>
    <definedName name="IQ_CASH_OPER_ACT_OR_EST" hidden="1">"c4164"</definedName>
    <definedName name="IQ_CASH_SEGREG" hidden="1">"c123"</definedName>
    <definedName name="IQ_CASH_SHARE" hidden="1">"c1911"</definedName>
    <definedName name="IQ_CASH_ST" hidden="1">"c1355"</definedName>
    <definedName name="IQ_CASH_ST_INVEST" hidden="1">"c124"</definedName>
    <definedName name="IQ_CASH_TAXES" hidden="1">"c125"</definedName>
    <definedName name="IQ_CEDED_AH_EARNED" hidden="1">"c2743"</definedName>
    <definedName name="IQ_CEDED_CLAIM_EXP_INCUR" hidden="1">"c2756"</definedName>
    <definedName name="IQ_CEDED_CLAIM_EXP_PAID" hidden="1">"c2759"</definedName>
    <definedName name="IQ_CEDED_CLAIM_EXP_RES" hidden="1">"c2753"</definedName>
    <definedName name="IQ_CEDED_EARNED" hidden="1">"c2733"</definedName>
    <definedName name="IQ_CEDED_LIFE_EARNED" hidden="1">"c2738"</definedName>
    <definedName name="IQ_CEDED_LIFE_IN_FORCE" hidden="1">"c2768"</definedName>
    <definedName name="IQ_CEDED_PC_EARNED" hidden="1">"c2748"</definedName>
    <definedName name="IQ_CEDED_WRITTEN" hidden="1">"c2727"</definedName>
    <definedName name="IQ_CFO_10YR_ANN_GROWTH" hidden="1">"c126"</definedName>
    <definedName name="IQ_CFO_1YR_ANN_GROWTH" hidden="1">"c127"</definedName>
    <definedName name="IQ_CFO_2YR_ANN_GROWTH" hidden="1">"c128"</definedName>
    <definedName name="IQ_CFO_3YR_ANN_GROWTH" hidden="1">"c129"</definedName>
    <definedName name="IQ_CFO_5YR_ANN_GROWTH" hidden="1">"c130"</definedName>
    <definedName name="IQ_CFO_7YR_ANN_GROWTH" hidden="1">"c131"</definedName>
    <definedName name="IQ_CFO_CURRENT_LIAB" hidden="1">"c132"</definedName>
    <definedName name="IQ_CFPS_ACT_OR_EST" hidden="1">"c2217"</definedName>
    <definedName name="IQ_CFPS_EST" hidden="1">"c1667"</definedName>
    <definedName name="IQ_CFPS_HIGH_EST" hidden="1">"c1669"</definedName>
    <definedName name="IQ_CFPS_LOW_EST" hidden="1">"c1670"</definedName>
    <definedName name="IQ_CFPS_MEDIAN_EST" hidden="1">"c1668"</definedName>
    <definedName name="IQ_CFPS_NUM_EST" hidden="1">"c1671"</definedName>
    <definedName name="IQ_CFPS_STDDEV_EST" hidden="1">"c1672"</definedName>
    <definedName name="IQ_CH" hidden="1">110000</definedName>
    <definedName name="IQ_CHANGE_AP" hidden="1">"c133"</definedName>
    <definedName name="IQ_CHANGE_AP_BNK" hidden="1">"c134"</definedName>
    <definedName name="IQ_CHANGE_AP_BR" hidden="1">"c135"</definedName>
    <definedName name="IQ_CHANGE_AP_FIN" hidden="1">"c136"</definedName>
    <definedName name="IQ_CHANGE_AP_INS" hidden="1">"c137"</definedName>
    <definedName name="IQ_CHANGE_AP_REIT" hidden="1">"c138"</definedName>
    <definedName name="IQ_CHANGE_AP_UTI" hidden="1">"c139"</definedName>
    <definedName name="IQ_CHANGE_AR" hidden="1">"c140"</definedName>
    <definedName name="IQ_CHANGE_AR_BNK" hidden="1">"c141"</definedName>
    <definedName name="IQ_CHANGE_AR_BR" hidden="1">"c142"</definedName>
    <definedName name="IQ_CHANGE_AR_FIN" hidden="1">"c143"</definedName>
    <definedName name="IQ_CHANGE_AR_INS" hidden="1">"c144"</definedName>
    <definedName name="IQ_CHANGE_AR_REIT" hidden="1">"c145"</definedName>
    <definedName name="IQ_CHANGE_AR_UTI" hidden="1">"c146"</definedName>
    <definedName name="IQ_CHANGE_DEF_TAX" hidden="1">"c147"</definedName>
    <definedName name="IQ_CHANGE_DEPOSIT_ACCT" hidden="1">"c148"</definedName>
    <definedName name="IQ_CHANGE_INC_TAX" hidden="1">"c149"</definedName>
    <definedName name="IQ_CHANGE_INS_RES_LIAB" hidden="1">"c150"</definedName>
    <definedName name="IQ_CHANGE_INVENTORY" hidden="1">"c151"</definedName>
    <definedName name="IQ_CHANGE_NET_OPER_ASSETS" hidden="1">"c3592"</definedName>
    <definedName name="IQ_CHANGE_NET_WORKING_CAPITAL" hidden="1">"c1909"</definedName>
    <definedName name="IQ_CHANGE_OTHER_NET_OPER_ASSETS" hidden="1">"c3593"</definedName>
    <definedName name="IQ_CHANGE_OTHER_NET_OPER_ASSETS_BNK" hidden="1">"c3594"</definedName>
    <definedName name="IQ_CHANGE_OTHER_NET_OPER_ASSETS_BR" hidden="1">"c3595"</definedName>
    <definedName name="IQ_CHANGE_OTHER_NET_OPER_ASSETS_FIN" hidden="1">"c3596"</definedName>
    <definedName name="IQ_CHANGE_OTHER_NET_OPER_ASSETS_INS" hidden="1">"c3597"</definedName>
    <definedName name="IQ_CHANGE_OTHER_NET_OPER_ASSETS_REIT" hidden="1">"c3598"</definedName>
    <definedName name="IQ_CHANGE_OTHER_NET_OPER_ASSETS_UTI" hidden="1">"c3599"</definedName>
    <definedName name="IQ_CHANGE_OTHER_WORK_CAP" hidden="1">"c152"</definedName>
    <definedName name="IQ_CHANGE_OTHER_WORK_CAP_BNK" hidden="1">"c153"</definedName>
    <definedName name="IQ_CHANGE_OTHER_WORK_CAP_BR" hidden="1">"c154"</definedName>
    <definedName name="IQ_CHANGE_OTHER_WORK_CAP_FIN" hidden="1">"c155"</definedName>
    <definedName name="IQ_CHANGE_OTHER_WORK_CAP_INS" hidden="1">"c156"</definedName>
    <definedName name="IQ_CHANGE_OTHER_WORK_CAP_REIT" hidden="1">"c157"</definedName>
    <definedName name="IQ_CHANGE_OTHER_WORK_CAP_UTI" hidden="1">"c158"</definedName>
    <definedName name="IQ_CHANGE_TRADING_ASSETS" hidden="1">"c159"</definedName>
    <definedName name="IQ_CHANGE_UNEARN_REV" hidden="1">"c160"</definedName>
    <definedName name="IQ_CHANGE_WORK_CAP" hidden="1">"c161"</definedName>
    <definedName name="IQ_CHANGES_WORK_CAP" hidden="1">"c1357"</definedName>
    <definedName name="IQ_CHARGE_OFFS_GROSS" hidden="1">"c162"</definedName>
    <definedName name="IQ_CHARGE_OFFS_NET" hidden="1">"c163"</definedName>
    <definedName name="IQ_CHARGE_OFFS_RECOVERED" hidden="1">"c164"</definedName>
    <definedName name="IQ_CHARGE_OFFS_TOTAL_AVG_LOANS" hidden="1">"c165"</definedName>
    <definedName name="IQ_CITY" hidden="1">"c166"</definedName>
    <definedName name="IQ_CL_DUE_AFTER_FIVE" hidden="1">"c167"</definedName>
    <definedName name="IQ_CL_DUE_CY" hidden="1">"c168"</definedName>
    <definedName name="IQ_CL_DUE_CY1" hidden="1">"c169"</definedName>
    <definedName name="IQ_CL_DUE_CY2" hidden="1">"c170"</definedName>
    <definedName name="IQ_CL_DUE_CY3" hidden="1">"c171"</definedName>
    <definedName name="IQ_CL_DUE_CY4" hidden="1">"c172"</definedName>
    <definedName name="IQ_CL_DUE_NEXT_FIVE" hidden="1">"c173"</definedName>
    <definedName name="IQ_CL_OBLIGATION_IMMEDIATE" hidden="1">"c2253"</definedName>
    <definedName name="IQ_CLASSA_OPTIONS_BEG_OS" hidden="1">"c2679"</definedName>
    <definedName name="IQ_CLASSA_OPTIONS_CANCELLED" hidden="1">"c2682"</definedName>
    <definedName name="IQ_CLASSA_OPTIONS_END_OS" hidden="1">"c2683"</definedName>
    <definedName name="IQ_CLASSA_OPTIONS_EXERCISED" hidden="1">"c2681"</definedName>
    <definedName name="IQ_CLASSA_OPTIONS_GRANTED" hidden="1">"c2680"</definedName>
    <definedName name="IQ_CLASSA_OPTIONS_STRIKE_PRICE_OS" hidden="1">"c2684"</definedName>
    <definedName name="IQ_CLASSA_OUTSTANDING_BS_DATE" hidden="1">"c1971"</definedName>
    <definedName name="IQ_CLASSA_OUTSTANDING_FILING_DATE" hidden="1">"c1973"</definedName>
    <definedName name="IQ_CLASSA_STRIKE_PRICE_GRANTED" hidden="1">"c2685"</definedName>
    <definedName name="IQ_CLASSA_WARRANTS_BEG_OS" hidden="1">"c2705"</definedName>
    <definedName name="IQ_CLASSA_WARRANTS_CANCELLED" hidden="1">"c2708"</definedName>
    <definedName name="IQ_CLASSA_WARRANTS_END_OS" hidden="1">"c2709"</definedName>
    <definedName name="IQ_CLASSA_WARRANTS_EXERCISED" hidden="1">"c2707"</definedName>
    <definedName name="IQ_CLASSA_WARRANTS_ISSUED" hidden="1">"c2706"</definedName>
    <definedName name="IQ_CLASSA_WARRANTS_STRIKE_PRICE_ISSUED" hidden="1">"c2711"</definedName>
    <definedName name="IQ_CLASSA_WARRANTS_STRIKE_PRICE_OS" hidden="1">"c2710"</definedName>
    <definedName name="IQ_CLOSEPRICE" hidden="1">"c174"</definedName>
    <definedName name="IQ_CLOSEPRICE_ADJ" hidden="1">"c2115"</definedName>
    <definedName name="IQ_COGS" hidden="1">"c175"</definedName>
    <definedName name="IQ_COMBINED_RATIO" hidden="1">"c176"</definedName>
    <definedName name="IQ_COMMERCIAL_DOM" hidden="1">"c177"</definedName>
    <definedName name="IQ_COMMERCIAL_FIRE_WRITTEN" hidden="1">"c178"</definedName>
    <definedName name="IQ_COMMERCIAL_MORT" hidden="1">"c179"</definedName>
    <definedName name="IQ_COMMISS_FEES" hidden="1">"c180"</definedName>
    <definedName name="IQ_COMMISSION_DEF" hidden="1">"c181"</definedName>
    <definedName name="IQ_COMMON" hidden="1">"c182"</definedName>
    <definedName name="IQ_COMMON_APIC" hidden="1">"c183"</definedName>
    <definedName name="IQ_COMMON_APIC_BNK" hidden="1">"c184"</definedName>
    <definedName name="IQ_COMMON_APIC_BR" hidden="1">"c185"</definedName>
    <definedName name="IQ_COMMON_APIC_FIN" hidden="1">"c186"</definedName>
    <definedName name="IQ_COMMON_APIC_INS" hidden="1">"c187"</definedName>
    <definedName name="IQ_COMMON_APIC_REIT" hidden="1">"c188"</definedName>
    <definedName name="IQ_COMMON_APIC_UTI" hidden="1">"c189"</definedName>
    <definedName name="IQ_COMMON_DIV" hidden="1">"c3006"</definedName>
    <definedName name="IQ_COMMON_DIV_CF" hidden="1">"c190"</definedName>
    <definedName name="IQ_COMMON_EQUITY_10YR_ANN_GROWTH" hidden="1">"c191"</definedName>
    <definedName name="IQ_COMMON_EQUITY_1YR_ANN_GROWTH" hidden="1">"c192"</definedName>
    <definedName name="IQ_COMMON_EQUITY_2YR_ANN_GROWTH" hidden="1">"c193"</definedName>
    <definedName name="IQ_COMMON_EQUITY_3YR_ANN_GROWTH" hidden="1">"c194"</definedName>
    <definedName name="IQ_COMMON_EQUITY_5YR_ANN_GROWTH" hidden="1">"c195"</definedName>
    <definedName name="IQ_COMMON_EQUITY_7YR_ANN_GROWTH" hidden="1">"c196"</definedName>
    <definedName name="IQ_COMMON_ISSUED" hidden="1">"c197"</definedName>
    <definedName name="IQ_COMMON_ISSUED_BNK" hidden="1">"c198"</definedName>
    <definedName name="IQ_COMMON_ISSUED_BR" hidden="1">"c199"</definedName>
    <definedName name="IQ_COMMON_ISSUED_FIN" hidden="1">"c200"</definedName>
    <definedName name="IQ_COMMON_ISSUED_INS" hidden="1">"c201"</definedName>
    <definedName name="IQ_COMMON_ISSUED_REIT" hidden="1">"c202"</definedName>
    <definedName name="IQ_COMMON_ISSUED_UTI" hidden="1">"c203"</definedName>
    <definedName name="IQ_COMMON_PER_ADR" hidden="1">"c204"</definedName>
    <definedName name="IQ_COMMON_PREF_DIV_CF" hidden="1">"c205"</definedName>
    <definedName name="IQ_COMMON_REP" hidden="1">"c206"</definedName>
    <definedName name="IQ_COMMON_REP_BNK" hidden="1">"c207"</definedName>
    <definedName name="IQ_COMMON_REP_BR" hidden="1">"c208"</definedName>
    <definedName name="IQ_COMMON_REP_FIN" hidden="1">"c209"</definedName>
    <definedName name="IQ_COMMON_REP_INS" hidden="1">"c210"</definedName>
    <definedName name="IQ_COMMON_REP_REIT" hidden="1">"c211"</definedName>
    <definedName name="IQ_COMMON_REP_UTI" hidden="1">"c212"</definedName>
    <definedName name="IQ_COMMON_STOCK" hidden="1">"c1358"</definedName>
    <definedName name="IQ_COMP_BENEFITS" hidden="1">"c213"</definedName>
    <definedName name="IQ_COMPANY_ADDRESS" hidden="1">"c214"</definedName>
    <definedName name="IQ_COMPANY_ID" hidden="1">"c3513"</definedName>
    <definedName name="IQ_COMPANY_NAME" hidden="1">"c215"</definedName>
    <definedName name="IQ_COMPANY_NAME_LONG" hidden="1">"c1585"</definedName>
    <definedName name="IQ_COMPANY_PHONE" hidden="1">"c216"</definedName>
    <definedName name="IQ_COMPANY_STATUS" hidden="1">"c2097"</definedName>
    <definedName name="IQ_COMPANY_STREET1" hidden="1">"c217"</definedName>
    <definedName name="IQ_COMPANY_STREET2" hidden="1">"c218"</definedName>
    <definedName name="IQ_COMPANY_TICKER" hidden="1">"c219"</definedName>
    <definedName name="IQ_COMPANY_TYPE" hidden="1">"c2096"</definedName>
    <definedName name="IQ_COMPANY_WEBSITE" hidden="1">"c220"</definedName>
    <definedName name="IQ_COMPANY_ZIP" hidden="1">"c221"</definedName>
    <definedName name="IQ_CONSTRUCTION_LOANS" hidden="1">"c222"</definedName>
    <definedName name="IQ_CONSUMER_LOANS" hidden="1">"c223"</definedName>
    <definedName name="IQ_CONV_DATE" hidden="1">"c2191"</definedName>
    <definedName name="IQ_CONV_EXP_DATE" hidden="1">"c3043"</definedName>
    <definedName name="IQ_CONV_PREMIUM" hidden="1">"c2195"</definedName>
    <definedName name="IQ_CONV_PRICE" hidden="1">"c2193"</definedName>
    <definedName name="IQ_CONV_RATE" hidden="1">"c2192"</definedName>
    <definedName name="IQ_CONV_RATIO" hidden="1">"c2192"</definedName>
    <definedName name="IQ_CONV_SECURITY" hidden="1">"c2189"</definedName>
    <definedName name="IQ_CONV_SECURITY_ISSUER" hidden="1">"c2190"</definedName>
    <definedName name="IQ_CONV_SECURITY_PRICE" hidden="1">"c2194"</definedName>
    <definedName name="IQ_CONVERT" hidden="1">"c2536"</definedName>
    <definedName name="IQ_CONVERT_PCT" hidden="1">"c2537"</definedName>
    <definedName name="IQ_CONVEXITY" hidden="1">"c2182"</definedName>
    <definedName name="IQ_COST_BORROWING" hidden="1">"c2936"</definedName>
    <definedName name="IQ_COST_BORROWINGS" hidden="1">"c225"</definedName>
    <definedName name="IQ_COST_REV" hidden="1">"c226"</definedName>
    <definedName name="IQ_COST_REVENUE" hidden="1">"c1359"</definedName>
    <definedName name="IQ_COST_SAVINGS" hidden="1">"c227"</definedName>
    <definedName name="IQ_COST_SERVICE" hidden="1">"c228"</definedName>
    <definedName name="IQ_COST_TOTAL_BORROWINGS" hidden="1">"c229"</definedName>
    <definedName name="IQ_COUNTRY_NAME" hidden="1">"c230"</definedName>
    <definedName name="IQ_COVERED_POPS" hidden="1">"c2124"</definedName>
    <definedName name="IQ_CP" hidden="1">"c2495"</definedName>
    <definedName name="IQ_CP_PCT" hidden="1">"c2496"</definedName>
    <definedName name="IQ_CQ" hidden="1">5000</definedName>
    <definedName name="IQ_CREDIT_CARD_FEE_BNK" hidden="1">"c231"</definedName>
    <definedName name="IQ_CREDIT_CARD_FEE_FIN" hidden="1">"c1583"</definedName>
    <definedName name="IQ_CREDIT_LOSS_CF" hidden="1">"c232"</definedName>
    <definedName name="IQ_CUMULATIVE_SPLIT_FACTOR" hidden="1">"c2094"</definedName>
    <definedName name="IQ_CURR_DOMESTIC_TAXES" hidden="1">"c2074"</definedName>
    <definedName name="IQ_CURR_FOREIGN_TAXES" hidden="1">"c2075"</definedName>
    <definedName name="IQ_CURRENCY_FACTOR_BS" hidden="1">"c233"</definedName>
    <definedName name="IQ_CURRENCY_FACTOR_IS" hidden="1">"c234"</definedName>
    <definedName name="IQ_CURRENCY_GAIN" hidden="1">"c235"</definedName>
    <definedName name="IQ_CURRENCY_GAIN_BR" hidden="1">"c236"</definedName>
    <definedName name="IQ_CURRENCY_GAIN_FIN" hidden="1">"c237"</definedName>
    <definedName name="IQ_CURRENCY_GAIN_INS" hidden="1">"c238"</definedName>
    <definedName name="IQ_CURRENCY_GAIN_REIT" hidden="1">"c239"</definedName>
    <definedName name="IQ_CURRENCY_GAIN_UTI" hidden="1">"c240"</definedName>
    <definedName name="IQ_CURRENT_PORT" hidden="1">"c241"</definedName>
    <definedName name="IQ_CURRENT_PORT_BNK" hidden="1">"c242"</definedName>
    <definedName name="IQ_CURRENT_PORT_DEBT" hidden="1">"c243"</definedName>
    <definedName name="IQ_CURRENT_PORT_DEBT_BNK" hidden="1">"c244"</definedName>
    <definedName name="IQ_CURRENT_PORT_DEBT_BR" hidden="1">"c1567"</definedName>
    <definedName name="IQ_CURRENT_PORT_DEBT_FIN" hidden="1">"c1568"</definedName>
    <definedName name="IQ_CURRENT_PORT_DEBT_INS" hidden="1">"c1569"</definedName>
    <definedName name="IQ_CURRENT_PORT_DEBT_REIT" hidden="1">"c1570"</definedName>
    <definedName name="IQ_CURRENT_PORT_DEBT_UTI" hidden="1">"c1571"</definedName>
    <definedName name="IQ_CURRENT_PORT_LEASES" hidden="1">"c245"</definedName>
    <definedName name="IQ_CURRENT_PORT_PCT" hidden="1">"c2541"</definedName>
    <definedName name="IQ_CURRENT_RATIO" hidden="1">"c246"</definedName>
    <definedName name="IQ_CUSIP" hidden="1">"c2245"</definedName>
    <definedName name="IQ_CY" hidden="1">10000</definedName>
    <definedName name="IQ_DA" hidden="1">"c247"</definedName>
    <definedName name="IQ_DA_BR" hidden="1">"c248"</definedName>
    <definedName name="IQ_DA_CF" hidden="1">"c249"</definedName>
    <definedName name="IQ_DA_CF_BNK" hidden="1">"c250"</definedName>
    <definedName name="IQ_DA_CF_BR" hidden="1">"c251"</definedName>
    <definedName name="IQ_DA_CF_FIN" hidden="1">"c252"</definedName>
    <definedName name="IQ_DA_CF_INS" hidden="1">"c253"</definedName>
    <definedName name="IQ_DA_CF_REIT" hidden="1">"c254"</definedName>
    <definedName name="IQ_DA_CF_UTI" hidden="1">"c255"</definedName>
    <definedName name="IQ_DA_EBITDA" hidden="1">"c5528"</definedName>
    <definedName name="IQ_DA_FIN" hidden="1">"c256"</definedName>
    <definedName name="IQ_DA_INS" hidden="1">"c257"</definedName>
    <definedName name="IQ_DA_REIT" hidden="1">"c258"</definedName>
    <definedName name="IQ_DA_SUPPL" hidden="1">"c259"</definedName>
    <definedName name="IQ_DA_SUPPL_BR" hidden="1">"c260"</definedName>
    <definedName name="IQ_DA_SUPPL_CF" hidden="1">"c261"</definedName>
    <definedName name="IQ_DA_SUPPL_CF_BNK" hidden="1">"c262"</definedName>
    <definedName name="IQ_DA_SUPPL_CF_BR" hidden="1">"c263"</definedName>
    <definedName name="IQ_DA_SUPPL_CF_FIN" hidden="1">"c264"</definedName>
    <definedName name="IQ_DA_SUPPL_CF_INS" hidden="1">"c265"</definedName>
    <definedName name="IQ_DA_SUPPL_CF_REIT" hidden="1">"c266"</definedName>
    <definedName name="IQ_DA_SUPPL_CF_UTI" hidden="1">"c267"</definedName>
    <definedName name="IQ_DA_SUPPL_FIN" hidden="1">"c268"</definedName>
    <definedName name="IQ_DA_SUPPL_INS" hidden="1">"c269"</definedName>
    <definedName name="IQ_DA_SUPPL_REIT" hidden="1">"c270"</definedName>
    <definedName name="IQ_DA_SUPPL_UTI" hidden="1">"c271"</definedName>
    <definedName name="IQ_DA_UTI" hidden="1">"c272"</definedName>
    <definedName name="IQ_DAILY" hidden="1">500000</definedName>
    <definedName name="IQ_DATED_DATE" hidden="1">"c2185"</definedName>
    <definedName name="IQ_DAY_COUNT" hidden="1">"c2161"</definedName>
    <definedName name="IQ_DAYS_COVER_SHORT" hidden="1">"c1578"</definedName>
    <definedName name="IQ_DAYS_INVENTORY_OUT" hidden="1">"c273"</definedName>
    <definedName name="IQ_DAYS_PAY_OUTST" hidden="1">"c1362"</definedName>
    <definedName name="IQ_DAYS_PAYABLE_OUT" hidden="1">"c274"</definedName>
    <definedName name="IQ_DAYS_SALES_OUT" hidden="1">"c275"</definedName>
    <definedName name="IQ_DAYS_SALES_OUTST" hidden="1">"c1363"</definedName>
    <definedName name="IQ_DEBT_ADJ" hidden="1">"c2515"</definedName>
    <definedName name="IQ_DEBT_ADJ_PCT" hidden="1">"c2516"</definedName>
    <definedName name="IQ_DEBT_EQUIV_NET_PBO" hidden="1">"c2938"</definedName>
    <definedName name="IQ_DEBT_EQUIV_OPER_LEASE" hidden="1">"c2935"</definedName>
    <definedName name="IQ_DEF_ACQ_CST" hidden="1">"c1364"</definedName>
    <definedName name="IQ_DEF_AMORT" hidden="1">"c276"</definedName>
    <definedName name="IQ_DEF_AMORT_BNK" hidden="1">"c277"</definedName>
    <definedName name="IQ_DEF_AMORT_BR" hidden="1">"c278"</definedName>
    <definedName name="IQ_DEF_AMORT_FIN" hidden="1">"c279"</definedName>
    <definedName name="IQ_DEF_AMORT_INS" hidden="1">"c280"</definedName>
    <definedName name="IQ_DEF_AMORT_REIT" hidden="1">"c281"</definedName>
    <definedName name="IQ_DEF_AMORT_UTI" hidden="1">"c282"</definedName>
    <definedName name="IQ_DEF_BENEFIT_INTEREST_COST" hidden="1">"c283"</definedName>
    <definedName name="IQ_DEF_BENEFIT_INTEREST_COST_DOMESTIC" hidden="1">"c2652"</definedName>
    <definedName name="IQ_DEF_BENEFIT_INTEREST_COST_FOREIGN" hidden="1">"c2660"</definedName>
    <definedName name="IQ_DEF_BENEFIT_OTHER_COST" hidden="1">"c284"</definedName>
    <definedName name="IQ_DEF_BENEFIT_OTHER_COST_DOMESTIC" hidden="1">"c2654"</definedName>
    <definedName name="IQ_DEF_BENEFIT_OTHER_COST_FOREIGN" hidden="1">"c2662"</definedName>
    <definedName name="IQ_DEF_BENEFIT_ROA" hidden="1">"c285"</definedName>
    <definedName name="IQ_DEF_BENEFIT_ROA_DOMESTIC" hidden="1">"c2653"</definedName>
    <definedName name="IQ_DEF_BENEFIT_ROA_FOREIGN" hidden="1">"c2661"</definedName>
    <definedName name="IQ_DEF_BENEFIT_SERVICE_COST" hidden="1">"c286"</definedName>
    <definedName name="IQ_DEF_BENEFIT_SERVICE_COST_DOMESTIC" hidden="1">"c2651"</definedName>
    <definedName name="IQ_DEF_BENEFIT_SERVICE_COST_FOREIGN" hidden="1">"c2659"</definedName>
    <definedName name="IQ_DEF_BENEFIT_TOTAL_COST" hidden="1">"c287"</definedName>
    <definedName name="IQ_DEF_BENEFIT_TOTAL_COST_DOMESTIC" hidden="1">"c2655"</definedName>
    <definedName name="IQ_DEF_BENEFIT_TOTAL_COST_FOREIGN" hidden="1">"c2663"</definedName>
    <definedName name="IQ_DEF_CHARGES_BR" hidden="1">"c288"</definedName>
    <definedName name="IQ_DEF_CHARGES_CF" hidden="1">"c289"</definedName>
    <definedName name="IQ_DEF_CHARGES_FIN" hidden="1">"c290"</definedName>
    <definedName name="IQ_DEF_CHARGES_INS" hidden="1">"c291"</definedName>
    <definedName name="IQ_DEF_CHARGES_LT" hidden="1">"c292"</definedName>
    <definedName name="IQ_DEF_CHARGES_LT_BNK" hidden="1">"c293"</definedName>
    <definedName name="IQ_DEF_CHARGES_LT_BR" hidden="1">"c294"</definedName>
    <definedName name="IQ_DEF_CHARGES_LT_FIN" hidden="1">"c295"</definedName>
    <definedName name="IQ_DEF_CHARGES_LT_INS" hidden="1">"c296"</definedName>
    <definedName name="IQ_DEF_CHARGES_LT_REIT" hidden="1">"c297"</definedName>
    <definedName name="IQ_DEF_CHARGES_LT_UTI" hidden="1">"c298"</definedName>
    <definedName name="IQ_DEF_CHARGES_REIT" hidden="1">"c299"</definedName>
    <definedName name="IQ_DEF_CONTRIBUTION_TOTAL_COST" hidden="1">"c300"</definedName>
    <definedName name="IQ_DEF_INC_TAX" hidden="1">"c1365"</definedName>
    <definedName name="IQ_DEF_POLICY_ACQ_COSTS" hidden="1">"c301"</definedName>
    <definedName name="IQ_DEF_POLICY_ACQ_COSTS_CF" hidden="1">"c302"</definedName>
    <definedName name="IQ_DEF_POLICY_AMORT" hidden="1">"c303"</definedName>
    <definedName name="IQ_DEF_TAX_ASSET_LT_BR" hidden="1">"c304"</definedName>
    <definedName name="IQ_DEF_TAX_ASSET_LT_FIN" hidden="1">"c305"</definedName>
    <definedName name="IQ_DEF_TAX_ASSET_LT_INS" hidden="1">"c306"</definedName>
    <definedName name="IQ_DEF_TAX_ASSET_LT_REIT" hidden="1">"c307"</definedName>
    <definedName name="IQ_DEF_TAX_ASSET_LT_UTI" hidden="1">"c308"</definedName>
    <definedName name="IQ_DEF_TAX_ASSETS_CURRENT" hidden="1">"c309"</definedName>
    <definedName name="IQ_DEF_TAX_ASSETS_LT" hidden="1">"c310"</definedName>
    <definedName name="IQ_DEF_TAX_ASSETS_LT_BNK" hidden="1">"c311"</definedName>
    <definedName name="IQ_DEF_TAX_LIAB_CURRENT" hidden="1">"c312"</definedName>
    <definedName name="IQ_DEF_TAX_LIAB_LT" hidden="1">"c313"</definedName>
    <definedName name="IQ_DEF_TAX_LIAB_LT_BNK" hidden="1">"c314"</definedName>
    <definedName name="IQ_DEF_TAX_LIAB_LT_BR" hidden="1">"c315"</definedName>
    <definedName name="IQ_DEF_TAX_LIAB_LT_FIN" hidden="1">"c316"</definedName>
    <definedName name="IQ_DEF_TAX_LIAB_LT_INS" hidden="1">"c317"</definedName>
    <definedName name="IQ_DEF_TAX_LIAB_LT_REIT" hidden="1">"c318"</definedName>
    <definedName name="IQ_DEF_TAX_LIAB_LT_UTI" hidden="1">"c319"</definedName>
    <definedName name="IQ_DEFERRED_DOMESTIC_TAXES" hidden="1">"c2077"</definedName>
    <definedName name="IQ_DEFERRED_FOREIGN_TAXES" hidden="1">"c2078"</definedName>
    <definedName name="IQ_DEFERRED_INC_TAX" hidden="1">"c1447"</definedName>
    <definedName name="IQ_DEFERRED_TAXES" hidden="1">"c1356"</definedName>
    <definedName name="IQ_DEMAND_DEP" hidden="1">"c320"</definedName>
    <definedName name="IQ_DEPOSITS_FIN" hidden="1">"c321"</definedName>
    <definedName name="IQ_DEPOSITS_INTEREST_SECURITIES" hidden="1">"c5509"</definedName>
    <definedName name="IQ_DEPRE_AMORT" hidden="1">"c1360"</definedName>
    <definedName name="IQ_DEPRE_AMORT_SUPPL" hidden="1">"c1593"</definedName>
    <definedName name="IQ_DEPRE_DEPLE" hidden="1">"c1361"</definedName>
    <definedName name="IQ_DEPRE_SUPP" hidden="1">"c1443"</definedName>
    <definedName name="IQ_DESCRIPTION_LONG" hidden="1">"c1520"</definedName>
    <definedName name="IQ_DEVELOP_LAND" hidden="1">"c323"</definedName>
    <definedName name="IQ_DIFF_LASTCLOSE_TARGET_PRICE" hidden="1">"c1854"</definedName>
    <definedName name="IQ_DILUT_ADJUST" hidden="1">"c1621"</definedName>
    <definedName name="IQ_DILUT_EPS_EXCL" hidden="1">"c324"</definedName>
    <definedName name="IQ_DILUT_EPS_INCL" hidden="1">"c325"</definedName>
    <definedName name="IQ_DILUT_EPS_NORM" hidden="1">"c1903"</definedName>
    <definedName name="IQ_DILUT_NI" hidden="1">"c2079"</definedName>
    <definedName name="IQ_DILUT_NORMAL_EPS" hidden="1">"c1594"</definedName>
    <definedName name="IQ_DILUT_WEIGHT" hidden="1">"c326"</definedName>
    <definedName name="IQ_DIRECT_AH_EARNED" hidden="1">"c2740"</definedName>
    <definedName name="IQ_DIRECT_EARNED" hidden="1">"c2730"</definedName>
    <definedName name="IQ_DIRECT_LIFE_EARNED" hidden="1">"c2735"</definedName>
    <definedName name="IQ_DIRECT_LIFE_IN_FORCE" hidden="1">"c2765"</definedName>
    <definedName name="IQ_DIRECT_PC_EARNED" hidden="1">"c2745"</definedName>
    <definedName name="IQ_DIRECT_WRITTEN" hidden="1">"c2724"</definedName>
    <definedName name="IQ_DISCONT_OPER" hidden="1">"c1367"</definedName>
    <definedName name="IQ_DISCOUNT_RATE_PENSION_DOMESTIC" hidden="1">"c327"</definedName>
    <definedName name="IQ_DISCOUNT_RATE_PENSION_FOREIGN" hidden="1">"c328"</definedName>
    <definedName name="IQ_DISTR_EXCESS_EARN" hidden="1">"c329"</definedName>
    <definedName name="IQ_DISTRIBUTABLE_CASH" hidden="1">"c3002"</definedName>
    <definedName name="IQ_DISTRIBUTABLE_CASH_ACT_OR_EST" hidden="1">"c4278"</definedName>
    <definedName name="IQ_DISTRIBUTABLE_CASH_PAYOUT" hidden="1">"c3005"</definedName>
    <definedName name="IQ_DISTRIBUTABLE_CASH_SHARE" hidden="1">"c3003"</definedName>
    <definedName name="IQ_DISTRIBUTABLE_CASH_SHARE_ACT_OR_EST" hidden="1">"c4286"</definedName>
    <definedName name="IQ_DIV_AMOUNT" hidden="1">"c3041"</definedName>
    <definedName name="IQ_DIV_PAYMENT_DATE" hidden="1">"c2205"</definedName>
    <definedName name="IQ_DIV_RECORD_DATE" hidden="1">"c2204"</definedName>
    <definedName name="IQ_DIV_SHARE" hidden="1">"c330"</definedName>
    <definedName name="IQ_DIVEST_CF" hidden="1">"c331"</definedName>
    <definedName name="IQ_DIVID_SHARE" hidden="1">"c1366"</definedName>
    <definedName name="IQ_DIVIDEND_YIELD" hidden="1">"c332"</definedName>
    <definedName name="IQ_DNTM" hidden="1">700000</definedName>
    <definedName name="IQ_DO" hidden="1">"c333"</definedName>
    <definedName name="IQ_DO_ASSETS_CURRENT" hidden="1">"c334"</definedName>
    <definedName name="IQ_DO_ASSETS_LT" hidden="1">"c335"</definedName>
    <definedName name="IQ_DO_CF" hidden="1">"c336"</definedName>
    <definedName name="IQ_DPAC_ACC" hidden="1">"c2799"</definedName>
    <definedName name="IQ_DPAC_AMORT" hidden="1">"c2795"</definedName>
    <definedName name="IQ_DPAC_BEG" hidden="1">"c2791"</definedName>
    <definedName name="IQ_DPAC_COMMISSIONS" hidden="1">"c2792"</definedName>
    <definedName name="IQ_DPAC_END" hidden="1">"c2801"</definedName>
    <definedName name="IQ_DPAC_FX" hidden="1">"c2798"</definedName>
    <definedName name="IQ_DPAC_OTHER_ADJ" hidden="1">"c2800"</definedName>
    <definedName name="IQ_DPAC_OTHERS" hidden="1">"c2793"</definedName>
    <definedName name="IQ_DPAC_PERIOD" hidden="1">"c2794"</definedName>
    <definedName name="IQ_DPAC_REAL_GAIN" hidden="1">"c2797"</definedName>
    <definedName name="IQ_DPAC_UNREAL_GAIN" hidden="1">"c2796"</definedName>
    <definedName name="IQ_DPS_10YR_ANN_GROWTH" hidden="1">"c337"</definedName>
    <definedName name="IQ_DPS_1YR_ANN_GROWTH" hidden="1">"c338"</definedName>
    <definedName name="IQ_DPS_2YR_ANN_GROWTH" hidden="1">"c339"</definedName>
    <definedName name="IQ_DPS_3YR_ANN_GROWTH" hidden="1">"c340"</definedName>
    <definedName name="IQ_DPS_5YR_ANN_GROWTH" hidden="1">"c341"</definedName>
    <definedName name="IQ_DPS_7YR_ANN_GROWTH" hidden="1">"c342"</definedName>
    <definedName name="IQ_DPS_ACT_OR_EST" hidden="1">"c2218"</definedName>
    <definedName name="IQ_DPS_EST" hidden="1">"c1674"</definedName>
    <definedName name="IQ_DPS_HIGH_EST" hidden="1">"c1676"</definedName>
    <definedName name="IQ_DPS_LOW_EST" hidden="1">"c1677"</definedName>
    <definedName name="IQ_DPS_MEDIAN_EST" hidden="1">"c1675"</definedName>
    <definedName name="IQ_DPS_NUM_EST" hidden="1">"c1678"</definedName>
    <definedName name="IQ_DPS_STDDEV_EST" hidden="1">"c1679"</definedName>
    <definedName name="IQ_DURATION" hidden="1">"c2181"</definedName>
    <definedName name="IQ_EARNING_ASSET_YIELD" hidden="1">"c343"</definedName>
    <definedName name="IQ_EARNING_CO" hidden="1">"c344"</definedName>
    <definedName name="IQ_EARNING_CO_10YR_ANN_GROWTH" hidden="1">"c345"</definedName>
    <definedName name="IQ_EARNING_CO_1YR_ANN_GROWTH" hidden="1">"c346"</definedName>
    <definedName name="IQ_EARNING_CO_2YR_ANN_GROWTH" hidden="1">"c347"</definedName>
    <definedName name="IQ_EARNING_CO_3YR_ANN_GROWTH" hidden="1">"c348"</definedName>
    <definedName name="IQ_EARNING_CO_5YR_ANN_GROWTH" hidden="1">"c349"</definedName>
    <definedName name="IQ_EARNING_CO_7YR_ANN_GROWTH" hidden="1">"c350"</definedName>
    <definedName name="IQ_EARNING_CO_MARGIN" hidden="1">"c351"</definedName>
    <definedName name="IQ_EARNINGS_ANNOUNCE_DATE" hidden="1">"c1649"</definedName>
    <definedName name="IQ_EARNINGS_ANNOUNCE_DATE_REUT" hidden="1">"c5314"</definedName>
    <definedName name="IQ_EBIT" hidden="1">"c352"</definedName>
    <definedName name="IQ_EBIT_10YR_ANN_GROWTH" hidden="1">"c353"</definedName>
    <definedName name="IQ_EBIT_1YR_ANN_GROWTH" hidden="1">"c354"</definedName>
    <definedName name="IQ_EBIT_2YR_ANN_GROWTH" hidden="1">"c355"</definedName>
    <definedName name="IQ_EBIT_3YR_ANN_GROWTH" hidden="1">"c356"</definedName>
    <definedName name="IQ_EBIT_5YR_ANN_GROWTH" hidden="1">"c357"</definedName>
    <definedName name="IQ_EBIT_7YR_ANN_GROWTH" hidden="1">"c358"</definedName>
    <definedName name="IQ_EBIT_ACT_OR_EST" hidden="1">"c2219"</definedName>
    <definedName name="IQ_EBIT_EQ_INC" hidden="1">"c3498"</definedName>
    <definedName name="IQ_EBIT_EQ_INC_EXCL_SBC" hidden="1">"c3502"</definedName>
    <definedName name="IQ_EBIT_EST" hidden="1">"c1681"</definedName>
    <definedName name="IQ_EBIT_EXCL_SBC" hidden="1">"c3082"</definedName>
    <definedName name="IQ_EBIT_GW_ACT_OR_EST" hidden="1">"c4306"</definedName>
    <definedName name="IQ_EBIT_HIGH_EST" hidden="1">"c1683"</definedName>
    <definedName name="IQ_EBIT_INT" hidden="1">"c360"</definedName>
    <definedName name="IQ_EBIT_LOW_EST" hidden="1">"c1684"</definedName>
    <definedName name="IQ_EBIT_MARGIN" hidden="1">"c359"</definedName>
    <definedName name="IQ_EBIT_MEDIAN_EST" hidden="1">"c1682"</definedName>
    <definedName name="IQ_EBIT_NUM_EST" hidden="1">"c1685"</definedName>
    <definedName name="IQ_EBIT_OVER_IE" hidden="1">"c1369"</definedName>
    <definedName name="IQ_EBIT_SBC_ACT_OR_EST" hidden="1">"c4316"</definedName>
    <definedName name="IQ_EBIT_SBC_GW_ACT_OR_EST" hidden="1">"c4320"</definedName>
    <definedName name="IQ_EBIT_STDDEV_EST" hidden="1">"c1686"</definedName>
    <definedName name="IQ_EBITA" hidden="1">"c1910"</definedName>
    <definedName name="IQ_EBITA_10YR_ANN_GROWTH" hidden="1">"c1954"</definedName>
    <definedName name="IQ_EBITA_1YR_ANN_GROWTH" hidden="1">"c1949"</definedName>
    <definedName name="IQ_EBITA_2YR_ANN_GROWTH" hidden="1">"c1950"</definedName>
    <definedName name="IQ_EBITA_3YR_ANN_GROWTH" hidden="1">"c1951"</definedName>
    <definedName name="IQ_EBITA_5YR_ANN_GROWTH" hidden="1">"c1952"</definedName>
    <definedName name="IQ_EBITA_7YR_ANN_GROWTH" hidden="1">"c1953"</definedName>
    <definedName name="IQ_EBITA_EQ_INC" hidden="1">"c3497"</definedName>
    <definedName name="IQ_EBITA_EQ_INC_EXCL_SBC" hidden="1">"c3501"</definedName>
    <definedName name="IQ_EBITA_EXCL_SBC" hidden="1">"c3080"</definedName>
    <definedName name="IQ_EBITA_MARGIN" hidden="1">"c1963"</definedName>
    <definedName name="IQ_EBITDA" hidden="1">"c361"</definedName>
    <definedName name="IQ_EBITDA_10YR_ANN_GROWTH" hidden="1">"c362"</definedName>
    <definedName name="IQ_EBITDA_1YR_ANN_GROWTH" hidden="1">"c363"</definedName>
    <definedName name="IQ_EBITDA_2YR_ANN_GROWTH" hidden="1">"c364"</definedName>
    <definedName name="IQ_EBITDA_3YR_ANN_GROWTH" hidden="1">"c365"</definedName>
    <definedName name="IQ_EBITDA_5YR_ANN_GROWTH" hidden="1">"c366"</definedName>
    <definedName name="IQ_EBITDA_7YR_ANN_GROWTH" hidden="1">"c367"</definedName>
    <definedName name="IQ_EBITDA_ACT_OR_EST" hidden="1">"c2215"</definedName>
    <definedName name="IQ_EBITDA_CAPEX_INT" hidden="1">"c368"</definedName>
    <definedName name="IQ_EBITDA_CAPEX_OVER_TOTAL_IE" hidden="1">"c1370"</definedName>
    <definedName name="IQ_EBITDA_EQ_INC" hidden="1">"c3496"</definedName>
    <definedName name="IQ_EBITDA_EQ_INC_EXCL_SBC" hidden="1">"c3500"</definedName>
    <definedName name="IQ_EBITDA_EST" hidden="1">"c369"</definedName>
    <definedName name="IQ_EBITDA_EST_REUT" hidden="1">"c3640"</definedName>
    <definedName name="IQ_EBITDA_EXCL_SBC" hidden="1">"c3081"</definedName>
    <definedName name="IQ_EBITDA_HIGH_EST" hidden="1">"c370"</definedName>
    <definedName name="IQ_EBITDA_HIGH_EST_REUT" hidden="1">"c3642"</definedName>
    <definedName name="IQ_EBITDA_INT" hidden="1">"c373"</definedName>
    <definedName name="IQ_EBITDA_LOW_EST" hidden="1">"c371"</definedName>
    <definedName name="IQ_EBITDA_LOW_EST_REUT" hidden="1">"c3643"</definedName>
    <definedName name="IQ_EBITDA_MARGIN" hidden="1">"c372"</definedName>
    <definedName name="IQ_EBITDA_MEDIAN_EST" hidden="1">"c1663"</definedName>
    <definedName name="IQ_EBITDA_MEDIAN_EST_REUT" hidden="1">"c3641"</definedName>
    <definedName name="IQ_EBITDA_NUM_EST" hidden="1">"c374"</definedName>
    <definedName name="IQ_EBITDA_NUM_EST_REUT" hidden="1">"c3644"</definedName>
    <definedName name="IQ_EBITDA_OVER_TOTAL_IE" hidden="1">"c1371"</definedName>
    <definedName name="IQ_EBITDA_SBC_ACT_OR_EST" hidden="1">"c4337"</definedName>
    <definedName name="IQ_EBITDA_STDDEV_EST" hidden="1">"c375"</definedName>
    <definedName name="IQ_EBITDA_STDDEV_EST_REUT" hidden="1">"c3645"</definedName>
    <definedName name="IQ_EBITDAR" hidden="1">"c2989"</definedName>
    <definedName name="IQ_EBITDAR_EQ_INC" hidden="1">"c3499"</definedName>
    <definedName name="IQ_EBITDAR_EQ_INC_EXCL_SBC" hidden="1">"c3503"</definedName>
    <definedName name="IQ_EBITDAR_EXCL_SBC" hidden="1">"c3083"</definedName>
    <definedName name="IQ_EBT" hidden="1">"c376"</definedName>
    <definedName name="IQ_EBT_BNK" hidden="1">"c377"</definedName>
    <definedName name="IQ_EBT_BR" hidden="1">"c378"</definedName>
    <definedName name="IQ_EBT_EXCL" hidden="1">"c379"</definedName>
    <definedName name="IQ_EBT_EXCL_BNK" hidden="1">"c380"</definedName>
    <definedName name="IQ_EBT_EXCL_BR" hidden="1">"c381"</definedName>
    <definedName name="IQ_EBT_EXCL_FIN" hidden="1">"c382"</definedName>
    <definedName name="IQ_EBT_EXCL_INS" hidden="1">"c383"</definedName>
    <definedName name="IQ_EBT_EXCL_MARGIN" hidden="1">"c1462"</definedName>
    <definedName name="IQ_EBT_EXCL_REIT" hidden="1">"c384"</definedName>
    <definedName name="IQ_EBT_EXCL_UTI" hidden="1">"c385"</definedName>
    <definedName name="IQ_EBT_FIN" hidden="1">"c386"</definedName>
    <definedName name="IQ_EBT_INCL_MARGIN" hidden="1">"c387"</definedName>
    <definedName name="IQ_EBT_INS" hidden="1">"c388"</definedName>
    <definedName name="IQ_EBT_REIT" hidden="1">"c389"</definedName>
    <definedName name="IQ_EBT_SBC_ACT_OR_EST" hidden="1">"c4350"</definedName>
    <definedName name="IQ_EBT_SBC_GW_ACT_OR_EST" hidden="1">"c4354"</definedName>
    <definedName name="IQ_EBT_UTI" hidden="1">"c390"</definedName>
    <definedName name="IQ_EFFECT_SPECIAL_CHARGE" hidden="1">"c1595"</definedName>
    <definedName name="IQ_EFFECT_TAX_RATE" hidden="1">"c1899"</definedName>
    <definedName name="IQ_EFFICIENCY_RATIO" hidden="1">"c391"</definedName>
    <definedName name="IQ_EMPLOYEES" hidden="1">"c392"</definedName>
    <definedName name="IQ_ENTERPRISE_VALUE" hidden="1">"c1348"</definedName>
    <definedName name="IQ_EPS" hidden="1">"IQ_EPS"</definedName>
    <definedName name="IQ_EPS_10YR_ANN_GROWTH" hidden="1">"c393"</definedName>
    <definedName name="IQ_EPS_1YR_ANN_GROWTH" hidden="1">"c394"</definedName>
    <definedName name="IQ_EPS_2YR_ANN_GROWTH" hidden="1">"c395"</definedName>
    <definedName name="IQ_EPS_3YR_ANN_GROWTH" hidden="1">"c396"</definedName>
    <definedName name="IQ_EPS_5YR_ANN_GROWTH" hidden="1">"c397"</definedName>
    <definedName name="IQ_EPS_7YR_ANN_GROWTH" hidden="1">"c398"</definedName>
    <definedName name="IQ_EPS_ACT_OR_EST" hidden="1">"c2213"</definedName>
    <definedName name="IQ_EPS_EST" hidden="1">"c399"</definedName>
    <definedName name="IQ_EPS_EST_REUT" hidden="1">"c5453"</definedName>
    <definedName name="IQ_EPS_GW_ACT_OR_EST" hidden="1">"c2223"</definedName>
    <definedName name="IQ_EPS_GW_EST" hidden="1">"c1737"</definedName>
    <definedName name="IQ_EPS_GW_HIGH_EST" hidden="1">"c1739"</definedName>
    <definedName name="IQ_EPS_GW_LOW_EST" hidden="1">"c1740"</definedName>
    <definedName name="IQ_EPS_GW_MEDIAN_EST" hidden="1">"c1738"</definedName>
    <definedName name="IQ_EPS_GW_NUM_EST" hidden="1">"c1741"</definedName>
    <definedName name="IQ_EPS_GW_STDDEV_EST" hidden="1">"c1742"</definedName>
    <definedName name="IQ_EPS_HIGH_EST" hidden="1">"c400"</definedName>
    <definedName name="IQ_EPS_HIGH_EST_REUT" hidden="1">"c5454"</definedName>
    <definedName name="IQ_EPS_LOW_EST" hidden="1">"c401"</definedName>
    <definedName name="IQ_EPS_LOW_EST_REUT" hidden="1">"c5455"</definedName>
    <definedName name="IQ_EPS_MEDIAN_EST" hidden="1">"c1661"</definedName>
    <definedName name="IQ_EPS_MEDIAN_EST_REUT" hidden="1">"c5456"</definedName>
    <definedName name="IQ_EPS_NORM" hidden="1">"c1902"</definedName>
    <definedName name="IQ_EPS_NORM_EST" hidden="1">"c2226"</definedName>
    <definedName name="IQ_EPS_NORM_HIGH_EST" hidden="1">"c2228"</definedName>
    <definedName name="IQ_EPS_NORM_LOW_EST" hidden="1">"c2229"</definedName>
    <definedName name="IQ_EPS_NORM_MEDIAN_EST" hidden="1">"c2227"</definedName>
    <definedName name="IQ_EPS_NORM_NUM_EST" hidden="1">"c2230"</definedName>
    <definedName name="IQ_EPS_NORM_STDDEV_EST" hidden="1">"c2231"</definedName>
    <definedName name="IQ_EPS_NUM_EST" hidden="1">"c402"</definedName>
    <definedName name="IQ_EPS_NUM_EST_REUT" hidden="1">"c5451"</definedName>
    <definedName name="IQ_EPS_REPORT_ACT_OR_EST" hidden="1">"c2224"</definedName>
    <definedName name="IQ_EPS_REPORTED_EST" hidden="1">"c1744"</definedName>
    <definedName name="IQ_EPS_REPORTED_HIGH_EST" hidden="1">"c1746"</definedName>
    <definedName name="IQ_EPS_REPORTED_LOW_EST" hidden="1">"c1747"</definedName>
    <definedName name="IQ_EPS_REPORTED_MEDIAN_EST" hidden="1">"c1745"</definedName>
    <definedName name="IQ_EPS_REPORTED_NUM_EST" hidden="1">"c1748"</definedName>
    <definedName name="IQ_EPS_REPORTED_STDDEV_EST" hidden="1">"c1749"</definedName>
    <definedName name="IQ_EPS_SBC_ACT_OR_EST" hidden="1">"c4376"</definedName>
    <definedName name="IQ_EPS_SBC_GW_ACT_OR_EST" hidden="1">"c4380"</definedName>
    <definedName name="IQ_EPS_STDDEV_EST" hidden="1">"c403"</definedName>
    <definedName name="IQ_EPS_STDDEV_EST_REUT" hidden="1">"c5452"</definedName>
    <definedName name="IQ_EQUITY_AFFIL" hidden="1">"c1451"</definedName>
    <definedName name="IQ_EQUITY_METHOD" hidden="1">"c404"</definedName>
    <definedName name="IQ_EQV_OVER_BV" hidden="1">"c1596"</definedName>
    <definedName name="IQ_EQV_OVER_LTM_PRETAX_INC" hidden="1">"c1390"</definedName>
    <definedName name="IQ_ESOP_DEBT" hidden="1">"c1597"</definedName>
    <definedName name="IQ_EST_ACT_CFPS" hidden="1">"c1673"</definedName>
    <definedName name="IQ_EST_ACT_DPS" hidden="1">"c1680"</definedName>
    <definedName name="IQ_EST_ACT_EBIT" hidden="1">"c1687"</definedName>
    <definedName name="IQ_EST_ACT_EBITDA" hidden="1">"c1664"</definedName>
    <definedName name="IQ_EST_ACT_EPS" hidden="1">"c1648"</definedName>
    <definedName name="IQ_EST_ACT_EPS_GW" hidden="1">"c1743"</definedName>
    <definedName name="IQ_EST_ACT_EPS_NORM" hidden="1">"c2232"</definedName>
    <definedName name="IQ_EST_ACT_EPS_REPORTED" hidden="1">"c1750"</definedName>
    <definedName name="IQ_EST_ACT_FFO" hidden="1">"c1666"</definedName>
    <definedName name="IQ_EST_ACT_NAV" hidden="1">"c1757"</definedName>
    <definedName name="IQ_EST_ACT_NI" hidden="1">"c1722"</definedName>
    <definedName name="IQ_EST_ACT_NI_GW" hidden="1">"c1729"</definedName>
    <definedName name="IQ_EST_ACT_NI_REPORTED" hidden="1">"c1736"</definedName>
    <definedName name="IQ_EST_ACT_OPER_INC" hidden="1">"c1694"</definedName>
    <definedName name="IQ_EST_ACT_PRETAX_GW_INC" hidden="1">"c1708"</definedName>
    <definedName name="IQ_EST_ACT_PRETAX_INC" hidden="1">"c1701"</definedName>
    <definedName name="IQ_EST_ACT_PRETAX_REPORT_INC" hidden="1">"c1715"</definedName>
    <definedName name="IQ_EST_ACT_REV" hidden="1">"c2113"</definedName>
    <definedName name="IQ_EST_CFPS_DIFF" hidden="1">"c1871"</definedName>
    <definedName name="IQ_EST_CFPS_GROWTH_1YR" hidden="1">"c1774"</definedName>
    <definedName name="IQ_EST_CFPS_GROWTH_2YR" hidden="1">"c1775"</definedName>
    <definedName name="IQ_EST_CFPS_GROWTH_Q_1YR" hidden="1">"c1776"</definedName>
    <definedName name="IQ_EST_CFPS_SEQ_GROWTH_Q" hidden="1">"c1777"</definedName>
    <definedName name="IQ_EST_CFPS_SURPRISE_PERCENT" hidden="1">"c1872"</definedName>
    <definedName name="IQ_EST_CURRENCY" hidden="1">"c2140"</definedName>
    <definedName name="IQ_EST_CURRENCY_REUT" hidden="1">"c5437"</definedName>
    <definedName name="IQ_EST_DATE" hidden="1">"c1634"</definedName>
    <definedName name="IQ_EST_DATE_REUT" hidden="1">"c5438"</definedName>
    <definedName name="IQ_EST_DPS_DIFF" hidden="1">"c1873"</definedName>
    <definedName name="IQ_EST_DPS_GROWTH_1YR" hidden="1">"c1778"</definedName>
    <definedName name="IQ_EST_DPS_GROWTH_2YR" hidden="1">"c1779"</definedName>
    <definedName name="IQ_EST_DPS_GROWTH_Q_1YR" hidden="1">"c1780"</definedName>
    <definedName name="IQ_EST_DPS_SEQ_GROWTH_Q" hidden="1">"c1781"</definedName>
    <definedName name="IQ_EST_DPS_SURPRISE_PERCENT" hidden="1">"c1874"</definedName>
    <definedName name="IQ_EST_EBIT_DIFF" hidden="1">"c1875"</definedName>
    <definedName name="IQ_EST_EBIT_SURPRISE_PERCENT" hidden="1">"c1876"</definedName>
    <definedName name="IQ_EST_EBITDA_DIFF" hidden="1">"c1867"</definedName>
    <definedName name="IQ_EST_EBITDA_GROWTH_1YR" hidden="1">"c1766"</definedName>
    <definedName name="IQ_EST_EBITDA_GROWTH_2YR" hidden="1">"c1767"</definedName>
    <definedName name="IQ_EST_EBITDA_GROWTH_Q_1YR" hidden="1">"c1768"</definedName>
    <definedName name="IQ_EST_EBITDA_SEQ_GROWTH_Q" hidden="1">"c1769"</definedName>
    <definedName name="IQ_EST_EBITDA_SURPRISE_PERCENT" hidden="1">"c1868"</definedName>
    <definedName name="IQ_EST_EPS_DIFF" hidden="1">"c1864"</definedName>
    <definedName name="IQ_EST_EPS_GROWTH_1YR" hidden="1">"c1636"</definedName>
    <definedName name="IQ_EST_EPS_GROWTH_1YR_REUT" hidden="1">"c3646"</definedName>
    <definedName name="IQ_EST_EPS_GROWTH_2YR" hidden="1">"c1637"</definedName>
    <definedName name="IQ_EST_EPS_GROWTH_5YR" hidden="1">"c1655"</definedName>
    <definedName name="IQ_EST_EPS_GROWTH_5YR_HIGH" hidden="1">"c1657"</definedName>
    <definedName name="IQ_EST_EPS_GROWTH_5YR_LOW" hidden="1">"c1658"</definedName>
    <definedName name="IQ_EST_EPS_GROWTH_5YR_MEDIAN" hidden="1">"c1656"</definedName>
    <definedName name="IQ_EST_EPS_GROWTH_5YR_NUM" hidden="1">"c1659"</definedName>
    <definedName name="IQ_EST_EPS_GROWTH_5YR_REUT" hidden="1">"c3633"</definedName>
    <definedName name="IQ_EST_EPS_GROWTH_5YR_STDDEV" hidden="1">"c1660"</definedName>
    <definedName name="IQ_EST_EPS_GROWTH_Q_1YR" hidden="1">"c1641"</definedName>
    <definedName name="IQ_EST_EPS_GROWTH_Q_1YR_REUT" hidden="1">"c5410"</definedName>
    <definedName name="IQ_EST_EPS_GW_DIFF" hidden="1">"c1891"</definedName>
    <definedName name="IQ_EST_EPS_GW_SURPRISE_PERCENT" hidden="1">"c1892"</definedName>
    <definedName name="IQ_EST_EPS_NORM_DIFF" hidden="1">"c2247"</definedName>
    <definedName name="IQ_EST_EPS_NORM_SURPRISE_PERCENT" hidden="1">"c2248"</definedName>
    <definedName name="IQ_EST_EPS_REPORT_DIFF" hidden="1">"c1893"</definedName>
    <definedName name="IQ_EST_EPS_REPORT_SURPRISE_PERCENT" hidden="1">"c1894"</definedName>
    <definedName name="IQ_EST_EPS_SEQ_GROWTH_Q" hidden="1">"c1764"</definedName>
    <definedName name="IQ_EST_EPS_SURPRISE">"c1635"</definedName>
    <definedName name="IQ_EST_EPS_SURPRISE_PERCENT" hidden="1">"c1635"</definedName>
    <definedName name="IQ_EST_FFO_DIFF" hidden="1">"c1869"</definedName>
    <definedName name="IQ_EST_FFO_GROWTH_1YR" hidden="1">"c1770"</definedName>
    <definedName name="IQ_EST_FFO_GROWTH_2YR" hidden="1">"c1771"</definedName>
    <definedName name="IQ_EST_FFO_GROWTH_Q_1YR" hidden="1">"c1772"</definedName>
    <definedName name="IQ_EST_FFO_SEQ_GROWTH_Q" hidden="1">"c1773"</definedName>
    <definedName name="IQ_EST_FFO_SURPRISE_PERCENT" hidden="1">"c1870"</definedName>
    <definedName name="IQ_EST_NAV_DIFF" hidden="1">"c1895"</definedName>
    <definedName name="IQ_EST_NAV_SURPRISE_PERCENT" hidden="1">"c1896"</definedName>
    <definedName name="IQ_EST_NI_DIFF" hidden="1">"c1885"</definedName>
    <definedName name="IQ_EST_NI_GW_DIFF" hidden="1">"c1887"</definedName>
    <definedName name="IQ_EST_NI_GW_SURPRISE_PERCENT" hidden="1">"c1888"</definedName>
    <definedName name="IQ_EST_NI_REPORT_DIFF" hidden="1">"c1889"</definedName>
    <definedName name="IQ_EST_NI_REPORT_SURPRISE_PERCENT" hidden="1">"c1890"</definedName>
    <definedName name="IQ_EST_NI_SURPRISE_PERCENT" hidden="1">"c1886"</definedName>
    <definedName name="IQ_EST_NUM_BUY" hidden="1">"c1759"</definedName>
    <definedName name="IQ_EST_NUM_HOLD" hidden="1">"c1761"</definedName>
    <definedName name="IQ_EST_NUM_NO_OPINION" hidden="1">"c1758"</definedName>
    <definedName name="IQ_EST_NUM_OUTPERFORM" hidden="1">"c1760"</definedName>
    <definedName name="IQ_EST_NUM_SELL" hidden="1">"c1763"</definedName>
    <definedName name="IQ_EST_NUM_UNDERPERFORM" hidden="1">"c1762"</definedName>
    <definedName name="IQ_EST_OPER_INC_DIFF" hidden="1">"c1877"</definedName>
    <definedName name="IQ_EST_OPER_INC_SURPRISE_PERCENT" hidden="1">"c1878"</definedName>
    <definedName name="IQ_EST_PRE_TAX_DIFF" hidden="1">"c1879"</definedName>
    <definedName name="IQ_EST_PRE_TAX_GW_DIFF" hidden="1">"c1881"</definedName>
    <definedName name="IQ_EST_PRE_TAX_GW_SURPRISE_PERCENT" hidden="1">"c1882"</definedName>
    <definedName name="IQ_EST_PRE_TAX_REPORT_DIFF" hidden="1">"c1883"</definedName>
    <definedName name="IQ_EST_PRE_TAX_REPORT_SURPRISE_PERCENT" hidden="1">"c1884"</definedName>
    <definedName name="IQ_EST_PRE_TAX_SURPRISE_PERCENT" hidden="1">"c1880"</definedName>
    <definedName name="IQ_EST_REV_DIFF" hidden="1">"c1865"</definedName>
    <definedName name="IQ_EST_REV_GROWTH_1YR" hidden="1">"c1638"</definedName>
    <definedName name="IQ_EST_REV_GROWTH_2YR" hidden="1">"c1639"</definedName>
    <definedName name="IQ_EST_REV_GROWTH_Q_1YR" hidden="1">"c1640"</definedName>
    <definedName name="IQ_EST_REV_SEQ_GROWTH_Q" hidden="1">"c1765"</definedName>
    <definedName name="IQ_EST_REV_SURPRISE_PERCENT" hidden="1">"c1866"</definedName>
    <definedName name="IQ_EST_VENDOR" hidden="1">"c5564"</definedName>
    <definedName name="IQ_EV_OVER_EMPLOYEE" hidden="1">"c1428"</definedName>
    <definedName name="IQ_EV_OVER_LTM_EBIT" hidden="1">"c1426"</definedName>
    <definedName name="IQ_EV_OVER_LTM_EBITDA" hidden="1">"c1427"</definedName>
    <definedName name="IQ_EV_OVER_LTM_REVENUE" hidden="1">"c1429"</definedName>
    <definedName name="IQ_EVAL_DATE" hidden="1">"c2180"</definedName>
    <definedName name="IQ_EXCHANGE" hidden="1">"c405"</definedName>
    <definedName name="IQ_EXCISE_TAXES_EXCL_SALES" hidden="1">"c5515"</definedName>
    <definedName name="IQ_EXCISE_TAXES_INCL_SALES" hidden="1">"c5514"</definedName>
    <definedName name="IQ_EXERCISE_PRICE" hidden="1">"c1897"</definedName>
    <definedName name="IQ_EXERCISED" hidden="1">"c406"</definedName>
    <definedName name="IQ_EXP_RETURN_PENSION_DOMESTIC" hidden="1">"c407"</definedName>
    <definedName name="IQ_EXP_RETURN_PENSION_FOREIGN" hidden="1">"c408"</definedName>
    <definedName name="IQ_EXPENSE_CODE_">5502997</definedName>
    <definedName name="IQ_EXPLORE_DRILL" hidden="1">"c409"</definedName>
    <definedName name="IQ_EXTRA_ACC_ITEMS" hidden="1">"c410"</definedName>
    <definedName name="IQ_EXTRA_ACC_ITEMS_BNK" hidden="1">"c411"</definedName>
    <definedName name="IQ_EXTRA_ACC_ITEMS_BR" hidden="1">"c412"</definedName>
    <definedName name="IQ_EXTRA_ACC_ITEMS_FIN" hidden="1">"c413"</definedName>
    <definedName name="IQ_EXTRA_ACC_ITEMS_INS" hidden="1">"c414"</definedName>
    <definedName name="IQ_EXTRA_ACC_ITEMS_REIT" hidden="1">"c415"</definedName>
    <definedName name="IQ_EXTRA_ACC_ITEMS_UTI" hidden="1">"c416"</definedName>
    <definedName name="IQ_EXTRA_ITEMS" hidden="1">"c1459"</definedName>
    <definedName name="IQ_FDIC" hidden="1">"c417"</definedName>
    <definedName name="IQ_FEDFUNDS_SOLD" hidden="1">"c2256"</definedName>
    <definedName name="IQ_FFO" hidden="1">"c1574"</definedName>
    <definedName name="IQ_FFO_ACT_OR_EST" hidden="1">"c2216"</definedName>
    <definedName name="IQ_FFO_ADJ_ACT_OR_EST" hidden="1">"c4435"</definedName>
    <definedName name="IQ_FFO_EST" hidden="1">"c418"</definedName>
    <definedName name="IQ_FFO_HIGH_EST" hidden="1">"c419"</definedName>
    <definedName name="IQ_FFO_LOW_EST" hidden="1">"c420"</definedName>
    <definedName name="IQ_FFO_MEDIAN_EST" hidden="1">"c1665"</definedName>
    <definedName name="IQ_FFO_NUM_EST" hidden="1">"c421"</definedName>
    <definedName name="IQ_FFO_PAYOUT_RATIO" hidden="1">"c3492"</definedName>
    <definedName name="IQ_FFO_SHARE_ACT_OR_EST" hidden="1">"c4446"</definedName>
    <definedName name="IQ_FFO_STDDEV_EST" hidden="1">"c422"</definedName>
    <definedName name="IQ_FH" hidden="1">100000</definedName>
    <definedName name="IQ_FHLB_DEBT" hidden="1">"c423"</definedName>
    <definedName name="IQ_FHLB_DUE_CY" hidden="1">"c2080"</definedName>
    <definedName name="IQ_FHLB_DUE_CY1" hidden="1">"c2081"</definedName>
    <definedName name="IQ_FHLB_DUE_CY2" hidden="1">"c2082"</definedName>
    <definedName name="IQ_FHLB_DUE_CY3" hidden="1">"c2083"</definedName>
    <definedName name="IQ_FHLB_DUE_CY4" hidden="1">"c2084"</definedName>
    <definedName name="IQ_FHLB_DUE_NEXT_FIVE" hidden="1">"c2085"</definedName>
    <definedName name="IQ_FILING_CURRENCY" hidden="1">"c2129"</definedName>
    <definedName name="IQ_FILINGDATE_BS" hidden="1">"c424"</definedName>
    <definedName name="IQ_FILINGDATE_CF" hidden="1">"c425"</definedName>
    <definedName name="IQ_FILINGDATE_IS" hidden="1">"c426"</definedName>
    <definedName name="IQ_FILM_RIGHTS" hidden="1">"c2254"</definedName>
    <definedName name="IQ_FIN_DIV_ASSETS_CURRENT" hidden="1">"c427"</definedName>
    <definedName name="IQ_FIN_DIV_ASSETS_LT" hidden="1">"c428"</definedName>
    <definedName name="IQ_FIN_DIV_CURRENT_PORT_DEBT_TOTAL" hidden="1">"c5524"</definedName>
    <definedName name="IQ_FIN_DIV_CURRENT_PORT_LEASES_TOTAL" hidden="1">"c5523"</definedName>
    <definedName name="IQ_FIN_DIV_DEBT_CURRENT" hidden="1">"c429"</definedName>
    <definedName name="IQ_FIN_DIV_DEBT_LT" hidden="1">"c430"</definedName>
    <definedName name="IQ_FIN_DIV_DEBT_LT_TOTAL" hidden="1">"c5526"</definedName>
    <definedName name="IQ_FIN_DIV_EXP" hidden="1">"c431"</definedName>
    <definedName name="IQ_FIN_DIV_INT_EXP" hidden="1">"c432"</definedName>
    <definedName name="IQ_FIN_DIV_LEASES_LT_TOTAL" hidden="1">"c5525"</definedName>
    <definedName name="IQ_FIN_DIV_LIAB_CURRENT" hidden="1">"c433"</definedName>
    <definedName name="IQ_FIN_DIV_LIAB_LT" hidden="1">"c434"</definedName>
    <definedName name="IQ_FIN_DIV_LOANS_CURRENT" hidden="1">"c435"</definedName>
    <definedName name="IQ_FIN_DIV_LOANS_LT" hidden="1">"c436"</definedName>
    <definedName name="IQ_FIN_DIV_NOTES_PAY_TOTAL" hidden="1">"c5522"</definedName>
    <definedName name="IQ_FIN_DIV_REV" hidden="1">"c437"</definedName>
    <definedName name="IQ_FIN_DIV_ST_DEBT_TOTAL" hidden="1">"c5527"</definedName>
    <definedName name="IQ_FINANCING_CASH" hidden="1">"c1405"</definedName>
    <definedName name="IQ_FINANCING_CASH_SUPPL" hidden="1">"c1406"</definedName>
    <definedName name="IQ_FINISHED_INV" hidden="1">"c438"</definedName>
    <definedName name="IQ_FIRST_INT_DATE" hidden="1">"c2186"</definedName>
    <definedName name="IQ_FIRST_YEAR_LIFE" hidden="1">"c439"</definedName>
    <definedName name="IQ_FIRST_YEAR_LIFE_PREM" hidden="1">"c2787"</definedName>
    <definedName name="IQ_FIRST_YEAR_PREM" hidden="1">"c2786"</definedName>
    <definedName name="IQ_FIRSTPRICINGDATE" hidden="1">"c3050"</definedName>
    <definedName name="IQ_FISCAL_Q" hidden="1">"c440"</definedName>
    <definedName name="IQ_FISCAL_Y" hidden="1">"c441"</definedName>
    <definedName name="IQ_FIVE_PERCENT_OWNER" hidden="1">"c442"</definedName>
    <definedName name="IQ_FIVEPERCENT_PERCENT" hidden="1">"c443"</definedName>
    <definedName name="IQ_FIVEPERCENT_SHARES" hidden="1">"c444"</definedName>
    <definedName name="IQ_FIXED_ASSET_TURNS" hidden="1">"c445"</definedName>
    <definedName name="IQ_FLOAT_PERCENT" hidden="1">"c1575"</definedName>
    <definedName name="IQ_FOREIGN_DEP_IB" hidden="1">"c446"</definedName>
    <definedName name="IQ_FOREIGN_DEP_NON_IB" hidden="1">"c447"</definedName>
    <definedName name="IQ_FOREIGN_EXCHANGE" hidden="1">"c1376"</definedName>
    <definedName name="IQ_FOREIGN_LOANS" hidden="1">"c448"</definedName>
    <definedName name="IQ_FQ" hidden="1">500</definedName>
    <definedName name="IQ_FUEL" hidden="1">"c449"</definedName>
    <definedName name="IQ_FULL_TIME" hidden="1">"c450"</definedName>
    <definedName name="IQ_FWD" hidden="1">"LTM"</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WD_Q3" hidden="1">"504"</definedName>
    <definedName name="IQ_FWD_Q4" hidden="1">"505"</definedName>
    <definedName name="IQ_FWD_Q5" hidden="1">"506"</definedName>
    <definedName name="IQ_FWD_Q6" hidden="1">"507"</definedName>
    <definedName name="IQ_FWD_Q7" hidden="1">"508"</definedName>
    <definedName name="IQ_FWD1" hidden="1">"LTM"</definedName>
    <definedName name="IQ_FX" hidden="1">"c451"</definedName>
    <definedName name="IQ_FY" hidden="1">1000</definedName>
    <definedName name="IQ_FY_DATE" hidden="1">"IQ_FY_DATE"</definedName>
    <definedName name="IQ_GA_EXP" hidden="1">"c2241"</definedName>
    <definedName name="IQ_GAIN_ASSETS" hidden="1">"c452"</definedName>
    <definedName name="IQ_GAIN_ASSETS_BNK" hidden="1">"c453"</definedName>
    <definedName name="IQ_GAIN_ASSETS_BR" hidden="1">"c454"</definedName>
    <definedName name="IQ_GAIN_ASSETS_CF" hidden="1">"c455"</definedName>
    <definedName name="IQ_GAIN_ASSETS_CF_BNK" hidden="1">"c456"</definedName>
    <definedName name="IQ_GAIN_ASSETS_CF_BR" hidden="1">"c457"</definedName>
    <definedName name="IQ_GAIN_ASSETS_CF_FIN" hidden="1">"c458"</definedName>
    <definedName name="IQ_GAIN_ASSETS_CF_INS" hidden="1">"c459"</definedName>
    <definedName name="IQ_GAIN_ASSETS_CF_REIT" hidden="1">"c460"</definedName>
    <definedName name="IQ_GAIN_ASSETS_CF_UTI" hidden="1">"c461"</definedName>
    <definedName name="IQ_GAIN_ASSETS_FIN" hidden="1">"c462"</definedName>
    <definedName name="IQ_GAIN_ASSETS_INS" hidden="1">"c463"</definedName>
    <definedName name="IQ_GAIN_ASSETS_REIT" hidden="1">"c471"</definedName>
    <definedName name="IQ_GAIN_ASSETS_REV" hidden="1">"c472"</definedName>
    <definedName name="IQ_GAIN_ASSETS_REV_BNK" hidden="1">"c473"</definedName>
    <definedName name="IQ_GAIN_ASSETS_REV_BR" hidden="1">"c474"</definedName>
    <definedName name="IQ_GAIN_ASSETS_REV_FIN" hidden="1">"c475"</definedName>
    <definedName name="IQ_GAIN_ASSETS_REV_INS" hidden="1">"c476"</definedName>
    <definedName name="IQ_GAIN_ASSETS_REV_REIT" hidden="1">"c477"</definedName>
    <definedName name="IQ_GAIN_ASSETS_REV_UTI" hidden="1">"c478"</definedName>
    <definedName name="IQ_GAIN_ASSETS_UTI" hidden="1">"c479"</definedName>
    <definedName name="IQ_GAIN_INVEST" hidden="1">"c1463"</definedName>
    <definedName name="IQ_GAIN_INVEST_BNK" hidden="1">"c1582"</definedName>
    <definedName name="IQ_GAIN_INVEST_BR" hidden="1">"c1464"</definedName>
    <definedName name="IQ_GAIN_INVEST_CF" hidden="1">"c480"</definedName>
    <definedName name="IQ_GAIN_INVEST_CF_BNK" hidden="1">"c481"</definedName>
    <definedName name="IQ_GAIN_INVEST_CF_BR" hidden="1">"c482"</definedName>
    <definedName name="IQ_GAIN_INVEST_CF_FIN" hidden="1">"c483"</definedName>
    <definedName name="IQ_GAIN_INVEST_CF_INS" hidden="1">"c484"</definedName>
    <definedName name="IQ_GAIN_INVEST_CF_REIT" hidden="1">"c485"</definedName>
    <definedName name="IQ_GAIN_INVEST_CF_UTI" hidden="1">"c486"</definedName>
    <definedName name="IQ_GAIN_INVEST_FIN" hidden="1">"c1465"</definedName>
    <definedName name="IQ_GAIN_INVEST_INS" hidden="1">"c1466"</definedName>
    <definedName name="IQ_GAIN_INVEST_REIT" hidden="1">"c1467"</definedName>
    <definedName name="IQ_GAIN_INVEST_REV" hidden="1">"c494"</definedName>
    <definedName name="IQ_GAIN_INVEST_REV_BNK" hidden="1">"c495"</definedName>
    <definedName name="IQ_GAIN_INVEST_REV_BR" hidden="1">"c496"</definedName>
    <definedName name="IQ_GAIN_INVEST_REV_FIN" hidden="1">"c497"</definedName>
    <definedName name="IQ_GAIN_INVEST_REV_INS" hidden="1">"c498"</definedName>
    <definedName name="IQ_GAIN_INVEST_REV_REIT" hidden="1">"c499"</definedName>
    <definedName name="IQ_GAIN_INVEST_REV_UTI" hidden="1">"c500"</definedName>
    <definedName name="IQ_GAIN_INVEST_UTI" hidden="1">"c1468"</definedName>
    <definedName name="IQ_GAIN_LOANS_REC" hidden="1">"c501"</definedName>
    <definedName name="IQ_GAIN_LOANS_RECEIV" hidden="1">"c502"</definedName>
    <definedName name="IQ_GAIN_LOANS_RECEIV_REV_FIN" hidden="1">"c503"</definedName>
    <definedName name="IQ_GAIN_LOANS_REV" hidden="1">"c504"</definedName>
    <definedName name="IQ_GAIN_SALE_ASSETS" hidden="1">"c1377"</definedName>
    <definedName name="IQ_GEO_SEG_ASSETS" hidden="1">"c4069"</definedName>
    <definedName name="IQ_GEO_SEG_ASSETS_ABS" hidden="1">"c4091"</definedName>
    <definedName name="IQ_GEO_SEG_ASSETS_TOTAL" hidden="1">"c4123"</definedName>
    <definedName name="IQ_GEO_SEG_CAPEX" hidden="1">"c4083"</definedName>
    <definedName name="IQ_GEO_SEG_CAPEX_ABS" hidden="1">"c4105"</definedName>
    <definedName name="IQ_GEO_SEG_CAPEX_TOTAL" hidden="1">"c4127"</definedName>
    <definedName name="IQ_GEO_SEG_DA" hidden="1">"c4082"</definedName>
    <definedName name="IQ_GEO_SEG_DA_ABS" hidden="1">"c4104"</definedName>
    <definedName name="IQ_GEO_SEG_DA_TOTAL" hidden="1">"c4126"</definedName>
    <definedName name="IQ_GEO_SEG_EARNINGS_OP" hidden="1">"c4073"</definedName>
    <definedName name="IQ_GEO_SEG_EARNINGS_OP_ABS" hidden="1">"c4095"</definedName>
    <definedName name="IQ_GEO_SEG_EARNINGS_OP_TOTAL" hidden="1">"c4119"</definedName>
    <definedName name="IQ_GEO_SEG_EBT" hidden="1">"c4072"</definedName>
    <definedName name="IQ_GEO_SEG_EBT_ABS" hidden="1">"c4094"</definedName>
    <definedName name="IQ_GEO_SEG_EBT_TOTAL" hidden="1">"c4121"</definedName>
    <definedName name="IQ_GEO_SEG_GP" hidden="1">"c4070"</definedName>
    <definedName name="IQ_GEO_SEG_GP_ABS" hidden="1">"c4092"</definedName>
    <definedName name="IQ_GEO_SEG_GP_TOTAL" hidden="1">"c4120"</definedName>
    <definedName name="IQ_GEO_SEG_INC_TAX" hidden="1">"c4081"</definedName>
    <definedName name="IQ_GEO_SEG_INC_TAX_ABS" hidden="1">"c4103"</definedName>
    <definedName name="IQ_GEO_SEG_INC_TAX_TOTAL" hidden="1">"c4125"</definedName>
    <definedName name="IQ_GEO_SEG_INTEREST_EXP" hidden="1">"c4080"</definedName>
    <definedName name="IQ_GEO_SEG_INTEREST_EXP_ABS" hidden="1">"c4102"</definedName>
    <definedName name="IQ_GEO_SEG_INTEREST_EXP_TOTAL" hidden="1">"c4124"</definedName>
    <definedName name="IQ_GEO_SEG_NAME" hidden="1">"c5484"</definedName>
    <definedName name="IQ_GEO_SEG_NAME_ABS" hidden="1">"c5485"</definedName>
    <definedName name="IQ_GEO_SEG_NI" hidden="1">"c4071"</definedName>
    <definedName name="IQ_GEO_SEG_NI_ABS" hidden="1">"c4093"</definedName>
    <definedName name="IQ_GEO_SEG_NI_TOTAL" hidden="1">"c4122"</definedName>
    <definedName name="IQ_GEO_SEG_OPER_INC" hidden="1">"c4075"</definedName>
    <definedName name="IQ_GEO_SEG_OPER_INC_ABS" hidden="1">"c4097"</definedName>
    <definedName name="IQ_GEO_SEG_OPER_INC_TOTAL" hidden="1">"c4118"</definedName>
    <definedName name="IQ_GEO_SEG_REV" hidden="1">"c4074"</definedName>
    <definedName name="IQ_GEO_SEG_REV_ABS" hidden="1">"c4096"</definedName>
    <definedName name="IQ_GEO_SEG_REV_TOTAL" hidden="1">"c4117"</definedName>
    <definedName name="IQ_GOODWILL_NET" hidden="1">"c1380"</definedName>
    <definedName name="IQ_GP" hidden="1">"c511"</definedName>
    <definedName name="IQ_GP_10YR_ANN_GROWTH" hidden="1">"c512"</definedName>
    <definedName name="IQ_GP_1YR_ANN_GROWTH" hidden="1">"c513"</definedName>
    <definedName name="IQ_GP_2YR_ANN_GROWTH" hidden="1">"c514"</definedName>
    <definedName name="IQ_GP_3YR_ANN_GROWTH" hidden="1">"c515"</definedName>
    <definedName name="IQ_GP_5YR_ANN_GROWTH" hidden="1">"c516"</definedName>
    <definedName name="IQ_GP_7YR_ANN_GROWTH" hidden="1">"c517"</definedName>
    <definedName name="IQ_GPPE" hidden="1">"c518"</definedName>
    <definedName name="IQ_GROSS_AH_EARNED" hidden="1">"c2742"</definedName>
    <definedName name="IQ_GROSS_CLAIM_EXP_INCUR" hidden="1">"c2755"</definedName>
    <definedName name="IQ_GROSS_CLAIM_EXP_PAID" hidden="1">"c2758"</definedName>
    <definedName name="IQ_GROSS_CLAIM_EXP_RES" hidden="1">"c2752"</definedName>
    <definedName name="IQ_GROSS_DIVID" hidden="1">"c1446"</definedName>
    <definedName name="IQ_GROSS_EARNED" hidden="1">"c2732"</definedName>
    <definedName name="IQ_GROSS_LIFE_EARNED" hidden="1">"c2737"</definedName>
    <definedName name="IQ_GROSS_LIFE_IN_FORCE" hidden="1">"c2767"</definedName>
    <definedName name="IQ_GROSS_LOANS" hidden="1">"c521"</definedName>
    <definedName name="IQ_GROSS_LOANS_10YR_ANN_GROWTH" hidden="1">"c522"</definedName>
    <definedName name="IQ_GROSS_LOANS_1YR_ANN_GROWTH" hidden="1">"c523"</definedName>
    <definedName name="IQ_GROSS_LOANS_2YR_ANN_GROWTH" hidden="1">"c524"</definedName>
    <definedName name="IQ_GROSS_LOANS_3YR_ANN_GROWTH" hidden="1">"c525"</definedName>
    <definedName name="IQ_GROSS_LOANS_5YR_ANN_GROWTH" hidden="1">"c526"</definedName>
    <definedName name="IQ_GROSS_LOANS_7YR_ANN_GROWTH" hidden="1">"c527"</definedName>
    <definedName name="IQ_GROSS_LOANS_TOTAL_DEPOSITS" hidden="1">"c528"</definedName>
    <definedName name="IQ_GROSS_MARGIN" hidden="1">"c529"</definedName>
    <definedName name="IQ_GROSS_PC_EARNED" hidden="1">"c2747"</definedName>
    <definedName name="IQ_GROSS_PROFIT" hidden="1">"c1378"</definedName>
    <definedName name="IQ_GROSS_SPRD" hidden="1">"c2155"</definedName>
    <definedName name="IQ_GROSS_WRITTEN" hidden="1">"c2726"</definedName>
    <definedName name="IQ_GW" hidden="1">"c530"</definedName>
    <definedName name="IQ_GW_AMORT_BR" hidden="1">"c532"</definedName>
    <definedName name="IQ_GW_AMORT_FIN" hidden="1">"c540"</definedName>
    <definedName name="IQ_GW_AMORT_INS" hidden="1">"c541"</definedName>
    <definedName name="IQ_GW_AMORT_REIT" hidden="1">"c542"</definedName>
    <definedName name="IQ_GW_AMORT_UTI" hidden="1">"c543"</definedName>
    <definedName name="IQ_GW_INTAN_AMORT" hidden="1">"c1469"</definedName>
    <definedName name="IQ_GW_INTAN_AMORT_BNK" hidden="1">"c544"</definedName>
    <definedName name="IQ_GW_INTAN_AMORT_BR" hidden="1">"c1470"</definedName>
    <definedName name="IQ_GW_INTAN_AMORT_CF" hidden="1">"c1471"</definedName>
    <definedName name="IQ_GW_INTAN_AMORT_CF_BNK" hidden="1">"c1472"</definedName>
    <definedName name="IQ_GW_INTAN_AMORT_CF_BR" hidden="1">"c1473"</definedName>
    <definedName name="IQ_GW_INTAN_AMORT_CF_FIN" hidden="1">"c1474"</definedName>
    <definedName name="IQ_GW_INTAN_AMORT_CF_INS" hidden="1">"c1475"</definedName>
    <definedName name="IQ_GW_INTAN_AMORT_CF_REIT" hidden="1">"c1476"</definedName>
    <definedName name="IQ_GW_INTAN_AMORT_CF_UTI" hidden="1">"c1477"</definedName>
    <definedName name="IQ_GW_INTAN_AMORT_FIN" hidden="1">"c1478"</definedName>
    <definedName name="IQ_GW_INTAN_AMORT_INS" hidden="1">"c1479"</definedName>
    <definedName name="IQ_GW_INTAN_AMORT_REIT" hidden="1">"c1480"</definedName>
    <definedName name="IQ_GW_INTAN_AMORT_UTI" hidden="1">"c1481"</definedName>
    <definedName name="IQ_HIGH_TARGET_PRICE" hidden="1">"c1651"</definedName>
    <definedName name="IQ_HIGH_TARGET_PRICE_REUT" hidden="1">"c5317"</definedName>
    <definedName name="IQ_HIGHPRICE" hidden="1">"c545"</definedName>
    <definedName name="IQ_HOMEOWNERS_WRITTEN" hidden="1">"c546"</definedName>
    <definedName name="IQ_IMPAIR_OIL" hidden="1">"c547"</definedName>
    <definedName name="IQ_IMPAIRMENT_GW" hidden="1">"c548"</definedName>
    <definedName name="IQ_IMPUT_OPER_LEASE_DEPR" hidden="1">"c2987"</definedName>
    <definedName name="IQ_IMPUT_OPER_LEASE_INT_EXP" hidden="1">"c2986"</definedName>
    <definedName name="IQ_INC_AFTER_TAX" hidden="1">"c1598"</definedName>
    <definedName name="IQ_INC_AVAIL_EXCL" hidden="1">"c1395"</definedName>
    <definedName name="IQ_INC_AVAIL_INCL" hidden="1">"c1396"</definedName>
    <definedName name="IQ_INC_BEFORE_TAX" hidden="1">"c1375"</definedName>
    <definedName name="IQ_INC_EQUITY" hidden="1">"c549"</definedName>
    <definedName name="IQ_INC_EQUITY_BR" hidden="1">"c550"</definedName>
    <definedName name="IQ_INC_EQUITY_CF" hidden="1">"c551"</definedName>
    <definedName name="IQ_INC_EQUITY_FIN" hidden="1">"c552"</definedName>
    <definedName name="IQ_INC_EQUITY_INS" hidden="1">"c553"</definedName>
    <definedName name="IQ_INC_EQUITY_REC_BNK" hidden="1">"c554"</definedName>
    <definedName name="IQ_INC_EQUITY_REIT" hidden="1">"c555"</definedName>
    <definedName name="IQ_INC_EQUITY_REV_BNK" hidden="1">"c556"</definedName>
    <definedName name="IQ_INC_EQUITY_UTI" hidden="1">"c557"</definedName>
    <definedName name="IQ_INC_REAL_ESTATE_REC" hidden="1">"c558"</definedName>
    <definedName name="IQ_INC_REAL_ESTATE_REV" hidden="1">"c559"</definedName>
    <definedName name="IQ_INC_TAX" hidden="1">"c560"</definedName>
    <definedName name="IQ_INC_TAX_EXCL" hidden="1">"c1599"</definedName>
    <definedName name="IQ_INC_TAX_PAY_CURRENT" hidden="1">"c561"</definedName>
    <definedName name="IQ_INC_TRADE_ACT" hidden="1">"c562"</definedName>
    <definedName name="IQ_INDUSTRY" hidden="1">"c3601"</definedName>
    <definedName name="IQ_INDUSTRY_GROUP" hidden="1">"c3602"</definedName>
    <definedName name="IQ_INDUSTRY_SECTOR" hidden="1">"c3603"</definedName>
    <definedName name="IQ_INS_ANNUITY_LIAB" hidden="1">"c563"</definedName>
    <definedName name="IQ_INS_ANNUITY_REV" hidden="1">"c2788"</definedName>
    <definedName name="IQ_INS_DIV_EXP" hidden="1">"c564"</definedName>
    <definedName name="IQ_INS_DIV_REV" hidden="1">"c565"</definedName>
    <definedName name="IQ_INS_IN_FORCE" hidden="1">"c566"</definedName>
    <definedName name="IQ_INS_LIAB" hidden="1">"c567"</definedName>
    <definedName name="IQ_INS_POLICY_EXP" hidden="1">"c568"</definedName>
    <definedName name="IQ_INS_REV" hidden="1">"c569"</definedName>
    <definedName name="IQ_INS_SETTLE" hidden="1">"c570"</definedName>
    <definedName name="IQ_INS_SETTLE_BNK" hidden="1">"c571"</definedName>
    <definedName name="IQ_INS_SETTLE_BR" hidden="1">"c572"</definedName>
    <definedName name="IQ_INS_SETTLE_FIN" hidden="1">"c573"</definedName>
    <definedName name="IQ_INS_SETTLE_INS" hidden="1">"c574"</definedName>
    <definedName name="IQ_INS_SETTLE_REIT" hidden="1">"c575"</definedName>
    <definedName name="IQ_INS_SETTLE_UTI" hidden="1">"c576"</definedName>
    <definedName name="IQ_INSIDER_3MTH_BOUGHT_PCT" hidden="1">"c1534"</definedName>
    <definedName name="IQ_INSIDER_3MTH_NET_PCT" hidden="1">"c1535"</definedName>
    <definedName name="IQ_INSIDER_3MTH_SOLD_PCT" hidden="1">"c1533"</definedName>
    <definedName name="IQ_INSIDER_6MTH_BOUGHT_PCT" hidden="1">"c1537"</definedName>
    <definedName name="IQ_INSIDER_6MTH_NET_PCT" hidden="1">"c1538"</definedName>
    <definedName name="IQ_INSIDER_6MTH_SOLD_PCT" hidden="1">"c1536"</definedName>
    <definedName name="IQ_INSIDER_OVER_TOTAL" hidden="1">"c1581"</definedName>
    <definedName name="IQ_INSIDER_OWNER" hidden="1">"c577"</definedName>
    <definedName name="IQ_INSIDER_PERCENT" hidden="1">"c578"</definedName>
    <definedName name="IQ_INSIDER_SHARES" hidden="1">"c579"</definedName>
    <definedName name="IQ_INSTITUTIONAL_OVER_TOTAL" hidden="1">"c1580"</definedName>
    <definedName name="IQ_INSTITUTIONAL_OWNER" hidden="1">"c580"</definedName>
    <definedName name="IQ_INSTITUTIONAL_PERCENT" hidden="1">"c581"</definedName>
    <definedName name="IQ_INSTITUTIONAL_SHARES" hidden="1">"c582"</definedName>
    <definedName name="IQ_INSUR_RECEIV" hidden="1">"c1600"</definedName>
    <definedName name="IQ_INT_BORROW" hidden="1">"c583"</definedName>
    <definedName name="IQ_INT_DEPOSITS" hidden="1">"c584"</definedName>
    <definedName name="IQ_INT_DIV_INC" hidden="1">"c585"</definedName>
    <definedName name="IQ_INT_EXP_BR" hidden="1">"c586"</definedName>
    <definedName name="IQ_INT_EXP_COVERAGE" hidden="1">"c587"</definedName>
    <definedName name="IQ_INT_EXP_FIN" hidden="1">"c588"</definedName>
    <definedName name="IQ_INT_EXP_INCL_CAP" hidden="1">"c2988"</definedName>
    <definedName name="IQ_INT_EXP_INS" hidden="1">"c589"</definedName>
    <definedName name="IQ_INT_EXP_LTD" hidden="1">"c2086"</definedName>
    <definedName name="IQ_INT_EXP_REIT" hidden="1">"c590"</definedName>
    <definedName name="IQ_INT_EXP_TOTAL" hidden="1">"c591"</definedName>
    <definedName name="IQ_INT_EXP_UTI" hidden="1">"c592"</definedName>
    <definedName name="IQ_INT_INC_BR" hidden="1">"c593"</definedName>
    <definedName name="IQ_INT_INC_FIN" hidden="1">"c594"</definedName>
    <definedName name="IQ_INT_INC_INVEST" hidden="1">"c595"</definedName>
    <definedName name="IQ_INT_INC_LOANS" hidden="1">"c596"</definedName>
    <definedName name="IQ_INT_INC_REIT" hidden="1">"c597"</definedName>
    <definedName name="IQ_INT_INC_TOTAL" hidden="1">"c598"</definedName>
    <definedName name="IQ_INT_INC_UTI" hidden="1">"c599"</definedName>
    <definedName name="IQ_INT_INV_INC" hidden="1">"c600"</definedName>
    <definedName name="IQ_INT_INV_INC_REIT" hidden="1">"c601"</definedName>
    <definedName name="IQ_INT_INV_INC_UTI" hidden="1">"c602"</definedName>
    <definedName name="IQ_INT_ON_BORROWING_COVERAGE" hidden="1">"c603"</definedName>
    <definedName name="IQ_INT_RATE_SPREAD" hidden="1">"c604"</definedName>
    <definedName name="IQ_INTANGIBLES_NET" hidden="1">"c1407"</definedName>
    <definedName name="IQ_INTEREST_CASH_DEPOSITS" hidden="1">"c2255"</definedName>
    <definedName name="IQ_INTEREST_EXP" hidden="1">"c618"</definedName>
    <definedName name="IQ_INTEREST_EXP_NET" hidden="1">"c1450"</definedName>
    <definedName name="IQ_INTEREST_EXP_NON" hidden="1">"c1383"</definedName>
    <definedName name="IQ_INTEREST_EXP_SUPPL" hidden="1">"c1460"</definedName>
    <definedName name="IQ_INTEREST_INC" hidden="1">"c1393"</definedName>
    <definedName name="IQ_INTEREST_INC_NON" hidden="1">"c1384"</definedName>
    <definedName name="IQ_INTEREST_INVEST_INC" hidden="1">"c619"</definedName>
    <definedName name="IQ_INV_10YR_ANN_GROWTH" hidden="1">"c1930"</definedName>
    <definedName name="IQ_INV_1YR_ANN_GROWTH" hidden="1">"c1925"</definedName>
    <definedName name="IQ_INV_2YR_ANN_GROWTH" hidden="1">"c1926"</definedName>
    <definedName name="IQ_INV_3YR_ANN_GROWTH" hidden="1">"c1927"</definedName>
    <definedName name="IQ_INV_5YR_ANN_GROWTH" hidden="1">"c1928"</definedName>
    <definedName name="IQ_INV_7YR_ANN_GROWTH" hidden="1">"c1929"</definedName>
    <definedName name="IQ_INV_BANKING_FEE" hidden="1">"c620"</definedName>
    <definedName name="IQ_INV_METHOD" hidden="1">"c621"</definedName>
    <definedName name="IQ_INVENTORY" hidden="1">"c622"</definedName>
    <definedName name="IQ_INVENTORY_TURNS" hidden="1">"c623"</definedName>
    <definedName name="IQ_INVENTORY_UTI" hidden="1">"c624"</definedName>
    <definedName name="IQ_INVEST_DEBT" hidden="1">"c625"</definedName>
    <definedName name="IQ_INVEST_EQUITY_PREF" hidden="1">"c626"</definedName>
    <definedName name="IQ_INVEST_FHLB" hidden="1">"c627"</definedName>
    <definedName name="IQ_INVEST_GOV_SECURITY" hidden="1">"c5510"</definedName>
    <definedName name="IQ_INVEST_LOANS_CF" hidden="1">"c628"</definedName>
    <definedName name="IQ_INVEST_LOANS_CF_BNK" hidden="1">"c629"</definedName>
    <definedName name="IQ_INVEST_LOANS_CF_BR" hidden="1">"c630"</definedName>
    <definedName name="IQ_INVEST_LOANS_CF_FIN" hidden="1">"c631"</definedName>
    <definedName name="IQ_INVEST_LOANS_CF_INS" hidden="1">"c632"</definedName>
    <definedName name="IQ_INVEST_LOANS_CF_REIT" hidden="1">"c633"</definedName>
    <definedName name="IQ_INVEST_LOANS_CF_UTI" hidden="1">"c634"</definedName>
    <definedName name="IQ_INVEST_MUNI_SECURITY" hidden="1">"c5512"</definedName>
    <definedName name="IQ_INVEST_REAL_ESTATE" hidden="1">"c635"</definedName>
    <definedName name="IQ_INVEST_SECURITY" hidden="1">"c636"</definedName>
    <definedName name="IQ_INVEST_SECURITY_CF" hidden="1">"c637"</definedName>
    <definedName name="IQ_INVEST_SECURITY_CF_BNK" hidden="1">"c638"</definedName>
    <definedName name="IQ_INVEST_SECURITY_CF_BR" hidden="1">"c639"</definedName>
    <definedName name="IQ_INVEST_SECURITY_CF_FIN" hidden="1">"c640"</definedName>
    <definedName name="IQ_INVEST_SECURITY_CF_INS" hidden="1">"c641"</definedName>
    <definedName name="IQ_INVEST_SECURITY_CF_REIT" hidden="1">"c642"</definedName>
    <definedName name="IQ_INVEST_SECURITY_CF_UTI" hidden="1">"c643"</definedName>
    <definedName name="IQ_INVEST_SECURITY_SUPPL" hidden="1">"c5511"</definedName>
    <definedName name="IQ_IPRD" hidden="1">"c644"</definedName>
    <definedName name="IQ_ISS_DEBT_NET" hidden="1">"c1391"</definedName>
    <definedName name="IQ_ISS_STOCK_NET" hidden="1">"c1601"</definedName>
    <definedName name="IQ_ISSUE_CURRENCY" hidden="1">"c2156"</definedName>
    <definedName name="IQ_ISSUE_NAME" hidden="1">"c2142"</definedName>
    <definedName name="IQ_ISSUER" hidden="1">"c2143"</definedName>
    <definedName name="IQ_ISSUER_CIQID" hidden="1">"c2258"</definedName>
    <definedName name="IQ_ISSUER_PARENT" hidden="1">"c2144"</definedName>
    <definedName name="IQ_ISSUER_PARENT_CIQID" hidden="1">"c2260"</definedName>
    <definedName name="IQ_ISSUER_PARENT_TICKER" hidden="1">"c2259"</definedName>
    <definedName name="IQ_ISSUER_TICKER" hidden="1">"c2252"</definedName>
    <definedName name="IQ_JR_SUB_DEBT" hidden="1">"c2534"</definedName>
    <definedName name="IQ_JR_SUB_DEBT_EBITDA" hidden="1">"c2560"</definedName>
    <definedName name="IQ_JR_SUB_DEBT_EBITDA_CAPEX" hidden="1">"c2561"</definedName>
    <definedName name="IQ_JR_SUB_DEBT_PCT" hidden="1">"c2535"</definedName>
    <definedName name="IQ_LAND" hidden="1">"c645"</definedName>
    <definedName name="IQ_LAST_PMT_DATE" hidden="1">"c2188"</definedName>
    <definedName name="IQ_LAST_SPLIT_DATE" hidden="1">"c2095"</definedName>
    <definedName name="IQ_LAST_SPLIT_FACTOR" hidden="1">"c2093"</definedName>
    <definedName name="IQ_LASTPRICINGDATE" hidden="1">"c3051"</definedName>
    <definedName name="IQ_LASTSALEPRICE" hidden="1">"c646"</definedName>
    <definedName name="IQ_LASTSALEPRICE_DATE" hidden="1">"c2109"</definedName>
    <definedName name="IQ_LATEST" hidden="1">"1"</definedName>
    <definedName name="IQ_LATESTK" hidden="1">1000</definedName>
    <definedName name="IQ_LATESTKFR" hidden="1">"100"</definedName>
    <definedName name="IQ_LATESTQ" hidden="1">500</definedName>
    <definedName name="IQ_LATESTQFR" hidden="1">"50"</definedName>
    <definedName name="IQ_LEGAL_SETTLE" hidden="1">"c647"</definedName>
    <definedName name="IQ_LEGAL_SETTLE_BNK" hidden="1">"c648"</definedName>
    <definedName name="IQ_LEGAL_SETTLE_BR" hidden="1">"c649"</definedName>
    <definedName name="IQ_LEGAL_SETTLE_FIN" hidden="1">"c650"</definedName>
    <definedName name="IQ_LEGAL_SETTLE_INS" hidden="1">"c651"</definedName>
    <definedName name="IQ_LEGAL_SETTLE_REIT" hidden="1">"c652"</definedName>
    <definedName name="IQ_LEGAL_SETTLE_UTI" hidden="1">"c653"</definedName>
    <definedName name="IQ_LEVERAGE_RATIO" hidden="1">"c654"</definedName>
    <definedName name="IQ_LEVERED_FCF" hidden="1">"c1907"</definedName>
    <definedName name="IQ_LFCF_10YR_ANN_GROWTH" hidden="1">"c1942"</definedName>
    <definedName name="IQ_LFCF_1YR_ANN_GROWTH" hidden="1">"c1937"</definedName>
    <definedName name="IQ_LFCF_2YR_ANN_GROWTH" hidden="1">"c1938"</definedName>
    <definedName name="IQ_LFCF_3YR_ANN_GROWTH" hidden="1">"c1939"</definedName>
    <definedName name="IQ_LFCF_5YR_ANN_GROWTH" hidden="1">"c1940"</definedName>
    <definedName name="IQ_LFCF_7YR_ANN_GROWTH" hidden="1">"c1941"</definedName>
    <definedName name="IQ_LFCF_MARGIN" hidden="1">"c1961"</definedName>
    <definedName name="IQ_LH_STATUTORY_SURPLUS" hidden="1">"c2771"</definedName>
    <definedName name="IQ_LICENSED_POPS" hidden="1">"c2123"</definedName>
    <definedName name="IQ_LIFE_EARNED" hidden="1">"c2739"</definedName>
    <definedName name="IQ_LIFOR" hidden="1">"c655"</definedName>
    <definedName name="IQ_LL" hidden="1">"c656"</definedName>
    <definedName name="IQ_LOAN_LEASE_RECEIV" hidden="1">"c657"</definedName>
    <definedName name="IQ_LOAN_LOSS" hidden="1">"c1386"</definedName>
    <definedName name="IQ_LOAN_SERVICE_REV" hidden="1">"c658"</definedName>
    <definedName name="IQ_LOANS_CF" hidden="1">"c659"</definedName>
    <definedName name="IQ_LOANS_CF_BNK" hidden="1">"c660"</definedName>
    <definedName name="IQ_LOANS_CF_BR" hidden="1">"c661"</definedName>
    <definedName name="IQ_LOANS_CF_FIN" hidden="1">"c662"</definedName>
    <definedName name="IQ_LOANS_CF_INS" hidden="1">"c663"</definedName>
    <definedName name="IQ_LOANS_CF_REIT" hidden="1">"c664"</definedName>
    <definedName name="IQ_LOANS_CF_UTI" hidden="1">"c665"</definedName>
    <definedName name="IQ_LOANS_FOR_SALE" hidden="1">"c666"</definedName>
    <definedName name="IQ_LOANS_PAST_DUE" hidden="1">"c667"</definedName>
    <definedName name="IQ_LOANS_RECEIV_CURRENT" hidden="1">"c668"</definedName>
    <definedName name="IQ_LOANS_RECEIV_LT" hidden="1">"c669"</definedName>
    <definedName name="IQ_LOANS_RECEIV_LT_UTI" hidden="1">"c670"</definedName>
    <definedName name="IQ_LONG_TERM_DEBT" hidden="1">"c1387"</definedName>
    <definedName name="IQ_LONG_TERM_DEBT_OVER_TOTAL_CAP" hidden="1">"c1388"</definedName>
    <definedName name="IQ_LONG_TERM_GROWTH" hidden="1">"c671"</definedName>
    <definedName name="IQ_LONG_TERM_INV" hidden="1">"c1389"</definedName>
    <definedName name="IQ_LOSS_LOSS_EXP" hidden="1">"c672"</definedName>
    <definedName name="IQ_LOSS_TO_NET_EARNED" hidden="1">"c2751"</definedName>
    <definedName name="IQ_LOW_TARGET_PRICE" hidden="1">"c1652"</definedName>
    <definedName name="IQ_LOW_TARGET_PRICE_REUT" hidden="1">"c5318"</definedName>
    <definedName name="IQ_LOWPRICE" hidden="1">"c673"</definedName>
    <definedName name="IQ_LT_DEBT" hidden="1">"c674"</definedName>
    <definedName name="IQ_LT_DEBT_BNK" hidden="1">"c675"</definedName>
    <definedName name="IQ_LT_DEBT_BR" hidden="1">"c676"</definedName>
    <definedName name="IQ_LT_DEBT_CAPITAL" hidden="1">"c677"</definedName>
    <definedName name="IQ_LT_DEBT_CAPITAL_LEASES" hidden="1">"c2542"</definedName>
    <definedName name="IQ_LT_DEBT_CAPITAL_LEASES_PCT" hidden="1">"c2543"</definedName>
    <definedName name="IQ_LT_DEBT_EQUITY" hidden="1">"c678"</definedName>
    <definedName name="IQ_LT_DEBT_FIN" hidden="1">"c679"</definedName>
    <definedName name="IQ_LT_DEBT_INS" hidden="1">"c680"</definedName>
    <definedName name="IQ_LT_DEBT_ISSUED" hidden="1">"c681"</definedName>
    <definedName name="IQ_LT_DEBT_ISSUED_BNK" hidden="1">"c682"</definedName>
    <definedName name="IQ_LT_DEBT_ISSUED_BR" hidden="1">"c683"</definedName>
    <definedName name="IQ_LT_DEBT_ISSUED_FIN" hidden="1">"c684"</definedName>
    <definedName name="IQ_LT_DEBT_ISSUED_INS" hidden="1">"c685"</definedName>
    <definedName name="IQ_LT_DEBT_ISSUED_REIT" hidden="1">"c686"</definedName>
    <definedName name="IQ_LT_DEBT_ISSUED_UTI" hidden="1">"c687"</definedName>
    <definedName name="IQ_LT_DEBT_REIT" hidden="1">"c688"</definedName>
    <definedName name="IQ_LT_DEBT_REPAID" hidden="1">"c689"</definedName>
    <definedName name="IQ_LT_DEBT_REPAID_BNK" hidden="1">"c690"</definedName>
    <definedName name="IQ_LT_DEBT_REPAID_BR" hidden="1">"c691"</definedName>
    <definedName name="IQ_LT_DEBT_REPAID_FIN" hidden="1">"c692"</definedName>
    <definedName name="IQ_LT_DEBT_REPAID_INS" hidden="1">"c693"</definedName>
    <definedName name="IQ_LT_DEBT_REPAID_REIT" hidden="1">"c694"</definedName>
    <definedName name="IQ_LT_DEBT_REPAID_UTI" hidden="1">"c695"</definedName>
    <definedName name="IQ_LT_DEBT_UTI" hidden="1">"c696"</definedName>
    <definedName name="IQ_LT_INVEST" hidden="1">"c697"</definedName>
    <definedName name="IQ_LT_INVEST_BR" hidden="1">"c698"</definedName>
    <definedName name="IQ_LT_INVEST_FIN" hidden="1">"c699"</definedName>
    <definedName name="IQ_LT_INVEST_REIT" hidden="1">"c700"</definedName>
    <definedName name="IQ_LT_INVEST_UTI" hidden="1">"c701"</definedName>
    <definedName name="IQ_LT_NOTE_RECEIV" hidden="1">"c1602"</definedName>
    <definedName name="IQ_LTD_DUE_AFTER_FIVE" hidden="1">"c704"</definedName>
    <definedName name="IQ_LTD_DUE_CY" hidden="1">"c705"</definedName>
    <definedName name="IQ_LTD_DUE_CY1" hidden="1">"c706"</definedName>
    <definedName name="IQ_LTD_DUE_CY2" hidden="1">"c707"</definedName>
    <definedName name="IQ_LTD_DUE_CY3" hidden="1">"c708"</definedName>
    <definedName name="IQ_LTD_DUE_CY4" hidden="1">"c709"</definedName>
    <definedName name="IQ_LTD_DUE_NEXT_FIVE" hidden="1">"c710"</definedName>
    <definedName name="IQ_LTM" hidden="1">2000</definedName>
    <definedName name="IQ_LTM_DATE" hidden="1">"IQ_LTM_DATE"</definedName>
    <definedName name="IQ_LTM_REVENUE_OVER_EMPLOYEES" hidden="1">"c1437"</definedName>
    <definedName name="IQ_LTMMONTH" hidden="1">120000</definedName>
    <definedName name="IQ_MACHINERY" hidden="1">"c711"</definedName>
    <definedName name="IQ_MAINT_CAPEX" hidden="1">"c2947"</definedName>
    <definedName name="IQ_MAINT_CAPEX_ACT_OR_EST" hidden="1">"c4458"</definedName>
    <definedName name="IQ_MAINT_REPAIR" hidden="1">"c2087"</definedName>
    <definedName name="IQ_MAKE_WHOLE_END_DATE" hidden="1">"c2493"</definedName>
    <definedName name="IQ_MAKE_WHOLE_SPREAD" hidden="1">"c2494"</definedName>
    <definedName name="IQ_MAKE_WHOLE_START_DATE" hidden="1">"c2492"</definedName>
    <definedName name="IQ_MARKET_CAP_LFCF" hidden="1">"c2209"</definedName>
    <definedName name="IQ_MARKETCAP" hidden="1">"c712"</definedName>
    <definedName name="IQ_MARKETING" hidden="1">"c2239"</definedName>
    <definedName name="IQ_MATURITY_DATE" hidden="1">"c2146"</definedName>
    <definedName name="IQ_MC_RATIO" hidden="1">"c2783"</definedName>
    <definedName name="IQ_MC_STATUTORY_SURPLUS" hidden="1">"c2772"</definedName>
    <definedName name="IQ_MEDIAN_TARGET_PRICE" hidden="1">"c1650"</definedName>
    <definedName name="IQ_MEDIAN_TARGET_PRICE_REUT" hidden="1">"c5316"</definedName>
    <definedName name="IQ_MERGER" hidden="1">"c713"</definedName>
    <definedName name="IQ_MERGER_BNK" hidden="1">"c714"</definedName>
    <definedName name="IQ_MERGER_BR" hidden="1">"c715"</definedName>
    <definedName name="IQ_MERGER_FIN" hidden="1">"c716"</definedName>
    <definedName name="IQ_MERGER_INS" hidden="1">"c717"</definedName>
    <definedName name="IQ_MERGER_REIT" hidden="1">"c718"</definedName>
    <definedName name="IQ_MERGER_RESTRUCTURE" hidden="1">"c719"</definedName>
    <definedName name="IQ_MERGER_RESTRUCTURE_BNK" hidden="1">"c720"</definedName>
    <definedName name="IQ_MERGER_RESTRUCTURE_BR" hidden="1">"c721"</definedName>
    <definedName name="IQ_MERGER_RESTRUCTURE_FIN" hidden="1">"c722"</definedName>
    <definedName name="IQ_MERGER_RESTRUCTURE_INS" hidden="1">"c723"</definedName>
    <definedName name="IQ_MERGER_RESTRUCTURE_REIT" hidden="1">"c724"</definedName>
    <definedName name="IQ_MERGER_RESTRUCTURE_UTI" hidden="1">"c725"</definedName>
    <definedName name="IQ_MERGER_UTI" hidden="1">"c726"</definedName>
    <definedName name="IQ_MINORITY_INTEREST" hidden="1">"c727"</definedName>
    <definedName name="IQ_MINORITY_INTEREST_BNK" hidden="1">"c728"</definedName>
    <definedName name="IQ_MINORITY_INTEREST_BR" hidden="1">"c729"</definedName>
    <definedName name="IQ_MINORITY_INTEREST_CF" hidden="1">"c730"</definedName>
    <definedName name="IQ_MINORITY_INTEREST_FIN" hidden="1">"c731"</definedName>
    <definedName name="IQ_MINORITY_INTEREST_INS" hidden="1">"c732"</definedName>
    <definedName name="IQ_MINORITY_INTEREST_IS" hidden="1">"c733"</definedName>
    <definedName name="IQ_MINORITY_INTEREST_REIT" hidden="1">"c734"</definedName>
    <definedName name="IQ_MINORITY_INTEREST_TOTAL" hidden="1">"c1905"</definedName>
    <definedName name="IQ_MINORITY_INTEREST_UTI" hidden="1">"c735"</definedName>
    <definedName name="IQ_MISC_ADJUST_CF" hidden="1">"c736"</definedName>
    <definedName name="IQ_MISC_EARN_ADJ" hidden="1">"c1603"</definedName>
    <definedName name="IQ_MKTCAP_EBT_EXCL" hidden="1">"c737"</definedName>
    <definedName name="IQ_MKTCAP_EBT_EXCL_AVG" hidden="1">"c738"</definedName>
    <definedName name="IQ_MKTCAP_EBT_INCL_AVG" hidden="1">"c739"</definedName>
    <definedName name="IQ_MKTCAP_TOTAL_REV" hidden="1">"c740"</definedName>
    <definedName name="IQ_MKTCAP_TOTAL_REV_AVG" hidden="1">"c741"</definedName>
    <definedName name="IQ_MKTCAP_TOTAL_REV_FWD" hidden="1">"c742"</definedName>
    <definedName name="IQ_MKTCAP_TOTAL_REV_FWD_REUT" hidden="1">"c4048"</definedName>
    <definedName name="IQ_MM_ACCOUNT" hidden="1">"c743"</definedName>
    <definedName name="IQ_MONTH" hidden="1">15000</definedName>
    <definedName name="IQ_MORT_BANK_ACT" hidden="1">"c744"</definedName>
    <definedName name="IQ_MORT_BANKING_FEE" hidden="1">"c745"</definedName>
    <definedName name="IQ_MORT_INT_INC" hidden="1">"c746"</definedName>
    <definedName name="IQ_MORT_LOANS" hidden="1">"c747"</definedName>
    <definedName name="IQ_MORT_SECURITY" hidden="1">"c748"</definedName>
    <definedName name="IQ_MORTGAGE_SERV_RIGHTS" hidden="1">"c2242"</definedName>
    <definedName name="IQ_MTD" hidden="1">800000</definedName>
    <definedName name="IQ_NAMES_REVISION_DATE_" hidden="1">41392.4575</definedName>
    <definedName name="IQ_NAV_ACT_OR_EST" hidden="1">"c2225"</definedName>
    <definedName name="IQ_NAV_EST" hidden="1">"c1751"</definedName>
    <definedName name="IQ_NAV_HIGH_EST" hidden="1">"c1753"</definedName>
    <definedName name="IQ_NAV_LOW_EST" hidden="1">"c1754"</definedName>
    <definedName name="IQ_NAV_MEDIAN_EST" hidden="1">"c1752"</definedName>
    <definedName name="IQ_NAV_NUM_EST" hidden="1">"c1755"</definedName>
    <definedName name="IQ_NAV_STDDEV_EST" hidden="1">"c1756"</definedName>
    <definedName name="IQ_NET_CHANGE" hidden="1">"c749"</definedName>
    <definedName name="IQ_NET_CLAIM_EXP_INCUR" hidden="1">"c2757"</definedName>
    <definedName name="IQ_NET_CLAIM_EXP_INCUR_CY" hidden="1">"c2761"</definedName>
    <definedName name="IQ_NET_CLAIM_EXP_INCUR_PY" hidden="1">"c2762"</definedName>
    <definedName name="IQ_NET_CLAIM_EXP_PAID" hidden="1">"c2760"</definedName>
    <definedName name="IQ_NET_CLAIM_EXP_PAID_CY" hidden="1">"c2763"</definedName>
    <definedName name="IQ_NET_CLAIM_EXP_PAID_PY" hidden="1">"c2764"</definedName>
    <definedName name="IQ_NET_CLAIM_EXP_RES" hidden="1">"c2754"</definedName>
    <definedName name="IQ_NET_DEBT" hidden="1">"c1584"</definedName>
    <definedName name="IQ_NET_DEBT_EBITDA" hidden="1">"c750"</definedName>
    <definedName name="IQ_NET_DEBT_EBITDA_CAPEX" hidden="1">"c2949"</definedName>
    <definedName name="IQ_NET_DEBT_ISSUED" hidden="1">"c751"</definedName>
    <definedName name="IQ_NET_DEBT_ISSUED_BNK" hidden="1">"c752"</definedName>
    <definedName name="IQ_NET_DEBT_ISSUED_BR" hidden="1">"c753"</definedName>
    <definedName name="IQ_NET_DEBT_ISSUED_FIN" hidden="1">"c754"</definedName>
    <definedName name="IQ_NET_DEBT_ISSUED_INS" hidden="1">"c755"</definedName>
    <definedName name="IQ_NET_DEBT_ISSUED_REIT" hidden="1">"c756"</definedName>
    <definedName name="IQ_NET_DEBT_ISSUED_UTI" hidden="1">"c757"</definedName>
    <definedName name="IQ_NET_EARNED" hidden="1">"c2734"</definedName>
    <definedName name="IQ_NET_INC" hidden="1">"c1394"</definedName>
    <definedName name="IQ_NET_INC_BEFORE" hidden="1">"c1368"</definedName>
    <definedName name="IQ_NET_INC_CF" hidden="1">"c1397"</definedName>
    <definedName name="IQ_NET_INC_MARGIN" hidden="1">"c1398"</definedName>
    <definedName name="IQ_NET_INT_INC_10YR_ANN_GROWTH" hidden="1">"c758"</definedName>
    <definedName name="IQ_NET_INT_INC_1YR_ANN_GROWTH" hidden="1">"c759"</definedName>
    <definedName name="IQ_NET_INT_INC_2YR_ANN_GROWTH" hidden="1">"c760"</definedName>
    <definedName name="IQ_NET_INT_INC_3YR_ANN_GROWTH" hidden="1">"c761"</definedName>
    <definedName name="IQ_NET_INT_INC_5YR_ANN_GROWTH" hidden="1">"c762"</definedName>
    <definedName name="IQ_NET_INT_INC_7YR_ANN_GROWTH" hidden="1">"c763"</definedName>
    <definedName name="IQ_NET_INT_INC_BNK" hidden="1">"c764"</definedName>
    <definedName name="IQ_NET_INT_INC_BR" hidden="1">"c765"</definedName>
    <definedName name="IQ_NET_INT_INC_FIN" hidden="1">"c766"</definedName>
    <definedName name="IQ_NET_INT_INC_TOTAL_REV" hidden="1">"c767"</definedName>
    <definedName name="IQ_NET_INT_MARGIN" hidden="1">"c768"</definedName>
    <definedName name="IQ_NET_INTEREST_EXP" hidden="1">"c769"</definedName>
    <definedName name="IQ_NET_INTEREST_EXP_REIT" hidden="1">"c770"</definedName>
    <definedName name="IQ_NET_INTEREST_EXP_UTI" hidden="1">"c771"</definedName>
    <definedName name="IQ_NET_INTEREST_INC" hidden="1">"c1392"</definedName>
    <definedName name="IQ_NET_INTEREST_INC_AFTER_LL" hidden="1">"c1604"</definedName>
    <definedName name="IQ_NET_LIFE_INS_IN_FORCE" hidden="1">"c2769"</definedName>
    <definedName name="IQ_NET_LOANS" hidden="1">"c772"</definedName>
    <definedName name="IQ_NET_LOANS_10YR_ANN_GROWTH" hidden="1">"c773"</definedName>
    <definedName name="IQ_NET_LOANS_1YR_ANN_GROWTH" hidden="1">"c774"</definedName>
    <definedName name="IQ_NET_LOANS_2YR_ANN_GROWTH" hidden="1">"c775"</definedName>
    <definedName name="IQ_NET_LOANS_3YR_ANN_GROWTH" hidden="1">"c776"</definedName>
    <definedName name="IQ_NET_LOANS_5YR_ANN_GROWTH" hidden="1">"c777"</definedName>
    <definedName name="IQ_NET_LOANS_7YR_ANN_GROWTH" hidden="1">"c778"</definedName>
    <definedName name="IQ_NET_LOANS_TOTAL_DEPOSITS" hidden="1">"c779"</definedName>
    <definedName name="IQ_NET_RENTAL_EXP_FN" hidden="1">"c780"</definedName>
    <definedName name="IQ_NET_TO_GROSS_EARNED" hidden="1">"c2750"</definedName>
    <definedName name="IQ_NET_TO_GROSS_WRITTEN" hidden="1">"c2729"</definedName>
    <definedName name="IQ_NET_WORKING_CAP" hidden="1">"c3493"</definedName>
    <definedName name="IQ_NET_WRITTEN" hidden="1">"c2728"</definedName>
    <definedName name="IQ_NEW_PREM" hidden="1">"c2785"</definedName>
    <definedName name="IQ_NEXT_CALL_DATE" hidden="1">"c2198"</definedName>
    <definedName name="IQ_NEXT_CALL_PRICE" hidden="1">"c2199"</definedName>
    <definedName name="IQ_NEXT_INT_DATE" hidden="1">"c2187"</definedName>
    <definedName name="IQ_NEXT_PUT_DATE" hidden="1">"c2200"</definedName>
    <definedName name="IQ_NEXT_PUT_PRICE" hidden="1">"c2201"</definedName>
    <definedName name="IQ_NEXT_SINK_FUND_AMOUNT" hidden="1">"c2490"</definedName>
    <definedName name="IQ_NEXT_SINK_FUND_DATE" hidden="1">"c2489"</definedName>
    <definedName name="IQ_NEXT_SINK_FUND_PRICE" hidden="1">"c2491"</definedName>
    <definedName name="IQ_NI" hidden="1">"c781"</definedName>
    <definedName name="IQ_NI_10YR_ANN_GROWTH" hidden="1">"c782"</definedName>
    <definedName name="IQ_NI_1YR_ANN_GROWTH" hidden="1">"c783"</definedName>
    <definedName name="IQ_NI_2YR_ANN_GROWTH" hidden="1">"c784"</definedName>
    <definedName name="IQ_NI_3YR_ANN_GROWTH" hidden="1">"c785"</definedName>
    <definedName name="IQ_NI_5YR_ANN_GROWTH" hidden="1">"c786"</definedName>
    <definedName name="IQ_NI_7YR_ANN_GROWTH" hidden="1">"c787"</definedName>
    <definedName name="IQ_NI_ACT_OR_EST" hidden="1">"c2222"</definedName>
    <definedName name="IQ_NI_AFTER_CAPITALIZED" hidden="1">"c788"</definedName>
    <definedName name="IQ_NI_AVAIL_EXCL" hidden="1">"c789"</definedName>
    <definedName name="IQ_NI_AVAIL_EXCL_MARGIN" hidden="1">"c790"</definedName>
    <definedName name="IQ_NI_AVAIL_INCL" hidden="1">"c791"</definedName>
    <definedName name="IQ_NI_BEFORE_CAPITALIZED" hidden="1">"c792"</definedName>
    <definedName name="IQ_NI_CF" hidden="1">"c793"</definedName>
    <definedName name="IQ_NI_EST" hidden="1">"c1716"</definedName>
    <definedName name="IQ_NI_GW_EST" hidden="1">"c1723"</definedName>
    <definedName name="IQ_NI_GW_HIGH_EST" hidden="1">"c1725"</definedName>
    <definedName name="IQ_NI_GW_LOW_EST" hidden="1">"c1726"</definedName>
    <definedName name="IQ_NI_GW_MEDIAN_EST" hidden="1">"c1724"</definedName>
    <definedName name="IQ_NI_GW_NUM_EST" hidden="1">"c1727"</definedName>
    <definedName name="IQ_NI_GW_STDDEV_EST" hidden="1">"c1728"</definedName>
    <definedName name="IQ_NI_HIGH_EST" hidden="1">"c1718"</definedName>
    <definedName name="IQ_NI_LOW_EST" hidden="1">"c1719"</definedName>
    <definedName name="IQ_NI_MARGIN" hidden="1">"c794"</definedName>
    <definedName name="IQ_NI_MEDIAN_EST" hidden="1">"c1717"</definedName>
    <definedName name="IQ_NI_NORM" hidden="1">"c1901"</definedName>
    <definedName name="IQ_NI_NORM_10YR_ANN_GROWTH" hidden="1">"c1960"</definedName>
    <definedName name="IQ_NI_NORM_1YR_ANN_GROWTH" hidden="1">"c1955"</definedName>
    <definedName name="IQ_NI_NORM_2YR_ANN_GROWTH" hidden="1">"c1956"</definedName>
    <definedName name="IQ_NI_NORM_3YR_ANN_GROWTH" hidden="1">"c1957"</definedName>
    <definedName name="IQ_NI_NORM_5YR_ANN_GROWTH" hidden="1">"c1958"</definedName>
    <definedName name="IQ_NI_NORM_7YR_ANN_GROWTH" hidden="1">"c1959"</definedName>
    <definedName name="IQ_NI_NORM_MARGIN" hidden="1">"c1964"</definedName>
    <definedName name="IQ_NI_NUM_EST" hidden="1">"c1720"</definedName>
    <definedName name="IQ_NI_REPORTED_EST" hidden="1">"c1730"</definedName>
    <definedName name="IQ_NI_REPORTED_HIGH_EST" hidden="1">"c1732"</definedName>
    <definedName name="IQ_NI_REPORTED_LOW_EST" hidden="1">"c1733"</definedName>
    <definedName name="IQ_NI_REPORTED_MEDIAN_EST" hidden="1">"c1731"</definedName>
    <definedName name="IQ_NI_REPORTED_NUM_EST" hidden="1">"c1734"</definedName>
    <definedName name="IQ_NI_REPORTED_STDDEV_EST" hidden="1">"c1735"</definedName>
    <definedName name="IQ_NI_SBC_ACT_OR_EST" hidden="1">"c4474"</definedName>
    <definedName name="IQ_NI_SBC_GW_ACT_OR_EST" hidden="1">"c4478"</definedName>
    <definedName name="IQ_NI_SFAS" hidden="1">"c795"</definedName>
    <definedName name="IQ_NI_STDDEV_EST" hidden="1">"c1721"</definedName>
    <definedName name="IQ_NOL_CF_1YR" hidden="1">"c3465"</definedName>
    <definedName name="IQ_NOL_CF_2YR" hidden="1">"c3466"</definedName>
    <definedName name="IQ_NOL_CF_3YR" hidden="1">"c3467"</definedName>
    <definedName name="IQ_NOL_CF_4YR" hidden="1">"c3468"</definedName>
    <definedName name="IQ_NOL_CF_5YR" hidden="1">"c3469"</definedName>
    <definedName name="IQ_NOL_CF_AFTER_FIVE" hidden="1">"c3470"</definedName>
    <definedName name="IQ_NOL_CF_MAX_YEAR" hidden="1">"c3473"</definedName>
    <definedName name="IQ_NOL_CF_NO_EXP" hidden="1">"c3471"</definedName>
    <definedName name="IQ_NOL_CF_TOTAL" hidden="1">"c3472"</definedName>
    <definedName name="IQ_NON_ACCRUAL_LOANS" hidden="1">"c796"</definedName>
    <definedName name="IQ_NON_CASH" hidden="1">"c1399"</definedName>
    <definedName name="IQ_NON_CASH_ITEMS" hidden="1">"c797"</definedName>
    <definedName name="IQ_NON_INS_EXP" hidden="1">"c798"</definedName>
    <definedName name="IQ_NON_INS_REV" hidden="1">"c799"</definedName>
    <definedName name="IQ_NON_INT_BEAR_CD" hidden="1">"c800"</definedName>
    <definedName name="IQ_NON_INT_EXP" hidden="1">"c801"</definedName>
    <definedName name="IQ_NON_INT_INC" hidden="1">"c802"</definedName>
    <definedName name="IQ_NON_INT_INC_10YR_ANN_GROWTH" hidden="1">"c803"</definedName>
    <definedName name="IQ_NON_INT_INC_1YR_ANN_GROWTH" hidden="1">"c804"</definedName>
    <definedName name="IQ_NON_INT_INC_2YR_ANN_GROWTH" hidden="1">"c805"</definedName>
    <definedName name="IQ_NON_INT_INC_3YR_ANN_GROWTH" hidden="1">"c806"</definedName>
    <definedName name="IQ_NON_INT_INC_5YR_ANN_GROWTH" hidden="1">"c807"</definedName>
    <definedName name="IQ_NON_INT_INC_7YR_ANN_GROWTH" hidden="1">"c808"</definedName>
    <definedName name="IQ_NON_INTEREST_EXP" hidden="1">"c1400"</definedName>
    <definedName name="IQ_NON_INTEREST_INC" hidden="1">"c1401"</definedName>
    <definedName name="IQ_NON_OPER_EXP" hidden="1">"c809"</definedName>
    <definedName name="IQ_NON_OPER_INC" hidden="1">"c810"</definedName>
    <definedName name="IQ_NON_PERF_ASSETS_10YR_ANN_GROWTH" hidden="1">"c811"</definedName>
    <definedName name="IQ_NON_PERF_ASSETS_1YR_ANN_GROWTH" hidden="1">"c812"</definedName>
    <definedName name="IQ_NON_PERF_ASSETS_2YR_ANN_GROWTH" hidden="1">"c813"</definedName>
    <definedName name="IQ_NON_PERF_ASSETS_3YR_ANN_GROWTH" hidden="1">"c814"</definedName>
    <definedName name="IQ_NON_PERF_ASSETS_5YR_ANN_GROWTH" hidden="1">"c815"</definedName>
    <definedName name="IQ_NON_PERF_ASSETS_7YR_ANN_GROWTH" hidden="1">"c816"</definedName>
    <definedName name="IQ_NON_PERF_ASSETS_TOTAL_ASSETS" hidden="1">"c817"</definedName>
    <definedName name="IQ_NON_PERF_LOANS_10YR_ANN_GROWTH" hidden="1">"c818"</definedName>
    <definedName name="IQ_NON_PERF_LOANS_1YR_ANN_GROWTH" hidden="1">"c819"</definedName>
    <definedName name="IQ_NON_PERF_LOANS_2YR_ANN_GROWTH" hidden="1">"c820"</definedName>
    <definedName name="IQ_NON_PERF_LOANS_3YR_ANN_GROWTH" hidden="1">"c821"</definedName>
    <definedName name="IQ_NON_PERF_LOANS_5YR_ANN_GROWTH" hidden="1">"c822"</definedName>
    <definedName name="IQ_NON_PERF_LOANS_7YR_ANN_GROWTH" hidden="1">"c823"</definedName>
    <definedName name="IQ_NON_PERF_LOANS_TOTAL_ASSETS" hidden="1">"c824"</definedName>
    <definedName name="IQ_NON_PERF_LOANS_TOTAL_LOANS" hidden="1">"c825"</definedName>
    <definedName name="IQ_NON_PERFORMING_ASSETS" hidden="1">"c826"</definedName>
    <definedName name="IQ_NON_PERFORMING_LOANS" hidden="1">"c827"</definedName>
    <definedName name="IQ_NONCASH_PENSION_EXP" hidden="1">"c3000"</definedName>
    <definedName name="IQ_NONRECOURSE_DEBT" hidden="1">"c2550"</definedName>
    <definedName name="IQ_NONRECOURSE_DEBT_PCT" hidden="1">"c2551"</definedName>
    <definedName name="IQ_NONUTIL_REV" hidden="1">"c2089"</definedName>
    <definedName name="IQ_NORM_EPS_ACT_OR_EST" hidden="1">"c2249"</definedName>
    <definedName name="IQ_NORMAL_INC_AFTER" hidden="1">"c1605"</definedName>
    <definedName name="IQ_NORMAL_INC_AVAIL" hidden="1">"c1606"</definedName>
    <definedName name="IQ_NORMAL_INC_BEFORE" hidden="1">"c1607"</definedName>
    <definedName name="IQ_NOTES_PAY" hidden="1">"c1423"</definedName>
    <definedName name="IQ_NOW_ACCOUNT" hidden="1">"c828"</definedName>
    <definedName name="IQ_NPPE" hidden="1">"c829"</definedName>
    <definedName name="IQ_NPPE_10YR_ANN_GROWTH" hidden="1">"c830"</definedName>
    <definedName name="IQ_NPPE_1YR_ANN_GROWTH" hidden="1">"c831"</definedName>
    <definedName name="IQ_NPPE_2YR_ANN_GROWTH" hidden="1">"c832"</definedName>
    <definedName name="IQ_NPPE_3YR_ANN_GROWTH" hidden="1">"c833"</definedName>
    <definedName name="IQ_NPPE_5YR_ANN_GROWTH" hidden="1">"c834"</definedName>
    <definedName name="IQ_NPPE_7YR_ANN_GROWTH" hidden="1">"c835"</definedName>
    <definedName name="IQ_NTM" hidden="1">6000</definedName>
    <definedName name="IQ_NUKE" hidden="1">"c836"</definedName>
    <definedName name="IQ_NUKE_CF" hidden="1">"c837"</definedName>
    <definedName name="IQ_NUKE_CONTR" hidden="1">"c838"</definedName>
    <definedName name="IQ_NUM_BRANCHES" hidden="1">"c2088"</definedName>
    <definedName name="IQ_NUMBER_ADRHOLDERS" hidden="1">"c1970"</definedName>
    <definedName name="IQ_NUMBER_DAYS" hidden="1">"c1904"</definedName>
    <definedName name="IQ_NUMBER_SHAREHOLDERS" hidden="1">"c1967"</definedName>
    <definedName name="IQ_NUMBER_SHAREHOLDERS_CLASSA" hidden="1">"c1968"</definedName>
    <definedName name="IQ_NUMBER_SHAREHOLDERS_OTHER" hidden="1">"c1969"</definedName>
    <definedName name="IQ_OCCUPY_EXP" hidden="1">"c839"</definedName>
    <definedName name="IQ_OFFER_AMOUNT" hidden="1">"c2152"</definedName>
    <definedName name="IQ_OFFER_COUPON" hidden="1">"c2147"</definedName>
    <definedName name="IQ_OFFER_COUPON_TYPE" hidden="1">"c2148"</definedName>
    <definedName name="IQ_OFFER_DATE" hidden="1">"c2149"</definedName>
    <definedName name="IQ_OFFER_PRICE" hidden="1">"c2150"</definedName>
    <definedName name="IQ_OFFER_YIELD" hidden="1">"c2151"</definedName>
    <definedName name="IQ_OG_10DISC" hidden="1">"c1998"</definedName>
    <definedName name="IQ_OG_10DISC_GAS" hidden="1">"c2018"</definedName>
    <definedName name="IQ_OG_10DISC_OIL" hidden="1">"c2008"</definedName>
    <definedName name="IQ_OG_ACQ_COST_PROVED" hidden="1">"c1975"</definedName>
    <definedName name="IQ_OG_ACQ_COST_PROVED_GAS" hidden="1">"c1987"</definedName>
    <definedName name="IQ_OG_ACQ_COST_PROVED_OIL" hidden="1">"c1981"</definedName>
    <definedName name="IQ_OG_ACQ_COST_UNPROVED" hidden="1">"c1976"</definedName>
    <definedName name="IQ_OG_ACQ_COST_UNPROVED_GAS" hidden="1">"c1988"</definedName>
    <definedName name="IQ_OG_ACQ_COST_UNPROVED_OIL" hidden="1">"c1982"</definedName>
    <definedName name="IQ_OG_AVG_DAILY_PROD_GAS" hidden="1">"c2910"</definedName>
    <definedName name="IQ_OG_AVG_DAILY_PROD_NGL" hidden="1">"c2911"</definedName>
    <definedName name="IQ_OG_AVG_DAILY_PROD_OIL" hidden="1">"c2909"</definedName>
    <definedName name="IQ_OG_CLOSE_BALANCE_GAS" hidden="1">"c2049"</definedName>
    <definedName name="IQ_OG_CLOSE_BALANCE_NGL" hidden="1">"c2920"</definedName>
    <definedName name="IQ_OG_CLOSE_BALANCE_OIL" hidden="1">"c2037"</definedName>
    <definedName name="IQ_OG_DCF_BEFORE_TAXES" hidden="1">"c2023"</definedName>
    <definedName name="IQ_OG_DCF_BEFORE_TAXES_GAS" hidden="1">"c2025"</definedName>
    <definedName name="IQ_OG_DCF_BEFORE_TAXES_OIL" hidden="1">"c2024"</definedName>
    <definedName name="IQ_OG_DEVELOPED_RESERVES_GAS" hidden="1">"c2053"</definedName>
    <definedName name="IQ_OG_DEVELOPED_RESERVES_NGL" hidden="1">"c2922"</definedName>
    <definedName name="IQ_OG_DEVELOPED_RESERVES_OIL" hidden="1">"c2054"</definedName>
    <definedName name="IQ_OG_DEVELOPMENT_COSTS" hidden="1">"c1978"</definedName>
    <definedName name="IQ_OG_DEVELOPMENT_COSTS_GAS" hidden="1">"c1990"</definedName>
    <definedName name="IQ_OG_DEVELOPMENT_COSTS_OIL" hidden="1">"c1984"</definedName>
    <definedName name="IQ_OG_EQUITY_DCF" hidden="1">"c2002"</definedName>
    <definedName name="IQ_OG_EQUITY_DCF_GAS" hidden="1">"c2022"</definedName>
    <definedName name="IQ_OG_EQUITY_DCF_OIL" hidden="1">"c2012"</definedName>
    <definedName name="IQ_OG_EQUTY_RESERVES_GAS" hidden="1">"c2050"</definedName>
    <definedName name="IQ_OG_EQUTY_RESERVES_NGL" hidden="1">"c2921"</definedName>
    <definedName name="IQ_OG_EQUTY_RESERVES_OIL" hidden="1">"c2038"</definedName>
    <definedName name="IQ_OG_EXPLORATION_COSTS" hidden="1">"c1977"</definedName>
    <definedName name="IQ_OG_EXPLORATION_COSTS_GAS" hidden="1">"c1989"</definedName>
    <definedName name="IQ_OG_EXPLORATION_COSTS_OIL" hidden="1">"c1983"</definedName>
    <definedName name="IQ_OG_EXT_DISC_GAS" hidden="1">"c2043"</definedName>
    <definedName name="IQ_OG_EXT_DISC_NGL" hidden="1">"c2914"</definedName>
    <definedName name="IQ_OG_EXT_DISC_OIL" hidden="1">"c2031"</definedName>
    <definedName name="IQ_OG_FUTURE_CASH_INFLOWS" hidden="1">"c1993"</definedName>
    <definedName name="IQ_OG_FUTURE_CASH_INFLOWS_GAS" hidden="1">"c2013"</definedName>
    <definedName name="IQ_OG_FUTURE_CASH_INFLOWS_OIL" hidden="1">"c2003"</definedName>
    <definedName name="IQ_OG_FUTURE_DEVELOPMENT_COSTS" hidden="1">"c1995"</definedName>
    <definedName name="IQ_OG_FUTURE_DEVELOPMENT_COSTS_GAS" hidden="1">"c2015"</definedName>
    <definedName name="IQ_OG_FUTURE_DEVELOPMENT_COSTS_OIL" hidden="1">"c2005"</definedName>
    <definedName name="IQ_OG_FUTURE_INC_TAXES" hidden="1">"c1997"</definedName>
    <definedName name="IQ_OG_FUTURE_INC_TAXES_GAS" hidden="1">"c2017"</definedName>
    <definedName name="IQ_OG_FUTURE_INC_TAXES_OIL" hidden="1">"c2007"</definedName>
    <definedName name="IQ_OG_FUTURE_PRODUCTION_COSTS" hidden="1">"c1994"</definedName>
    <definedName name="IQ_OG_FUTURE_PRODUCTION_COSTS_GAS" hidden="1">"c2014"</definedName>
    <definedName name="IQ_OG_FUTURE_PRODUCTION_COSTS_OIL" hidden="1">"c2004"</definedName>
    <definedName name="IQ_OG_GAS_PRICE_HEDGED" hidden="1">"c2056"</definedName>
    <definedName name="IQ_OG_GAS_PRICE_UNHEDGED" hidden="1">"c2058"</definedName>
    <definedName name="IQ_OG_IMPROVED_RECOVERY_GAS" hidden="1">"c2044"</definedName>
    <definedName name="IQ_OG_IMPROVED_RECOVERY_NGL" hidden="1">"c2915"</definedName>
    <definedName name="IQ_OG_IMPROVED_RECOVERY_OIL" hidden="1">"c2032"</definedName>
    <definedName name="IQ_OG_LIQUID_GAS_PRICE_HEDGED" hidden="1">"c2233"</definedName>
    <definedName name="IQ_OG_LIQUID_GAS_PRICE_UNHEDGED" hidden="1">"c2234"</definedName>
    <definedName name="IQ_OG_NET_FUTURE_CASH_FLOWS" hidden="1">"c1996"</definedName>
    <definedName name="IQ_OG_NET_FUTURE_CASH_FLOWS_GAS" hidden="1">"c2016"</definedName>
    <definedName name="IQ_OG_NET_FUTURE_CASH_FLOWS_OIL" hidden="1">"c2006"</definedName>
    <definedName name="IQ_OG_OIL_PRICE_HEDGED" hidden="1">"c2055"</definedName>
    <definedName name="IQ_OG_OIL_PRICE_UNHEDGED" hidden="1">"c2057"</definedName>
    <definedName name="IQ_OG_OPEN_BALANCE_GAS" hidden="1">"c2041"</definedName>
    <definedName name="IQ_OG_OPEN_BALANCE_NGL" hidden="1">"c2912"</definedName>
    <definedName name="IQ_OG_OPEN_BALANCE_OIL" hidden="1">"c2029"</definedName>
    <definedName name="IQ_OG_OTHER_ADJ_FCF" hidden="1">"c1999"</definedName>
    <definedName name="IQ_OG_OTHER_ADJ_FCF_GAS" hidden="1">"c2019"</definedName>
    <definedName name="IQ_OG_OTHER_ADJ_FCF_OIL" hidden="1">"c2009"</definedName>
    <definedName name="IQ_OG_OTHER_ADJ_GAS" hidden="1">"c2048"</definedName>
    <definedName name="IQ_OG_OTHER_ADJ_NGL" hidden="1">"c2919"</definedName>
    <definedName name="IQ_OG_OTHER_ADJ_OIL" hidden="1">"c2036"</definedName>
    <definedName name="IQ_OG_OTHER_COSTS" hidden="1">"c1979"</definedName>
    <definedName name="IQ_OG_OTHER_COSTS_GAS" hidden="1">"c1991"</definedName>
    <definedName name="IQ_OG_OTHER_COSTS_OIL" hidden="1">"c1985"</definedName>
    <definedName name="IQ_OG_PRODUCTION_GAS" hidden="1">"c2047"</definedName>
    <definedName name="IQ_OG_PRODUCTION_NGL" hidden="1">"c2918"</definedName>
    <definedName name="IQ_OG_PRODUCTION_OIL" hidden="1">"c2035"</definedName>
    <definedName name="IQ_OG_PURCHASES_GAS" hidden="1">"c2045"</definedName>
    <definedName name="IQ_OG_PURCHASES_NGL" hidden="1">"c2916"</definedName>
    <definedName name="IQ_OG_PURCHASES_OIL" hidden="1">"c2033"</definedName>
    <definedName name="IQ_OG_REVISIONS_GAS" hidden="1">"c2042"</definedName>
    <definedName name="IQ_OG_REVISIONS_NGL" hidden="1">"c2913"</definedName>
    <definedName name="IQ_OG_REVISIONS_OIL" hidden="1">"c2030"</definedName>
    <definedName name="IQ_OG_SALES_IN_PLACE_GAS" hidden="1">"c2046"</definedName>
    <definedName name="IQ_OG_SALES_IN_PLACE_NGL" hidden="1">"c2917"</definedName>
    <definedName name="IQ_OG_SALES_IN_PLACE_OIL" hidden="1">"c2034"</definedName>
    <definedName name="IQ_OG_STANDARDIZED_DCF" hidden="1">"c2000"</definedName>
    <definedName name="IQ_OG_STANDARDIZED_DCF_GAS" hidden="1">"c2020"</definedName>
    <definedName name="IQ_OG_STANDARDIZED_DCF_HEDGED" hidden="1">"c2001"</definedName>
    <definedName name="IQ_OG_STANDARDIZED_DCF_HEDGED_GAS" hidden="1">"c2021"</definedName>
    <definedName name="IQ_OG_STANDARDIZED_DCF_HEDGED_OIL" hidden="1">"c2011"</definedName>
    <definedName name="IQ_OG_STANDARDIZED_DCF_OIL" hidden="1">"c2010"</definedName>
    <definedName name="IQ_OG_TAXES" hidden="1">"c2026"</definedName>
    <definedName name="IQ_OG_TAXES_GAS" hidden="1">"c2028"</definedName>
    <definedName name="IQ_OG_TAXES_OIL" hidden="1">"c2027"</definedName>
    <definedName name="IQ_OG_TOTAL_COSTS" hidden="1">"c1980"</definedName>
    <definedName name="IQ_OG_TOTAL_COSTS_GAS" hidden="1">"c1992"</definedName>
    <definedName name="IQ_OG_TOTAL_COSTS_OIL" hidden="1">"c1986"</definedName>
    <definedName name="IQ_OG_TOTAL_EST_PROVED_RESERVES_GAS" hidden="1">"c2052"</definedName>
    <definedName name="IQ_OG_TOTAL_GAS_PRODUCTION" hidden="1">"c2060"</definedName>
    <definedName name="IQ_OG_TOTAL_LIQUID_GAS_PRODUCTION" hidden="1">"c2235"</definedName>
    <definedName name="IQ_OG_TOTAL_OIL_PRODUCTION" hidden="1">"c2059"</definedName>
    <definedName name="IQ_OG_TOTAL_OIL_PRODUCTON" hidden="1">"c2059"</definedName>
    <definedName name="IQ_OG_UNDEVELOPED_RESERVES_GAS" hidden="1">"c2051"</definedName>
    <definedName name="IQ_OG_UNDEVELOPED_RESERVES_NGL" hidden="1">"c2923"</definedName>
    <definedName name="IQ_OG_UNDEVELOPED_RESERVES_OIL" hidden="1">"c2039"</definedName>
    <definedName name="IQ_OIL_IMPAIR" hidden="1">"c840"</definedName>
    <definedName name="IQ_OL_COMM_AFTER_FIVE" hidden="1">"c841"</definedName>
    <definedName name="IQ_OL_COMM_CY" hidden="1">"c842"</definedName>
    <definedName name="IQ_OL_COMM_CY1" hidden="1">"c843"</definedName>
    <definedName name="IQ_OL_COMM_CY2" hidden="1">"c844"</definedName>
    <definedName name="IQ_OL_COMM_CY3" hidden="1">"c845"</definedName>
    <definedName name="IQ_OL_COMM_CY4" hidden="1">"c846"</definedName>
    <definedName name="IQ_OL_COMM_NEXT_FIVE" hidden="1">"c847"</definedName>
    <definedName name="IQ_OPEB_ACCRUED_LIAB" hidden="1">"c3308"</definedName>
    <definedName name="IQ_OPEB_ACCRUED_LIAB_DOM" hidden="1">"c3306"</definedName>
    <definedName name="IQ_OPEB_ACCRUED_LIAB_FOREIGN" hidden="1">"c3307"</definedName>
    <definedName name="IQ_OPEB_ACCUM_OTHER_CI" hidden="1">"c3314"</definedName>
    <definedName name="IQ_OPEB_ACCUM_OTHER_CI_DOM" hidden="1">"c3312"</definedName>
    <definedName name="IQ_OPEB_ACCUM_OTHER_CI_FOREIGN" hidden="1">"c3313"</definedName>
    <definedName name="IQ_OPEB_ASSETS" hidden="1">"c3356"</definedName>
    <definedName name="IQ_OPEB_ASSETS_ACQ" hidden="1">"c3347"</definedName>
    <definedName name="IQ_OPEB_ASSETS_ACQ_DOM" hidden="1">"c3345"</definedName>
    <definedName name="IQ_OPEB_ASSETS_ACQ_FOREIGN" hidden="1">"c3346"</definedName>
    <definedName name="IQ_OPEB_ASSETS_ACTUAL_RETURN" hidden="1">"c3332"</definedName>
    <definedName name="IQ_OPEB_ASSETS_ACTUAL_RETURN_DOM" hidden="1">"c3330"</definedName>
    <definedName name="IQ_OPEB_ASSETS_ACTUAL_RETURN_FOREIGN" hidden="1">"c3331"</definedName>
    <definedName name="IQ_OPEB_ASSETS_BEG" hidden="1">"c3329"</definedName>
    <definedName name="IQ_OPEB_ASSETS_BEG_DOM" hidden="1">"c3327"</definedName>
    <definedName name="IQ_OPEB_ASSETS_BEG_FOREIGN" hidden="1">"c3328"</definedName>
    <definedName name="IQ_OPEB_ASSETS_BENEFITS_PAID" hidden="1">"c3341"</definedName>
    <definedName name="IQ_OPEB_ASSETS_BENEFITS_PAID_DOM" hidden="1">"c3339"</definedName>
    <definedName name="IQ_OPEB_ASSETS_BENEFITS_PAID_FOREIGN" hidden="1">"c3340"</definedName>
    <definedName name="IQ_OPEB_ASSETS_CURTAIL" hidden="1">"c3350"</definedName>
    <definedName name="IQ_OPEB_ASSETS_CURTAIL_DOM" hidden="1">"c3348"</definedName>
    <definedName name="IQ_OPEB_ASSETS_CURTAIL_FOREIGN" hidden="1">"c3349"</definedName>
    <definedName name="IQ_OPEB_ASSETS_DOM" hidden="1">"c3354"</definedName>
    <definedName name="IQ_OPEB_ASSETS_EMPLOYER_CONTRIBUTIONS" hidden="1">"c3335"</definedName>
    <definedName name="IQ_OPEB_ASSETS_EMPLOYER_CONTRIBUTIONS_DOM" hidden="1">"c3333"</definedName>
    <definedName name="IQ_OPEB_ASSETS_EMPLOYER_CONTRIBUTIONS_FOREIGN" hidden="1">"c3334"</definedName>
    <definedName name="IQ_OPEB_ASSETS_FOREIGN" hidden="1">"c3355"</definedName>
    <definedName name="IQ_OPEB_ASSETS_FX_ADJ" hidden="1">"c3344"</definedName>
    <definedName name="IQ_OPEB_ASSETS_FX_ADJ_DOM" hidden="1">"c3342"</definedName>
    <definedName name="IQ_OPEB_ASSETS_FX_ADJ_FOREIGN" hidden="1">"c3343"</definedName>
    <definedName name="IQ_OPEB_ASSETS_OTHER_PLAN_ADJ" hidden="1">"c3353"</definedName>
    <definedName name="IQ_OPEB_ASSETS_OTHER_PLAN_ADJ_DOM" hidden="1">"c3351"</definedName>
    <definedName name="IQ_OPEB_ASSETS_OTHER_PLAN_ADJ_FOREIGN" hidden="1">"c3352"</definedName>
    <definedName name="IQ_OPEB_ASSETS_PARTICIP_CONTRIBUTIONS" hidden="1">"c3338"</definedName>
    <definedName name="IQ_OPEB_ASSETS_PARTICIP_CONTRIBUTIONS_DOM" hidden="1">"c3336"</definedName>
    <definedName name="IQ_OPEB_ASSETS_PARTICIP_CONTRIBUTIONS_FOREIGN" hidden="1">"c3337"</definedName>
    <definedName name="IQ_OPEB_BENEFIT_INFO_DATE" hidden="1">"c3410"</definedName>
    <definedName name="IQ_OPEB_BENEFIT_INFO_DATE_DOM" hidden="1">"c3408"</definedName>
    <definedName name="IQ_OPEB_BENEFIT_INFO_DATE_FOREIGN" hidden="1">"c3409"</definedName>
    <definedName name="IQ_OPEB_BREAKDOWN_EQ" hidden="1">"c3275"</definedName>
    <definedName name="IQ_OPEB_BREAKDOWN_EQ_DOM" hidden="1">"c3273"</definedName>
    <definedName name="IQ_OPEB_BREAKDOWN_EQ_FOREIGN" hidden="1">"c3274"</definedName>
    <definedName name="IQ_OPEB_BREAKDOWN_FI" hidden="1">"c3278"</definedName>
    <definedName name="IQ_OPEB_BREAKDOWN_FI_DOM" hidden="1">"c3276"</definedName>
    <definedName name="IQ_OPEB_BREAKDOWN_FI_FOREIGN" hidden="1">"c3277"</definedName>
    <definedName name="IQ_OPEB_BREAKDOWN_OTHER" hidden="1">"c3284"</definedName>
    <definedName name="IQ_OPEB_BREAKDOWN_OTHER_DOM" hidden="1">"c3282"</definedName>
    <definedName name="IQ_OPEB_BREAKDOWN_OTHER_FOREIGN" hidden="1">"c3283"</definedName>
    <definedName name="IQ_OPEB_BREAKDOWN_PCT_EQ" hidden="1">"c3263"</definedName>
    <definedName name="IQ_OPEB_BREAKDOWN_PCT_EQ_DOM" hidden="1">"c3261"</definedName>
    <definedName name="IQ_OPEB_BREAKDOWN_PCT_EQ_FOREIGN" hidden="1">"c3262"</definedName>
    <definedName name="IQ_OPEB_BREAKDOWN_PCT_FI" hidden="1">"c3266"</definedName>
    <definedName name="IQ_OPEB_BREAKDOWN_PCT_FI_DOM" hidden="1">"c3264"</definedName>
    <definedName name="IQ_OPEB_BREAKDOWN_PCT_FI_FOREIGN" hidden="1">"c3265"</definedName>
    <definedName name="IQ_OPEB_BREAKDOWN_PCT_OTHER" hidden="1">"c3272"</definedName>
    <definedName name="IQ_OPEB_BREAKDOWN_PCT_OTHER_DOM" hidden="1">"c3270"</definedName>
    <definedName name="IQ_OPEB_BREAKDOWN_PCT_OTHER_FOREIGN" hidden="1">"c3271"</definedName>
    <definedName name="IQ_OPEB_BREAKDOWN_PCT_RE" hidden="1">"c3269"</definedName>
    <definedName name="IQ_OPEB_BREAKDOWN_PCT_RE_DOM" hidden="1">"c3267"</definedName>
    <definedName name="IQ_OPEB_BREAKDOWN_PCT_RE_FOREIGN" hidden="1">"c3268"</definedName>
    <definedName name="IQ_OPEB_BREAKDOWN_RE" hidden="1">"c3281"</definedName>
    <definedName name="IQ_OPEB_BREAKDOWN_RE_DOM" hidden="1">"c3279"</definedName>
    <definedName name="IQ_OPEB_BREAKDOWN_RE_FOREIGN" hidden="1">"c3280"</definedName>
    <definedName name="IQ_OPEB_DECREASE_EFFECT_PBO" hidden="1">"c3458"</definedName>
    <definedName name="IQ_OPEB_DECREASE_EFFECT_PBO_DOM" hidden="1">"c3456"</definedName>
    <definedName name="IQ_OPEB_DECREASE_EFFECT_PBO_FOREIGN" hidden="1">"c3457"</definedName>
    <definedName name="IQ_OPEB_DECREASE_EFFECT_SERVICE_INT_COST" hidden="1">"c3455"</definedName>
    <definedName name="IQ_OPEB_DECREASE_EFFECT_SERVICE_INT_COST_DOM" hidden="1">"c3453"</definedName>
    <definedName name="IQ_OPEB_DECREASE_EFFECT_SERVICE_INT_COST_FOREIGN" hidden="1">"c3454"</definedName>
    <definedName name="IQ_OPEB_DISC_RATE_MAX" hidden="1">"c3422"</definedName>
    <definedName name="IQ_OPEB_DISC_RATE_MAX_DOM" hidden="1">"c3420"</definedName>
    <definedName name="IQ_OPEB_DISC_RATE_MAX_FOREIGN" hidden="1">"c3421"</definedName>
    <definedName name="IQ_OPEB_DISC_RATE_MIN" hidden="1">"c3419"</definedName>
    <definedName name="IQ_OPEB_DISC_RATE_MIN_DOM" hidden="1">"c3417"</definedName>
    <definedName name="IQ_OPEB_DISC_RATE_MIN_FOREIGN" hidden="1">"c3418"</definedName>
    <definedName name="IQ_OPEB_EST_BENEFIT_1YR" hidden="1">"c3287"</definedName>
    <definedName name="IQ_OPEB_EST_BENEFIT_1YR_DOM" hidden="1">"c3285"</definedName>
    <definedName name="IQ_OPEB_EST_BENEFIT_1YR_FOREIGN" hidden="1">"c3286"</definedName>
    <definedName name="IQ_OPEB_EST_BENEFIT_2YR" hidden="1">"c3290"</definedName>
    <definedName name="IQ_OPEB_EST_BENEFIT_2YR_DOM" hidden="1">"c3288"</definedName>
    <definedName name="IQ_OPEB_EST_BENEFIT_2YR_FOREIGN" hidden="1">"c3289"</definedName>
    <definedName name="IQ_OPEB_EST_BENEFIT_3YR" hidden="1">"c3293"</definedName>
    <definedName name="IQ_OPEB_EST_BENEFIT_3YR_DOM" hidden="1">"c3291"</definedName>
    <definedName name="IQ_OPEB_EST_BENEFIT_3YR_FOREIGN" hidden="1">"c3292"</definedName>
    <definedName name="IQ_OPEB_EST_BENEFIT_4YR" hidden="1">"c3296"</definedName>
    <definedName name="IQ_OPEB_EST_BENEFIT_4YR_DOM" hidden="1">"c3294"</definedName>
    <definedName name="IQ_OPEB_EST_BENEFIT_4YR_FOREIGN" hidden="1">"c3295"</definedName>
    <definedName name="IQ_OPEB_EST_BENEFIT_5YR" hidden="1">"c3299"</definedName>
    <definedName name="IQ_OPEB_EST_BENEFIT_5YR_DOM" hidden="1">"c3297"</definedName>
    <definedName name="IQ_OPEB_EST_BENEFIT_5YR_FOREIGN" hidden="1">"c3298"</definedName>
    <definedName name="IQ_OPEB_EST_BENEFIT_AFTER5" hidden="1">"c3302"</definedName>
    <definedName name="IQ_OPEB_EST_BENEFIT_AFTER5_DOM" hidden="1">"c3300"</definedName>
    <definedName name="IQ_OPEB_EST_BENEFIT_AFTER5_FOREIGN" hidden="1">"c3301"</definedName>
    <definedName name="IQ_OPEB_EXP_RATE_RETURN_MAX" hidden="1">"c3434"</definedName>
    <definedName name="IQ_OPEB_EXP_RATE_RETURN_MAX_DOM" hidden="1">"c3432"</definedName>
    <definedName name="IQ_OPEB_EXP_RATE_RETURN_MAX_FOREIGN" hidden="1">"c3433"</definedName>
    <definedName name="IQ_OPEB_EXP_RATE_RETURN_MIN" hidden="1">"c3431"</definedName>
    <definedName name="IQ_OPEB_EXP_RATE_RETURN_MIN_DOM" hidden="1">"c3429"</definedName>
    <definedName name="IQ_OPEB_EXP_RATE_RETURN_MIN_FOREIGN" hidden="1">"c3430"</definedName>
    <definedName name="IQ_OPEB_EXP_RETURN" hidden="1">"c3398"</definedName>
    <definedName name="IQ_OPEB_EXP_RETURN_DOM" hidden="1">"c3396"</definedName>
    <definedName name="IQ_OPEB_EXP_RETURN_FOREIGN" hidden="1">"c3397"</definedName>
    <definedName name="IQ_OPEB_HEALTH_COST_TREND_INITIAL" hidden="1">"c3413"</definedName>
    <definedName name="IQ_OPEB_HEALTH_COST_TREND_INITIAL_DOM" hidden="1">"c3411"</definedName>
    <definedName name="IQ_OPEB_HEALTH_COST_TREND_INITIAL_FOREIGN" hidden="1">"c3412"</definedName>
    <definedName name="IQ_OPEB_HEALTH_COST_TREND_ULTIMATE" hidden="1">"c3416"</definedName>
    <definedName name="IQ_OPEB_HEALTH_COST_TREND_ULTIMATE_DOM" hidden="1">"c3414"</definedName>
    <definedName name="IQ_OPEB_HEALTH_COST_TREND_ULTIMATE_FOREIGN" hidden="1">"c3415"</definedName>
    <definedName name="IQ_OPEB_INCREASE_EFFECT_PBO" hidden="1">"c3452"</definedName>
    <definedName name="IQ_OPEB_INCREASE_EFFECT_PBO_DOM" hidden="1">"c3450"</definedName>
    <definedName name="IQ_OPEB_INCREASE_EFFECT_PBO_FOREIGN" hidden="1">"c3451"</definedName>
    <definedName name="IQ_OPEB_INCREASE_EFFECT_SERVICE_INT_COST" hidden="1">"c3449"</definedName>
    <definedName name="IQ_OPEB_INCREASE_EFFECT_SERVICE_INT_COST_DOM" hidden="1">"c3447"</definedName>
    <definedName name="IQ_OPEB_INCREASE_EFFECT_SERVICE_INT_COST_FOREIGN" hidden="1">"c3448"</definedName>
    <definedName name="IQ_OPEB_INTAN_ASSETS" hidden="1">"c3311"</definedName>
    <definedName name="IQ_OPEB_INTAN_ASSETS_DOM" hidden="1">"c3309"</definedName>
    <definedName name="IQ_OPEB_INTAN_ASSETS_FOREIGN" hidden="1">"c3310"</definedName>
    <definedName name="IQ_OPEB_INTEREST_COST" hidden="1">"c3395"</definedName>
    <definedName name="IQ_OPEB_INTEREST_COST_DOM" hidden="1">"c3393"</definedName>
    <definedName name="IQ_OPEB_INTEREST_COST_FOREIGN" hidden="1">"c3394"</definedName>
    <definedName name="IQ_OPEB_NET_ASSET_RECOG" hidden="1">"c3326"</definedName>
    <definedName name="IQ_OPEB_NET_ASSET_RECOG_DOM" hidden="1">"c3324"</definedName>
    <definedName name="IQ_OPEB_NET_ASSET_RECOG_FOREIGN" hidden="1">"c3325"</definedName>
    <definedName name="IQ_OPEB_OBLIGATION_ACCUMULATED" hidden="1">"c3407"</definedName>
    <definedName name="IQ_OPEB_OBLIGATION_ACCUMULATED_DOM" hidden="1">"c3405"</definedName>
    <definedName name="IQ_OPEB_OBLIGATION_ACCUMULATED_FOREIGN" hidden="1">"c3406"</definedName>
    <definedName name="IQ_OPEB_OBLIGATION_ACQ" hidden="1">"c3380"</definedName>
    <definedName name="IQ_OPEB_OBLIGATION_ACQ_DOM" hidden="1">"c3378"</definedName>
    <definedName name="IQ_OPEB_OBLIGATION_ACQ_FOREIGN" hidden="1">"c3379"</definedName>
    <definedName name="IQ_OPEB_OBLIGATION_ACTUARIAL_GAIN_LOSS" hidden="1">"c3371"</definedName>
    <definedName name="IQ_OPEB_OBLIGATION_ACTUARIAL_GAIN_LOSS_DOM" hidden="1">"c3369"</definedName>
    <definedName name="IQ_OPEB_OBLIGATION_ACTUARIAL_GAIN_LOSS_FOREIGN" hidden="1">"c3370"</definedName>
    <definedName name="IQ_OPEB_OBLIGATION_BEG" hidden="1">"c3359"</definedName>
    <definedName name="IQ_OPEB_OBLIGATION_BEG_DOM" hidden="1">"c3357"</definedName>
    <definedName name="IQ_OPEB_OBLIGATION_BEG_FOREIGN" hidden="1">"c3358"</definedName>
    <definedName name="IQ_OPEB_OBLIGATION_CURTAIL" hidden="1">"c3383"</definedName>
    <definedName name="IQ_OPEB_OBLIGATION_CURTAIL_DOM" hidden="1">"c3381"</definedName>
    <definedName name="IQ_OPEB_OBLIGATION_CURTAIL_FOREIGN" hidden="1">"c3382"</definedName>
    <definedName name="IQ_OPEB_OBLIGATION_EMPLOYEE_CONTRIBUTIONS" hidden="1">"c3368"</definedName>
    <definedName name="IQ_OPEB_OBLIGATION_EMPLOYEE_CONTRIBUTIONS_DOM" hidden="1">"c3366"</definedName>
    <definedName name="IQ_OPEB_OBLIGATION_EMPLOYEE_CONTRIBUTIONS_FOREIGN" hidden="1">"c3367"</definedName>
    <definedName name="IQ_OPEB_OBLIGATION_FX_ADJ" hidden="1">"c3377"</definedName>
    <definedName name="IQ_OPEB_OBLIGATION_FX_ADJ_DOM" hidden="1">"c3375"</definedName>
    <definedName name="IQ_OPEB_OBLIGATION_FX_ADJ_FOREIGN" hidden="1">"c3376"</definedName>
    <definedName name="IQ_OPEB_OBLIGATION_INTEREST_COST" hidden="1">"c3365"</definedName>
    <definedName name="IQ_OPEB_OBLIGATION_INTEREST_COST_DOM" hidden="1">"c3363"</definedName>
    <definedName name="IQ_OPEB_OBLIGATION_INTEREST_COST_FOREIGN" hidden="1">"c3364"</definedName>
    <definedName name="IQ_OPEB_OBLIGATION_OTHER_PLAN_ADJ" hidden="1">"c3386"</definedName>
    <definedName name="IQ_OPEB_OBLIGATION_OTHER_PLAN_ADJ_DOM" hidden="1">"c3384"</definedName>
    <definedName name="IQ_OPEB_OBLIGATION_OTHER_PLAN_ADJ_FOREIGN" hidden="1">"c3385"</definedName>
    <definedName name="IQ_OPEB_OBLIGATION_PAID" hidden="1">"c3374"</definedName>
    <definedName name="IQ_OPEB_OBLIGATION_PAID_DOM" hidden="1">"c3372"</definedName>
    <definedName name="IQ_OPEB_OBLIGATION_PAID_FOREIGN" hidden="1">"c3373"</definedName>
    <definedName name="IQ_OPEB_OBLIGATION_PROJECTED" hidden="1">"c3389"</definedName>
    <definedName name="IQ_OPEB_OBLIGATION_PROJECTED_DOM" hidden="1">"c3387"</definedName>
    <definedName name="IQ_OPEB_OBLIGATION_PROJECTED_FOREIGN" hidden="1">"c3388"</definedName>
    <definedName name="IQ_OPEB_OBLIGATION_SERVICE_COST" hidden="1">"c3362"</definedName>
    <definedName name="IQ_OPEB_OBLIGATION_SERVICE_COST_DOM" hidden="1">"c3360"</definedName>
    <definedName name="IQ_OPEB_OBLIGATION_SERVICE_COST_FOREIGN" hidden="1">"c3361"</definedName>
    <definedName name="IQ_OPEB_OTHER" hidden="1">"c3317"</definedName>
    <definedName name="IQ_OPEB_OTHER_ADJ" hidden="1">"c3323"</definedName>
    <definedName name="IQ_OPEB_OTHER_ADJ_DOM" hidden="1">"c3321"</definedName>
    <definedName name="IQ_OPEB_OTHER_ADJ_FOREIGN" hidden="1">"c3322"</definedName>
    <definedName name="IQ_OPEB_OTHER_COST" hidden="1">"c3401"</definedName>
    <definedName name="IQ_OPEB_OTHER_COST_DOM" hidden="1">"c3399"</definedName>
    <definedName name="IQ_OPEB_OTHER_COST_FOREIGN" hidden="1">"c3400"</definedName>
    <definedName name="IQ_OPEB_OTHER_DOM" hidden="1">"c3315"</definedName>
    <definedName name="IQ_OPEB_OTHER_FOREIGN" hidden="1">"c3316"</definedName>
    <definedName name="IQ_OPEB_PBO_ASSUMED_RATE_RET_MAX" hidden="1">"c3440"</definedName>
    <definedName name="IQ_OPEB_PBO_ASSUMED_RATE_RET_MAX_DOM" hidden="1">"c3438"</definedName>
    <definedName name="IQ_OPEB_PBO_ASSUMED_RATE_RET_MAX_FOREIGN" hidden="1">"c3439"</definedName>
    <definedName name="IQ_OPEB_PBO_ASSUMED_RATE_RET_MIN" hidden="1">"c3437"</definedName>
    <definedName name="IQ_OPEB_PBO_ASSUMED_RATE_RET_MIN_DOM" hidden="1">"c3435"</definedName>
    <definedName name="IQ_OPEB_PBO_ASSUMED_RATE_RET_MIN_FOREIGN" hidden="1">"c3436"</definedName>
    <definedName name="IQ_OPEB_PBO_RATE_COMP_INCREASE_MAX" hidden="1">"c3446"</definedName>
    <definedName name="IQ_OPEB_PBO_RATE_COMP_INCREASE_MAX_DOM" hidden="1">"c3444"</definedName>
    <definedName name="IQ_OPEB_PBO_RATE_COMP_INCREASE_MAX_FOREIGN" hidden="1">"c3445"</definedName>
    <definedName name="IQ_OPEB_PBO_RATE_COMP_INCREASE_MIN" hidden="1">"c3443"</definedName>
    <definedName name="IQ_OPEB_PBO_RATE_COMP_INCREASE_MIN_DOM" hidden="1">"c3441"</definedName>
    <definedName name="IQ_OPEB_PBO_RATE_COMP_INCREASE_MIN_FOREIGN" hidden="1">"c3442"</definedName>
    <definedName name="IQ_OPEB_PREPAID_COST" hidden="1">"c3305"</definedName>
    <definedName name="IQ_OPEB_PREPAID_COST_DOM" hidden="1">"c3303"</definedName>
    <definedName name="IQ_OPEB_PREPAID_COST_FOREIGN" hidden="1">"c3304"</definedName>
    <definedName name="IQ_OPEB_RATE_COMP_INCREASE_MAX" hidden="1">"c3428"</definedName>
    <definedName name="IQ_OPEB_RATE_COMP_INCREASE_MAX_DOM" hidden="1">"c3426"</definedName>
    <definedName name="IQ_OPEB_RATE_COMP_INCREASE_MAX_FOREIGN" hidden="1">"c3427"</definedName>
    <definedName name="IQ_OPEB_RATE_COMP_INCREASE_MIN" hidden="1">"c3425"</definedName>
    <definedName name="IQ_OPEB_RATE_COMP_INCREASE_MIN_DOM" hidden="1">"c3423"</definedName>
    <definedName name="IQ_OPEB_RATE_COMP_INCREASE_MIN_FOREIGN" hidden="1">"c3424"</definedName>
    <definedName name="IQ_OPEB_SERVICE_COST" hidden="1">"c3392"</definedName>
    <definedName name="IQ_OPEB_SERVICE_COST_DOM" hidden="1">"c3390"</definedName>
    <definedName name="IQ_OPEB_SERVICE_COST_FOREIGN" hidden="1">"c3391"</definedName>
    <definedName name="IQ_OPEB_TOTAL_COST" hidden="1">"c3404"</definedName>
    <definedName name="IQ_OPEB_TOTAL_COST_DOM" hidden="1">"c3402"</definedName>
    <definedName name="IQ_OPEB_TOTAL_COST_FOREIGN" hidden="1">"c3403"</definedName>
    <definedName name="IQ_OPEB_UNRECOG_PRIOR" hidden="1">"c3320"</definedName>
    <definedName name="IQ_OPEB_UNRECOG_PRIOR_DOM" hidden="1">"c3318"</definedName>
    <definedName name="IQ_OPEB_UNRECOG_PRIOR_FOREIGN" hidden="1">"c3319"</definedName>
    <definedName name="IQ_OPENPRICE" hidden="1">"c848"</definedName>
    <definedName name="IQ_OPER_INC" hidden="1">"c849"</definedName>
    <definedName name="IQ_OPER_INC_ACT_OR_EST" hidden="1">"c2220"</definedName>
    <definedName name="IQ_OPER_INC_BR" hidden="1">"c850"</definedName>
    <definedName name="IQ_OPER_INC_EST" hidden="1">"c1688"</definedName>
    <definedName name="IQ_OPER_INC_FIN" hidden="1">"c851"</definedName>
    <definedName name="IQ_OPER_INC_HIGH_EST" hidden="1">"c1690"</definedName>
    <definedName name="IQ_OPER_INC_INS" hidden="1">"c852"</definedName>
    <definedName name="IQ_OPER_INC_LOW_EST" hidden="1">"c1691"</definedName>
    <definedName name="IQ_OPER_INC_MARGIN" hidden="1">"c1448"</definedName>
    <definedName name="IQ_OPER_INC_MEDIAN_EST" hidden="1">"c1689"</definedName>
    <definedName name="IQ_OPER_INC_NUM_EST" hidden="1">"c1692"</definedName>
    <definedName name="IQ_OPER_INC_REIT" hidden="1">"c853"</definedName>
    <definedName name="IQ_OPER_INC_STDDEV_EST" hidden="1">"c1693"</definedName>
    <definedName name="IQ_OPER_INC_UTI" hidden="1">"c854"</definedName>
    <definedName name="IQ_OPERATIONS_EXP" hidden="1">"c855"</definedName>
    <definedName name="IQ_OPTIONS_BEG_OS" hidden="1">"c1572"</definedName>
    <definedName name="IQ_OPTIONS_CANCELLED" hidden="1">"c856"</definedName>
    <definedName name="IQ_OPTIONS_END_OS" hidden="1">"c1573"</definedName>
    <definedName name="IQ_OPTIONS_EXERCISED" hidden="1">"c2116"</definedName>
    <definedName name="IQ_OPTIONS_GRANTED" hidden="1">"c2673"</definedName>
    <definedName name="IQ_OPTIONS_ISSUED" hidden="1">"c857"</definedName>
    <definedName name="IQ_OPTIONS_STRIKE_PRICE_GRANTED" hidden="1">"c2678"</definedName>
    <definedName name="IQ_OPTIONS_STRIKE_PRICE_OS" hidden="1">"c2677"</definedName>
    <definedName name="IQ_ORDER_BACKLOG" hidden="1">"c2090"</definedName>
    <definedName name="IQ_OTHER_ADJUST_GROSS_LOANS" hidden="1">"c859"</definedName>
    <definedName name="IQ_OTHER_AMORT" hidden="1">"c5563"</definedName>
    <definedName name="IQ_OTHER_ASSETS" hidden="1">"c860"</definedName>
    <definedName name="IQ_OTHER_ASSETS_BNK" hidden="1">"c861"</definedName>
    <definedName name="IQ_OTHER_ASSETS_BR" hidden="1">"c862"</definedName>
    <definedName name="IQ_OTHER_ASSETS_FIN" hidden="1">"c863"</definedName>
    <definedName name="IQ_OTHER_ASSETS_INS" hidden="1">"c864"</definedName>
    <definedName name="IQ_OTHER_ASSETS_REIT" hidden="1">"c865"</definedName>
    <definedName name="IQ_OTHER_ASSETS_SERV_RIGHTS" hidden="1">"c2243"</definedName>
    <definedName name="IQ_OTHER_ASSETS_UTI" hidden="1">"c866"</definedName>
    <definedName name="IQ_OTHER_BEARING_LIAB" hidden="1">"c1608"</definedName>
    <definedName name="IQ_OTHER_BENEFITS_OBLIGATION" hidden="1">"c867"</definedName>
    <definedName name="IQ_OTHER_CA" hidden="1">"c868"</definedName>
    <definedName name="IQ_OTHER_CA_SUPPL" hidden="1">"c869"</definedName>
    <definedName name="IQ_OTHER_CA_SUPPL_BNK" hidden="1">"c870"</definedName>
    <definedName name="IQ_OTHER_CA_SUPPL_BR" hidden="1">"c871"</definedName>
    <definedName name="IQ_OTHER_CA_SUPPL_FIN" hidden="1">"c872"</definedName>
    <definedName name="IQ_OTHER_CA_SUPPL_INS" hidden="1">"c873"</definedName>
    <definedName name="IQ_OTHER_CA_SUPPL_REIT" hidden="1">"c874"</definedName>
    <definedName name="IQ_OTHER_CA_SUPPL_UTI" hidden="1">"c875"</definedName>
    <definedName name="IQ_OTHER_CA_UTI" hidden="1">"c876"</definedName>
    <definedName name="IQ_OTHER_CL" hidden="1">"c877"</definedName>
    <definedName name="IQ_OTHER_CL_SUPPL" hidden="1">"c878"</definedName>
    <definedName name="IQ_OTHER_CL_SUPPL_BNK" hidden="1">"c879"</definedName>
    <definedName name="IQ_OTHER_CL_SUPPL_BR" hidden="1">"c880"</definedName>
    <definedName name="IQ_OTHER_CL_SUPPL_FIN" hidden="1">"c881"</definedName>
    <definedName name="IQ_OTHER_CL_SUPPL_REIT" hidden="1">"c882"</definedName>
    <definedName name="IQ_OTHER_CL_SUPPL_UTI" hidden="1">"c883"</definedName>
    <definedName name="IQ_OTHER_CL_UTI" hidden="1">"c884"</definedName>
    <definedName name="IQ_OTHER_CURRENT_ASSETS" hidden="1">"c1403"</definedName>
    <definedName name="IQ_OTHER_CURRENT_LIAB" hidden="1">"c1404"</definedName>
    <definedName name="IQ_OTHER_DEBT" hidden="1">"c2507"</definedName>
    <definedName name="IQ_OTHER_DEBT_PCT" hidden="1">"c2508"</definedName>
    <definedName name="IQ_OTHER_DEP" hidden="1">"c885"</definedName>
    <definedName name="IQ_OTHER_EARNING" hidden="1">"c1609"</definedName>
    <definedName name="IQ_OTHER_EQUITY" hidden="1">"c886"</definedName>
    <definedName name="IQ_OTHER_EQUITY_BNK" hidden="1">"c887"</definedName>
    <definedName name="IQ_OTHER_EQUITY_BR" hidden="1">"c888"</definedName>
    <definedName name="IQ_OTHER_EQUITY_FIN" hidden="1">"c889"</definedName>
    <definedName name="IQ_OTHER_EQUITY_INS" hidden="1">"c890"</definedName>
    <definedName name="IQ_OTHER_EQUITY_REIT" hidden="1">"c891"</definedName>
    <definedName name="IQ_OTHER_EQUITY_UTI" hidden="1">"c892"</definedName>
    <definedName name="IQ_OTHER_FINANCE_ACT" hidden="1">"c893"</definedName>
    <definedName name="IQ_OTHER_FINANCE_ACT_BNK" hidden="1">"c894"</definedName>
    <definedName name="IQ_OTHER_FINANCE_ACT_BR" hidden="1">"c895"</definedName>
    <definedName name="IQ_OTHER_FINANCE_ACT_FIN" hidden="1">"c896"</definedName>
    <definedName name="IQ_OTHER_FINANCE_ACT_INS" hidden="1">"c897"</definedName>
    <definedName name="IQ_OTHER_FINANCE_ACT_REIT" hidden="1">"c898"</definedName>
    <definedName name="IQ_OTHER_FINANCE_ACT_SUPPL" hidden="1">"c899"</definedName>
    <definedName name="IQ_OTHER_FINANCE_ACT_SUPPL_BNK" hidden="1">"c900"</definedName>
    <definedName name="IQ_OTHER_FINANCE_ACT_SUPPL_BR" hidden="1">"c901"</definedName>
    <definedName name="IQ_OTHER_FINANCE_ACT_SUPPL_FIN" hidden="1">"c902"</definedName>
    <definedName name="IQ_OTHER_FINANCE_ACT_SUPPL_INS" hidden="1">"c903"</definedName>
    <definedName name="IQ_OTHER_FINANCE_ACT_SUPPL_REIT" hidden="1">"c904"</definedName>
    <definedName name="IQ_OTHER_FINANCE_ACT_SUPPL_UTI" hidden="1">"c905"</definedName>
    <definedName name="IQ_OTHER_FINANCE_ACT_UTI" hidden="1">"c906"</definedName>
    <definedName name="IQ_OTHER_INTAN" hidden="1">"c907"</definedName>
    <definedName name="IQ_OTHER_INTAN_BNK" hidden="1">"c908"</definedName>
    <definedName name="IQ_OTHER_INTAN_BR" hidden="1">"c909"</definedName>
    <definedName name="IQ_OTHER_INTAN_FIN" hidden="1">"c910"</definedName>
    <definedName name="IQ_OTHER_INTAN_INS" hidden="1">"c911"</definedName>
    <definedName name="IQ_OTHER_INTAN_REIT" hidden="1">"c912"</definedName>
    <definedName name="IQ_OTHER_INTAN_UTI" hidden="1">"c913"</definedName>
    <definedName name="IQ_OTHER_INV" hidden="1">"c914"</definedName>
    <definedName name="IQ_OTHER_INVEST" hidden="1">"c915"</definedName>
    <definedName name="IQ_OTHER_INVEST_ACT" hidden="1">"c916"</definedName>
    <definedName name="IQ_OTHER_INVEST_ACT_BNK" hidden="1">"c917"</definedName>
    <definedName name="IQ_OTHER_INVEST_ACT_BR" hidden="1">"c918"</definedName>
    <definedName name="IQ_OTHER_INVEST_ACT_FIN" hidden="1">"c919"</definedName>
    <definedName name="IQ_OTHER_INVEST_ACT_INS" hidden="1">"c920"</definedName>
    <definedName name="IQ_OTHER_INVEST_ACT_REIT" hidden="1">"c921"</definedName>
    <definedName name="IQ_OTHER_INVEST_ACT_SUPPL" hidden="1">"c922"</definedName>
    <definedName name="IQ_OTHER_INVEST_ACT_SUPPL_BNK" hidden="1">"c923"</definedName>
    <definedName name="IQ_OTHER_INVEST_ACT_SUPPL_BR" hidden="1">"c924"</definedName>
    <definedName name="IQ_OTHER_INVEST_ACT_SUPPL_FIN" hidden="1">"c925"</definedName>
    <definedName name="IQ_OTHER_INVEST_ACT_SUPPL_INS" hidden="1">"c926"</definedName>
    <definedName name="IQ_OTHER_INVEST_ACT_SUPPL_REIT" hidden="1">"c927"</definedName>
    <definedName name="IQ_OTHER_INVEST_ACT_SUPPL_UTI" hidden="1">"c928"</definedName>
    <definedName name="IQ_OTHER_INVEST_ACT_UTI" hidden="1">"c929"</definedName>
    <definedName name="IQ_OTHER_INVESTING" hidden="1">"c1408"</definedName>
    <definedName name="IQ_OTHER_LIAB" hidden="1">"c930"</definedName>
    <definedName name="IQ_OTHER_LIAB_BNK" hidden="1">"c931"</definedName>
    <definedName name="IQ_OTHER_LIAB_BR" hidden="1">"c932"</definedName>
    <definedName name="IQ_OTHER_LIAB_FIN" hidden="1">"c933"</definedName>
    <definedName name="IQ_OTHER_LIAB_INS" hidden="1">"c934"</definedName>
    <definedName name="IQ_OTHER_LIAB_LT" hidden="1">"c935"</definedName>
    <definedName name="IQ_OTHER_LIAB_LT_BNK" hidden="1">"c936"</definedName>
    <definedName name="IQ_OTHER_LIAB_LT_BR" hidden="1">"c937"</definedName>
    <definedName name="IQ_OTHER_LIAB_LT_FIN" hidden="1">"c938"</definedName>
    <definedName name="IQ_OTHER_LIAB_LT_INS" hidden="1">"c939"</definedName>
    <definedName name="IQ_OTHER_LIAB_LT_REIT" hidden="1">"c940"</definedName>
    <definedName name="IQ_OTHER_LIAB_LT_UTI" hidden="1">"c941"</definedName>
    <definedName name="IQ_OTHER_LIAB_REIT" hidden="1">"c942"</definedName>
    <definedName name="IQ_OTHER_LIAB_UTI" hidden="1">"c943"</definedName>
    <definedName name="IQ_OTHER_LIAB_WRITTEN" hidden="1">"c944"</definedName>
    <definedName name="IQ_OTHER_LOANS" hidden="1">"c945"</definedName>
    <definedName name="IQ_OTHER_LONG_TERM" hidden="1">"c1409"</definedName>
    <definedName name="IQ_OTHER_LT_ASSETS" hidden="1">"c946"</definedName>
    <definedName name="IQ_OTHER_LT_ASSETS_BNK" hidden="1">"c947"</definedName>
    <definedName name="IQ_OTHER_LT_ASSETS_BR" hidden="1">"c948"</definedName>
    <definedName name="IQ_OTHER_LT_ASSETS_FIN" hidden="1">"c949"</definedName>
    <definedName name="IQ_OTHER_LT_ASSETS_INS" hidden="1">"c950"</definedName>
    <definedName name="IQ_OTHER_LT_ASSETS_REIT" hidden="1">"c951"</definedName>
    <definedName name="IQ_OTHER_LT_ASSETS_UTI" hidden="1">"c952"</definedName>
    <definedName name="IQ_OTHER_NET" hidden="1">"c1453"</definedName>
    <definedName name="IQ_OTHER_NON_INT_EXP" hidden="1">"c953"</definedName>
    <definedName name="IQ_OTHER_NON_INT_EXP_TOTAL" hidden="1">"c954"</definedName>
    <definedName name="IQ_OTHER_NON_INT_INC" hidden="1">"c955"</definedName>
    <definedName name="IQ_OTHER_NON_OPER_EXP" hidden="1">"c956"</definedName>
    <definedName name="IQ_OTHER_NON_OPER_EXP_BR" hidden="1">"c957"</definedName>
    <definedName name="IQ_OTHER_NON_OPER_EXP_FIN" hidden="1">"c958"</definedName>
    <definedName name="IQ_OTHER_NON_OPER_EXP_INS" hidden="1">"c959"</definedName>
    <definedName name="IQ_OTHER_NON_OPER_EXP_REIT" hidden="1">"c960"</definedName>
    <definedName name="IQ_OTHER_NON_OPER_EXP_SUPPL" hidden="1">"c961"</definedName>
    <definedName name="IQ_OTHER_NON_OPER_EXP_SUPPL_BR" hidden="1">"c962"</definedName>
    <definedName name="IQ_OTHER_NON_OPER_EXP_SUPPL_FIN" hidden="1">"c963"</definedName>
    <definedName name="IQ_OTHER_NON_OPER_EXP_SUPPL_INS" hidden="1">"c964"</definedName>
    <definedName name="IQ_OTHER_NON_OPER_EXP_SUPPL_REIT" hidden="1">"c965"</definedName>
    <definedName name="IQ_OTHER_NON_OPER_EXP_SUPPL_UTI" hidden="1">"c966"</definedName>
    <definedName name="IQ_OTHER_NON_OPER_EXP_UTI" hidden="1">"c967"</definedName>
    <definedName name="IQ_OTHER_OPER" hidden="1">"c982"</definedName>
    <definedName name="IQ_OTHER_OPER_ACT" hidden="1">"c983"</definedName>
    <definedName name="IQ_OTHER_OPER_ACT_BNK" hidden="1">"c984"</definedName>
    <definedName name="IQ_OTHER_OPER_ACT_BR" hidden="1">"c985"</definedName>
    <definedName name="IQ_OTHER_OPER_ACT_FIN" hidden="1">"c986"</definedName>
    <definedName name="IQ_OTHER_OPER_ACT_INS" hidden="1">"c987"</definedName>
    <definedName name="IQ_OTHER_OPER_ACT_REIT" hidden="1">"c988"</definedName>
    <definedName name="IQ_OTHER_OPER_ACT_UTI" hidden="1">"c989"</definedName>
    <definedName name="IQ_OTHER_OPER_BR" hidden="1">"c990"</definedName>
    <definedName name="IQ_OTHER_OPER_FIN" hidden="1">"c991"</definedName>
    <definedName name="IQ_OTHER_OPER_INS" hidden="1">"c992"</definedName>
    <definedName name="IQ_OTHER_OPER_REIT" hidden="1">"c993"</definedName>
    <definedName name="IQ_OTHER_OPER_SUPPL_BR" hidden="1">"c994"</definedName>
    <definedName name="IQ_OTHER_OPER_SUPPL_FIN" hidden="1">"c995"</definedName>
    <definedName name="IQ_OTHER_OPER_SUPPL_INS" hidden="1">"c996"</definedName>
    <definedName name="IQ_OTHER_OPER_SUPPL_REIT" hidden="1">"c997"</definedName>
    <definedName name="IQ_OTHER_OPER_SUPPL_UTI" hidden="1">"c998"</definedName>
    <definedName name="IQ_OTHER_OPER_TOT_BNK" hidden="1">"c999"</definedName>
    <definedName name="IQ_OTHER_OPER_TOT_BR" hidden="1">"c1000"</definedName>
    <definedName name="IQ_OTHER_OPER_TOT_FIN" hidden="1">"c1001"</definedName>
    <definedName name="IQ_OTHER_OPER_TOT_INS" hidden="1">"c1002"</definedName>
    <definedName name="IQ_OTHER_OPER_TOT_REIT" hidden="1">"c1003"</definedName>
    <definedName name="IQ_OTHER_OPER_TOT_UTI" hidden="1">"c1004"</definedName>
    <definedName name="IQ_OTHER_OPER_UTI" hidden="1">"c1005"</definedName>
    <definedName name="IQ_OTHER_OPTIONS_BEG_OS" hidden="1">"c2686"</definedName>
    <definedName name="IQ_OTHER_OPTIONS_CANCELLED" hidden="1">"c2689"</definedName>
    <definedName name="IQ_OTHER_OPTIONS_END_OS" hidden="1">"c2690"</definedName>
    <definedName name="IQ_OTHER_OPTIONS_EXERCISED" hidden="1">"c2688"</definedName>
    <definedName name="IQ_OTHER_OPTIONS_GRANTED" hidden="1">"c2687"</definedName>
    <definedName name="IQ_OTHER_OPTIONS_STRIKE_PRICE_OS" hidden="1">"c2691"</definedName>
    <definedName name="IQ_OTHER_OUTSTANDING_BS_DATE" hidden="1">"c1972"</definedName>
    <definedName name="IQ_OTHER_OUTSTANDING_FILING_DATE" hidden="1">"c1974"</definedName>
    <definedName name="IQ_OTHER_PC_WRITTEN" hidden="1">"c1006"</definedName>
    <definedName name="IQ_OTHER_REAL_ESTATE" hidden="1">"c1007"</definedName>
    <definedName name="IQ_OTHER_RECEIV" hidden="1">"c1008"</definedName>
    <definedName name="IQ_OTHER_RECEIV_INS" hidden="1">"c1009"</definedName>
    <definedName name="IQ_OTHER_REV" hidden="1">"c1010"</definedName>
    <definedName name="IQ_OTHER_REV_BR" hidden="1">"c1011"</definedName>
    <definedName name="IQ_OTHER_REV_FIN" hidden="1">"c1012"</definedName>
    <definedName name="IQ_OTHER_REV_INS" hidden="1">"c1013"</definedName>
    <definedName name="IQ_OTHER_REV_REIT" hidden="1">"c1014"</definedName>
    <definedName name="IQ_OTHER_REV_SUPPL" hidden="1">"c1015"</definedName>
    <definedName name="IQ_OTHER_REV_SUPPL_BR" hidden="1">"c1016"</definedName>
    <definedName name="IQ_OTHER_REV_SUPPL_FIN" hidden="1">"c1017"</definedName>
    <definedName name="IQ_OTHER_REV_SUPPL_INS" hidden="1">"c1018"</definedName>
    <definedName name="IQ_OTHER_REV_SUPPL_REIT" hidden="1">"c1019"</definedName>
    <definedName name="IQ_OTHER_REV_SUPPL_UTI" hidden="1">"c1020"</definedName>
    <definedName name="IQ_OTHER_REV_UTI" hidden="1">"c1021"</definedName>
    <definedName name="IQ_OTHER_REVENUE" hidden="1">"c1410"</definedName>
    <definedName name="IQ_OTHER_STRIKE_PRICE_GRANTED" hidden="1">"c2692"</definedName>
    <definedName name="IQ_OTHER_UNDRAWN" hidden="1">"c2522"</definedName>
    <definedName name="IQ_OTHER_UNUSUAL" hidden="1">"c1488"</definedName>
    <definedName name="IQ_OTHER_UNUSUAL_BNK" hidden="1">"c1560"</definedName>
    <definedName name="IQ_OTHER_UNUSUAL_BR" hidden="1">"c1561"</definedName>
    <definedName name="IQ_OTHER_UNUSUAL_FIN" hidden="1">"c1562"</definedName>
    <definedName name="IQ_OTHER_UNUSUAL_INS" hidden="1">"c1563"</definedName>
    <definedName name="IQ_OTHER_UNUSUAL_REIT" hidden="1">"c1564"</definedName>
    <definedName name="IQ_OTHER_UNUSUAL_SUPPL" hidden="1">"c1494"</definedName>
    <definedName name="IQ_OTHER_UNUSUAL_SUPPL_BNK" hidden="1">"c1495"</definedName>
    <definedName name="IQ_OTHER_UNUSUAL_SUPPL_BR" hidden="1">"c1496"</definedName>
    <definedName name="IQ_OTHER_UNUSUAL_SUPPL_FIN" hidden="1">"c1497"</definedName>
    <definedName name="IQ_OTHER_UNUSUAL_SUPPL_INS" hidden="1">"c1498"</definedName>
    <definedName name="IQ_OTHER_UNUSUAL_SUPPL_REIT" hidden="1">"c1499"</definedName>
    <definedName name="IQ_OTHER_UNUSUAL_SUPPL_UTI" hidden="1">"c1500"</definedName>
    <definedName name="IQ_OTHER_UNUSUAL_UTI" hidden="1">"c1565"</definedName>
    <definedName name="IQ_OTHER_WARRANTS_BEG_OS" hidden="1">"c2712"</definedName>
    <definedName name="IQ_OTHER_WARRANTS_CANCELLED" hidden="1">"c2715"</definedName>
    <definedName name="IQ_OTHER_WARRANTS_END_OS" hidden="1">"c2716"</definedName>
    <definedName name="IQ_OTHER_WARRANTS_EXERCISED" hidden="1">"c2714"</definedName>
    <definedName name="IQ_OTHER_WARRANTS_ISSUED" hidden="1">"c2713"</definedName>
    <definedName name="IQ_OTHER_WARRANTS_STRIKE_PRICE_ISSUED" hidden="1">"c2718"</definedName>
    <definedName name="IQ_OTHER_WARRANTS_STRIKE_PRICE_OS" hidden="1">"c2717"</definedName>
    <definedName name="IQ_OUTSTANDING_BS_DATE" hidden="1">"c2128"</definedName>
    <definedName name="IQ_OUTSTANDING_FILING_DATE" localSheetId="2" hidden="1">"c2127"</definedName>
    <definedName name="IQ_OUTSTANDING_FILING_DATE" hidden="1">"c1023"</definedName>
    <definedName name="IQ_OWNERSHIP" hidden="1">"c2160"</definedName>
    <definedName name="IQ_PART_TIME" hidden="1">"c1024"</definedName>
    <definedName name="IQ_PAY_ACCRUED" hidden="1">"c1457"</definedName>
    <definedName name="IQ_PAYOUT_RATIO" hidden="1">"c1900"</definedName>
    <definedName name="IQ_PBV" hidden="1">"c1025"</definedName>
    <definedName name="IQ_PBV_AVG" hidden="1">"c1026"</definedName>
    <definedName name="IQ_PC_EARNED" hidden="1">"c2749"</definedName>
    <definedName name="IQ_PC_GAAP_COMBINED_RATIO" hidden="1">"c2781"</definedName>
    <definedName name="IQ_PC_GAAP_COMBINED_RATIO_EXCL_CL" hidden="1">"c2782"</definedName>
    <definedName name="IQ_PC_GAAP_EXPENSE_RATIO" hidden="1">"c2780"</definedName>
    <definedName name="IQ_PC_GAAP_LOSS" hidden="1">"c2779"</definedName>
    <definedName name="IQ_PC_POLICY_BENEFITS_EXP" hidden="1">"c2790"</definedName>
    <definedName name="IQ_PC_STAT_COMBINED_RATIO" hidden="1">"c2778"</definedName>
    <definedName name="IQ_PC_STAT_COMBINED_RATIO_EXCL_DIV" hidden="1">"c2777"</definedName>
    <definedName name="IQ_PC_STAT_DIVIDEND_RATIO" hidden="1">"c2776"</definedName>
    <definedName name="IQ_PC_STAT_EXPENSE_RATIO" hidden="1">"c2775"</definedName>
    <definedName name="IQ_PC_STAT_LOSS_RATIO" hidden="1">"c2774"</definedName>
    <definedName name="IQ_PC_STATUTORY_SURPLUS" hidden="1">"c2770"</definedName>
    <definedName name="IQ_PC_WRITTEN" hidden="1">"c1027"</definedName>
    <definedName name="IQ_PE_EXCL" hidden="1">"c1028"</definedName>
    <definedName name="IQ_PE_EXCL_AVG" hidden="1">"c1029"</definedName>
    <definedName name="IQ_PE_EXCL_FWD" hidden="1">"c1030"</definedName>
    <definedName name="IQ_PE_EXCL_FWD_REUT" hidden="1">"c4049"</definedName>
    <definedName name="IQ_PE_NORMALIZED" hidden="1">"c2207"</definedName>
    <definedName name="IQ_PE_RATIO" hidden="1">"c1610"</definedName>
    <definedName name="IQ_PEG_FWD" hidden="1">"c1863"</definedName>
    <definedName name="IQ_PEG_FWD_REUT" hidden="1">"c4052"</definedName>
    <definedName name="IQ_PENSION" hidden="1">"c1031"</definedName>
    <definedName name="IQ_PENSION_ACCRUED_LIAB" hidden="1">"c3134"</definedName>
    <definedName name="IQ_PENSION_ACCRUED_LIAB_DOM" hidden="1">"c3132"</definedName>
    <definedName name="IQ_PENSION_ACCRUED_LIAB_FOREIGN" hidden="1">"c3133"</definedName>
    <definedName name="IQ_PENSION_ACCUM_OTHER_CI" hidden="1">"c3140"</definedName>
    <definedName name="IQ_PENSION_ACCUM_OTHER_CI_DOM" hidden="1">"c3138"</definedName>
    <definedName name="IQ_PENSION_ACCUM_OTHER_CI_FOREIGN" hidden="1">"c3139"</definedName>
    <definedName name="IQ_PENSION_ACCUMULATED_OBLIGATION" hidden="1">"c3570"</definedName>
    <definedName name="IQ_PENSION_ACCUMULATED_OBLIGATION_DOMESTIC" hidden="1">"c3568"</definedName>
    <definedName name="IQ_PENSION_ACCUMULATED_OBLIGATION_FOREIGN" hidden="1">"c3569"</definedName>
    <definedName name="IQ_PENSION_ASSETS" hidden="1">"c3182"</definedName>
    <definedName name="IQ_PENSION_ASSETS_ACQ" hidden="1">"c3173"</definedName>
    <definedName name="IQ_PENSION_ASSETS_ACQ_DOM" hidden="1">"c3171"</definedName>
    <definedName name="IQ_PENSION_ASSETS_ACQ_FOREIGN" hidden="1">"c3172"</definedName>
    <definedName name="IQ_PENSION_ASSETS_ACTUAL_RETURN" hidden="1">"c3158"</definedName>
    <definedName name="IQ_PENSION_ASSETS_ACTUAL_RETURN_DOM" hidden="1">"c3156"</definedName>
    <definedName name="IQ_PENSION_ASSETS_ACTUAL_RETURN_FOREIGN" hidden="1">"c3157"</definedName>
    <definedName name="IQ_PENSION_ASSETS_BEG" hidden="1">"c3155"</definedName>
    <definedName name="IQ_PENSION_ASSETS_BEG_DOM" hidden="1">"c3153"</definedName>
    <definedName name="IQ_PENSION_ASSETS_BEG_FOREIGN" hidden="1">"c3154"</definedName>
    <definedName name="IQ_PENSION_ASSETS_BENEFITS_PAID" hidden="1">"c3167"</definedName>
    <definedName name="IQ_PENSION_ASSETS_BENEFITS_PAID_DOM" hidden="1">"c3165"</definedName>
    <definedName name="IQ_PENSION_ASSETS_BENEFITS_PAID_FOREIGN" hidden="1">"c3166"</definedName>
    <definedName name="IQ_PENSION_ASSETS_CURTAIL" hidden="1">"c3176"</definedName>
    <definedName name="IQ_PENSION_ASSETS_CURTAIL_DOM" hidden="1">"c3174"</definedName>
    <definedName name="IQ_PENSION_ASSETS_CURTAIL_FOREIGN" hidden="1">"c3175"</definedName>
    <definedName name="IQ_PENSION_ASSETS_DOM" hidden="1">"c3180"</definedName>
    <definedName name="IQ_PENSION_ASSETS_EMPLOYER_CONTRIBUTIONS" hidden="1">"c3161"</definedName>
    <definedName name="IQ_PENSION_ASSETS_EMPLOYER_CONTRIBUTIONS_DOM" hidden="1">"c3159"</definedName>
    <definedName name="IQ_PENSION_ASSETS_EMPLOYER_CONTRIBUTIONS_FOREIGN" hidden="1">"c3160"</definedName>
    <definedName name="IQ_PENSION_ASSETS_FOREIGN" hidden="1">"c3181"</definedName>
    <definedName name="IQ_PENSION_ASSETS_FX_ADJ" hidden="1">"c3170"</definedName>
    <definedName name="IQ_PENSION_ASSETS_FX_ADJ_DOM" hidden="1">"c3168"</definedName>
    <definedName name="IQ_PENSION_ASSETS_FX_ADJ_FOREIGN" hidden="1">"c3169"</definedName>
    <definedName name="IQ_PENSION_ASSETS_OTHER_PLAN_ADJ" hidden="1">"c3179"</definedName>
    <definedName name="IQ_PENSION_ASSETS_OTHER_PLAN_ADJ_DOM" hidden="1">"c3177"</definedName>
    <definedName name="IQ_PENSION_ASSETS_OTHER_PLAN_ADJ_FOREIGN" hidden="1">"c3178"</definedName>
    <definedName name="IQ_PENSION_ASSETS_PARTICIP_CONTRIBUTIONS" hidden="1">"c3164"</definedName>
    <definedName name="IQ_PENSION_ASSETS_PARTICIP_CONTRIBUTIONS_DOM" hidden="1">"c3162"</definedName>
    <definedName name="IQ_PENSION_ASSETS_PARTICIP_CONTRIBUTIONS_FOREIGN" hidden="1">"c3163"</definedName>
    <definedName name="IQ_PENSION_BENEFIT_INFO_DATE" hidden="1">"c3230"</definedName>
    <definedName name="IQ_PENSION_BENEFIT_INFO_DATE_DOM" hidden="1">"c3228"</definedName>
    <definedName name="IQ_PENSION_BENEFIT_INFO_DATE_FOREIGN" hidden="1">"c3229"</definedName>
    <definedName name="IQ_PENSION_BREAKDOWN_EQ" hidden="1">"c3101"</definedName>
    <definedName name="IQ_PENSION_BREAKDOWN_EQ_DOM" hidden="1">"c3099"</definedName>
    <definedName name="IQ_PENSION_BREAKDOWN_EQ_FOREIGN" hidden="1">"c3100"</definedName>
    <definedName name="IQ_PENSION_BREAKDOWN_FI" hidden="1">"c3104"</definedName>
    <definedName name="IQ_PENSION_BREAKDOWN_FI_DOM" hidden="1">"c3102"</definedName>
    <definedName name="IQ_PENSION_BREAKDOWN_FI_FOREIGN" hidden="1">"c3103"</definedName>
    <definedName name="IQ_PENSION_BREAKDOWN_OTHER" hidden="1">"c3110"</definedName>
    <definedName name="IQ_PENSION_BREAKDOWN_OTHER_DOM" hidden="1">"c3108"</definedName>
    <definedName name="IQ_PENSION_BREAKDOWN_OTHER_FOREIGN" hidden="1">"c3109"</definedName>
    <definedName name="IQ_PENSION_BREAKDOWN_PCT_EQ" hidden="1">"c3089"</definedName>
    <definedName name="IQ_PENSION_BREAKDOWN_PCT_EQ_DOM" hidden="1">"c3087"</definedName>
    <definedName name="IQ_PENSION_BREAKDOWN_PCT_EQ_FOREIGN" hidden="1">"c3088"</definedName>
    <definedName name="IQ_PENSION_BREAKDOWN_PCT_FI" hidden="1">"c3092"</definedName>
    <definedName name="IQ_PENSION_BREAKDOWN_PCT_FI_DOM" hidden="1">"c3090"</definedName>
    <definedName name="IQ_PENSION_BREAKDOWN_PCT_FI_FOREIGN" hidden="1">"c3091"</definedName>
    <definedName name="IQ_PENSION_BREAKDOWN_PCT_OTHER" hidden="1">"c3098"</definedName>
    <definedName name="IQ_PENSION_BREAKDOWN_PCT_OTHER_DOM" hidden="1">"c3096"</definedName>
    <definedName name="IQ_PENSION_BREAKDOWN_PCT_OTHER_FOREIGN" hidden="1">"c3097"</definedName>
    <definedName name="IQ_PENSION_BREAKDOWN_PCT_RE" hidden="1">"c3095"</definedName>
    <definedName name="IQ_PENSION_BREAKDOWN_PCT_RE_DOM" hidden="1">"c3093"</definedName>
    <definedName name="IQ_PENSION_BREAKDOWN_PCT_RE_FOREIGN" hidden="1">"c3094"</definedName>
    <definedName name="IQ_PENSION_BREAKDOWN_RE" hidden="1">"c3107"</definedName>
    <definedName name="IQ_PENSION_BREAKDOWN_RE_DOM" hidden="1">"c3105"</definedName>
    <definedName name="IQ_PENSION_BREAKDOWN_RE_FOREIGN" hidden="1">"c3106"</definedName>
    <definedName name="IQ_PENSION_CONTRIBUTION_TOTAL_COST" hidden="1">"c3559"</definedName>
    <definedName name="IQ_PENSION_DISC_RATE_MAX" hidden="1">"c3236"</definedName>
    <definedName name="IQ_PENSION_DISC_RATE_MAX_DOM" hidden="1">"c3234"</definedName>
    <definedName name="IQ_PENSION_DISC_RATE_MAX_FOREIGN" hidden="1">"c3235"</definedName>
    <definedName name="IQ_PENSION_DISC_RATE_MIN" hidden="1">"c3233"</definedName>
    <definedName name="IQ_PENSION_DISC_RATE_MIN_DOM" hidden="1">"c3231"</definedName>
    <definedName name="IQ_PENSION_DISC_RATE_MIN_FOREIGN" hidden="1">"c3232"</definedName>
    <definedName name="IQ_PENSION_DISCOUNT_RATE_DOMESTIC" hidden="1">"c3573"</definedName>
    <definedName name="IQ_PENSION_DISCOUNT_RATE_FOREIGN" hidden="1">"c3574"</definedName>
    <definedName name="IQ_PENSION_EST_BENEFIT_1YR" hidden="1">"c3113"</definedName>
    <definedName name="IQ_PENSION_EST_BENEFIT_1YR_DOM" hidden="1">"c3111"</definedName>
    <definedName name="IQ_PENSION_EST_BENEFIT_1YR_FOREIGN" hidden="1">"c3112"</definedName>
    <definedName name="IQ_PENSION_EST_BENEFIT_2YR" hidden="1">"c3116"</definedName>
    <definedName name="IQ_PENSION_EST_BENEFIT_2YR_DOM" hidden="1">"c3114"</definedName>
    <definedName name="IQ_PENSION_EST_BENEFIT_2YR_FOREIGN" hidden="1">"c3115"</definedName>
    <definedName name="IQ_PENSION_EST_BENEFIT_3YR" hidden="1">"c3119"</definedName>
    <definedName name="IQ_PENSION_EST_BENEFIT_3YR_DOM" hidden="1">"c3117"</definedName>
    <definedName name="IQ_PENSION_EST_BENEFIT_3YR_FOREIGN" hidden="1">"c3118"</definedName>
    <definedName name="IQ_PENSION_EST_BENEFIT_4YR" hidden="1">"c3122"</definedName>
    <definedName name="IQ_PENSION_EST_BENEFIT_4YR_DOM" hidden="1">"c3120"</definedName>
    <definedName name="IQ_PENSION_EST_BENEFIT_4YR_FOREIGN" hidden="1">"c3121"</definedName>
    <definedName name="IQ_PENSION_EST_BENEFIT_5YR" hidden="1">"c3125"</definedName>
    <definedName name="IQ_PENSION_EST_BENEFIT_5YR_DOM" hidden="1">"c3123"</definedName>
    <definedName name="IQ_PENSION_EST_BENEFIT_5YR_FOREIGN" hidden="1">"c3124"</definedName>
    <definedName name="IQ_PENSION_EST_BENEFIT_AFTER5" hidden="1">"c3128"</definedName>
    <definedName name="IQ_PENSION_EST_BENEFIT_AFTER5_DOM" hidden="1">"c3126"</definedName>
    <definedName name="IQ_PENSION_EST_BENEFIT_AFTER5_FOREIGN" hidden="1">"c3127"</definedName>
    <definedName name="IQ_PENSION_EST_CONTRIBUTIONS_NEXTYR" hidden="1">"c3218"</definedName>
    <definedName name="IQ_PENSION_EST_CONTRIBUTIONS_NEXTYR_DOM" hidden="1">"c3216"</definedName>
    <definedName name="IQ_PENSION_EST_CONTRIBUTIONS_NEXTYR_FOREIGN" hidden="1">"c3217"</definedName>
    <definedName name="IQ_PENSION_EXP_RATE_RETURN_MAX" hidden="1">"c3248"</definedName>
    <definedName name="IQ_PENSION_EXP_RATE_RETURN_MAX_DOM" hidden="1">"c3246"</definedName>
    <definedName name="IQ_PENSION_EXP_RATE_RETURN_MAX_FOREIGN" hidden="1">"c3247"</definedName>
    <definedName name="IQ_PENSION_EXP_RATE_RETURN_MIN" hidden="1">"c3245"</definedName>
    <definedName name="IQ_PENSION_EXP_RATE_RETURN_MIN_DOM" hidden="1">"c3243"</definedName>
    <definedName name="IQ_PENSION_EXP_RATE_RETURN_MIN_FOREIGN" hidden="1">"c3244"</definedName>
    <definedName name="IQ_PENSION_EXP_RETURN_DOMESTIC" hidden="1">"c3571"</definedName>
    <definedName name="IQ_PENSION_EXP_RETURN_FOREIGN" hidden="1">"c3572"</definedName>
    <definedName name="IQ_PENSION_INTAN_ASSETS" hidden="1">"c3137"</definedName>
    <definedName name="IQ_PENSION_INTAN_ASSETS_DOM" hidden="1">"c3135"</definedName>
    <definedName name="IQ_PENSION_INTAN_ASSETS_FOREIGN" hidden="1">"c3136"</definedName>
    <definedName name="IQ_PENSION_INTEREST_COST" hidden="1">"c3582"</definedName>
    <definedName name="IQ_PENSION_INTEREST_COST_DOM" hidden="1">"c3580"</definedName>
    <definedName name="IQ_PENSION_INTEREST_COST_FOREIGN" hidden="1">"c3581"</definedName>
    <definedName name="IQ_PENSION_NET_ASSET_RECOG" hidden="1">"c3152"</definedName>
    <definedName name="IQ_PENSION_NET_ASSET_RECOG_DOM" hidden="1">"c3150"</definedName>
    <definedName name="IQ_PENSION_NET_ASSET_RECOG_FOREIGN" hidden="1">"c3151"</definedName>
    <definedName name="IQ_PENSION_OBLIGATION_ACQ" hidden="1">"c3206"</definedName>
    <definedName name="IQ_PENSION_OBLIGATION_ACQ_DOM" hidden="1">"c3204"</definedName>
    <definedName name="IQ_PENSION_OBLIGATION_ACQ_FOREIGN" hidden="1">"c3205"</definedName>
    <definedName name="IQ_PENSION_OBLIGATION_ACTUARIAL_GAIN_LOSS" hidden="1">"c3197"</definedName>
    <definedName name="IQ_PENSION_OBLIGATION_ACTUARIAL_GAIN_LOSS_DOM" hidden="1">"c3195"</definedName>
    <definedName name="IQ_PENSION_OBLIGATION_ACTUARIAL_GAIN_LOSS_FOREIGN" hidden="1">"c3196"</definedName>
    <definedName name="IQ_PENSION_OBLIGATION_BEG" hidden="1">"c3185"</definedName>
    <definedName name="IQ_PENSION_OBLIGATION_BEG_DOM" hidden="1">"c3183"</definedName>
    <definedName name="IQ_PENSION_OBLIGATION_BEG_FOREIGN" hidden="1">"c3184"</definedName>
    <definedName name="IQ_PENSION_OBLIGATION_CURTAIL" hidden="1">"c3209"</definedName>
    <definedName name="IQ_PENSION_OBLIGATION_CURTAIL_DOM" hidden="1">"c3207"</definedName>
    <definedName name="IQ_PENSION_OBLIGATION_CURTAIL_FOREIGN" hidden="1">"c3208"</definedName>
    <definedName name="IQ_PENSION_OBLIGATION_EMPLOYEE_CONTRIBUTIONS" hidden="1">"c3194"</definedName>
    <definedName name="IQ_PENSION_OBLIGATION_EMPLOYEE_CONTRIBUTIONS_DOM" hidden="1">"c3192"</definedName>
    <definedName name="IQ_PENSION_OBLIGATION_EMPLOYEE_CONTRIBUTIONS_FOREIGN" hidden="1">"c3193"</definedName>
    <definedName name="IQ_PENSION_OBLIGATION_FX_ADJ" hidden="1">"c3203"</definedName>
    <definedName name="IQ_PENSION_OBLIGATION_FX_ADJ_DOM" hidden="1">"c3201"</definedName>
    <definedName name="IQ_PENSION_OBLIGATION_FX_ADJ_FOREIGN" hidden="1">"c3202"</definedName>
    <definedName name="IQ_PENSION_OBLIGATION_INTEREST_COST" hidden="1">"c3191"</definedName>
    <definedName name="IQ_PENSION_OBLIGATION_INTEREST_COST_DOM" hidden="1">"c3189"</definedName>
    <definedName name="IQ_PENSION_OBLIGATION_INTEREST_COST_FOREIGN" hidden="1">"c3190"</definedName>
    <definedName name="IQ_PENSION_OBLIGATION_OTHER_COST" hidden="1">"c3555"</definedName>
    <definedName name="IQ_PENSION_OBLIGATION_OTHER_COST_DOM" hidden="1">"c3553"</definedName>
    <definedName name="IQ_PENSION_OBLIGATION_OTHER_COST_FOREIGN" hidden="1">"c3554"</definedName>
    <definedName name="IQ_PENSION_OBLIGATION_OTHER_PLAN_ADJ" hidden="1">"c3212"</definedName>
    <definedName name="IQ_PENSION_OBLIGATION_OTHER_PLAN_ADJ_DOM" hidden="1">"c3210"</definedName>
    <definedName name="IQ_PENSION_OBLIGATION_OTHER_PLAN_ADJ_FOREIGN" hidden="1">"c3211"</definedName>
    <definedName name="IQ_PENSION_OBLIGATION_PAID" hidden="1">"c3200"</definedName>
    <definedName name="IQ_PENSION_OBLIGATION_PAID_DOM" hidden="1">"c3198"</definedName>
    <definedName name="IQ_PENSION_OBLIGATION_PAID_FOREIGN" hidden="1">"c3199"</definedName>
    <definedName name="IQ_PENSION_OBLIGATION_PROJECTED" hidden="1">"c3215"</definedName>
    <definedName name="IQ_PENSION_OBLIGATION_PROJECTED_DOM" hidden="1">"c3213"</definedName>
    <definedName name="IQ_PENSION_OBLIGATION_PROJECTED_FOREIGN" hidden="1">"c3214"</definedName>
    <definedName name="IQ_PENSION_OBLIGATION_ROA" hidden="1">"c3552"</definedName>
    <definedName name="IQ_PENSION_OBLIGATION_ROA_DOM" hidden="1">"c3550"</definedName>
    <definedName name="IQ_PENSION_OBLIGATION_ROA_FOREIGN" hidden="1">"c3551"</definedName>
    <definedName name="IQ_PENSION_OBLIGATION_SERVICE_COST" hidden="1">"c3188"</definedName>
    <definedName name="IQ_PENSION_OBLIGATION_SERVICE_COST_DOM" hidden="1">"c3186"</definedName>
    <definedName name="IQ_PENSION_OBLIGATION_SERVICE_COST_FOREIGN" hidden="1">"c3187"</definedName>
    <definedName name="IQ_PENSION_OBLIGATION_TOTAL_COST" hidden="1">"c3558"</definedName>
    <definedName name="IQ_PENSION_OBLIGATION_TOTAL_COST_DOM" hidden="1">"c3556"</definedName>
    <definedName name="IQ_PENSION_OBLIGATION_TOTAL_COST_FOREIGN" hidden="1">"c3557"</definedName>
    <definedName name="IQ_PENSION_OTHER" hidden="1">"c3143"</definedName>
    <definedName name="IQ_PENSION_OTHER_ADJ" hidden="1">"c3149"</definedName>
    <definedName name="IQ_PENSION_OTHER_ADJ_DOM" hidden="1">"c3147"</definedName>
    <definedName name="IQ_PENSION_OTHER_ADJ_FOREIGN" hidden="1">"c3148"</definedName>
    <definedName name="IQ_PENSION_OTHER_DOM" hidden="1">"c3141"</definedName>
    <definedName name="IQ_PENSION_OTHER_FOREIGN" hidden="1">"c3142"</definedName>
    <definedName name="IQ_PENSION_PBO_ASSUMED_RATE_RET_MAX" hidden="1">"c3254"</definedName>
    <definedName name="IQ_PENSION_PBO_ASSUMED_RATE_RET_MAX_DOM" hidden="1">"c3252"</definedName>
    <definedName name="IQ_PENSION_PBO_ASSUMED_RATE_RET_MAX_FOREIGN" hidden="1">"c3253"</definedName>
    <definedName name="IQ_PENSION_PBO_ASSUMED_RATE_RET_MIN" hidden="1">"c3251"</definedName>
    <definedName name="IQ_PENSION_PBO_ASSUMED_RATE_RET_MIN_DOM" hidden="1">"c3249"</definedName>
    <definedName name="IQ_PENSION_PBO_ASSUMED_RATE_RET_MIN_FOREIGN" hidden="1">"c3250"</definedName>
    <definedName name="IQ_PENSION_PBO_RATE_COMP_INCREASE_MAX" hidden="1">"c3260"</definedName>
    <definedName name="IQ_PENSION_PBO_RATE_COMP_INCREASE_MAX_DOM" hidden="1">"c3258"</definedName>
    <definedName name="IQ_PENSION_PBO_RATE_COMP_INCREASE_MAX_FOREIGN" hidden="1">"c3259"</definedName>
    <definedName name="IQ_PENSION_PBO_RATE_COMP_INCREASE_MIN" hidden="1">"c3257"</definedName>
    <definedName name="IQ_PENSION_PBO_RATE_COMP_INCREASE_MIN_DOM" hidden="1">"c3255"</definedName>
    <definedName name="IQ_PENSION_PBO_RATE_COMP_INCREASE_MIN_FOREIGN" hidden="1">"c3256"</definedName>
    <definedName name="IQ_PENSION_PREPAID_COST" hidden="1">"c3131"</definedName>
    <definedName name="IQ_PENSION_PREPAID_COST_DOM" hidden="1">"c3129"</definedName>
    <definedName name="IQ_PENSION_PREPAID_COST_FOREIGN" hidden="1">"c3130"</definedName>
    <definedName name="IQ_PENSION_PROJECTED_OBLIGATION" hidden="1">"c3566"</definedName>
    <definedName name="IQ_PENSION_PROJECTED_OBLIGATION_DOMESTIC" hidden="1">"c3564"</definedName>
    <definedName name="IQ_PENSION_PROJECTED_OBLIGATION_FOREIGN" hidden="1">"c3565"</definedName>
    <definedName name="IQ_PENSION_QUART_ADDL_CONTRIBUTIONS_EXP" hidden="1">"c3224"</definedName>
    <definedName name="IQ_PENSION_QUART_ADDL_CONTRIBUTIONS_EXP_DOM" hidden="1">"c3222"</definedName>
    <definedName name="IQ_PENSION_QUART_ADDL_CONTRIBUTIONS_EXP_FOREIGN" hidden="1">"c3223"</definedName>
    <definedName name="IQ_PENSION_QUART_EMPLOYER_CONTRIBUTIONS" hidden="1">"c3221"</definedName>
    <definedName name="IQ_PENSION_QUART_EMPLOYER_CONTRIBUTIONS_DOM" hidden="1">"c3219"</definedName>
    <definedName name="IQ_PENSION_QUART_EMPLOYER_CONTRIBUTIONS_FOREIGN" hidden="1">"c3220"</definedName>
    <definedName name="IQ_PENSION_RATE_COMP_GROWTH_DOMESTIC" hidden="1">"c3575"</definedName>
    <definedName name="IQ_PENSION_RATE_COMP_GROWTH_FOREIGN" hidden="1">"c3576"</definedName>
    <definedName name="IQ_PENSION_RATE_COMP_INCREASE_MAX" hidden="1">"c3242"</definedName>
    <definedName name="IQ_PENSION_RATE_COMP_INCREASE_MAX_DOM" hidden="1">"c3240"</definedName>
    <definedName name="IQ_PENSION_RATE_COMP_INCREASE_MAX_FOREIGN" hidden="1">"c3241"</definedName>
    <definedName name="IQ_PENSION_RATE_COMP_INCREASE_MIN" hidden="1">"c3239"</definedName>
    <definedName name="IQ_PENSION_RATE_COMP_INCREASE_MIN_DOM" hidden="1">"c3237"</definedName>
    <definedName name="IQ_PENSION_RATE_COMP_INCREASE_MIN_FOREIGN" hidden="1">"c3238"</definedName>
    <definedName name="IQ_PENSION_SERVICE_COST" hidden="1">"c3579"</definedName>
    <definedName name="IQ_PENSION_SERVICE_COST_DOM" hidden="1">"c3577"</definedName>
    <definedName name="IQ_PENSION_SERVICE_COST_FOREIGN" hidden="1">"c3578"</definedName>
    <definedName name="IQ_PENSION_TOTAL_ASSETS" hidden="1">"c3563"</definedName>
    <definedName name="IQ_PENSION_TOTAL_ASSETS_DOMESTIC" hidden="1">"c3561"</definedName>
    <definedName name="IQ_PENSION_TOTAL_ASSETS_FOREIGN" hidden="1">"c3562"</definedName>
    <definedName name="IQ_PENSION_TOTAL_EXP" hidden="1">"c3560"</definedName>
    <definedName name="IQ_PENSION_UNFUNDED_ADDL_MIN_LIAB" hidden="1">"c3227"</definedName>
    <definedName name="IQ_PENSION_UNFUNDED_ADDL_MIN_LIAB_DOM" hidden="1">"c3225"</definedName>
    <definedName name="IQ_PENSION_UNFUNDED_ADDL_MIN_LIAB_FOREIGN" hidden="1">"c3226"</definedName>
    <definedName name="IQ_PENSION_UNRECOG_PRIOR" hidden="1">"c3146"</definedName>
    <definedName name="IQ_PENSION_UNRECOG_PRIOR_DOM" hidden="1">"c3144"</definedName>
    <definedName name="IQ_PENSION_UNRECOG_PRIOR_FOREIGN" hidden="1">"c3145"</definedName>
    <definedName name="IQ_PENSION_UV_LIAB" hidden="1">"c3567"</definedName>
    <definedName name="IQ_PERCENT_CHANGE_EST_5YR_GROWTH_RATE_12MONTHS" hidden="1">"c1852"</definedName>
    <definedName name="IQ_PERCENT_CHANGE_EST_5YR_GROWTH_RATE_18MONTHS" hidden="1">"c1853"</definedName>
    <definedName name="IQ_PERCENT_CHANGE_EST_5YR_GROWTH_RATE_3MONTHS" hidden="1">"c1849"</definedName>
    <definedName name="IQ_PERCENT_CHANGE_EST_5YR_GROWTH_RATE_6MONTHS" hidden="1">"c1850"</definedName>
    <definedName name="IQ_PERCENT_CHANGE_EST_5YR_GROWTH_RATE_9MONTHS" hidden="1">"c1851"</definedName>
    <definedName name="IQ_PERCENT_CHANGE_EST_5YR_GROWTH_RATE_DAY" hidden="1">"c1846"</definedName>
    <definedName name="IQ_PERCENT_CHANGE_EST_5YR_GROWTH_RATE_MONTH" hidden="1">"c1848"</definedName>
    <definedName name="IQ_PERCENT_CHANGE_EST_5YR_GROWTH_RATE_WEEK" hidden="1">"c1847"</definedName>
    <definedName name="IQ_PERCENT_CHANGE_EST_CFPS_12MONTHS" hidden="1">"c1812"</definedName>
    <definedName name="IQ_PERCENT_CHANGE_EST_CFPS_18MONTHS" hidden="1">"c1813"</definedName>
    <definedName name="IQ_PERCENT_CHANGE_EST_CFPS_3MONTHS" hidden="1">"c1809"</definedName>
    <definedName name="IQ_PERCENT_CHANGE_EST_CFPS_6MONTHS" hidden="1">"c1810"</definedName>
    <definedName name="IQ_PERCENT_CHANGE_EST_CFPS_9MONTHS" hidden="1">"c1811"</definedName>
    <definedName name="IQ_PERCENT_CHANGE_EST_CFPS_DAY" hidden="1">"c1806"</definedName>
    <definedName name="IQ_PERCENT_CHANGE_EST_CFPS_MONTH" hidden="1">"c1808"</definedName>
    <definedName name="IQ_PERCENT_CHANGE_EST_CFPS_WEEK" hidden="1">"c1807"</definedName>
    <definedName name="IQ_PERCENT_CHANGE_EST_DPS_12MONTHS" hidden="1">"c1820"</definedName>
    <definedName name="IQ_PERCENT_CHANGE_EST_DPS_18MONTHS" hidden="1">"c1821"</definedName>
    <definedName name="IQ_PERCENT_CHANGE_EST_DPS_3MONTHS" hidden="1">"c1817"</definedName>
    <definedName name="IQ_PERCENT_CHANGE_EST_DPS_6MONTHS" hidden="1">"c1818"</definedName>
    <definedName name="IQ_PERCENT_CHANGE_EST_DPS_9MONTHS" hidden="1">"c1819"</definedName>
    <definedName name="IQ_PERCENT_CHANGE_EST_DPS_DAY" hidden="1">"c1814"</definedName>
    <definedName name="IQ_PERCENT_CHANGE_EST_DPS_MONTH" hidden="1">"c1816"</definedName>
    <definedName name="IQ_PERCENT_CHANGE_EST_DPS_WEEK" hidden="1">"c1815"</definedName>
    <definedName name="IQ_PERCENT_CHANGE_EST_EBITDA_12MONTHS" hidden="1">"c1804"</definedName>
    <definedName name="IQ_PERCENT_CHANGE_EST_EBITDA_18MONTHS" hidden="1">"c1805"</definedName>
    <definedName name="IQ_PERCENT_CHANGE_EST_EBITDA_3MONTHS" hidden="1">"c1801"</definedName>
    <definedName name="IQ_PERCENT_CHANGE_EST_EBITDA_6MONTHS" hidden="1">"c1802"</definedName>
    <definedName name="IQ_PERCENT_CHANGE_EST_EBITDA_9MONTHS" hidden="1">"c1803"</definedName>
    <definedName name="IQ_PERCENT_CHANGE_EST_EBITDA_DAY" hidden="1">"c1798"</definedName>
    <definedName name="IQ_PERCENT_CHANGE_EST_EBITDA_MONTH" hidden="1">"c1800"</definedName>
    <definedName name="IQ_PERCENT_CHANGE_EST_EBITDA_WEEK" hidden="1">"c1799"</definedName>
    <definedName name="IQ_PERCENT_CHANGE_EST_EPS_12MONTHS" hidden="1">"c1788"</definedName>
    <definedName name="IQ_PERCENT_CHANGE_EST_EPS_18MONTHS" hidden="1">"c1789"</definedName>
    <definedName name="IQ_PERCENT_CHANGE_EST_EPS_3MONTHS" hidden="1">"c1785"</definedName>
    <definedName name="IQ_PERCENT_CHANGE_EST_EPS_6MONTHS" hidden="1">"c1786"</definedName>
    <definedName name="IQ_PERCENT_CHANGE_EST_EPS_9MONTHS" hidden="1">"c1787"</definedName>
    <definedName name="IQ_PERCENT_CHANGE_EST_EPS_DAY" hidden="1">"c1782"</definedName>
    <definedName name="IQ_PERCENT_CHANGE_EST_EPS_MONTH" hidden="1">"c1784"</definedName>
    <definedName name="IQ_PERCENT_CHANGE_EST_EPS_WEEK" hidden="1">"c1783"</definedName>
    <definedName name="IQ_PERCENT_CHANGE_EST_FFO_12MONTHS" hidden="1">"c1828"</definedName>
    <definedName name="IQ_PERCENT_CHANGE_EST_FFO_18MONTHS" hidden="1">"c1829"</definedName>
    <definedName name="IQ_PERCENT_CHANGE_EST_FFO_3MONTHS" hidden="1">"c1825"</definedName>
    <definedName name="IQ_PERCENT_CHANGE_EST_FFO_6MONTHS" hidden="1">"c1826"</definedName>
    <definedName name="IQ_PERCENT_CHANGE_EST_FFO_9MONTHS" hidden="1">"c1827"</definedName>
    <definedName name="IQ_PERCENT_CHANGE_EST_FFO_DAY" hidden="1">"c1822"</definedName>
    <definedName name="IQ_PERCENT_CHANGE_EST_FFO_MONTH" hidden="1">"c1824"</definedName>
    <definedName name="IQ_PERCENT_CHANGE_EST_FFO_WEEK" hidden="1">"c1823"</definedName>
    <definedName name="IQ_PERCENT_CHANGE_EST_PRICE_TARGET_12MONTHS" hidden="1">"c1844"</definedName>
    <definedName name="IQ_PERCENT_CHANGE_EST_PRICE_TARGET_18MONTHS" hidden="1">"c1845"</definedName>
    <definedName name="IQ_PERCENT_CHANGE_EST_PRICE_TARGET_3MONTHS" hidden="1">"c1841"</definedName>
    <definedName name="IQ_PERCENT_CHANGE_EST_PRICE_TARGET_6MONTHS" hidden="1">"c1842"</definedName>
    <definedName name="IQ_PERCENT_CHANGE_EST_PRICE_TARGET_9MONTHS" hidden="1">"c1843"</definedName>
    <definedName name="IQ_PERCENT_CHANGE_EST_PRICE_TARGET_DAY" hidden="1">"c1838"</definedName>
    <definedName name="IQ_PERCENT_CHANGE_EST_PRICE_TARGET_MONTH" hidden="1">"c1840"</definedName>
    <definedName name="IQ_PERCENT_CHANGE_EST_PRICE_TARGET_WEEK" hidden="1">"c1839"</definedName>
    <definedName name="IQ_PERCENT_CHANGE_EST_RECO_12MONTHS" hidden="1">"c1836"</definedName>
    <definedName name="IQ_PERCENT_CHANGE_EST_RECO_18MONTHS" hidden="1">"c1837"</definedName>
    <definedName name="IQ_PERCENT_CHANGE_EST_RECO_3MONTHS" hidden="1">"c1833"</definedName>
    <definedName name="IQ_PERCENT_CHANGE_EST_RECO_6MONTHS" hidden="1">"c1834"</definedName>
    <definedName name="IQ_PERCENT_CHANGE_EST_RECO_9MONTHS" hidden="1">"c1835"</definedName>
    <definedName name="IQ_PERCENT_CHANGE_EST_RECO_DAY" hidden="1">"c1830"</definedName>
    <definedName name="IQ_PERCENT_CHANGE_EST_RECO_MONTH" hidden="1">"c1832"</definedName>
    <definedName name="IQ_PERCENT_CHANGE_EST_RECO_WEEK" hidden="1">"c1831"</definedName>
    <definedName name="IQ_PERCENT_CHANGE_EST_REV_12MONTHS" hidden="1">"c1796"</definedName>
    <definedName name="IQ_PERCENT_CHANGE_EST_REV_18MONTHS" hidden="1">"c1797"</definedName>
    <definedName name="IQ_PERCENT_CHANGE_EST_REV_3MONTHS" hidden="1">"c1793"</definedName>
    <definedName name="IQ_PERCENT_CHANGE_EST_REV_6MONTHS" hidden="1">"c1794"</definedName>
    <definedName name="IQ_PERCENT_CHANGE_EST_REV_9MONTHS" hidden="1">"c1795"</definedName>
    <definedName name="IQ_PERCENT_CHANGE_EST_REV_DAY" hidden="1">"c1790"</definedName>
    <definedName name="IQ_PERCENT_CHANGE_EST_REV_MONTH" hidden="1">"c1792"</definedName>
    <definedName name="IQ_PERCENT_CHANGE_EST_REV_WEEK" hidden="1">"c1791"</definedName>
    <definedName name="IQ_PERIODDATE" hidden="1">"c1414"</definedName>
    <definedName name="IQ_PERIODDATE_BS" hidden="1">"c1032"</definedName>
    <definedName name="IQ_PERIODDATE_CF" hidden="1">"c1033"</definedName>
    <definedName name="IQ_PERIODDATE_IS" hidden="1">"c1034"</definedName>
    <definedName name="IQ_PERIODLENGTH_CF" hidden="1">"c1502"</definedName>
    <definedName name="IQ_PERIODLENGTH_IS" hidden="1">"c1503"</definedName>
    <definedName name="IQ_PERTYPE" hidden="1">"c1611"</definedName>
    <definedName name="IQ_PLL" hidden="1">"c2114"</definedName>
    <definedName name="IQ_PMT_FREQ" hidden="1">"c2236"</definedName>
    <definedName name="IQ_POISON_PUT_EFFECT_DATE" hidden="1">"c2486"</definedName>
    <definedName name="IQ_POISON_PUT_EXPIRATION_DATE" hidden="1">"c2487"</definedName>
    <definedName name="IQ_POISON_PUT_PRICE" hidden="1">"c2488"</definedName>
    <definedName name="IQ_POLICY_BENEFITS" hidden="1">"c1036"</definedName>
    <definedName name="IQ_POLICY_COST" hidden="1">"c1037"</definedName>
    <definedName name="IQ_POLICY_LIAB" hidden="1">"c1612"</definedName>
    <definedName name="IQ_POLICY_LOANS" hidden="1">"c1038"</definedName>
    <definedName name="IQ_POST_RETIRE_EXP" hidden="1">"c1039"</definedName>
    <definedName name="IQ_POSTPAID_CHURN" hidden="1">"c2121"</definedName>
    <definedName name="IQ_POSTPAID_SUBS" hidden="1">"c2118"</definedName>
    <definedName name="IQ_POTENTIAL_UPSIDE" hidden="1">"c1855"</definedName>
    <definedName name="IQ_PRE_OPEN_COST" hidden="1">"c1040"</definedName>
    <definedName name="IQ_PRE_TAX_ACT_OR_EST" hidden="1">"c2221"</definedName>
    <definedName name="IQ_PREF_CONVERT" hidden="1">"c1041"</definedName>
    <definedName name="IQ_PREF_DIV_CF" hidden="1">"c1042"</definedName>
    <definedName name="IQ_PREF_DIV_OTHER" hidden="1">"c1043"</definedName>
    <definedName name="IQ_PREF_DIVID" hidden="1">"c1461"</definedName>
    <definedName name="IQ_PREF_EQUITY" hidden="1">"c1044"</definedName>
    <definedName name="IQ_PREF_ISSUED" hidden="1">"c1045"</definedName>
    <definedName name="IQ_PREF_ISSUED_BNK" hidden="1">"c1046"</definedName>
    <definedName name="IQ_PREF_ISSUED_BR" hidden="1">"c1047"</definedName>
    <definedName name="IQ_PREF_ISSUED_FIN" hidden="1">"c1048"</definedName>
    <definedName name="IQ_PREF_ISSUED_INS" hidden="1">"c1049"</definedName>
    <definedName name="IQ_PREF_ISSUED_REIT" hidden="1">"c1050"</definedName>
    <definedName name="IQ_PREF_ISSUED_UTI" hidden="1">"c1051"</definedName>
    <definedName name="IQ_PREF_NON_REDEEM" hidden="1">"c1052"</definedName>
    <definedName name="IQ_PREF_OTHER" hidden="1">"c1053"</definedName>
    <definedName name="IQ_PREF_OTHER_BNK" hidden="1">"c1054"</definedName>
    <definedName name="IQ_PREF_OTHER_BR" hidden="1">"c1055"</definedName>
    <definedName name="IQ_PREF_OTHER_FIN" hidden="1">"c1056"</definedName>
    <definedName name="IQ_PREF_OTHER_INS" hidden="1">"c1057"</definedName>
    <definedName name="IQ_PREF_OTHER_REIT" hidden="1">"c1058"</definedName>
    <definedName name="IQ_PREF_REDEEM" hidden="1">"c1059"</definedName>
    <definedName name="IQ_PREF_REP" hidden="1">"c1060"</definedName>
    <definedName name="IQ_PREF_REP_BNK" hidden="1">"c1061"</definedName>
    <definedName name="IQ_PREF_REP_BR" hidden="1">"c1062"</definedName>
    <definedName name="IQ_PREF_REP_FIN" hidden="1">"c1063"</definedName>
    <definedName name="IQ_PREF_REP_INS" hidden="1">"c1064"</definedName>
    <definedName name="IQ_PREF_REP_REIT" hidden="1">"c1065"</definedName>
    <definedName name="IQ_PREF_REP_UTI" hidden="1">"c1066"</definedName>
    <definedName name="IQ_PREF_STOCK" hidden="1">"c1416"</definedName>
    <definedName name="IQ_PREF_TOT" hidden="1">"c1415"</definedName>
    <definedName name="IQ_PREMIUMS_ANNUITY_REV" hidden="1">"c1067"</definedName>
    <definedName name="IQ_PREPAID_CHURN" hidden="1">"c2120"</definedName>
    <definedName name="IQ_PREPAID_EXP" hidden="1">"c1068"</definedName>
    <definedName name="IQ_PREPAID_EXPEN" hidden="1">"c1418"</definedName>
    <definedName name="IQ_PREPAID_SUBS" hidden="1">"c2117"</definedName>
    <definedName name="IQ_PRETAX_GW_INC_EST" hidden="1">"c1702"</definedName>
    <definedName name="IQ_PRETAX_GW_INC_HIGH_EST" hidden="1">"c1704"</definedName>
    <definedName name="IQ_PRETAX_GW_INC_LOW_EST" hidden="1">"c1705"</definedName>
    <definedName name="IQ_PRETAX_GW_INC_MEDIAN_EST" hidden="1">"c1703"</definedName>
    <definedName name="IQ_PRETAX_GW_INC_NUM_EST" hidden="1">"c1706"</definedName>
    <definedName name="IQ_PRETAX_GW_INC_STDDEV_EST" hidden="1">"c1707"</definedName>
    <definedName name="IQ_PRETAX_INC_EST" hidden="1">"c1695"</definedName>
    <definedName name="IQ_PRETAX_INC_HIGH_EST" hidden="1">"c1697"</definedName>
    <definedName name="IQ_PRETAX_INC_LOW_EST" hidden="1">"c1698"</definedName>
    <definedName name="IQ_PRETAX_INC_MEDIAN_EST" hidden="1">"c1696"</definedName>
    <definedName name="IQ_PRETAX_INC_NUM_EST" hidden="1">"c1699"</definedName>
    <definedName name="IQ_PRETAX_INC_STDDEV_EST" hidden="1">"c1700"</definedName>
    <definedName name="IQ_PRETAX_REPORT_INC_EST" hidden="1">"c1709"</definedName>
    <definedName name="IQ_PRETAX_REPORT_INC_HIGH_EST" hidden="1">"c1711"</definedName>
    <definedName name="IQ_PRETAX_REPORT_INC_LOW_EST" hidden="1">"c1712"</definedName>
    <definedName name="IQ_PRETAX_REPORT_INC_MEDIAN_EST" hidden="1">"c1710"</definedName>
    <definedName name="IQ_PRETAX_REPORT_INC_NUM_EST" hidden="1">"c1713"</definedName>
    <definedName name="IQ_PRETAX_REPORT_INC_STDDEV_EST" hidden="1">"c1714"</definedName>
    <definedName name="IQ_PRICE_CFPS_FWD" hidden="1">"c2237"</definedName>
    <definedName name="IQ_PRICE_OVER_BVPS" hidden="1">"c1412"</definedName>
    <definedName name="IQ_PRICE_OVER_LTM_EPS" hidden="1">"c1413"</definedName>
    <definedName name="IQ_PRICE_TARGET" hidden="1">"c82"</definedName>
    <definedName name="IQ_PRICE_TARGET_REUT" hidden="1">"c3631"</definedName>
    <definedName name="IQ_PRICEDATE" hidden="1">"c1069"</definedName>
    <definedName name="IQ_PRICEDATETIME" hidden="1">"IQ_PRICEDATETIME"</definedName>
    <definedName name="IQ_PRICING_DATE" hidden="1">"c1613"</definedName>
    <definedName name="IQ_PRIMARY_INDUSTRY" hidden="1">"c1070"</definedName>
    <definedName name="IQ_PRINCIPAL_AMT" hidden="1">"c2157"</definedName>
    <definedName name="IQ_PRO_FORMA_BASIC_EPS" hidden="1">"c1614"</definedName>
    <definedName name="IQ_PRO_FORMA_DILUT_EPS" hidden="1">"c1615"</definedName>
    <definedName name="IQ_PRO_FORMA_NET_INC" hidden="1">"c1452"</definedName>
    <definedName name="IQ_PROFESSIONAL" hidden="1">"c1071"</definedName>
    <definedName name="IQ_PROFESSIONAL_TITLE" hidden="1">"c1072"</definedName>
    <definedName name="IQ_PROJECTED_PENSION_OBLIGATION" hidden="1">"c1292"</definedName>
    <definedName name="IQ_PROJECTED_PENSION_OBLIGATION_DOMESTIC" hidden="1">"c2656"</definedName>
    <definedName name="IQ_PROJECTED_PENSION_OBLIGATION_FOREIGN" hidden="1">"c2664"</definedName>
    <definedName name="IQ_PROPERTY_EXP" hidden="1">"c1073"</definedName>
    <definedName name="IQ_PROPERTY_GROSS" hidden="1">"c1379"</definedName>
    <definedName name="IQ_PROPERTY_MGMT_FEE" hidden="1">"c1074"</definedName>
    <definedName name="IQ_PROPERTY_NET" hidden="1">"c1402"</definedName>
    <definedName name="IQ_PROV_BAD_DEBTS" hidden="1">"c1075"</definedName>
    <definedName name="IQ_PROV_BAD_DEBTS_CF" hidden="1">"c1076"</definedName>
    <definedName name="IQ_PROVISION_10YR_ANN_GROWTH" hidden="1">"c1077"</definedName>
    <definedName name="IQ_PROVISION_1YR_ANN_GROWTH" hidden="1">"c1078"</definedName>
    <definedName name="IQ_PROVISION_2YR_ANN_GROWTH" hidden="1">"c1079"</definedName>
    <definedName name="IQ_PROVISION_3YR_ANN_GROWTH" hidden="1">"c1080"</definedName>
    <definedName name="IQ_PROVISION_5YR_ANN_GROWTH" hidden="1">"c1081"</definedName>
    <definedName name="IQ_PROVISION_7YR_ANN_GROWTH" hidden="1">"c1082"</definedName>
    <definedName name="IQ_PROVISION_CHARGE_OFFS" hidden="1">"c1083"</definedName>
    <definedName name="IQ_PTBV" hidden="1">"c1084"</definedName>
    <definedName name="IQ_PTBV_AVG" hidden="1">"c1085"</definedName>
    <definedName name="IQ_PUT_DATE_SCHEDULE" hidden="1">"c2483"</definedName>
    <definedName name="IQ_PUT_NOTIFICATION" hidden="1">"c2485"</definedName>
    <definedName name="IQ_PUT_PRICE_SCHEDULE" hidden="1">"c2484"</definedName>
    <definedName name="IQ_QTD" hidden="1">750000</definedName>
    <definedName name="IQ_QUICK_RATIO" hidden="1">"c1086"</definedName>
    <definedName name="IQ_RATE_COMP_GROWTH_DOMESTIC" hidden="1">"c1087"</definedName>
    <definedName name="IQ_RATE_COMP_GROWTH_FOREIGN" hidden="1">"c1088"</definedName>
    <definedName name="IQ_RAW_INV" hidden="1">"c1089"</definedName>
    <definedName name="IQ_RC" hidden="1">"c2497"</definedName>
    <definedName name="IQ_RC_PCT" hidden="1">"c2498"</definedName>
    <definedName name="IQ_RD_EXP" hidden="1">"c1090"</definedName>
    <definedName name="IQ_RD_EXP_FN" hidden="1">"c1091"</definedName>
    <definedName name="IQ_RE" hidden="1">"c1092"</definedName>
    <definedName name="IQ_REAL_ESTATE" hidden="1">"c1093"</definedName>
    <definedName name="IQ_REAL_ESTATE_ASSETS" hidden="1">"c1094"</definedName>
    <definedName name="IQ_RECURRING_PROFIT_ACT_OR_EST" hidden="1">"c4507"</definedName>
    <definedName name="IQ_RECURRING_PROFIT_SHARE_ACT_OR_EST" hidden="1">"c4508"</definedName>
    <definedName name="IQ_REDEEM_PREF_STOCK" hidden="1">"c1417"</definedName>
    <definedName name="IQ_REG_ASSETS" hidden="1">"c1095"</definedName>
    <definedName name="IQ_REINSUR_PAY" hidden="1">"c1096"</definedName>
    <definedName name="IQ_REINSUR_PAY_CF" hidden="1">"c1097"</definedName>
    <definedName name="IQ_REINSUR_RECOVER" hidden="1">"c1098"</definedName>
    <definedName name="IQ_REINSUR_RECOVER_CF" hidden="1">"c1099"</definedName>
    <definedName name="IQ_REINSURANCE" hidden="1">"c1100"</definedName>
    <definedName name="IQ_RENTAL_REV" hidden="1">"c1101"</definedName>
    <definedName name="IQ_RESEARCH_DEV" hidden="1">"c1419"</definedName>
    <definedName name="IQ_RESIDENTIAL_LOANS" hidden="1">"c1102"</definedName>
    <definedName name="IQ_RESTATEMENT_BS" hidden="1">"c1643"</definedName>
    <definedName name="IQ_RESTATEMENT_CF" hidden="1">"c1644"</definedName>
    <definedName name="IQ_RESTATEMENT_IS" hidden="1">"c1642"</definedName>
    <definedName name="IQ_RESTR_STOCK_COMP" hidden="1">"c3506"</definedName>
    <definedName name="IQ_RESTR_STOCK_COMP_PRETAX" hidden="1">"c3504"</definedName>
    <definedName name="IQ_RESTR_STOCK_COMP_TAX" hidden="1">"c3505"</definedName>
    <definedName name="IQ_RESTRICTED_CASH" hidden="1">"c1103"</definedName>
    <definedName name="IQ_RESTRUCTURE" hidden="1">"c1104"</definedName>
    <definedName name="IQ_RESTRUCTURE_BNK" hidden="1">"c1105"</definedName>
    <definedName name="IQ_RESTRUCTURE_BR" hidden="1">"c1106"</definedName>
    <definedName name="IQ_RESTRUCTURE_CF" hidden="1">"c1107"</definedName>
    <definedName name="IQ_RESTRUCTURE_FIN" hidden="1">"c1108"</definedName>
    <definedName name="IQ_RESTRUCTURE_INS" hidden="1">"c1109"</definedName>
    <definedName name="IQ_RESTRUCTURE_REIT" hidden="1">"c1110"</definedName>
    <definedName name="IQ_RESTRUCTURE_UTI" hidden="1">"c1111"</definedName>
    <definedName name="IQ_RESTRUCTURED_LOANS" hidden="1">"c1112"</definedName>
    <definedName name="IQ_RETAIL_ACQUIRED_FRANCHISE_STORES" hidden="1">"c2903"</definedName>
    <definedName name="IQ_RETAIL_ACQUIRED_OWNED_STORES" hidden="1">"c2895"</definedName>
    <definedName name="IQ_RETAIL_ACQUIRED_STORES" hidden="1">"c2887"</definedName>
    <definedName name="IQ_RETAIL_AVG_STORE_SIZE_GROSS" hidden="1">"c2066"</definedName>
    <definedName name="IQ_RETAIL_AVG_STORE_SIZE_NET" hidden="1">"c2067"</definedName>
    <definedName name="IQ_RETAIL_AVG_WK_SALES" hidden="1">"c2891"</definedName>
    <definedName name="IQ_RETAIL_AVG_WK_SALES_FRANCHISE" hidden="1">"c2899"</definedName>
    <definedName name="IQ_RETAIL_AVG_WK_SALES_OWNED" hidden="1">"c2907"</definedName>
    <definedName name="IQ_RETAIL_CLOSED_FRANCHISE_STORES" hidden="1">"c2896"</definedName>
    <definedName name="IQ_RETAIL_CLOSED_OWNED_STORES" hidden="1">"c2904"</definedName>
    <definedName name="IQ_RETAIL_CLOSED_STORES" hidden="1">"c2063"</definedName>
    <definedName name="IQ_RETAIL_FRANCHISE_STORES_BEG" hidden="1">"c2893"</definedName>
    <definedName name="IQ_RETAIL_OPENED_FRANCHISE_STORES" hidden="1">"c2894"</definedName>
    <definedName name="IQ_RETAIL_OPENED_OWNED_STORES" hidden="1">"c2902"</definedName>
    <definedName name="IQ_RETAIL_OPENED_STORES" hidden="1">"c2062"</definedName>
    <definedName name="IQ_RETAIL_OWNED_STORES_BEG" hidden="1">"c2901"</definedName>
    <definedName name="IQ_RETAIL_SALES_SQFT_ALL_GROSS" hidden="1">"c2138"</definedName>
    <definedName name="IQ_RETAIL_SALES_SQFT_ALL_NET" hidden="1">"c2139"</definedName>
    <definedName name="IQ_RETAIL_SALES_SQFT_COMPARABLE_GROSS" hidden="1">"c2136"</definedName>
    <definedName name="IQ_RETAIL_SALES_SQFT_COMPARABLE_NET" hidden="1">"c2137"</definedName>
    <definedName name="IQ_RETAIL_SALES_SQFT_OWNED_GROSS" hidden="1">"c2134"</definedName>
    <definedName name="IQ_RETAIL_SALES_SQFT_OWNED_NET" hidden="1">"c2135"</definedName>
    <definedName name="IQ_RETAIL_SOLD_FRANCHISE_STORES" hidden="1">"c2897"</definedName>
    <definedName name="IQ_RETAIL_SOLD_OWNED_STORES" hidden="1">"c2905"</definedName>
    <definedName name="IQ_RETAIL_SOLD_STORES" hidden="1">"c2889"</definedName>
    <definedName name="IQ_RETAIL_SQ_FOOTAGE" hidden="1">"c2064"</definedName>
    <definedName name="IQ_RETAIL_STORE_SELLING_AREA" hidden="1">"c2065"</definedName>
    <definedName name="IQ_RETAIL_STORES_BEG" hidden="1">"c2885"</definedName>
    <definedName name="IQ_RETAIL_TOTAL_FRANCHISE_STORES" hidden="1">"c2898"</definedName>
    <definedName name="IQ_RETAIL_TOTAL_OWNED_STORES" hidden="1">"c2906"</definedName>
    <definedName name="IQ_RETAIL_TOTAL_STORES" hidden="1">"c2061"</definedName>
    <definedName name="IQ_RETAINED_EARN" hidden="1">"c1420"</definedName>
    <definedName name="IQ_RETURN_ASSETS" hidden="1">"c1113"</definedName>
    <definedName name="IQ_RETURN_ASSETS_BANK" hidden="1">"c1114"</definedName>
    <definedName name="IQ_RETURN_ASSETS_BROK" hidden="1">"c1115"</definedName>
    <definedName name="IQ_RETURN_ASSETS_FS" hidden="1">"c1116"</definedName>
    <definedName name="IQ_RETURN_CAPITAL" hidden="1">"c1117"</definedName>
    <definedName name="IQ_RETURN_EQUITY" hidden="1">"c1118"</definedName>
    <definedName name="IQ_RETURN_EQUITY_BANK" hidden="1">"c1119"</definedName>
    <definedName name="IQ_RETURN_EQUITY_BROK" hidden="1">"c1120"</definedName>
    <definedName name="IQ_RETURN_EQUITY_FS" hidden="1">"c1121"</definedName>
    <definedName name="IQ_RETURN_INVESTMENT" hidden="1">"c1421"</definedName>
    <definedName name="IQ_REV" hidden="1">"c1122"</definedName>
    <definedName name="IQ_REV_BEFORE_LL" hidden="1">"c1123"</definedName>
    <definedName name="IQ_REV_STDDEV_EST" hidden="1">"c1124"</definedName>
    <definedName name="IQ_REV_STDDEV_EST_REUT" hidden="1">"c3639"</definedName>
    <definedName name="IQ_REV_UTI" hidden="1">"c1125"</definedName>
    <definedName name="IQ_REVENUE" hidden="1">"c1422"</definedName>
    <definedName name="IQ_REVENUE_ACT_OR_EST" hidden="1">"c2214"</definedName>
    <definedName name="IQ_REVENUE_EST" hidden="1">"c1126"</definedName>
    <definedName name="IQ_REVENUE_EST_REUT" hidden="1">"c3634"</definedName>
    <definedName name="IQ_REVENUE_HIGH_EST" hidden="1">"c1127"</definedName>
    <definedName name="IQ_REVENUE_HIGH_EST_REUT" hidden="1">"c3636"</definedName>
    <definedName name="IQ_REVENUE_LOW_EST" hidden="1">"c1128"</definedName>
    <definedName name="IQ_REVENUE_LOW_EST_REUT" hidden="1">"c3637"</definedName>
    <definedName name="IQ_REVENUE_MEDIAN_EST" hidden="1">"c1662"</definedName>
    <definedName name="IQ_REVENUE_MEDIAN_EST_REUT" hidden="1">"c3635"</definedName>
    <definedName name="IQ_REVENUE_NUM_EST" hidden="1">"c1129"</definedName>
    <definedName name="IQ_REVENUE_NUM_EST_REUT" hidden="1">"c3638"</definedName>
    <definedName name="IQ_REVISION_DATE_" localSheetId="2" hidden="1">38993.5826736111</definedName>
    <definedName name="IQ_REVISION_DATE_" hidden="1">39244.4711574074</definedName>
    <definedName name="IQ_REVISION_DATE_1" hidden="1">39120.6057175926</definedName>
    <definedName name="IQ_REVISION_DATE_2" hidden="1">39120.6057175926</definedName>
    <definedName name="IQ_RISK_ADJ_BANK_ASSETS" hidden="1">"c2670"</definedName>
    <definedName name="IQ_SALARY" hidden="1">"c1130"</definedName>
    <definedName name="IQ_SALE_INTAN_CF" hidden="1">"c1131"</definedName>
    <definedName name="IQ_SALE_INTAN_CF_BNK" hidden="1">"c1132"</definedName>
    <definedName name="IQ_SALE_INTAN_CF_BR" hidden="1">"c1133"</definedName>
    <definedName name="IQ_SALE_INTAN_CF_FIN" hidden="1">"c1134"</definedName>
    <definedName name="IQ_SALE_INTAN_CF_INS" hidden="1">"c1135"</definedName>
    <definedName name="IQ_SALE_INTAN_CF_REIT" hidden="1">"c1627"</definedName>
    <definedName name="IQ_SALE_INTAN_CF_UTI" hidden="1">"c1136"</definedName>
    <definedName name="IQ_SALE_PPE_CF" hidden="1">"c1137"</definedName>
    <definedName name="IQ_SALE_PPE_CF_BNK" hidden="1">"c1138"</definedName>
    <definedName name="IQ_SALE_PPE_CF_BR" hidden="1">"c1139"</definedName>
    <definedName name="IQ_SALE_PPE_CF_FIN" hidden="1">"c1140"</definedName>
    <definedName name="IQ_SALE_PPE_CF_INS" hidden="1">"c1141"</definedName>
    <definedName name="IQ_SALE_PPE_CF_UTI" hidden="1">"c1142"</definedName>
    <definedName name="IQ_SALE_RE_ASSETS" hidden="1">"c1629"</definedName>
    <definedName name="IQ_SALE_REAL_ESTATE_CF" hidden="1">"c1143"</definedName>
    <definedName name="IQ_SALE_REAL_ESTATE_CF_BNK" hidden="1">"c1144"</definedName>
    <definedName name="IQ_SALE_REAL_ESTATE_CF_BR" hidden="1">"c1145"</definedName>
    <definedName name="IQ_SALE_REAL_ESTATE_CF_FIN" hidden="1">"c1146"</definedName>
    <definedName name="IQ_SALE_REAL_ESTATE_CF_INS" hidden="1">"c1147"</definedName>
    <definedName name="IQ_SALE_REAL_ESTATE_CF_UTI" hidden="1">"c1148"</definedName>
    <definedName name="IQ_SALES_MARKETING" hidden="1">"c2240"</definedName>
    <definedName name="IQ_SAME_STORE" hidden="1">"c1149"</definedName>
    <definedName name="IQ_SAME_STORE_FRANCHISE" hidden="1">"c2900"</definedName>
    <definedName name="IQ_SAME_STORE_OWNED" hidden="1">"c2908"</definedName>
    <definedName name="IQ_SAME_STORE_TOTAL" hidden="1">"c2892"</definedName>
    <definedName name="IQ_SAVING_DEP" hidden="1">"c1150"</definedName>
    <definedName name="IQ_SEC_PURCHASED_RESELL" hidden="1">"c5513"</definedName>
    <definedName name="IQ_SECUR_RECEIV" hidden="1">"c1151"</definedName>
    <definedName name="IQ_SECURED_DEBT" hidden="1">"c2546"</definedName>
    <definedName name="IQ_SECURED_DEBT_PCT" hidden="1">"c2547"</definedName>
    <definedName name="IQ_SECURITY_BORROW" hidden="1">"c1152"</definedName>
    <definedName name="IQ_SECURITY_LEVEL" hidden="1">"c2159"</definedName>
    <definedName name="IQ_SECURITY_NOTES" hidden="1">"c2202"</definedName>
    <definedName name="IQ_SECURITY_OWN" hidden="1">"c1153"</definedName>
    <definedName name="IQ_SECURITY_RESELL" hidden="1">"c1154"</definedName>
    <definedName name="IQ_SECURITY_TYPE" hidden="1">"c2158"</definedName>
    <definedName name="IQ_SEPARATE_ACCT_ASSETS" hidden="1">"c1155"</definedName>
    <definedName name="IQ_SEPARATE_ACCT_LIAB" hidden="1">"c1156"</definedName>
    <definedName name="IQ_SERV_CHARGE_DEPOSITS" hidden="1">"c1157"</definedName>
    <definedName name="IQ_SGA" hidden="1">"c1158"</definedName>
    <definedName name="IQ_SGA_BNK" hidden="1">"c1159"</definedName>
    <definedName name="IQ_SGA_INS" hidden="1">"c1160"</definedName>
    <definedName name="IQ_SGA_MARGIN" hidden="1">"c1898"</definedName>
    <definedName name="IQ_SGA_REIT" hidden="1">"c1161"</definedName>
    <definedName name="IQ_SGA_SUPPL" hidden="1">"c1162"</definedName>
    <definedName name="IQ_SGA_UTI" hidden="1">"c1163"</definedName>
    <definedName name="IQ_SHAREOUTSTANDING" hidden="1">"c1347"</definedName>
    <definedName name="IQ_SHARESOUTSTANDING" hidden="1">"c1164"</definedName>
    <definedName name="IQ_SHORT_INTEREST" hidden="1">"c1165"</definedName>
    <definedName name="IQ_SHORT_INTEREST_OVER_FLOAT" hidden="1">"c1577"</definedName>
    <definedName name="IQ_SHORT_INTEREST_PERCENT" hidden="1">"c1576"</definedName>
    <definedName name="IQ_SHORT_TERM_INVEST" hidden="1">"c1425"</definedName>
    <definedName name="IQ_SMALL_INT_BEAR_CD" hidden="1">"c1166"</definedName>
    <definedName name="IQ_SOFTWARE" hidden="1">"c1167"</definedName>
    <definedName name="IQ_SOURCE" hidden="1">"c1168"</definedName>
    <definedName name="IQ_SP" hidden="1">"c2171"</definedName>
    <definedName name="IQ_SP_BANK" hidden="1">"c2637"</definedName>
    <definedName name="IQ_SP_BANK_ACTION" hidden="1">"c2636"</definedName>
    <definedName name="IQ_SP_BANK_DATE" hidden="1">"c2635"</definedName>
    <definedName name="IQ_SP_DATE" hidden="1">"c2172"</definedName>
    <definedName name="IQ_SP_FIN_ENHANCE_FX" hidden="1">"c2631"</definedName>
    <definedName name="IQ_SP_FIN_ENHANCE_FX_ACTION" hidden="1">"c2630"</definedName>
    <definedName name="IQ_SP_FIN_ENHANCE_FX_DATE" hidden="1">"c2629"</definedName>
    <definedName name="IQ_SP_FIN_ENHANCE_LC" hidden="1">"c2634"</definedName>
    <definedName name="IQ_SP_FIN_ENHANCE_LC_ACTION" hidden="1">"c2633"</definedName>
    <definedName name="IQ_SP_FIN_ENHANCE_LC_DATE" hidden="1">"c2632"</definedName>
    <definedName name="IQ_SP_FIN_STRENGTH_LC_ACTION_LT" hidden="1">"c2625"</definedName>
    <definedName name="IQ_SP_FIN_STRENGTH_LC_ACTION_ST" hidden="1">"c2626"</definedName>
    <definedName name="IQ_SP_FIN_STRENGTH_LC_DATE_LT" hidden="1">"c2623"</definedName>
    <definedName name="IQ_SP_FIN_STRENGTH_LC_DATE_ST" hidden="1">"c2624"</definedName>
    <definedName name="IQ_SP_FIN_STRENGTH_LC_LT" hidden="1">"c2627"</definedName>
    <definedName name="IQ_SP_FIN_STRENGTH_LC_ST" hidden="1">"c2628"</definedName>
    <definedName name="IQ_SP_FX_ACTION_LT" hidden="1">"c2613"</definedName>
    <definedName name="IQ_SP_FX_ACTION_ST" hidden="1">"c2614"</definedName>
    <definedName name="IQ_SP_FX_DATE_LT" hidden="1">"c2611"</definedName>
    <definedName name="IQ_SP_FX_DATE_ST" hidden="1">"c2612"</definedName>
    <definedName name="IQ_SP_FX_LT" hidden="1">"c2615"</definedName>
    <definedName name="IQ_SP_FX_ST" hidden="1">"c2616"</definedName>
    <definedName name="IQ_SP_ISSUE_ACTION" hidden="1">"c2644"</definedName>
    <definedName name="IQ_SP_ISSUE_DATE" hidden="1">"c2643"</definedName>
    <definedName name="IQ_SP_ISSUE_LT" hidden="1">"c2645"</definedName>
    <definedName name="IQ_SP_ISSUE_OUTLOOK_WATCH" hidden="1">"c2650"</definedName>
    <definedName name="IQ_SP_ISSUE_OUTLOOK_WATCH_DATE" hidden="1">"c2649"</definedName>
    <definedName name="IQ_SP_ISSUE_RECOVER" hidden="1">"c2648"</definedName>
    <definedName name="IQ_SP_ISSUE_RECOVER_ACTION" hidden="1">"c2647"</definedName>
    <definedName name="IQ_SP_ISSUE_RECOVER_DATE" hidden="1">"c2646"</definedName>
    <definedName name="IQ_SP_LC_ACTION_LT" hidden="1">"c2619"</definedName>
    <definedName name="IQ_SP_LC_ACTION_ST" hidden="1">"c2620"</definedName>
    <definedName name="IQ_SP_LC_DATE_LT" hidden="1">"c2617"</definedName>
    <definedName name="IQ_SP_LC_DATE_ST" hidden="1">"c2618"</definedName>
    <definedName name="IQ_SP_LC_LT" hidden="1">"c2621"</definedName>
    <definedName name="IQ_SP_LC_ST" hidden="1">"c2622"</definedName>
    <definedName name="IQ_SP_OUTLOOK_WATCH" hidden="1">"c2639"</definedName>
    <definedName name="IQ_SP_OUTLOOK_WATCH_DATE" hidden="1">"c2638"</definedName>
    <definedName name="IQ_SP_REASON" hidden="1">"c2174"</definedName>
    <definedName name="IQ_SP_STATUS" hidden="1">"c2173"</definedName>
    <definedName name="IQ_SPECIAL_DIV_CF" hidden="1">"c1169"</definedName>
    <definedName name="IQ_SPECIAL_DIV_CF_BNK" hidden="1">"c1170"</definedName>
    <definedName name="IQ_SPECIAL_DIV_CF_BR" hidden="1">"c1171"</definedName>
    <definedName name="IQ_SPECIAL_DIV_CF_FIN" hidden="1">"c1172"</definedName>
    <definedName name="IQ_SPECIAL_DIV_CF_INS" hidden="1">"c1173"</definedName>
    <definedName name="IQ_SPECIAL_DIV_CF_REIT" hidden="1">"c1174"</definedName>
    <definedName name="IQ_SPECIAL_DIV_CF_UTI" hidden="1">"c1175"</definedName>
    <definedName name="IQ_SPECIAL_DIV_SHARE" hidden="1">"c3007"</definedName>
    <definedName name="IQ_SR_BONDS_NOTES" hidden="1">"c2501"</definedName>
    <definedName name="IQ_SR_BONDS_NOTES_PCT" hidden="1">"c2502"</definedName>
    <definedName name="IQ_SR_DEBT" hidden="1">"c2526"</definedName>
    <definedName name="IQ_SR_DEBT_EBITDA" hidden="1">"c2552"</definedName>
    <definedName name="IQ_SR_DEBT_EBITDA_CAPEX" hidden="1">"c2553"</definedName>
    <definedName name="IQ_SR_DEBT_PCT" hidden="1">"c2527"</definedName>
    <definedName name="IQ_SR_SUB_DEBT" hidden="1">"c2530"</definedName>
    <definedName name="IQ_SR_SUB_DEBT_EBITDA" hidden="1">"c2556"</definedName>
    <definedName name="IQ_SR_SUB_DEBT_EBITDA_CAPEX" hidden="1">"c2557"</definedName>
    <definedName name="IQ_SR_SUB_DEBT_PCT" hidden="1">"c2531"</definedName>
    <definedName name="IQ_ST_DEBT" hidden="1">"c1176"</definedName>
    <definedName name="IQ_ST_DEBT_BNK" hidden="1">"c1177"</definedName>
    <definedName name="IQ_ST_DEBT_BR" hidden="1">"c1178"</definedName>
    <definedName name="IQ_ST_DEBT_FIN" hidden="1">"c1179"</definedName>
    <definedName name="IQ_ST_DEBT_INS" hidden="1">"c1180"</definedName>
    <definedName name="IQ_ST_DEBT_ISSUED" hidden="1">"c1181"</definedName>
    <definedName name="IQ_ST_DEBT_ISSUED_BNK" hidden="1">"c1182"</definedName>
    <definedName name="IQ_ST_DEBT_ISSUED_BR" hidden="1">"c1183"</definedName>
    <definedName name="IQ_ST_DEBT_ISSUED_FIN" hidden="1">"c1184"</definedName>
    <definedName name="IQ_ST_DEBT_ISSUED_INS" hidden="1">"c1185"</definedName>
    <definedName name="IQ_ST_DEBT_ISSUED_REIT" hidden="1">"c1186"</definedName>
    <definedName name="IQ_ST_DEBT_ISSUED_UTI" hidden="1">"c1187"</definedName>
    <definedName name="IQ_ST_DEBT_PCT" hidden="1">"c2539"</definedName>
    <definedName name="IQ_ST_DEBT_REIT" hidden="1">"c1188"</definedName>
    <definedName name="IQ_ST_DEBT_REPAID" hidden="1">"c1189"</definedName>
    <definedName name="IQ_ST_DEBT_REPAID_BNK" hidden="1">"c1190"</definedName>
    <definedName name="IQ_ST_DEBT_REPAID_BR" hidden="1">"c1191"</definedName>
    <definedName name="IQ_ST_DEBT_REPAID_FIN" hidden="1">"c1192"</definedName>
    <definedName name="IQ_ST_DEBT_REPAID_INS" hidden="1">"c1193"</definedName>
    <definedName name="IQ_ST_DEBT_REPAID_REIT" hidden="1">"c1194"</definedName>
    <definedName name="IQ_ST_DEBT_REPAID_UTI" hidden="1">"c1195"</definedName>
    <definedName name="IQ_ST_DEBT_UTI" hidden="1">"c1196"</definedName>
    <definedName name="IQ_ST_INVEST" hidden="1">"c1197"</definedName>
    <definedName name="IQ_ST_INVEST_UTI" hidden="1">"c1198"</definedName>
    <definedName name="IQ_ST_NOTE_RECEIV" hidden="1">"c1199"</definedName>
    <definedName name="IQ_STATE" hidden="1">"c1200"</definedName>
    <definedName name="IQ_STATUTORY_SURPLUS" hidden="1">"c1201"</definedName>
    <definedName name="IQ_STOCK_BASED" hidden="1">"c1202"</definedName>
    <definedName name="IQ_STOCK_BASED_AT" hidden="1">"c2999"</definedName>
    <definedName name="IQ_STOCK_BASED_CF" hidden="1">"c1203"</definedName>
    <definedName name="IQ_STOCK_BASED_COGS" hidden="1">"c2990"</definedName>
    <definedName name="IQ_STOCK_BASED_COMP" hidden="1">"c3512"</definedName>
    <definedName name="IQ_STOCK_BASED_COMP_PRETAX" hidden="1">"c3510"</definedName>
    <definedName name="IQ_STOCK_BASED_COMP_TAX" hidden="1">"c3511"</definedName>
    <definedName name="IQ_STOCK_BASED_GA" hidden="1">"c2993"</definedName>
    <definedName name="IQ_STOCK_BASED_OTHER" hidden="1">"c2995"</definedName>
    <definedName name="IQ_STOCK_BASED_RD" hidden="1">"c2991"</definedName>
    <definedName name="IQ_STOCK_BASED_SGA" hidden="1">"c2994"</definedName>
    <definedName name="IQ_STOCK_BASED_SM" hidden="1">"c2992"</definedName>
    <definedName name="IQ_STOCK_BASED_TOTAL" hidden="1">"c3040"</definedName>
    <definedName name="IQ_STOCK_OPTIONS_COMP" hidden="1">"c3509"</definedName>
    <definedName name="IQ_STOCK_OPTIONS_COMP_PRETAX" hidden="1">"c3507"</definedName>
    <definedName name="IQ_STOCK_OPTIONS_COMP_TAX" hidden="1">"c3508"</definedName>
    <definedName name="IQ_STRIKE_PRICE_ISSUED" hidden="1">"c1645"</definedName>
    <definedName name="IQ_STRIKE_PRICE_OS" hidden="1">"c1646"</definedName>
    <definedName name="IQ_STW" hidden="1">"c2166"</definedName>
    <definedName name="IQ_SUB_BONDS_NOTES" hidden="1">"c2503"</definedName>
    <definedName name="IQ_SUB_BONDS_NOTES_PCT" hidden="1">"c2504"</definedName>
    <definedName name="IQ_SUB_DEBT" hidden="1">"c2532"</definedName>
    <definedName name="IQ_SUB_DEBT_EBITDA" hidden="1">"c2558"</definedName>
    <definedName name="IQ_SUB_DEBT_EBITDA_CAPEX" hidden="1">"c2559"</definedName>
    <definedName name="IQ_SUB_DEBT_PCT" hidden="1">"c2533"</definedName>
    <definedName name="IQ_SUB_LEASE_AFTER_FIVE" hidden="1">"c1207"</definedName>
    <definedName name="IQ_SUB_LEASE_INC_CY" hidden="1">"c1208"</definedName>
    <definedName name="IQ_SUB_LEASE_INC_CY1" hidden="1">"c1209"</definedName>
    <definedName name="IQ_SUB_LEASE_INC_CY2" hidden="1">"c1210"</definedName>
    <definedName name="IQ_SUB_LEASE_INC_CY3" hidden="1">"c1211"</definedName>
    <definedName name="IQ_SUB_LEASE_INC_CY4" hidden="1">"c1212"</definedName>
    <definedName name="IQ_SUB_LEASE_NEXT_FIVE" hidden="1">"c1213"</definedName>
    <definedName name="IQ_SVA" hidden="1">"c1214"</definedName>
    <definedName name="IQ_TARGET_PRICE_NUM" hidden="1">"c1653"</definedName>
    <definedName name="IQ_TARGET_PRICE_NUM_REUT" hidden="1">"c5319"</definedName>
    <definedName name="IQ_TARGET_PRICE_STDDEV" hidden="1">"c1654"</definedName>
    <definedName name="IQ_TARGET_PRICE_STDDEV_REUT" hidden="1">"c5320"</definedName>
    <definedName name="IQ_TAX_BENEFIT_CF_1YR" hidden="1">"c3483"</definedName>
    <definedName name="IQ_TAX_BENEFIT_CF_2YR" hidden="1">"c3484"</definedName>
    <definedName name="IQ_TAX_BENEFIT_CF_3YR" hidden="1">"c3485"</definedName>
    <definedName name="IQ_TAX_BENEFIT_CF_4YR" hidden="1">"c3486"</definedName>
    <definedName name="IQ_TAX_BENEFIT_CF_5YR" hidden="1">"c3487"</definedName>
    <definedName name="IQ_TAX_BENEFIT_CF_AFTER_FIVE" hidden="1">"c3488"</definedName>
    <definedName name="IQ_TAX_BENEFIT_CF_MAX_YEAR" hidden="1">"c3491"</definedName>
    <definedName name="IQ_TAX_BENEFIT_CF_NO_EXP" hidden="1">"c3489"</definedName>
    <definedName name="IQ_TAX_BENEFIT_CF_TOTAL" hidden="1">"c3490"</definedName>
    <definedName name="IQ_TAX_BENEFIT_OPTIONS" hidden="1">"c1215"</definedName>
    <definedName name="IQ_TAX_EQUIV_NET_INT_INC" hidden="1">"c1216"</definedName>
    <definedName name="IQ_TBV" hidden="1">"c1906"</definedName>
    <definedName name="IQ_TBV_10YR_ANN_GROWTH" hidden="1">"c1936"</definedName>
    <definedName name="IQ_TBV_1YR_ANN_GROWTH" hidden="1">"c1931"</definedName>
    <definedName name="IQ_TBV_2YR_ANN_GROWTH" hidden="1">"c1932"</definedName>
    <definedName name="IQ_TBV_3YR_ANN_GROWTH" hidden="1">"c1933"</definedName>
    <definedName name="IQ_TBV_5YR_ANN_GROWTH" hidden="1">"c1934"</definedName>
    <definedName name="IQ_TBV_7YR_ANN_GROWTH" hidden="1">"c1935"</definedName>
    <definedName name="IQ_TBV_SHARE" hidden="1">"c1217"</definedName>
    <definedName name="IQ_TEMPLATE" hidden="1">"c1521"</definedName>
    <definedName name="IQ_TENANT" hidden="1">"c1218"</definedName>
    <definedName name="IQ_TERM_LOANS" hidden="1">"c2499"</definedName>
    <definedName name="IQ_TERM_LOANS_PCT" hidden="1">"c2500"</definedName>
    <definedName name="IQ_TEV" hidden="1">"c1219"</definedName>
    <definedName name="IQ_TEV_EBIT" hidden="1">"c1220"</definedName>
    <definedName name="IQ_TEV_EBIT_AVG" hidden="1">"c1221"</definedName>
    <definedName name="IQ_TEV_EBIT_FWD" hidden="1">"c2238"</definedName>
    <definedName name="IQ_TEV_EBITDA" hidden="1">"c1222"</definedName>
    <definedName name="IQ_TEV_EBITDA_AVG" hidden="1">"c1223"</definedName>
    <definedName name="IQ_TEV_EBITDA_FWD" hidden="1">"c1224"</definedName>
    <definedName name="IQ_TEV_EBITDA_FWD_REUT" hidden="1">"c4050"</definedName>
    <definedName name="IQ_TEV_EMPLOYEE_AVG" hidden="1">"c1225"</definedName>
    <definedName name="IQ_TEV_TOTAL_REV" hidden="1">"c1226"</definedName>
    <definedName name="IQ_TEV_TOTAL_REV_AVG" hidden="1">"c1227"</definedName>
    <definedName name="IQ_TEV_TOTAL_REV_FWD" hidden="1">"c1228"</definedName>
    <definedName name="IQ_TEV_TOTAL_REV_FWD_REUT" hidden="1">"c4051"</definedName>
    <definedName name="IQ_TEV_UFCF" hidden="1">"c2208"</definedName>
    <definedName name="IQ_TIER_ONE_CAPITAL" hidden="1">"c2667"</definedName>
    <definedName name="IQ_TIER_ONE_RATIO" hidden="1">"c1229"</definedName>
    <definedName name="IQ_TIER_TWO_CAPITAL" hidden="1">"c2669"</definedName>
    <definedName name="IQ_TIME_DEP" hidden="1">"c1230"</definedName>
    <definedName name="IQ_TODAY" hidden="1">0</definedName>
    <definedName name="IQ_TOT_ADJ_INC" hidden="1">"c1616"</definedName>
    <definedName name="IQ_TOTAL_AR_BR" hidden="1">"c1231"</definedName>
    <definedName name="IQ_TOTAL_AR_REIT" hidden="1">"c1232"</definedName>
    <definedName name="IQ_TOTAL_AR_UTI" hidden="1">"c1233"</definedName>
    <definedName name="IQ_TOTAL_ASSETS" hidden="1">"c1234"</definedName>
    <definedName name="IQ_TOTAL_ASSETS_10YR_ANN_GROWTH" hidden="1">"c1235"</definedName>
    <definedName name="IQ_TOTAL_ASSETS_1YR_ANN_GROWTH" hidden="1">"c1236"</definedName>
    <definedName name="IQ_TOTAL_ASSETS_2YR_ANN_GROWTH" hidden="1">"c1237"</definedName>
    <definedName name="IQ_TOTAL_ASSETS_3YR_ANN_GROWTH" hidden="1">"c1238"</definedName>
    <definedName name="IQ_TOTAL_ASSETS_5YR_ANN_GROWTH" hidden="1">"c1239"</definedName>
    <definedName name="IQ_TOTAL_ASSETS_7YR_ANN_GROWTH" hidden="1">"c1240"</definedName>
    <definedName name="IQ_TOTAL_AVG_CE_TOTAL_AVG_ASSETS" hidden="1">"c1241"</definedName>
    <definedName name="IQ_TOTAL_AVG_EQUITY_TOTAL_AVG_ASSETS" hidden="1">"c1242"</definedName>
    <definedName name="IQ_TOTAL_BANK_CAPITAL" hidden="1">"c2668"</definedName>
    <definedName name="IQ_TOTAL_CA" hidden="1">"c1243"</definedName>
    <definedName name="IQ_TOTAL_CAP" hidden="1">"c1507"</definedName>
    <definedName name="IQ_TOTAL_CAPITAL_RATIO" hidden="1">"c1244"</definedName>
    <definedName name="IQ_TOTAL_CASH_DIVID" hidden="1">"c1455"</definedName>
    <definedName name="IQ_TOTAL_CASH_FINAN" hidden="1">"c1352"</definedName>
    <definedName name="IQ_TOTAL_CASH_INVEST" hidden="1">"c1353"</definedName>
    <definedName name="IQ_TOTAL_CASH_OPER" hidden="1">"c1354"</definedName>
    <definedName name="IQ_TOTAL_CHURN" hidden="1">"c2122"</definedName>
    <definedName name="IQ_TOTAL_CL" hidden="1">"c1245"</definedName>
    <definedName name="IQ_TOTAL_COMMON" hidden="1">"c1411"</definedName>
    <definedName name="IQ_TOTAL_COMMON_EQUITY" hidden="1">"c1246"</definedName>
    <definedName name="IQ_TOTAL_CURRENT_ASSETS" hidden="1">"c1430"</definedName>
    <definedName name="IQ_TOTAL_CURRENT_LIAB" hidden="1">"c1431"</definedName>
    <definedName name="IQ_TOTAL_DEBT" hidden="1">"c1247"</definedName>
    <definedName name="IQ_TOTAL_DEBT_CAPITAL" hidden="1">"c1248"</definedName>
    <definedName name="IQ_TOTAL_DEBT_EBITDA" hidden="1">"c1249"</definedName>
    <definedName name="IQ_TOTAL_DEBT_EBITDA_CAPEX" hidden="1">"c2948"</definedName>
    <definedName name="IQ_TOTAL_DEBT_EQUITY" hidden="1">"c1250"</definedName>
    <definedName name="IQ_TOTAL_DEBT_EXCL_FIN" hidden="1">"c2937"</definedName>
    <definedName name="IQ_TOTAL_DEBT_ISSUED" hidden="1">"c1251"</definedName>
    <definedName name="IQ_TOTAL_DEBT_ISSUED_BNK" hidden="1">"c1252"</definedName>
    <definedName name="IQ_TOTAL_DEBT_ISSUED_BR" hidden="1">"c1253"</definedName>
    <definedName name="IQ_TOTAL_DEBT_ISSUED_FIN" hidden="1">"c1254"</definedName>
    <definedName name="IQ_TOTAL_DEBT_ISSUED_REIT" hidden="1">"c1255"</definedName>
    <definedName name="IQ_TOTAL_DEBT_ISSUED_UTI" hidden="1">"c1256"</definedName>
    <definedName name="IQ_TOTAL_DEBT_ISSUES_INS" hidden="1">"c1257"</definedName>
    <definedName name="IQ_TOTAL_DEBT_OVER_EBITDA" hidden="1">"c1433"</definedName>
    <definedName name="IQ_TOTAL_DEBT_OVER_TOTAL_BV" hidden="1">"c1434"</definedName>
    <definedName name="IQ_TOTAL_DEBT_OVER_TOTAL_CAP" hidden="1">"c1432"</definedName>
    <definedName name="IQ_TOTAL_DEBT_REPAID" hidden="1">"c1258"</definedName>
    <definedName name="IQ_TOTAL_DEBT_REPAID_BNK" hidden="1">"c1259"</definedName>
    <definedName name="IQ_TOTAL_DEBT_REPAID_BR" hidden="1">"c1260"</definedName>
    <definedName name="IQ_TOTAL_DEBT_REPAID_FIN" hidden="1">"c1261"</definedName>
    <definedName name="IQ_TOTAL_DEBT_REPAID_INS" hidden="1">"c1262"</definedName>
    <definedName name="IQ_TOTAL_DEBT_REPAID_REIT" hidden="1">"c1263"</definedName>
    <definedName name="IQ_TOTAL_DEBT_REPAID_UTI" hidden="1">"c1264"</definedName>
    <definedName name="IQ_TOTAL_DEPOSITS" hidden="1">"c1265"</definedName>
    <definedName name="IQ_TOTAL_DIV_PAID_CF" hidden="1">"c1266"</definedName>
    <definedName name="IQ_TOTAL_EMPLOYEE" hidden="1">"c2141"</definedName>
    <definedName name="IQ_TOTAL_EMPLOYEES" hidden="1">"c1522"</definedName>
    <definedName name="IQ_TOTAL_EQUITY" hidden="1">"c1267"</definedName>
    <definedName name="IQ_TOTAL_EQUITY_10YR_ANN_GROWTH" hidden="1">"c1268"</definedName>
    <definedName name="IQ_TOTAL_EQUITY_1YR_ANN_GROWTH" hidden="1">"c1269"</definedName>
    <definedName name="IQ_TOTAL_EQUITY_2YR_ANN_GROWTH" hidden="1">"c1270"</definedName>
    <definedName name="IQ_TOTAL_EQUITY_3YR_ANN_GROWTH" hidden="1">"c1271"</definedName>
    <definedName name="IQ_TOTAL_EQUITY_5YR_ANN_GROWTH" hidden="1">"c1272"</definedName>
    <definedName name="IQ_TOTAL_EQUITY_7YR_ANN_GROWTH" hidden="1">"c1273"</definedName>
    <definedName name="IQ_TOTAL_EQUITY_ALLOWANCE_TOTAL_LOANS" hidden="1">"c1274"</definedName>
    <definedName name="IQ_TOTAL_INTEREST_EXP" hidden="1">"c1382"</definedName>
    <definedName name="IQ_TOTAL_INVENTORY" hidden="1">"c1385"</definedName>
    <definedName name="IQ_TOTAL_INVEST" hidden="1">"c1275"</definedName>
    <definedName name="IQ_TOTAL_LIAB" hidden="1">"c1276"</definedName>
    <definedName name="IQ_TOTAL_LIAB_BNK" hidden="1">"c1277"</definedName>
    <definedName name="IQ_TOTAL_LIAB_BR" hidden="1">"c1278"</definedName>
    <definedName name="IQ_TOTAL_LIAB_EQUITY" hidden="1">"c1279"</definedName>
    <definedName name="IQ_TOTAL_LIAB_FIN" hidden="1">"c1280"</definedName>
    <definedName name="IQ_TOTAL_LIAB_INS" hidden="1">"c1281"</definedName>
    <definedName name="IQ_TOTAL_LIAB_REIT" hidden="1">"c1282"</definedName>
    <definedName name="IQ_TOTAL_LIAB_SHAREHOLD" hidden="1">"c1435"</definedName>
    <definedName name="IQ_TOTAL_LIAB_TOTAL_ASSETS" hidden="1">"c1283"</definedName>
    <definedName name="IQ_TOTAL_LONG_DEBT" hidden="1">"c1617"</definedName>
    <definedName name="IQ_TOTAL_NON_REC" hidden="1">"c1444"</definedName>
    <definedName name="IQ_TOTAL_OPER_EXP_BR" hidden="1">"c1284"</definedName>
    <definedName name="IQ_TOTAL_OPER_EXP_FIN" hidden="1">"c1285"</definedName>
    <definedName name="IQ_TOTAL_OPER_EXP_INS" hidden="1">"c1286"</definedName>
    <definedName name="IQ_TOTAL_OPER_EXP_REIT" hidden="1">"c1287"</definedName>
    <definedName name="IQ_TOTAL_OPER_EXP_UTI" hidden="1">"c1288"</definedName>
    <definedName name="IQ_TOTAL_OPER_EXPEN" hidden="1">"c1445"</definedName>
    <definedName name="IQ_TOTAL_OPTIONS_BEG_OS" hidden="1">"c2693"</definedName>
    <definedName name="IQ_TOTAL_OPTIONS_CANCELLED" hidden="1">"c2696"</definedName>
    <definedName name="IQ_TOTAL_OPTIONS_END_OS" hidden="1">"c2697"</definedName>
    <definedName name="IQ_TOTAL_OPTIONS_EXERCISED" hidden="1">"c2695"</definedName>
    <definedName name="IQ_TOTAL_OPTIONS_GRANTED" hidden="1">"c2694"</definedName>
    <definedName name="IQ_TOTAL_OTHER_OPER" hidden="1">"c1289"</definedName>
    <definedName name="IQ_TOTAL_OUTSTANDING_BS_DATE" hidden="1">"c1022"</definedName>
    <definedName name="IQ_TOTAL_OUTSTANDING_FILING_DATE" hidden="1">"c2107"</definedName>
    <definedName name="IQ_TOTAL_PENSION_ASSETS" hidden="1">"c1290"</definedName>
    <definedName name="IQ_TOTAL_PENSION_ASSETS_DOMESTIC" hidden="1">"c2658"</definedName>
    <definedName name="IQ_TOTAL_PENSION_ASSETS_FOREIGN" hidden="1">"c2666"</definedName>
    <definedName name="IQ_TOTAL_PENSION_EXP" hidden="1">"c1291"</definedName>
    <definedName name="IQ_TOTAL_PENSION_OBLIGATION" hidden="1">"c1292"</definedName>
    <definedName name="IQ_TOTAL_PRINCIPAL" hidden="1">"c2509"</definedName>
    <definedName name="IQ_TOTAL_PRINCIPAL_PCT" hidden="1">"c2510"</definedName>
    <definedName name="IQ_TOTAL_PROVED_RESERVES_NGL" hidden="1">"c2924"</definedName>
    <definedName name="IQ_TOTAL_PROVED_RESERVES_OIL" hidden="1">"c2040"</definedName>
    <definedName name="IQ_TOTAL_RECEIV" hidden="1">"c1293"</definedName>
    <definedName name="IQ_TOTAL_REV" hidden="1">"c1294"</definedName>
    <definedName name="IQ_TOTAL_REV_10YR_ANN_GROWTH" hidden="1">"c1295"</definedName>
    <definedName name="IQ_TOTAL_REV_1YR_ANN_GROWTH" hidden="1">"c1296"</definedName>
    <definedName name="IQ_TOTAL_REV_2YR_ANN_GROWTH" hidden="1">"c1297"</definedName>
    <definedName name="IQ_TOTAL_REV_3YR_ANN_GROWTH" hidden="1">"c1298"</definedName>
    <definedName name="IQ_TOTAL_REV_5YR_ANN_GROWTH" hidden="1">"c1299"</definedName>
    <definedName name="IQ_TOTAL_REV_7YR_ANN_GROWTH" hidden="1">"c1300"</definedName>
    <definedName name="IQ_TOTAL_REV_AS_REPORTED" hidden="1">"c1301"</definedName>
    <definedName name="IQ_TOTAL_REV_BNK" hidden="1">"c1302"</definedName>
    <definedName name="IQ_TOTAL_REV_BR" hidden="1">"c1303"</definedName>
    <definedName name="IQ_TOTAL_REV_EMPLOYEE" hidden="1">"c1304"</definedName>
    <definedName name="IQ_TOTAL_REV_FIN" hidden="1">"c1305"</definedName>
    <definedName name="IQ_TOTAL_REV_INS" hidden="1">"c1306"</definedName>
    <definedName name="IQ_TOTAL_REV_REIT" hidden="1">"c1307"</definedName>
    <definedName name="IQ_TOTAL_REV_SHARE" hidden="1">"c1912"</definedName>
    <definedName name="IQ_TOTAL_REV_UTI" hidden="1">"c1308"</definedName>
    <definedName name="IQ_TOTAL_REVENUE" hidden="1">"c1436"</definedName>
    <definedName name="IQ_TOTAL_SPECIAL" hidden="1">"c1618"</definedName>
    <definedName name="IQ_TOTAL_ST_BORROW" hidden="1">"c1424"</definedName>
    <definedName name="IQ_TOTAL_SUB_DEBT" hidden="1">"c2528"</definedName>
    <definedName name="IQ_TOTAL_SUB_DEBT_EBITDA" hidden="1">"c2554"</definedName>
    <definedName name="IQ_TOTAL_SUB_DEBT_EBITDA_CAPEX" hidden="1">"c2555"</definedName>
    <definedName name="IQ_TOTAL_SUB_DEBT_PCT" hidden="1">"c2529"</definedName>
    <definedName name="IQ_TOTAL_SUBS" hidden="1">"c2119"</definedName>
    <definedName name="IQ_TOTAL_UNUSUAL" hidden="1">"c1508"</definedName>
    <definedName name="IQ_TOTAL_UNUSUAL_BNK" hidden="1">"c5516"</definedName>
    <definedName name="IQ_TOTAL_UNUSUAL_BR" hidden="1">"c5517"</definedName>
    <definedName name="IQ_TOTAL_UNUSUAL_FIN" hidden="1">"c5518"</definedName>
    <definedName name="IQ_TOTAL_UNUSUAL_INS" hidden="1">"c5519"</definedName>
    <definedName name="IQ_TOTAL_UNUSUAL_REIT" hidden="1">"c5520"</definedName>
    <definedName name="IQ_TOTAL_UNUSUAL_UTI" hidden="1">"c5521"</definedName>
    <definedName name="IQ_TOTAL_WARRANTS_BEG_OS" hidden="1">"c2719"</definedName>
    <definedName name="IQ_TOTAL_WARRANTS_CANCELLED" hidden="1">"c2722"</definedName>
    <definedName name="IQ_TOTAL_WARRANTS_END_OS" hidden="1">"c2723"</definedName>
    <definedName name="IQ_TOTAL_WARRANTS_EXERCISED" hidden="1">"c2721"</definedName>
    <definedName name="IQ_TOTAL_WARRANTS_ISSUED" hidden="1">"c2720"</definedName>
    <definedName name="IQ_TR_ACCT_METHOD" hidden="1">"c2363"</definedName>
    <definedName name="IQ_TR_ACQ_52_WK_HI_PCT" hidden="1">"c2348"</definedName>
    <definedName name="IQ_TR_ACQ_52_WK_LOW_PCT" hidden="1">"c2347"</definedName>
    <definedName name="IQ_TR_ACQ_CASH_ST_INVEST" hidden="1">"c2372"</definedName>
    <definedName name="IQ_TR_ACQ_CLOSEPRICE_1D" hidden="1">"c3027"</definedName>
    <definedName name="IQ_TR_ACQ_DILUT_EPS_EXCL" hidden="1">"c3028"</definedName>
    <definedName name="IQ_TR_ACQ_EARNING_CO" hidden="1">"c2379"</definedName>
    <definedName name="IQ_TR_ACQ_EBIT" hidden="1">"c2380"</definedName>
    <definedName name="IQ_TR_ACQ_EBIT_EQ_INC" hidden="1">"c3611"</definedName>
    <definedName name="IQ_TR_ACQ_EBITDA" hidden="1">"c2381"</definedName>
    <definedName name="IQ_TR_ACQ_EBITDA_EQ_INC" hidden="1">"c3610"</definedName>
    <definedName name="IQ_TR_ACQ_FILING_CURRENCY" hidden="1">"c3033"</definedName>
    <definedName name="IQ_TR_ACQ_FILINGDATE" hidden="1">"c3607"</definedName>
    <definedName name="IQ_TR_ACQ_MCAP_1DAY" hidden="1">"c2345"</definedName>
    <definedName name="IQ_TR_ACQ_MIN_INT" hidden="1">"c2374"</definedName>
    <definedName name="IQ_TR_ACQ_NET_DEBT" hidden="1">"c2373"</definedName>
    <definedName name="IQ_TR_ACQ_NI" hidden="1">"c2378"</definedName>
    <definedName name="IQ_TR_ACQ_PERIODDATE" hidden="1">"c3606"</definedName>
    <definedName name="IQ_TR_ACQ_PRICEDATE_1D" hidden="1">"c2346"</definedName>
    <definedName name="IQ_TR_ACQ_RETURN" hidden="1">"c2349"</definedName>
    <definedName name="IQ_TR_ACQ_STOCKYEARHIGH_1D" hidden="1">"c2343"</definedName>
    <definedName name="IQ_TR_ACQ_STOCKYEARLOW_1D" hidden="1">"c2344"</definedName>
    <definedName name="IQ_TR_ACQ_TOTAL_ASSETS" hidden="1">"c2371"</definedName>
    <definedName name="IQ_TR_ACQ_TOTAL_COMMON_EQ" hidden="1">"c2377"</definedName>
    <definedName name="IQ_TR_ACQ_TOTAL_DEBT" hidden="1">"c2376"</definedName>
    <definedName name="IQ_TR_ACQ_TOTAL_PREF" hidden="1">"c2375"</definedName>
    <definedName name="IQ_TR_ACQ_TOTAL_REV" hidden="1">"c2382"</definedName>
    <definedName name="IQ_TR_ADJ_SIZE" hidden="1">"c3024"</definedName>
    <definedName name="IQ_TR_ANN_DATE" hidden="1">"c2395"</definedName>
    <definedName name="IQ_TR_ANN_DATE_BL" hidden="1">"c2394"</definedName>
    <definedName name="IQ_TR_BID_DATE" hidden="1">"c2357"</definedName>
    <definedName name="IQ_TR_BLUESKY_FEES" hidden="1">"c2277"</definedName>
    <definedName name="IQ_TR_BUY_ACC_ADVISORS" hidden="1">"c3048"</definedName>
    <definedName name="IQ_TR_BUY_FIN_ADVISORS" hidden="1">"c3045"</definedName>
    <definedName name="IQ_TR_BUY_LEG_ADVISORS" hidden="1">"c2387"</definedName>
    <definedName name="IQ_TR_BUYER_ID" hidden="1">"c2404"</definedName>
    <definedName name="IQ_TR_BUYERNAME" hidden="1">"c2401"</definedName>
    <definedName name="IQ_TR_CANCELLED_DATE" hidden="1">"c2284"</definedName>
    <definedName name="IQ_TR_CASH_CONSID_PCT" hidden="1">"c2296"</definedName>
    <definedName name="IQ_TR_CASH_ST_INVEST" hidden="1">"c3025"</definedName>
    <definedName name="IQ_TR_CHANGE_CONTROL" hidden="1">"c2365"</definedName>
    <definedName name="IQ_TR_CLOSED_DATE" hidden="1">"c2283"</definedName>
    <definedName name="IQ_TR_CO_NET_PROCEEDS" hidden="1">"c2268"</definedName>
    <definedName name="IQ_TR_CO_NET_PROCEEDS_PCT" hidden="1">"c2270"</definedName>
    <definedName name="IQ_TR_COMMENTS" hidden="1">"c2383"</definedName>
    <definedName name="IQ_TR_CURRENCY" hidden="1">"c3016"</definedName>
    <definedName name="IQ_TR_DEAL_ATTITUDE" hidden="1">"c2364"</definedName>
    <definedName name="IQ_TR_DEAL_CONDITIONS" hidden="1">"c2367"</definedName>
    <definedName name="IQ_TR_DEAL_RESOLUTION" hidden="1">"c2391"</definedName>
    <definedName name="IQ_TR_DEAL_RESPONSES" hidden="1">"c2366"</definedName>
    <definedName name="IQ_TR_DEBT_CONSID_PCT" hidden="1">"c2299"</definedName>
    <definedName name="IQ_TR_DEF_AGRMT_DATE" hidden="1">"c2285"</definedName>
    <definedName name="IQ_TR_DISCLOSED_FEES_EXP" hidden="1">"c2288"</definedName>
    <definedName name="IQ_TR_EARNOUTS" hidden="1">"c3023"</definedName>
    <definedName name="IQ_TR_EXPIRED_DATE" hidden="1">"c2412"</definedName>
    <definedName name="IQ_TR_GROSS_OFFERING_AMT" hidden="1">"c2262"</definedName>
    <definedName name="IQ_TR_HYBRID_CONSID_PCT" hidden="1">"c2300"</definedName>
    <definedName name="IQ_TR_IMPLIED_EQ" hidden="1">"c3018"</definedName>
    <definedName name="IQ_TR_IMPLIED_EQ_BV" hidden="1">"c3019"</definedName>
    <definedName name="IQ_TR_IMPLIED_EQ_NI_LTM" hidden="1">"c3020"</definedName>
    <definedName name="IQ_TR_IMPLIED_EV" hidden="1">"c2301"</definedName>
    <definedName name="IQ_TR_IMPLIED_EV_BV" hidden="1">"c2306"</definedName>
    <definedName name="IQ_TR_IMPLIED_EV_EBIT" hidden="1">"c2302"</definedName>
    <definedName name="IQ_TR_IMPLIED_EV_EBITDA" hidden="1">"c2303"</definedName>
    <definedName name="IQ_TR_IMPLIED_EV_NI_LTM" hidden="1">"c2307"</definedName>
    <definedName name="IQ_TR_IMPLIED_EV_REV" hidden="1">"c2304"</definedName>
    <definedName name="IQ_TR_INIT_FILED_DATE" hidden="1">"c3495"</definedName>
    <definedName name="IQ_TR_LOI_DATE" hidden="1">"c2282"</definedName>
    <definedName name="IQ_TR_MAJ_MIN_STAKE" hidden="1">"c2389"</definedName>
    <definedName name="IQ_TR_NEGOTIATED_BUYBACK_PRICE" hidden="1">"c2414"</definedName>
    <definedName name="IQ_TR_NET_ASSUM_LIABILITIES" hidden="1">"c2308"</definedName>
    <definedName name="IQ_TR_NET_PROCEEDS" hidden="1">"c2267"</definedName>
    <definedName name="IQ_TR_OFFER_DATE" hidden="1">"c2265"</definedName>
    <definedName name="IQ_TR_OFFER_DATE_MA" hidden="1">"c3035"</definedName>
    <definedName name="IQ_TR_OFFER_PER_SHARE" hidden="1">"c3017"</definedName>
    <definedName name="IQ_TR_OPTIONS_CONSID_PCT" hidden="1">"c2311"</definedName>
    <definedName name="IQ_TR_OTHER_CONSID" hidden="1">"c3022"</definedName>
    <definedName name="IQ_TR_PCT_SOUGHT" hidden="1">"c2309"</definedName>
    <definedName name="IQ_TR_PFEATURES" hidden="1">"c2384"</definedName>
    <definedName name="IQ_TR_PIPE_CONV_PRICE_SHARE" hidden="1">"c2292"</definedName>
    <definedName name="IQ_TR_PIPE_CPN_PCT" hidden="1">"c2291"</definedName>
    <definedName name="IQ_TR_PIPE_NUMBER_SHARES" hidden="1">"c2293"</definedName>
    <definedName name="IQ_TR_PIPE_PPS" hidden="1">"c2290"</definedName>
    <definedName name="IQ_TR_POSTMONEY_VAL" hidden="1">"c2286"</definedName>
    <definedName name="IQ_TR_PREDEAL_SITUATION" hidden="1">"c2390"</definedName>
    <definedName name="IQ_TR_PREF_CONSID_PCT" hidden="1">"c2310"</definedName>
    <definedName name="IQ_TR_PREMONEY_VAL" hidden="1">"c2287"</definedName>
    <definedName name="IQ_TR_PRINTING_FEES" hidden="1">"c2276"</definedName>
    <definedName name="IQ_TR_PT_MONETARY_VALUES" hidden="1">"c2415"</definedName>
    <definedName name="IQ_TR_PT_NUMBER_SHARES" hidden="1">"c2417"</definedName>
    <definedName name="IQ_TR_PT_PCT_SHARES" hidden="1">"c2416"</definedName>
    <definedName name="IQ_TR_RATING_FEES" hidden="1">"c2275"</definedName>
    <definedName name="IQ_TR_REG_EFFECT_DATE" hidden="1">"c2264"</definedName>
    <definedName name="IQ_TR_REG_FILED_DATE" hidden="1">"c2263"</definedName>
    <definedName name="IQ_TR_RENEWAL_BUYBACK" hidden="1">"c2413"</definedName>
    <definedName name="IQ_TR_ROUND_NUMBER" hidden="1">"c2295"</definedName>
    <definedName name="IQ_TR_SEC_FEES" hidden="1">"c2274"</definedName>
    <definedName name="IQ_TR_SECURITY_TYPE_REG" hidden="1">"c2279"</definedName>
    <definedName name="IQ_TR_SELL_ACC_ADVISORS" hidden="1">"c3049"</definedName>
    <definedName name="IQ_TR_SELL_FIN_ADVISORS" hidden="1">"c3046"</definedName>
    <definedName name="IQ_TR_SELL_LEG_ADVISORS" hidden="1">"c2388"</definedName>
    <definedName name="IQ_TR_SELLER_ID" hidden="1">"c2406"</definedName>
    <definedName name="IQ_TR_SELLERNAME" hidden="1">"c2402"</definedName>
    <definedName name="IQ_TR_SFEATURES" hidden="1">"c2385"</definedName>
    <definedName name="IQ_TR_SH_NET_PROCEEDS" hidden="1">"c2269"</definedName>
    <definedName name="IQ_TR_SH_NET_PROCEEDS_PCT" hidden="1">"c2271"</definedName>
    <definedName name="IQ_TR_SPECIAL_COMMITTEE" hidden="1">"c2362"</definedName>
    <definedName name="IQ_TR_STATUS" hidden="1">"c2399"</definedName>
    <definedName name="IQ_TR_STOCK_CONSID_PCT" hidden="1">"c2312"</definedName>
    <definedName name="IQ_TR_SUSPENDED_DATE" hidden="1">"c2407"</definedName>
    <definedName name="IQ_TR_TARGET_52WKHI_PCT" hidden="1">"c2351"</definedName>
    <definedName name="IQ_TR_TARGET_52WKLOW_PCT" hidden="1">"c2350"</definedName>
    <definedName name="IQ_TR_TARGET_ACC_ADVISORS" hidden="1">"c3047"</definedName>
    <definedName name="IQ_TR_TARGET_CASH_ST_INVEST" hidden="1">"c2327"</definedName>
    <definedName name="IQ_TR_TARGET_CLOSEPRICE_1D" hidden="1">"c2352"</definedName>
    <definedName name="IQ_TR_TARGET_CLOSEPRICE_1M" hidden="1">"c2354"</definedName>
    <definedName name="IQ_TR_TARGET_CLOSEPRICE_1W" hidden="1">"c2353"</definedName>
    <definedName name="IQ_TR_TARGET_DILUT_EPS_EXCL" hidden="1">"c2324"</definedName>
    <definedName name="IQ_TR_TARGET_EARNING_CO" hidden="1">"c2332"</definedName>
    <definedName name="IQ_TR_TARGET_EBIT" hidden="1">"c2333"</definedName>
    <definedName name="IQ_TR_TARGET_EBIT_EQ_INC" hidden="1">"c3609"</definedName>
    <definedName name="IQ_TR_TARGET_EBITDA" hidden="1">"c2334"</definedName>
    <definedName name="IQ_TR_TARGET_EBITDA_EQ_INC" hidden="1">"c3608"</definedName>
    <definedName name="IQ_TR_TARGET_FILING_CURRENCY" hidden="1">"c3034"</definedName>
    <definedName name="IQ_TR_TARGET_FILINGDATE" hidden="1">"c3605"</definedName>
    <definedName name="IQ_TR_TARGET_FIN_ADVISORS" hidden="1">"c3044"</definedName>
    <definedName name="IQ_TR_TARGET_ID" hidden="1">"c2405"</definedName>
    <definedName name="IQ_TR_TARGET_LEG_ADVISORS" hidden="1">"c2386"</definedName>
    <definedName name="IQ_TR_TARGET_MARKETCAP" hidden="1">"c2342"</definedName>
    <definedName name="IQ_TR_TARGET_MIN_INT" hidden="1">"c2328"</definedName>
    <definedName name="IQ_TR_TARGET_NET_DEBT" hidden="1">"c2326"</definedName>
    <definedName name="IQ_TR_TARGET_NI" hidden="1">"c2331"</definedName>
    <definedName name="IQ_TR_TARGET_PERIODDATE" hidden="1">"c3604"</definedName>
    <definedName name="IQ_TR_TARGET_PRICEDATE_1D" hidden="1">"c2341"</definedName>
    <definedName name="IQ_TR_TARGET_RETURN" hidden="1">"c2355"</definedName>
    <definedName name="IQ_TR_TARGET_SEC_DETAIL" hidden="1">"c3021"</definedName>
    <definedName name="IQ_TR_TARGET_SEC_TI_ID" hidden="1">"c2368"</definedName>
    <definedName name="IQ_TR_TARGET_SEC_TYPE" hidden="1">"c2369"</definedName>
    <definedName name="IQ_TR_TARGET_SPD" hidden="1">"c2313"</definedName>
    <definedName name="IQ_TR_TARGET_SPD_PCT" hidden="1">"c2314"</definedName>
    <definedName name="IQ_TR_TARGET_STOCKPREMIUM_1D" hidden="1">"c2336"</definedName>
    <definedName name="IQ_TR_TARGET_STOCKPREMIUM_1M" hidden="1">"c2337"</definedName>
    <definedName name="IQ_TR_TARGET_STOCKPREMIUM_1W" hidden="1">"c2338"</definedName>
    <definedName name="IQ_TR_TARGET_STOCKYEARHIGH_1D" hidden="1">"c2339"</definedName>
    <definedName name="IQ_TR_TARGET_STOCKYEARLOW_1D" hidden="1">"c2340"</definedName>
    <definedName name="IQ_TR_TARGET_TOTAL_ASSETS" hidden="1">"c2325"</definedName>
    <definedName name="IQ_TR_TARGET_TOTAL_COMMON_EQ" hidden="1">"c2421"</definedName>
    <definedName name="IQ_TR_TARGET_TOTAL_DEBT" hidden="1">"c2330"</definedName>
    <definedName name="IQ_TR_TARGET_TOTAL_PREF" hidden="1">"c2329"</definedName>
    <definedName name="IQ_TR_TARGET_TOTAL_REV" hidden="1">"c2335"</definedName>
    <definedName name="IQ_TR_TARGETNAME" hidden="1">"c2403"</definedName>
    <definedName name="IQ_TR_TERM_FEE" hidden="1">"c2298"</definedName>
    <definedName name="IQ_TR_TERM_FEE_PCT" hidden="1">"c2297"</definedName>
    <definedName name="IQ_TR_TODATE" hidden="1">"c3036"</definedName>
    <definedName name="IQ_TR_TODATE_MONETARY_VALUE" hidden="1">"c2418"</definedName>
    <definedName name="IQ_TR_TODATE_NUMBER_SHARES" hidden="1">"c2420"</definedName>
    <definedName name="IQ_TR_TODATE_PCT_SHARES" hidden="1">"c2419"</definedName>
    <definedName name="IQ_TR_TOTAL_ACCT_FEES" hidden="1">"c2273"</definedName>
    <definedName name="IQ_TR_TOTAL_CASH" hidden="1">"c2315"</definedName>
    <definedName name="IQ_TR_TOTAL_CONSID_SH" hidden="1">"c2316"</definedName>
    <definedName name="IQ_TR_TOTAL_DEBT" hidden="1">"c2317"</definedName>
    <definedName name="IQ_TR_TOTAL_GROSS_TV" hidden="1">"c2318"</definedName>
    <definedName name="IQ_TR_TOTAL_HYBRID" hidden="1">"c2319"</definedName>
    <definedName name="IQ_TR_TOTAL_LEGAL_FEES" hidden="1">"c2272"</definedName>
    <definedName name="IQ_TR_TOTAL_NET_TV" hidden="1">"c2320"</definedName>
    <definedName name="IQ_TR_TOTAL_NEWMONEY" hidden="1">"c2289"</definedName>
    <definedName name="IQ_TR_TOTAL_OPTIONS" hidden="1">"c2322"</definedName>
    <definedName name="IQ_TR_TOTAL_OPTIONS_BUYER" hidden="1">"c3026"</definedName>
    <definedName name="IQ_TR_TOTAL_PREFERRED" hidden="1">"c2321"</definedName>
    <definedName name="IQ_TR_TOTAL_REG_AMT" hidden="1">"c2261"</definedName>
    <definedName name="IQ_TR_TOTAL_STOCK" hidden="1">"c2323"</definedName>
    <definedName name="IQ_TR_TOTAL_TAKEDOWNS" hidden="1">"c2278"</definedName>
    <definedName name="IQ_TR_TOTAL_UW_COMP" hidden="1">"c2280"</definedName>
    <definedName name="IQ_TR_TOTALVALUE" hidden="1">"c2400"</definedName>
    <definedName name="IQ_TR_TRANSACTION_TYPE" hidden="1">"c2398"</definedName>
    <definedName name="IQ_TR_WITHDRAWN_DTE" hidden="1">"c2266"</definedName>
    <definedName name="IQ_TRADE_AR" hidden="1">"c1345"</definedName>
    <definedName name="IQ_TRADE_PRINCIPAL" hidden="1">"c1309"</definedName>
    <definedName name="IQ_TRADING_ASSETS" hidden="1">"c1310"</definedName>
    <definedName name="IQ_TRADING_CURRENCY" hidden="1">"c2212"</definedName>
    <definedName name="IQ_TREASURY" hidden="1">"c1311"</definedName>
    <definedName name="IQ_TREASURY_OTHER_EQUITY" hidden="1">"c1312"</definedName>
    <definedName name="IQ_TREASURY_OTHER_EQUITY_BNK" hidden="1">"c1313"</definedName>
    <definedName name="IQ_TREASURY_OTHER_EQUITY_BR" hidden="1">"c1314"</definedName>
    <definedName name="IQ_TREASURY_OTHER_EQUITY_FIN" hidden="1">"c1315"</definedName>
    <definedName name="IQ_TREASURY_OTHER_EQUITY_INS" hidden="1">"c1316"</definedName>
    <definedName name="IQ_TREASURY_OTHER_EQUITY_REIT" hidden="1">"c1317"</definedName>
    <definedName name="IQ_TREASURY_OTHER_EQUITY_UTI" hidden="1">"c1318"</definedName>
    <definedName name="IQ_TREASURY_STOCK" hidden="1">"c1438"</definedName>
    <definedName name="IQ_TRUST_INC" hidden="1">"c1319"</definedName>
    <definedName name="IQ_TRUST_PREF" hidden="1">"c1320"</definedName>
    <definedName name="IQ_TRUST_PREFERRED" hidden="1">"c3029"</definedName>
    <definedName name="IQ_TRUST_PREFERRED_PCT" hidden="1">"c3030"</definedName>
    <definedName name="IQ_UFCF_10YR_ANN_GROWTH" hidden="1">"c1948"</definedName>
    <definedName name="IQ_UFCF_1YR_ANN_GROWTH" hidden="1">"c1943"</definedName>
    <definedName name="IQ_UFCF_2YR_ANN_GROWTH" hidden="1">"c1944"</definedName>
    <definedName name="IQ_UFCF_3YR_ANN_GROWTH" hidden="1">"c1945"</definedName>
    <definedName name="IQ_UFCF_5YR_ANN_GROWTH" hidden="1">"c1946"</definedName>
    <definedName name="IQ_UFCF_7YR_ANN_GROWTH" hidden="1">"c1947"</definedName>
    <definedName name="IQ_UFCF_MARGIN" hidden="1">"c1962"</definedName>
    <definedName name="IQ_ULT_PARENT" hidden="1">"c3037"</definedName>
    <definedName name="IQ_ULT_PARENT_CIQID" hidden="1">"c3039"</definedName>
    <definedName name="IQ_ULT_PARENT_TICKER" hidden="1">"c3038"</definedName>
    <definedName name="IQ_UNAMORT_DISC" hidden="1">"c2513"</definedName>
    <definedName name="IQ_UNAMORT_DISC_PCT" hidden="1">"c2514"</definedName>
    <definedName name="IQ_UNAMORT_PREMIUM" hidden="1">"c2511"</definedName>
    <definedName name="IQ_UNAMORT_PREMIUM_PCT" hidden="1">"c2512"</definedName>
    <definedName name="IQ_UNDRAWN_CP" hidden="1">"c2518"</definedName>
    <definedName name="IQ_UNDRAWN_CREDIT" hidden="1">"c3032"</definedName>
    <definedName name="IQ_UNDRAWN_RC" hidden="1">"c2517"</definedName>
    <definedName name="IQ_UNDRAWN_TL" hidden="1">"c2519"</definedName>
    <definedName name="IQ_UNEARN_PREMIUM" hidden="1">"c1321"</definedName>
    <definedName name="IQ_UNEARN_REV_CURRENT" hidden="1">"c1322"</definedName>
    <definedName name="IQ_UNEARN_REV_CURRENT_BNK" hidden="1">"c1323"</definedName>
    <definedName name="IQ_UNEARN_REV_CURRENT_BR" hidden="1">"c1324"</definedName>
    <definedName name="IQ_UNEARN_REV_CURRENT_FIN" hidden="1">"c1325"</definedName>
    <definedName name="IQ_UNEARN_REV_CURRENT_INS" hidden="1">"c1326"</definedName>
    <definedName name="IQ_UNEARN_REV_CURRENT_REIT" hidden="1">"c1327"</definedName>
    <definedName name="IQ_UNEARN_REV_CURRENT_UTI" hidden="1">"c1328"</definedName>
    <definedName name="IQ_UNEARN_REV_LT" hidden="1">"c1329"</definedName>
    <definedName name="IQ_UNLEVERED_FCF" hidden="1">"c1908"</definedName>
    <definedName name="IQ_UNPAID_CLAIMS" hidden="1">"c1330"</definedName>
    <definedName name="IQ_UNREALIZED_GAIN" hidden="1">"c1619"</definedName>
    <definedName name="IQ_UNSECURED_DEBT" hidden="1">"c2548"</definedName>
    <definedName name="IQ_UNSECURED_DEBT_PCT" hidden="1">"c2549"</definedName>
    <definedName name="IQ_UNUSUAL_EXP" hidden="1">"c1456"</definedName>
    <definedName name="IQ_US_GAAP" hidden="1">"c1331"</definedName>
    <definedName name="IQ_US_GAAP_BASIC_EPS_EXCL" hidden="1">"c2984"</definedName>
    <definedName name="IQ_US_GAAP_BASIC_EPS_INCL" hidden="1">"c2982"</definedName>
    <definedName name="IQ_US_GAAP_BASIC_WEIGHT" hidden="1">"c2980"</definedName>
    <definedName name="IQ_US_GAAP_CA_ADJ" hidden="1">"c2925"</definedName>
    <definedName name="IQ_US_GAAP_CASH_FINAN" hidden="1">"c2945"</definedName>
    <definedName name="IQ_US_GAAP_CASH_FINAN_ADJ" hidden="1">"c2941"</definedName>
    <definedName name="IQ_US_GAAP_CASH_INVEST" hidden="1">"c2944"</definedName>
    <definedName name="IQ_US_GAAP_CASH_INVEST_ADJ" hidden="1">"c2940"</definedName>
    <definedName name="IQ_US_GAAP_CASH_OPER" hidden="1">"c2943"</definedName>
    <definedName name="IQ_US_GAAP_CASH_OPER_ADJ" hidden="1">"c2939"</definedName>
    <definedName name="IQ_US_GAAP_CL_ADJ" hidden="1">"c2927"</definedName>
    <definedName name="IQ_US_GAAP_COST_REV_ADJ" hidden="1">"c2951"</definedName>
    <definedName name="IQ_US_GAAP_DILUT_EPS_EXCL" hidden="1">"c2985"</definedName>
    <definedName name="IQ_US_GAAP_DILUT_EPS_INCL" hidden="1">"c2983"</definedName>
    <definedName name="IQ_US_GAAP_DILUT_NI" hidden="1">"c2979"</definedName>
    <definedName name="IQ_US_GAAP_DILUT_WEIGHT" hidden="1">"c2981"</definedName>
    <definedName name="IQ_US_GAAP_DO_ADJ" hidden="1">"c2959"</definedName>
    <definedName name="IQ_US_GAAP_EXTRA_ACC_ITEMS_ADJ" hidden="1">"c2958"</definedName>
    <definedName name="IQ_US_GAAP_INC_TAX_ADJ" hidden="1">"c2961"</definedName>
    <definedName name="IQ_US_GAAP_INTEREST_EXP_ADJ" hidden="1">"c2957"</definedName>
    <definedName name="IQ_US_GAAP_LIAB_LT_ADJ" hidden="1">"c2928"</definedName>
    <definedName name="IQ_US_GAAP_LIAB_TOTAL_LIAB" hidden="1">"c2933"</definedName>
    <definedName name="IQ_US_GAAP_MINORITY_INTEREST_IS_ADJ" hidden="1">"c2960"</definedName>
    <definedName name="IQ_US_GAAP_NCA_ADJ" hidden="1">"c2926"</definedName>
    <definedName name="IQ_US_GAAP_NET_CHANGE" hidden="1">"c2946"</definedName>
    <definedName name="IQ_US_GAAP_NET_CHANGE_ADJ" hidden="1">"c2942"</definedName>
    <definedName name="IQ_US_GAAP_NI" hidden="1">"c2976"</definedName>
    <definedName name="IQ_US_GAAP_NI_ADJ" hidden="1">"c2963"</definedName>
    <definedName name="IQ_US_GAAP_NI_AVAIL_INCL" hidden="1">"c2978"</definedName>
    <definedName name="IQ_US_GAAP_OTHER_ADJ_ADJ" hidden="1">"c2962"</definedName>
    <definedName name="IQ_US_GAAP_OTHER_NON_OPER_ADJ" hidden="1">"c2955"</definedName>
    <definedName name="IQ_US_GAAP_OTHER_OPER_ADJ" hidden="1">"c2954"</definedName>
    <definedName name="IQ_US_GAAP_RD_ADJ" hidden="1">"c2953"</definedName>
    <definedName name="IQ_US_GAAP_SGA_ADJ" hidden="1">"c2952"</definedName>
    <definedName name="IQ_US_GAAP_TOTAL_ASSETS" hidden="1">"c2931"</definedName>
    <definedName name="IQ_US_GAAP_TOTAL_EQUITY" hidden="1">"c2934"</definedName>
    <definedName name="IQ_US_GAAP_TOTAL_EQUITY_ADJ" hidden="1">"c2929"</definedName>
    <definedName name="IQ_US_GAAP_TOTAL_REV_ADJ" hidden="1">"c2950"</definedName>
    <definedName name="IQ_US_GAAP_TOTAL_UNUSUAL_ADJ" hidden="1">"c2956"</definedName>
    <definedName name="IQ_UTIL_PPE_NET" hidden="1">"c1620"</definedName>
    <definedName name="IQ_UTIL_REV" hidden="1">"c2091"</definedName>
    <definedName name="IQ_UV_PENSION_LIAB" hidden="1">"c1332"</definedName>
    <definedName name="IQ_VALUE_TRADED_LAST_3MTH" hidden="1">"c1530"</definedName>
    <definedName name="IQ_VALUE_TRADED_LAST_6MTH" hidden="1">"c1531"</definedName>
    <definedName name="IQ_VALUE_TRADED_LAST_MTH" hidden="1">"c1529"</definedName>
    <definedName name="IQ_VALUE_TRADED_LAST_WK" hidden="1">"c1528"</definedName>
    <definedName name="IQ_VALUE_TRADED_LAST_YR" hidden="1">"c1532"</definedName>
    <definedName name="IQ_VOL_LAST_3MTH" hidden="1">"c1525"</definedName>
    <definedName name="IQ_VOL_LAST_6MTH" hidden="1">"c1526"</definedName>
    <definedName name="IQ_VOL_LAST_MTH" hidden="1">"c1524"</definedName>
    <definedName name="IQ_VOL_LAST_WK" hidden="1">"c1523"</definedName>
    <definedName name="IQ_VOL_LAST_YR" hidden="1">"c1527"</definedName>
    <definedName name="IQ_VOLUME" hidden="1">"c1333"</definedName>
    <definedName name="IQ_WARRANTS_BEG_OS" hidden="1">"c2698"</definedName>
    <definedName name="IQ_WARRANTS_CANCELLED" hidden="1">"c2701"</definedName>
    <definedName name="IQ_WARRANTS_END_OS" hidden="1">"c2702"</definedName>
    <definedName name="IQ_WARRANTS_EXERCISED" hidden="1">"c2700"</definedName>
    <definedName name="IQ_WARRANTS_ISSUED" hidden="1">"c2699"</definedName>
    <definedName name="IQ_WARRANTS_STRIKE_PRICE_ISSUED" hidden="1">"c2704"</definedName>
    <definedName name="IQ_WARRANTS_STRIKE_PRICE_OS" hidden="1">"c2703"</definedName>
    <definedName name="IQ_WEEK" hidden="1">50000</definedName>
    <definedName name="IQ_WEIGHTED_AVG_PRICE" hidden="1">"c1334"</definedName>
    <definedName name="IQ_WIP_INV" hidden="1">"c1335"</definedName>
    <definedName name="IQ_WORKING_CAP" hidden="1">"c3494"</definedName>
    <definedName name="IQ_WORKMEN_WRITTEN" hidden="1">"c1336"</definedName>
    <definedName name="IQ_XDIV_DATE" hidden="1">"c2203"</definedName>
    <definedName name="IQ_YEARHIGH" hidden="1">"c1337"</definedName>
    <definedName name="IQ_YEARHIGH_DATE" hidden="1">"c2250"</definedName>
    <definedName name="IQ_YEARLOW" hidden="1">"c1338"</definedName>
    <definedName name="IQ_YEARLOW_DATE" hidden="1">"c2251"</definedName>
    <definedName name="IQ_YTD" hidden="1">3000</definedName>
    <definedName name="IQ_YTDMONTH" hidden="1">130000</definedName>
    <definedName name="IQ_YTW" hidden="1">"c2163"</definedName>
    <definedName name="IQ_YTW_DATE" hidden="1">"c2164"</definedName>
    <definedName name="IQ_YTW_DATE_TYPE" hidden="1">"c2165"</definedName>
    <definedName name="IQ_Z_SCORE" hidden="1">"c1339"</definedName>
    <definedName name="iQShowHideColumns" hidden="1">"iQHideSelected"</definedName>
    <definedName name="IsColHidden">FALSE</definedName>
    <definedName name="IsLTMColHidden">FALSE</definedName>
    <definedName name="ISMethod">1</definedName>
    <definedName name="ItemScale" hidden="1">#N/A</definedName>
    <definedName name="KeepVersions" localSheetId="10">IndexInformation!$B$8</definedName>
    <definedName name="LanguageCode">IndexInformation!$B$38</definedName>
    <definedName name="LastCell" localSheetId="1">ImportantDisclosures!$A$22</definedName>
    <definedName name="Linking_10">Earnings!$O$14:$AB$30</definedName>
    <definedName name="Linking_11">Earnings!$A$4:$AC$51</definedName>
    <definedName name="Linking_12">Financials!$B$7:$DW$45</definedName>
    <definedName name="Linking_14">Segments!$B$42:$DW$104</definedName>
    <definedName name="Linking_15">Financials!$B$64:$DW$102</definedName>
    <definedName name="Linking_16">Changes!$B$5:$P$48</definedName>
    <definedName name="Linking_17">Financials!$B$127:$DW$178</definedName>
    <definedName name="Linking_2">Financials!$A$64:$DW$176</definedName>
    <definedName name="Linking_6" localSheetId="6">Earnings!$C$7:$J$31</definedName>
    <definedName name="Linking_8">Earnings!$B$5:$M$35</definedName>
    <definedName name="Linking_9">Earnings!$B$37:$M$50</definedName>
    <definedName name="Linking_Range_19" localSheetId="6">Earnings!$C$7:$V$41</definedName>
    <definedName name="Linking_Range_19">Financials!$B$7:$DR$44</definedName>
    <definedName name="Linking_Range_20" localSheetId="6">Earnings!$C$7:$V$48</definedName>
    <definedName name="Linking_Range_20">Financials!$A$64:$DR$123</definedName>
    <definedName name="Linking_Range_21" localSheetId="6">Earnings!$C$7:$V$50</definedName>
    <definedName name="Linking_Range_21">Financials!$A$127:$DR$176</definedName>
    <definedName name="Linking_Range_22" localSheetId="6">Earnings!$C$7:$V$59</definedName>
    <definedName name="Linking_Range_23">Financials!$A$7:$DR$44</definedName>
    <definedName name="Linking_Range_24">Financials!$A$7:$DT$44</definedName>
    <definedName name="Linking_Range_25">Financials!$A$64:$DT$123</definedName>
    <definedName name="Linking_Range_26">Financials!$A$127:$DT$176</definedName>
    <definedName name="Linking_Range_27" localSheetId="6">Earnings!$C$7:$V$57</definedName>
    <definedName name="Linking_Range_27">Financials!$A$7:$DT$59</definedName>
    <definedName name="Linking_Range_28">Financials!$A$64:$DT$123</definedName>
    <definedName name="Linking_Range_30">Financials!$A$7:$DT$46</definedName>
    <definedName name="Linking_Range_31">Financials!$A$64:$DT$124</definedName>
    <definedName name="Linking_Range_32">Financials!$A$127:$DT$179</definedName>
    <definedName name="Linking_Range_33">Financials!$A$7:$DW$59</definedName>
    <definedName name="Linking_Range_34">Financials!$A$64:$DW$123</definedName>
    <definedName name="Linking_Range_35">Financials!$A$127:$DW$176</definedName>
    <definedName name="Macro03">[0]!Macro03</definedName>
    <definedName name="Macro031">[0]!Macro031</definedName>
    <definedName name="Macro1">[0]!Macro1</definedName>
    <definedName name="Macro11">[0]!Macro11</definedName>
    <definedName name="Macro2">[0]!Macro2</definedName>
    <definedName name="Macro21">[0]!Macro21</definedName>
    <definedName name="macro4">[0]!macro4</definedName>
    <definedName name="MacroVersion" localSheetId="10">IndexInformation!$B$1</definedName>
    <definedName name="ModelPrice" localSheetId="1">ImportantDisclosures!$A$14</definedName>
    <definedName name="MonitorCol">1</definedName>
    <definedName name="MonitorRow">1</definedName>
    <definedName name="Multiplier" localSheetId="10">IndexInformation!$B$35</definedName>
    <definedName name="nEW" localSheetId="6" hidden="1">{#N/A,#N/A,TRUE,"Historicals";#N/A,#N/A,TRUE,"Charts";#N/A,#N/A,TRUE,"Forecasts"}</definedName>
    <definedName name="nEW" localSheetId="8" hidden="1">{#N/A,#N/A,TRUE,"Historicals";#N/A,#N/A,TRUE,"Charts";#N/A,#N/A,TRUE,"Forecasts"}</definedName>
    <definedName name="nEW" localSheetId="2" hidden="1">{#N/A,#N/A,TRUE,"Historicals";#N/A,#N/A,TRUE,"Charts";#N/A,#N/A,TRUE,"Forecasts"}</definedName>
    <definedName name="nEW" hidden="1">{#N/A,#N/A,TRUE,"Historicals";#N/A,#N/A,TRUE,"Charts";#N/A,#N/A,TRUE,"Forecasts"}</definedName>
    <definedName name="NextYearEPS" localSheetId="10">IndexInformation!$B$13</definedName>
    <definedName name="NextYearTotalRevenue" localSheetId="10">IndexInformation!$B$12</definedName>
    <definedName name="NextYearTotalRevenueActual" localSheetId="10">IndexInformation!$B$33</definedName>
    <definedName name="o" localSheetId="6" hidden="1">{"Pulp Production",#N/A,FALSE,"Pulp";"Pulp Earnings",#N/A,FALSE,"Pulp"}</definedName>
    <definedName name="o" localSheetId="8" hidden="1">{"Pulp Production",#N/A,FALSE,"Pulp";"Pulp Earnings",#N/A,FALSE,"Pulp"}</definedName>
    <definedName name="o" localSheetId="2" hidden="1">{"Pulp Production",#N/A,FALSE,"Pulp";"Pulp Earnings",#N/A,FALSE,"Pulp"}</definedName>
    <definedName name="o" hidden="1">{"Pulp Production",#N/A,FALSE,"Pulp";"Pulp Earnings",#N/A,FALSE,"Pulp"}</definedName>
    <definedName name="ObjectType">IndexInformation!$B$37</definedName>
    <definedName name="old" hidden="1">{"PPE-1",#N/A,TRUE,"SNT";"PPE-2",#N/A,TRUE,"SNT";"INC-SNT",#N/A,TRUE,"SNT";"EARN-SNT",#N/A,TRUE,"SNT";"SUMM-SNT",#N/A,TRUE,"SNT";"CASH-SNT",#N/A,TRUE,"SNT";"BAL-SNT",#N/A,TRUE,"SNT";"RATIO-1",#N/A,TRUE,"SNT";"SIP-SNT",#N/A,TRUE,"SNT";"SOP-SNT",#N/A,TRUE,"SNT";"valuation-snt",#N/A,TRUE,"Valuation";"TRANS-SNT",#N/A,TRUE,"Transmission";"reserve-snt",#N/A,TRUE,"E&amp;P";"e&amp;p-snt",#N/A,TRUE,"E&amp;P";"energy-snt",#N/A,TRUE,"Energy Services";"RATIO-2",#N/A,TRUE,"SNT"}</definedName>
    <definedName name="OpMargin" localSheetId="7">OFFSET([0]!XRange2,5,0)</definedName>
    <definedName name="OpMargin">OFFSET([0]!XRange2,5,0)</definedName>
    <definedName name="PANA" localSheetId="11">ModPubIndex!$A$11</definedName>
    <definedName name="PathName" localSheetId="10">IndexInformation!$B$25</definedName>
    <definedName name="Phase1NPVFCF" localSheetId="7">OFFSET([0]!XRange,39,0)</definedName>
    <definedName name="Phase1NPVFCF">OFFSET([0]!XRange,39,0)</definedName>
    <definedName name="Phase2NPVFCF" localSheetId="7">OFFSET([0]!XRange,40,0)</definedName>
    <definedName name="Phase2NPVFCF">OFFSET([0]!XRange,40,0)</definedName>
    <definedName name="Phase3NPVFCF" localSheetId="7">OFFSET([0]!XRange,41,0)</definedName>
    <definedName name="Phase3NPVFCF">OFFSET([0]!XRange,41,0)</definedName>
    <definedName name="_xlnm.Print_Area" localSheetId="7">Changes!$A$1:$Q$49</definedName>
    <definedName name="_xlnm.Print_Area" localSheetId="3">DCF!$A$1:$Q$47</definedName>
    <definedName name="_xlnm.Print_Area" localSheetId="9">Debt!$A$1:$M$16</definedName>
    <definedName name="_xlnm.Print_Area" localSheetId="6">Earnings!$A$1:$AC$51</definedName>
    <definedName name="_xlnm.Print_Area" localSheetId="4">Financials!$A$1:$EA$247</definedName>
    <definedName name="_xlnm.Print_Area" localSheetId="8">Guidance!$A$1:$AC$59</definedName>
    <definedName name="_xlnm.Print_Area" localSheetId="5">Segments!$A$1:$EA$106</definedName>
    <definedName name="_xlnm.Print_Area" localSheetId="2">Valuation!$A$1:$P$60</definedName>
    <definedName name="_xlnm.Print_Area">"Formula removed, name can be deleted."</definedName>
    <definedName name="Print_Area_1">"Formula removed, name can be deleted."</definedName>
    <definedName name="Print_Area2">"Formula removed, name can be deleted."</definedName>
    <definedName name="_xlnm.Print_Titles" localSheetId="4">Financials!$1:$6</definedName>
    <definedName name="_xlnm.Print_Titles" localSheetId="5">Segments!$1:$4</definedName>
    <definedName name="_xlnm.Print_Titles">"Formula removed, name can be deleted."</definedName>
    <definedName name="Print_Titles1">"Formula removed, name can be deleted."</definedName>
    <definedName name="Print_titles2">"Formula removed, name can be deleted."</definedName>
    <definedName name="PRODUCT" localSheetId="11">ModPubIndex!$A$6</definedName>
    <definedName name="ProjectName" localSheetId="6">{"Client Name or Project Name"}</definedName>
    <definedName name="ProjectName" localSheetId="8">{"Client Name or Project Name"}</definedName>
    <definedName name="ProjectName" localSheetId="2">{"Client Name or Project Name"}</definedName>
    <definedName name="ProjectName">{"Client Name or Project Name"}</definedName>
    <definedName name="ProjectName1">{"BU Name or Client/Project Name"}</definedName>
    <definedName name="ProjectName2">{"BU Name or Client/Project Name"}</definedName>
    <definedName name="ProjectName3">{"BU Name or Client/Project Name"}</definedName>
    <definedName name="ProjectName4">{"Client Name or Project Name"}</definedName>
    <definedName name="PSDScale" hidden="1">#N/A</definedName>
    <definedName name="PSYM" localSheetId="11">ModPubIndex!$A$4</definedName>
    <definedName name="PublishDate" localSheetId="10">IndexInformation!$B$2</definedName>
    <definedName name="q" localSheetId="6" hidden="1">{"Qtr Op Mgd Q2",#N/A,FALSE,"Qtr-Op (Mng)";"Qtr Op Rpt Q2",#N/A,FALSE,"Qtr-Op (Rpt)";"Operating Vs Reported",#N/A,FALSE,"Rpt-Op Inc"}</definedName>
    <definedName name="q" localSheetId="8" hidden="1">{"Qtr Op Mgd Q2",#N/A,FALSE,"Qtr-Op (Mng)";"Qtr Op Rpt Q2",#N/A,FALSE,"Qtr-Op (Rpt)";"Operating Vs Reported",#N/A,FALSE,"Rpt-Op Inc"}</definedName>
    <definedName name="q" localSheetId="2" hidden="1">{"Qtr Op Mgd Q2",#N/A,FALSE,"Qtr-Op (Mng)";"Qtr Op Rpt Q2",#N/A,FALSE,"Qtr-Op (Rpt)";"Operating Vs Reported",#N/A,FALSE,"Rpt-Op Inc"}</definedName>
    <definedName name="q" hidden="1">{"Qtr Op Mgd Q2",#N/A,FALSE,"Qtr-Op (Mng)";"Qtr Op Rpt Q2",#N/A,FALSE,"Qtr-Op (Rpt)";"Operating Vs Reported",#N/A,FALSE,"Rpt-Op Inc"}</definedName>
    <definedName name="QuarterlyColumn" hidden="1">16777215</definedName>
    <definedName name="QuarterlyHeadFont" hidden="1">8388608</definedName>
    <definedName name="QuarterlyHeading" hidden="1">16777215</definedName>
    <definedName name="Rating" localSheetId="10">IndexInformation!$B$9</definedName>
    <definedName name="RatingsDefined" localSheetId="1">ImportantDisclosures!$A$21</definedName>
    <definedName name="RatingsDefs" localSheetId="1">ImportantDisclosures!#REF!</definedName>
    <definedName name="RegACDisclosure" localSheetId="1">ImportantDisclosures!#REF!</definedName>
    <definedName name="REGIONAL">2</definedName>
    <definedName name="Rem_Bus_ROIC" localSheetId="7">OFFSET([0]!XRange,11,0)</definedName>
    <definedName name="Rem_Bus_ROIC">OFFSET([0]!XRange,11,0)</definedName>
    <definedName name="rep" localSheetId="6" hidden="1">{#N/A,#N/A,FALSE,"COVER";#N/A,#N/A,FALSE,"VALUATION";#N/A,#N/A,FALSE,"FORECAST";#N/A,#N/A,FALSE,"FY ANALYSIS ";#N/A,#N/A,FALSE," HY ANALYSIS"}</definedName>
    <definedName name="rep" localSheetId="8" hidden="1">{#N/A,#N/A,FALSE,"COVER";#N/A,#N/A,FALSE,"VALUATION";#N/A,#N/A,FALSE,"FORECAST";#N/A,#N/A,FALSE,"FY ANALYSIS ";#N/A,#N/A,FALSE," HY ANALYSIS"}</definedName>
    <definedName name="rep" localSheetId="2" hidden="1">{#N/A,#N/A,FALSE,"COVER";#N/A,#N/A,FALSE,"VALUATION";#N/A,#N/A,FALSE,"FORECAST";#N/A,#N/A,FALSE,"FY ANALYSIS ";#N/A,#N/A,FALSE," HY ANALYSIS"}</definedName>
    <definedName name="rep" hidden="1">{#N/A,#N/A,FALSE,"COVER";#N/A,#N/A,FALSE,"VALUATION";#N/A,#N/A,FALSE,"FORECAST";#N/A,#N/A,FALSE,"FY ANALYSIS ";#N/A,#N/A,FALSE," HY ANALYSIS"}</definedName>
    <definedName name="RepairedName0344" hidden="1">"iQShowAnnual"</definedName>
    <definedName name="RepairedName0620" hidden="1">"iQShowAnnual"</definedName>
    <definedName name="ResearchTopic" localSheetId="10">IndexInformation!$B$4</definedName>
    <definedName name="RIC" localSheetId="10">IndexInformation!$B$21</definedName>
    <definedName name="RMT_DataBridge_Template_File">""</definedName>
    <definedName name="RMT_DataBridge_Template_Sheet">""</definedName>
    <definedName name="RMT_DataBridge_Template_Type">""</definedName>
    <definedName name="scen_result" hidden="1">#VALUE!</definedName>
    <definedName name="SECSettlement" localSheetId="1">ImportantDisclosures!#REF!</definedName>
    <definedName name="SectionHeadFont" hidden="1">0</definedName>
    <definedName name="SectionHeading" hidden="1">12632256</definedName>
    <definedName name="SEDOL" localSheetId="10">IndexInformation!$B$22</definedName>
    <definedName name="ShareScale" hidden="1">#N/A</definedName>
    <definedName name="solver_lin" hidden="1">0</definedName>
    <definedName name="solver_num" hidden="1">0</definedName>
    <definedName name="solver_typ" hidden="1">1</definedName>
    <definedName name="solver_val" hidden="1">0</definedName>
    <definedName name="SORT2">[0]!SORT2</definedName>
    <definedName name="SORT3">[0]!SORT3</definedName>
    <definedName name="SORT4">[0]!SORT4</definedName>
    <definedName name="SORT5">[0]!SORT5</definedName>
    <definedName name="SourceDefined" localSheetId="1">ImportantDisclosures!$A$19</definedName>
    <definedName name="StockRating" localSheetId="1">ImportantDisclosures!$A$11</definedName>
    <definedName name="storage">"Chart 1"</definedName>
    <definedName name="SubjectCode" localSheetId="10">IndexInformation!$B$6</definedName>
    <definedName name="SubmitterUserId">IndexInformation!$B$39</definedName>
    <definedName name="SUPPRESSED" localSheetId="11">ModPubIndex!$A$13</definedName>
    <definedName name="TargetPrice" localSheetId="1">ImportantDisclosures!$A$15</definedName>
    <definedName name="Template.WIRE">"DBACCESS"</definedName>
    <definedName name="TemplateRegion">IndexInformation!$B$36</definedName>
    <definedName name="Ticker" localSheetId="1">ImportantDisclosures!$A$10</definedName>
    <definedName name="Ticker_EBITDAQ1_LA">"$K$26"</definedName>
    <definedName name="TickerRegion">IndexInformation!$B$41</definedName>
    <definedName name="Tickers" localSheetId="10">IndexInformation!$B$19</definedName>
    <definedName name="Total_Bus_ROIC" localSheetId="7">OFFSET([0]!XRange,12,0)</definedName>
    <definedName name="Total_Bus_ROIC">OFFSET([0]!XRange,12,0)</definedName>
    <definedName name="TRW" localSheetId="6" hidden="1">{"Cover",#N/A,FALSE,"Cover";"Summary",#N/A,FALSE,"Summarpage";"Assumptions",#N/A,FALSE,"Assumptions";"Earnings",#N/A,FALSE,"Earnings";"CF Oper.",#N/A,FALSE,"Earnings";"Balance Sheet",#N/A,FALSE,"balance";"Cash Flow",#N/A,FALSE,"cash flow";"Paper Production",#N/A,FALSE,"Paper";"Paper Earnings",#N/A,FALSE,"Paper";"Wood Production",#N/A,FALSE,"Wood Products";"Wood Earnings",#N/A,FALSE,"Wood Products";"Pulp Production",#N/A,FALSE,"Pulp";"Pulp Earnings",#N/A,FALSE,"Pulp"}</definedName>
    <definedName name="TRW" localSheetId="8" hidden="1">{"Cover",#N/A,FALSE,"Cover";"Summary",#N/A,FALSE,"Summarpage";"Assumptions",#N/A,FALSE,"Assumptions";"Earnings",#N/A,FALSE,"Earnings";"CF Oper.",#N/A,FALSE,"Earnings";"Balance Sheet",#N/A,FALSE,"balance";"Cash Flow",#N/A,FALSE,"cash flow";"Paper Production",#N/A,FALSE,"Paper";"Paper Earnings",#N/A,FALSE,"Paper";"Wood Production",#N/A,FALSE,"Wood Products";"Wood Earnings",#N/A,FALSE,"Wood Products";"Pulp Production",#N/A,FALSE,"Pulp";"Pulp Earnings",#N/A,FALSE,"Pulp"}</definedName>
    <definedName name="TRW" localSheetId="2" hidden="1">{"Cover",#N/A,FALSE,"Cover";"Summary",#N/A,FALSE,"Summarpage";"Assumptions",#N/A,FALSE,"Assumptions";"Earnings",#N/A,FALSE,"Earnings";"CF Oper.",#N/A,FALSE,"Earnings";"Balance Sheet",#N/A,FALSE,"balance";"Cash Flow",#N/A,FALSE,"cash flow";"Paper Production",#N/A,FALSE,"Paper";"Paper Earnings",#N/A,FALSE,"Paper";"Wood Production",#N/A,FALSE,"Wood Products";"Wood Earnings",#N/A,FALSE,"Wood Products";"Pulp Production",#N/A,FALSE,"Pulp";"Pulp Earnings",#N/A,FALSE,"Pulp"}</definedName>
    <definedName name="TRW" hidden="1">{"Cover",#N/A,FALSE,"Cover";"Summary",#N/A,FALSE,"Summarpage";"Assumptions",#N/A,FALSE,"Assumptions";"Earnings",#N/A,FALSE,"Earnings";"CF Oper.",#N/A,FALSE,"Earnings";"Balance Sheet",#N/A,FALSE,"balance";"Cash Flow",#N/A,FALSE,"cash flow";"Paper Production",#N/A,FALSE,"Paper";"Paper Earnings",#N/A,FALSE,"Paper";"Wood Production",#N/A,FALSE,"Wood Products";"Wood Earnings",#N/A,FALSE,"Wood Products";"Pulp Production",#N/A,FALSE,"Pulp";"Pulp Earnings",#N/A,FALSE,"Pulp"}</definedName>
    <definedName name="UpdateReason" localSheetId="10">IndexInformation!$B$17</definedName>
    <definedName name="USRegDisclosures" localSheetId="1">ImportantDisclosures!#REF!</definedName>
    <definedName name="Version">"June 29, 2004"</definedName>
    <definedName name="Version.WIRE">1</definedName>
    <definedName name="wrn.2._.pagers." localSheetId="6" hidden="1">{"Cover",#N/A,FALSE,"Cover";"Summary",#N/A,FALSE,"Summarpage"}</definedName>
    <definedName name="wrn.2._.pagers." localSheetId="8" hidden="1">{"Cover",#N/A,FALSE,"Cover";"Summary",#N/A,FALSE,"Summarpage"}</definedName>
    <definedName name="wrn.2._.pagers." localSheetId="2" hidden="1">{"Cover",#N/A,FALSE,"Cover";"Summary",#N/A,FALSE,"Summarpage"}</definedName>
    <definedName name="wrn.2._.pagers." hidden="1">{"Cover",#N/A,FALSE,"Cover";"Summary",#N/A,FALSE,"Summarpage"}</definedName>
    <definedName name="wrn.96_model." localSheetId="6" hidden="1">{"qtr_is_94_95",#N/A,FALSE,"MA";"ann_is_96",#N/A,FALSE,"MA";"seg_sales_96",#N/A,FALSE,"MA";"seg_inc_96",#N/A,FALSE,"MA";"divisional_91_95",#N/A,FALSE,"MA";"ann_bs_96",#N/A,FALSE,"MA";"ann_cf_96",#N/A,FALSE,"MA"}</definedName>
    <definedName name="wrn.96_model." localSheetId="8" hidden="1">{"qtr_is_94_95",#N/A,FALSE,"MA";"ann_is_96",#N/A,FALSE,"MA";"seg_sales_96",#N/A,FALSE,"MA";"seg_inc_96",#N/A,FALSE,"MA";"divisional_91_95",#N/A,FALSE,"MA";"ann_bs_96",#N/A,FALSE,"MA";"ann_cf_96",#N/A,FALSE,"MA"}</definedName>
    <definedName name="wrn.96_model." localSheetId="2" hidden="1">{"qtr_is_94_95",#N/A,FALSE,"MA";"ann_is_96",#N/A,FALSE,"MA";"seg_sales_96",#N/A,FALSE,"MA";"seg_inc_96",#N/A,FALSE,"MA";"divisional_91_95",#N/A,FALSE,"MA";"ann_bs_96",#N/A,FALSE,"MA";"ann_cf_96",#N/A,FALSE,"MA"}</definedName>
    <definedName name="wrn.96_model." hidden="1">{"qtr_is_94_95",#N/A,FALSE,"MA";"ann_is_96",#N/A,FALSE,"MA";"seg_sales_96",#N/A,FALSE,"MA";"seg_inc_96",#N/A,FALSE,"MA";"divisional_91_95",#N/A,FALSE,"MA";"ann_bs_96",#N/A,FALSE,"MA";"ann_cf_96",#N/A,FALSE,"MA"}</definedName>
    <definedName name="wrn.Aircraft._.Breakdown." localSheetId="6" hidden="1">{"Bell",#N/A,TRUE,"Earnings Model";"Cessna",#N/A,TRUE,"Earnings Model"}</definedName>
    <definedName name="wrn.Aircraft._.Breakdown." localSheetId="8" hidden="1">{"Bell",#N/A,TRUE,"Earnings Model";"Cessna",#N/A,TRUE,"Earnings Model"}</definedName>
    <definedName name="wrn.Aircraft._.Breakdown." localSheetId="2" hidden="1">{"Bell",#N/A,TRUE,"Earnings Model";"Cessna",#N/A,TRUE,"Earnings Model"}</definedName>
    <definedName name="wrn.Aircraft._.Breakdown." hidden="1">{"Bell",#N/A,TRUE,"Earnings Model";"Cessna",#N/A,TRUE,"Earnings Model"}</definedName>
    <definedName name="wrn.allpages." localSheetId="6" hidden="1">{#N/A,#N/A,TRUE,"Historicals";#N/A,#N/A,TRUE,"Charts";#N/A,#N/A,TRUE,"Forecasts"}</definedName>
    <definedName name="wrn.allpages." localSheetId="8" hidden="1">{#N/A,#N/A,TRUE,"Historicals";#N/A,#N/A,TRUE,"Charts";#N/A,#N/A,TRUE,"Forecasts"}</definedName>
    <definedName name="wrn.allpages." localSheetId="2" hidden="1">{#N/A,#N/A,TRUE,"Historicals";#N/A,#N/A,TRUE,"Charts";#N/A,#N/A,TRUE,"Forecasts"}</definedName>
    <definedName name="wrn.allpages." hidden="1">{#N/A,#N/A,TRUE,"Historicals";#N/A,#N/A,TRUE,"Charts";#N/A,#N/A,TRUE,"Forecasts"}</definedName>
    <definedName name="wrn.Annual._.Operating._.Earnings." localSheetId="6" hidden="1">{"Annual 1996",#N/A,FALSE,"Ann-Op (Mng)";"Annual 1996",#N/A,FALSE,"Ann-Op (Rep)";"Operating Vs. Reported Earnings",#N/A,FALSE,"Rpt-Op Inc"}</definedName>
    <definedName name="wrn.Annual._.Operating._.Earnings." localSheetId="8" hidden="1">{"Annual 1996",#N/A,FALSE,"Ann-Op (Mng)";"Annual 1996",#N/A,FALSE,"Ann-Op (Rep)";"Operating Vs. Reported Earnings",#N/A,FALSE,"Rpt-Op Inc"}</definedName>
    <definedName name="wrn.Annual._.Operating._.Earnings." localSheetId="2" hidden="1">{"Annual 1996",#N/A,FALSE,"Ann-Op (Mng)";"Annual 1996",#N/A,FALSE,"Ann-Op (Rep)";"Operating Vs. Reported Earnings",#N/A,FALSE,"Rpt-Op Inc"}</definedName>
    <definedName name="wrn.Annual._.Operating._.Earnings." hidden="1">{"Annual 1996",#N/A,FALSE,"Ann-Op (Mng)";"Annual 1996",#N/A,FALSE,"Ann-Op (Rep)";"Operating Vs. Reported Earnings",#N/A,FALSE,"Rpt-Op Inc"}</definedName>
    <definedName name="wrn.Annual._.Operating._.Earnings1." localSheetId="6" hidden="1">{"Annual 1996",#N/A,FALSE,"Ann-Op (Mng)";"Annual 1996",#N/A,FALSE,"Ann-Op (Rep)";"Operating Vs. Reported Earnings",#N/A,FALSE,"Rpt-Op Inc"}</definedName>
    <definedName name="wrn.Annual._.Operating._.Earnings1." localSheetId="8" hidden="1">{"Annual 1996",#N/A,FALSE,"Ann-Op (Mng)";"Annual 1996",#N/A,FALSE,"Ann-Op (Rep)";"Operating Vs. Reported Earnings",#N/A,FALSE,"Rpt-Op Inc"}</definedName>
    <definedName name="wrn.Annual._.Operating._.Earnings1." localSheetId="2" hidden="1">{"Annual 1996",#N/A,FALSE,"Ann-Op (Mng)";"Annual 1996",#N/A,FALSE,"Ann-Op (Rep)";"Operating Vs. Reported Earnings",#N/A,FALSE,"Rpt-Op Inc"}</definedName>
    <definedName name="wrn.Annual._.Operating._.Earnings1." hidden="1">{"Annual 1996",#N/A,FALSE,"Ann-Op (Mng)";"Annual 1996",#N/A,FALSE,"Ann-Op (Rep)";"Operating Vs. Reported Earnings",#N/A,FALSE,"Rpt-Op Inc"}</definedName>
    <definedName name="wrn.Complete." localSheetId="6" hidden="1">{"Cover",#N/A,FALSE,"Cover";"Summary",#N/A,FALSE,"Summarpage";"Assumptions",#N/A,FALSE,"Assumptions";"Earnings",#N/A,FALSE,"Earnings";"CF Oper.",#N/A,FALSE,"Earnings";"Balance Sheet",#N/A,FALSE,"balance";"Cash Flow",#N/A,FALSE,"cash flow";"Paper Production",#N/A,FALSE,"Paper";"Paper Earnings",#N/A,FALSE,"Paper";"Wood Production",#N/A,FALSE,"Wood Products";"Wood Earnings",#N/A,FALSE,"Wood Products";"Pulp Production",#N/A,FALSE,"Pulp";"Pulp Earnings",#N/A,FALSE,"Pulp"}</definedName>
    <definedName name="wrn.Complete." localSheetId="8" hidden="1">{"Cover",#N/A,FALSE,"Cover";"Summary",#N/A,FALSE,"Summarpage";"Assumptions",#N/A,FALSE,"Assumptions";"Earnings",#N/A,FALSE,"Earnings";"CF Oper.",#N/A,FALSE,"Earnings";"Balance Sheet",#N/A,FALSE,"balance";"Cash Flow",#N/A,FALSE,"cash flow";"Paper Production",#N/A,FALSE,"Paper";"Paper Earnings",#N/A,FALSE,"Paper";"Wood Production",#N/A,FALSE,"Wood Products";"Wood Earnings",#N/A,FALSE,"Wood Products";"Pulp Production",#N/A,FALSE,"Pulp";"Pulp Earnings",#N/A,FALSE,"Pulp"}</definedName>
    <definedName name="wrn.Complete." localSheetId="2" hidden="1">{"Cover",#N/A,FALSE,"Cover";"Summary",#N/A,FALSE,"Summarpage";"Assumptions",#N/A,FALSE,"Assumptions";"Earnings",#N/A,FALSE,"Earnings";"CF Oper.",#N/A,FALSE,"Earnings";"Balance Sheet",#N/A,FALSE,"balance";"Cash Flow",#N/A,FALSE,"cash flow";"Paper Production",#N/A,FALSE,"Paper";"Paper Earnings",#N/A,FALSE,"Paper";"Wood Production",#N/A,FALSE,"Wood Products";"Wood Earnings",#N/A,FALSE,"Wood Products";"Pulp Production",#N/A,FALSE,"Pulp";"Pulp Earnings",#N/A,FALSE,"Pulp"}</definedName>
    <definedName name="wrn.Complete." hidden="1">{"Cover",#N/A,FALSE,"Cover";"Summary",#N/A,FALSE,"Summarpage";"Assumptions",#N/A,FALSE,"Assumptions";"Earnings",#N/A,FALSE,"Earnings";"CF Oper.",#N/A,FALSE,"Earnings";"Balance Sheet",#N/A,FALSE,"balance";"Cash Flow",#N/A,FALSE,"cash flow";"Paper Production",#N/A,FALSE,"Paper";"Paper Earnings",#N/A,FALSE,"Paper";"Wood Production",#N/A,FALSE,"Wood Products";"Wood Earnings",#N/A,FALSE,"Wood Products";"Pulp Production",#N/A,FALSE,"Pulp";"Pulp Earnings",#N/A,FALSE,"Pulp"}</definedName>
    <definedName name="wrn.Consolidated._.Statements." localSheetId="6" hidden="1">{"view1",#N/A,FALSE,"EARN (US$)";"view1",#N/A,FALSE,"DASTBS (US$)";"view1",#N/A,FALSE,"DASTCF (US$)"}</definedName>
    <definedName name="wrn.Consolidated._.Statements." localSheetId="8" hidden="1">{"view1",#N/A,FALSE,"EARN (US$)";"view1",#N/A,FALSE,"DASTBS (US$)";"view1",#N/A,FALSE,"DASTCF (US$)"}</definedName>
    <definedName name="wrn.Consolidated._.Statements." localSheetId="2" hidden="1">{"view1",#N/A,FALSE,"EARN (US$)";"view1",#N/A,FALSE,"DASTBS (US$)";"view1",#N/A,FALSE,"DASTCF (US$)"}</definedName>
    <definedName name="wrn.Consolidated._.Statements." hidden="1">{"view1",#N/A,FALSE,"EARN (US$)";"view1",#N/A,FALSE,"DASTBS (US$)";"view1",#N/A,FALSE,"DASTCF (US$)"}</definedName>
    <definedName name="wrn.Covers." localSheetId="6" hidden="1">{"view1",#N/A,FALSE,"MOTEARN";"view1",#N/A,FALSE,"Bal Sht";"view1",#N/A,FALSE,"Cash Flows"}</definedName>
    <definedName name="wrn.Covers." localSheetId="8" hidden="1">{"view1",#N/A,FALSE,"MOTEARN";"view1",#N/A,FALSE,"Bal Sht";"view1",#N/A,FALSE,"Cash Flows"}</definedName>
    <definedName name="wrn.Covers." localSheetId="2" hidden="1">{"view1",#N/A,FALSE,"MOTEARN";"view1",#N/A,FALSE,"Bal Sht";"view1",#N/A,FALSE,"Cash Flows"}</definedName>
    <definedName name="wrn.Covers." hidden="1">{"view1",#N/A,FALSE,"MOTEARN";"view1",#N/A,FALSE,"Bal Sht";"view1",#N/A,FALSE,"Cash Flows"}</definedName>
    <definedName name="wrn.Forecast._.Q1." localSheetId="6" hidden="1">{"cover a","1q",FALSE,"Cover";"Op Earn Mgd Q1",#N/A,FALSE,"Op-Earn (Mng)";"Op Earn Rpt Q1",#N/A,FALSE,"Op-Earn (Rpt)";"Loans",#N/A,FALSE,"Loans";"Credit Costs",#N/A,FALSE,"CCosts";"Net Interest Margin",#N/A,FALSE,"Margin";"Nonint Income",#N/A,FALSE,"NonII";"Nonint Exp",#N/A,FALSE,"NonIE";"Valuation",#N/A,FALSE,"Valuation"}</definedName>
    <definedName name="wrn.Forecast._.Q1." localSheetId="8" hidden="1">{"cover a","1q",FALSE,"Cover";"Op Earn Mgd Q1",#N/A,FALSE,"Op-Earn (Mng)";"Op Earn Rpt Q1",#N/A,FALSE,"Op-Earn (Rpt)";"Loans",#N/A,FALSE,"Loans";"Credit Costs",#N/A,FALSE,"CCosts";"Net Interest Margin",#N/A,FALSE,"Margin";"Nonint Income",#N/A,FALSE,"NonII";"Nonint Exp",#N/A,FALSE,"NonIE";"Valuation",#N/A,FALSE,"Valuation"}</definedName>
    <definedName name="wrn.Forecast._.Q1." localSheetId="2" hidden="1">{"cover a","1q",FALSE,"Cover";"Op Earn Mgd Q1",#N/A,FALSE,"Op-Earn (Mng)";"Op Earn Rpt Q1",#N/A,FALSE,"Op-Earn (Rpt)";"Loans",#N/A,FALSE,"Loans";"Credit Costs",#N/A,FALSE,"CCosts";"Net Interest Margin",#N/A,FALSE,"Margin";"Nonint Income",#N/A,FALSE,"NonII";"Nonint Exp",#N/A,FALSE,"NonIE";"Valuation",#N/A,FALSE,"Valuation"}</definedName>
    <definedName name="wrn.Forecast._.Q1." hidden="1">{"cover a","1q",FALSE,"Cover";"Op Earn Mgd Q1",#N/A,FALSE,"Op-Earn (Mng)";"Op Earn Rpt Q1",#N/A,FALSE,"Op-Earn (Rpt)";"Loans",#N/A,FALSE,"Loans";"Credit Costs",#N/A,FALSE,"CCosts";"Net Interest Margin",#N/A,FALSE,"Margin";"Nonint Income",#N/A,FALSE,"NonII";"Nonint Exp",#N/A,FALSE,"NonIE";"Valuation",#N/A,FALSE,"Valuation"}</definedName>
    <definedName name="wrn.Forecast._.Q2." localSheetId="6" hidden="1">{"cover a","2q",FALSE,"Cover";"Op Earn Mgd Q2",#N/A,FALSE,"Op-Earn (Mng)";"Op Earn Rpt Q2",#N/A,FALSE,"Op-Earn (Rpt)";"Loans",#N/A,FALSE,"Loans";"Credit Costs",#N/A,FALSE,"CCosts";"Net Interest Margin",#N/A,FALSE,"Margin";"Nonint Income",#N/A,FALSE,"NonII";"Nonint Exp",#N/A,FALSE,"NonIE";"Valuation",#N/A,FALSE,"Valuation"}</definedName>
    <definedName name="wrn.Forecast._.Q2." localSheetId="8" hidden="1">{"cover a","2q",FALSE,"Cover";"Op Earn Mgd Q2",#N/A,FALSE,"Op-Earn (Mng)";"Op Earn Rpt Q2",#N/A,FALSE,"Op-Earn (Rpt)";"Loans",#N/A,FALSE,"Loans";"Credit Costs",#N/A,FALSE,"CCosts";"Net Interest Margin",#N/A,FALSE,"Margin";"Nonint Income",#N/A,FALSE,"NonII";"Nonint Exp",#N/A,FALSE,"NonIE";"Valuation",#N/A,FALSE,"Valuation"}</definedName>
    <definedName name="wrn.Forecast._.Q2." localSheetId="2" hidden="1">{"cover a","2q",FALSE,"Cover";"Op Earn Mgd Q2",#N/A,FALSE,"Op-Earn (Mng)";"Op Earn Rpt Q2",#N/A,FALSE,"Op-Earn (Rpt)";"Loans",#N/A,FALSE,"Loans";"Credit Costs",#N/A,FALSE,"CCosts";"Net Interest Margin",#N/A,FALSE,"Margin";"Nonint Income",#N/A,FALSE,"NonII";"Nonint Exp",#N/A,FALSE,"NonIE";"Valuation",#N/A,FALSE,"Valuation"}</definedName>
    <definedName name="wrn.Forecast._.Q2." hidden="1">{"cover a","2q",FALSE,"Cover";"Op Earn Mgd Q2",#N/A,FALSE,"Op-Earn (Mng)";"Op Earn Rpt Q2",#N/A,FALSE,"Op-Earn (Rpt)";"Loans",#N/A,FALSE,"Loans";"Credit Costs",#N/A,FALSE,"CCosts";"Net Interest Margin",#N/A,FALSE,"Margin";"Nonint Income",#N/A,FALSE,"NonII";"Nonint Exp",#N/A,FALSE,"NonIE";"Valuation",#N/A,FALSE,"Valuation"}</definedName>
    <definedName name="wrn.Forecast._.Q2a." localSheetId="6" hidden="1">{"cover a","2q",FALSE,"Cover";"Op Earn Mgd Q2",#N/A,FALSE,"Op-Earn (Mng)";"Op Earn Rpt Q2",#N/A,FALSE,"Op-Earn (Rpt)";"Loans",#N/A,FALSE,"Loans";"Credit Costs",#N/A,FALSE,"CCosts";"Net Interest Margin",#N/A,FALSE,"Margin";"Nonint Income",#N/A,FALSE,"NonII";"Nonint Exp",#N/A,FALSE,"NonIE";"Valuation",#N/A,FALSE,"Valuation"}</definedName>
    <definedName name="wrn.Forecast._.Q2a." localSheetId="8" hidden="1">{"cover a","2q",FALSE,"Cover";"Op Earn Mgd Q2",#N/A,FALSE,"Op-Earn (Mng)";"Op Earn Rpt Q2",#N/A,FALSE,"Op-Earn (Rpt)";"Loans",#N/A,FALSE,"Loans";"Credit Costs",#N/A,FALSE,"CCosts";"Net Interest Margin",#N/A,FALSE,"Margin";"Nonint Income",#N/A,FALSE,"NonII";"Nonint Exp",#N/A,FALSE,"NonIE";"Valuation",#N/A,FALSE,"Valuation"}</definedName>
    <definedName name="wrn.Forecast._.Q2a." localSheetId="2" hidden="1">{"cover a","2q",FALSE,"Cover";"Op Earn Mgd Q2",#N/A,FALSE,"Op-Earn (Mng)";"Op Earn Rpt Q2",#N/A,FALSE,"Op-Earn (Rpt)";"Loans",#N/A,FALSE,"Loans";"Credit Costs",#N/A,FALSE,"CCosts";"Net Interest Margin",#N/A,FALSE,"Margin";"Nonint Income",#N/A,FALSE,"NonII";"Nonint Exp",#N/A,FALSE,"NonIE";"Valuation",#N/A,FALSE,"Valuation"}</definedName>
    <definedName name="wrn.Forecast._.Q2a." hidden="1">{"cover a","2q",FALSE,"Cover";"Op Earn Mgd Q2",#N/A,FALSE,"Op-Earn (Mng)";"Op Earn Rpt Q2",#N/A,FALSE,"Op-Earn (Rpt)";"Loans",#N/A,FALSE,"Loans";"Credit Costs",#N/A,FALSE,"CCosts";"Net Interest Margin",#N/A,FALSE,"Margin";"Nonint Income",#N/A,FALSE,"NonII";"Nonint Exp",#N/A,FALSE,"NonIE";"Valuation",#N/A,FALSE,"Valuation"}</definedName>
    <definedName name="wrn.Forecast._.Q3." localSheetId="6" hidden="1">{"cover a","3q",FALSE,"Cover";"Op Earn Mgd Q3",#N/A,FALSE,"Op-Earn (Mng)";"Op Earn Rpt Q3",#N/A,FALSE,"Op-Earn (Rpt)";"Loans",#N/A,FALSE,"Loans";"Credit Costs",#N/A,FALSE,"CCosts";"Net Interest Margin",#N/A,FALSE,"Margin";"Nonint Income",#N/A,FALSE,"NonII";"Nonint Exp",#N/A,FALSE,"NonIE";"Valuation",#N/A,FALSE,"Valuation"}</definedName>
    <definedName name="wrn.Forecast._.Q3." localSheetId="8" hidden="1">{"cover a","3q",FALSE,"Cover";"Op Earn Mgd Q3",#N/A,FALSE,"Op-Earn (Mng)";"Op Earn Rpt Q3",#N/A,FALSE,"Op-Earn (Rpt)";"Loans",#N/A,FALSE,"Loans";"Credit Costs",#N/A,FALSE,"CCosts";"Net Interest Margin",#N/A,FALSE,"Margin";"Nonint Income",#N/A,FALSE,"NonII";"Nonint Exp",#N/A,FALSE,"NonIE";"Valuation",#N/A,FALSE,"Valuation"}</definedName>
    <definedName name="wrn.Forecast._.Q3." localSheetId="2" hidden="1">{"cover a","3q",FALSE,"Cover";"Op Earn Mgd Q3",#N/A,FALSE,"Op-Earn (Mng)";"Op Earn Rpt Q3",#N/A,FALSE,"Op-Earn (Rpt)";"Loans",#N/A,FALSE,"Loans";"Credit Costs",#N/A,FALSE,"CCosts";"Net Interest Margin",#N/A,FALSE,"Margin";"Nonint Income",#N/A,FALSE,"NonII";"Nonint Exp",#N/A,FALSE,"NonIE";"Valuation",#N/A,FALSE,"Valuation"}</definedName>
    <definedName name="wrn.Forecast._.Q3." hidden="1">{"cover a","3q",FALSE,"Cover";"Op Earn Mgd Q3",#N/A,FALSE,"Op-Earn (Mng)";"Op Earn Rpt Q3",#N/A,FALSE,"Op-Earn (Rpt)";"Loans",#N/A,FALSE,"Loans";"Credit Costs",#N/A,FALSE,"CCosts";"Net Interest Margin",#N/A,FALSE,"Margin";"Nonint Income",#N/A,FALSE,"NonII";"Nonint Exp",#N/A,FALSE,"NonIE";"Valuation",#N/A,FALSE,"Valuation"}</definedName>
    <definedName name="wrn.Forecast._.Q4." localSheetId="6" hidden="1">{"cover a","4q",FALSE,"Cover";"Op Earn Mgd Q4",#N/A,FALSE,"Op-Earn (Mng)";"Op Earn Rpt Q4",#N/A,FALSE,"Op-Earn (Rpt)";"Loans",#N/A,FALSE,"Loans";"Credit Costs",#N/A,FALSE,"CCosts";"Net Interest Margin",#N/A,FALSE,"Margin";"Nonint Income",#N/A,FALSE,"NonII";"Nonint Exp",#N/A,FALSE,"NonIE";"Valuation",#N/A,FALSE,"Valuation"}</definedName>
    <definedName name="wrn.Forecast._.Q4." localSheetId="8" hidden="1">{"cover a","4q",FALSE,"Cover";"Op Earn Mgd Q4",#N/A,FALSE,"Op-Earn (Mng)";"Op Earn Rpt Q4",#N/A,FALSE,"Op-Earn (Rpt)";"Loans",#N/A,FALSE,"Loans";"Credit Costs",#N/A,FALSE,"CCosts";"Net Interest Margin",#N/A,FALSE,"Margin";"Nonint Income",#N/A,FALSE,"NonII";"Nonint Exp",#N/A,FALSE,"NonIE";"Valuation",#N/A,FALSE,"Valuation"}</definedName>
    <definedName name="wrn.Forecast._.Q4." localSheetId="2" hidden="1">{"cover a","4q",FALSE,"Cover";"Op Earn Mgd Q4",#N/A,FALSE,"Op-Earn (Mng)";"Op Earn Rpt Q4",#N/A,FALSE,"Op-Earn (Rpt)";"Loans",#N/A,FALSE,"Loans";"Credit Costs",#N/A,FALSE,"CCosts";"Net Interest Margin",#N/A,FALSE,"Margin";"Nonint Income",#N/A,FALSE,"NonII";"Nonint Exp",#N/A,FALSE,"NonIE";"Valuation",#N/A,FALSE,"Valuation"}</definedName>
    <definedName name="wrn.Forecast._.Q4." hidden="1">{"cover a","4q",FALSE,"Cover";"Op Earn Mgd Q4",#N/A,FALSE,"Op-Earn (Mng)";"Op Earn Rpt Q4",#N/A,FALSE,"Op-Earn (Rpt)";"Loans",#N/A,FALSE,"Loans";"Credit Costs",#N/A,FALSE,"CCosts";"Net Interest Margin",#N/A,FALSE,"Margin";"Nonint Income",#N/A,FALSE,"NonII";"Nonint Exp",#N/A,FALSE,"NonIE";"Valuation",#N/A,FALSE,"Valuation"}</definedName>
    <definedName name="wrn.Forecast._.Q4a" localSheetId="6" hidden="1">{"cover a","4q",FALSE,"Cover";"Op Earn Mgd Q4",#N/A,FALSE,"Op-Earn (Mng)";"Op Earn Rpt Q4",#N/A,FALSE,"Op-Earn (Rpt)";"Loans",#N/A,FALSE,"Loans";"Credit Costs",#N/A,FALSE,"CCosts";"Net Interest Margin",#N/A,FALSE,"Margin";"Nonint Income",#N/A,FALSE,"NonII";"Nonint Exp",#N/A,FALSE,"NonIE";"Valuation",#N/A,FALSE,"Valuation"}</definedName>
    <definedName name="wrn.Forecast._.Q4a" localSheetId="8" hidden="1">{"cover a","4q",FALSE,"Cover";"Op Earn Mgd Q4",#N/A,FALSE,"Op-Earn (Mng)";"Op Earn Rpt Q4",#N/A,FALSE,"Op-Earn (Rpt)";"Loans",#N/A,FALSE,"Loans";"Credit Costs",#N/A,FALSE,"CCosts";"Net Interest Margin",#N/A,FALSE,"Margin";"Nonint Income",#N/A,FALSE,"NonII";"Nonint Exp",#N/A,FALSE,"NonIE";"Valuation",#N/A,FALSE,"Valuation"}</definedName>
    <definedName name="wrn.Forecast._.Q4a" localSheetId="2" hidden="1">{"cover a","4q",FALSE,"Cover";"Op Earn Mgd Q4",#N/A,FALSE,"Op-Earn (Mng)";"Op Earn Rpt Q4",#N/A,FALSE,"Op-Earn (Rpt)";"Loans",#N/A,FALSE,"Loans";"Credit Costs",#N/A,FALSE,"CCosts";"Net Interest Margin",#N/A,FALSE,"Margin";"Nonint Income",#N/A,FALSE,"NonII";"Nonint Exp",#N/A,FALSE,"NonIE";"Valuation",#N/A,FALSE,"Valuation"}</definedName>
    <definedName name="wrn.Forecast._.Q4a" hidden="1">{"cover a","4q",FALSE,"Cover";"Op Earn Mgd Q4",#N/A,FALSE,"Op-Earn (Mng)";"Op Earn Rpt Q4",#N/A,FALSE,"Op-Earn (Rpt)";"Loans",#N/A,FALSE,"Loans";"Credit Costs",#N/A,FALSE,"CCosts";"Net Interest Margin",#N/A,FALSE,"Margin";"Nonint Income",#N/A,FALSE,"NonII";"Nonint Exp",#N/A,FALSE,"NonIE";"Valuation",#N/A,FALSE,"Valuation"}</definedName>
    <definedName name="wrn.Full._.Report." localSheetId="6" hidden="1">{#N/A,#N/A,FALSE,"COVER";#N/A,#N/A,FALSE,"VALUATION";#N/A,#N/A,FALSE,"FORECAST";#N/A,#N/A,FALSE,"FY ANALYSIS ";#N/A,#N/A,FALSE," HY ANALYSIS"}</definedName>
    <definedName name="wrn.Full._.Report." localSheetId="8" hidden="1">{#N/A,#N/A,FALSE,"COVER";#N/A,#N/A,FALSE,"VALUATION";#N/A,#N/A,FALSE,"FORECAST";#N/A,#N/A,FALSE,"FY ANALYSIS ";#N/A,#N/A,FALSE," HY ANALYSIS"}</definedName>
    <definedName name="wrn.Full._.Report." localSheetId="2" hidden="1">{#N/A,#N/A,FALSE,"COVER";#N/A,#N/A,FALSE,"VALUATION";#N/A,#N/A,FALSE,"FORECAST";#N/A,#N/A,FALSE,"FY ANALYSIS ";#N/A,#N/A,FALSE," HY ANALYSIS"}</definedName>
    <definedName name="wrn.Full._.Report." hidden="1">{#N/A,#N/A,FALSE,"COVER";#N/A,#N/A,FALSE,"VALUATION";#N/A,#N/A,FALSE,"FORECAST";#N/A,#N/A,FALSE,"FY ANALYSIS ";#N/A,#N/A,FALSE," HY ANALYSIS"}</definedName>
    <definedName name="wrn.FUZ_REP." localSheetId="6" hidden="1">{"FUZ_INC_A",#N/A,FALSE,"NOBE";"FUZ_INC_Q",#N/A,FALSE,"NOBE";"FUZ_BAL_A",#N/A,FALSE,"NOBE";"FUZ_CASH_A",#N/A,FALSE,"NOBE";"FUZ_PROD_A",#N/A,FALSE,"NOBE"}</definedName>
    <definedName name="wrn.FUZ_REP." localSheetId="8" hidden="1">{"FUZ_INC_A",#N/A,FALSE,"NOBE";"FUZ_INC_Q",#N/A,FALSE,"NOBE";"FUZ_BAL_A",#N/A,FALSE,"NOBE";"FUZ_CASH_A",#N/A,FALSE,"NOBE";"FUZ_PROD_A",#N/A,FALSE,"NOBE"}</definedName>
    <definedName name="wrn.FUZ_REP." localSheetId="2" hidden="1">{"FUZ_INC_A",#N/A,FALSE,"NOBE";"FUZ_INC_Q",#N/A,FALSE,"NOBE";"FUZ_BAL_A",#N/A,FALSE,"NOBE";"FUZ_CASH_A",#N/A,FALSE,"NOBE";"FUZ_PROD_A",#N/A,FALSE,"NOBE"}</definedName>
    <definedName name="wrn.FUZ_REP." hidden="1">{"FUZ_INC_A",#N/A,FALSE,"NOBE";"FUZ_INC_Q",#N/A,FALSE,"NOBE";"FUZ_BAL_A",#N/A,FALSE,"NOBE";"FUZ_CASH_A",#N/A,FALSE,"NOBE";"FUZ_PROD_A",#N/A,FALSE,"NOBE"}</definedName>
    <definedName name="wrn.Industry.xls." localSheetId="6" hidden="1">{#N/A,#N/A,FALSE,"Earnings";#N/A,#N/A,FALSE,"Overview";#N/A,#N/A,FALSE,"Summary";#N/A,#N/A,FALSE,"Summary II";#N/A,#N/A,FALSE,"R&amp;D";#N/A,#N/A,FALSE,"R&amp;D Forecast";#N/A,#N/A,FALSE,"Tax Adj";#N/A,#N/A,FALSE,"Goodwill";#N/A,#N/A,FALSE,"FX ";#N/A,#N/A,FALSE,"Consolidation";#N/A,#N/A,FALSE,"Provisions"}</definedName>
    <definedName name="wrn.Industry.xls." localSheetId="8" hidden="1">{#N/A,#N/A,FALSE,"Earnings";#N/A,#N/A,FALSE,"Overview";#N/A,#N/A,FALSE,"Summary";#N/A,#N/A,FALSE,"Summary II";#N/A,#N/A,FALSE,"R&amp;D";#N/A,#N/A,FALSE,"R&amp;D Forecast";#N/A,#N/A,FALSE,"Tax Adj";#N/A,#N/A,FALSE,"Goodwill";#N/A,#N/A,FALSE,"FX ";#N/A,#N/A,FALSE,"Consolidation";#N/A,#N/A,FALSE,"Provisions"}</definedName>
    <definedName name="wrn.Industry.xls." localSheetId="2" hidden="1">{#N/A,#N/A,FALSE,"Earnings";#N/A,#N/A,FALSE,"Overview";#N/A,#N/A,FALSE,"Summary";#N/A,#N/A,FALSE,"Summary II";#N/A,#N/A,FALSE,"R&amp;D";#N/A,#N/A,FALSE,"R&amp;D Forecast";#N/A,#N/A,FALSE,"Tax Adj";#N/A,#N/A,FALSE,"Goodwill";#N/A,#N/A,FALSE,"FX ";#N/A,#N/A,FALSE,"Consolidation";#N/A,#N/A,FALSE,"Provisions"}</definedName>
    <definedName name="wrn.Industry.xls." hidden="1">{#N/A,#N/A,FALSE,"Earnings";#N/A,#N/A,FALSE,"Overview";#N/A,#N/A,FALSE,"Summary";#N/A,#N/A,FALSE,"Summary II";#N/A,#N/A,FALSE,"R&amp;D";#N/A,#N/A,FALSE,"R&amp;D Forecast";#N/A,#N/A,FALSE,"Tax Adj";#N/A,#N/A,FALSE,"Goodwill";#N/A,#N/A,FALSE,"FX ";#N/A,#N/A,FALSE,"Consolidation";#N/A,#N/A,FALSE,"Provisions"}</definedName>
    <definedName name="wrn.JCI._.Earnings." localSheetId="6" hidden="1">{"Income Statement -- Quarterly",#N/A,FALSE,"Model";"Balance Sheet",#N/A,FALSE,"Model";"Income Statement Annual",#N/A,FALSE,"Model"}</definedName>
    <definedName name="wrn.JCI._.Earnings." localSheetId="8" hidden="1">{"Income Statement -- Quarterly",#N/A,FALSE,"Model";"Balance Sheet",#N/A,FALSE,"Model";"Income Statement Annual",#N/A,FALSE,"Model"}</definedName>
    <definedName name="wrn.JCI._.Earnings." localSheetId="2" hidden="1">{"Income Statement -- Quarterly",#N/A,FALSE,"Model";"Balance Sheet",#N/A,FALSE,"Model";"Income Statement Annual",#N/A,FALSE,"Model"}</definedName>
    <definedName name="wrn.JCI._.Earnings." hidden="1">{"Income Statement -- Quarterly",#N/A,FALSE,"Model";"Balance Sheet",#N/A,FALSE,"Model";"Income Statement Annual",#N/A,FALSE,"Model"}</definedName>
    <definedName name="wrn.LBO._.Summary." hidden="1">{"LBO Summary",#N/A,FALSE,"Summary"}</definedName>
    <definedName name="wrn.MOBIL." localSheetId="6" hidden="1">{"quarter",#N/A,FALSE,"MOB"}</definedName>
    <definedName name="wrn.MOBIL." localSheetId="8" hidden="1">{"quarter",#N/A,FALSE,"MOB"}</definedName>
    <definedName name="wrn.MOBIL." localSheetId="2" hidden="1">{"quarter",#N/A,FALSE,"MOB"}</definedName>
    <definedName name="wrn.MOBIL." hidden="1">{"quarter",#N/A,FALSE,"MOB"}</definedName>
    <definedName name="wrn.njr." hidden="1">{"balance_sheet",#N/A,FALSE;"cash_flow",#N/A,FALSE;"Consolidated_Earnings",#N/A,FALSE;"EandP_and_Real_Estate",#N/A,FALSE;"Earnings_Review",#N/A,FALSE;"financial_outlook",#N/A,FALSE;"LDC_and_PL_Earnings",#N/A,FALSE;"PP_and_EA",#N/A,FALSE;"ratio_analysis",#N/A,FALSE;"PP_and_Eb",#N/A,FALSE;"throughput_A",#N/A,FALSE;"throughput_b",#N/A,FALSE}</definedName>
    <definedName name="wrn.print._.all." hidden="1">{"all_other_prp",#N/A,FALSE,"All Other PP";"all_other_prp",#N/A,FALSE,"All Other PDC";"all_other_prp",#N/A,FALSE,"All Other PUD";"all_other_prp",#N/A,FALSE,"Boon PP";"all_other_prp",#N/A,FALSE,"Boon PDC";"all_other_prp",#N/A,FALSE,"Boon PUD";"all_other_prp",#N/A,FALSE,"Fash PP";"all_other_prp",#N/A,FALSE,"Fash PUD";"all_other_prp",#N/A,FALSE,"GB PP";"all_other_prp",#N/A,FALSE,"GB PUD";"all_other_prp",#N/A,FALSE,"GC PUD";"all_other_prp",#N/A,FALSE,"Logan PP";"all_other_prp",#N/A,FALSE,"Logan PDC";"all_other_prp",#N/A,FALSE,"Logan PUD";"all_other_prp",#N/A,FALSE,"Miss PP";"all_other_prp",#N/A,FALSE,"MS PP";"all_other_prp",#N/A,FALSE,"Ver PP";"all_other_prp",#N/A,FALSE,"Ind PUD";"all_other_prp",#N/A,FALSE,"ET All";"all_other_prp",#N/A,FALSE,"N Lans PP";"all_other_prp",#N/A,FALSE,"N Lans PDC";"all_other_prp",#N/A,FALSE,"N Lans PUD";"all_other_prp",#N/A,FALSE,"Opel PP";"all_other_prp",#N/A,FALSE,"Opel PUD";"all_other_prp",#N/A,FALSE,"TC PP";"all_other_prp",#N/A,FALSE,"TC PDC";"all_other_prp",#N/A,FALSE,"TC PUD";"all_other_prp",#N/A,FALSE,"Whelan PP";"all_other_prp",#N/A,FALSE,"Whelan PDC";"all_other_prp",#N/A,FALSE,"Whelan PUD";"all_other_prp",#N/A,FALSE,"WS PP";"all_other_prp",#N/A,FALSE,"WS PDC";"all_other_prp",#N/A,FALSE,"WS PUD";"all_other_prp",#N/A,FALSE,"UK PUD"}</definedName>
    <definedName name="wrn.Print._.All._.Pages." hidden="1">{"LBO Summary",#N/A,FALSE,"Summary";"Income Statement",#N/A,FALSE,"Model";"Cash Flow",#N/A,FALSE,"Model";"Balance Sheet",#N/A,FALSE,"Model";"Working Capital",#N/A,FALSE,"Model";"Pro Forma Balance Sheets",#N/A,FALSE,"PFBS";"Debt Balances",#N/A,FALSE,"Model";"Fee Schedules",#N/A,FALSE,"Model"}</definedName>
    <definedName name="wrn.print._.offshore." hidden="1">{"off_at",#N/A,FALSE,"Off AT POT";"off_bt",#N/A,FALSE,"Off POT"}</definedName>
    <definedName name="wrn.Pulp." localSheetId="6" hidden="1">{"Pulp Production",#N/A,FALSE,"Pulp";"Pulp Earnings",#N/A,FALSE,"Pulp"}</definedName>
    <definedName name="wrn.Pulp." localSheetId="8" hidden="1">{"Pulp Production",#N/A,FALSE,"Pulp";"Pulp Earnings",#N/A,FALSE,"Pulp"}</definedName>
    <definedName name="wrn.Pulp." localSheetId="2" hidden="1">{"Pulp Production",#N/A,FALSE,"Pulp";"Pulp Earnings",#N/A,FALSE,"Pulp"}</definedName>
    <definedName name="wrn.Pulp." hidden="1">{"Pulp Production",#N/A,FALSE,"Pulp";"Pulp Earnings",#N/A,FALSE,"Pulp"}</definedName>
    <definedName name="wrn.Qtr._.Op._.Q1." localSheetId="6" hidden="1">{"Qtr Op Mgd Q1",#N/A,FALSE,"Qtr-Op (Mng)";"Qtr Op Rpt Q1",#N/A,FALSE,"Qtr-Op (Rpt)";"Operating Vs Reported",#N/A,FALSE,"Rpt-Op Inc"}</definedName>
    <definedName name="wrn.Qtr._.Op._.Q1." localSheetId="8" hidden="1">{"Qtr Op Mgd Q1",#N/A,FALSE,"Qtr-Op (Mng)";"Qtr Op Rpt Q1",#N/A,FALSE,"Qtr-Op (Rpt)";"Operating Vs Reported",#N/A,FALSE,"Rpt-Op Inc"}</definedName>
    <definedName name="wrn.Qtr._.Op._.Q1." localSheetId="2" hidden="1">{"Qtr Op Mgd Q1",#N/A,FALSE,"Qtr-Op (Mng)";"Qtr Op Rpt Q1",#N/A,FALSE,"Qtr-Op (Rpt)";"Operating Vs Reported",#N/A,FALSE,"Rpt-Op Inc"}</definedName>
    <definedName name="wrn.Qtr._.Op._.Q1." hidden="1">{"Qtr Op Mgd Q1",#N/A,FALSE,"Qtr-Op (Mng)";"Qtr Op Rpt Q1",#N/A,FALSE,"Qtr-Op (Rpt)";"Operating Vs Reported",#N/A,FALSE,"Rpt-Op Inc"}</definedName>
    <definedName name="wrn.Qtr._.Op._.Q2." localSheetId="6" hidden="1">{"Qtr Op Mgd Q2",#N/A,FALSE,"Qtr-Op (Mng)";"Qtr Op Rpt Q2",#N/A,FALSE,"Qtr-Op (Rpt)";"Operating Vs Reported",#N/A,FALSE,"Rpt-Op Inc"}</definedName>
    <definedName name="wrn.Qtr._.Op._.Q2." localSheetId="8" hidden="1">{"Qtr Op Mgd Q2",#N/A,FALSE,"Qtr-Op (Mng)";"Qtr Op Rpt Q2",#N/A,FALSE,"Qtr-Op (Rpt)";"Operating Vs Reported",#N/A,FALSE,"Rpt-Op Inc"}</definedName>
    <definedName name="wrn.Qtr._.Op._.Q2." localSheetId="2" hidden="1">{"Qtr Op Mgd Q2",#N/A,FALSE,"Qtr-Op (Mng)";"Qtr Op Rpt Q2",#N/A,FALSE,"Qtr-Op (Rpt)";"Operating Vs Reported",#N/A,FALSE,"Rpt-Op Inc"}</definedName>
    <definedName name="wrn.Qtr._.Op._.Q2." hidden="1">{"Qtr Op Mgd Q2",#N/A,FALSE,"Qtr-Op (Mng)";"Qtr Op Rpt Q2",#N/A,FALSE,"Qtr-Op (Rpt)";"Operating Vs Reported",#N/A,FALSE,"Rpt-Op Inc"}</definedName>
    <definedName name="wrn.Qtr._.Op._.Q3." localSheetId="6" hidden="1">{"Qtr Op Mgd Q3",#N/A,FALSE,"Qtr-Op (Mng)";"Qtr Op Rpt Q3",#N/A,FALSE,"Qtr-Op (Rpt)";"Operating Vs Reported",#N/A,FALSE,"Rpt-Op Inc"}</definedName>
    <definedName name="wrn.Qtr._.Op._.Q3." localSheetId="8" hidden="1">{"Qtr Op Mgd Q3",#N/A,FALSE,"Qtr-Op (Mng)";"Qtr Op Rpt Q3",#N/A,FALSE,"Qtr-Op (Rpt)";"Operating Vs Reported",#N/A,FALSE,"Rpt-Op Inc"}</definedName>
    <definedName name="wrn.Qtr._.Op._.Q3." localSheetId="2" hidden="1">{"Qtr Op Mgd Q3",#N/A,FALSE,"Qtr-Op (Mng)";"Qtr Op Rpt Q3",#N/A,FALSE,"Qtr-Op (Rpt)";"Operating Vs Reported",#N/A,FALSE,"Rpt-Op Inc"}</definedName>
    <definedName name="wrn.Qtr._.Op._.Q3." hidden="1">{"Qtr Op Mgd Q3",#N/A,FALSE,"Qtr-Op (Mng)";"Qtr Op Rpt Q3",#N/A,FALSE,"Qtr-Op (Rpt)";"Operating Vs Reported",#N/A,FALSE,"Rpt-Op Inc"}</definedName>
    <definedName name="wrn.Qtr._.Op._.Q4." localSheetId="6" hidden="1">{"Qtr Op Mgd Q3",#N/A,FALSE,"Qtr-Op (Mng)";"Qtr Op Rpt Q4",#N/A,FALSE,"Qtr-Op (Rpt)";"Operating Vs Reported",#N/A,FALSE,"Rpt-Op Inc"}</definedName>
    <definedName name="wrn.Qtr._.Op._.Q4." localSheetId="8" hidden="1">{"Qtr Op Mgd Q3",#N/A,FALSE,"Qtr-Op (Mng)";"Qtr Op Rpt Q4",#N/A,FALSE,"Qtr-Op (Rpt)";"Operating Vs Reported",#N/A,FALSE,"Rpt-Op Inc"}</definedName>
    <definedName name="wrn.Qtr._.Op._.Q4." localSheetId="2" hidden="1">{"Qtr Op Mgd Q3",#N/A,FALSE,"Qtr-Op (Mng)";"Qtr Op Rpt Q4",#N/A,FALSE,"Qtr-Op (Rpt)";"Operating Vs Reported",#N/A,FALSE,"Rpt-Op Inc"}</definedName>
    <definedName name="wrn.Qtr._.Op._.Q4." hidden="1">{"Qtr Op Mgd Q3",#N/A,FALSE,"Qtr-Op (Mng)";"Qtr Op Rpt Q4",#N/A,FALSE,"Qtr-Op (Rpt)";"Operating Vs Reported",#N/A,FALSE,"Rpt-Op Inc"}</definedName>
    <definedName name="wrn.Qtr._.Op._Q2a." localSheetId="6" hidden="1">{"Qtr Op Mgd Q2",#N/A,FALSE,"Qtr-Op (Mng)";"Qtr Op Rpt Q2",#N/A,FALSE,"Qtr-Op (Rpt)";"Operating Vs Reported",#N/A,FALSE,"Rpt-Op Inc"}</definedName>
    <definedName name="wrn.Qtr._.Op._Q2a." localSheetId="8" hidden="1">{"Qtr Op Mgd Q2",#N/A,FALSE,"Qtr-Op (Mng)";"Qtr Op Rpt Q2",#N/A,FALSE,"Qtr-Op (Rpt)";"Operating Vs Reported",#N/A,FALSE,"Rpt-Op Inc"}</definedName>
    <definedName name="wrn.Qtr._.Op._Q2a." localSheetId="2" hidden="1">{"Qtr Op Mgd Q2",#N/A,FALSE,"Qtr-Op (Mng)";"Qtr Op Rpt Q2",#N/A,FALSE,"Qtr-Op (Rpt)";"Operating Vs Reported",#N/A,FALSE,"Rpt-Op Inc"}</definedName>
    <definedName name="wrn.Qtr._.Op._Q2a." hidden="1">{"Qtr Op Mgd Q2",#N/A,FALSE,"Qtr-Op (Mng)";"Qtr Op Rpt Q2",#N/A,FALSE,"Qtr-Op (Rpt)";"Operating Vs Reported",#N/A,FALSE,"Rpt-Op Inc"}</definedName>
    <definedName name="wrn.Qtr_.Op._.Q4." localSheetId="6" hidden="1">{"Qtr Op Mgd Q3",#N/A,FALSE,"Qtr-Op (Mng)";"Qtr Op Rpt Q4",#N/A,FALSE,"Qtr-Op (Rpt)";"Operating Vs Reported",#N/A,FALSE,"Rpt-Op Inc"}</definedName>
    <definedName name="wrn.Qtr_.Op._.Q4." localSheetId="8" hidden="1">{"Qtr Op Mgd Q3",#N/A,FALSE,"Qtr-Op (Mng)";"Qtr Op Rpt Q4",#N/A,FALSE,"Qtr-Op (Rpt)";"Operating Vs Reported",#N/A,FALSE,"Rpt-Op Inc"}</definedName>
    <definedName name="wrn.Qtr_.Op._.Q4." localSheetId="2" hidden="1">{"Qtr Op Mgd Q3",#N/A,FALSE,"Qtr-Op (Mng)";"Qtr Op Rpt Q4",#N/A,FALSE,"Qtr-Op (Rpt)";"Operating Vs Reported",#N/A,FALSE,"Rpt-Op Inc"}</definedName>
    <definedName name="wrn.Qtr_.Op._.Q4." hidden="1">{"Qtr Op Mgd Q3",#N/A,FALSE,"Qtr-Op (Mng)";"Qtr Op Rpt Q4",#N/A,FALSE,"Qtr-Op (Rpt)";"Operating Vs Reported",#N/A,FALSE,"Rpt-Op Inc"}</definedName>
    <definedName name="wrn.Report." localSheetId="6" hidden="1">{#N/A,#N/A,FALSE,"COVER";#N/A,#N/A,FALSE,"FORECAST";#N/A,#N/A,FALSE,"VALUATION";#N/A,#N/A,FALSE,"FY ANALYSIS ";#N/A,#N/A,FALSE," HY ANALYSIS"}</definedName>
    <definedName name="wrn.Report." localSheetId="8" hidden="1">{#N/A,#N/A,FALSE,"COVER";#N/A,#N/A,FALSE,"FORECAST";#N/A,#N/A,FALSE,"VALUATION";#N/A,#N/A,FALSE,"FY ANALYSIS ";#N/A,#N/A,FALSE," HY ANALYSIS"}</definedName>
    <definedName name="wrn.Report." localSheetId="2" hidden="1">{#N/A,#N/A,FALSE,"COVER";#N/A,#N/A,FALSE,"FORECAST";#N/A,#N/A,FALSE,"VALUATION";#N/A,#N/A,FALSE,"FY ANALYSIS ";#N/A,#N/A,FALSE," HY ANALYSIS"}</definedName>
    <definedName name="wrn.Report." hidden="1">{#N/A,#N/A,FALSE,"COVER";#N/A,#N/A,FALSE,"FORECAST";#N/A,#N/A,FALSE,"VALUATION";#N/A,#N/A,FALSE,"FY ANALYSIS ";#N/A,#N/A,FALSE," HY ANALYSIS"}</definedName>
    <definedName name="wrn.Segments." localSheetId="6" hidden="1">{"view1",#N/A,FALSE,"Consolidated";"view2",#N/A,FALSE,"Consolidated (sum)";"view1",#N/A,FALSE,"Gen Sys";"view1",#N/A,FALSE,"Semicon";"view1",#N/A,FALSE,"Mess|Med";"view1",#N/A,FALSE,"Land Mob";"view1",#N/A,FALSE,"Other Prod";"view1",#N/A,FALSE,"Adj|Elim"}</definedName>
    <definedName name="wrn.Segments." localSheetId="8" hidden="1">{"view1",#N/A,FALSE,"Consolidated";"view2",#N/A,FALSE,"Consolidated (sum)";"view1",#N/A,FALSE,"Gen Sys";"view1",#N/A,FALSE,"Semicon";"view1",#N/A,FALSE,"Mess|Med";"view1",#N/A,FALSE,"Land Mob";"view1",#N/A,FALSE,"Other Prod";"view1",#N/A,FALSE,"Adj|Elim"}</definedName>
    <definedName name="wrn.Segments." localSheetId="2" hidden="1">{"view1",#N/A,FALSE,"Consolidated";"view2",#N/A,FALSE,"Consolidated (sum)";"view1",#N/A,FALSE,"Gen Sys";"view1",#N/A,FALSE,"Semicon";"view1",#N/A,FALSE,"Mess|Med";"view1",#N/A,FALSE,"Land Mob";"view1",#N/A,FALSE,"Other Prod";"view1",#N/A,FALSE,"Adj|Elim"}</definedName>
    <definedName name="wrn.Segments." hidden="1">{"view1",#N/A,FALSE,"Consolidated";"view2",#N/A,FALSE,"Consolidated (sum)";"view1",#N/A,FALSE,"Gen Sys";"view1",#N/A,FALSE,"Semicon";"view1",#N/A,FALSE,"Mess|Med";"view1",#N/A,FALSE,"Land Mob";"view1",#N/A,FALSE,"Other Prod";"view1",#N/A,FALSE,"Adj|Elim"}</definedName>
    <definedName name="wrn.snt." hidden="1">{"PPE-1",#N/A,TRUE,"SNT";"PPE-2",#N/A,TRUE,"SNT";"INC-SNT",#N/A,TRUE,"SNT";"EARN-SNT",#N/A,TRUE,"SNT";"SUMM-SNT",#N/A,TRUE,"SNT";"CASH-SNT",#N/A,TRUE,"SNT";"BAL-SNT",#N/A,TRUE,"SNT";"RATIO-1",#N/A,TRUE,"SNT";"SIP-SNT",#N/A,TRUE,"SNT";"SOP-SNT",#N/A,TRUE,"SNT";"valuation-snt",#N/A,TRUE,"Valuation";"TRANS-SNT",#N/A,TRUE,"Transmission";"reserve-snt",#N/A,TRUE,"E&amp;P";"e&amp;p-snt",#N/A,TRUE,"E&amp;P";"energy-snt",#N/A,TRUE,"Energy Services";"RATIO-2",#N/A,TRUE,"SNT"}</definedName>
    <definedName name="wrn.Tables." localSheetId="6" hidden="1">{"view1",#N/A,FALSE,"Tables";"view2",#N/A,FALSE,"Tables";"view3",#N/A,FALSE,"Tables"}</definedName>
    <definedName name="wrn.Tables." localSheetId="8" hidden="1">{"view1",#N/A,FALSE,"Tables";"view2",#N/A,FALSE,"Tables";"view3",#N/A,FALSE,"Tables"}</definedName>
    <definedName name="wrn.Tables." localSheetId="2" hidden="1">{"view1",#N/A,FALSE,"Tables";"view2",#N/A,FALSE,"Tables";"view3",#N/A,FALSE,"Tables"}</definedName>
    <definedName name="wrn.Tables." hidden="1">{"view1",#N/A,FALSE,"Tables";"view2",#N/A,FALSE,"Tables";"view3",#N/A,FALSE,"Tables"}</definedName>
    <definedName name="wrn.Variance._.3." localSheetId="6" hidden="1">{"Variance Q3",#N/A,FALSE,"Var"}</definedName>
    <definedName name="wrn.Variance._.3." localSheetId="8" hidden="1">{"Variance Q3",#N/A,FALSE,"Var"}</definedName>
    <definedName name="wrn.Variance._.3." localSheetId="2" hidden="1">{"Variance Q3",#N/A,FALSE,"Var"}</definedName>
    <definedName name="wrn.Variance._.3." hidden="1">{"Variance Q3",#N/A,FALSE,"Var"}</definedName>
    <definedName name="wrn.Variance._.Q1." localSheetId="6" hidden="1">{"Variance Q1",#N/A,FALSE,"Var"}</definedName>
    <definedName name="wrn.Variance._.Q1." localSheetId="8" hidden="1">{"Variance Q1",#N/A,FALSE,"Var"}</definedName>
    <definedName name="wrn.Variance._.Q1." localSheetId="2" hidden="1">{"Variance Q1",#N/A,FALSE,"Var"}</definedName>
    <definedName name="wrn.Variance._.Q1." hidden="1">{"Variance Q1",#N/A,FALSE,"Var"}</definedName>
    <definedName name="wrn.Variance._.Q2." localSheetId="6" hidden="1">{"Variance Q2",#N/A,FALSE,"Var"}</definedName>
    <definedName name="wrn.Variance._.Q2." localSheetId="8" hidden="1">{"Variance Q2",#N/A,FALSE,"Var"}</definedName>
    <definedName name="wrn.Variance._.Q2." localSheetId="2" hidden="1">{"Variance Q2",#N/A,FALSE,"Var"}</definedName>
    <definedName name="wrn.Variance._.Q2." hidden="1">{"Variance Q2",#N/A,FALSE,"Var"}</definedName>
    <definedName name="wrn.Variance._.Q3." localSheetId="6" hidden="1">{"Variance Q3",#N/A,FALSE,"Var"}</definedName>
    <definedName name="wrn.Variance._.Q3." localSheetId="8" hidden="1">{"Variance Q3",#N/A,FALSE,"Var"}</definedName>
    <definedName name="wrn.Variance._.Q3." localSheetId="2" hidden="1">{"Variance Q3",#N/A,FALSE,"Var"}</definedName>
    <definedName name="wrn.Variance._.Q3." hidden="1">{"Variance Q3",#N/A,FALSE,"Var"}</definedName>
    <definedName name="wrn.Variance._.Q4" localSheetId="6" hidden="1">{"Variance Q4",#N/A,FALSE,"Var"}</definedName>
    <definedName name="wrn.Variance._.Q4" localSheetId="8" hidden="1">{"Variance Q4",#N/A,FALSE,"Var"}</definedName>
    <definedName name="wrn.Variance._.Q4" localSheetId="2" hidden="1">{"Variance Q4",#N/A,FALSE,"Var"}</definedName>
    <definedName name="wrn.Variance._.Q4" hidden="1">{"Variance Q4",#N/A,FALSE,"Var"}</definedName>
    <definedName name="wrn.Variance._.Q4." localSheetId="6" hidden="1">{"Variance Q4",#N/A,FALSE,"Var"}</definedName>
    <definedName name="wrn.Variance._.Q4." localSheetId="8" hidden="1">{"Variance Q4",#N/A,FALSE,"Var"}</definedName>
    <definedName name="wrn.Variance._.Q4." localSheetId="2" hidden="1">{"Variance Q4",#N/A,FALSE,"Var"}</definedName>
    <definedName name="wrn.Variance._.Q4." hidden="1">{"Variance Q4",#N/A,FALSE,"Var"}</definedName>
    <definedName name="wvu.balance_sheet." hidden="1">{TRUE,TRUE,-1.25,-15.5,484.5,279.75,FALSE,TRUE,TRUE,TRUE,0,1,#N/A,419,#N/A,7.33823529411765,19.5,1,FALSE,FALSE,3,TRUE,1,FALSE,95,"Swvu.balance_sheet.","ACwvu.balance_sheet.",1,FALSE,FALSE,0.5,0,0.5,0,2,"","",TRUE,FALSE,FALSE,FALSE,1,#N/A,1,1,"=R428C1:R462C10",FALSE,#N/A,#N/A,FALSE,FALSE}</definedName>
    <definedName name="wvu.cash_flow." hidden="1">{TRUE,TRUE,-1.25,-15.5,484.5,279.75,FALSE,TRUE,TRUE,TRUE,0,1,#N/A,375,#N/A,7.33823529411765,19.5,1,FALSE,FALSE,3,TRUE,1,FALSE,95,"Swvu.cash_flow.","ACwvu.cash_flow.",1,FALSE,FALSE,0.5,0,0.5,0,2,"","",TRUE,FALSE,FALSE,FALSE,1,#N/A,1,1,"=R384C1:R423C10",FALSE,#N/A,#N/A,FALSE,FALSE}</definedName>
    <definedName name="wvu.Consolidated_Earnings." hidden="1">{TRUE,TRUE,-1.25,-15.5,484.5,279.75,FALSE,TRUE,TRUE,TRUE,0,1,#N/A,283,#N/A,7.33823529411765,19.5,1,FALSE,FALSE,3,TRUE,1,FALSE,95,"Swvu.Consolidated_Earnings.","ACwvu.Consolidated_Earnings.",1,FALSE,FALSE,0.5,0,0.5,0,2,"","",TRUE,FALSE,FALSE,FALSE,1,#N/A,1,1,"=R292C1:R332C10",FALSE,#N/A,#N/A,FALSE,FALSE}</definedName>
    <definedName name="wvu.EandP_and_Real_Estate." hidden="1">{TRUE,TRUE,-1.25,-15.5,484.5,279.75,FALSE,TRUE,TRUE,TRUE,0,1,#N/A,244,#N/A,7.33823529411765,19.5,1,FALSE,FALSE,3,TRUE,1,FALSE,95,"Swvu.EandP_and_Real_Estate.","ACwvu.EandP_and_Real_Estate.",1,FALSE,FALSE,0.5,0,0.5,0,2,"","",TRUE,FALSE,FALSE,FALSE,1,#N/A,1,1,"=R253C1:R278C10",FALSE,#N/A,#N/A,FALSE,FALSE}</definedName>
    <definedName name="wvu.Earnings_Review." hidden="1">{TRUE,TRUE,-1.25,-15.5,484.5,279.75,FALSE,TRUE,TRUE,TRUE,0,1,#N/A,339,#N/A,7.33823529411765,19.5,1,FALSE,FALSE,3,TRUE,1,FALSE,95,"Swvu.Earnings_Review.","ACwvu.Earnings_Review.",1,FALSE,FALSE,0.5,0,0.5,0,2,"","",TRUE,FALSE,FALSE,FALSE,1,#N/A,1,1,"=R348C1:R380C10",FALSE,#N/A,#N/A,FALSE,FALSE}</definedName>
    <definedName name="wvu.financial_outlook." hidden="1">{TRUE,TRUE,-1.25,-15.5,484.5,279.75,FALSE,TRUE,TRUE,TRUE,0,1,#N/A,503,#N/A,7.33823529411765,19.5,1,FALSE,FALSE,3,TRUE,1,FALSE,95,"Swvu.financial_outlook.","ACwvu.financial_outlook.",1,FALSE,FALSE,0.5,0,0.5,0,2,"","",TRUE,FALSE,FALSE,FALSE,1,#N/A,1,1,"=R509C1:R536C10",FALSE,#N/A,#N/A,FALSE,FALSE}</definedName>
    <definedName name="wvu.LDC_and_PL_Earnings." hidden="1">{TRUE,TRUE,-1.25,-15.5,484.5,279.75,FALSE,TRUE,TRUE,TRUE,0,1,#N/A,171,#N/A,7.33823529411765,19.5,1,FALSE,FALSE,3,TRUE,1,FALSE,95,"Swvu.LDC_and_PL_Earnings.","ACwvu.LDC_and_PL_Earnings.",1,FALSE,FALSE,0.5,0,0.5,0,2,"","",TRUE,FALSE,FALSE,FALSE,1,#N/A,1,1,"=R180C1:R233C10",FALSE,#N/A,#N/A,FALSE,FALSE}</definedName>
    <definedName name="wvu.PP_and_EA." hidden="1">{TRUE,TRUE,-1.25,-15.5,484.5,279.75,FALSE,TRUE,TRUE,TRUE,0,1,#N/A,1,#N/A,7.33823529411765,19.5,1,FALSE,FALSE,3,TRUE,1,FALSE,95,"Swvu.PP_and_EA.","ACwvu.PP_and_EA.",1,FALSE,FALSE,0.5,0,0.5,0,2,"","",TRUE,FALSE,FALSE,FALSE,1,#N/A,1,1,"=R6C1:R42C10",FALSE,#N/A,#N/A,FALSE,FALSE}</definedName>
    <definedName name="wvu.PP_and_Eb." hidden="1">{TRUE,TRUE,-1.25,-15.5,484.5,279.75,FALSE,TRUE,TRUE,TRUE,0,1,#N/A,36,#N/A,7.33823529411765,19.5,1,FALSE,FALSE,3,TRUE,1,FALSE,95,"Swvu.PP_and_Eb.","ACwvu.PP_and_Eb.",1,FALSE,FALSE,0.5,0,0.5,0,2,"","",TRUE,FALSE,FALSE,FALSE,1,#N/A,1,1,"=R45C1:R82C10",FALSE,#N/A,#N/A,FALSE,FALSE}</definedName>
    <definedName name="wvu.ratio_analysis." hidden="1">{TRUE,TRUE,-1.25,-15.5,484.5,279.75,FALSE,TRUE,TRUE,TRUE,0,1,#N/A,458,#N/A,7.33823529411765,19.5,1,FALSE,FALSE,3,TRUE,1,FALSE,95,"Swvu.ratio_analysis.","ACwvu.ratio_analysis.",1,FALSE,FALSE,0.5,0,0.5,0,2,"","",TRUE,FALSE,FALSE,FALSE,1,#N/A,1,1,"=R467C1:R506C10",FALSE,#N/A,#N/A,FALSE,FALSE}</definedName>
    <definedName name="wvu.throughput_A." hidden="1">{TRUE,TRUE,-1.25,-15.5,484.5,279.75,FALSE,TRUE,TRUE,TRUE,0,1,#N/A,85,#N/A,7.33823529411765,19.5,1,FALSE,FALSE,3,TRUE,1,FALSE,95,"Swvu.throughput_A.","ACwvu.throughput_A.",1,FALSE,FALSE,0.5,0,0.5,0,2,"","",TRUE,FALSE,FALSE,FALSE,1,#N/A,1,1,"=R94C1:R117C10",FALSE,#N/A,#N/A,FALSE,FALSE}</definedName>
    <definedName name="wvu.throughput_b." hidden="1">{TRUE,TRUE,-1.25,-15.5,484.5,279.75,FALSE,TRUE,TRUE,TRUE,0,1,#N/A,113,#N/A,7.33823529411765,19.5,1,FALSE,FALSE,3,TRUE,1,FALSE,95,"Swvu.throughput_b.","ACwvu.throughput_b.",1,FALSE,FALSE,0.5,0,0.5,0,2,"","",TRUE,FALSE,FALSE,FALSE,1,#N/A,1,1,"=R122C1:R170C10",FALSE,#N/A,#N/A,FALSE,FALSE}</definedName>
    <definedName name="xxx" localSheetId="6" hidden="1">{"cover a","1q",FALSE,"Cover";"Op Earn Mgd Q1",#N/A,FALSE,"Op-Earn (Mng)";"Op Earn Rpt Q1",#N/A,FALSE,"Op-Earn (Rpt)";"Loans",#N/A,FALSE,"Loans";"Credit Costs",#N/A,FALSE,"CCosts";"Net Interest Margin",#N/A,FALSE,"Margin";"Nonint Income",#N/A,FALSE,"NonII";"Nonint Exp",#N/A,FALSE,"NonIE";"Valuation",#N/A,FALSE,"Valuation"}</definedName>
    <definedName name="xxx" localSheetId="8" hidden="1">{"cover a","1q",FALSE,"Cover";"Op Earn Mgd Q1",#N/A,FALSE,"Op-Earn (Mng)";"Op Earn Rpt Q1",#N/A,FALSE,"Op-Earn (Rpt)";"Loans",#N/A,FALSE,"Loans";"Credit Costs",#N/A,FALSE,"CCosts";"Net Interest Margin",#N/A,FALSE,"Margin";"Nonint Income",#N/A,FALSE,"NonII";"Nonint Exp",#N/A,FALSE,"NonIE";"Valuation",#N/A,FALSE,"Valuation"}</definedName>
    <definedName name="xxx" localSheetId="2" hidden="1">{"cover a","1q",FALSE,"Cover";"Op Earn Mgd Q1",#N/A,FALSE,"Op-Earn (Mng)";"Op Earn Rpt Q1",#N/A,FALSE,"Op-Earn (Rpt)";"Loans",#N/A,FALSE,"Loans";"Credit Costs",#N/A,FALSE,"CCosts";"Net Interest Margin",#N/A,FALSE,"Margin";"Nonint Income",#N/A,FALSE,"NonII";"Nonint Exp",#N/A,FALSE,"NonIE";"Valuation",#N/A,FALSE,"Valuation"}</definedName>
    <definedName name="xxx" hidden="1">{"cover a","1q",FALSE,"Cover";"Op Earn Mgd Q1",#N/A,FALSE,"Op-Earn (Mng)";"Op Earn Rpt Q1",#N/A,FALSE,"Op-Earn (Rpt)";"Loans",#N/A,FALSE,"Loans";"Credit Costs",#N/A,FALSE,"CCosts";"Net Interest Margin",#N/A,FALSE,"Margin";"Nonint Income",#N/A,FALSE,"NonII";"Nonint Exp",#N/A,FALSE,"NonIE";"Valuation",#N/A,FALSE,"Valuation"}</definedName>
    <definedName name="Z_A94FC2AB_DEC1_4336_AA15_BDD1F4122146_.wvu.Cols" localSheetId="4" hidden="1">Financials!$C:$AG,Financials!$AI:$AK,Financials!$AM:$CV,Financials!$EC:$EG</definedName>
    <definedName name="Z_A94FC2AB_DEC1_4336_AA15_BDD1F4122146_.wvu.PrintArea" localSheetId="4" hidden="1">Financials!$AG$128:$AM$176</definedName>
  </definedNames>
  <calcPr calcId="145621" iterate="1" iterateDelta="1.0000000000000002E-3"/>
</workbook>
</file>

<file path=xl/calcChain.xml><?xml version="1.0" encoding="utf-8"?>
<calcChain xmlns="http://schemas.openxmlformats.org/spreadsheetml/2006/main">
  <c r="DU41" i="32" l="1"/>
  <c r="G68" i="30"/>
  <c r="AB8" i="30"/>
  <c r="W8" i="30"/>
  <c r="E19" i="28" l="1"/>
  <c r="E18" i="28"/>
  <c r="P7" i="31"/>
  <c r="P19" i="31"/>
  <c r="P26" i="31"/>
  <c r="DW54" i="4" l="1"/>
  <c r="DX54" i="4"/>
  <c r="DY54" i="4"/>
  <c r="DZ54" i="4" s="1"/>
  <c r="E41" i="31"/>
  <c r="DW50" i="32" l="1"/>
  <c r="DX50" i="32" s="1"/>
  <c r="DY50" i="32" s="1"/>
  <c r="DZ50" i="32" s="1"/>
  <c r="AB21" i="30" l="1"/>
  <c r="AA21" i="30"/>
  <c r="Z21" i="30"/>
  <c r="Y21" i="30"/>
  <c r="AB25" i="30"/>
  <c r="AA25" i="30"/>
  <c r="Z25" i="30"/>
  <c r="Y25" i="30"/>
  <c r="AB23" i="30"/>
  <c r="AA23" i="30"/>
  <c r="Z23" i="30"/>
  <c r="Y23" i="30"/>
  <c r="AB37" i="30"/>
  <c r="AA37" i="30"/>
  <c r="Z37" i="30"/>
  <c r="Y37" i="30"/>
  <c r="AB35" i="30"/>
  <c r="AA35" i="30"/>
  <c r="Z35" i="30"/>
  <c r="Y35" i="30"/>
  <c r="AB34" i="30"/>
  <c r="AA34" i="30"/>
  <c r="Z34" i="30"/>
  <c r="Y34" i="30"/>
  <c r="AB44" i="30"/>
  <c r="AA44" i="30"/>
  <c r="Z44" i="30"/>
  <c r="Y44" i="30"/>
  <c r="AB42" i="30"/>
  <c r="AA42" i="30"/>
  <c r="Z42" i="30"/>
  <c r="Y42" i="30"/>
  <c r="AB40" i="30"/>
  <c r="AA40" i="30"/>
  <c r="Z40" i="30"/>
  <c r="Y40" i="30"/>
  <c r="AB51" i="30"/>
  <c r="AA51" i="30"/>
  <c r="Z51" i="30"/>
  <c r="Y51" i="30"/>
  <c r="S68" i="30"/>
  <c r="T63" i="30"/>
  <c r="T64" i="30"/>
  <c r="T65" i="30"/>
  <c r="U68" i="30"/>
  <c r="T68" i="30" s="1"/>
  <c r="T69" i="30"/>
  <c r="T70" i="30"/>
  <c r="T73" i="30"/>
  <c r="T74" i="30"/>
  <c r="E37" i="31" l="1"/>
  <c r="DY18" i="32" l="1"/>
  <c r="DZ18" i="32" s="1"/>
  <c r="CU18" i="32" l="1"/>
  <c r="CT18" i="32"/>
  <c r="CS18" i="32"/>
  <c r="CR18" i="32"/>
  <c r="F19" i="31" l="1"/>
  <c r="G19" i="31"/>
  <c r="H19" i="31"/>
  <c r="I19" i="31"/>
  <c r="J19" i="31"/>
  <c r="K19" i="31"/>
  <c r="L19" i="31"/>
  <c r="M19" i="31"/>
  <c r="N19" i="31"/>
  <c r="O19" i="31"/>
  <c r="E19" i="31"/>
  <c r="E38" i="31" l="1"/>
  <c r="P35" i="31"/>
  <c r="P33" i="31"/>
  <c r="F19" i="28"/>
  <c r="G19" i="28" s="1"/>
  <c r="P37" i="31" s="1"/>
  <c r="F18" i="28"/>
  <c r="G18" i="28" s="1"/>
  <c r="P36" i="31" s="1"/>
  <c r="E53" i="28" l="1"/>
  <c r="L45" i="28"/>
  <c r="L47" i="28" l="1"/>
  <c r="L48" i="28"/>
  <c r="E25" i="28" l="1"/>
  <c r="F25" i="28" s="1"/>
  <c r="D31" i="28"/>
  <c r="E31" i="28" l="1"/>
  <c r="CU109" i="4" l="1"/>
  <c r="CT109" i="4"/>
  <c r="CS109" i="4"/>
  <c r="CR109" i="4"/>
  <c r="CU108" i="4"/>
  <c r="CT108" i="4"/>
  <c r="CS108" i="4"/>
  <c r="CR108" i="4"/>
  <c r="CU107" i="4"/>
  <c r="CT107" i="4"/>
  <c r="CS107" i="4"/>
  <c r="DD111" i="4"/>
  <c r="DE111" i="4"/>
  <c r="DF111" i="4"/>
  <c r="DG111" i="4"/>
  <c r="DH111" i="4"/>
  <c r="DI111" i="4"/>
  <c r="DJ111" i="4"/>
  <c r="DK111" i="4"/>
  <c r="DL111" i="4"/>
  <c r="DM111" i="4"/>
  <c r="DN111" i="4"/>
  <c r="DR111" i="4"/>
  <c r="DS111" i="4"/>
  <c r="DT111" i="4"/>
  <c r="DC111" i="4"/>
  <c r="CQ111" i="4"/>
  <c r="CP111" i="4"/>
  <c r="CO111" i="4"/>
  <c r="CN111" i="4"/>
  <c r="CM111" i="4"/>
  <c r="CL111" i="4"/>
  <c r="CK111" i="4"/>
  <c r="CJ111" i="4"/>
  <c r="CI111" i="4"/>
  <c r="CH111" i="4"/>
  <c r="CG111" i="4"/>
  <c r="CF111" i="4"/>
  <c r="CE111" i="4"/>
  <c r="CD111" i="4"/>
  <c r="CC111" i="4"/>
  <c r="CA111" i="4"/>
  <c r="BW111" i="4"/>
  <c r="BS111" i="4"/>
  <c r="BR111" i="4"/>
  <c r="BQ111" i="4"/>
  <c r="BP111" i="4"/>
  <c r="BO111" i="4"/>
  <c r="BN111" i="4"/>
  <c r="BM111" i="4"/>
  <c r="BL111" i="4"/>
  <c r="BK111" i="4"/>
  <c r="BJ111" i="4"/>
  <c r="BI111" i="4"/>
  <c r="BH111" i="4"/>
  <c r="BG111" i="4"/>
  <c r="BF111" i="4"/>
  <c r="BE111" i="4"/>
  <c r="BD111" i="4"/>
  <c r="BC111" i="4"/>
  <c r="BB111" i="4"/>
  <c r="BA111" i="4"/>
  <c r="AZ111" i="4"/>
  <c r="AY111" i="4"/>
  <c r="AX111" i="4"/>
  <c r="AW111" i="4"/>
  <c r="AV111" i="4"/>
  <c r="AU111" i="4"/>
  <c r="AT111" i="4"/>
  <c r="AS111" i="4"/>
  <c r="AR111" i="4"/>
  <c r="AQ111" i="4"/>
  <c r="AP111" i="4"/>
  <c r="AO111" i="4"/>
  <c r="AN111" i="4"/>
  <c r="AM111" i="4"/>
  <c r="AL111" i="4"/>
  <c r="AK111" i="4"/>
  <c r="AJ111" i="4"/>
  <c r="AI111" i="4"/>
  <c r="AH111" i="4"/>
  <c r="AG111" i="4"/>
  <c r="AF111" i="4"/>
  <c r="AE111" i="4"/>
  <c r="AD111" i="4"/>
  <c r="AC111" i="4"/>
  <c r="AB111" i="4"/>
  <c r="AA111" i="4"/>
  <c r="Z111" i="4"/>
  <c r="Y111" i="4"/>
  <c r="X111" i="4"/>
  <c r="X110" i="4"/>
  <c r="DD110" i="4"/>
  <c r="DE110" i="4"/>
  <c r="DF110" i="4"/>
  <c r="DG110" i="4"/>
  <c r="DH110" i="4"/>
  <c r="DI110" i="4"/>
  <c r="DJ110" i="4"/>
  <c r="DK110" i="4"/>
  <c r="DL110" i="4"/>
  <c r="DM110" i="4"/>
  <c r="DN110" i="4"/>
  <c r="DQ110" i="4"/>
  <c r="DR110" i="4"/>
  <c r="DT110" i="4"/>
  <c r="DC110" i="4"/>
  <c r="CQ110" i="4"/>
  <c r="CP110" i="4"/>
  <c r="CO110" i="4"/>
  <c r="CN110" i="4"/>
  <c r="CI110" i="4"/>
  <c r="CH110" i="4"/>
  <c r="CG110" i="4"/>
  <c r="CF110" i="4"/>
  <c r="CE110" i="4"/>
  <c r="CD110" i="4"/>
  <c r="CC110" i="4"/>
  <c r="CB110" i="4"/>
  <c r="CA110" i="4"/>
  <c r="BZ110" i="4"/>
  <c r="BY110" i="4"/>
  <c r="BW110" i="4"/>
  <c r="BS110" i="4"/>
  <c r="BR110" i="4"/>
  <c r="BQ110" i="4"/>
  <c r="BP110" i="4"/>
  <c r="BO110" i="4"/>
  <c r="BN110" i="4"/>
  <c r="BM110" i="4"/>
  <c r="BL110" i="4"/>
  <c r="BK110" i="4"/>
  <c r="BJ110" i="4"/>
  <c r="BI110" i="4"/>
  <c r="BH110" i="4"/>
  <c r="BG110" i="4"/>
  <c r="BF110" i="4"/>
  <c r="BE110" i="4"/>
  <c r="BD110" i="4"/>
  <c r="BC110" i="4"/>
  <c r="BB110" i="4"/>
  <c r="BA110" i="4"/>
  <c r="AZ110" i="4"/>
  <c r="AY110" i="4"/>
  <c r="AX110" i="4"/>
  <c r="AW110" i="4"/>
  <c r="AV110" i="4"/>
  <c r="AU110" i="4"/>
  <c r="AT110" i="4"/>
  <c r="AS110" i="4"/>
  <c r="AR110" i="4"/>
  <c r="AQ110" i="4"/>
  <c r="AP110" i="4"/>
  <c r="AO110" i="4"/>
  <c r="AN110" i="4"/>
  <c r="AM110" i="4"/>
  <c r="AL110" i="4"/>
  <c r="AK110" i="4"/>
  <c r="AJ110" i="4"/>
  <c r="AI110" i="4"/>
  <c r="AH110" i="4"/>
  <c r="AG110" i="4"/>
  <c r="AF110" i="4"/>
  <c r="AE110" i="4"/>
  <c r="AD110" i="4"/>
  <c r="AC110" i="4"/>
  <c r="AB110" i="4"/>
  <c r="AA110" i="4"/>
  <c r="Z110" i="4"/>
  <c r="Y110" i="4"/>
  <c r="CR107" i="4" l="1"/>
  <c r="DW22" i="4"/>
  <c r="DX22" i="4"/>
  <c r="DY22" i="4"/>
  <c r="DZ22" i="4"/>
  <c r="DV22" i="4"/>
  <c r="CU22" i="4"/>
  <c r="CT22" i="4"/>
  <c r="CS22" i="4"/>
  <c r="CR22" i="4"/>
  <c r="CR16" i="4"/>
  <c r="CQ98" i="32"/>
  <c r="CQ99" i="32"/>
  <c r="CQ96" i="32"/>
  <c r="CQ95" i="32"/>
  <c r="CQ55" i="32"/>
  <c r="CP55" i="32"/>
  <c r="CQ54" i="32"/>
  <c r="DW59" i="32"/>
  <c r="DX59" i="32" s="1"/>
  <c r="DY59" i="32" s="1"/>
  <c r="DZ59" i="32" s="1"/>
  <c r="F26" i="27" l="1"/>
  <c r="F21" i="27"/>
  <c r="F20" i="27"/>
  <c r="R8" i="30"/>
  <c r="P8" i="30"/>
  <c r="Q8" i="30" s="1"/>
  <c r="Q14" i="30"/>
  <c r="Q13" i="30"/>
  <c r="Q12" i="30"/>
  <c r="Q11" i="30"/>
  <c r="Q10" i="30"/>
  <c r="Q9" i="30"/>
  <c r="C70" i="30"/>
  <c r="C68" i="30"/>
  <c r="CQ54" i="4"/>
  <c r="CQ47" i="4"/>
  <c r="C30" i="30"/>
  <c r="C28" i="30"/>
  <c r="C27" i="30"/>
  <c r="C26" i="30"/>
  <c r="C25" i="30"/>
  <c r="C23" i="30"/>
  <c r="C21" i="30"/>
  <c r="E17" i="28" l="1"/>
  <c r="E16" i="28"/>
  <c r="E15" i="28"/>
  <c r="E13" i="28"/>
  <c r="CQ5" i="4"/>
  <c r="CQ168" i="4"/>
  <c r="CQ164" i="4"/>
  <c r="CQ165" i="4"/>
  <c r="CQ163" i="4"/>
  <c r="CQ162" i="4"/>
  <c r="CQ156" i="4"/>
  <c r="CQ155" i="4"/>
  <c r="CQ153" i="4"/>
  <c r="CQ152" i="4"/>
  <c r="CQ145" i="4"/>
  <c r="CQ132" i="4"/>
  <c r="CQ139" i="4"/>
  <c r="CQ133" i="4"/>
  <c r="CQ144" i="4"/>
  <c r="CQ142" i="4"/>
  <c r="CQ141" i="4"/>
  <c r="CQ131" i="4"/>
  <c r="CQ130" i="4"/>
  <c r="CQ129" i="4"/>
  <c r="CQ108" i="4"/>
  <c r="CQ99" i="4"/>
  <c r="CQ98" i="4"/>
  <c r="CQ95" i="4"/>
  <c r="CQ94" i="4"/>
  <c r="CQ96" i="4" s="1"/>
  <c r="CQ100" i="4" s="1"/>
  <c r="CQ89" i="4"/>
  <c r="CQ88" i="4"/>
  <c r="CQ84" i="4"/>
  <c r="CQ79" i="4"/>
  <c r="CQ77" i="4"/>
  <c r="CQ76" i="4"/>
  <c r="CQ71" i="4"/>
  <c r="CQ146" i="4" l="1"/>
  <c r="DU40" i="32" l="1"/>
  <c r="DW40" i="32"/>
  <c r="DV40" i="32"/>
  <c r="CQ212" i="4"/>
  <c r="CQ191" i="4"/>
  <c r="CQ17" i="4"/>
  <c r="CQ11" i="4"/>
  <c r="CQ27" i="4"/>
  <c r="CQ23" i="4"/>
  <c r="CQ91" i="32" l="1"/>
  <c r="CQ88" i="32"/>
  <c r="CQ87" i="32"/>
  <c r="CQ85" i="32"/>
  <c r="CQ84" i="32"/>
  <c r="CQ80" i="32"/>
  <c r="CQ75" i="32"/>
  <c r="CQ70" i="32"/>
  <c r="CQ64" i="32"/>
  <c r="CQ63" i="32"/>
  <c r="CQ58" i="32"/>
  <c r="CQ57" i="32"/>
  <c r="CQ49" i="32"/>
  <c r="CQ48" i="32"/>
  <c r="CQ46" i="32"/>
  <c r="CQ45" i="32"/>
  <c r="CQ32" i="32"/>
  <c r="CQ31" i="32"/>
  <c r="CQ27" i="32"/>
  <c r="CQ26" i="32"/>
  <c r="CQ25" i="32"/>
  <c r="CQ23" i="32"/>
  <c r="CQ22" i="32"/>
  <c r="CQ20" i="32"/>
  <c r="CQ19" i="32"/>
  <c r="CQ17" i="32"/>
  <c r="CQ16" i="32"/>
  <c r="CQ14" i="32"/>
  <c r="CQ13" i="32"/>
  <c r="CQ11" i="32"/>
  <c r="CQ10" i="32"/>
  <c r="CQ8" i="32"/>
  <c r="CQ7" i="32"/>
  <c r="CQ4" i="32"/>
  <c r="CQ42" i="32" s="1"/>
  <c r="CQ239" i="4"/>
  <c r="CQ238" i="4"/>
  <c r="CQ235" i="4"/>
  <c r="CQ221" i="4"/>
  <c r="CQ219" i="4"/>
  <c r="CQ218" i="4"/>
  <c r="CQ217" i="4"/>
  <c r="CQ216" i="4"/>
  <c r="CQ207" i="4"/>
  <c r="CQ204" i="4"/>
  <c r="CQ202" i="4"/>
  <c r="CQ201" i="4"/>
  <c r="CQ200" i="4"/>
  <c r="CQ199" i="4"/>
  <c r="CQ195" i="4"/>
  <c r="CQ197" i="4" s="1"/>
  <c r="CQ190" i="4"/>
  <c r="CQ187" i="4"/>
  <c r="CQ185" i="4"/>
  <c r="CQ184" i="4"/>
  <c r="CQ183" i="4"/>
  <c r="CQ182" i="4"/>
  <c r="CQ166" i="4"/>
  <c r="CQ160" i="4"/>
  <c r="CQ150" i="4"/>
  <c r="CQ176" i="4" s="1"/>
  <c r="CQ178" i="4" s="1"/>
  <c r="CQ127" i="4"/>
  <c r="CQ122" i="4"/>
  <c r="CQ120" i="4"/>
  <c r="CQ115" i="4"/>
  <c r="CQ114" i="4"/>
  <c r="CQ107" i="4" s="1"/>
  <c r="CQ90" i="4"/>
  <c r="CQ85" i="4"/>
  <c r="CQ80" i="4"/>
  <c r="CQ73" i="4"/>
  <c r="CQ64" i="4"/>
  <c r="CQ39" i="4"/>
  <c r="CQ38" i="4"/>
  <c r="CQ240" i="4" s="1"/>
  <c r="CQ36" i="4"/>
  <c r="CQ37" i="4" s="1"/>
  <c r="CQ24" i="4"/>
  <c r="CQ16" i="4"/>
  <c r="CQ10" i="4"/>
  <c r="CQ7" i="4"/>
  <c r="H37" i="29"/>
  <c r="N37" i="29"/>
  <c r="M37" i="29"/>
  <c r="L37" i="29"/>
  <c r="J37" i="29"/>
  <c r="I37" i="29"/>
  <c r="F37" i="29"/>
  <c r="E37" i="29"/>
  <c r="D37" i="29"/>
  <c r="CQ51" i="4" l="1"/>
  <c r="CQ170" i="4"/>
  <c r="CQ121" i="4"/>
  <c r="CQ102" i="4"/>
  <c r="CQ104" i="4" s="1"/>
  <c r="CQ109" i="4"/>
  <c r="CQ19" i="4"/>
  <c r="CQ25" i="4"/>
  <c r="CQ214" i="4"/>
  <c r="CQ58" i="4"/>
  <c r="CQ103" i="32"/>
  <c r="CQ101" i="32" s="1"/>
  <c r="CQ102" i="32" s="1"/>
  <c r="CQ13" i="4"/>
  <c r="CQ52" i="4"/>
  <c r="CQ177" i="4"/>
  <c r="D10" i="27"/>
  <c r="D16" i="27"/>
  <c r="D27" i="27"/>
  <c r="CP18" i="4"/>
  <c r="CP103" i="32"/>
  <c r="D21" i="27"/>
  <c r="D33" i="27"/>
  <c r="S37" i="27"/>
  <c r="R37" i="27"/>
  <c r="Q37" i="27"/>
  <c r="R36" i="27"/>
  <c r="W29" i="27"/>
  <c r="W28" i="27"/>
  <c r="W27" i="27"/>
  <c r="W26" i="27"/>
  <c r="W25" i="27"/>
  <c r="W24" i="27"/>
  <c r="W22" i="27"/>
  <c r="W21" i="27"/>
  <c r="W20" i="27"/>
  <c r="W19" i="27"/>
  <c r="W18" i="27"/>
  <c r="S26" i="27"/>
  <c r="Q26" i="27"/>
  <c r="R25" i="27"/>
  <c r="R24" i="27"/>
  <c r="R22" i="27"/>
  <c r="R20" i="27"/>
  <c r="R19" i="27"/>
  <c r="R18" i="27"/>
  <c r="R26" i="27" s="1"/>
  <c r="CQ104" i="32" l="1"/>
  <c r="CQ60" i="4"/>
  <c r="CQ116" i="4"/>
  <c r="CQ123" i="4" s="1"/>
  <c r="CQ59" i="4"/>
  <c r="CQ28" i="4"/>
  <c r="CQ117" i="4" s="1"/>
  <c r="CQ125" i="4" s="1"/>
  <c r="CQ30" i="4"/>
  <c r="R21" i="27"/>
  <c r="CQ242" i="4" l="1"/>
  <c r="CQ34" i="4"/>
  <c r="CQ44" i="4"/>
  <c r="CQ45" i="4" s="1"/>
  <c r="CQ43" i="4" l="1"/>
  <c r="CQ42" i="4"/>
  <c r="CQ241" i="4"/>
  <c r="F53" i="28" l="1"/>
  <c r="G53" i="28" s="1"/>
  <c r="H53" i="28" s="1"/>
  <c r="I53" i="28" s="1"/>
  <c r="J53" i="28" s="1"/>
  <c r="K53" i="28" s="1"/>
  <c r="L53" i="28" s="1"/>
  <c r="M53" i="28" s="1"/>
  <c r="D45" i="28" l="1"/>
  <c r="D47" i="28" s="1"/>
  <c r="D48" i="28"/>
  <c r="E39" i="28"/>
  <c r="C24" i="30"/>
  <c r="CJ36" i="4" l="1"/>
  <c r="CJ38" i="4"/>
  <c r="BF36" i="4"/>
  <c r="DP238" i="4"/>
  <c r="BZ165" i="4"/>
  <c r="BZ238" i="4"/>
  <c r="BY165" i="4"/>
  <c r="BY164" i="4"/>
  <c r="CU163" i="4" l="1"/>
  <c r="CT163" i="4"/>
  <c r="CS163" i="4"/>
  <c r="CR163" i="4"/>
  <c r="CS182" i="4"/>
  <c r="CT182" i="4" s="1"/>
  <c r="CR29" i="4"/>
  <c r="D25" i="29" s="1"/>
  <c r="CS28" i="4"/>
  <c r="CT28" i="4"/>
  <c r="CU28" i="4" s="1"/>
  <c r="CR17" i="4"/>
  <c r="DT17" i="4"/>
  <c r="D15" i="29" l="1"/>
  <c r="F15" i="29" s="1"/>
  <c r="F16" i="27"/>
  <c r="F25" i="29"/>
  <c r="CR63" i="32"/>
  <c r="V21" i="27"/>
  <c r="U21" i="27"/>
  <c r="T21" i="27"/>
  <c r="V20" i="27"/>
  <c r="T20" i="27"/>
  <c r="V18" i="27"/>
  <c r="T18" i="27"/>
  <c r="X38" i="27"/>
  <c r="DW32" i="32" l="1"/>
  <c r="DX32" i="32"/>
  <c r="DY32" i="32"/>
  <c r="DZ32" i="32"/>
  <c r="CU32" i="32"/>
  <c r="CT32" i="32"/>
  <c r="CS32" i="32"/>
  <c r="CR32" i="32"/>
  <c r="CP32" i="32"/>
  <c r="CO32" i="32"/>
  <c r="CN32" i="32"/>
  <c r="CM32" i="32"/>
  <c r="CL32" i="32"/>
  <c r="CK32" i="32"/>
  <c r="CJ32" i="32"/>
  <c r="CI32" i="32"/>
  <c r="CH32" i="32"/>
  <c r="CG32" i="32"/>
  <c r="CF32" i="32"/>
  <c r="CE32" i="32"/>
  <c r="CD32" i="32"/>
  <c r="CC32" i="32"/>
  <c r="CB32" i="32"/>
  <c r="CA32" i="32"/>
  <c r="BZ32" i="32"/>
  <c r="BY32" i="32"/>
  <c r="BX32" i="32"/>
  <c r="BW32" i="32"/>
  <c r="BV32" i="32"/>
  <c r="BU32" i="32"/>
  <c r="BT32" i="32"/>
  <c r="DW31" i="32"/>
  <c r="CU31" i="32"/>
  <c r="CT31" i="32"/>
  <c r="CS31" i="32"/>
  <c r="CR31" i="32"/>
  <c r="CP31" i="32"/>
  <c r="CO31" i="32"/>
  <c r="CN31" i="32"/>
  <c r="CM31" i="32"/>
  <c r="CL31" i="32"/>
  <c r="CK31" i="32"/>
  <c r="CJ31" i="32"/>
  <c r="CI31" i="32"/>
  <c r="CH31" i="32"/>
  <c r="CG31" i="32"/>
  <c r="CF31" i="32"/>
  <c r="CE31" i="32"/>
  <c r="CD31" i="32"/>
  <c r="CC31" i="32"/>
  <c r="CB31" i="32"/>
  <c r="CA31" i="32"/>
  <c r="BZ31" i="32"/>
  <c r="BY31" i="32"/>
  <c r="BX31" i="32"/>
  <c r="BW31" i="32"/>
  <c r="BV31" i="32"/>
  <c r="BU31" i="32"/>
  <c r="BT31" i="32"/>
  <c r="CJ76" i="32"/>
  <c r="CF76" i="32"/>
  <c r="CC76" i="32"/>
  <c r="CB76" i="32"/>
  <c r="BX76" i="32"/>
  <c r="BU76" i="32"/>
  <c r="BT76" i="32"/>
  <c r="CJ71" i="32"/>
  <c r="CF71" i="32"/>
  <c r="CB71" i="32"/>
  <c r="BX71" i="32"/>
  <c r="BT71" i="32"/>
  <c r="CF36" i="32"/>
  <c r="CG36" i="32" s="1"/>
  <c r="CB36" i="32"/>
  <c r="CC36" i="32" s="1"/>
  <c r="BX36" i="32"/>
  <c r="BY36" i="32" s="1"/>
  <c r="BZ36" i="32" s="1"/>
  <c r="BT36" i="32"/>
  <c r="BU36" i="32" s="1"/>
  <c r="BV36" i="32" s="1"/>
  <c r="CK35" i="32"/>
  <c r="CL35" i="32" s="1"/>
  <c r="CM35" i="32" s="1"/>
  <c r="CN35" i="32" s="1"/>
  <c r="CG35" i="32"/>
  <c r="CC35" i="32"/>
  <c r="BY35" i="32"/>
  <c r="BZ35" i="32" s="1"/>
  <c r="BU35" i="32"/>
  <c r="BV35" i="32" s="1"/>
  <c r="CK36" i="32"/>
  <c r="CL36" i="32" s="1"/>
  <c r="CK38" i="32"/>
  <c r="CK76" i="32" s="1"/>
  <c r="CG38" i="32"/>
  <c r="CG76" i="32" s="1"/>
  <c r="CC38" i="32"/>
  <c r="CD38" i="32" s="1"/>
  <c r="CE38" i="32" s="1"/>
  <c r="CE76" i="32" s="1"/>
  <c r="BY38" i="32"/>
  <c r="BY76" i="32" s="1"/>
  <c r="BU38" i="32"/>
  <c r="BV38" i="32" s="1"/>
  <c r="CK37" i="32"/>
  <c r="CK71" i="32" s="1"/>
  <c r="CG37" i="32"/>
  <c r="CG71" i="32" s="1"/>
  <c r="CC37" i="32"/>
  <c r="CC71" i="32" s="1"/>
  <c r="BY37" i="32"/>
  <c r="BY71" i="32" s="1"/>
  <c r="BU37" i="32"/>
  <c r="BV37" i="32" s="1"/>
  <c r="BW37" i="32" s="1"/>
  <c r="BW71" i="32" s="1"/>
  <c r="CD37" i="32" l="1"/>
  <c r="CE37" i="32" s="1"/>
  <c r="CL38" i="32"/>
  <c r="CM38" i="32" s="1"/>
  <c r="CN38" i="32" s="1"/>
  <c r="CN76" i="32" s="1"/>
  <c r="CD71" i="32"/>
  <c r="CD76" i="32"/>
  <c r="BV71" i="32"/>
  <c r="BW38" i="32"/>
  <c r="BW76" i="32" s="1"/>
  <c r="BV76" i="32"/>
  <c r="CM76" i="32"/>
  <c r="DQ37" i="32"/>
  <c r="CL37" i="32"/>
  <c r="BU71" i="32"/>
  <c r="CO35" i="32"/>
  <c r="CP35" i="32" s="1"/>
  <c r="BW35" i="32"/>
  <c r="DO35" i="32"/>
  <c r="CA35" i="32"/>
  <c r="DP35" i="32" s="1"/>
  <c r="CD35" i="32"/>
  <c r="CE35" i="32" s="1"/>
  <c r="DS35" i="32"/>
  <c r="CH35" i="32"/>
  <c r="CI35" i="32" s="1"/>
  <c r="BW36" i="32"/>
  <c r="DO36" i="32" s="1"/>
  <c r="CA36" i="32"/>
  <c r="DP36" i="32" s="1"/>
  <c r="CM36" i="32"/>
  <c r="CN36" i="32" s="1"/>
  <c r="CD36" i="32"/>
  <c r="CE36" i="32" s="1"/>
  <c r="CH36" i="32"/>
  <c r="CI36" i="32" s="1"/>
  <c r="DQ38" i="32"/>
  <c r="BZ38" i="32"/>
  <c r="DO38" i="32"/>
  <c r="CH38" i="32"/>
  <c r="BZ37" i="32"/>
  <c r="DO37" i="32"/>
  <c r="CH37" i="32"/>
  <c r="CQ35" i="32" l="1"/>
  <c r="DS38" i="32"/>
  <c r="DS36" i="32"/>
  <c r="DT35" i="32"/>
  <c r="CL76" i="32"/>
  <c r="CO38" i="32"/>
  <c r="CE71" i="32"/>
  <c r="CI37" i="32"/>
  <c r="CH71" i="32"/>
  <c r="CA37" i="32"/>
  <c r="BZ71" i="32"/>
  <c r="CP38" i="32"/>
  <c r="CQ38" i="32" s="1"/>
  <c r="CQ76" i="32" s="1"/>
  <c r="CO76" i="32"/>
  <c r="CM37" i="32"/>
  <c r="CL71" i="32"/>
  <c r="CI38" i="32"/>
  <c r="CI76" i="32" s="1"/>
  <c r="CH76" i="32"/>
  <c r="CA38" i="32"/>
  <c r="CA76" i="32" s="1"/>
  <c r="BZ76" i="32"/>
  <c r="DR35" i="32"/>
  <c r="DQ35" i="32"/>
  <c r="DR36" i="32"/>
  <c r="CO36" i="32"/>
  <c r="CP36" i="32" s="1"/>
  <c r="DQ36" i="32"/>
  <c r="DR38" i="32"/>
  <c r="DP38" i="32"/>
  <c r="DR37" i="32"/>
  <c r="CR35" i="32" l="1"/>
  <c r="CS35" i="32" s="1"/>
  <c r="CT35" i="32" s="1"/>
  <c r="CU35" i="32" s="1"/>
  <c r="CR36" i="32"/>
  <c r="CQ36" i="32"/>
  <c r="CA71" i="32"/>
  <c r="DP37" i="32"/>
  <c r="CI71" i="32"/>
  <c r="CM71" i="32"/>
  <c r="CN37" i="32"/>
  <c r="DS37" i="32"/>
  <c r="DT38" i="32"/>
  <c r="CP76" i="32"/>
  <c r="DU35" i="32"/>
  <c r="DT36" i="32"/>
  <c r="CS36" i="32"/>
  <c r="CT36" i="32" s="1"/>
  <c r="CU36" i="32" s="1"/>
  <c r="E33" i="31"/>
  <c r="DV35" i="32" l="1"/>
  <c r="DW35" i="32" s="1"/>
  <c r="DX35" i="32" s="1"/>
  <c r="DY35" i="32" s="1"/>
  <c r="DZ35" i="32" s="1"/>
  <c r="CR38" i="32"/>
  <c r="CN71" i="32"/>
  <c r="CO37" i="32"/>
  <c r="DU36" i="32"/>
  <c r="DV36" i="32" s="1"/>
  <c r="DW36" i="32" s="1"/>
  <c r="DX36" i="32" s="1"/>
  <c r="DY36" i="32" s="1"/>
  <c r="DZ36" i="32" s="1"/>
  <c r="E35" i="31"/>
  <c r="CP37" i="32" l="1"/>
  <c r="CQ37" i="32" s="1"/>
  <c r="CO71" i="32"/>
  <c r="CR76" i="32"/>
  <c r="CS38" i="32"/>
  <c r="L9" i="33"/>
  <c r="L13" i="33"/>
  <c r="K13" i="33"/>
  <c r="J13" i="33"/>
  <c r="I13" i="33"/>
  <c r="K12" i="33"/>
  <c r="I12" i="33"/>
  <c r="K11" i="33"/>
  <c r="I11" i="33"/>
  <c r="K10" i="33"/>
  <c r="I10" i="33"/>
  <c r="K8" i="33"/>
  <c r="I8" i="33"/>
  <c r="I15" i="33" s="1"/>
  <c r="L7" i="33"/>
  <c r="J7" i="33"/>
  <c r="J15" i="33" s="1"/>
  <c r="E13" i="33"/>
  <c r="G13" i="33"/>
  <c r="G15" i="33" s="1"/>
  <c r="L15" i="33"/>
  <c r="G8" i="33"/>
  <c r="G9" i="33"/>
  <c r="G10" i="33"/>
  <c r="G11" i="33"/>
  <c r="G12" i="33"/>
  <c r="F15" i="33"/>
  <c r="G7" i="33"/>
  <c r="DT76" i="32"/>
  <c r="DS76" i="32"/>
  <c r="DR76" i="32"/>
  <c r="DQ76" i="32"/>
  <c r="DP76" i="32"/>
  <c r="DS71" i="32"/>
  <c r="DR71" i="32"/>
  <c r="DQ71" i="32"/>
  <c r="DP71" i="32"/>
  <c r="DO71" i="32"/>
  <c r="CR75" i="32"/>
  <c r="CP75" i="32"/>
  <c r="CO75" i="32"/>
  <c r="CN75" i="32"/>
  <c r="CM75" i="32"/>
  <c r="CL75" i="32"/>
  <c r="CK75" i="32"/>
  <c r="CJ75" i="32"/>
  <c r="CI75" i="32"/>
  <c r="CH75" i="32"/>
  <c r="CG75" i="32"/>
  <c r="CF75" i="32"/>
  <c r="CE75" i="32"/>
  <c r="CD75" i="32"/>
  <c r="CC75" i="32"/>
  <c r="CB75" i="32"/>
  <c r="CA75" i="32"/>
  <c r="BZ75" i="32"/>
  <c r="BY75" i="32"/>
  <c r="BX75" i="32"/>
  <c r="BW75" i="32"/>
  <c r="BV75" i="32"/>
  <c r="BU75" i="32"/>
  <c r="BT75" i="32"/>
  <c r="BS75" i="32"/>
  <c r="BR75" i="32"/>
  <c r="BQ75" i="32"/>
  <c r="BP75" i="32"/>
  <c r="BO75" i="32"/>
  <c r="BN75" i="32"/>
  <c r="BM75" i="32"/>
  <c r="BL75" i="32"/>
  <c r="BK75" i="32"/>
  <c r="BJ75" i="32"/>
  <c r="BI75" i="32"/>
  <c r="BH75" i="32"/>
  <c r="BG75" i="32"/>
  <c r="BF75" i="32"/>
  <c r="BE75" i="32"/>
  <c r="BD75" i="32"/>
  <c r="DJ74" i="32"/>
  <c r="DK74" i="32"/>
  <c r="DK75" i="32" s="1"/>
  <c r="DL74" i="32"/>
  <c r="DL75" i="32" s="1"/>
  <c r="DM74" i="32"/>
  <c r="DM75" i="32" s="1"/>
  <c r="DN74" i="32"/>
  <c r="DN75" i="32" s="1"/>
  <c r="DO74" i="32"/>
  <c r="DP74" i="32"/>
  <c r="DQ74" i="32"/>
  <c r="DQ75" i="32" s="1"/>
  <c r="DR74" i="32"/>
  <c r="DR75" i="32" s="1"/>
  <c r="DS74" i="32"/>
  <c r="DS75" i="32" s="1"/>
  <c r="DT74" i="32"/>
  <c r="DT75" i="32" s="1"/>
  <c r="DJ69" i="32"/>
  <c r="CT74" i="32"/>
  <c r="CU74" i="32" s="1"/>
  <c r="CU75" i="32" s="1"/>
  <c r="DO75" i="32" l="1"/>
  <c r="CQ71" i="32"/>
  <c r="CQ30" i="32"/>
  <c r="CT75" i="32"/>
  <c r="DP75" i="32"/>
  <c r="DU74" i="32"/>
  <c r="CS75" i="32"/>
  <c r="CT38" i="32"/>
  <c r="CS76" i="32"/>
  <c r="CP71" i="32"/>
  <c r="DO76" i="32"/>
  <c r="K15" i="33"/>
  <c r="CQ51" i="32" l="1"/>
  <c r="CQ60" i="32"/>
  <c r="DV74" i="32"/>
  <c r="DU75" i="32"/>
  <c r="CR37" i="32"/>
  <c r="DT71" i="32"/>
  <c r="DT37" i="32"/>
  <c r="CU38" i="32"/>
  <c r="CU76" i="32" s="1"/>
  <c r="CT76" i="32"/>
  <c r="E15" i="33"/>
  <c r="DU38" i="32" l="1"/>
  <c r="DV38" i="32" s="1"/>
  <c r="DW38" i="32" s="1"/>
  <c r="DW74" i="32"/>
  <c r="DV75" i="32"/>
  <c r="DU76" i="32"/>
  <c r="CR71" i="32"/>
  <c r="CS37" i="32"/>
  <c r="AZ80" i="32"/>
  <c r="AZ84" i="32"/>
  <c r="AZ85" i="32"/>
  <c r="AZ87" i="32"/>
  <c r="AZ88" i="32"/>
  <c r="AZ91" i="32"/>
  <c r="AZ95" i="32"/>
  <c r="AZ96" i="32"/>
  <c r="AZ98" i="32"/>
  <c r="AZ99" i="32"/>
  <c r="AZ103" i="32"/>
  <c r="AZ101" i="32" s="1"/>
  <c r="DV76" i="32" l="1"/>
  <c r="DX74" i="32"/>
  <c r="DW75" i="32"/>
  <c r="CT37" i="32"/>
  <c r="CS71" i="32"/>
  <c r="DX38" i="32"/>
  <c r="DW76" i="32"/>
  <c r="DY74" i="32" l="1"/>
  <c r="DX75" i="32"/>
  <c r="CU37" i="32"/>
  <c r="CT71" i="32"/>
  <c r="DY38" i="32"/>
  <c r="DX76" i="32"/>
  <c r="DR177" i="4"/>
  <c r="DQ177" i="4"/>
  <c r="DN177" i="4"/>
  <c r="DL177" i="4"/>
  <c r="DK177" i="4"/>
  <c r="DJ177" i="4"/>
  <c r="DI177" i="4"/>
  <c r="DH177" i="4"/>
  <c r="DG177" i="4"/>
  <c r="DF177" i="4"/>
  <c r="DE177" i="4"/>
  <c r="DD177" i="4"/>
  <c r="DC177" i="4"/>
  <c r="CP177" i="4"/>
  <c r="CO177" i="4"/>
  <c r="CN177" i="4"/>
  <c r="CI177" i="4"/>
  <c r="CH177" i="4"/>
  <c r="CG177" i="4"/>
  <c r="CF177" i="4"/>
  <c r="CE177" i="4"/>
  <c r="CD177" i="4"/>
  <c r="CC177" i="4"/>
  <c r="CB177" i="4"/>
  <c r="CA177" i="4"/>
  <c r="BZ177" i="4"/>
  <c r="BY177" i="4"/>
  <c r="BS177" i="4"/>
  <c r="BR177" i="4"/>
  <c r="BQ177" i="4"/>
  <c r="BP177" i="4"/>
  <c r="BM177" i="4"/>
  <c r="BL177" i="4"/>
  <c r="BK177" i="4"/>
  <c r="BJ177" i="4"/>
  <c r="BI177" i="4"/>
  <c r="BH177" i="4"/>
  <c r="BG177" i="4"/>
  <c r="BF177" i="4"/>
  <c r="BE177" i="4"/>
  <c r="BD177" i="4"/>
  <c r="BC177" i="4"/>
  <c r="BB177" i="4"/>
  <c r="BA177" i="4"/>
  <c r="AZ177" i="4"/>
  <c r="AY177" i="4"/>
  <c r="AX177" i="4"/>
  <c r="AW177" i="4"/>
  <c r="AV177" i="4"/>
  <c r="AU177" i="4"/>
  <c r="AT177" i="4"/>
  <c r="AS177" i="4"/>
  <c r="AR177" i="4"/>
  <c r="AQ177" i="4"/>
  <c r="AP177" i="4"/>
  <c r="AO177" i="4"/>
  <c r="AN177" i="4"/>
  <c r="AM177" i="4"/>
  <c r="AL177" i="4"/>
  <c r="AK177" i="4"/>
  <c r="AJ177" i="4"/>
  <c r="AI177" i="4"/>
  <c r="AH177" i="4"/>
  <c r="AG177" i="4"/>
  <c r="AF177" i="4"/>
  <c r="AE177" i="4"/>
  <c r="AD177" i="4"/>
  <c r="AC177" i="4"/>
  <c r="AB177" i="4"/>
  <c r="AA177" i="4"/>
  <c r="Z177" i="4"/>
  <c r="Y177" i="4"/>
  <c r="X177" i="4"/>
  <c r="DZ74" i="32" l="1"/>
  <c r="DZ75" i="32" s="1"/>
  <c r="DY75" i="32"/>
  <c r="CU71" i="32"/>
  <c r="DU71" i="32" s="1"/>
  <c r="DU37" i="32"/>
  <c r="DZ38" i="32"/>
  <c r="DZ76" i="32" s="1"/>
  <c r="DY76" i="32"/>
  <c r="CP125" i="4"/>
  <c r="CO125" i="4"/>
  <c r="CN125" i="4"/>
  <c r="CM125" i="4"/>
  <c r="CL125" i="4"/>
  <c r="CK125" i="4"/>
  <c r="CI125" i="4"/>
  <c r="CH125" i="4"/>
  <c r="CG125" i="4"/>
  <c r="CF125" i="4"/>
  <c r="CE125" i="4"/>
  <c r="CD125" i="4"/>
  <c r="CC125" i="4"/>
  <c r="CB125" i="4"/>
  <c r="BS125" i="4"/>
  <c r="BR125" i="4"/>
  <c r="BQ125" i="4"/>
  <c r="BO125" i="4"/>
  <c r="BN125" i="4"/>
  <c r="BK125" i="4"/>
  <c r="BJ125" i="4"/>
  <c r="BI125" i="4"/>
  <c r="BH125" i="4"/>
  <c r="BG125" i="4"/>
  <c r="BF125" i="4"/>
  <c r="BE125" i="4"/>
  <c r="BD125" i="4"/>
  <c r="BC125" i="4"/>
  <c r="BB125" i="4"/>
  <c r="BA125" i="4"/>
  <c r="AZ125" i="4"/>
  <c r="AY125" i="4"/>
  <c r="AX125" i="4"/>
  <c r="AW125" i="4"/>
  <c r="AV125" i="4"/>
  <c r="AU125" i="4"/>
  <c r="AT125" i="4"/>
  <c r="AS125" i="4"/>
  <c r="AR125" i="4"/>
  <c r="AQ125" i="4"/>
  <c r="AP125" i="4"/>
  <c r="AO125" i="4"/>
  <c r="AM125" i="4"/>
  <c r="AL125" i="4"/>
  <c r="AK125" i="4"/>
  <c r="AJ125" i="4"/>
  <c r="AI125" i="4"/>
  <c r="AH125" i="4"/>
  <c r="AG125" i="4"/>
  <c r="AF125" i="4"/>
  <c r="AE125" i="4"/>
  <c r="AD125" i="4"/>
  <c r="AC125" i="4"/>
  <c r="AB125" i="4"/>
  <c r="AA125" i="4"/>
  <c r="Z125" i="4"/>
  <c r="Y125" i="4"/>
  <c r="X125" i="4"/>
  <c r="W125" i="4"/>
  <c r="V125" i="4"/>
  <c r="U125" i="4"/>
  <c r="T125" i="4"/>
  <c r="S125" i="4"/>
  <c r="R125" i="4"/>
  <c r="Q125" i="4"/>
  <c r="P125" i="4"/>
  <c r="O125" i="4"/>
  <c r="N125" i="4"/>
  <c r="M125" i="4"/>
  <c r="L125" i="4"/>
  <c r="K125" i="4"/>
  <c r="J125" i="4"/>
  <c r="I125" i="4"/>
  <c r="H125" i="4"/>
  <c r="G125" i="4"/>
  <c r="CY117" i="4"/>
  <c r="CZ117" i="4"/>
  <c r="DA117" i="4"/>
  <c r="DB117" i="4"/>
  <c r="DC117" i="4"/>
  <c r="DD117" i="4"/>
  <c r="DE117" i="4"/>
  <c r="DF117" i="4"/>
  <c r="DG117" i="4"/>
  <c r="DH117" i="4"/>
  <c r="DI117" i="4"/>
  <c r="DJ117" i="4"/>
  <c r="DK117" i="4"/>
  <c r="DL117" i="4"/>
  <c r="DM117" i="4"/>
  <c r="DN117" i="4"/>
  <c r="DQ117" i="4"/>
  <c r="DR117" i="4"/>
  <c r="DS117" i="4"/>
  <c r="CX117" i="4"/>
  <c r="CP117" i="4"/>
  <c r="CO117" i="4"/>
  <c r="CN117" i="4"/>
  <c r="CM117" i="4"/>
  <c r="CL117" i="4"/>
  <c r="CK117" i="4"/>
  <c r="CJ117" i="4"/>
  <c r="CI117" i="4"/>
  <c r="CH117" i="4"/>
  <c r="CG117" i="4"/>
  <c r="CF117" i="4"/>
  <c r="CE117" i="4"/>
  <c r="CD117" i="4"/>
  <c r="CC117" i="4"/>
  <c r="CB117" i="4"/>
  <c r="BS117" i="4"/>
  <c r="BR117" i="4"/>
  <c r="BQ117" i="4"/>
  <c r="BP117" i="4"/>
  <c r="BO117" i="4"/>
  <c r="BN117" i="4"/>
  <c r="BM117" i="4"/>
  <c r="BL117" i="4"/>
  <c r="BK117" i="4"/>
  <c r="BJ117" i="4"/>
  <c r="BI117" i="4"/>
  <c r="BH117" i="4"/>
  <c r="BG117" i="4"/>
  <c r="BF117" i="4"/>
  <c r="BE117" i="4"/>
  <c r="BD117" i="4"/>
  <c r="BC117" i="4"/>
  <c r="BB117" i="4"/>
  <c r="BA117" i="4"/>
  <c r="AZ117" i="4"/>
  <c r="AY117" i="4"/>
  <c r="AX117" i="4"/>
  <c r="AW117" i="4"/>
  <c r="AV117" i="4"/>
  <c r="AU117" i="4"/>
  <c r="AT117" i="4"/>
  <c r="AS117" i="4"/>
  <c r="AR117" i="4"/>
  <c r="AQ117" i="4"/>
  <c r="AP117" i="4"/>
  <c r="AO117" i="4"/>
  <c r="AN117" i="4"/>
  <c r="AM117" i="4"/>
  <c r="AL117" i="4"/>
  <c r="AK117" i="4"/>
  <c r="AJ117" i="4"/>
  <c r="AI117" i="4"/>
  <c r="AH117" i="4"/>
  <c r="AG117" i="4"/>
  <c r="AF117" i="4"/>
  <c r="AE117" i="4"/>
  <c r="AD117" i="4"/>
  <c r="AC117" i="4"/>
  <c r="AB117" i="4"/>
  <c r="AA117" i="4"/>
  <c r="Z117" i="4"/>
  <c r="Y117" i="4"/>
  <c r="X117" i="4"/>
  <c r="W117" i="4"/>
  <c r="V117" i="4"/>
  <c r="U117" i="4"/>
  <c r="T117" i="4"/>
  <c r="S117" i="4"/>
  <c r="R117" i="4"/>
  <c r="Q117" i="4"/>
  <c r="P117" i="4"/>
  <c r="O117" i="4"/>
  <c r="N117" i="4"/>
  <c r="M117" i="4"/>
  <c r="L117" i="4"/>
  <c r="K117" i="4"/>
  <c r="J117" i="4"/>
  <c r="I117" i="4"/>
  <c r="H117" i="4"/>
  <c r="G117" i="4"/>
  <c r="DV37" i="32" l="1"/>
  <c r="DW37" i="32" l="1"/>
  <c r="DV71" i="32"/>
  <c r="CM103" i="32"/>
  <c r="DW71" i="32" l="1"/>
  <c r="DX37" i="32"/>
  <c r="CI103" i="32"/>
  <c r="CP99" i="32"/>
  <c r="CO99" i="32"/>
  <c r="CN99" i="32"/>
  <c r="CM99" i="32"/>
  <c r="CQ100" i="32" s="1"/>
  <c r="CK99" i="32"/>
  <c r="CJ99" i="32"/>
  <c r="CI99" i="32"/>
  <c r="CG99" i="32"/>
  <c r="CG100" i="32" s="1"/>
  <c r="CF99" i="32"/>
  <c r="CE99" i="32"/>
  <c r="CD99" i="32"/>
  <c r="CC99" i="32"/>
  <c r="CB99" i="32"/>
  <c r="CA99" i="32"/>
  <c r="BZ99" i="32"/>
  <c r="CD100" i="32" s="1"/>
  <c r="BY99" i="32"/>
  <c r="BX99" i="32"/>
  <c r="BW99" i="32"/>
  <c r="BV99" i="32"/>
  <c r="BU99" i="32"/>
  <c r="BT99" i="32"/>
  <c r="BS99" i="32"/>
  <c r="BR99" i="32"/>
  <c r="BV100" i="32" s="1"/>
  <c r="BQ99" i="32"/>
  <c r="BP99" i="32"/>
  <c r="BO99" i="32"/>
  <c r="BN99" i="32"/>
  <c r="BM99" i="32"/>
  <c r="BL99" i="32"/>
  <c r="BI99" i="32"/>
  <c r="BH99" i="32"/>
  <c r="BE99" i="32"/>
  <c r="BD99" i="32"/>
  <c r="BC99" i="32"/>
  <c r="BA99" i="32"/>
  <c r="AW99" i="32"/>
  <c r="AV99" i="32"/>
  <c r="AZ100" i="32" s="1"/>
  <c r="AT99" i="32"/>
  <c r="AS99" i="32"/>
  <c r="AR99" i="32"/>
  <c r="AQ99" i="32"/>
  <c r="AO99" i="32"/>
  <c r="AN99" i="32"/>
  <c r="AM99" i="32"/>
  <c r="AK99" i="32"/>
  <c r="CP98" i="32"/>
  <c r="CO98" i="32"/>
  <c r="CN98" i="32"/>
  <c r="CM98" i="32"/>
  <c r="CL98" i="32"/>
  <c r="CK98" i="32"/>
  <c r="CJ98" i="32"/>
  <c r="CG98" i="32"/>
  <c r="CF98" i="32"/>
  <c r="CE98" i="32"/>
  <c r="CD98" i="32"/>
  <c r="CC98" i="32"/>
  <c r="CB98" i="32"/>
  <c r="CA98" i="32"/>
  <c r="BZ98" i="32"/>
  <c r="BY98" i="32"/>
  <c r="BX98" i="32"/>
  <c r="BW98" i="32"/>
  <c r="BV98" i="32"/>
  <c r="BU98" i="32"/>
  <c r="BT98" i="32"/>
  <c r="BS98" i="32"/>
  <c r="BR98" i="32"/>
  <c r="BQ98" i="32"/>
  <c r="BP98" i="32"/>
  <c r="BO98" i="32"/>
  <c r="BN98" i="32"/>
  <c r="BM98" i="32"/>
  <c r="BL98" i="32"/>
  <c r="BK98" i="32"/>
  <c r="BJ98" i="32"/>
  <c r="BI98" i="32"/>
  <c r="BE98" i="32"/>
  <c r="BD98" i="32"/>
  <c r="BC98" i="32"/>
  <c r="BB98" i="32"/>
  <c r="BA98" i="32"/>
  <c r="AW98" i="32"/>
  <c r="AT98" i="32"/>
  <c r="AS98" i="32"/>
  <c r="AR98" i="32"/>
  <c r="AQ98" i="32"/>
  <c r="AP98" i="32"/>
  <c r="AO98" i="32"/>
  <c r="AN98" i="32"/>
  <c r="AK98" i="32"/>
  <c r="AJ98" i="32"/>
  <c r="AI98" i="32"/>
  <c r="AH98" i="32"/>
  <c r="CP96" i="32"/>
  <c r="CO96" i="32"/>
  <c r="CN96" i="32"/>
  <c r="CM96" i="32"/>
  <c r="CQ97" i="32" s="1"/>
  <c r="CK96" i="32"/>
  <c r="CJ96" i="32"/>
  <c r="CI96" i="32"/>
  <c r="CG96" i="32"/>
  <c r="CF96" i="32"/>
  <c r="CE96" i="32"/>
  <c r="CD96" i="32"/>
  <c r="CC96" i="32"/>
  <c r="CB96" i="32"/>
  <c r="CA96" i="32"/>
  <c r="BZ96" i="32"/>
  <c r="BY96" i="32"/>
  <c r="BX96" i="32"/>
  <c r="BW96" i="32"/>
  <c r="CA97" i="32" s="1"/>
  <c r="BV96" i="32"/>
  <c r="BU96" i="32"/>
  <c r="BT96" i="32"/>
  <c r="BS96" i="32"/>
  <c r="BR96" i="32"/>
  <c r="BQ96" i="32"/>
  <c r="BP96" i="32"/>
  <c r="BO96" i="32"/>
  <c r="BS97" i="32" s="1"/>
  <c r="BN96" i="32"/>
  <c r="BM96" i="32"/>
  <c r="BL96" i="32"/>
  <c r="BI96" i="32"/>
  <c r="BH96" i="32"/>
  <c r="BE96" i="32"/>
  <c r="BI97" i="32" s="1"/>
  <c r="BD96" i="32"/>
  <c r="BH97" i="32" s="1"/>
  <c r="BC96" i="32"/>
  <c r="BA96" i="32"/>
  <c r="AW96" i="32"/>
  <c r="AV96" i="32"/>
  <c r="AZ97" i="32" s="1"/>
  <c r="AT96" i="32"/>
  <c r="AS96" i="32"/>
  <c r="AR96" i="32"/>
  <c r="AQ96" i="32"/>
  <c r="AO96" i="32"/>
  <c r="AN96" i="32"/>
  <c r="AM96" i="32"/>
  <c r="AK96" i="32"/>
  <c r="CP95" i="32"/>
  <c r="CO95" i="32"/>
  <c r="CN95" i="32"/>
  <c r="CM95" i="32"/>
  <c r="CL95" i="32"/>
  <c r="CK95" i="32"/>
  <c r="CJ95" i="32"/>
  <c r="CG95" i="32"/>
  <c r="CF95" i="32"/>
  <c r="CE95" i="32"/>
  <c r="CD95" i="32"/>
  <c r="CC95" i="32"/>
  <c r="CB95" i="32"/>
  <c r="CA95" i="32"/>
  <c r="BZ95" i="32"/>
  <c r="BY95" i="32"/>
  <c r="BX95" i="32"/>
  <c r="BW95" i="32"/>
  <c r="BV95" i="32"/>
  <c r="BU95" i="32"/>
  <c r="BT95" i="32"/>
  <c r="BS95" i="32"/>
  <c r="BR95" i="32"/>
  <c r="BQ95" i="32"/>
  <c r="BP95" i="32"/>
  <c r="BO95" i="32"/>
  <c r="BN95" i="32"/>
  <c r="BM95" i="32"/>
  <c r="BL95" i="32"/>
  <c r="BK95" i="32"/>
  <c r="BJ95" i="32"/>
  <c r="BI95" i="32"/>
  <c r="BE95" i="32"/>
  <c r="BD95" i="32"/>
  <c r="BC95" i="32"/>
  <c r="BB95" i="32"/>
  <c r="BA95" i="32"/>
  <c r="AW95" i="32"/>
  <c r="AT95" i="32"/>
  <c r="AS95" i="32"/>
  <c r="AR95" i="32"/>
  <c r="AQ95" i="32"/>
  <c r="AP95" i="32"/>
  <c r="AO95" i="32"/>
  <c r="AN95" i="32"/>
  <c r="AK95" i="32"/>
  <c r="AJ95" i="32"/>
  <c r="AI95" i="32"/>
  <c r="AH95" i="32"/>
  <c r="CU93" i="32"/>
  <c r="CU92" i="32"/>
  <c r="CT92" i="32"/>
  <c r="CS92" i="32"/>
  <c r="CR92" i="32"/>
  <c r="CP91" i="32"/>
  <c r="CQ92" i="32" s="1"/>
  <c r="CO91" i="32"/>
  <c r="CN91" i="32"/>
  <c r="CM91" i="32"/>
  <c r="CQ93" i="32" s="1"/>
  <c r="CL91" i="32"/>
  <c r="CK91" i="32"/>
  <c r="CJ91" i="32"/>
  <c r="CI91" i="32"/>
  <c r="CG91" i="32"/>
  <c r="CF91" i="32"/>
  <c r="CE91" i="32"/>
  <c r="CD91" i="32"/>
  <c r="CC91" i="32"/>
  <c r="CB91" i="32"/>
  <c r="CA91" i="32"/>
  <c r="BZ91" i="32"/>
  <c r="BY91" i="32"/>
  <c r="BX91" i="32"/>
  <c r="BW91" i="32"/>
  <c r="BV91" i="32"/>
  <c r="BU91" i="32"/>
  <c r="BT91" i="32"/>
  <c r="BS91" i="32"/>
  <c r="BR91" i="32"/>
  <c r="BQ91" i="32"/>
  <c r="BP91" i="32"/>
  <c r="BO91" i="32"/>
  <c r="BN91" i="32"/>
  <c r="BM91" i="32"/>
  <c r="BL91" i="32"/>
  <c r="BK91" i="32"/>
  <c r="BJ91" i="32"/>
  <c r="BI91" i="32"/>
  <c r="BH91" i="32"/>
  <c r="BE91" i="32"/>
  <c r="BD91" i="32"/>
  <c r="BC91" i="32"/>
  <c r="BB91" i="32"/>
  <c r="BA91" i="32"/>
  <c r="AY91" i="32"/>
  <c r="AZ92" i="32" s="1"/>
  <c r="AW91" i="32"/>
  <c r="AV91" i="32"/>
  <c r="AZ93" i="32" s="1"/>
  <c r="AT91" i="32"/>
  <c r="AS91" i="32"/>
  <c r="AR91" i="32"/>
  <c r="AQ91" i="32"/>
  <c r="AP91" i="32"/>
  <c r="AO91" i="32"/>
  <c r="AN91" i="32"/>
  <c r="AM91" i="32"/>
  <c r="AK91" i="32"/>
  <c r="AJ91" i="32"/>
  <c r="AI91" i="32"/>
  <c r="AH91" i="32"/>
  <c r="AG91" i="32"/>
  <c r="DS90" i="32"/>
  <c r="DQ90" i="32"/>
  <c r="DP90" i="32"/>
  <c r="DO90" i="32"/>
  <c r="DN90" i="32"/>
  <c r="DM90" i="32"/>
  <c r="DL90" i="32"/>
  <c r="DJ90" i="32"/>
  <c r="DG90" i="32"/>
  <c r="DH96" i="32" s="1"/>
  <c r="DE90" i="32"/>
  <c r="CH90" i="32"/>
  <c r="DR90" i="32" s="1"/>
  <c r="BG90" i="32"/>
  <c r="BF90" i="32"/>
  <c r="BF98" i="32" s="1"/>
  <c r="AX90" i="32"/>
  <c r="DI90" i="32" s="1"/>
  <c r="AU90" i="32"/>
  <c r="AU98" i="32" s="1"/>
  <c r="AL90" i="32"/>
  <c r="AL91" i="32" s="1"/>
  <c r="CP88" i="32"/>
  <c r="CO88" i="32"/>
  <c r="CN88" i="32"/>
  <c r="CM88" i="32"/>
  <c r="CQ89" i="32" s="1"/>
  <c r="CL88" i="32"/>
  <c r="CK88" i="32"/>
  <c r="CJ88" i="32"/>
  <c r="CI88" i="32"/>
  <c r="CH88" i="32"/>
  <c r="CG88" i="32"/>
  <c r="CK89" i="32" s="1"/>
  <c r="CF88" i="32"/>
  <c r="CJ89" i="32" s="1"/>
  <c r="CE88" i="32"/>
  <c r="CD88" i="32"/>
  <c r="CC88" i="32"/>
  <c r="CB88" i="32"/>
  <c r="CA88" i="32"/>
  <c r="BZ88" i="32"/>
  <c r="BY88" i="32"/>
  <c r="BX88" i="32"/>
  <c r="BW88" i="32"/>
  <c r="BV88" i="32"/>
  <c r="BU88" i="32"/>
  <c r="BT88" i="32"/>
  <c r="BS88" i="32"/>
  <c r="BR88" i="32"/>
  <c r="BQ88" i="32"/>
  <c r="BU89" i="32" s="1"/>
  <c r="BP88" i="32"/>
  <c r="BO88" i="32"/>
  <c r="BN88" i="32"/>
  <c r="BM88" i="32"/>
  <c r="BL88" i="32"/>
  <c r="BH88" i="32"/>
  <c r="BL89" i="32" s="1"/>
  <c r="BD88" i="32"/>
  <c r="BC88" i="32"/>
  <c r="BA88" i="32"/>
  <c r="AW88" i="32"/>
  <c r="AT88" i="32"/>
  <c r="AS88" i="32"/>
  <c r="AQ88" i="32"/>
  <c r="AP88" i="32"/>
  <c r="AO88" i="32"/>
  <c r="AN88" i="32"/>
  <c r="AM88" i="32"/>
  <c r="AL88" i="32"/>
  <c r="AK88" i="32"/>
  <c r="CP87" i="32"/>
  <c r="CO87" i="32"/>
  <c r="CN87" i="32"/>
  <c r="CM87" i="32"/>
  <c r="CL87" i="32"/>
  <c r="CK87" i="32"/>
  <c r="CJ87" i="32"/>
  <c r="CI87" i="32"/>
  <c r="CH87" i="32"/>
  <c r="CG87" i="32"/>
  <c r="CF87" i="32"/>
  <c r="CE87" i="32"/>
  <c r="CD87" i="32"/>
  <c r="CC87" i="32"/>
  <c r="CB87" i="32"/>
  <c r="CA87" i="32"/>
  <c r="BZ87" i="32"/>
  <c r="BY87" i="32"/>
  <c r="BX87" i="32"/>
  <c r="BW87" i="32"/>
  <c r="BV87" i="32"/>
  <c r="BU87" i="32"/>
  <c r="BT87" i="32"/>
  <c r="BS87" i="32"/>
  <c r="BR87" i="32"/>
  <c r="BQ87" i="32"/>
  <c r="BP87" i="32"/>
  <c r="BO87" i="32"/>
  <c r="BN87" i="32"/>
  <c r="BM87" i="32"/>
  <c r="BL87" i="32"/>
  <c r="BK87" i="32"/>
  <c r="BJ87" i="32"/>
  <c r="BI87" i="32"/>
  <c r="BD87" i="32"/>
  <c r="BC87" i="32"/>
  <c r="BB87" i="32"/>
  <c r="BA87" i="32"/>
  <c r="AW87" i="32"/>
  <c r="AT87" i="32"/>
  <c r="AQ87" i="32"/>
  <c r="AP87" i="32"/>
  <c r="AO87" i="32"/>
  <c r="AN87" i="32"/>
  <c r="AM87" i="32"/>
  <c r="AL87" i="32"/>
  <c r="AK87" i="32"/>
  <c r="AJ87" i="32"/>
  <c r="AI87" i="32"/>
  <c r="AH87" i="32"/>
  <c r="CP85" i="32"/>
  <c r="CO85" i="32"/>
  <c r="CO86" i="32" s="1"/>
  <c r="CN85" i="32"/>
  <c r="CM85" i="32"/>
  <c r="CQ86" i="32" s="1"/>
  <c r="CL85" i="32"/>
  <c r="CK85" i="32"/>
  <c r="CJ85" i="32"/>
  <c r="CI85" i="32"/>
  <c r="CH85" i="32"/>
  <c r="CG85" i="32"/>
  <c r="CK86" i="32" s="1"/>
  <c r="CF85" i="32"/>
  <c r="CE85" i="32"/>
  <c r="CD85" i="32"/>
  <c r="CC85" i="32"/>
  <c r="CB85" i="32"/>
  <c r="CA85" i="32"/>
  <c r="BZ85" i="32"/>
  <c r="BY85" i="32"/>
  <c r="CC86" i="32" s="1"/>
  <c r="BX85" i="32"/>
  <c r="BW85" i="32"/>
  <c r="BV85" i="32"/>
  <c r="BU85" i="32"/>
  <c r="BT85" i="32"/>
  <c r="BS85" i="32"/>
  <c r="BR85" i="32"/>
  <c r="BQ85" i="32"/>
  <c r="BU86" i="32" s="1"/>
  <c r="BP85" i="32"/>
  <c r="BO85" i="32"/>
  <c r="BN85" i="32"/>
  <c r="BM85" i="32"/>
  <c r="BL85" i="32"/>
  <c r="BH85" i="32"/>
  <c r="BD85" i="32"/>
  <c r="BD86" i="32" s="1"/>
  <c r="BC85" i="32"/>
  <c r="BA85" i="32"/>
  <c r="AW85" i="32"/>
  <c r="AT85" i="32"/>
  <c r="AS85" i="32"/>
  <c r="AW86" i="32" s="1"/>
  <c r="AQ85" i="32"/>
  <c r="AP85" i="32"/>
  <c r="AO85" i="32"/>
  <c r="AS86" i="32" s="1"/>
  <c r="AN85" i="32"/>
  <c r="AM85" i="32"/>
  <c r="AL85" i="32"/>
  <c r="AK85" i="32"/>
  <c r="CP84" i="32"/>
  <c r="CO84" i="32"/>
  <c r="CN84" i="32"/>
  <c r="CM84" i="32"/>
  <c r="CL84" i="32"/>
  <c r="CK84" i="32"/>
  <c r="CJ84" i="32"/>
  <c r="CI84" i="32"/>
  <c r="CH84" i="32"/>
  <c r="CG84" i="32"/>
  <c r="CF84" i="32"/>
  <c r="CE84" i="32"/>
  <c r="CD84" i="32"/>
  <c r="CC84" i="32"/>
  <c r="CB84" i="32"/>
  <c r="CA84" i="32"/>
  <c r="BZ84" i="32"/>
  <c r="BY84" i="32"/>
  <c r="BX84" i="32"/>
  <c r="BW84" i="32"/>
  <c r="BV84" i="32"/>
  <c r="BU84" i="32"/>
  <c r="BT84" i="32"/>
  <c r="BS84" i="32"/>
  <c r="BR84" i="32"/>
  <c r="BQ84" i="32"/>
  <c r="BP84" i="32"/>
  <c r="BO84" i="32"/>
  <c r="BN84" i="32"/>
  <c r="BM84" i="32"/>
  <c r="BL84" i="32"/>
  <c r="BK84" i="32"/>
  <c r="BJ84" i="32"/>
  <c r="BI84" i="32"/>
  <c r="BD84" i="32"/>
  <c r="BC84" i="32"/>
  <c r="BB84" i="32"/>
  <c r="BA84" i="32"/>
  <c r="AW84" i="32"/>
  <c r="AT84" i="32"/>
  <c r="AQ84" i="32"/>
  <c r="AP84" i="32"/>
  <c r="AO84" i="32"/>
  <c r="AN84" i="32"/>
  <c r="AM84" i="32"/>
  <c r="AL84" i="32"/>
  <c r="AK84" i="32"/>
  <c r="AJ84" i="32"/>
  <c r="AI84" i="32"/>
  <c r="AH84" i="32"/>
  <c r="CU82" i="32"/>
  <c r="CU81" i="32"/>
  <c r="CT81" i="32"/>
  <c r="CS81" i="32"/>
  <c r="CR81" i="32"/>
  <c r="CP80" i="32"/>
  <c r="CQ81" i="32" s="1"/>
  <c r="CO80" i="32"/>
  <c r="CS82" i="32" s="1"/>
  <c r="CN80" i="32"/>
  <c r="CM80" i="32"/>
  <c r="CQ82" i="32" s="1"/>
  <c r="CL80" i="32"/>
  <c r="CK80" i="32"/>
  <c r="CJ80" i="32"/>
  <c r="CI80" i="32"/>
  <c r="CH80" i="32"/>
  <c r="CG80" i="32"/>
  <c r="CF80" i="32"/>
  <c r="CE80" i="32"/>
  <c r="CD80" i="32"/>
  <c r="CC80" i="32"/>
  <c r="CB80" i="32"/>
  <c r="CA80" i="32"/>
  <c r="BZ80" i="32"/>
  <c r="BY80" i="32"/>
  <c r="BX80" i="32"/>
  <c r="BW80" i="32"/>
  <c r="BV80" i="32"/>
  <c r="BU80" i="32"/>
  <c r="BT80" i="32"/>
  <c r="BS80" i="32"/>
  <c r="BR80" i="32"/>
  <c r="BQ80" i="32"/>
  <c r="BP80" i="32"/>
  <c r="BO80" i="32"/>
  <c r="BN80" i="32"/>
  <c r="BM80" i="32"/>
  <c r="BL80" i="32"/>
  <c r="BK80" i="32"/>
  <c r="BJ80" i="32"/>
  <c r="BI80" i="32"/>
  <c r="BJ81" i="32" s="1"/>
  <c r="BH80" i="32"/>
  <c r="BI81" i="32" s="1"/>
  <c r="BD80" i="32"/>
  <c r="BC80" i="32"/>
  <c r="BB80" i="32"/>
  <c r="BA80" i="32"/>
  <c r="AY80" i="32"/>
  <c r="AZ81" i="32" s="1"/>
  <c r="AW80" i="32"/>
  <c r="AV80" i="32"/>
  <c r="AZ82" i="32" s="1"/>
  <c r="AT80" i="32"/>
  <c r="AS80" i="32"/>
  <c r="AQ80" i="32"/>
  <c r="AP80" i="32"/>
  <c r="AO80" i="32"/>
  <c r="AN80" i="32"/>
  <c r="AM80" i="32"/>
  <c r="AL80" i="32"/>
  <c r="AK80" i="32"/>
  <c r="AJ80" i="32"/>
  <c r="AI80" i="32"/>
  <c r="AH80" i="32"/>
  <c r="AG80" i="32"/>
  <c r="DS79" i="32"/>
  <c r="DR79" i="32"/>
  <c r="DQ79" i="32"/>
  <c r="DP79" i="32"/>
  <c r="DO79" i="32"/>
  <c r="DN79" i="32"/>
  <c r="DO85" i="32" s="1"/>
  <c r="DM79" i="32"/>
  <c r="DL79" i="32"/>
  <c r="DJ79" i="32"/>
  <c r="DG79" i="32"/>
  <c r="DF79" i="32"/>
  <c r="DE79" i="32"/>
  <c r="BG79" i="32"/>
  <c r="BH84" i="32" s="1"/>
  <c r="BF79" i="32"/>
  <c r="BJ85" i="32" s="1"/>
  <c r="BE79" i="32"/>
  <c r="AX79" i="32"/>
  <c r="DI79" i="32" s="1"/>
  <c r="AR79" i="32"/>
  <c r="CP64" i="32"/>
  <c r="CO64" i="32"/>
  <c r="CN64" i="32"/>
  <c r="CM64" i="32"/>
  <c r="CL64" i="32"/>
  <c r="CK64" i="32"/>
  <c r="CJ64" i="32"/>
  <c r="CI64" i="32"/>
  <c r="CG64" i="32"/>
  <c r="CF64" i="32"/>
  <c r="CE64" i="32"/>
  <c r="CD64" i="32"/>
  <c r="CC64" i="32"/>
  <c r="CB64" i="32"/>
  <c r="CA64" i="32"/>
  <c r="BZ64" i="32"/>
  <c r="BY64" i="32"/>
  <c r="BX64" i="32"/>
  <c r="BW64" i="32"/>
  <c r="BV64" i="32"/>
  <c r="BU64" i="32"/>
  <c r="BT64" i="32"/>
  <c r="BS64" i="32"/>
  <c r="BP64" i="32"/>
  <c r="BO64" i="32"/>
  <c r="BM64" i="32"/>
  <c r="BL64" i="32"/>
  <c r="BK64" i="32"/>
  <c r="BJ64" i="32"/>
  <c r="BG64" i="32"/>
  <c r="BF64" i="32"/>
  <c r="BE64" i="32"/>
  <c r="BD64" i="32"/>
  <c r="BC64" i="32"/>
  <c r="BB64" i="32"/>
  <c r="BA64" i="32"/>
  <c r="AZ64" i="32"/>
  <c r="AY64" i="32"/>
  <c r="AX64" i="32"/>
  <c r="AW64" i="32"/>
  <c r="AV64" i="32"/>
  <c r="AU64" i="32"/>
  <c r="AT64" i="32"/>
  <c r="AS64" i="32"/>
  <c r="AR64" i="32"/>
  <c r="AQ64" i="32"/>
  <c r="AP64" i="32"/>
  <c r="AO64" i="32"/>
  <c r="AN64" i="32"/>
  <c r="AM64" i="32"/>
  <c r="AL64" i="32"/>
  <c r="AK64" i="32"/>
  <c r="AJ64" i="32"/>
  <c r="AI64" i="32"/>
  <c r="AH64" i="32"/>
  <c r="AG64" i="32"/>
  <c r="AF64" i="32"/>
  <c r="CP63" i="32"/>
  <c r="CO63" i="32"/>
  <c r="CN63" i="32"/>
  <c r="CM63" i="32"/>
  <c r="CL63" i="32"/>
  <c r="CK63" i="32"/>
  <c r="CJ63" i="32"/>
  <c r="CI63" i="32"/>
  <c r="CG63" i="32"/>
  <c r="CF63" i="32"/>
  <c r="CE63" i="32"/>
  <c r="CD63" i="32"/>
  <c r="CC63" i="32"/>
  <c r="CB63" i="32"/>
  <c r="CA63" i="32"/>
  <c r="BZ63" i="32"/>
  <c r="BY63" i="32"/>
  <c r="BX63" i="32"/>
  <c r="BW63" i="32"/>
  <c r="BV63" i="32"/>
  <c r="BU63" i="32"/>
  <c r="BT63" i="32"/>
  <c r="BS63" i="32"/>
  <c r="BP63" i="32"/>
  <c r="BO63" i="32"/>
  <c r="BM63" i="32"/>
  <c r="BL63" i="32"/>
  <c r="BK63" i="32"/>
  <c r="BJ63" i="32"/>
  <c r="BG63" i="32"/>
  <c r="BF63" i="32"/>
  <c r="BE63" i="32"/>
  <c r="BD63" i="32"/>
  <c r="BC63" i="32"/>
  <c r="BB63" i="32"/>
  <c r="BA63" i="32"/>
  <c r="AZ63" i="32"/>
  <c r="AY63" i="32"/>
  <c r="AX63" i="32"/>
  <c r="AW63" i="32"/>
  <c r="AV63" i="32"/>
  <c r="AU63" i="32"/>
  <c r="AT63" i="32"/>
  <c r="AS63" i="32"/>
  <c r="AR63" i="32"/>
  <c r="AQ63" i="32"/>
  <c r="AP63" i="32"/>
  <c r="AO63" i="32"/>
  <c r="AN63" i="32"/>
  <c r="AM63" i="32"/>
  <c r="AL63" i="32"/>
  <c r="AK63" i="32"/>
  <c r="AJ63" i="32"/>
  <c r="AI63" i="32"/>
  <c r="AH63" i="32"/>
  <c r="AG63" i="32"/>
  <c r="AF63" i="32"/>
  <c r="DS62" i="32"/>
  <c r="DQ62" i="32"/>
  <c r="DP62" i="32"/>
  <c r="DO62" i="32"/>
  <c r="DK62" i="32"/>
  <c r="DJ62" i="32"/>
  <c r="DI62" i="32"/>
  <c r="DH62" i="32"/>
  <c r="DG62" i="32"/>
  <c r="DF62" i="32"/>
  <c r="DE62" i="32"/>
  <c r="CH62" i="32"/>
  <c r="BR62" i="32"/>
  <c r="BQ62" i="32"/>
  <c r="BQ63" i="32" s="1"/>
  <c r="BN62" i="32"/>
  <c r="BN64" i="32" s="1"/>
  <c r="BI62" i="32"/>
  <c r="BI63" i="32" s="1"/>
  <c r="BH62" i="32"/>
  <c r="BH63" i="32" s="1"/>
  <c r="CP58" i="32"/>
  <c r="CO58" i="32"/>
  <c r="CN58" i="32"/>
  <c r="CM58" i="32"/>
  <c r="CL58" i="32"/>
  <c r="CK58" i="32"/>
  <c r="CJ58" i="32"/>
  <c r="CI58" i="32"/>
  <c r="CI60" i="32" s="1"/>
  <c r="CH58" i="32"/>
  <c r="CG58" i="32"/>
  <c r="CF58" i="32"/>
  <c r="CE58" i="32"/>
  <c r="CD58" i="32"/>
  <c r="CC58" i="32"/>
  <c r="CB58" i="32"/>
  <c r="CA58" i="32"/>
  <c r="CA60" i="32" s="1"/>
  <c r="BZ58" i="32"/>
  <c r="BY58" i="32"/>
  <c r="BX58" i="32"/>
  <c r="BW58" i="32"/>
  <c r="BV58" i="32"/>
  <c r="BU58" i="32"/>
  <c r="BT58" i="32"/>
  <c r="BS58" i="32"/>
  <c r="BR58" i="32"/>
  <c r="BQ58" i="32"/>
  <c r="BP58" i="32"/>
  <c r="BO58" i="32"/>
  <c r="BN58" i="32"/>
  <c r="BM58" i="32"/>
  <c r="BL58" i="32"/>
  <c r="BK58" i="32"/>
  <c r="BJ58" i="32"/>
  <c r="BI58" i="32"/>
  <c r="BH58" i="32"/>
  <c r="BG58" i="32"/>
  <c r="BF58" i="32"/>
  <c r="BE58" i="32"/>
  <c r="BD58" i="32"/>
  <c r="BC58" i="32"/>
  <c r="BB58" i="32"/>
  <c r="BA58" i="32"/>
  <c r="AZ58" i="32"/>
  <c r="AY58" i="32"/>
  <c r="AX58" i="32"/>
  <c r="AW58" i="32"/>
  <c r="AV58" i="32"/>
  <c r="AU58" i="32"/>
  <c r="AT58" i="32"/>
  <c r="AS58" i="32"/>
  <c r="AR58" i="32"/>
  <c r="AQ58" i="32"/>
  <c r="AP58" i="32"/>
  <c r="AO58" i="32"/>
  <c r="AN58" i="32"/>
  <c r="AM58" i="32"/>
  <c r="AL58" i="32"/>
  <c r="AK58" i="32"/>
  <c r="AJ58" i="32"/>
  <c r="CP57" i="32"/>
  <c r="CO57" i="32"/>
  <c r="CN57" i="32"/>
  <c r="CM57" i="32"/>
  <c r="CL57" i="32"/>
  <c r="CK57" i="32"/>
  <c r="CJ57" i="32"/>
  <c r="CI57" i="32"/>
  <c r="CH57" i="32"/>
  <c r="CG57" i="32"/>
  <c r="CF57" i="32"/>
  <c r="CE57" i="32"/>
  <c r="CD57" i="32"/>
  <c r="CC57" i="32"/>
  <c r="CB57" i="32"/>
  <c r="CA57" i="32"/>
  <c r="BZ57" i="32"/>
  <c r="BY57" i="32"/>
  <c r="BX57" i="32"/>
  <c r="BW57" i="32"/>
  <c r="BV57" i="32"/>
  <c r="BU57" i="32"/>
  <c r="BT57" i="32"/>
  <c r="BS57" i="32"/>
  <c r="BR57" i="32"/>
  <c r="BQ57" i="32"/>
  <c r="BP57" i="32"/>
  <c r="BO57" i="32"/>
  <c r="BN57" i="32"/>
  <c r="BM57" i="32"/>
  <c r="BL57" i="32"/>
  <c r="BK57" i="32"/>
  <c r="BJ57" i="32"/>
  <c r="BI57" i="32"/>
  <c r="BH57" i="32"/>
  <c r="BG57" i="32"/>
  <c r="BF57" i="32"/>
  <c r="BE57" i="32"/>
  <c r="BD57" i="32"/>
  <c r="BC57" i="32"/>
  <c r="BB57" i="32"/>
  <c r="BA57" i="32"/>
  <c r="AZ57" i="32"/>
  <c r="AY57" i="32"/>
  <c r="AX57" i="32"/>
  <c r="AW57" i="32"/>
  <c r="AV57" i="32"/>
  <c r="AU57" i="32"/>
  <c r="AT57" i="32"/>
  <c r="AS57" i="32"/>
  <c r="AR57" i="32"/>
  <c r="AQ57" i="32"/>
  <c r="AP57" i="32"/>
  <c r="AO57" i="32"/>
  <c r="AN57" i="32"/>
  <c r="AM57" i="32"/>
  <c r="AL57" i="32"/>
  <c r="AK57" i="32"/>
  <c r="AJ57" i="32"/>
  <c r="AI57" i="32"/>
  <c r="AH57" i="32"/>
  <c r="AG57" i="32"/>
  <c r="CO55" i="32"/>
  <c r="CN55" i="32"/>
  <c r="CM55" i="32"/>
  <c r="CQ56" i="32" s="1"/>
  <c r="CL55" i="32"/>
  <c r="CK55" i="32"/>
  <c r="CJ55" i="32"/>
  <c r="CI55" i="32"/>
  <c r="CH55" i="32"/>
  <c r="CG55" i="32"/>
  <c r="CK56" i="32" s="1"/>
  <c r="CF55" i="32"/>
  <c r="CE55" i="32"/>
  <c r="CD55" i="32"/>
  <c r="CC55" i="32"/>
  <c r="CB55" i="32"/>
  <c r="CA55" i="32"/>
  <c r="BZ55" i="32"/>
  <c r="BY55" i="32"/>
  <c r="CC56" i="32" s="1"/>
  <c r="BX55" i="32"/>
  <c r="BW55" i="32"/>
  <c r="BV55" i="32"/>
  <c r="BU55" i="32"/>
  <c r="BT55" i="32"/>
  <c r="BS55" i="32"/>
  <c r="BR55" i="32"/>
  <c r="BQ55" i="32"/>
  <c r="BP55" i="32"/>
  <c r="BO55" i="32"/>
  <c r="BN55" i="32"/>
  <c r="BM55" i="32"/>
  <c r="BL55" i="32"/>
  <c r="BK55" i="32"/>
  <c r="BJ55" i="32"/>
  <c r="BI55" i="32"/>
  <c r="BI56" i="32" s="1"/>
  <c r="BH55" i="32"/>
  <c r="BG55" i="32"/>
  <c r="BF55" i="32"/>
  <c r="BE55" i="32"/>
  <c r="BD55" i="32"/>
  <c r="BC55" i="32"/>
  <c r="BB55" i="32"/>
  <c r="BA55" i="32"/>
  <c r="AZ55" i="32"/>
  <c r="AY55" i="32"/>
  <c r="AX55" i="32"/>
  <c r="AW55" i="32"/>
  <c r="AV55" i="32"/>
  <c r="AU55" i="32"/>
  <c r="AT55" i="32"/>
  <c r="AS55" i="32"/>
  <c r="AW56" i="32" s="1"/>
  <c r="AR55" i="32"/>
  <c r="AQ55" i="32"/>
  <c r="AP55" i="32"/>
  <c r="AO55" i="32"/>
  <c r="AN55" i="32"/>
  <c r="AM55" i="32"/>
  <c r="AL55" i="32"/>
  <c r="AK55" i="32"/>
  <c r="AO56" i="32" s="1"/>
  <c r="AJ55" i="32"/>
  <c r="CP54" i="32"/>
  <c r="CO54" i="32"/>
  <c r="CN54" i="32"/>
  <c r="CM54" i="32"/>
  <c r="CL54" i="32"/>
  <c r="CK54" i="32"/>
  <c r="CJ54" i="32"/>
  <c r="CI54" i="32"/>
  <c r="CH54" i="32"/>
  <c r="CG54" i="32"/>
  <c r="CF54" i="32"/>
  <c r="CE54" i="32"/>
  <c r="CD54" i="32"/>
  <c r="CC54" i="32"/>
  <c r="CB54" i="32"/>
  <c r="CA54" i="32"/>
  <c r="BZ54" i="32"/>
  <c r="BY54" i="32"/>
  <c r="BX54" i="32"/>
  <c r="BW54" i="32"/>
  <c r="BV54" i="32"/>
  <c r="BU54" i="32"/>
  <c r="BT54" i="32"/>
  <c r="BS54" i="32"/>
  <c r="BR54" i="32"/>
  <c r="BQ54" i="32"/>
  <c r="BP54" i="32"/>
  <c r="BO54" i="32"/>
  <c r="BN54" i="32"/>
  <c r="BM54" i="32"/>
  <c r="BL54" i="32"/>
  <c r="BK54" i="32"/>
  <c r="BJ54" i="32"/>
  <c r="BI54" i="32"/>
  <c r="BH54" i="32"/>
  <c r="BG54" i="32"/>
  <c r="BF54" i="32"/>
  <c r="BE54" i="32"/>
  <c r="BD54" i="32"/>
  <c r="BC54" i="32"/>
  <c r="BB54" i="32"/>
  <c r="BA54" i="32"/>
  <c r="AZ54" i="32"/>
  <c r="AY54" i="32"/>
  <c r="AX54" i="32"/>
  <c r="AW54" i="32"/>
  <c r="AV54" i="32"/>
  <c r="AU54" i="32"/>
  <c r="AT54" i="32"/>
  <c r="AS54" i="32"/>
  <c r="AR54" i="32"/>
  <c r="AQ54" i="32"/>
  <c r="AP54" i="32"/>
  <c r="AO54" i="32"/>
  <c r="AN54" i="32"/>
  <c r="AM54" i="32"/>
  <c r="AL54" i="32"/>
  <c r="AK54" i="32"/>
  <c r="AJ54" i="32"/>
  <c r="AI54" i="32"/>
  <c r="AH54" i="32"/>
  <c r="AG54" i="32"/>
  <c r="DS53" i="32"/>
  <c r="DR53" i="32"/>
  <c r="DQ53" i="32"/>
  <c r="DQ91" i="32" s="1"/>
  <c r="DP53" i="32"/>
  <c r="DO53" i="32"/>
  <c r="DO58" i="32" s="1"/>
  <c r="DN53" i="32"/>
  <c r="DM53" i="32"/>
  <c r="DL53" i="32"/>
  <c r="DK53" i="32"/>
  <c r="DJ53" i="32"/>
  <c r="DI53" i="32"/>
  <c r="DI55" i="32" s="1"/>
  <c r="DH53" i="32"/>
  <c r="DG53" i="32"/>
  <c r="DG55" i="32" s="1"/>
  <c r="DF53" i="32"/>
  <c r="DE53" i="32"/>
  <c r="CP49" i="32"/>
  <c r="CO49" i="32"/>
  <c r="CN49" i="32"/>
  <c r="CM49" i="32"/>
  <c r="CL49" i="32"/>
  <c r="CK49" i="32"/>
  <c r="CJ49" i="32"/>
  <c r="CI49" i="32"/>
  <c r="CI51" i="32" s="1"/>
  <c r="CH49" i="32"/>
  <c r="CG49" i="32"/>
  <c r="CF49" i="32"/>
  <c r="CE49" i="32"/>
  <c r="CD49" i="32"/>
  <c r="CC49" i="32"/>
  <c r="CB49" i="32"/>
  <c r="CA49" i="32"/>
  <c r="CA51" i="32" s="1"/>
  <c r="BZ49" i="32"/>
  <c r="BY49" i="32"/>
  <c r="BX49" i="32"/>
  <c r="BW49" i="32"/>
  <c r="BV49" i="32"/>
  <c r="BU49" i="32"/>
  <c r="BT49" i="32"/>
  <c r="BS49" i="32"/>
  <c r="BR49" i="32"/>
  <c r="BQ49" i="32"/>
  <c r="BP49" i="32"/>
  <c r="BO49" i="32"/>
  <c r="BN49" i="32"/>
  <c r="BM49" i="32"/>
  <c r="BL49" i="32"/>
  <c r="BK49" i="32"/>
  <c r="BJ49" i="32"/>
  <c r="BI49" i="32"/>
  <c r="BH49" i="32"/>
  <c r="BG49" i="32"/>
  <c r="BF49" i="32"/>
  <c r="BE49" i="32"/>
  <c r="BD49" i="32"/>
  <c r="BC49" i="32"/>
  <c r="BB49" i="32"/>
  <c r="BA49" i="32"/>
  <c r="AZ49" i="32"/>
  <c r="AY49" i="32"/>
  <c r="AX49" i="32"/>
  <c r="AW49" i="32"/>
  <c r="AV49" i="32"/>
  <c r="AU49" i="32"/>
  <c r="AT49" i="32"/>
  <c r="AS49" i="32"/>
  <c r="AR49" i="32"/>
  <c r="AQ49" i="32"/>
  <c r="AP49" i="32"/>
  <c r="AO49" i="32"/>
  <c r="AN49" i="32"/>
  <c r="AM49" i="32"/>
  <c r="AL49" i="32"/>
  <c r="AK49" i="32"/>
  <c r="AJ49" i="32"/>
  <c r="CP48" i="32"/>
  <c r="CO48" i="32"/>
  <c r="CN48" i="32"/>
  <c r="CM48" i="32"/>
  <c r="CL48" i="32"/>
  <c r="CK48" i="32"/>
  <c r="CJ48" i="32"/>
  <c r="CI48" i="32"/>
  <c r="CH48" i="32"/>
  <c r="CG48" i="32"/>
  <c r="CF48" i="32"/>
  <c r="CE48" i="32"/>
  <c r="CD48" i="32"/>
  <c r="CC48" i="32"/>
  <c r="CB48" i="32"/>
  <c r="CA48" i="32"/>
  <c r="BZ48" i="32"/>
  <c r="BY48" i="32"/>
  <c r="BX48" i="32"/>
  <c r="BW48" i="32"/>
  <c r="BV48" i="32"/>
  <c r="BU48" i="32"/>
  <c r="BT48" i="32"/>
  <c r="BS48" i="32"/>
  <c r="BR48" i="32"/>
  <c r="BQ48" i="32"/>
  <c r="BP48" i="32"/>
  <c r="BO48" i="32"/>
  <c r="BN48" i="32"/>
  <c r="BM48" i="32"/>
  <c r="BL48" i="32"/>
  <c r="BK48" i="32"/>
  <c r="BJ48" i="32"/>
  <c r="BI48" i="32"/>
  <c r="BH48" i="32"/>
  <c r="BG48" i="32"/>
  <c r="BF48" i="32"/>
  <c r="BE48" i="32"/>
  <c r="BD48" i="32"/>
  <c r="BC48" i="32"/>
  <c r="BB48" i="32"/>
  <c r="BA48" i="32"/>
  <c r="AZ48" i="32"/>
  <c r="AY48" i="32"/>
  <c r="AX48" i="32"/>
  <c r="AW48" i="32"/>
  <c r="AV48" i="32"/>
  <c r="AU48" i="32"/>
  <c r="AT48" i="32"/>
  <c r="AS48" i="32"/>
  <c r="AR48" i="32"/>
  <c r="AQ48" i="32"/>
  <c r="AP48" i="32"/>
  <c r="AO48" i="32"/>
  <c r="AN48" i="32"/>
  <c r="AM48" i="32"/>
  <c r="AL48" i="32"/>
  <c r="AK48" i="32"/>
  <c r="AJ48" i="32"/>
  <c r="AI48" i="32"/>
  <c r="AH48" i="32"/>
  <c r="AG48" i="32"/>
  <c r="CP46" i="32"/>
  <c r="CO46" i="32"/>
  <c r="CO47" i="32" s="1"/>
  <c r="CN46" i="32"/>
  <c r="CM46" i="32"/>
  <c r="CQ47" i="32" s="1"/>
  <c r="CL46" i="32"/>
  <c r="CK46" i="32"/>
  <c r="CJ46" i="32"/>
  <c r="CI46" i="32"/>
  <c r="CH46" i="32"/>
  <c r="CG46" i="32"/>
  <c r="CF46" i="32"/>
  <c r="CE46" i="32"/>
  <c r="CD46" i="32"/>
  <c r="CC46" i="32"/>
  <c r="CB46" i="32"/>
  <c r="CA46" i="32"/>
  <c r="BZ46" i="32"/>
  <c r="BY46" i="32"/>
  <c r="CC47" i="32" s="1"/>
  <c r="BX46" i="32"/>
  <c r="BW46" i="32"/>
  <c r="BV46" i="32"/>
  <c r="BU46" i="32"/>
  <c r="BT46" i="32"/>
  <c r="BS46" i="32"/>
  <c r="BR46" i="32"/>
  <c r="BQ46" i="32"/>
  <c r="BP46" i="32"/>
  <c r="BO46" i="32"/>
  <c r="BN46" i="32"/>
  <c r="BM46" i="32"/>
  <c r="BL46" i="32"/>
  <c r="BK46" i="32"/>
  <c r="BJ46" i="32"/>
  <c r="BN47" i="32" s="1"/>
  <c r="BI46" i="32"/>
  <c r="BH46" i="32"/>
  <c r="BG46" i="32"/>
  <c r="BF46" i="32"/>
  <c r="BE46" i="32"/>
  <c r="BD46" i="32"/>
  <c r="BC46" i="32"/>
  <c r="BB46" i="32"/>
  <c r="BA46" i="32"/>
  <c r="BE47" i="32" s="1"/>
  <c r="AZ46" i="32"/>
  <c r="AY46" i="32"/>
  <c r="AX46" i="32"/>
  <c r="AW46" i="32"/>
  <c r="AV46" i="32"/>
  <c r="AU46" i="32"/>
  <c r="AT46" i="32"/>
  <c r="AS46" i="32"/>
  <c r="AR46" i="32"/>
  <c r="AQ46" i="32"/>
  <c r="AP46" i="32"/>
  <c r="AO46" i="32"/>
  <c r="AN46" i="32"/>
  <c r="AM46" i="32"/>
  <c r="AL46" i="32"/>
  <c r="AK46" i="32"/>
  <c r="AJ46" i="32"/>
  <c r="CP45" i="32"/>
  <c r="CO45" i="32"/>
  <c r="CN45" i="32"/>
  <c r="CM45" i="32"/>
  <c r="CL45" i="32"/>
  <c r="CK45" i="32"/>
  <c r="CJ45" i="32"/>
  <c r="CI45" i="32"/>
  <c r="CH45" i="32"/>
  <c r="CG45" i="32"/>
  <c r="CF45" i="32"/>
  <c r="CE45" i="32"/>
  <c r="CD45" i="32"/>
  <c r="CC45" i="32"/>
  <c r="CB45" i="32"/>
  <c r="CA45" i="32"/>
  <c r="BZ45" i="32"/>
  <c r="BY45" i="32"/>
  <c r="BX45" i="32"/>
  <c r="BW45" i="32"/>
  <c r="BV45" i="32"/>
  <c r="BU45" i="32"/>
  <c r="BT45" i="32"/>
  <c r="BS45" i="32"/>
  <c r="BR45" i="32"/>
  <c r="BQ45" i="32"/>
  <c r="BP45" i="32"/>
  <c r="BO45" i="32"/>
  <c r="BN45" i="32"/>
  <c r="BM45" i="32"/>
  <c r="BL45" i="32"/>
  <c r="BK45" i="32"/>
  <c r="BJ45" i="32"/>
  <c r="BI45" i="32"/>
  <c r="BH45" i="32"/>
  <c r="BG45" i="32"/>
  <c r="BF45" i="32"/>
  <c r="BE45" i="32"/>
  <c r="BD45" i="32"/>
  <c r="BC45" i="32"/>
  <c r="BB45" i="32"/>
  <c r="BA45" i="32"/>
  <c r="AZ45" i="32"/>
  <c r="AY45" i="32"/>
  <c r="AX45" i="32"/>
  <c r="AW45" i="32"/>
  <c r="AV45" i="32"/>
  <c r="AU45" i="32"/>
  <c r="AT45" i="32"/>
  <c r="AS45" i="32"/>
  <c r="AR45" i="32"/>
  <c r="AQ45" i="32"/>
  <c r="AP45" i="32"/>
  <c r="AO45" i="32"/>
  <c r="AN45" i="32"/>
  <c r="AM45" i="32"/>
  <c r="AL45" i="32"/>
  <c r="AK45" i="32"/>
  <c r="AJ45" i="32"/>
  <c r="AI45" i="32"/>
  <c r="AH45" i="32"/>
  <c r="AG45" i="32"/>
  <c r="DS44" i="32"/>
  <c r="DR44" i="32"/>
  <c r="DQ44" i="32"/>
  <c r="DP44" i="32"/>
  <c r="DO44" i="32"/>
  <c r="DN44" i="32"/>
  <c r="DM44" i="32"/>
  <c r="DL44" i="32"/>
  <c r="DK44" i="32"/>
  <c r="DJ44" i="32"/>
  <c r="DI44" i="32"/>
  <c r="DH44" i="32"/>
  <c r="DG44" i="32"/>
  <c r="DF44" i="32"/>
  <c r="DE44" i="32"/>
  <c r="DT40" i="32"/>
  <c r="DW27" i="32"/>
  <c r="DV27" i="32"/>
  <c r="CP27" i="32"/>
  <c r="CQ28" i="32" s="1"/>
  <c r="CO27" i="32"/>
  <c r="CN27" i="32"/>
  <c r="CM27" i="32"/>
  <c r="CQ29" i="32" s="1"/>
  <c r="CL27" i="32"/>
  <c r="CK27" i="32"/>
  <c r="CJ27" i="32"/>
  <c r="CI27" i="32"/>
  <c r="CH27" i="32"/>
  <c r="CG27" i="32"/>
  <c r="CF27" i="32"/>
  <c r="CE27" i="32"/>
  <c r="CD27" i="32"/>
  <c r="CC27" i="32"/>
  <c r="CB27" i="32"/>
  <c r="CA27" i="32"/>
  <c r="BZ27" i="32"/>
  <c r="BY27" i="32"/>
  <c r="BY28" i="32" s="1"/>
  <c r="BX27" i="32"/>
  <c r="BW27" i="32"/>
  <c r="BV27" i="32"/>
  <c r="BU27" i="32"/>
  <c r="BT27" i="32"/>
  <c r="BS27" i="32"/>
  <c r="BR27" i="32"/>
  <c r="BQ27" i="32"/>
  <c r="BP27" i="32"/>
  <c r="BO27" i="32"/>
  <c r="BN27" i="32"/>
  <c r="BM27" i="32"/>
  <c r="BL27" i="32"/>
  <c r="BK27" i="32"/>
  <c r="BJ27" i="32"/>
  <c r="BI27" i="32"/>
  <c r="BH27" i="32"/>
  <c r="BG27" i="32"/>
  <c r="BF27" i="32"/>
  <c r="BE27" i="32"/>
  <c r="BD27" i="32"/>
  <c r="BC27" i="32"/>
  <c r="BB27" i="32"/>
  <c r="BA27" i="32"/>
  <c r="BA28" i="32" s="1"/>
  <c r="AZ27" i="32"/>
  <c r="AY27" i="32"/>
  <c r="AX27" i="32"/>
  <c r="AW27" i="32"/>
  <c r="AV27" i="32"/>
  <c r="AU27" i="32"/>
  <c r="AT27" i="32"/>
  <c r="AS27" i="32"/>
  <c r="AR27" i="32"/>
  <c r="AQ27" i="32"/>
  <c r="AP27" i="32"/>
  <c r="AO27" i="32"/>
  <c r="AN27" i="32"/>
  <c r="AM27" i="32"/>
  <c r="AL27" i="32"/>
  <c r="AK27" i="32"/>
  <c r="AK28" i="32" s="1"/>
  <c r="AJ27" i="32"/>
  <c r="AI27" i="32"/>
  <c r="AH27" i="32"/>
  <c r="AG27" i="32"/>
  <c r="AF27" i="32"/>
  <c r="AE27" i="32"/>
  <c r="AD27" i="32"/>
  <c r="AC27" i="32"/>
  <c r="AB27" i="32"/>
  <c r="AA27" i="32"/>
  <c r="Z27" i="32"/>
  <c r="Y27" i="32"/>
  <c r="X27" i="32"/>
  <c r="DZ26" i="32"/>
  <c r="DY26" i="32"/>
  <c r="DX26" i="32"/>
  <c r="DW26" i="32"/>
  <c r="CU26" i="32"/>
  <c r="CT26" i="32"/>
  <c r="CS26" i="32"/>
  <c r="CR26" i="32"/>
  <c r="CP26" i="32"/>
  <c r="CO26" i="32"/>
  <c r="CN26" i="32"/>
  <c r="CM26" i="32"/>
  <c r="CL26" i="32"/>
  <c r="CK26" i="32"/>
  <c r="CJ26" i="32"/>
  <c r="CI26" i="32"/>
  <c r="CH26" i="32"/>
  <c r="CG26" i="32"/>
  <c r="CF26" i="32"/>
  <c r="CE26" i="32"/>
  <c r="CD26" i="32"/>
  <c r="CC26" i="32"/>
  <c r="CB26" i="32"/>
  <c r="CA26" i="32"/>
  <c r="BZ26" i="32"/>
  <c r="BY26" i="32"/>
  <c r="BX26" i="32"/>
  <c r="BW26" i="32"/>
  <c r="BV26" i="32"/>
  <c r="BU26" i="32"/>
  <c r="BT26" i="32"/>
  <c r="BS26" i="32"/>
  <c r="BR26" i="32"/>
  <c r="BQ26" i="32"/>
  <c r="BP26" i="32"/>
  <c r="BO26" i="32"/>
  <c r="BN26" i="32"/>
  <c r="BM26" i="32"/>
  <c r="BL26" i="32"/>
  <c r="BK26" i="32"/>
  <c r="BJ26" i="32"/>
  <c r="BI26" i="32"/>
  <c r="BH26" i="32"/>
  <c r="BG26" i="32"/>
  <c r="BF26" i="32"/>
  <c r="BE26" i="32"/>
  <c r="BD26" i="32"/>
  <c r="BC26" i="32"/>
  <c r="BB26" i="32"/>
  <c r="BA26" i="32"/>
  <c r="AZ26" i="32"/>
  <c r="AY26" i="32"/>
  <c r="AX26" i="32"/>
  <c r="AW26" i="32"/>
  <c r="AV26" i="32"/>
  <c r="AU26" i="32"/>
  <c r="AT26" i="32"/>
  <c r="AS26" i="32"/>
  <c r="AR26" i="32"/>
  <c r="AQ26" i="32"/>
  <c r="AP26" i="32"/>
  <c r="AO26" i="32"/>
  <c r="AN26" i="32"/>
  <c r="AM26" i="32"/>
  <c r="AL26" i="32"/>
  <c r="AK26" i="32"/>
  <c r="AJ26" i="32"/>
  <c r="AI26" i="32"/>
  <c r="AH26" i="32"/>
  <c r="AG26" i="32"/>
  <c r="AF26" i="32"/>
  <c r="AE26" i="32"/>
  <c r="AD26" i="32"/>
  <c r="AC26" i="32"/>
  <c r="AB26" i="32"/>
  <c r="CU25" i="32"/>
  <c r="CT25" i="32"/>
  <c r="CS25" i="32"/>
  <c r="CR25" i="32"/>
  <c r="CP25" i="32"/>
  <c r="CO25" i="32"/>
  <c r="CN25" i="32"/>
  <c r="CM25" i="32"/>
  <c r="CL25" i="32"/>
  <c r="CK25" i="32"/>
  <c r="CJ25" i="32"/>
  <c r="CI25" i="32"/>
  <c r="CH25" i="32"/>
  <c r="CG25" i="32"/>
  <c r="CF25" i="32"/>
  <c r="CE25" i="32"/>
  <c r="CD25" i="32"/>
  <c r="CC25" i="32"/>
  <c r="CB25" i="32"/>
  <c r="CA25" i="32"/>
  <c r="BZ25" i="32"/>
  <c r="BY25" i="32"/>
  <c r="BX25" i="32"/>
  <c r="BW25" i="32"/>
  <c r="BV25" i="32"/>
  <c r="BU25" i="32"/>
  <c r="BT25" i="32"/>
  <c r="BS25" i="32"/>
  <c r="BR25" i="32"/>
  <c r="BQ25" i="32"/>
  <c r="BP25" i="32"/>
  <c r="BO25" i="32"/>
  <c r="BN25" i="32"/>
  <c r="BM25" i="32"/>
  <c r="BL25" i="32"/>
  <c r="BK25" i="32"/>
  <c r="BJ25" i="32"/>
  <c r="BI25" i="32"/>
  <c r="BH25" i="32"/>
  <c r="BG25" i="32"/>
  <c r="BF25" i="32"/>
  <c r="BE25" i="32"/>
  <c r="BD25" i="32"/>
  <c r="BC25" i="32"/>
  <c r="BB25" i="32"/>
  <c r="BA25" i="32"/>
  <c r="AZ25" i="32"/>
  <c r="AY25" i="32"/>
  <c r="AX25" i="32"/>
  <c r="AW25" i="32"/>
  <c r="AV25" i="32"/>
  <c r="AU25" i="32"/>
  <c r="AT25" i="32"/>
  <c r="AS25" i="32"/>
  <c r="AR25" i="32"/>
  <c r="AQ25" i="32"/>
  <c r="AP25" i="32"/>
  <c r="AO25" i="32"/>
  <c r="AN25" i="32"/>
  <c r="AM25" i="32"/>
  <c r="AL25" i="32"/>
  <c r="AK25" i="32"/>
  <c r="AJ25" i="32"/>
  <c r="AI25" i="32"/>
  <c r="AH25" i="32"/>
  <c r="AG25" i="32"/>
  <c r="AF25" i="32"/>
  <c r="AE25" i="32"/>
  <c r="AD25" i="32"/>
  <c r="AC25" i="32"/>
  <c r="AB25" i="32"/>
  <c r="AA25" i="32"/>
  <c r="Z25" i="32"/>
  <c r="Y25" i="32"/>
  <c r="DU24" i="32"/>
  <c r="DT24" i="32"/>
  <c r="DS24" i="32"/>
  <c r="DR24" i="32"/>
  <c r="DQ24" i="32"/>
  <c r="DP24" i="32"/>
  <c r="DO24" i="32"/>
  <c r="DN24" i="32"/>
  <c r="DM24" i="32"/>
  <c r="DL24" i="32"/>
  <c r="DK24" i="32"/>
  <c r="DJ24" i="32"/>
  <c r="DI24" i="32"/>
  <c r="DH24" i="32"/>
  <c r="DG24" i="32"/>
  <c r="DF24" i="32"/>
  <c r="DE24" i="32"/>
  <c r="DD24" i="32"/>
  <c r="DC24" i="32"/>
  <c r="DZ23" i="32"/>
  <c r="DY23" i="32"/>
  <c r="DX23" i="32"/>
  <c r="DW23" i="32"/>
  <c r="CU23" i="32"/>
  <c r="CT23" i="32"/>
  <c r="CS23" i="32"/>
  <c r="CR23" i="32"/>
  <c r="CP23" i="32"/>
  <c r="CO23" i="32"/>
  <c r="CN23" i="32"/>
  <c r="CM23" i="32"/>
  <c r="CL23" i="32"/>
  <c r="CK23" i="32"/>
  <c r="CJ23" i="32"/>
  <c r="CI23" i="32"/>
  <c r="CH23" i="32"/>
  <c r="CG23" i="32"/>
  <c r="CF23" i="32"/>
  <c r="CE23" i="32"/>
  <c r="CD23" i="32"/>
  <c r="CC23" i="32"/>
  <c r="CB23" i="32"/>
  <c r="CA23" i="32"/>
  <c r="BZ23" i="32"/>
  <c r="BY23" i="32"/>
  <c r="BX23" i="32"/>
  <c r="BW23" i="32"/>
  <c r="BV23" i="32"/>
  <c r="BU23" i="32"/>
  <c r="BT23" i="32"/>
  <c r="BS23" i="32"/>
  <c r="BR23" i="32"/>
  <c r="BQ23" i="32"/>
  <c r="BP23" i="32"/>
  <c r="BO23" i="32"/>
  <c r="BN23" i="32"/>
  <c r="BM23" i="32"/>
  <c r="BL23" i="32"/>
  <c r="BK23" i="32"/>
  <c r="BJ23" i="32"/>
  <c r="BI23" i="32"/>
  <c r="BH23" i="32"/>
  <c r="BG23" i="32"/>
  <c r="BF23" i="32"/>
  <c r="BE23" i="32"/>
  <c r="BD23" i="32"/>
  <c r="BC23" i="32"/>
  <c r="BB23" i="32"/>
  <c r="BA23" i="32"/>
  <c r="AZ23" i="32"/>
  <c r="AY23" i="32"/>
  <c r="AX23" i="32"/>
  <c r="AW23" i="32"/>
  <c r="AV23" i="32"/>
  <c r="AU23" i="32"/>
  <c r="AT23" i="32"/>
  <c r="AS23" i="32"/>
  <c r="AR23" i="32"/>
  <c r="AQ23" i="32"/>
  <c r="AP23" i="32"/>
  <c r="AO23" i="32"/>
  <c r="AN23" i="32"/>
  <c r="AM23" i="32"/>
  <c r="AL23" i="32"/>
  <c r="AK23" i="32"/>
  <c r="AJ23" i="32"/>
  <c r="AI23" i="32"/>
  <c r="AH23" i="32"/>
  <c r="AG23" i="32"/>
  <c r="AF23" i="32"/>
  <c r="AE23" i="32"/>
  <c r="AD23" i="32"/>
  <c r="AC23" i="32"/>
  <c r="AB23" i="32"/>
  <c r="CU22" i="32"/>
  <c r="CT22" i="32"/>
  <c r="CS22" i="32"/>
  <c r="CR22" i="32"/>
  <c r="CP22" i="32"/>
  <c r="CO22" i="32"/>
  <c r="CN22" i="32"/>
  <c r="CM22" i="32"/>
  <c r="CL22" i="32"/>
  <c r="CK22" i="32"/>
  <c r="CJ22" i="32"/>
  <c r="CI22" i="32"/>
  <c r="CH22" i="32"/>
  <c r="CG22" i="32"/>
  <c r="CF22" i="32"/>
  <c r="CE22" i="32"/>
  <c r="CD22" i="32"/>
  <c r="CC22" i="32"/>
  <c r="CB22" i="32"/>
  <c r="CA22" i="32"/>
  <c r="BZ22" i="32"/>
  <c r="BY22" i="32"/>
  <c r="BX22" i="32"/>
  <c r="BW22" i="32"/>
  <c r="BV22" i="32"/>
  <c r="BU22" i="32"/>
  <c r="BT22" i="32"/>
  <c r="BS22" i="32"/>
  <c r="BR22" i="32"/>
  <c r="BQ22" i="32"/>
  <c r="BP22" i="32"/>
  <c r="BO22" i="32"/>
  <c r="BN22" i="32"/>
  <c r="BM22" i="32"/>
  <c r="BL22" i="32"/>
  <c r="BK22" i="32"/>
  <c r="BJ22" i="32"/>
  <c r="BI22" i="32"/>
  <c r="BH22" i="32"/>
  <c r="BG22" i="32"/>
  <c r="BF22" i="32"/>
  <c r="BE22" i="32"/>
  <c r="BD22" i="32"/>
  <c r="BC22" i="32"/>
  <c r="BB22" i="32"/>
  <c r="BA22" i="32"/>
  <c r="AZ22" i="32"/>
  <c r="AY22" i="32"/>
  <c r="AX22" i="32"/>
  <c r="AW22" i="32"/>
  <c r="AV22" i="32"/>
  <c r="AU22" i="32"/>
  <c r="AT22" i="32"/>
  <c r="AS22" i="32"/>
  <c r="AR22" i="32"/>
  <c r="AQ22" i="32"/>
  <c r="AP22" i="32"/>
  <c r="AO22" i="32"/>
  <c r="AN22" i="32"/>
  <c r="AM22" i="32"/>
  <c r="AL22" i="32"/>
  <c r="AK22" i="32"/>
  <c r="AJ22" i="32"/>
  <c r="AI22" i="32"/>
  <c r="AH22" i="32"/>
  <c r="AG22" i="32"/>
  <c r="AF22" i="32"/>
  <c r="AE22" i="32"/>
  <c r="AD22" i="32"/>
  <c r="AC22" i="32"/>
  <c r="AB22" i="32"/>
  <c r="AA22" i="32"/>
  <c r="Z22" i="32"/>
  <c r="Y22" i="32"/>
  <c r="DU21" i="32"/>
  <c r="DT21" i="32"/>
  <c r="DS21" i="32"/>
  <c r="DR21" i="32"/>
  <c r="DQ21" i="32"/>
  <c r="DP21" i="32"/>
  <c r="DO21" i="32"/>
  <c r="DN21" i="32"/>
  <c r="DM21" i="32"/>
  <c r="DL21" i="32"/>
  <c r="DK21" i="32"/>
  <c r="DJ21" i="32"/>
  <c r="DI21" i="32"/>
  <c r="DH21" i="32"/>
  <c r="DG21" i="32"/>
  <c r="DF21" i="32"/>
  <c r="DE21" i="32"/>
  <c r="DD21" i="32"/>
  <c r="DC21" i="32"/>
  <c r="DW20" i="32"/>
  <c r="DV20" i="32"/>
  <c r="CP20" i="32"/>
  <c r="CO20" i="32"/>
  <c r="CN20" i="32"/>
  <c r="CM20" i="32"/>
  <c r="CL20" i="32"/>
  <c r="CK20" i="32"/>
  <c r="CJ20" i="32"/>
  <c r="CI20" i="32"/>
  <c r="CH20" i="32"/>
  <c r="CG20" i="32"/>
  <c r="CF20" i="32"/>
  <c r="CE20" i="32"/>
  <c r="CD20" i="32"/>
  <c r="CC20" i="32"/>
  <c r="CB20" i="32"/>
  <c r="CA20" i="32"/>
  <c r="BZ20" i="32"/>
  <c r="BY20" i="32"/>
  <c r="BX20" i="32"/>
  <c r="BW20" i="32"/>
  <c r="BV20" i="32"/>
  <c r="BU20" i="32"/>
  <c r="BT20" i="32"/>
  <c r="BS20" i="32"/>
  <c r="BR20" i="32"/>
  <c r="BQ20" i="32"/>
  <c r="BP20" i="32"/>
  <c r="BO20" i="32"/>
  <c r="BN20" i="32"/>
  <c r="BM20" i="32"/>
  <c r="BL20" i="32"/>
  <c r="BK20" i="32"/>
  <c r="BJ20" i="32"/>
  <c r="BI20" i="32"/>
  <c r="BH20" i="32"/>
  <c r="BG20" i="32"/>
  <c r="BF20" i="32"/>
  <c r="BE20" i="32"/>
  <c r="BD20" i="32"/>
  <c r="BC20" i="32"/>
  <c r="BB20" i="32"/>
  <c r="BA20" i="32"/>
  <c r="AZ20" i="32"/>
  <c r="AY20" i="32"/>
  <c r="AX20" i="32"/>
  <c r="AW20" i="32"/>
  <c r="AV20" i="32"/>
  <c r="AU20" i="32"/>
  <c r="AT20" i="32"/>
  <c r="AS20" i="32"/>
  <c r="AR20" i="32"/>
  <c r="AQ20" i="32"/>
  <c r="AP20" i="32"/>
  <c r="AO20" i="32"/>
  <c r="AN20" i="32"/>
  <c r="AM20" i="32"/>
  <c r="AL20" i="32"/>
  <c r="AK20" i="32"/>
  <c r="AJ20" i="32"/>
  <c r="AI20" i="32"/>
  <c r="AH20" i="32"/>
  <c r="AG20" i="32"/>
  <c r="AF20" i="32"/>
  <c r="AE20" i="32"/>
  <c r="AD20" i="32"/>
  <c r="AC20" i="32"/>
  <c r="AB20" i="32"/>
  <c r="CP19" i="32"/>
  <c r="CO19" i="32"/>
  <c r="CN19" i="32"/>
  <c r="CM19" i="32"/>
  <c r="CL19" i="32"/>
  <c r="CK19" i="32"/>
  <c r="CJ19" i="32"/>
  <c r="CI19" i="32"/>
  <c r="CH19" i="32"/>
  <c r="CG19" i="32"/>
  <c r="CF19" i="32"/>
  <c r="CE19" i="32"/>
  <c r="CD19" i="32"/>
  <c r="CC19" i="32"/>
  <c r="CB19" i="32"/>
  <c r="CA19" i="32"/>
  <c r="BZ19" i="32"/>
  <c r="BY19" i="32"/>
  <c r="BX19" i="32"/>
  <c r="BW19" i="32"/>
  <c r="BV19" i="32"/>
  <c r="BU19" i="32"/>
  <c r="BT19" i="32"/>
  <c r="BS19" i="32"/>
  <c r="BR19" i="32"/>
  <c r="BQ19" i="32"/>
  <c r="BP19" i="32"/>
  <c r="BO19" i="32"/>
  <c r="BN19" i="32"/>
  <c r="BM19" i="32"/>
  <c r="BL19" i="32"/>
  <c r="BK19" i="32"/>
  <c r="BJ19" i="32"/>
  <c r="BI19" i="32"/>
  <c r="BH19" i="32"/>
  <c r="BG19" i="32"/>
  <c r="BF19" i="32"/>
  <c r="BE19" i="32"/>
  <c r="BD19" i="32"/>
  <c r="BC19" i="32"/>
  <c r="BB19" i="32"/>
  <c r="BA19" i="32"/>
  <c r="AZ19" i="32"/>
  <c r="AY19" i="32"/>
  <c r="AX19" i="32"/>
  <c r="AW19" i="32"/>
  <c r="AV19" i="32"/>
  <c r="AU19" i="32"/>
  <c r="AT19" i="32"/>
  <c r="AS19" i="32"/>
  <c r="AR19" i="32"/>
  <c r="AQ19" i="32"/>
  <c r="AP19" i="32"/>
  <c r="AO19" i="32"/>
  <c r="AN19" i="32"/>
  <c r="AM19" i="32"/>
  <c r="AL19" i="32"/>
  <c r="AK19" i="32"/>
  <c r="AJ19" i="32"/>
  <c r="AI19" i="32"/>
  <c r="AH19" i="32"/>
  <c r="AG19" i="32"/>
  <c r="AF19" i="32"/>
  <c r="AE19" i="32"/>
  <c r="AD19" i="32"/>
  <c r="AC19" i="32"/>
  <c r="AB19" i="32"/>
  <c r="AA19" i="32"/>
  <c r="Z19" i="32"/>
  <c r="Y19" i="32"/>
  <c r="DX31" i="32"/>
  <c r="DT18" i="32"/>
  <c r="DS18" i="32"/>
  <c r="DR18" i="32"/>
  <c r="DQ18" i="32"/>
  <c r="DP18" i="32"/>
  <c r="DO18" i="32"/>
  <c r="DN18" i="32"/>
  <c r="DM18" i="32"/>
  <c r="DL18" i="32"/>
  <c r="DK18" i="32"/>
  <c r="DJ18" i="32"/>
  <c r="DI18" i="32"/>
  <c r="DH18" i="32"/>
  <c r="DG18" i="32"/>
  <c r="DF18" i="32"/>
  <c r="DE18" i="32"/>
  <c r="DD18" i="32"/>
  <c r="DC18" i="32"/>
  <c r="DZ17" i="32"/>
  <c r="DY17" i="32"/>
  <c r="DX17" i="32"/>
  <c r="DW17" i="32"/>
  <c r="CU17" i="32"/>
  <c r="CT17" i="32"/>
  <c r="CS17" i="32"/>
  <c r="CR17" i="32"/>
  <c r="CP17" i="32"/>
  <c r="CO17" i="32"/>
  <c r="CN17" i="32"/>
  <c r="CM17" i="32"/>
  <c r="CL17" i="32"/>
  <c r="CK17" i="32"/>
  <c r="CJ17" i="32"/>
  <c r="CI17" i="32"/>
  <c r="CH17" i="32"/>
  <c r="CG17" i="32"/>
  <c r="CF17" i="32"/>
  <c r="CE17" i="32"/>
  <c r="CD17" i="32"/>
  <c r="CC17" i="32"/>
  <c r="CB17" i="32"/>
  <c r="CA17" i="32"/>
  <c r="BZ17" i="32"/>
  <c r="BY17" i="32"/>
  <c r="BX17" i="32"/>
  <c r="BW17" i="32"/>
  <c r="BV17" i="32"/>
  <c r="BU17" i="32"/>
  <c r="BT17" i="32"/>
  <c r="BS17" i="32"/>
  <c r="BR17" i="32"/>
  <c r="BQ17" i="32"/>
  <c r="BP17" i="32"/>
  <c r="BO17" i="32"/>
  <c r="BN17" i="32"/>
  <c r="BM17" i="32"/>
  <c r="BL17" i="32"/>
  <c r="BK17" i="32"/>
  <c r="BJ17" i="32"/>
  <c r="BI17" i="32"/>
  <c r="BH17" i="32"/>
  <c r="BG17" i="32"/>
  <c r="BF17" i="32"/>
  <c r="BE17" i="32"/>
  <c r="BD17" i="32"/>
  <c r="BC17" i="32"/>
  <c r="BB17" i="32"/>
  <c r="BA17" i="32"/>
  <c r="AZ17" i="32"/>
  <c r="AY17" i="32"/>
  <c r="AX17" i="32"/>
  <c r="AW17" i="32"/>
  <c r="AV17" i="32"/>
  <c r="AU17" i="32"/>
  <c r="AT17" i="32"/>
  <c r="AS17" i="32"/>
  <c r="AR17" i="32"/>
  <c r="AQ17" i="32"/>
  <c r="AP17" i="32"/>
  <c r="AO17" i="32"/>
  <c r="AN17" i="32"/>
  <c r="AM17" i="32"/>
  <c r="AL17" i="32"/>
  <c r="AK17" i="32"/>
  <c r="AJ17" i="32"/>
  <c r="AI17" i="32"/>
  <c r="AH17" i="32"/>
  <c r="AG17" i="32"/>
  <c r="AF17" i="32"/>
  <c r="AE17" i="32"/>
  <c r="AD17" i="32"/>
  <c r="AC17" i="32"/>
  <c r="AB17" i="32"/>
  <c r="CU16" i="32"/>
  <c r="CT16" i="32"/>
  <c r="CS16" i="32"/>
  <c r="CR16" i="32"/>
  <c r="CP16" i="32"/>
  <c r="CO16" i="32"/>
  <c r="CN16" i="32"/>
  <c r="CM16" i="32"/>
  <c r="CL16" i="32"/>
  <c r="CK16" i="32"/>
  <c r="CJ16" i="32"/>
  <c r="CI16" i="32"/>
  <c r="CH16" i="32"/>
  <c r="CG16" i="32"/>
  <c r="CF16" i="32"/>
  <c r="CE16" i="32"/>
  <c r="CD16" i="32"/>
  <c r="CC16" i="32"/>
  <c r="CB16" i="32"/>
  <c r="CA16" i="32"/>
  <c r="BZ16" i="32"/>
  <c r="BY16" i="32"/>
  <c r="BX16" i="32"/>
  <c r="BW16" i="32"/>
  <c r="BV16" i="32"/>
  <c r="BU16" i="32"/>
  <c r="BT16" i="32"/>
  <c r="BS16" i="32"/>
  <c r="BR16" i="32"/>
  <c r="BQ16" i="32"/>
  <c r="BP16" i="32"/>
  <c r="BO16" i="32"/>
  <c r="BN16" i="32"/>
  <c r="BM16" i="32"/>
  <c r="BL16" i="32"/>
  <c r="BK16" i="32"/>
  <c r="BJ16" i="32"/>
  <c r="BI16" i="32"/>
  <c r="BH16" i="32"/>
  <c r="BG16" i="32"/>
  <c r="BF16" i="32"/>
  <c r="BE16" i="32"/>
  <c r="BD16" i="32"/>
  <c r="BC16" i="32"/>
  <c r="BB16" i="32"/>
  <c r="BA16" i="32"/>
  <c r="AZ16" i="32"/>
  <c r="AY16" i="32"/>
  <c r="AX16" i="32"/>
  <c r="AW16" i="32"/>
  <c r="AV16" i="32"/>
  <c r="AU16" i="32"/>
  <c r="AT16" i="32"/>
  <c r="AS16" i="32"/>
  <c r="AR16" i="32"/>
  <c r="AQ16" i="32"/>
  <c r="AP16" i="32"/>
  <c r="AO16" i="32"/>
  <c r="AN16" i="32"/>
  <c r="AM16" i="32"/>
  <c r="AL16" i="32"/>
  <c r="AK16" i="32"/>
  <c r="AJ16" i="32"/>
  <c r="AI16" i="32"/>
  <c r="AH16" i="32"/>
  <c r="AG16" i="32"/>
  <c r="AF16" i="32"/>
  <c r="AE16" i="32"/>
  <c r="AD16" i="32"/>
  <c r="AC16" i="32"/>
  <c r="AB16" i="32"/>
  <c r="AA16" i="32"/>
  <c r="Z16" i="32"/>
  <c r="Y16" i="32"/>
  <c r="DU15" i="32"/>
  <c r="DV17" i="32" s="1"/>
  <c r="DT15" i="32"/>
  <c r="DS15" i="32"/>
  <c r="DR15" i="32"/>
  <c r="DQ15" i="32"/>
  <c r="DP15" i="32"/>
  <c r="DO15" i="32"/>
  <c r="DN15" i="32"/>
  <c r="DN17" i="32" s="1"/>
  <c r="DM15" i="32"/>
  <c r="DL15" i="32"/>
  <c r="DK15" i="32"/>
  <c r="DJ15" i="32"/>
  <c r="DI15" i="32"/>
  <c r="DH15" i="32"/>
  <c r="DG15" i="32"/>
  <c r="DF15" i="32"/>
  <c r="DF17" i="32" s="1"/>
  <c r="DE15" i="32"/>
  <c r="DD15" i="32"/>
  <c r="DC15" i="32"/>
  <c r="DZ14" i="32"/>
  <c r="DY14" i="32"/>
  <c r="DX14" i="32"/>
  <c r="DW14" i="32"/>
  <c r="CU14" i="32"/>
  <c r="CT14" i="32"/>
  <c r="CS14" i="32"/>
  <c r="CR14" i="32"/>
  <c r="CP14" i="32"/>
  <c r="CO14" i="32"/>
  <c r="CN14" i="32"/>
  <c r="CM14" i="32"/>
  <c r="CL14" i="32"/>
  <c r="CK14" i="32"/>
  <c r="CJ14" i="32"/>
  <c r="CI14" i="32"/>
  <c r="CH14" i="32"/>
  <c r="CG14" i="32"/>
  <c r="CF14" i="32"/>
  <c r="CE14" i="32"/>
  <c r="CD14" i="32"/>
  <c r="CC14" i="32"/>
  <c r="CB14" i="32"/>
  <c r="CA14" i="32"/>
  <c r="BZ14" i="32"/>
  <c r="BY14" i="32"/>
  <c r="BX14" i="32"/>
  <c r="BW14" i="32"/>
  <c r="BV14" i="32"/>
  <c r="BU14" i="32"/>
  <c r="BT14" i="32"/>
  <c r="BS14" i="32"/>
  <c r="BR14" i="32"/>
  <c r="BQ14" i="32"/>
  <c r="BP14" i="32"/>
  <c r="BO14" i="32"/>
  <c r="BN14" i="32"/>
  <c r="BM14" i="32"/>
  <c r="BL14" i="32"/>
  <c r="BK14" i="32"/>
  <c r="BJ14" i="32"/>
  <c r="BI14" i="32"/>
  <c r="BH14" i="32"/>
  <c r="BG14" i="32"/>
  <c r="BF14" i="32"/>
  <c r="BE14" i="32"/>
  <c r="BD14" i="32"/>
  <c r="BC14" i="32"/>
  <c r="BB14" i="32"/>
  <c r="BA14" i="32"/>
  <c r="AZ14" i="32"/>
  <c r="AY14" i="32"/>
  <c r="AX14" i="32"/>
  <c r="AW14" i="32"/>
  <c r="AV14" i="32"/>
  <c r="AU14" i="32"/>
  <c r="AT14" i="32"/>
  <c r="AS14" i="32"/>
  <c r="AR14" i="32"/>
  <c r="AQ14" i="32"/>
  <c r="AP14" i="32"/>
  <c r="AO14" i="32"/>
  <c r="AN14" i="32"/>
  <c r="AM14" i="32"/>
  <c r="AL14" i="32"/>
  <c r="AK14" i="32"/>
  <c r="AJ14" i="32"/>
  <c r="AI14" i="32"/>
  <c r="AH14" i="32"/>
  <c r="AG14" i="32"/>
  <c r="AF14" i="32"/>
  <c r="AE14" i="32"/>
  <c r="AD14" i="32"/>
  <c r="AC14" i="32"/>
  <c r="AB14" i="32"/>
  <c r="CU13" i="32"/>
  <c r="CT13" i="32"/>
  <c r="CS13" i="32"/>
  <c r="CR13" i="32"/>
  <c r="CP13" i="32"/>
  <c r="CO13" i="32"/>
  <c r="CN13" i="32"/>
  <c r="CM13" i="32"/>
  <c r="CL13" i="32"/>
  <c r="CK13" i="32"/>
  <c r="CJ13" i="32"/>
  <c r="CI13" i="32"/>
  <c r="CH13" i="32"/>
  <c r="CG13" i="32"/>
  <c r="CF13" i="32"/>
  <c r="CE13" i="32"/>
  <c r="CD13" i="32"/>
  <c r="CC13" i="32"/>
  <c r="CB13" i="32"/>
  <c r="CA13" i="32"/>
  <c r="BZ13" i="32"/>
  <c r="BY13" i="32"/>
  <c r="BX13" i="32"/>
  <c r="BW13" i="32"/>
  <c r="BV13" i="32"/>
  <c r="BU13" i="32"/>
  <c r="BT13" i="32"/>
  <c r="BS13" i="32"/>
  <c r="BR13" i="32"/>
  <c r="BQ13" i="32"/>
  <c r="BP13" i="32"/>
  <c r="BO13" i="32"/>
  <c r="BN13" i="32"/>
  <c r="BM13" i="32"/>
  <c r="BL13" i="32"/>
  <c r="BK13" i="32"/>
  <c r="BJ13" i="32"/>
  <c r="BI13" i="32"/>
  <c r="BH13" i="32"/>
  <c r="BG13" i="32"/>
  <c r="BF13" i="32"/>
  <c r="BE13" i="32"/>
  <c r="BD13" i="32"/>
  <c r="BC13" i="32"/>
  <c r="BB13" i="32"/>
  <c r="BA13" i="32"/>
  <c r="AZ13" i="32"/>
  <c r="AY13" i="32"/>
  <c r="AX13" i="32"/>
  <c r="AW13" i="32"/>
  <c r="AV13" i="32"/>
  <c r="AU13" i="32"/>
  <c r="AT13" i="32"/>
  <c r="AS13" i="32"/>
  <c r="AR13" i="32"/>
  <c r="AQ13" i="32"/>
  <c r="AP13" i="32"/>
  <c r="AO13" i="32"/>
  <c r="AN13" i="32"/>
  <c r="AM13" i="32"/>
  <c r="AL13" i="32"/>
  <c r="AK13" i="32"/>
  <c r="AJ13" i="32"/>
  <c r="AI13" i="32"/>
  <c r="AH13" i="32"/>
  <c r="AG13" i="32"/>
  <c r="AF13" i="32"/>
  <c r="AE13" i="32"/>
  <c r="AD13" i="32"/>
  <c r="AC13" i="32"/>
  <c r="AB13" i="32"/>
  <c r="AA13" i="32"/>
  <c r="Z13" i="32"/>
  <c r="Y13" i="32"/>
  <c r="DU12" i="32"/>
  <c r="DT12" i="32"/>
  <c r="DS12" i="32"/>
  <c r="DR12" i="32"/>
  <c r="DQ12" i="32"/>
  <c r="DP12" i="32"/>
  <c r="DP32" i="32" s="1"/>
  <c r="DO12" i="32"/>
  <c r="DN12" i="32"/>
  <c r="DM12" i="32"/>
  <c r="DL12" i="32"/>
  <c r="DK12" i="32"/>
  <c r="DJ12" i="32"/>
  <c r="DK14" i="32" s="1"/>
  <c r="DI12" i="32"/>
  <c r="DH12" i="32"/>
  <c r="DG12" i="32"/>
  <c r="DF12" i="32"/>
  <c r="DE12" i="32"/>
  <c r="DD12" i="32"/>
  <c r="DC12" i="32"/>
  <c r="DZ11" i="32"/>
  <c r="DY11" i="32"/>
  <c r="DX11" i="32"/>
  <c r="DW11" i="32"/>
  <c r="CU11" i="32"/>
  <c r="CT11" i="32"/>
  <c r="CS11" i="32"/>
  <c r="CR11" i="32"/>
  <c r="CP11" i="32"/>
  <c r="CO11" i="32"/>
  <c r="CN11" i="32"/>
  <c r="CM11" i="32"/>
  <c r="CL11" i="32"/>
  <c r="CK11" i="32"/>
  <c r="CJ11" i="32"/>
  <c r="CI11" i="32"/>
  <c r="CH11" i="32"/>
  <c r="CG11" i="32"/>
  <c r="CF11" i="32"/>
  <c r="CE11" i="32"/>
  <c r="CD11" i="32"/>
  <c r="CC11" i="32"/>
  <c r="CB11" i="32"/>
  <c r="CA11" i="32"/>
  <c r="BZ11" i="32"/>
  <c r="BY11" i="32"/>
  <c r="BX11" i="32"/>
  <c r="BW11" i="32"/>
  <c r="BV11" i="32"/>
  <c r="BU11" i="32"/>
  <c r="BT11" i="32"/>
  <c r="BS11" i="32"/>
  <c r="BR11" i="32"/>
  <c r="BQ11" i="32"/>
  <c r="BP11" i="32"/>
  <c r="BO11" i="32"/>
  <c r="BN11" i="32"/>
  <c r="BM11" i="32"/>
  <c r="BL11" i="32"/>
  <c r="BK11" i="32"/>
  <c r="BJ11" i="32"/>
  <c r="BI11" i="32"/>
  <c r="BH11" i="32"/>
  <c r="BG11" i="32"/>
  <c r="BF11" i="32"/>
  <c r="BE11" i="32"/>
  <c r="BD11" i="32"/>
  <c r="BC11" i="32"/>
  <c r="BB11" i="32"/>
  <c r="BA11" i="32"/>
  <c r="AZ11" i="32"/>
  <c r="AY11" i="32"/>
  <c r="AX11" i="32"/>
  <c r="AW11" i="32"/>
  <c r="AV11" i="32"/>
  <c r="AU11" i="32"/>
  <c r="AT11" i="32"/>
  <c r="AS11" i="32"/>
  <c r="AR11" i="32"/>
  <c r="AQ11" i="32"/>
  <c r="AP11" i="32"/>
  <c r="AO11" i="32"/>
  <c r="AN11" i="32"/>
  <c r="AM11" i="32"/>
  <c r="AL11" i="32"/>
  <c r="AK11" i="32"/>
  <c r="AJ11" i="32"/>
  <c r="AI11" i="32"/>
  <c r="AH11" i="32"/>
  <c r="AG11" i="32"/>
  <c r="AF11" i="32"/>
  <c r="AE11" i="32"/>
  <c r="AD11" i="32"/>
  <c r="AC11" i="32"/>
  <c r="AB11" i="32"/>
  <c r="CU10" i="32"/>
  <c r="CT10" i="32"/>
  <c r="CS10" i="32"/>
  <c r="CR10" i="32"/>
  <c r="CP10" i="32"/>
  <c r="CO10" i="32"/>
  <c r="CN10" i="32"/>
  <c r="CM10" i="32"/>
  <c r="CL10" i="32"/>
  <c r="CK10" i="32"/>
  <c r="CJ10" i="32"/>
  <c r="CI10" i="32"/>
  <c r="CH10" i="32"/>
  <c r="CG10" i="32"/>
  <c r="CF10" i="32"/>
  <c r="CE10" i="32"/>
  <c r="CD10" i="32"/>
  <c r="CC10" i="32"/>
  <c r="CB10" i="32"/>
  <c r="CA10" i="32"/>
  <c r="BZ10" i="32"/>
  <c r="BY10" i="32"/>
  <c r="BX10" i="32"/>
  <c r="BW10" i="32"/>
  <c r="BV10" i="32"/>
  <c r="BU10" i="32"/>
  <c r="BT10" i="32"/>
  <c r="BS10" i="32"/>
  <c r="BR10" i="32"/>
  <c r="BQ10" i="32"/>
  <c r="BP10" i="32"/>
  <c r="BO10" i="32"/>
  <c r="BN10" i="32"/>
  <c r="BM10" i="32"/>
  <c r="BL10" i="32"/>
  <c r="BK10" i="32"/>
  <c r="BJ10" i="32"/>
  <c r="BI10" i="32"/>
  <c r="BH10" i="32"/>
  <c r="BG10" i="32"/>
  <c r="BF10" i="32"/>
  <c r="BE10" i="32"/>
  <c r="BD10" i="32"/>
  <c r="BC10" i="32"/>
  <c r="BB10" i="32"/>
  <c r="BA10" i="32"/>
  <c r="AZ10" i="32"/>
  <c r="AY10" i="32"/>
  <c r="AX10" i="32"/>
  <c r="AW10" i="32"/>
  <c r="AV10" i="32"/>
  <c r="AU10" i="32"/>
  <c r="AT10" i="32"/>
  <c r="AS10" i="32"/>
  <c r="AR10" i="32"/>
  <c r="AQ10" i="32"/>
  <c r="AP10" i="32"/>
  <c r="AO10" i="32"/>
  <c r="AN10" i="32"/>
  <c r="AM10" i="32"/>
  <c r="AL10" i="32"/>
  <c r="AK10" i="32"/>
  <c r="AJ10" i="32"/>
  <c r="AI10" i="32"/>
  <c r="AH10" i="32"/>
  <c r="AG10" i="32"/>
  <c r="AF10" i="32"/>
  <c r="AE10" i="32"/>
  <c r="AD10" i="32"/>
  <c r="AC10" i="32"/>
  <c r="AB10" i="32"/>
  <c r="AA10" i="32"/>
  <c r="Z10" i="32"/>
  <c r="Y10" i="32"/>
  <c r="DU9" i="32"/>
  <c r="DT9" i="32"/>
  <c r="DS9" i="32"/>
  <c r="DR9" i="32"/>
  <c r="DQ9" i="32"/>
  <c r="DP9" i="32"/>
  <c r="DO9" i="32"/>
  <c r="DN9" i="32"/>
  <c r="DM9" i="32"/>
  <c r="DL9" i="32"/>
  <c r="DK9" i="32"/>
  <c r="DJ9" i="32"/>
  <c r="DI9" i="32"/>
  <c r="DH9" i="32"/>
  <c r="DG9" i="32"/>
  <c r="DF9" i="32"/>
  <c r="DE9" i="32"/>
  <c r="DD9" i="32"/>
  <c r="DC9" i="32"/>
  <c r="DZ8" i="32"/>
  <c r="DY8" i="32"/>
  <c r="DX8" i="32"/>
  <c r="DW8" i="32"/>
  <c r="CU8" i="32"/>
  <c r="CT8" i="32"/>
  <c r="CS8" i="32"/>
  <c r="CR8" i="32"/>
  <c r="CP8" i="32"/>
  <c r="CO8" i="32"/>
  <c r="CN8" i="32"/>
  <c r="CM8" i="32"/>
  <c r="CM30" i="32" s="1"/>
  <c r="CL8" i="32"/>
  <c r="CL30" i="32" s="1"/>
  <c r="CK8" i="32"/>
  <c r="CK30" i="32" s="1"/>
  <c r="CJ8" i="32"/>
  <c r="CJ30" i="32" s="1"/>
  <c r="CI8" i="32"/>
  <c r="CI30" i="32" s="1"/>
  <c r="CH8" i="32"/>
  <c r="CH30" i="32" s="1"/>
  <c r="CG8" i="32"/>
  <c r="CG30" i="32" s="1"/>
  <c r="CF8" i="32"/>
  <c r="CF30" i="32" s="1"/>
  <c r="CE8" i="32"/>
  <c r="CE30" i="32" s="1"/>
  <c r="CD8" i="32"/>
  <c r="CD30" i="32" s="1"/>
  <c r="CC8" i="32"/>
  <c r="CC30" i="32" s="1"/>
  <c r="CB8" i="32"/>
  <c r="CB30" i="32" s="1"/>
  <c r="CA8" i="32"/>
  <c r="CA30" i="32" s="1"/>
  <c r="BZ8" i="32"/>
  <c r="BZ30" i="32" s="1"/>
  <c r="BY8" i="32"/>
  <c r="BY30" i="32" s="1"/>
  <c r="BX8" i="32"/>
  <c r="BX30" i="32" s="1"/>
  <c r="BW8" i="32"/>
  <c r="BW30" i="32" s="1"/>
  <c r="BV8" i="32"/>
  <c r="BV30" i="32" s="1"/>
  <c r="BU8" i="32"/>
  <c r="BU30" i="32" s="1"/>
  <c r="BT8" i="32"/>
  <c r="BT30" i="32" s="1"/>
  <c r="BS8" i="32"/>
  <c r="BR8" i="32"/>
  <c r="BQ8" i="32"/>
  <c r="BP8" i="32"/>
  <c r="BO8" i="32"/>
  <c r="BN8" i="32"/>
  <c r="BM8" i="32"/>
  <c r="BL8" i="32"/>
  <c r="BK8" i="32"/>
  <c r="BJ8" i="32"/>
  <c r="BI8" i="32"/>
  <c r="BH8" i="32"/>
  <c r="BG8" i="32"/>
  <c r="BF8" i="32"/>
  <c r="BE8" i="32"/>
  <c r="BD8" i="32"/>
  <c r="BC8" i="32"/>
  <c r="BB8" i="32"/>
  <c r="BA8" i="32"/>
  <c r="AZ8" i="32"/>
  <c r="AY8" i="32"/>
  <c r="AX8" i="32"/>
  <c r="AW8" i="32"/>
  <c r="AV8" i="32"/>
  <c r="AU8" i="32"/>
  <c r="AT8" i="32"/>
  <c r="AS8" i="32"/>
  <c r="AR8" i="32"/>
  <c r="AQ8" i="32"/>
  <c r="AP8" i="32"/>
  <c r="AO8" i="32"/>
  <c r="AN8" i="32"/>
  <c r="AM8" i="32"/>
  <c r="AL8" i="32"/>
  <c r="AK8" i="32"/>
  <c r="AJ8" i="32"/>
  <c r="AI8" i="32"/>
  <c r="AH8" i="32"/>
  <c r="AG8" i="32"/>
  <c r="AF8" i="32"/>
  <c r="AE8" i="32"/>
  <c r="AD8" i="32"/>
  <c r="AC8" i="32"/>
  <c r="AB8" i="32"/>
  <c r="CU7" i="32"/>
  <c r="CT7" i="32"/>
  <c r="CS7" i="32"/>
  <c r="CR7" i="32"/>
  <c r="CP7" i="32"/>
  <c r="CO7" i="32"/>
  <c r="CN7" i="32"/>
  <c r="CM7" i="32"/>
  <c r="CL7" i="32"/>
  <c r="CK7" i="32"/>
  <c r="CJ7" i="32"/>
  <c r="CI7" i="32"/>
  <c r="CH7" i="32"/>
  <c r="CG7" i="32"/>
  <c r="CF7" i="32"/>
  <c r="CE7" i="32"/>
  <c r="CD7" i="32"/>
  <c r="CC7" i="32"/>
  <c r="CB7" i="32"/>
  <c r="CA7" i="32"/>
  <c r="BZ7" i="32"/>
  <c r="BY7" i="32"/>
  <c r="BX7" i="32"/>
  <c r="BW7" i="32"/>
  <c r="BV7" i="32"/>
  <c r="BU7" i="32"/>
  <c r="BT7" i="32"/>
  <c r="BS7" i="32"/>
  <c r="BR7" i="32"/>
  <c r="BQ7" i="32"/>
  <c r="BP7" i="32"/>
  <c r="BO7" i="32"/>
  <c r="BN7" i="32"/>
  <c r="BM7" i="32"/>
  <c r="BL7" i="32"/>
  <c r="BK7" i="32"/>
  <c r="BJ7" i="32"/>
  <c r="BI7" i="32"/>
  <c r="BH7" i="32"/>
  <c r="BG7" i="32"/>
  <c r="BF7" i="32"/>
  <c r="BE7" i="32"/>
  <c r="BD7" i="32"/>
  <c r="BC7" i="32"/>
  <c r="BB7" i="32"/>
  <c r="BA7" i="32"/>
  <c r="AZ7" i="32"/>
  <c r="AY7" i="32"/>
  <c r="AX7" i="32"/>
  <c r="AW7" i="32"/>
  <c r="AV7" i="32"/>
  <c r="AU7" i="32"/>
  <c r="AT7" i="32"/>
  <c r="AS7" i="32"/>
  <c r="AR7" i="32"/>
  <c r="AQ7" i="32"/>
  <c r="AP7" i="32"/>
  <c r="AO7" i="32"/>
  <c r="AN7" i="32"/>
  <c r="AM7" i="32"/>
  <c r="AL7" i="32"/>
  <c r="AK7" i="32"/>
  <c r="AJ7" i="32"/>
  <c r="AI7" i="32"/>
  <c r="AH7" i="32"/>
  <c r="AG7" i="32"/>
  <c r="AF7" i="32"/>
  <c r="AE7" i="32"/>
  <c r="AD7" i="32"/>
  <c r="AC7" i="32"/>
  <c r="AB7" i="32"/>
  <c r="AA7" i="32"/>
  <c r="Z7" i="32"/>
  <c r="Y7" i="32"/>
  <c r="DU6" i="32"/>
  <c r="DV8" i="32" s="1"/>
  <c r="DT6" i="32"/>
  <c r="DS6" i="32"/>
  <c r="DR6" i="32"/>
  <c r="DQ6" i="32"/>
  <c r="DP6" i="32"/>
  <c r="DO6" i="32"/>
  <c r="DN6" i="32"/>
  <c r="DM6" i="32"/>
  <c r="DL6" i="32"/>
  <c r="DK6" i="32"/>
  <c r="DJ6" i="32"/>
  <c r="DI6" i="32"/>
  <c r="DH6" i="32"/>
  <c r="DG6" i="32"/>
  <c r="DF6" i="32"/>
  <c r="DE6" i="32"/>
  <c r="DD6" i="32"/>
  <c r="DC6" i="32"/>
  <c r="DZ4" i="32"/>
  <c r="DZ42" i="32" s="1"/>
  <c r="DY4" i="32"/>
  <c r="DY42" i="32" s="1"/>
  <c r="DX4" i="32"/>
  <c r="DX42" i="32" s="1"/>
  <c r="DW4" i="32"/>
  <c r="DW42" i="32" s="1"/>
  <c r="DV4" i="32"/>
  <c r="DV42" i="32" s="1"/>
  <c r="DU4" i="32"/>
  <c r="DU42" i="32" s="1"/>
  <c r="DT4" i="32"/>
  <c r="DT42" i="32" s="1"/>
  <c r="DS4" i="32"/>
  <c r="DS42" i="32" s="1"/>
  <c r="DR4" i="32"/>
  <c r="DR42" i="32" s="1"/>
  <c r="DQ4" i="32"/>
  <c r="DQ42" i="32" s="1"/>
  <c r="DP4" i="32"/>
  <c r="DP42" i="32" s="1"/>
  <c r="DO4" i="32"/>
  <c r="DO42" i="32" s="1"/>
  <c r="DN4" i="32"/>
  <c r="DN42" i="32" s="1"/>
  <c r="DM4" i="32"/>
  <c r="DM42" i="32" s="1"/>
  <c r="DL4" i="32"/>
  <c r="DL42" i="32" s="1"/>
  <c r="DK4" i="32"/>
  <c r="DK42" i="32" s="1"/>
  <c r="DJ4" i="32"/>
  <c r="DJ42" i="32" s="1"/>
  <c r="DI4" i="32"/>
  <c r="DI42" i="32" s="1"/>
  <c r="DH4" i="32"/>
  <c r="DH42" i="32" s="1"/>
  <c r="DG4" i="32"/>
  <c r="DG42" i="32" s="1"/>
  <c r="DF4" i="32"/>
  <c r="DF42" i="32" s="1"/>
  <c r="DE4" i="32"/>
  <c r="DE42" i="32" s="1"/>
  <c r="DD4" i="32"/>
  <c r="DD42" i="32" s="1"/>
  <c r="DC4" i="32"/>
  <c r="DC42" i="32" s="1"/>
  <c r="DB4" i="32"/>
  <c r="DB42" i="32" s="1"/>
  <c r="DA4" i="32"/>
  <c r="DA42" i="32" s="1"/>
  <c r="CZ4" i="32"/>
  <c r="CZ42" i="32" s="1"/>
  <c r="CY4" i="32"/>
  <c r="CY42" i="32" s="1"/>
  <c r="CX4" i="32"/>
  <c r="CX42" i="32" s="1"/>
  <c r="CW4" i="32"/>
  <c r="CW42" i="32" s="1"/>
  <c r="CU4" i="32"/>
  <c r="CU42" i="32" s="1"/>
  <c r="CT4" i="32"/>
  <c r="CT42" i="32" s="1"/>
  <c r="CS4" i="32"/>
  <c r="CS42" i="32" s="1"/>
  <c r="CR4" i="32"/>
  <c r="CR42" i="32" s="1"/>
  <c r="CP4" i="32"/>
  <c r="CP42" i="32" s="1"/>
  <c r="CO4" i="32"/>
  <c r="CO42" i="32" s="1"/>
  <c r="CN4" i="32"/>
  <c r="CN42" i="32" s="1"/>
  <c r="CM4" i="32"/>
  <c r="CM42" i="32" s="1"/>
  <c r="CL4" i="32"/>
  <c r="CL42" i="32" s="1"/>
  <c r="CK4" i="32"/>
  <c r="CK42" i="32" s="1"/>
  <c r="CJ4" i="32"/>
  <c r="CJ42" i="32" s="1"/>
  <c r="CI4" i="32"/>
  <c r="CI42" i="32" s="1"/>
  <c r="CH4" i="32"/>
  <c r="CH42" i="32" s="1"/>
  <c r="CG4" i="32"/>
  <c r="CG42" i="32" s="1"/>
  <c r="CF4" i="32"/>
  <c r="CF42" i="32" s="1"/>
  <c r="CE4" i="32"/>
  <c r="CE42" i="32" s="1"/>
  <c r="CD4" i="32"/>
  <c r="CD42" i="32" s="1"/>
  <c r="CC4" i="32"/>
  <c r="CC42" i="32" s="1"/>
  <c r="CB4" i="32"/>
  <c r="CB42" i="32" s="1"/>
  <c r="CA4" i="32"/>
  <c r="CA42" i="32" s="1"/>
  <c r="BZ4" i="32"/>
  <c r="BZ42" i="32" s="1"/>
  <c r="BY4" i="32"/>
  <c r="BY42" i="32" s="1"/>
  <c r="BX4" i="32"/>
  <c r="BX42" i="32" s="1"/>
  <c r="BW4" i="32"/>
  <c r="BW42" i="32" s="1"/>
  <c r="BV4" i="32"/>
  <c r="BV42" i="32" s="1"/>
  <c r="BU4" i="32"/>
  <c r="BU42" i="32" s="1"/>
  <c r="BT4" i="32"/>
  <c r="BT42" i="32" s="1"/>
  <c r="BS4" i="32"/>
  <c r="BS42" i="32" s="1"/>
  <c r="BR4" i="32"/>
  <c r="BR42" i="32" s="1"/>
  <c r="BQ4" i="32"/>
  <c r="BQ42" i="32" s="1"/>
  <c r="BP4" i="32"/>
  <c r="BP42" i="32" s="1"/>
  <c r="BO4" i="32"/>
  <c r="BO42" i="32" s="1"/>
  <c r="BN4" i="32"/>
  <c r="BN42" i="32" s="1"/>
  <c r="BM4" i="32"/>
  <c r="BM42" i="32" s="1"/>
  <c r="BL4" i="32"/>
  <c r="BL42" i="32" s="1"/>
  <c r="BK4" i="32"/>
  <c r="BK42" i="32" s="1"/>
  <c r="BJ4" i="32"/>
  <c r="BJ42" i="32" s="1"/>
  <c r="BI4" i="32"/>
  <c r="BI42" i="32" s="1"/>
  <c r="BH4" i="32"/>
  <c r="BH42" i="32" s="1"/>
  <c r="BG4" i="32"/>
  <c r="BG42" i="32" s="1"/>
  <c r="BF4" i="32"/>
  <c r="BF42" i="32" s="1"/>
  <c r="BE4" i="32"/>
  <c r="BE42" i="32" s="1"/>
  <c r="BD4" i="32"/>
  <c r="BD42" i="32" s="1"/>
  <c r="BC4" i="32"/>
  <c r="BC42" i="32" s="1"/>
  <c r="BB4" i="32"/>
  <c r="BB42" i="32" s="1"/>
  <c r="BA4" i="32"/>
  <c r="BA42" i="32" s="1"/>
  <c r="AZ4" i="32"/>
  <c r="AZ42" i="32" s="1"/>
  <c r="AY4" i="32"/>
  <c r="AY42" i="32" s="1"/>
  <c r="AX4" i="32"/>
  <c r="AX42" i="32" s="1"/>
  <c r="AW4" i="32"/>
  <c r="AW42" i="32" s="1"/>
  <c r="AV4" i="32"/>
  <c r="AV42" i="32" s="1"/>
  <c r="AU4" i="32"/>
  <c r="AU42" i="32" s="1"/>
  <c r="AT4" i="32"/>
  <c r="AT42" i="32" s="1"/>
  <c r="AS4" i="32"/>
  <c r="AS42" i="32" s="1"/>
  <c r="AR4" i="32"/>
  <c r="AR42" i="32" s="1"/>
  <c r="AQ4" i="32"/>
  <c r="AQ42" i="32" s="1"/>
  <c r="AP4" i="32"/>
  <c r="AP42" i="32" s="1"/>
  <c r="AO4" i="32"/>
  <c r="AO42" i="32" s="1"/>
  <c r="AN4" i="32"/>
  <c r="AN42" i="32" s="1"/>
  <c r="AM4" i="32"/>
  <c r="AM42" i="32" s="1"/>
  <c r="AL4" i="32"/>
  <c r="AL42" i="32" s="1"/>
  <c r="AK4" i="32"/>
  <c r="AK42" i="32" s="1"/>
  <c r="AJ4" i="32"/>
  <c r="AJ42" i="32" s="1"/>
  <c r="AI4" i="32"/>
  <c r="AI42" i="32" s="1"/>
  <c r="AH4" i="32"/>
  <c r="AH42" i="32" s="1"/>
  <c r="AG4" i="32"/>
  <c r="AG42" i="32" s="1"/>
  <c r="AF4" i="32"/>
  <c r="AF42" i="32" s="1"/>
  <c r="AE4" i="32"/>
  <c r="AE42" i="32" s="1"/>
  <c r="AD4" i="32"/>
  <c r="AD42" i="32" s="1"/>
  <c r="AC4" i="32"/>
  <c r="AC42" i="32" s="1"/>
  <c r="AB4" i="32"/>
  <c r="AB42" i="32" s="1"/>
  <c r="AA4" i="32"/>
  <c r="AA42" i="32" s="1"/>
  <c r="Z4" i="32"/>
  <c r="Z42" i="32" s="1"/>
  <c r="Y4" i="32"/>
  <c r="Y42" i="32" s="1"/>
  <c r="X4" i="32"/>
  <c r="X42" i="32" s="1"/>
  <c r="W4" i="32"/>
  <c r="W42" i="32" s="1"/>
  <c r="V4" i="32"/>
  <c r="V42" i="32" s="1"/>
  <c r="U4" i="32"/>
  <c r="U42" i="32" s="1"/>
  <c r="T4" i="32"/>
  <c r="T42" i="32" s="1"/>
  <c r="S4" i="32"/>
  <c r="S42" i="32" s="1"/>
  <c r="R4" i="32"/>
  <c r="R42" i="32" s="1"/>
  <c r="Q4" i="32"/>
  <c r="Q42" i="32" s="1"/>
  <c r="P4" i="32"/>
  <c r="P42" i="32" s="1"/>
  <c r="O4" i="32"/>
  <c r="O42" i="32" s="1"/>
  <c r="N4" i="32"/>
  <c r="N42" i="32" s="1"/>
  <c r="M4" i="32"/>
  <c r="M42" i="32" s="1"/>
  <c r="L4" i="32"/>
  <c r="L42" i="32" s="1"/>
  <c r="K4" i="32"/>
  <c r="K42" i="32" s="1"/>
  <c r="J4" i="32"/>
  <c r="J42" i="32" s="1"/>
  <c r="I4" i="32"/>
  <c r="I42" i="32" s="1"/>
  <c r="H4" i="32"/>
  <c r="H42" i="32" s="1"/>
  <c r="G4" i="32"/>
  <c r="G42" i="32" s="1"/>
  <c r="F4" i="32"/>
  <c r="F42" i="32" s="1"/>
  <c r="E4" i="32"/>
  <c r="E42" i="32" s="1"/>
  <c r="D4" i="32"/>
  <c r="D42" i="32" s="1"/>
  <c r="BW51" i="32" l="1"/>
  <c r="CE51" i="32"/>
  <c r="BW60" i="32"/>
  <c r="CE60" i="32"/>
  <c r="DQ32" i="32"/>
  <c r="DQ31" i="32"/>
  <c r="CF51" i="32"/>
  <c r="DJ11" i="32"/>
  <c r="DR32" i="32"/>
  <c r="DR31" i="32"/>
  <c r="BY51" i="32"/>
  <c r="CG51" i="32"/>
  <c r="BY60" i="32"/>
  <c r="CG60" i="32"/>
  <c r="DS32" i="32"/>
  <c r="DS31" i="32"/>
  <c r="DE26" i="32"/>
  <c r="AY28" i="32"/>
  <c r="BF28" i="32"/>
  <c r="BN28" i="32"/>
  <c r="BZ51" i="32"/>
  <c r="CH51" i="32"/>
  <c r="BZ60" i="32"/>
  <c r="CH60" i="32"/>
  <c r="CQ65" i="32"/>
  <c r="CQ77" i="32"/>
  <c r="CQ72" i="32"/>
  <c r="CU83" i="32"/>
  <c r="AQ92" i="32"/>
  <c r="BX60" i="32"/>
  <c r="DT32" i="32"/>
  <c r="BW100" i="32"/>
  <c r="DE8" i="32"/>
  <c r="DM8" i="32"/>
  <c r="CN28" i="32"/>
  <c r="BT51" i="32"/>
  <c r="CB51" i="32"/>
  <c r="CJ51" i="32"/>
  <c r="BT60" i="32"/>
  <c r="CB60" i="32"/>
  <c r="CJ60" i="32"/>
  <c r="AM65" i="32"/>
  <c r="BZ93" i="32"/>
  <c r="AW97" i="32"/>
  <c r="AO100" i="32"/>
  <c r="CQ52" i="32"/>
  <c r="CM51" i="32"/>
  <c r="CQ61" i="32"/>
  <c r="CM60" i="32"/>
  <c r="DJ55" i="32"/>
  <c r="CF60" i="32"/>
  <c r="BG29" i="32"/>
  <c r="BG59" i="32" s="1"/>
  <c r="CQ59" i="32"/>
  <c r="CQ50" i="32"/>
  <c r="BQ89" i="32"/>
  <c r="BU97" i="32"/>
  <c r="BU51" i="32"/>
  <c r="CC51" i="32"/>
  <c r="CK51" i="32"/>
  <c r="BA61" i="32"/>
  <c r="BQ61" i="32"/>
  <c r="BU61" i="32"/>
  <c r="BU60" i="32"/>
  <c r="CG61" i="32"/>
  <c r="CC60" i="32"/>
  <c r="CO61" i="32"/>
  <c r="CK60" i="32"/>
  <c r="BD65" i="32"/>
  <c r="AT93" i="32"/>
  <c r="CN30" i="32"/>
  <c r="CN60" i="32" s="1"/>
  <c r="DP20" i="32"/>
  <c r="DP31" i="32"/>
  <c r="DP30" i="32" s="1"/>
  <c r="CO30" i="32"/>
  <c r="CO51" i="32" s="1"/>
  <c r="BX51" i="32"/>
  <c r="DR55" i="32"/>
  <c r="DR11" i="32"/>
  <c r="CP30" i="32"/>
  <c r="CP51" i="32" s="1"/>
  <c r="CB82" i="32"/>
  <c r="CE67" i="32"/>
  <c r="DH11" i="32"/>
  <c r="DP11" i="32"/>
  <c r="DO32" i="32"/>
  <c r="DG17" i="32"/>
  <c r="DO17" i="32"/>
  <c r="DO31" i="32"/>
  <c r="AM28" i="32"/>
  <c r="CA28" i="32"/>
  <c r="BV51" i="32"/>
  <c r="CD51" i="32"/>
  <c r="CL51" i="32"/>
  <c r="BV60" i="32"/>
  <c r="CD60" i="32"/>
  <c r="CL60" i="32"/>
  <c r="BK81" i="32"/>
  <c r="CN67" i="32"/>
  <c r="CN51" i="32"/>
  <c r="CS30" i="32"/>
  <c r="DW30" i="32"/>
  <c r="DV23" i="32"/>
  <c r="DV31" i="32"/>
  <c r="DU20" i="32"/>
  <c r="DT31" i="32"/>
  <c r="DU31" i="32"/>
  <c r="DV14" i="32"/>
  <c r="DU32" i="32"/>
  <c r="DV32" i="32"/>
  <c r="CT30" i="32"/>
  <c r="CR30" i="32"/>
  <c r="CU30" i="32"/>
  <c r="DX30" i="32"/>
  <c r="DY37" i="32"/>
  <c r="DX71" i="32"/>
  <c r="Z28" i="32"/>
  <c r="DI63" i="32"/>
  <c r="BO81" i="32"/>
  <c r="BF96" i="32"/>
  <c r="CT77" i="32"/>
  <c r="BH93" i="32"/>
  <c r="DI11" i="32"/>
  <c r="DG14" i="32"/>
  <c r="DE17" i="32"/>
  <c r="AN47" i="32"/>
  <c r="AV47" i="32"/>
  <c r="BD47" i="32"/>
  <c r="BL47" i="32"/>
  <c r="BT47" i="32"/>
  <c r="CB47" i="32"/>
  <c r="CJ47" i="32"/>
  <c r="DH55" i="32"/>
  <c r="DH56" i="32" s="1"/>
  <c r="CP56" i="32"/>
  <c r="DQ58" i="32"/>
  <c r="AO65" i="32"/>
  <c r="BA65" i="32"/>
  <c r="BY77" i="32"/>
  <c r="CG77" i="32"/>
  <c r="CP77" i="32"/>
  <c r="AK82" i="32"/>
  <c r="BB81" i="32"/>
  <c r="BA89" i="32"/>
  <c r="CO89" i="32"/>
  <c r="CC92" i="32"/>
  <c r="CL92" i="32"/>
  <c r="BR97" i="32"/>
  <c r="Y28" i="32"/>
  <c r="BZ77" i="32"/>
  <c r="CH77" i="32"/>
  <c r="BN92" i="32"/>
  <c r="BV92" i="32"/>
  <c r="CD92" i="32"/>
  <c r="CI77" i="32"/>
  <c r="DD11" i="32"/>
  <c r="DT11" i="32"/>
  <c r="AH28" i="32"/>
  <c r="CS77" i="32"/>
  <c r="CN92" i="32"/>
  <c r="BW28" i="32"/>
  <c r="DF88" i="32"/>
  <c r="BF88" i="32"/>
  <c r="DD14" i="32"/>
  <c r="DL14" i="32"/>
  <c r="DT14" i="32"/>
  <c r="DR17" i="32"/>
  <c r="DK20" i="32"/>
  <c r="DS23" i="32"/>
  <c r="BP29" i="32"/>
  <c r="BP59" i="32" s="1"/>
  <c r="DO80" i="32"/>
  <c r="AU56" i="32"/>
  <c r="BK56" i="32"/>
  <c r="CA56" i="32"/>
  <c r="CF61" i="32"/>
  <c r="BT77" i="32"/>
  <c r="CD77" i="32"/>
  <c r="CM77" i="32"/>
  <c r="BP65" i="32"/>
  <c r="BP66" i="32" s="1"/>
  <c r="CG82" i="32"/>
  <c r="AN92" i="32"/>
  <c r="AL99" i="32"/>
  <c r="BP100" i="32"/>
  <c r="BX100" i="32"/>
  <c r="CF100" i="32"/>
  <c r="CA77" i="32"/>
  <c r="CR77" i="32"/>
  <c r="DL11" i="32"/>
  <c r="DM46" i="32"/>
  <c r="BA47" i="32"/>
  <c r="CJ77" i="32"/>
  <c r="BG85" i="32"/>
  <c r="CC77" i="32"/>
  <c r="AS29" i="32"/>
  <c r="AS59" i="32" s="1"/>
  <c r="BM29" i="32"/>
  <c r="BM59" i="32" s="1"/>
  <c r="BU29" i="32"/>
  <c r="BU50" i="32" s="1"/>
  <c r="BW77" i="32"/>
  <c r="CE77" i="32"/>
  <c r="CN77" i="32"/>
  <c r="AM82" i="32"/>
  <c r="AW82" i="32"/>
  <c r="BQ86" i="32"/>
  <c r="BK88" i="32"/>
  <c r="BO89" i="32" s="1"/>
  <c r="BA97" i="32"/>
  <c r="CO97" i="32"/>
  <c r="AQ100" i="32"/>
  <c r="BQ100" i="32"/>
  <c r="CB77" i="32"/>
  <c r="BW92" i="32"/>
  <c r="DG8" i="32"/>
  <c r="CK77" i="32"/>
  <c r="AX29" i="32"/>
  <c r="AX50" i="32" s="1"/>
  <c r="BQ52" i="32"/>
  <c r="BU52" i="32"/>
  <c r="CG52" i="32"/>
  <c r="AJ65" i="32"/>
  <c r="BI64" i="32"/>
  <c r="BI65" i="32" s="1"/>
  <c r="BT65" i="32"/>
  <c r="BT67" i="32" s="1"/>
  <c r="BX77" i="32"/>
  <c r="CF65" i="32"/>
  <c r="CF67" i="32" s="1"/>
  <c r="CF77" i="32"/>
  <c r="CK65" i="32"/>
  <c r="CK67" i="32" s="1"/>
  <c r="CO77" i="32"/>
  <c r="AP86" i="32"/>
  <c r="AO89" i="32"/>
  <c r="DK58" i="32"/>
  <c r="DS58" i="32"/>
  <c r="AI92" i="32"/>
  <c r="BM100" i="32"/>
  <c r="DS14" i="32"/>
  <c r="DI20" i="32"/>
  <c r="DQ20" i="32"/>
  <c r="DG23" i="32"/>
  <c r="DO23" i="32"/>
  <c r="DM26" i="32"/>
  <c r="DU26" i="32"/>
  <c r="AE28" i="32"/>
  <c r="BQ28" i="32"/>
  <c r="AP47" i="32"/>
  <c r="AX47" i="32"/>
  <c r="BF47" i="32"/>
  <c r="BV47" i="32"/>
  <c r="CD47" i="32"/>
  <c r="CL47" i="32"/>
  <c r="BH52" i="32"/>
  <c r="AP56" i="32"/>
  <c r="AX56" i="32"/>
  <c r="BJ56" i="32"/>
  <c r="CD56" i="32"/>
  <c r="DG63" i="32"/>
  <c r="DJ88" i="32"/>
  <c r="CH81" i="32"/>
  <c r="BF85" i="32"/>
  <c r="BJ86" i="32" s="1"/>
  <c r="BJ88" i="32"/>
  <c r="BN89" i="32" s="1"/>
  <c r="BE92" i="32"/>
  <c r="AX98" i="32"/>
  <c r="BA100" i="32"/>
  <c r="AZ65" i="32"/>
  <c r="AZ104" i="32"/>
  <c r="AZ102" i="32"/>
  <c r="DM11" i="32"/>
  <c r="DR14" i="32"/>
  <c r="DL26" i="32"/>
  <c r="DP17" i="32"/>
  <c r="DT26" i="32"/>
  <c r="DO26" i="32"/>
  <c r="AZ56" i="32"/>
  <c r="BP56" i="32"/>
  <c r="DJ56" i="32"/>
  <c r="CG89" i="32"/>
  <c r="BZ100" i="32"/>
  <c r="DD8" i="32"/>
  <c r="DQ11" i="32"/>
  <c r="DD17" i="32"/>
  <c r="DK23" i="32"/>
  <c r="DI26" i="32"/>
  <c r="DQ26" i="32"/>
  <c r="AP28" i="32"/>
  <c r="BV28" i="32"/>
  <c r="CD28" i="32"/>
  <c r="CL28" i="32"/>
  <c r="BI29" i="32"/>
  <c r="BI50" i="32" s="1"/>
  <c r="BQ47" i="32"/>
  <c r="BY47" i="32"/>
  <c r="CO56" i="32"/>
  <c r="CC65" i="32"/>
  <c r="CG65" i="32"/>
  <c r="CG67" i="32" s="1"/>
  <c r="AI81" i="32"/>
  <c r="AQ81" i="32"/>
  <c r="BM81" i="32"/>
  <c r="CC82" i="32"/>
  <c r="CO82" i="32"/>
  <c r="CS83" i="32" s="1"/>
  <c r="AO86" i="32"/>
  <c r="BK85" i="32"/>
  <c r="BO86" i="32" s="1"/>
  <c r="BS86" i="32"/>
  <c r="CE86" i="32"/>
  <c r="DF85" i="32"/>
  <c r="AQ89" i="32"/>
  <c r="BQ92" i="32"/>
  <c r="CG92" i="32"/>
  <c r="AV95" i="32"/>
  <c r="DU11" i="32"/>
  <c r="DK49" i="32"/>
  <c r="BH56" i="32"/>
  <c r="CF56" i="32"/>
  <c r="AP82" i="32"/>
  <c r="AT83" i="32" s="1"/>
  <c r="BB99" i="32"/>
  <c r="DJ58" i="32"/>
  <c r="DO88" i="32"/>
  <c r="DH20" i="32"/>
  <c r="DD26" i="32"/>
  <c r="DG26" i="32"/>
  <c r="DW29" i="32"/>
  <c r="AR56" i="32"/>
  <c r="BX56" i="32"/>
  <c r="CN56" i="32"/>
  <c r="BW97" i="32"/>
  <c r="BR100" i="32"/>
  <c r="DF8" i="32"/>
  <c r="DN27" i="32"/>
  <c r="DK11" i="32"/>
  <c r="DS11" i="32"/>
  <c r="DH14" i="32"/>
  <c r="DP14" i="32"/>
  <c r="DJ26" i="32"/>
  <c r="DR26" i="32"/>
  <c r="AB29" i="32"/>
  <c r="AR29" i="32"/>
  <c r="AR59" i="32" s="1"/>
  <c r="AZ28" i="32"/>
  <c r="CF29" i="32"/>
  <c r="CF59" i="32" s="1"/>
  <c r="AU47" i="32"/>
  <c r="BC47" i="32"/>
  <c r="BK47" i="32"/>
  <c r="BS47" i="32"/>
  <c r="AO52" i="32"/>
  <c r="AS52" i="32"/>
  <c r="DI58" i="32"/>
  <c r="AZ61" i="32"/>
  <c r="CJ65" i="32"/>
  <c r="CJ67" i="32" s="1"/>
  <c r="BG80" i="32"/>
  <c r="BK82" i="32" s="1"/>
  <c r="CA82" i="32"/>
  <c r="AQ86" i="32"/>
  <c r="CA93" i="32"/>
  <c r="AX95" i="32"/>
  <c r="BU100" i="32"/>
  <c r="CC100" i="32"/>
  <c r="CT19" i="32"/>
  <c r="AY84" i="32"/>
  <c r="BB88" i="32"/>
  <c r="AX84" i="32"/>
  <c r="AX88" i="32"/>
  <c r="AO81" i="32"/>
  <c r="DF58" i="32"/>
  <c r="DI27" i="32"/>
  <c r="DC27" i="32"/>
  <c r="DK27" i="32"/>
  <c r="DS27" i="32"/>
  <c r="DV11" i="32"/>
  <c r="DJ20" i="32"/>
  <c r="BE29" i="32"/>
  <c r="BE59" i="32" s="1"/>
  <c r="BA29" i="32"/>
  <c r="BA59" i="32" s="1"/>
  <c r="CO28" i="32"/>
  <c r="CO29" i="32"/>
  <c r="CO59" i="32" s="1"/>
  <c r="AP29" i="32"/>
  <c r="AP59" i="32" s="1"/>
  <c r="AO61" i="32"/>
  <c r="CK61" i="32"/>
  <c r="AR65" i="32"/>
  <c r="AR66" i="32" s="1"/>
  <c r="AV65" i="32"/>
  <c r="BH64" i="32"/>
  <c r="BH65" i="32" s="1"/>
  <c r="BQ64" i="32"/>
  <c r="DG64" i="32"/>
  <c r="CN65" i="32"/>
  <c r="AL81" i="32"/>
  <c r="AL82" i="32"/>
  <c r="CM81" i="32"/>
  <c r="CM82" i="32"/>
  <c r="CQ83" i="32" s="1"/>
  <c r="AX85" i="32"/>
  <c r="AX86" i="32" s="1"/>
  <c r="DX27" i="32"/>
  <c r="DX29" i="32" s="1"/>
  <c r="DX20" i="32"/>
  <c r="AK65" i="32"/>
  <c r="DN8" i="32"/>
  <c r="DI14" i="32"/>
  <c r="BG91" i="32"/>
  <c r="BK93" i="32" s="1"/>
  <c r="DK90" i="32"/>
  <c r="DK99" i="32" s="1"/>
  <c r="BG96" i="32"/>
  <c r="BG97" i="32" s="1"/>
  <c r="DO27" i="32"/>
  <c r="DO8" i="32"/>
  <c r="DN58" i="32"/>
  <c r="DO61" i="32" s="1"/>
  <c r="BE65" i="32"/>
  <c r="DF11" i="32"/>
  <c r="DN11" i="32"/>
  <c r="DJ14" i="32"/>
  <c r="DK17" i="32"/>
  <c r="CS27" i="32"/>
  <c r="CS29" i="32" s="1"/>
  <c r="CS49" i="32" s="1"/>
  <c r="CS19" i="32"/>
  <c r="CS20" i="32"/>
  <c r="DR49" i="32"/>
  <c r="DG58" i="32"/>
  <c r="DO55" i="32"/>
  <c r="BA82" i="32"/>
  <c r="BA83" i="32" s="1"/>
  <c r="AW65" i="32"/>
  <c r="AS65" i="32"/>
  <c r="AW81" i="32"/>
  <c r="DQ27" i="32"/>
  <c r="CT27" i="32"/>
  <c r="CT29" i="32" s="1"/>
  <c r="CT20" i="32"/>
  <c r="AQ29" i="32"/>
  <c r="AQ59" i="32" s="1"/>
  <c r="CE29" i="32"/>
  <c r="CE59" i="32" s="1"/>
  <c r="BM61" i="32"/>
  <c r="AR87" i="32"/>
  <c r="AR85" i="32"/>
  <c r="AR80" i="32"/>
  <c r="AV82" i="32" s="1"/>
  <c r="AZ83" i="32" s="1"/>
  <c r="AS87" i="32"/>
  <c r="DH17" i="32"/>
  <c r="DQ14" i="32"/>
  <c r="DM91" i="32"/>
  <c r="DO99" i="32"/>
  <c r="DO96" i="32"/>
  <c r="DE11" i="32"/>
  <c r="CR20" i="32"/>
  <c r="CR27" i="32"/>
  <c r="CD29" i="32"/>
  <c r="BI61" i="32"/>
  <c r="BE61" i="32"/>
  <c r="DJ8" i="32"/>
  <c r="DR8" i="32"/>
  <c r="DR27" i="32"/>
  <c r="DS29" i="32" s="1"/>
  <c r="DE14" i="32"/>
  <c r="DM14" i="32"/>
  <c r="CU27" i="32"/>
  <c r="CU29" i="32" s="1"/>
  <c r="CU20" i="32"/>
  <c r="DF23" i="32"/>
  <c r="DM23" i="32"/>
  <c r="DK26" i="32"/>
  <c r="DS46" i="32"/>
  <c r="CI56" i="32"/>
  <c r="AT81" i="32"/>
  <c r="AT82" i="32"/>
  <c r="CD81" i="32"/>
  <c r="CC81" i="32"/>
  <c r="AP93" i="32"/>
  <c r="AT94" i="32" s="1"/>
  <c r="CH91" i="32"/>
  <c r="CH92" i="32" s="1"/>
  <c r="CK100" i="32"/>
  <c r="DH99" i="32"/>
  <c r="DI17" i="32"/>
  <c r="DQ17" i="32"/>
  <c r="DS20" i="32"/>
  <c r="DH23" i="32"/>
  <c r="DS26" i="32"/>
  <c r="CN29" i="32"/>
  <c r="CN50" i="32" s="1"/>
  <c r="CC52" i="32"/>
  <c r="DK63" i="32"/>
  <c r="AN65" i="32"/>
  <c r="AH81" i="32"/>
  <c r="BG84" i="32"/>
  <c r="BP86" i="32"/>
  <c r="BX86" i="32"/>
  <c r="CF86" i="32"/>
  <c r="CN86" i="32"/>
  <c r="DN85" i="32"/>
  <c r="DO86" i="32" s="1"/>
  <c r="BP89" i="32"/>
  <c r="CF89" i="32"/>
  <c r="CN89" i="32"/>
  <c r="AT92" i="32"/>
  <c r="BL93" i="32"/>
  <c r="BQ97" i="32"/>
  <c r="BY97" i="32"/>
  <c r="CG97" i="32"/>
  <c r="BE100" i="32"/>
  <c r="DE20" i="32"/>
  <c r="DM20" i="32"/>
  <c r="DJ23" i="32"/>
  <c r="AX28" i="32"/>
  <c r="AR47" i="32"/>
  <c r="AZ47" i="32"/>
  <c r="BH47" i="32"/>
  <c r="BP47" i="32"/>
  <c r="BX47" i="32"/>
  <c r="CF47" i="32"/>
  <c r="CN47" i="32"/>
  <c r="AT52" i="32"/>
  <c r="BR52" i="32"/>
  <c r="BV52" i="32"/>
  <c r="CP52" i="32"/>
  <c r="AW61" i="32"/>
  <c r="CC61" i="32"/>
  <c r="DO64" i="32"/>
  <c r="AT86" i="32"/>
  <c r="AU91" i="32"/>
  <c r="AY93" i="32" s="1"/>
  <c r="CN100" i="32"/>
  <c r="BN29" i="32"/>
  <c r="BN59" i="32" s="1"/>
  <c r="AS47" i="32"/>
  <c r="AW47" i="32"/>
  <c r="BI47" i="32"/>
  <c r="BM47" i="32"/>
  <c r="BU47" i="32"/>
  <c r="CG47" i="32"/>
  <c r="CK47" i="32"/>
  <c r="BC56" i="32"/>
  <c r="BS56" i="32"/>
  <c r="DQ55" i="32"/>
  <c r="DR56" i="32" s="1"/>
  <c r="AP61" i="32"/>
  <c r="BW65" i="32"/>
  <c r="BW67" i="32" s="1"/>
  <c r="CI82" i="32"/>
  <c r="CO81" i="32"/>
  <c r="BG86" i="32"/>
  <c r="BR86" i="32"/>
  <c r="BZ89" i="32"/>
  <c r="CH89" i="32"/>
  <c r="CP89" i="32"/>
  <c r="AR97" i="32"/>
  <c r="BM97" i="32"/>
  <c r="AR100" i="32"/>
  <c r="BS100" i="32"/>
  <c r="CA100" i="32"/>
  <c r="DM17" i="32"/>
  <c r="DU17" i="32"/>
  <c r="DF20" i="32"/>
  <c r="DN20" i="32"/>
  <c r="DF26" i="32"/>
  <c r="DN26" i="32"/>
  <c r="DV26" i="32"/>
  <c r="AB28" i="32"/>
  <c r="AQ28" i="32"/>
  <c r="AY29" i="32"/>
  <c r="AY50" i="32" s="1"/>
  <c r="BP28" i="32"/>
  <c r="CA29" i="32"/>
  <c r="CA50" i="32" s="1"/>
  <c r="CF28" i="32"/>
  <c r="CM29" i="32"/>
  <c r="CM50" i="32" s="1"/>
  <c r="CM28" i="32"/>
  <c r="DH49" i="32"/>
  <c r="AN52" i="32"/>
  <c r="AZ52" i="32"/>
  <c r="AQ61" i="32"/>
  <c r="AY61" i="32"/>
  <c r="CE61" i="32"/>
  <c r="CM61" i="32"/>
  <c r="DQ64" i="32"/>
  <c r="BS65" i="32"/>
  <c r="AJ81" i="32"/>
  <c r="BH86" i="32"/>
  <c r="AH92" i="32"/>
  <c r="AW93" i="32"/>
  <c r="BW93" i="32"/>
  <c r="CE92" i="32"/>
  <c r="CM93" i="32"/>
  <c r="CQ94" i="32" s="1"/>
  <c r="BL92" i="32"/>
  <c r="AS97" i="32"/>
  <c r="BP97" i="32"/>
  <c r="BH100" i="32"/>
  <c r="CJ100" i="32"/>
  <c r="DP26" i="32"/>
  <c r="DD27" i="32"/>
  <c r="DN49" i="32"/>
  <c r="DO49" i="32"/>
  <c r="CM47" i="32"/>
  <c r="DL91" i="32"/>
  <c r="DM93" i="32" s="1"/>
  <c r="DL55" i="32"/>
  <c r="DM58" i="32"/>
  <c r="DM55" i="32"/>
  <c r="DL58" i="32"/>
  <c r="DL61" i="32" s="1"/>
  <c r="BF61" i="32"/>
  <c r="CD61" i="32"/>
  <c r="BZ61" i="32"/>
  <c r="CL61" i="32"/>
  <c r="CO93" i="32"/>
  <c r="CO92" i="32"/>
  <c r="DJ17" i="32"/>
  <c r="BO47" i="32"/>
  <c r="BF56" i="32"/>
  <c r="BB56" i="32"/>
  <c r="BO61" i="32"/>
  <c r="CM86" i="32"/>
  <c r="CI86" i="32"/>
  <c r="AK92" i="32"/>
  <c r="AJ92" i="32"/>
  <c r="BB92" i="32"/>
  <c r="BE93" i="32"/>
  <c r="BA93" i="32"/>
  <c r="BA92" i="32"/>
  <c r="BR93" i="32"/>
  <c r="BR92" i="32"/>
  <c r="AM93" i="32"/>
  <c r="DS17" i="32"/>
  <c r="DL20" i="32"/>
  <c r="DN23" i="32"/>
  <c r="AM29" i="32"/>
  <c r="AI28" i="32"/>
  <c r="AI29" i="32"/>
  <c r="DF27" i="32"/>
  <c r="BX28" i="32"/>
  <c r="DP64" i="32"/>
  <c r="DP49" i="32"/>
  <c r="DP51" i="32" s="1"/>
  <c r="DQ49" i="32"/>
  <c r="AV52" i="32"/>
  <c r="CJ52" i="32"/>
  <c r="AR61" i="32"/>
  <c r="CN61" i="32"/>
  <c r="CH61" i="32"/>
  <c r="BP82" i="32"/>
  <c r="BP81" i="32"/>
  <c r="BQ81" i="32"/>
  <c r="CF82" i="32"/>
  <c r="CG81" i="32"/>
  <c r="CJ82" i="32"/>
  <c r="CF81" i="32"/>
  <c r="DT27" i="32"/>
  <c r="DT29" i="32" s="1"/>
  <c r="DQ8" i="32"/>
  <c r="DF14" i="32"/>
  <c r="DN14" i="32"/>
  <c r="DP23" i="32"/>
  <c r="DH26" i="32"/>
  <c r="DG27" i="32"/>
  <c r="DG29" i="32" s="1"/>
  <c r="CI29" i="32"/>
  <c r="CI50" i="32" s="1"/>
  <c r="AS56" i="32"/>
  <c r="DP63" i="32"/>
  <c r="DO63" i="32"/>
  <c r="BA86" i="32"/>
  <c r="BW89" i="32"/>
  <c r="BS89" i="32"/>
  <c r="CE89" i="32"/>
  <c r="CA89" i="32"/>
  <c r="CM89" i="32"/>
  <c r="CI89" i="32"/>
  <c r="DM27" i="32"/>
  <c r="DI8" i="32"/>
  <c r="DT17" i="32"/>
  <c r="CU19" i="32"/>
  <c r="DD20" i="32"/>
  <c r="DO20" i="32"/>
  <c r="DI23" i="32"/>
  <c r="DQ23" i="32"/>
  <c r="DE23" i="32"/>
  <c r="DR23" i="32"/>
  <c r="AG29" i="32"/>
  <c r="AC28" i="32"/>
  <c r="AO29" i="32"/>
  <c r="AO59" i="32" s="1"/>
  <c r="AK29" i="32"/>
  <c r="AW29" i="32"/>
  <c r="AW59" i="32" s="1"/>
  <c r="AS28" i="32"/>
  <c r="CC29" i="32"/>
  <c r="BY29" i="32"/>
  <c r="CK29" i="32"/>
  <c r="CK59" i="32" s="1"/>
  <c r="CG28" i="32"/>
  <c r="CG29" i="32"/>
  <c r="CG66" i="32" s="1"/>
  <c r="DJ27" i="32"/>
  <c r="BI28" i="32"/>
  <c r="AC29" i="32"/>
  <c r="BQ29" i="32"/>
  <c r="AX52" i="32"/>
  <c r="BN52" i="32"/>
  <c r="BP61" i="32"/>
  <c r="DF63" i="32"/>
  <c r="DQ63" i="32"/>
  <c r="BM65" i="32"/>
  <c r="CI104" i="32"/>
  <c r="CI102" i="32"/>
  <c r="CI65" i="32"/>
  <c r="CI67" i="32" s="1"/>
  <c r="BN82" i="32"/>
  <c r="BR82" i="32"/>
  <c r="BS81" i="32"/>
  <c r="BV82" i="32"/>
  <c r="BR81" i="32"/>
  <c r="BZ81" i="32"/>
  <c r="CD82" i="32"/>
  <c r="BZ82" i="32"/>
  <c r="CA81" i="32"/>
  <c r="CH82" i="32"/>
  <c r="CL82" i="32"/>
  <c r="CT82" i="32"/>
  <c r="CP82" i="32"/>
  <c r="CP81" i="32"/>
  <c r="BZ86" i="32"/>
  <c r="BV86" i="32"/>
  <c r="CH86" i="32"/>
  <c r="CD86" i="32"/>
  <c r="CP86" i="32"/>
  <c r="CL86" i="32"/>
  <c r="DF80" i="32"/>
  <c r="DF64" i="32"/>
  <c r="DF46" i="32"/>
  <c r="CI47" i="32"/>
  <c r="CE47" i="32"/>
  <c r="AQ47" i="32"/>
  <c r="BR61" i="32"/>
  <c r="BV61" i="32"/>
  <c r="BI93" i="32"/>
  <c r="BI92" i="32"/>
  <c r="CK93" i="32"/>
  <c r="CG93" i="32"/>
  <c r="DE27" i="32"/>
  <c r="DN46" i="32"/>
  <c r="DN47" i="32" s="1"/>
  <c r="BS52" i="32"/>
  <c r="BR56" i="32"/>
  <c r="BV56" i="32"/>
  <c r="CL56" i="32"/>
  <c r="CH56" i="32"/>
  <c r="BG61" i="32"/>
  <c r="BW61" i="32"/>
  <c r="CP93" i="32"/>
  <c r="CP92" i="32"/>
  <c r="BH28" i="32"/>
  <c r="BK29" i="32"/>
  <c r="BK50" i="32" s="1"/>
  <c r="BG28" i="32"/>
  <c r="BO29" i="32"/>
  <c r="BO50" i="32" s="1"/>
  <c r="AY47" i="32"/>
  <c r="CB52" i="32"/>
  <c r="BX52" i="32"/>
  <c r="BY56" i="32"/>
  <c r="BH61" i="32"/>
  <c r="DL27" i="32"/>
  <c r="DS8" i="32"/>
  <c r="DO11" i="32"/>
  <c r="DU14" i="32"/>
  <c r="AD29" i="32"/>
  <c r="AD28" i="32"/>
  <c r="AL29" i="32"/>
  <c r="AL28" i="32"/>
  <c r="AT29" i="32"/>
  <c r="AT50" i="32" s="1"/>
  <c r="AT28" i="32"/>
  <c r="AU28" i="32"/>
  <c r="BB29" i="32"/>
  <c r="BB59" i="32" s="1"/>
  <c r="BB28" i="32"/>
  <c r="BJ29" i="32"/>
  <c r="BJ50" i="32" s="1"/>
  <c r="BJ28" i="32"/>
  <c r="BR29" i="32"/>
  <c r="BR59" i="32" s="1"/>
  <c r="BR28" i="32"/>
  <c r="BS28" i="32"/>
  <c r="BZ29" i="32"/>
  <c r="BZ59" i="32" s="1"/>
  <c r="BZ28" i="32"/>
  <c r="CH29" i="32"/>
  <c r="CH50" i="32" s="1"/>
  <c r="CH28" i="32"/>
  <c r="CL29" i="32"/>
  <c r="CL59" i="32" s="1"/>
  <c r="CP29" i="32"/>
  <c r="CP50" i="32" s="1"/>
  <c r="CP28" i="32"/>
  <c r="BK28" i="32"/>
  <c r="CE28" i="32"/>
  <c r="AE29" i="32"/>
  <c r="BS29" i="32"/>
  <c r="BS50" i="32" s="1"/>
  <c r="DK46" i="32"/>
  <c r="DK64" i="32"/>
  <c r="DS49" i="32"/>
  <c r="DS64" i="32"/>
  <c r="DS80" i="32"/>
  <c r="BC52" i="32"/>
  <c r="CF52" i="32"/>
  <c r="CG56" i="32"/>
  <c r="DH80" i="32"/>
  <c r="BW86" i="32"/>
  <c r="AT89" i="32"/>
  <c r="AP89" i="32"/>
  <c r="DT20" i="32"/>
  <c r="BB52" i="32"/>
  <c r="BJ52" i="32"/>
  <c r="CH52" i="32"/>
  <c r="CD50" i="32"/>
  <c r="CL52" i="32"/>
  <c r="BE56" i="32"/>
  <c r="BA56" i="32"/>
  <c r="AX61" i="32"/>
  <c r="AT61" i="32"/>
  <c r="CP59" i="32"/>
  <c r="CP61" i="32"/>
  <c r="BB61" i="32"/>
  <c r="AQ93" i="32"/>
  <c r="BY93" i="32"/>
  <c r="BY92" i="32"/>
  <c r="CC93" i="32"/>
  <c r="DU27" i="32"/>
  <c r="BG50" i="32"/>
  <c r="BK52" i="32"/>
  <c r="BN56" i="32"/>
  <c r="AS92" i="32"/>
  <c r="AR93" i="32"/>
  <c r="AR92" i="32"/>
  <c r="CD93" i="32"/>
  <c r="BZ92" i="32"/>
  <c r="AJ28" i="32"/>
  <c r="DP46" i="32"/>
  <c r="BL52" i="32"/>
  <c r="BX61" i="32"/>
  <c r="BX82" i="32"/>
  <c r="CB83" i="32" s="1"/>
  <c r="BY81" i="32"/>
  <c r="BX81" i="32"/>
  <c r="DK8" i="32"/>
  <c r="DT8" i="32"/>
  <c r="DG11" i="32"/>
  <c r="DL17" i="32"/>
  <c r="DR20" i="32"/>
  <c r="DG20" i="32"/>
  <c r="DU23" i="32"/>
  <c r="AU29" i="32"/>
  <c r="AU50" i="32" s="1"/>
  <c r="BC28" i="32"/>
  <c r="AA28" i="32"/>
  <c r="AR28" i="32"/>
  <c r="CI28" i="32"/>
  <c r="AH29" i="32"/>
  <c r="BC29" i="32"/>
  <c r="BC50" i="32" s="1"/>
  <c r="BW29" i="32"/>
  <c r="DL80" i="32"/>
  <c r="DL46" i="32"/>
  <c r="DL49" i="32"/>
  <c r="AO47" i="32"/>
  <c r="BG47" i="32"/>
  <c r="DF49" i="32"/>
  <c r="BD52" i="32"/>
  <c r="BS61" i="32"/>
  <c r="DH64" i="32"/>
  <c r="CA86" i="32"/>
  <c r="BR89" i="32"/>
  <c r="CL89" i="32"/>
  <c r="BQ93" i="32"/>
  <c r="CA47" i="32"/>
  <c r="BW47" i="32"/>
  <c r="AP50" i="32"/>
  <c r="BZ52" i="32"/>
  <c r="BU56" i="32"/>
  <c r="BQ56" i="32"/>
  <c r="BM56" i="32"/>
  <c r="BN61" i="32"/>
  <c r="BJ61" i="32"/>
  <c r="AQ50" i="32"/>
  <c r="AU52" i="32"/>
  <c r="CA52" i="32"/>
  <c r="CS63" i="32"/>
  <c r="BN93" i="32"/>
  <c r="BJ92" i="32"/>
  <c r="CN52" i="32"/>
  <c r="BT52" i="32"/>
  <c r="AT59" i="32"/>
  <c r="BH82" i="32"/>
  <c r="BL82" i="32"/>
  <c r="BP83" i="32" s="1"/>
  <c r="CN82" i="32"/>
  <c r="CR82" i="32"/>
  <c r="CR83" i="32" s="1"/>
  <c r="CN81" i="32"/>
  <c r="DH27" i="32"/>
  <c r="DH8" i="32"/>
  <c r="DP27" i="32"/>
  <c r="DP8" i="32"/>
  <c r="DL8" i="32"/>
  <c r="DU8" i="32"/>
  <c r="DO14" i="32"/>
  <c r="DD23" i="32"/>
  <c r="DL23" i="32"/>
  <c r="DT23" i="32"/>
  <c r="AG28" i="32"/>
  <c r="AF29" i="32"/>
  <c r="AF28" i="32"/>
  <c r="AO28" i="32"/>
  <c r="AN29" i="32"/>
  <c r="AN50" i="32" s="1"/>
  <c r="AN28" i="32"/>
  <c r="AW28" i="32"/>
  <c r="AV29" i="32"/>
  <c r="AV50" i="32" s="1"/>
  <c r="AV28" i="32"/>
  <c r="AZ29" i="32"/>
  <c r="AZ59" i="32" s="1"/>
  <c r="BE28" i="32"/>
  <c r="BD29" i="32"/>
  <c r="BD66" i="32" s="1"/>
  <c r="BD28" i="32"/>
  <c r="BH29" i="32"/>
  <c r="BM28" i="32"/>
  <c r="BL29" i="32"/>
  <c r="BL50" i="32" s="1"/>
  <c r="BL28" i="32"/>
  <c r="BU28" i="32"/>
  <c r="BT29" i="32"/>
  <c r="BT59" i="32" s="1"/>
  <c r="BT28" i="32"/>
  <c r="BX29" i="32"/>
  <c r="BX59" i="32" s="1"/>
  <c r="CC28" i="32"/>
  <c r="CB29" i="32"/>
  <c r="CB50" i="32" s="1"/>
  <c r="CB28" i="32"/>
  <c r="CK28" i="32"/>
  <c r="CJ29" i="32"/>
  <c r="CJ59" i="32" s="1"/>
  <c r="CJ28" i="32"/>
  <c r="BO28" i="32"/>
  <c r="AJ29" i="32"/>
  <c r="BF29" i="32"/>
  <c r="BF59" i="32" s="1"/>
  <c r="DE64" i="32"/>
  <c r="DE63" i="32"/>
  <c r="DM80" i="32"/>
  <c r="DM49" i="32"/>
  <c r="DH46" i="32"/>
  <c r="BA52" i="32"/>
  <c r="BI52" i="32"/>
  <c r="BM52" i="32"/>
  <c r="BY52" i="32"/>
  <c r="CK52" i="32"/>
  <c r="CO52" i="32"/>
  <c r="BE52" i="32"/>
  <c r="CI52" i="32"/>
  <c r="AN66" i="32"/>
  <c r="DP85" i="32"/>
  <c r="DP86" i="32" s="1"/>
  <c r="DP80" i="32"/>
  <c r="DP88" i="32"/>
  <c r="AK81" i="32"/>
  <c r="BH89" i="32"/>
  <c r="BD89" i="32"/>
  <c r="BV93" i="32"/>
  <c r="BZ94" i="32" s="1"/>
  <c r="CR19" i="32"/>
  <c r="BV29" i="32"/>
  <c r="BV59" i="32" s="1"/>
  <c r="DG49" i="32"/>
  <c r="AT47" i="32"/>
  <c r="BB47" i="32"/>
  <c r="BJ47" i="32"/>
  <c r="BR47" i="32"/>
  <c r="BZ47" i="32"/>
  <c r="CH47" i="32"/>
  <c r="CP47" i="32"/>
  <c r="AW52" i="32"/>
  <c r="CD59" i="32"/>
  <c r="DS63" i="32"/>
  <c r="DH85" i="32"/>
  <c r="DI86" i="32" s="1"/>
  <c r="DG80" i="32"/>
  <c r="DH88" i="32"/>
  <c r="DG85" i="32"/>
  <c r="DG88" i="32"/>
  <c r="DQ80" i="32"/>
  <c r="DQ88" i="32"/>
  <c r="DQ85" i="32"/>
  <c r="DJ99" i="32"/>
  <c r="DJ96" i="32"/>
  <c r="DR99" i="32"/>
  <c r="DR96" i="32"/>
  <c r="DR91" i="32"/>
  <c r="DR93" i="32" s="1"/>
  <c r="AL93" i="32"/>
  <c r="AL92" i="32"/>
  <c r="BC92" i="32"/>
  <c r="BC93" i="32"/>
  <c r="BT93" i="32"/>
  <c r="BT92" i="32"/>
  <c r="CB93" i="32"/>
  <c r="CB92" i="32"/>
  <c r="CJ93" i="32"/>
  <c r="CJ92" i="32"/>
  <c r="CK92" i="32"/>
  <c r="CN93" i="32"/>
  <c r="DJ91" i="32"/>
  <c r="BD97" i="32"/>
  <c r="AP52" i="32"/>
  <c r="BF52" i="32"/>
  <c r="AT56" i="32"/>
  <c r="BZ56" i="32"/>
  <c r="AU61" i="32"/>
  <c r="BC61" i="32"/>
  <c r="CA61" i="32"/>
  <c r="CI61" i="32"/>
  <c r="DH63" i="32"/>
  <c r="CD65" i="32"/>
  <c r="CD66" i="32" s="1"/>
  <c r="CM65" i="32"/>
  <c r="CM67" i="32" s="1"/>
  <c r="DI80" i="32"/>
  <c r="DI88" i="32"/>
  <c r="DI85" i="32"/>
  <c r="DR85" i="32"/>
  <c r="DR80" i="32"/>
  <c r="DR88" i="32"/>
  <c r="BM82" i="32"/>
  <c r="BN81" i="32"/>
  <c r="BU82" i="32"/>
  <c r="BY82" i="32"/>
  <c r="BV81" i="32"/>
  <c r="BU81" i="32"/>
  <c r="CK82" i="32"/>
  <c r="CK81" i="32"/>
  <c r="CL81" i="32"/>
  <c r="BQ82" i="32"/>
  <c r="BT86" i="32"/>
  <c r="CB86" i="32"/>
  <c r="CJ86" i="32"/>
  <c r="DS99" i="32"/>
  <c r="DS96" i="32"/>
  <c r="DS91" i="32"/>
  <c r="BZ97" i="32"/>
  <c r="BV97" i="32"/>
  <c r="CD97" i="32"/>
  <c r="BK61" i="32"/>
  <c r="BR64" i="32"/>
  <c r="DN62" i="32"/>
  <c r="DN63" i="32" s="1"/>
  <c r="BR63" i="32"/>
  <c r="AP65" i="32"/>
  <c r="AP66" i="32" s="1"/>
  <c r="AX65" i="32"/>
  <c r="BF65" i="32"/>
  <c r="BN65" i="32"/>
  <c r="CE65" i="32"/>
  <c r="CA65" i="32"/>
  <c r="CA67" i="32" s="1"/>
  <c r="BE85" i="32"/>
  <c r="BE86" i="32" s="1"/>
  <c r="BF87" i="32"/>
  <c r="BE88" i="32"/>
  <c r="BI85" i="32"/>
  <c r="BM86" i="32" s="1"/>
  <c r="BE84" i="32"/>
  <c r="BE87" i="32"/>
  <c r="DK79" i="32"/>
  <c r="BE80" i="32"/>
  <c r="DJ85" i="32"/>
  <c r="DJ80" i="32"/>
  <c r="AQ82" i="32"/>
  <c r="AM81" i="32"/>
  <c r="BD81" i="32"/>
  <c r="BD82" i="32"/>
  <c r="BD83" i="32" s="1"/>
  <c r="BF84" i="32"/>
  <c r="BI88" i="32"/>
  <c r="BM89" i="32" s="1"/>
  <c r="CC89" i="32"/>
  <c r="BY89" i="32"/>
  <c r="AR52" i="32"/>
  <c r="BP52" i="32"/>
  <c r="CD52" i="32"/>
  <c r="DH91" i="32"/>
  <c r="DH58" i="32"/>
  <c r="DP55" i="32"/>
  <c r="DP58" i="32"/>
  <c r="AN56" i="32"/>
  <c r="AV56" i="32"/>
  <c r="BD56" i="32"/>
  <c r="BL56" i="32"/>
  <c r="BT56" i="32"/>
  <c r="CB56" i="32"/>
  <c r="CJ56" i="32"/>
  <c r="CH64" i="32"/>
  <c r="DR62" i="32"/>
  <c r="DR63" i="32" s="1"/>
  <c r="CH63" i="32"/>
  <c r="AQ65" i="32"/>
  <c r="AU65" i="32"/>
  <c r="AY65" i="32"/>
  <c r="BG65" i="32"/>
  <c r="BK65" i="32"/>
  <c r="BO65" i="32"/>
  <c r="BX65" i="32"/>
  <c r="BX67" i="32" s="1"/>
  <c r="CB65" i="32"/>
  <c r="CB67" i="32" s="1"/>
  <c r="CO65" i="32"/>
  <c r="CO67" i="32" s="1"/>
  <c r="BN86" i="32"/>
  <c r="DG46" i="32"/>
  <c r="DO46" i="32"/>
  <c r="AQ56" i="32"/>
  <c r="AY56" i="32"/>
  <c r="BG56" i="32"/>
  <c r="BO56" i="32"/>
  <c r="BW56" i="32"/>
  <c r="CE56" i="32"/>
  <c r="CM56" i="32"/>
  <c r="AS61" i="32"/>
  <c r="BY61" i="32"/>
  <c r="BY65" i="32"/>
  <c r="BG87" i="32"/>
  <c r="BG88" i="32"/>
  <c r="BH87" i="32"/>
  <c r="BC82" i="32"/>
  <c r="BT82" i="32"/>
  <c r="BO82" i="32"/>
  <c r="BV89" i="32"/>
  <c r="CD89" i="32"/>
  <c r="DI64" i="32"/>
  <c r="DI46" i="32"/>
  <c r="DQ46" i="32"/>
  <c r="AQ52" i="32"/>
  <c r="AY52" i="32"/>
  <c r="BG52" i="32"/>
  <c r="BO52" i="32"/>
  <c r="BW52" i="32"/>
  <c r="CE52" i="32"/>
  <c r="CM52" i="32"/>
  <c r="DI49" i="32"/>
  <c r="AN61" i="32"/>
  <c r="AV61" i="32"/>
  <c r="BD61" i="32"/>
  <c r="BL61" i="32"/>
  <c r="BT61" i="32"/>
  <c r="CB61" i="32"/>
  <c r="CJ61" i="32"/>
  <c r="DR58" i="32"/>
  <c r="DL62" i="32"/>
  <c r="DL63" i="32" s="1"/>
  <c r="DN80" i="32"/>
  <c r="AN81" i="32"/>
  <c r="AN82" i="32"/>
  <c r="BX89" i="32"/>
  <c r="BT89" i="32"/>
  <c r="AP99" i="32"/>
  <c r="AT100" i="32" s="1"/>
  <c r="AL95" i="32"/>
  <c r="AL96" i="32"/>
  <c r="AL98" i="32"/>
  <c r="AM95" i="32"/>
  <c r="AP96" i="32"/>
  <c r="AT97" i="32" s="1"/>
  <c r="DF90" i="32"/>
  <c r="DG99" i="32" s="1"/>
  <c r="AM98" i="32"/>
  <c r="DJ64" i="32"/>
  <c r="DJ63" i="32"/>
  <c r="DJ46" i="32"/>
  <c r="DR46" i="32"/>
  <c r="DJ49" i="32"/>
  <c r="BN63" i="32"/>
  <c r="DM62" i="32"/>
  <c r="DM63" i="32" s="1"/>
  <c r="BC65" i="32"/>
  <c r="AO82" i="32"/>
  <c r="AS82" i="32"/>
  <c r="AW83" i="32" s="1"/>
  <c r="AP81" i="32"/>
  <c r="BW81" i="32"/>
  <c r="BW82" i="32"/>
  <c r="CE81" i="32"/>
  <c r="CE82" i="32"/>
  <c r="BS82" i="32"/>
  <c r="AW89" i="32"/>
  <c r="AS89" i="32"/>
  <c r="CB89" i="32"/>
  <c r="DE91" i="32"/>
  <c r="BP93" i="32"/>
  <c r="CN97" i="32"/>
  <c r="CJ97" i="32"/>
  <c r="DK55" i="32"/>
  <c r="DL56" i="32" s="1"/>
  <c r="DS55" i="32"/>
  <c r="DS56" i="32" s="1"/>
  <c r="AL65" i="32"/>
  <c r="AT65" i="32"/>
  <c r="AT66" i="32" s="1"/>
  <c r="BB65" i="32"/>
  <c r="BJ65" i="32"/>
  <c r="BZ65" i="32"/>
  <c r="BZ67" i="32" s="1"/>
  <c r="CP65" i="32"/>
  <c r="CP66" i="32" s="1"/>
  <c r="DS85" i="32"/>
  <c r="DS88" i="32"/>
  <c r="BA81" i="32"/>
  <c r="AR84" i="32"/>
  <c r="AV85" i="32"/>
  <c r="AZ86" i="32" s="1"/>
  <c r="CG86" i="32"/>
  <c r="DM96" i="32"/>
  <c r="DM99" i="32"/>
  <c r="AW92" i="32"/>
  <c r="BP92" i="32"/>
  <c r="CI97" i="32"/>
  <c r="CE97" i="32"/>
  <c r="CM100" i="32"/>
  <c r="AR88" i="32"/>
  <c r="AS84" i="32"/>
  <c r="AU79" i="32"/>
  <c r="DM88" i="32"/>
  <c r="BC81" i="32"/>
  <c r="CI81" i="32"/>
  <c r="BL86" i="32"/>
  <c r="AV88" i="32"/>
  <c r="AZ89" i="32" s="1"/>
  <c r="BF99" i="32"/>
  <c r="BJ96" i="32"/>
  <c r="BN97" i="32" s="1"/>
  <c r="BJ99" i="32"/>
  <c r="BN100" i="32" s="1"/>
  <c r="BF91" i="32"/>
  <c r="BJ93" i="32" s="1"/>
  <c r="BF95" i="32"/>
  <c r="AP92" i="32"/>
  <c r="AS93" i="32"/>
  <c r="AO93" i="32"/>
  <c r="AO92" i="32"/>
  <c r="BO93" i="32"/>
  <c r="BO92" i="32"/>
  <c r="CA94" i="32"/>
  <c r="CE93" i="32"/>
  <c r="CI93" i="32"/>
  <c r="AK93" i="32"/>
  <c r="AO97" i="32"/>
  <c r="AV97" i="32"/>
  <c r="CC97" i="32"/>
  <c r="AV100" i="32"/>
  <c r="CI100" i="32"/>
  <c r="CE100" i="32"/>
  <c r="DF55" i="32"/>
  <c r="DG56" i="32" s="1"/>
  <c r="DN55" i="32"/>
  <c r="AY87" i="32"/>
  <c r="AX87" i="32"/>
  <c r="BB85" i="32"/>
  <c r="BF86" i="32" s="1"/>
  <c r="AX80" i="32"/>
  <c r="BB82" i="32" s="1"/>
  <c r="DN88" i="32"/>
  <c r="BL81" i="32"/>
  <c r="BT81" i="32"/>
  <c r="CB81" i="32"/>
  <c r="CJ81" i="32"/>
  <c r="DM85" i="32"/>
  <c r="BY86" i="32"/>
  <c r="BX93" i="32"/>
  <c r="CB94" i="32" s="1"/>
  <c r="BX92" i="32"/>
  <c r="CF93" i="32"/>
  <c r="CF92" i="32"/>
  <c r="DO91" i="32"/>
  <c r="CM92" i="32"/>
  <c r="BS93" i="32"/>
  <c r="CK97" i="32"/>
  <c r="AW100" i="32"/>
  <c r="AS100" i="32"/>
  <c r="BF80" i="32"/>
  <c r="BJ82" i="32" s="1"/>
  <c r="AX99" i="32"/>
  <c r="BB96" i="32"/>
  <c r="BF97" i="32" s="1"/>
  <c r="AY95" i="32"/>
  <c r="AY98" i="32"/>
  <c r="AX91" i="32"/>
  <c r="DN96" i="32"/>
  <c r="BK92" i="32"/>
  <c r="BS92" i="32"/>
  <c r="CA92" i="32"/>
  <c r="DN91" i="32"/>
  <c r="DN93" i="32" s="1"/>
  <c r="BU92" i="32"/>
  <c r="BU93" i="32"/>
  <c r="AX96" i="32"/>
  <c r="BK96" i="32"/>
  <c r="BO97" i="32" s="1"/>
  <c r="BK99" i="32"/>
  <c r="BO100" i="32" s="1"/>
  <c r="BG95" i="32"/>
  <c r="BH98" i="32"/>
  <c r="BG99" i="32"/>
  <c r="BG98" i="32"/>
  <c r="DP96" i="32"/>
  <c r="DP99" i="32"/>
  <c r="DP91" i="32"/>
  <c r="AM92" i="32"/>
  <c r="BD93" i="32"/>
  <c r="DG91" i="32"/>
  <c r="BM92" i="32"/>
  <c r="BM93" i="32"/>
  <c r="AQ97" i="32"/>
  <c r="BE97" i="32"/>
  <c r="BX97" i="32"/>
  <c r="BT97" i="32"/>
  <c r="CF97" i="32"/>
  <c r="CB97" i="32"/>
  <c r="BL97" i="32"/>
  <c r="CL99" i="32"/>
  <c r="CP100" i="32" s="1"/>
  <c r="CH95" i="32"/>
  <c r="CH96" i="32"/>
  <c r="CH97" i="32" s="1"/>
  <c r="CH98" i="32"/>
  <c r="CI98" i="32"/>
  <c r="CL96" i="32"/>
  <c r="CP97" i="32" s="1"/>
  <c r="CH99" i="32"/>
  <c r="CI95" i="32"/>
  <c r="DI96" i="32"/>
  <c r="DI99" i="32"/>
  <c r="DQ96" i="32"/>
  <c r="DQ99" i="32"/>
  <c r="AN93" i="32"/>
  <c r="AR94" i="32" s="1"/>
  <c r="AV93" i="32"/>
  <c r="AZ94" i="32" s="1"/>
  <c r="DI91" i="32"/>
  <c r="DI93" i="32" s="1"/>
  <c r="BD92" i="32"/>
  <c r="BH95" i="32"/>
  <c r="CM97" i="32"/>
  <c r="DN99" i="32"/>
  <c r="DO100" i="32" s="1"/>
  <c r="AU96" i="32"/>
  <c r="AU97" i="32" s="1"/>
  <c r="AV98" i="32"/>
  <c r="AU99" i="32"/>
  <c r="AU100" i="32" s="1"/>
  <c r="AY96" i="32"/>
  <c r="BC97" i="32" s="1"/>
  <c r="BT100" i="32"/>
  <c r="CB100" i="32"/>
  <c r="BI100" i="32"/>
  <c r="BY100" i="32"/>
  <c r="CO100" i="32"/>
  <c r="AY99" i="32"/>
  <c r="BC100" i="32" s="1"/>
  <c r="BL100" i="32"/>
  <c r="BD100" i="32"/>
  <c r="AU95" i="32"/>
  <c r="DV163" i="4"/>
  <c r="DW182" i="4"/>
  <c r="DX182" i="4" s="1"/>
  <c r="DY182" i="4" s="1"/>
  <c r="DZ182" i="4" s="1"/>
  <c r="E41" i="30"/>
  <c r="CR28" i="32" l="1"/>
  <c r="CR29" i="32"/>
  <c r="CR58" i="32" s="1"/>
  <c r="CP60" i="32"/>
  <c r="BU59" i="32"/>
  <c r="DS30" i="32"/>
  <c r="DR30" i="32"/>
  <c r="BN94" i="32"/>
  <c r="DG65" i="32"/>
  <c r="DG66" i="32" s="1"/>
  <c r="BI66" i="32"/>
  <c r="DO30" i="32"/>
  <c r="BN83" i="32"/>
  <c r="BO66" i="32"/>
  <c r="BZ50" i="32"/>
  <c r="CP67" i="32"/>
  <c r="CD67" i="32"/>
  <c r="DQ100" i="32"/>
  <c r="BI59" i="32"/>
  <c r="DP60" i="32"/>
  <c r="CO50" i="32"/>
  <c r="AU93" i="32"/>
  <c r="DS51" i="32"/>
  <c r="CT83" i="32"/>
  <c r="CO60" i="32"/>
  <c r="DR61" i="32"/>
  <c r="DR60" i="32"/>
  <c r="CQ66" i="32"/>
  <c r="CQ67" i="32"/>
  <c r="AX66" i="32"/>
  <c r="DH65" i="32"/>
  <c r="DO97" i="32"/>
  <c r="BY66" i="32"/>
  <c r="BY67" i="32"/>
  <c r="AP94" i="32"/>
  <c r="AX59" i="32"/>
  <c r="BM66" i="32"/>
  <c r="BG66" i="32"/>
  <c r="BO59" i="32"/>
  <c r="DP82" i="32"/>
  <c r="DR51" i="32"/>
  <c r="CC66" i="32"/>
  <c r="CC67" i="32"/>
  <c r="DQ30" i="32"/>
  <c r="DQ60" i="32" s="1"/>
  <c r="CG83" i="32"/>
  <c r="CN94" i="32"/>
  <c r="DP29" i="32"/>
  <c r="DP50" i="32" s="1"/>
  <c r="DO82" i="32"/>
  <c r="DP83" i="32" s="1"/>
  <c r="CC83" i="32"/>
  <c r="DJ89" i="32"/>
  <c r="BF89" i="32"/>
  <c r="DY31" i="32"/>
  <c r="DY30" i="32" s="1"/>
  <c r="CS44" i="32"/>
  <c r="CS52" i="32"/>
  <c r="DT30" i="32"/>
  <c r="DV30" i="32"/>
  <c r="DU30" i="32"/>
  <c r="DZ37" i="32"/>
  <c r="DY71" i="32"/>
  <c r="BV65" i="32"/>
  <c r="BV77" i="32"/>
  <c r="BH94" i="32"/>
  <c r="CM94" i="32"/>
  <c r="AS50" i="32"/>
  <c r="DQ77" i="32"/>
  <c r="BC94" i="32"/>
  <c r="BK89" i="32"/>
  <c r="CO66" i="32"/>
  <c r="BN66" i="32"/>
  <c r="CD83" i="32"/>
  <c r="CM83" i="32"/>
  <c r="BL94" i="32"/>
  <c r="AS66" i="32"/>
  <c r="DO29" i="32"/>
  <c r="DO59" i="32" s="1"/>
  <c r="AO94" i="32"/>
  <c r="AV86" i="32"/>
  <c r="AP83" i="32"/>
  <c r="BM50" i="32"/>
  <c r="DP77" i="32"/>
  <c r="BU83" i="32"/>
  <c r="DQ97" i="32"/>
  <c r="DN86" i="32"/>
  <c r="CL77" i="32"/>
  <c r="BI89" i="32"/>
  <c r="DR77" i="32"/>
  <c r="DS59" i="32"/>
  <c r="DH100" i="32"/>
  <c r="DT77" i="32"/>
  <c r="BP50" i="32"/>
  <c r="BU77" i="32"/>
  <c r="DK29" i="32"/>
  <c r="DK50" i="32" s="1"/>
  <c r="DJ61" i="32"/>
  <c r="BJ66" i="32"/>
  <c r="BT94" i="32"/>
  <c r="BK66" i="32"/>
  <c r="DM47" i="32"/>
  <c r="DQ47" i="32"/>
  <c r="AR50" i="32"/>
  <c r="DI56" i="32"/>
  <c r="DH61" i="32"/>
  <c r="DI29" i="32"/>
  <c r="DI59" i="32" s="1"/>
  <c r="BG93" i="32"/>
  <c r="BK94" i="32" s="1"/>
  <c r="DL29" i="32"/>
  <c r="DO56" i="32"/>
  <c r="AY66" i="32"/>
  <c r="CO83" i="32"/>
  <c r="AY59" i="32"/>
  <c r="DU29" i="32"/>
  <c r="DS52" i="32"/>
  <c r="DG59" i="32"/>
  <c r="CN83" i="32"/>
  <c r="DP65" i="32"/>
  <c r="DD29" i="32"/>
  <c r="AV92" i="32"/>
  <c r="AR81" i="32"/>
  <c r="BH81" i="32"/>
  <c r="DG61" i="32"/>
  <c r="BB100" i="32"/>
  <c r="AS94" i="32"/>
  <c r="DR82" i="32"/>
  <c r="AZ50" i="32"/>
  <c r="BW66" i="32"/>
  <c r="CG94" i="32"/>
  <c r="DM29" i="32"/>
  <c r="DM59" i="32" s="1"/>
  <c r="CF66" i="32"/>
  <c r="CN66" i="32"/>
  <c r="BB89" i="32"/>
  <c r="BG82" i="32"/>
  <c r="BK83" i="32" s="1"/>
  <c r="DJ82" i="32"/>
  <c r="CI66" i="32"/>
  <c r="BJ89" i="32"/>
  <c r="DR100" i="32"/>
  <c r="AU92" i="32"/>
  <c r="BG81" i="32"/>
  <c r="DI65" i="32"/>
  <c r="DS86" i="32"/>
  <c r="DK61" i="32"/>
  <c r="AR86" i="32"/>
  <c r="CI59" i="32"/>
  <c r="DL47" i="32"/>
  <c r="CF50" i="32"/>
  <c r="CH93" i="32"/>
  <c r="CH94" i="32" s="1"/>
  <c r="BH92" i="32"/>
  <c r="BG83" i="32"/>
  <c r="DO89" i="32"/>
  <c r="BB86" i="32"/>
  <c r="BB66" i="32"/>
  <c r="CA83" i="32"/>
  <c r="BK86" i="32"/>
  <c r="DG82" i="32"/>
  <c r="DQ89" i="32"/>
  <c r="CK50" i="32"/>
  <c r="DI47" i="32"/>
  <c r="CN59" i="32"/>
  <c r="DJ100" i="32"/>
  <c r="DJ97" i="32"/>
  <c r="CU28" i="32"/>
  <c r="CL50" i="32"/>
  <c r="CS28" i="32"/>
  <c r="CI83" i="32"/>
  <c r="BS83" i="32"/>
  <c r="DR89" i="32"/>
  <c r="CH83" i="32"/>
  <c r="AU59" i="32"/>
  <c r="DZ27" i="32"/>
  <c r="BW94" i="32"/>
  <c r="DS47" i="32"/>
  <c r="AU66" i="32"/>
  <c r="DM82" i="32"/>
  <c r="AS81" i="32"/>
  <c r="BO83" i="32"/>
  <c r="DM56" i="32"/>
  <c r="BL65" i="32"/>
  <c r="BL66" i="32" s="1"/>
  <c r="CT28" i="32"/>
  <c r="AX89" i="32"/>
  <c r="DP100" i="32"/>
  <c r="CF94" i="32"/>
  <c r="DY20" i="32"/>
  <c r="CI92" i="32"/>
  <c r="BJ100" i="32"/>
  <c r="DN100" i="32"/>
  <c r="DK47" i="32"/>
  <c r="DH47" i="32"/>
  <c r="AQ66" i="32"/>
  <c r="DH93" i="32"/>
  <c r="DI94" i="32" s="1"/>
  <c r="DK91" i="32"/>
  <c r="DK93" i="32" s="1"/>
  <c r="CM59" i="32"/>
  <c r="DM64" i="32"/>
  <c r="BR94" i="32"/>
  <c r="AR82" i="32"/>
  <c r="AV83" i="32" s="1"/>
  <c r="DY27" i="32"/>
  <c r="DY29" i="32" s="1"/>
  <c r="BT83" i="32"/>
  <c r="DR29" i="32"/>
  <c r="DR50" i="32" s="1"/>
  <c r="BU65" i="32"/>
  <c r="BQ65" i="32"/>
  <c r="BQ66" i="32" s="1"/>
  <c r="BA66" i="32"/>
  <c r="CB66" i="32"/>
  <c r="BE89" i="32"/>
  <c r="DL96" i="32"/>
  <c r="DM97" i="32" s="1"/>
  <c r="DL99" i="32"/>
  <c r="DL100" i="32" s="1"/>
  <c r="AW94" i="32"/>
  <c r="AV89" i="32"/>
  <c r="DN97" i="32"/>
  <c r="CA66" i="32"/>
  <c r="DK96" i="32"/>
  <c r="DK97" i="32" s="1"/>
  <c r="DK100" i="32"/>
  <c r="DN94" i="32"/>
  <c r="BU94" i="32"/>
  <c r="BE66" i="32"/>
  <c r="BF50" i="32"/>
  <c r="DE29" i="32"/>
  <c r="BN50" i="32"/>
  <c r="DJ29" i="32"/>
  <c r="DJ59" i="32" s="1"/>
  <c r="CK83" i="32"/>
  <c r="CL93" i="32"/>
  <c r="CP94" i="32" s="1"/>
  <c r="CE50" i="32"/>
  <c r="AY94" i="32"/>
  <c r="BY94" i="32"/>
  <c r="AU94" i="32"/>
  <c r="BR83" i="32"/>
  <c r="BL59" i="32"/>
  <c r="AV66" i="32"/>
  <c r="CI94" i="32"/>
  <c r="CE66" i="32"/>
  <c r="CM66" i="32"/>
  <c r="DI89" i="32"/>
  <c r="BE50" i="32"/>
  <c r="CK66" i="32"/>
  <c r="CK94" i="32"/>
  <c r="CP83" i="32"/>
  <c r="BR50" i="32"/>
  <c r="CA59" i="32"/>
  <c r="BA50" i="32"/>
  <c r="DP93" i="32"/>
  <c r="DQ93" i="32"/>
  <c r="DR94" i="32" s="1"/>
  <c r="DK52" i="32"/>
  <c r="CH65" i="32"/>
  <c r="CL65" i="32"/>
  <c r="DR86" i="32"/>
  <c r="CJ83" i="32"/>
  <c r="DQ52" i="32"/>
  <c r="DP52" i="32"/>
  <c r="DO50" i="32"/>
  <c r="AX81" i="32"/>
  <c r="AX82" i="32"/>
  <c r="BS94" i="32"/>
  <c r="DJ52" i="32"/>
  <c r="DR47" i="32"/>
  <c r="BD50" i="32"/>
  <c r="DJ86" i="32"/>
  <c r="BW59" i="32"/>
  <c r="DS97" i="32"/>
  <c r="DG50" i="32"/>
  <c r="DH52" i="32"/>
  <c r="AW50" i="32"/>
  <c r="CJ50" i="32"/>
  <c r="CJ66" i="32"/>
  <c r="BL83" i="32"/>
  <c r="DP89" i="32"/>
  <c r="DL50" i="32"/>
  <c r="DM52" i="32"/>
  <c r="CC94" i="32"/>
  <c r="DH82" i="32"/>
  <c r="DS82" i="32"/>
  <c r="CO94" i="32"/>
  <c r="AO66" i="32"/>
  <c r="BB50" i="32"/>
  <c r="DL59" i="32"/>
  <c r="DM61" i="32"/>
  <c r="DO52" i="32"/>
  <c r="DI52" i="32"/>
  <c r="CD94" i="32"/>
  <c r="AY100" i="32"/>
  <c r="DR97" i="32"/>
  <c r="DI97" i="32"/>
  <c r="BF81" i="32"/>
  <c r="BF82" i="32"/>
  <c r="BJ83" i="32" s="1"/>
  <c r="DO93" i="32"/>
  <c r="DO94" i="32" s="1"/>
  <c r="BG89" i="32"/>
  <c r="BF100" i="32"/>
  <c r="AP97" i="32"/>
  <c r="AR83" i="32"/>
  <c r="DJ47" i="32"/>
  <c r="BX83" i="32"/>
  <c r="BI86" i="32"/>
  <c r="BF66" i="32"/>
  <c r="BR65" i="32"/>
  <c r="BR66" i="32" s="1"/>
  <c r="BY83" i="32"/>
  <c r="DJ93" i="32"/>
  <c r="BX94" i="32"/>
  <c r="DS100" i="32"/>
  <c r="DQ82" i="32"/>
  <c r="DQ86" i="32"/>
  <c r="BS66" i="32"/>
  <c r="BV50" i="32"/>
  <c r="BS59" i="32"/>
  <c r="AY81" i="32"/>
  <c r="AN59" i="32"/>
  <c r="BV94" i="32"/>
  <c r="CH59" i="32"/>
  <c r="DN56" i="32"/>
  <c r="DN64" i="32"/>
  <c r="BJ59" i="32"/>
  <c r="CF83" i="32"/>
  <c r="DF96" i="32"/>
  <c r="DF99" i="32"/>
  <c r="DG100" i="32" s="1"/>
  <c r="DG96" i="32"/>
  <c r="DH97" i="32" s="1"/>
  <c r="DF91" i="32"/>
  <c r="DG93" i="32" s="1"/>
  <c r="DG52" i="32"/>
  <c r="CL100" i="32"/>
  <c r="CH100" i="32"/>
  <c r="BW50" i="32"/>
  <c r="BQ94" i="32"/>
  <c r="CL97" i="32"/>
  <c r="AX100" i="32"/>
  <c r="DN89" i="32"/>
  <c r="BC66" i="32"/>
  <c r="DR64" i="32"/>
  <c r="DP97" i="32"/>
  <c r="DP47" i="32"/>
  <c r="DQ61" i="32"/>
  <c r="DP59" i="32"/>
  <c r="BE82" i="32"/>
  <c r="BE81" i="32"/>
  <c r="BI82" i="32"/>
  <c r="BM83" i="32" s="1"/>
  <c r="DI82" i="32"/>
  <c r="BP94" i="32"/>
  <c r="AO50" i="32"/>
  <c r="BD94" i="32"/>
  <c r="DP61" i="32"/>
  <c r="DL64" i="32"/>
  <c r="DL65" i="32" s="1"/>
  <c r="AV94" i="32"/>
  <c r="DS50" i="32"/>
  <c r="BM94" i="32"/>
  <c r="DG47" i="32"/>
  <c r="BZ83" i="32"/>
  <c r="DQ65" i="32"/>
  <c r="BQ50" i="32"/>
  <c r="BQ59" i="32"/>
  <c r="BY50" i="32"/>
  <c r="BY59" i="32"/>
  <c r="DF29" i="32"/>
  <c r="DF59" i="32" s="1"/>
  <c r="CE83" i="32"/>
  <c r="DI100" i="32"/>
  <c r="DN61" i="32"/>
  <c r="AS83" i="32"/>
  <c r="AO83" i="32"/>
  <c r="DR52" i="32"/>
  <c r="BT50" i="32"/>
  <c r="BT66" i="32"/>
  <c r="BX50" i="32"/>
  <c r="AW66" i="32"/>
  <c r="CG59" i="32"/>
  <c r="CG50" i="32"/>
  <c r="BF92" i="32"/>
  <c r="BF93" i="32"/>
  <c r="BJ94" i="32" s="1"/>
  <c r="BG92" i="32"/>
  <c r="BB97" i="32"/>
  <c r="AX97" i="32"/>
  <c r="DN82" i="32"/>
  <c r="BJ97" i="32"/>
  <c r="BX66" i="32"/>
  <c r="DQ56" i="32"/>
  <c r="DP56" i="32"/>
  <c r="BH83" i="32"/>
  <c r="DK85" i="32"/>
  <c r="DK88" i="32"/>
  <c r="DL85" i="32"/>
  <c r="DM86" i="32" s="1"/>
  <c r="DK80" i="32"/>
  <c r="DK82" i="32" s="1"/>
  <c r="DL88" i="32"/>
  <c r="DM89" i="32" s="1"/>
  <c r="BQ83" i="32"/>
  <c r="DH89" i="32"/>
  <c r="DG89" i="32"/>
  <c r="DH29" i="32"/>
  <c r="DH50" i="32" s="1"/>
  <c r="CB59" i="32"/>
  <c r="DK65" i="32"/>
  <c r="BC59" i="32"/>
  <c r="DF65" i="32"/>
  <c r="CC50" i="32"/>
  <c r="CC59" i="32"/>
  <c r="AP100" i="32"/>
  <c r="BE94" i="32"/>
  <c r="BA94" i="32"/>
  <c r="BK59" i="32"/>
  <c r="DL52" i="32"/>
  <c r="AR89" i="32"/>
  <c r="BK97" i="32"/>
  <c r="DS61" i="32"/>
  <c r="DV29" i="32"/>
  <c r="DV58" i="32" s="1"/>
  <c r="AY97" i="32"/>
  <c r="BK100" i="32"/>
  <c r="BG100" i="32"/>
  <c r="CJ94" i="32"/>
  <c r="AX92" i="32"/>
  <c r="BB93" i="32"/>
  <c r="BF94" i="32" s="1"/>
  <c r="AY92" i="32"/>
  <c r="AX93" i="32"/>
  <c r="AV84" i="32"/>
  <c r="AY88" i="32"/>
  <c r="BC89" i="32" s="1"/>
  <c r="AV87" i="32"/>
  <c r="AU87" i="32"/>
  <c r="AY85" i="32"/>
  <c r="BC86" i="32" s="1"/>
  <c r="AU84" i="32"/>
  <c r="AU85" i="32"/>
  <c r="AU80" i="32"/>
  <c r="AU88" i="32"/>
  <c r="BZ66" i="32"/>
  <c r="BW83" i="32"/>
  <c r="DJ65" i="32"/>
  <c r="DJ66" i="32" s="1"/>
  <c r="CE94" i="32"/>
  <c r="BO94" i="32"/>
  <c r="DI61" i="32"/>
  <c r="AZ66" i="32"/>
  <c r="DK56" i="32"/>
  <c r="DS93" i="32"/>
  <c r="DS89" i="32"/>
  <c r="DH86" i="32"/>
  <c r="DG86" i="32"/>
  <c r="DN52" i="32"/>
  <c r="BH59" i="32"/>
  <c r="BH66" i="32"/>
  <c r="AV59" i="32"/>
  <c r="CT63" i="32"/>
  <c r="BH50" i="32"/>
  <c r="AQ83" i="32"/>
  <c r="BD59" i="32"/>
  <c r="DO47" i="32"/>
  <c r="CL83" i="32"/>
  <c r="BV83" i="32"/>
  <c r="AQ94" i="32"/>
  <c r="BI94" i="32"/>
  <c r="DQ29" i="32"/>
  <c r="DQ59" i="32" s="1"/>
  <c r="DN29" i="32"/>
  <c r="DN59" i="32" s="1"/>
  <c r="X26" i="27"/>
  <c r="X21" i="27"/>
  <c r="CR49" i="32" l="1"/>
  <c r="CR52" i="32" s="1"/>
  <c r="BV66" i="32"/>
  <c r="BV67" i="32"/>
  <c r="BU66" i="32"/>
  <c r="BU67" i="32"/>
  <c r="DM50" i="32"/>
  <c r="DQ67" i="32"/>
  <c r="CH66" i="32"/>
  <c r="CH67" i="32"/>
  <c r="DI50" i="32"/>
  <c r="DP66" i="32"/>
  <c r="DO83" i="32"/>
  <c r="DI66" i="32"/>
  <c r="DQ51" i="32"/>
  <c r="DS60" i="32"/>
  <c r="DP67" i="32"/>
  <c r="DO60" i="32"/>
  <c r="CL66" i="32"/>
  <c r="CL67" i="32"/>
  <c r="DO51" i="32"/>
  <c r="DZ20" i="32"/>
  <c r="DZ31" i="32"/>
  <c r="DZ30" i="32" s="1"/>
  <c r="DV60" i="32"/>
  <c r="CR51" i="32"/>
  <c r="DZ71" i="32"/>
  <c r="DK59" i="32"/>
  <c r="BG94" i="32"/>
  <c r="DO77" i="32"/>
  <c r="DK66" i="32"/>
  <c r="DL66" i="32"/>
  <c r="DJ83" i="32"/>
  <c r="DR65" i="32"/>
  <c r="DR66" i="32" s="1"/>
  <c r="DS77" i="32"/>
  <c r="DK83" i="32"/>
  <c r="DL93" i="32"/>
  <c r="DM94" i="32" s="1"/>
  <c r="BF83" i="32"/>
  <c r="DR83" i="32"/>
  <c r="DM100" i="32"/>
  <c r="DH83" i="32"/>
  <c r="DM65" i="32"/>
  <c r="DM66" i="32" s="1"/>
  <c r="DZ29" i="32"/>
  <c r="DK94" i="32"/>
  <c r="DL82" i="32"/>
  <c r="DM83" i="32" s="1"/>
  <c r="DL86" i="32"/>
  <c r="DQ83" i="32"/>
  <c r="DF50" i="32"/>
  <c r="DS65" i="32"/>
  <c r="DS66" i="32" s="1"/>
  <c r="CL94" i="32"/>
  <c r="DL97" i="32"/>
  <c r="DR59" i="32"/>
  <c r="DF66" i="32"/>
  <c r="DH94" i="32"/>
  <c r="DJ50" i="32"/>
  <c r="DL89" i="32"/>
  <c r="DK89" i="32"/>
  <c r="DQ94" i="32"/>
  <c r="DP94" i="32"/>
  <c r="DI83" i="32"/>
  <c r="AY86" i="32"/>
  <c r="AU86" i="32"/>
  <c r="BB94" i="32"/>
  <c r="AX94" i="32"/>
  <c r="BI83" i="32"/>
  <c r="BE83" i="32"/>
  <c r="DG97" i="32"/>
  <c r="DN50" i="32"/>
  <c r="DN83" i="32"/>
  <c r="DQ50" i="32"/>
  <c r="AY89" i="32"/>
  <c r="AU89" i="32"/>
  <c r="DH66" i="32"/>
  <c r="DH59" i="32"/>
  <c r="AU82" i="32"/>
  <c r="AU81" i="32"/>
  <c r="AY82" i="32"/>
  <c r="BC83" i="32" s="1"/>
  <c r="AV81" i="32"/>
  <c r="DQ66" i="32"/>
  <c r="CU63" i="32"/>
  <c r="DJ94" i="32"/>
  <c r="BB83" i="32"/>
  <c r="AX83" i="32"/>
  <c r="DN65" i="32"/>
  <c r="DN66" i="32" s="1"/>
  <c r="DO65" i="32"/>
  <c r="DO66" i="32" s="1"/>
  <c r="DK86" i="32"/>
  <c r="DS94" i="32"/>
  <c r="DS83" i="32"/>
  <c r="DW163" i="4"/>
  <c r="CS48" i="4"/>
  <c r="CT48" i="4" s="1"/>
  <c r="CU48" i="4" s="1"/>
  <c r="CR44" i="32" l="1"/>
  <c r="D40" i="29" s="1"/>
  <c r="F40" i="29" s="1"/>
  <c r="DR67" i="32"/>
  <c r="DS67" i="32"/>
  <c r="DO67" i="32"/>
  <c r="CR53" i="32"/>
  <c r="CR55" i="32" s="1"/>
  <c r="CR61" i="32"/>
  <c r="CR60" i="32"/>
  <c r="DL83" i="32"/>
  <c r="DL94" i="32"/>
  <c r="CT49" i="32"/>
  <c r="CT44" i="32" s="1"/>
  <c r="CS51" i="32"/>
  <c r="AY83" i="32"/>
  <c r="AU83" i="32"/>
  <c r="DT53" i="32"/>
  <c r="DT62" i="32"/>
  <c r="DT44" i="32"/>
  <c r="DX163" i="4"/>
  <c r="CS54" i="4"/>
  <c r="F42" i="27" l="1"/>
  <c r="F43" i="27"/>
  <c r="D41" i="29"/>
  <c r="F41" i="29" s="1"/>
  <c r="DT64" i="32"/>
  <c r="CT51" i="32"/>
  <c r="DT46" i="32"/>
  <c r="DT49" i="32"/>
  <c r="DT51" i="32" s="1"/>
  <c r="DT63" i="32"/>
  <c r="DT58" i="32"/>
  <c r="DT60" i="32" s="1"/>
  <c r="DT55" i="32"/>
  <c r="DT90" i="32"/>
  <c r="CR79" i="32"/>
  <c r="CR48" i="32"/>
  <c r="CR46" i="32"/>
  <c r="CR47" i="32" s="1"/>
  <c r="CR45" i="32"/>
  <c r="DT79" i="32"/>
  <c r="CR56" i="32"/>
  <c r="CS58" i="32"/>
  <c r="CS60" i="32" s="1"/>
  <c r="CT54" i="4"/>
  <c r="DZ163" i="4"/>
  <c r="DY163" i="4"/>
  <c r="D44" i="29" l="1"/>
  <c r="D45" i="29" s="1"/>
  <c r="F45" i="29" s="1"/>
  <c r="F46" i="27"/>
  <c r="F47" i="27" s="1"/>
  <c r="CU49" i="32"/>
  <c r="CU44" i="32" s="1"/>
  <c r="DT65" i="32"/>
  <c r="DU77" i="32"/>
  <c r="CU77" i="32"/>
  <c r="CU94" i="32"/>
  <c r="DT80" i="32"/>
  <c r="DT82" i="32" s="1"/>
  <c r="DT88" i="32"/>
  <c r="DT85" i="32"/>
  <c r="DT50" i="32"/>
  <c r="DT52" i="32"/>
  <c r="CU58" i="32"/>
  <c r="CU60" i="32" s="1"/>
  <c r="CT58" i="32"/>
  <c r="CT60" i="32" s="1"/>
  <c r="DT99" i="32"/>
  <c r="DT96" i="32"/>
  <c r="DT91" i="32"/>
  <c r="DT93" i="32" s="1"/>
  <c r="CS79" i="32"/>
  <c r="CS48" i="32"/>
  <c r="CS45" i="32"/>
  <c r="CS46" i="32"/>
  <c r="CS47" i="32" s="1"/>
  <c r="CS61" i="32"/>
  <c r="CS53" i="32"/>
  <c r="CR84" i="32"/>
  <c r="CR85" i="32"/>
  <c r="CR86" i="32" s="1"/>
  <c r="CR87" i="32"/>
  <c r="CR88" i="32"/>
  <c r="CR89" i="32" s="1"/>
  <c r="DT47" i="32"/>
  <c r="CR54" i="32"/>
  <c r="CR57" i="32"/>
  <c r="CR90" i="32"/>
  <c r="CR62" i="32"/>
  <c r="DT56" i="32"/>
  <c r="CT52" i="32"/>
  <c r="DT59" i="32"/>
  <c r="DT61" i="32"/>
  <c r="CU54" i="4"/>
  <c r="DU54" i="4" s="1"/>
  <c r="DX7" i="4"/>
  <c r="DY7" i="4"/>
  <c r="DZ7" i="4"/>
  <c r="DX64" i="4"/>
  <c r="DY64" i="4"/>
  <c r="DZ64" i="4"/>
  <c r="DX127" i="4"/>
  <c r="DY127" i="4"/>
  <c r="DZ127" i="4"/>
  <c r="DX187" i="4"/>
  <c r="DY187" i="4"/>
  <c r="DZ187" i="4"/>
  <c r="DX204" i="4"/>
  <c r="DY204" i="4"/>
  <c r="DZ204" i="4"/>
  <c r="DX221" i="4"/>
  <c r="DY221" i="4"/>
  <c r="DZ221" i="4"/>
  <c r="DX235" i="4"/>
  <c r="DY235" i="4"/>
  <c r="DZ235" i="4"/>
  <c r="DU168" i="4"/>
  <c r="DU162" i="4"/>
  <c r="DU156" i="4"/>
  <c r="DU155" i="4"/>
  <c r="DU154" i="4"/>
  <c r="DU153" i="4"/>
  <c r="DU145" i="4"/>
  <c r="DU143" i="4"/>
  <c r="DU138" i="4"/>
  <c r="DU137" i="4"/>
  <c r="DU136" i="4"/>
  <c r="DU135" i="4"/>
  <c r="DU134" i="4"/>
  <c r="DU133" i="4"/>
  <c r="DU131" i="4"/>
  <c r="DU97" i="4"/>
  <c r="DU78" i="4"/>
  <c r="DU70" i="4"/>
  <c r="DU67" i="4"/>
  <c r="DU72" i="4"/>
  <c r="DU7" i="4"/>
  <c r="DU64" i="4"/>
  <c r="DU127" i="4"/>
  <c r="DU187" i="4"/>
  <c r="DU204" i="4"/>
  <c r="DU221" i="4"/>
  <c r="DU235" i="4"/>
  <c r="CU5" i="4"/>
  <c r="CT5" i="4"/>
  <c r="CS5" i="4"/>
  <c r="CR5" i="4"/>
  <c r="CU235" i="4"/>
  <c r="CU221" i="4"/>
  <c r="CU204" i="4"/>
  <c r="CU187" i="4"/>
  <c r="CU127" i="4"/>
  <c r="CU64" i="4"/>
  <c r="CU7" i="4"/>
  <c r="CT235" i="4"/>
  <c r="CT221" i="4"/>
  <c r="CT204" i="4"/>
  <c r="CT187" i="4"/>
  <c r="CT127" i="4"/>
  <c r="CT64" i="4"/>
  <c r="CT7" i="4"/>
  <c r="CS235" i="4"/>
  <c r="CS221" i="4"/>
  <c r="CS204" i="4"/>
  <c r="CS187" i="4"/>
  <c r="CS127" i="4"/>
  <c r="CS64" i="4"/>
  <c r="CS7" i="4"/>
  <c r="CR235" i="4"/>
  <c r="CR221" i="4"/>
  <c r="CR204" i="4"/>
  <c r="CR187" i="4"/>
  <c r="CR127" i="4"/>
  <c r="CR64" i="4"/>
  <c r="CR7" i="4"/>
  <c r="CR79" i="4"/>
  <c r="CS79" i="4" s="1"/>
  <c r="CT79" i="4" s="1"/>
  <c r="CU79" i="4" s="1"/>
  <c r="DU79" i="4" s="1"/>
  <c r="CG129" i="4"/>
  <c r="CH129" i="4" s="1"/>
  <c r="CC129" i="4"/>
  <c r="CD129" i="4" s="1"/>
  <c r="CE129" i="4" s="1"/>
  <c r="CR88" i="4"/>
  <c r="CS88" i="4" s="1"/>
  <c r="CT88" i="4" s="1"/>
  <c r="CU88" i="4" s="1"/>
  <c r="CR76" i="4"/>
  <c r="CS76" i="4" s="1"/>
  <c r="CT76" i="4" s="1"/>
  <c r="CU76" i="4" s="1"/>
  <c r="DU76" i="4" s="1"/>
  <c r="CR99" i="4"/>
  <c r="CS99" i="4" s="1"/>
  <c r="CT99" i="4" s="1"/>
  <c r="CU99" i="4" s="1"/>
  <c r="DU99" i="4" s="1"/>
  <c r="CR98" i="4"/>
  <c r="CS98" i="4" s="1"/>
  <c r="CT98" i="4" s="1"/>
  <c r="CU98" i="4" s="1"/>
  <c r="DU98" i="4" s="1"/>
  <c r="CR95" i="4"/>
  <c r="CR94" i="4"/>
  <c r="CS94" i="4" s="1"/>
  <c r="CT94" i="4" s="1"/>
  <c r="CU94" i="4" s="1"/>
  <c r="DU94" i="4" s="1"/>
  <c r="CR87" i="4"/>
  <c r="CR71" i="4"/>
  <c r="CS71" i="4" s="1"/>
  <c r="CT71" i="4" s="1"/>
  <c r="CU71" i="4" s="1"/>
  <c r="DU71" i="4" s="1"/>
  <c r="BW39" i="4"/>
  <c r="BV39" i="4"/>
  <c r="BU39" i="4"/>
  <c r="BT39" i="4"/>
  <c r="BS39" i="4"/>
  <c r="BR39" i="4"/>
  <c r="BQ39" i="4"/>
  <c r="BP39" i="4"/>
  <c r="BO39" i="4"/>
  <c r="BN39" i="4"/>
  <c r="BM39" i="4"/>
  <c r="BL39" i="4"/>
  <c r="BK39" i="4"/>
  <c r="BJ39" i="4"/>
  <c r="BI39" i="4"/>
  <c r="BH39" i="4"/>
  <c r="BG39" i="4"/>
  <c r="BF39" i="4"/>
  <c r="BE39" i="4"/>
  <c r="BD39" i="4"/>
  <c r="BC39" i="4"/>
  <c r="BB39" i="4"/>
  <c r="BA39" i="4"/>
  <c r="AZ39" i="4"/>
  <c r="AY39" i="4"/>
  <c r="AX39" i="4"/>
  <c r="AW39" i="4"/>
  <c r="AV39" i="4"/>
  <c r="AU39" i="4"/>
  <c r="AT39" i="4"/>
  <c r="AS39" i="4"/>
  <c r="AR39" i="4"/>
  <c r="AQ39" i="4"/>
  <c r="AP39" i="4"/>
  <c r="AO39" i="4"/>
  <c r="AN39" i="4"/>
  <c r="AM39" i="4"/>
  <c r="AL39" i="4"/>
  <c r="AK39" i="4"/>
  <c r="AJ39" i="4"/>
  <c r="AI39" i="4"/>
  <c r="AH39" i="4"/>
  <c r="AG39" i="4"/>
  <c r="AF39" i="4"/>
  <c r="AE39" i="4"/>
  <c r="AD39" i="4"/>
  <c r="AC39" i="4"/>
  <c r="AB39" i="4"/>
  <c r="AA39" i="4"/>
  <c r="Z39" i="4"/>
  <c r="Y39" i="4"/>
  <c r="X39" i="4"/>
  <c r="BW36" i="4"/>
  <c r="BV36" i="4"/>
  <c r="BU36" i="4"/>
  <c r="BT36" i="4"/>
  <c r="BS36" i="4"/>
  <c r="BR36" i="4"/>
  <c r="BQ36" i="4"/>
  <c r="BP36" i="4"/>
  <c r="BO36" i="4"/>
  <c r="BN36" i="4"/>
  <c r="BM36" i="4"/>
  <c r="BL36" i="4"/>
  <c r="BK36" i="4"/>
  <c r="BJ36" i="4"/>
  <c r="BI36" i="4"/>
  <c r="BH36" i="4"/>
  <c r="BG36" i="4"/>
  <c r="BE36" i="4"/>
  <c r="BD36" i="4"/>
  <c r="BC36" i="4"/>
  <c r="BB36" i="4"/>
  <c r="BA36" i="4"/>
  <c r="AZ36" i="4"/>
  <c r="AY36" i="4"/>
  <c r="AX36" i="4"/>
  <c r="AW36" i="4"/>
  <c r="AV36" i="4"/>
  <c r="AU36" i="4"/>
  <c r="AT36" i="4"/>
  <c r="AS36" i="4"/>
  <c r="AR36" i="4"/>
  <c r="AQ36" i="4"/>
  <c r="AP36" i="4"/>
  <c r="AO36" i="4"/>
  <c r="AN36" i="4"/>
  <c r="AM36" i="4"/>
  <c r="AL36" i="4"/>
  <c r="AK36" i="4"/>
  <c r="AJ36" i="4"/>
  <c r="AI36" i="4"/>
  <c r="AH36" i="4"/>
  <c r="AG36" i="4"/>
  <c r="AF36" i="4"/>
  <c r="AE36" i="4"/>
  <c r="AD36" i="4"/>
  <c r="AC36" i="4"/>
  <c r="AB36" i="4"/>
  <c r="AA36" i="4"/>
  <c r="Z36" i="4"/>
  <c r="Y36" i="4"/>
  <c r="X36" i="4"/>
  <c r="CS55" i="32" l="1"/>
  <c r="CS56" i="32" s="1"/>
  <c r="F44" i="29"/>
  <c r="D46" i="29"/>
  <c r="F46" i="29" s="1"/>
  <c r="F48" i="27"/>
  <c r="CU52" i="32"/>
  <c r="CU51" i="32"/>
  <c r="DT66" i="32"/>
  <c r="DT67" i="32"/>
  <c r="CR93" i="32"/>
  <c r="CR94" i="32" s="1"/>
  <c r="CR99" i="32"/>
  <c r="CR100" i="32" s="1"/>
  <c r="CR96" i="32"/>
  <c r="CR97" i="32" s="1"/>
  <c r="DT100" i="32"/>
  <c r="DT89" i="32"/>
  <c r="CT53" i="32"/>
  <c r="CT55" i="32" s="1"/>
  <c r="CT61" i="32"/>
  <c r="CS57" i="32"/>
  <c r="CS54" i="32"/>
  <c r="CS90" i="32"/>
  <c r="CU61" i="32"/>
  <c r="CU53" i="32"/>
  <c r="CU62" i="32" s="1"/>
  <c r="DT86" i="32"/>
  <c r="CU79" i="32"/>
  <c r="CU45" i="32"/>
  <c r="CU46" i="32"/>
  <c r="CU47" i="32" s="1"/>
  <c r="CU48" i="32"/>
  <c r="CT79" i="32"/>
  <c r="CT45" i="32"/>
  <c r="CT46" i="32"/>
  <c r="CT47" i="32" s="1"/>
  <c r="CT48" i="32"/>
  <c r="DT94" i="32"/>
  <c r="CS85" i="32"/>
  <c r="CS86" i="32" s="1"/>
  <c r="CS88" i="32"/>
  <c r="CS89" i="32" s="1"/>
  <c r="CS84" i="32"/>
  <c r="CS87" i="32"/>
  <c r="DT83" i="32"/>
  <c r="CR64" i="32"/>
  <c r="CS62" i="32"/>
  <c r="CS64" i="32" s="1"/>
  <c r="DU44" i="32"/>
  <c r="H40" i="29" s="1"/>
  <c r="CR98" i="32"/>
  <c r="CR95" i="32"/>
  <c r="DT97" i="32"/>
  <c r="DU163" i="4"/>
  <c r="CR239" i="4"/>
  <c r="CS87" i="4"/>
  <c r="DU88" i="4"/>
  <c r="DU5" i="4"/>
  <c r="CS95" i="4"/>
  <c r="AD37" i="4"/>
  <c r="AL37" i="4"/>
  <c r="AF37" i="4"/>
  <c r="AN37" i="4"/>
  <c r="AV37" i="4"/>
  <c r="BD37" i="4"/>
  <c r="BL37" i="4"/>
  <c r="BB37" i="4"/>
  <c r="AT37" i="4"/>
  <c r="BJ37" i="4"/>
  <c r="Y37" i="4"/>
  <c r="AW37" i="4"/>
  <c r="AP37" i="4"/>
  <c r="AA37" i="4"/>
  <c r="AC37" i="4"/>
  <c r="AK37" i="4"/>
  <c r="AS37" i="4"/>
  <c r="BA37" i="4"/>
  <c r="BI37" i="4"/>
  <c r="AO37" i="4"/>
  <c r="AX37" i="4"/>
  <c r="AQ37" i="4"/>
  <c r="AG37" i="4"/>
  <c r="Z37" i="4"/>
  <c r="AH37" i="4"/>
  <c r="BF37" i="4"/>
  <c r="AI37" i="4"/>
  <c r="AY37" i="4"/>
  <c r="AE37" i="4"/>
  <c r="AM37" i="4"/>
  <c r="AU37" i="4"/>
  <c r="BC37" i="4"/>
  <c r="BK37" i="4"/>
  <c r="AB37" i="4"/>
  <c r="AJ37" i="4"/>
  <c r="AR37" i="4"/>
  <c r="AZ37" i="4"/>
  <c r="BH37" i="4"/>
  <c r="BQ37" i="4"/>
  <c r="BV37" i="4"/>
  <c r="BR37" i="4"/>
  <c r="BS37" i="4"/>
  <c r="BT37" i="4"/>
  <c r="G26" i="31"/>
  <c r="F7" i="31"/>
  <c r="G7" i="31" s="1"/>
  <c r="H7" i="31" s="1"/>
  <c r="I7" i="31" s="1"/>
  <c r="J7" i="31" s="1"/>
  <c r="K7" i="31" s="1"/>
  <c r="L7" i="31" s="1"/>
  <c r="M7" i="31" s="1"/>
  <c r="N7" i="31" s="1"/>
  <c r="O7" i="31" s="1"/>
  <c r="DL54" i="4"/>
  <c r="DL55" i="4"/>
  <c r="DJ55" i="4"/>
  <c r="BA54" i="4"/>
  <c r="BB54" i="4"/>
  <c r="BC54" i="4"/>
  <c r="BD54" i="4"/>
  <c r="BE55" i="4"/>
  <c r="BE37" i="4" s="1"/>
  <c r="BE54" i="4"/>
  <c r="BG54" i="4"/>
  <c r="BG55" i="4"/>
  <c r="BG37" i="4" s="1"/>
  <c r="BM54" i="4"/>
  <c r="BM55" i="4"/>
  <c r="BM37" i="4" s="1"/>
  <c r="BN54" i="4"/>
  <c r="BN55" i="4"/>
  <c r="BN37" i="4" s="1"/>
  <c r="BO54" i="4"/>
  <c r="BO55" i="4"/>
  <c r="BO37" i="4" s="1"/>
  <c r="BP54" i="4"/>
  <c r="BP55" i="4"/>
  <c r="DN55" i="4" s="1"/>
  <c r="BQ54" i="4"/>
  <c r="BQ56" i="4" s="1"/>
  <c r="BS54" i="4"/>
  <c r="BS56" i="4" s="1"/>
  <c r="BU54" i="4"/>
  <c r="BU55" i="4"/>
  <c r="BU37" i="4" s="1"/>
  <c r="BW54" i="4"/>
  <c r="BW55" i="4"/>
  <c r="BW37" i="4" s="1"/>
  <c r="BX54" i="4"/>
  <c r="BX55" i="4"/>
  <c r="BY54" i="4"/>
  <c r="BY55" i="4"/>
  <c r="BZ54" i="4"/>
  <c r="BZ55" i="4"/>
  <c r="CB54" i="4"/>
  <c r="CB55" i="4"/>
  <c r="CC54" i="4"/>
  <c r="CC55" i="4"/>
  <c r="CD54" i="4"/>
  <c r="CD55" i="4"/>
  <c r="CE54" i="4"/>
  <c r="CE55" i="4"/>
  <c r="CF54" i="4"/>
  <c r="CF55" i="4"/>
  <c r="CG54" i="4"/>
  <c r="CG55" i="4"/>
  <c r="CH54" i="4"/>
  <c r="CH55" i="4"/>
  <c r="CI54" i="4"/>
  <c r="CI55" i="4"/>
  <c r="CJ54" i="4"/>
  <c r="CJ55" i="4"/>
  <c r="CK54" i="4"/>
  <c r="CK55" i="4"/>
  <c r="CL54" i="4"/>
  <c r="CL55" i="4"/>
  <c r="CM54" i="4"/>
  <c r="CM55" i="4"/>
  <c r="CP55" i="4"/>
  <c r="CN54" i="4"/>
  <c r="CN55" i="4"/>
  <c r="CO54" i="4"/>
  <c r="CO55" i="4"/>
  <c r="CP54" i="4"/>
  <c r="DC50" i="4"/>
  <c r="DS50" i="4"/>
  <c r="DR50" i="4"/>
  <c r="DQ50" i="4"/>
  <c r="DP50" i="4"/>
  <c r="DO50" i="4"/>
  <c r="DN50" i="4"/>
  <c r="DM50" i="4"/>
  <c r="DL50" i="4"/>
  <c r="DK50" i="4"/>
  <c r="DJ50" i="4"/>
  <c r="DI50" i="4"/>
  <c r="DH50" i="4"/>
  <c r="DG50" i="4"/>
  <c r="DF50" i="4"/>
  <c r="DE50" i="4"/>
  <c r="DD50" i="4"/>
  <c r="R73" i="30"/>
  <c r="V73" i="30" s="1"/>
  <c r="M73" i="30"/>
  <c r="H73" i="30"/>
  <c r="R68" i="30"/>
  <c r="M68" i="30"/>
  <c r="H68" i="30"/>
  <c r="G57" i="30"/>
  <c r="K57" i="30"/>
  <c r="O57" i="30"/>
  <c r="O50" i="30"/>
  <c r="K50" i="30"/>
  <c r="I48" i="30"/>
  <c r="G50" i="30"/>
  <c r="O43" i="30"/>
  <c r="K43" i="30"/>
  <c r="G43" i="30"/>
  <c r="O31" i="30"/>
  <c r="O30" i="30"/>
  <c r="O29" i="30"/>
  <c r="O28" i="30"/>
  <c r="K31" i="30"/>
  <c r="K30" i="30"/>
  <c r="K29" i="30"/>
  <c r="K28" i="30"/>
  <c r="G31" i="30"/>
  <c r="G30" i="30"/>
  <c r="G29" i="30"/>
  <c r="G28" i="30"/>
  <c r="E21" i="30"/>
  <c r="T21" i="30" s="1"/>
  <c r="Q41" i="30"/>
  <c r="M41" i="30"/>
  <c r="I41" i="30"/>
  <c r="E48" i="30"/>
  <c r="M48" i="30"/>
  <c r="Q48" i="30"/>
  <c r="Q55" i="30"/>
  <c r="M55" i="30"/>
  <c r="I55" i="30"/>
  <c r="Q44" i="30"/>
  <c r="M44" i="30"/>
  <c r="I44" i="30"/>
  <c r="E44" i="30"/>
  <c r="E51" i="30"/>
  <c r="I51" i="30"/>
  <c r="M51" i="30"/>
  <c r="Q51" i="30"/>
  <c r="Q58" i="30"/>
  <c r="M58" i="30"/>
  <c r="E58" i="30"/>
  <c r="I58" i="30"/>
  <c r="E55" i="30"/>
  <c r="Q35" i="30"/>
  <c r="Q37" i="30"/>
  <c r="R36" i="30"/>
  <c r="P36" i="30"/>
  <c r="CH218" i="4"/>
  <c r="CH217" i="4"/>
  <c r="CH216" i="4"/>
  <c r="CH212" i="4"/>
  <c r="CL207" i="4" s="1"/>
  <c r="CH201" i="4"/>
  <c r="CH200" i="4"/>
  <c r="CH199" i="4"/>
  <c r="CH195" i="4"/>
  <c r="CL190" i="4" s="1"/>
  <c r="D47" i="29" l="1"/>
  <c r="F47" i="29" s="1"/>
  <c r="CT62" i="32"/>
  <c r="DU62" i="32" s="1"/>
  <c r="CT56" i="32"/>
  <c r="CS93" i="32"/>
  <c r="CS94" i="32" s="1"/>
  <c r="CS96" i="32"/>
  <c r="CS97" i="32" s="1"/>
  <c r="CS99" i="32"/>
  <c r="CS100" i="32" s="1"/>
  <c r="CS98" i="32"/>
  <c r="CS95" i="32"/>
  <c r="CR65" i="32"/>
  <c r="CU87" i="32"/>
  <c r="CU88" i="32"/>
  <c r="CU89" i="32" s="1"/>
  <c r="CU84" i="32"/>
  <c r="CU85" i="32"/>
  <c r="CU86" i="32" s="1"/>
  <c r="DU46" i="32"/>
  <c r="DU49" i="32"/>
  <c r="DU51" i="32" s="1"/>
  <c r="CT87" i="32"/>
  <c r="CT84" i="32"/>
  <c r="CT88" i="32"/>
  <c r="CT89" i="32" s="1"/>
  <c r="CT85" i="32"/>
  <c r="CT86" i="32" s="1"/>
  <c r="CT90" i="32"/>
  <c r="CT54" i="32"/>
  <c r="CT57" i="32"/>
  <c r="DU53" i="32"/>
  <c r="H41" i="29" s="1"/>
  <c r="CU90" i="32"/>
  <c r="CU55" i="32"/>
  <c r="CU56" i="32" s="1"/>
  <c r="CU54" i="32"/>
  <c r="CU57" i="32"/>
  <c r="CS65" i="32"/>
  <c r="CU64" i="32"/>
  <c r="DU79" i="32"/>
  <c r="H44" i="29" s="1"/>
  <c r="H45" i="29" s="1"/>
  <c r="DT54" i="4"/>
  <c r="BW56" i="4"/>
  <c r="CH219" i="4"/>
  <c r="CL56" i="4"/>
  <c r="CD56" i="4"/>
  <c r="CR9" i="4"/>
  <c r="BO56" i="4"/>
  <c r="BP37" i="4"/>
  <c r="BP56" i="4"/>
  <c r="CR50" i="4"/>
  <c r="DT50" i="4"/>
  <c r="CP56" i="4"/>
  <c r="DO54" i="4"/>
  <c r="CT87" i="4"/>
  <c r="CS9" i="4"/>
  <c r="CT95" i="4"/>
  <c r="CS239" i="4"/>
  <c r="H26" i="31"/>
  <c r="BN56" i="4"/>
  <c r="CI56" i="4"/>
  <c r="DS55" i="4"/>
  <c r="CM56" i="4"/>
  <c r="CF56" i="4"/>
  <c r="BE56" i="4"/>
  <c r="DK55" i="4"/>
  <c r="CK56" i="4"/>
  <c r="CN56" i="4"/>
  <c r="CC56" i="4"/>
  <c r="BX56" i="4"/>
  <c r="DM54" i="4"/>
  <c r="BZ56" i="4"/>
  <c r="DS54" i="4"/>
  <c r="DQ55" i="4"/>
  <c r="DJ54" i="4"/>
  <c r="DJ56" i="4" s="1"/>
  <c r="CE56" i="4"/>
  <c r="CO56" i="4"/>
  <c r="DK54" i="4"/>
  <c r="DR54" i="4"/>
  <c r="DP55" i="4"/>
  <c r="DQ54" i="4"/>
  <c r="BG56" i="4"/>
  <c r="DN54" i="4"/>
  <c r="DN56" i="4" s="1"/>
  <c r="O48" i="30"/>
  <c r="O58" i="30"/>
  <c r="O44" i="30"/>
  <c r="G41" i="30"/>
  <c r="K48" i="30"/>
  <c r="O51" i="30"/>
  <c r="O41" i="30"/>
  <c r="K44" i="30"/>
  <c r="DM55" i="4"/>
  <c r="DO55" i="4"/>
  <c r="CH56" i="4"/>
  <c r="DR55" i="4"/>
  <c r="K51" i="30"/>
  <c r="BY56" i="4"/>
  <c r="DP54" i="4"/>
  <c r="BM56" i="4"/>
  <c r="G55" i="30"/>
  <c r="CJ56" i="4"/>
  <c r="CG56" i="4"/>
  <c r="BU56" i="4"/>
  <c r="CH202" i="4"/>
  <c r="K41" i="30"/>
  <c r="G44" i="30"/>
  <c r="K58" i="30"/>
  <c r="O55" i="30"/>
  <c r="K55" i="30"/>
  <c r="G58" i="30"/>
  <c r="G51" i="30"/>
  <c r="G48" i="30"/>
  <c r="Q36" i="30"/>
  <c r="CL201" i="4"/>
  <c r="CK201" i="4"/>
  <c r="CJ201" i="4"/>
  <c r="CI201" i="4"/>
  <c r="CL200" i="4"/>
  <c r="CK200" i="4"/>
  <c r="CJ200" i="4"/>
  <c r="CI200" i="4"/>
  <c r="CL199" i="4"/>
  <c r="CK199" i="4"/>
  <c r="CJ199" i="4"/>
  <c r="CI199" i="4"/>
  <c r="CO218" i="4"/>
  <c r="CL218" i="4"/>
  <c r="CK218" i="4"/>
  <c r="CJ218" i="4"/>
  <c r="CI218" i="4"/>
  <c r="CO217" i="4"/>
  <c r="CL217" i="4"/>
  <c r="CK217" i="4"/>
  <c r="CJ217" i="4"/>
  <c r="CI217" i="4"/>
  <c r="CO216" i="4"/>
  <c r="CL216" i="4"/>
  <c r="CK216" i="4"/>
  <c r="CJ216" i="4"/>
  <c r="CI216" i="4"/>
  <c r="CI212" i="4"/>
  <c r="CM207" i="4" s="1"/>
  <c r="CM216" i="4" s="1"/>
  <c r="CN200" i="4"/>
  <c r="CN199" i="4"/>
  <c r="CI195" i="4"/>
  <c r="CM190" i="4" s="1"/>
  <c r="CM199" i="4" s="1"/>
  <c r="Y9" i="27" l="1"/>
  <c r="D8" i="29"/>
  <c r="F8" i="29" s="1"/>
  <c r="F9" i="27"/>
  <c r="DU64" i="32"/>
  <c r="DU65" i="32" s="1"/>
  <c r="CS66" i="32"/>
  <c r="CS67" i="32"/>
  <c r="CR66" i="32"/>
  <c r="CR67" i="32"/>
  <c r="CT64" i="32"/>
  <c r="CT65" i="32" s="1"/>
  <c r="DU63" i="32"/>
  <c r="DV63" i="32" s="1"/>
  <c r="DW63" i="32" s="1"/>
  <c r="CT96" i="32"/>
  <c r="CT97" i="32" s="1"/>
  <c r="CT93" i="32"/>
  <c r="CT94" i="32" s="1"/>
  <c r="CT99" i="32"/>
  <c r="CT100" i="32" s="1"/>
  <c r="CT95" i="32"/>
  <c r="CT98" i="32"/>
  <c r="DU90" i="32"/>
  <c r="H46" i="29" s="1"/>
  <c r="H47" i="29" s="1"/>
  <c r="DU88" i="32"/>
  <c r="DU85" i="32"/>
  <c r="DU80" i="32"/>
  <c r="DV80" i="32" s="1"/>
  <c r="DW80" i="32" s="1"/>
  <c r="DX80" i="32" s="1"/>
  <c r="DY80" i="32" s="1"/>
  <c r="DZ80" i="32" s="1"/>
  <c r="CU95" i="32"/>
  <c r="CU96" i="32"/>
  <c r="CU97" i="32" s="1"/>
  <c r="CU99" i="32"/>
  <c r="CU100" i="32" s="1"/>
  <c r="CU98" i="32"/>
  <c r="CU65" i="32"/>
  <c r="DU55" i="32"/>
  <c r="DU58" i="32"/>
  <c r="DU60" i="32" s="1"/>
  <c r="DU50" i="32"/>
  <c r="DU52" i="32"/>
  <c r="DU47" i="32"/>
  <c r="DT55" i="4"/>
  <c r="DT56" i="4" s="1"/>
  <c r="DU56" i="4" s="1"/>
  <c r="DV56" i="4" s="1"/>
  <c r="CR56" i="4"/>
  <c r="DS56" i="4"/>
  <c r="DQ56" i="4"/>
  <c r="CU95" i="4"/>
  <c r="CT239" i="4"/>
  <c r="CS50" i="4"/>
  <c r="CR47" i="4"/>
  <c r="CR152" i="4"/>
  <c r="CR10" i="4"/>
  <c r="DM56" i="4"/>
  <c r="CS152" i="4"/>
  <c r="CS47" i="4"/>
  <c r="CS10" i="4"/>
  <c r="DO56" i="4"/>
  <c r="CU87" i="4"/>
  <c r="I26" i="31"/>
  <c r="J26" i="31" s="1"/>
  <c r="DK56" i="4"/>
  <c r="CJ219" i="4"/>
  <c r="CK202" i="4"/>
  <c r="CK219" i="4"/>
  <c r="CI219" i="4"/>
  <c r="CJ202" i="4"/>
  <c r="DR56" i="4"/>
  <c r="DP56" i="4"/>
  <c r="CO219" i="4"/>
  <c r="CI202" i="4"/>
  <c r="CM218" i="4"/>
  <c r="CM217" i="4"/>
  <c r="CM219" i="4" s="1"/>
  <c r="CL202" i="4"/>
  <c r="CL219" i="4"/>
  <c r="CN184" i="4"/>
  <c r="CF184" i="4"/>
  <c r="CB184" i="4"/>
  <c r="BX184" i="4"/>
  <c r="BV184" i="4"/>
  <c r="BU184" i="4"/>
  <c r="BT184" i="4"/>
  <c r="BP184" i="4"/>
  <c r="BM184" i="4"/>
  <c r="BL184" i="4"/>
  <c r="BH184" i="4"/>
  <c r="BD184" i="4"/>
  <c r="AZ184" i="4"/>
  <c r="AV184" i="4"/>
  <c r="AR184" i="4"/>
  <c r="AJ184" i="4"/>
  <c r="AF184" i="4"/>
  <c r="AB184" i="4"/>
  <c r="X184" i="4"/>
  <c r="W184" i="4"/>
  <c r="V184" i="4"/>
  <c r="U184" i="4"/>
  <c r="R184" i="4"/>
  <c r="Q184" i="4"/>
  <c r="P184" i="4"/>
  <c r="N184" i="4"/>
  <c r="M184" i="4"/>
  <c r="L184" i="4"/>
  <c r="K184" i="4"/>
  <c r="J184" i="4"/>
  <c r="I184" i="4"/>
  <c r="H184" i="4"/>
  <c r="D33" i="29" l="1"/>
  <c r="F33" i="29" s="1"/>
  <c r="F34" i="27"/>
  <c r="AA9" i="27"/>
  <c r="Z9" i="27"/>
  <c r="CT66" i="32"/>
  <c r="CT67" i="32"/>
  <c r="CU66" i="32"/>
  <c r="CU67" i="32"/>
  <c r="DU66" i="32"/>
  <c r="DV77" i="32"/>
  <c r="DX63" i="32"/>
  <c r="DU99" i="32"/>
  <c r="DU91" i="32"/>
  <c r="DV91" i="32" s="1"/>
  <c r="DW91" i="32" s="1"/>
  <c r="DX91" i="32" s="1"/>
  <c r="DY91" i="32" s="1"/>
  <c r="DZ91" i="32" s="1"/>
  <c r="DU96" i="32"/>
  <c r="DU59" i="32"/>
  <c r="DU61" i="32"/>
  <c r="DU89" i="32"/>
  <c r="DU56" i="32"/>
  <c r="DU82" i="32"/>
  <c r="DU86" i="32"/>
  <c r="CT9" i="4"/>
  <c r="CS56" i="4"/>
  <c r="CR55" i="4"/>
  <c r="CR36" i="4" s="1"/>
  <c r="CR38" i="4" s="1"/>
  <c r="CR40" i="4" s="1"/>
  <c r="DW56" i="4"/>
  <c r="DV55" i="4"/>
  <c r="DU87" i="4"/>
  <c r="CR160" i="4"/>
  <c r="CR130" i="4"/>
  <c r="CT50" i="4"/>
  <c r="CS160" i="4"/>
  <c r="CS130" i="4"/>
  <c r="DU95" i="4"/>
  <c r="CU239" i="4"/>
  <c r="K26" i="31"/>
  <c r="L26" i="31" s="1"/>
  <c r="M26" i="31" s="1"/>
  <c r="N26" i="31" s="1"/>
  <c r="O26" i="31" s="1"/>
  <c r="O74" i="30"/>
  <c r="O73" i="30"/>
  <c r="Q73" i="30" s="1"/>
  <c r="N36" i="30"/>
  <c r="L36" i="30"/>
  <c r="M37" i="30"/>
  <c r="O37" i="30" s="1"/>
  <c r="M35" i="30"/>
  <c r="O35" i="30" s="1"/>
  <c r="M34" i="30"/>
  <c r="CN207" i="4"/>
  <c r="CN212" i="4" s="1"/>
  <c r="CJ195" i="4"/>
  <c r="CJ197" i="4" s="1"/>
  <c r="J36" i="30"/>
  <c r="H36" i="30"/>
  <c r="I37" i="30"/>
  <c r="I35" i="30"/>
  <c r="I34" i="30"/>
  <c r="J74" i="30"/>
  <c r="J73" i="30"/>
  <c r="L73" i="30" s="1"/>
  <c r="CK212" i="4"/>
  <c r="CK195" i="4"/>
  <c r="CK197" i="4" s="1"/>
  <c r="E74" i="30"/>
  <c r="E73" i="30"/>
  <c r="E37" i="30"/>
  <c r="E35" i="30"/>
  <c r="E34" i="30"/>
  <c r="F36" i="30"/>
  <c r="D36" i="30"/>
  <c r="CL212" i="4"/>
  <c r="CL195" i="4"/>
  <c r="CL197" i="4" s="1"/>
  <c r="Q27" i="30"/>
  <c r="Q26" i="30"/>
  <c r="Q25" i="30"/>
  <c r="W25" i="30" s="1"/>
  <c r="Q24" i="30"/>
  <c r="W24" i="30" s="1"/>
  <c r="Q23" i="30"/>
  <c r="W23" i="30" s="1"/>
  <c r="Q22" i="30"/>
  <c r="R21" i="30"/>
  <c r="P21" i="30"/>
  <c r="CM212" i="4"/>
  <c r="CM200" i="4"/>
  <c r="CM202" i="4" s="1"/>
  <c r="CM201" i="4"/>
  <c r="CM195" i="4"/>
  <c r="P68" i="30"/>
  <c r="N68" i="30"/>
  <c r="O70" i="30"/>
  <c r="O69" i="30"/>
  <c r="M27" i="30"/>
  <c r="O27" i="30" s="1"/>
  <c r="M26" i="30"/>
  <c r="O26" i="30" s="1"/>
  <c r="M25" i="30"/>
  <c r="M24" i="30"/>
  <c r="M23" i="30"/>
  <c r="V23" i="30" s="1"/>
  <c r="M22" i="30"/>
  <c r="O22" i="30" s="1"/>
  <c r="N21" i="30"/>
  <c r="L21" i="30"/>
  <c r="CN201" i="4"/>
  <c r="CN202" i="4"/>
  <c r="CN195" i="4"/>
  <c r="CN197" i="4" s="1"/>
  <c r="J70" i="30"/>
  <c r="J69" i="30"/>
  <c r="K68" i="30"/>
  <c r="I68" i="30"/>
  <c r="I23" i="30"/>
  <c r="U23" i="30" s="1"/>
  <c r="I27" i="30"/>
  <c r="K27" i="30" s="1"/>
  <c r="I26" i="30"/>
  <c r="K26" i="30" s="1"/>
  <c r="I25" i="30"/>
  <c r="I24" i="30"/>
  <c r="I22" i="30"/>
  <c r="J21" i="30"/>
  <c r="H21" i="30"/>
  <c r="CP27" i="4"/>
  <c r="CP17" i="4"/>
  <c r="CO212" i="4"/>
  <c r="BA48" i="4"/>
  <c r="AZ48" i="4"/>
  <c r="AY48" i="4"/>
  <c r="AX48" i="4"/>
  <c r="AT48" i="4"/>
  <c r="AS48" i="4"/>
  <c r="AR48" i="4"/>
  <c r="CP47" i="4"/>
  <c r="CP48" i="4" s="1"/>
  <c r="CO47" i="4"/>
  <c r="CO48" i="4" s="1"/>
  <c r="CN47" i="4"/>
  <c r="CN48" i="4" s="1"/>
  <c r="CL47" i="4"/>
  <c r="CL48" i="4" s="1"/>
  <c r="CK47" i="4"/>
  <c r="CK48" i="4" s="1"/>
  <c r="CJ47" i="4"/>
  <c r="CJ48" i="4" s="1"/>
  <c r="CH47" i="4"/>
  <c r="CG47" i="4"/>
  <c r="CG48" i="4" s="1"/>
  <c r="CF47" i="4"/>
  <c r="CD47" i="4"/>
  <c r="CC47" i="4"/>
  <c r="CC48" i="4" s="1"/>
  <c r="CB47" i="4"/>
  <c r="CB48" i="4" s="1"/>
  <c r="BZ47" i="4"/>
  <c r="BZ48" i="4" s="1"/>
  <c r="BY47" i="4"/>
  <c r="BY48" i="4" s="1"/>
  <c r="BX47" i="4"/>
  <c r="BV47" i="4"/>
  <c r="BU47" i="4"/>
  <c r="BT47" i="4"/>
  <c r="BR47" i="4"/>
  <c r="BQ47" i="4"/>
  <c r="BQ48" i="4" s="1"/>
  <c r="BP47" i="4"/>
  <c r="BN47" i="4"/>
  <c r="BN48" i="4" s="1"/>
  <c r="BM47" i="4"/>
  <c r="BM48" i="4" s="1"/>
  <c r="BL47" i="4"/>
  <c r="BL48" i="4" s="1"/>
  <c r="BJ47" i="4"/>
  <c r="BI47" i="4"/>
  <c r="BI48" i="4" s="1"/>
  <c r="BH47" i="4"/>
  <c r="BH48" i="4" s="1"/>
  <c r="BF47" i="4"/>
  <c r="BF48" i="4" s="1"/>
  <c r="BE47" i="4"/>
  <c r="BE48" i="4" s="1"/>
  <c r="BD47" i="4"/>
  <c r="BD48" i="4" s="1"/>
  <c r="BB47" i="4"/>
  <c r="BC47" i="4" s="1"/>
  <c r="BC48" i="4" s="1"/>
  <c r="AW47" i="4"/>
  <c r="AW48" i="4" s="1"/>
  <c r="AV47" i="4"/>
  <c r="AV48" i="4" s="1"/>
  <c r="AU47" i="4"/>
  <c r="DH47" i="4" s="1"/>
  <c r="CD27" i="4"/>
  <c r="CD17" i="4"/>
  <c r="CE27" i="4"/>
  <c r="CE17" i="4"/>
  <c r="CF27" i="4"/>
  <c r="CF17" i="4"/>
  <c r="CG27" i="4"/>
  <c r="CG17" i="4"/>
  <c r="CH27" i="4"/>
  <c r="CH17" i="4"/>
  <c r="CL27" i="4"/>
  <c r="CL17" i="4"/>
  <c r="CJ27" i="4"/>
  <c r="CL15" i="4"/>
  <c r="CI17" i="4"/>
  <c r="CI27" i="4"/>
  <c r="CJ17" i="4"/>
  <c r="CN27" i="4"/>
  <c r="CK17" i="4"/>
  <c r="CO27" i="4"/>
  <c r="CK27" i="4"/>
  <c r="CO17" i="4"/>
  <c r="CM27" i="4"/>
  <c r="CM17" i="4"/>
  <c r="E70" i="30"/>
  <c r="G70" i="30" s="1"/>
  <c r="E69" i="30"/>
  <c r="F68" i="30"/>
  <c r="D68" i="30"/>
  <c r="E27" i="30"/>
  <c r="E26" i="30"/>
  <c r="G26" i="30" s="1"/>
  <c r="E25" i="30"/>
  <c r="T25" i="30" s="1"/>
  <c r="E24" i="30"/>
  <c r="T24" i="30" s="1"/>
  <c r="E23" i="30"/>
  <c r="T23" i="30" s="1"/>
  <c r="E22" i="30"/>
  <c r="G22" i="30" s="1"/>
  <c r="K24" i="30" l="1"/>
  <c r="U24" i="30"/>
  <c r="K25" i="30"/>
  <c r="U25" i="30"/>
  <c r="O24" i="30"/>
  <c r="V24" i="30"/>
  <c r="O25" i="30"/>
  <c r="V25" i="30"/>
  <c r="CT10" i="4"/>
  <c r="O23" i="30"/>
  <c r="K23" i="30"/>
  <c r="G35" i="30"/>
  <c r="G27" i="30"/>
  <c r="G37" i="30"/>
  <c r="G23" i="30"/>
  <c r="G24" i="30"/>
  <c r="G25" i="30"/>
  <c r="K35" i="30"/>
  <c r="K22" i="30"/>
  <c r="K37" i="30"/>
  <c r="DV49" i="32"/>
  <c r="DV51" i="32" s="1"/>
  <c r="DU67" i="32"/>
  <c r="CT47" i="4"/>
  <c r="DU97" i="32"/>
  <c r="DU93" i="32"/>
  <c r="DU100" i="32"/>
  <c r="DU83" i="32"/>
  <c r="DW49" i="32"/>
  <c r="DY63" i="32"/>
  <c r="DV82" i="32"/>
  <c r="CT56" i="4"/>
  <c r="CS55" i="4"/>
  <c r="CT152" i="4"/>
  <c r="DX56" i="4"/>
  <c r="DW55" i="4"/>
  <c r="CU50" i="4"/>
  <c r="DU50" i="4" s="1"/>
  <c r="CS183" i="4"/>
  <c r="CR183" i="4"/>
  <c r="CO190" i="4"/>
  <c r="CO201" i="4" s="1"/>
  <c r="CN216" i="4"/>
  <c r="CN217" i="4"/>
  <c r="CN218" i="4"/>
  <c r="K34" i="30"/>
  <c r="O34" i="30"/>
  <c r="G34" i="30"/>
  <c r="CP190" i="4"/>
  <c r="CP195" i="4" s="1"/>
  <c r="CP197" i="4" s="1"/>
  <c r="CP207" i="4"/>
  <c r="M36" i="30"/>
  <c r="I21" i="30"/>
  <c r="U21" i="30" s="1"/>
  <c r="J68" i="30"/>
  <c r="L68" i="30" s="1"/>
  <c r="I36" i="30"/>
  <c r="O68" i="30"/>
  <c r="Q68" i="30" s="1"/>
  <c r="Q21" i="30"/>
  <c r="W21" i="30" s="1"/>
  <c r="V68" i="30"/>
  <c r="M21" i="30"/>
  <c r="V21" i="30" s="1"/>
  <c r="E68" i="30"/>
  <c r="E36" i="30"/>
  <c r="BS47" i="4"/>
  <c r="BS48" i="4" s="1"/>
  <c r="CI47" i="4"/>
  <c r="CI48" i="4" s="1"/>
  <c r="CE47" i="4"/>
  <c r="CE48" i="4" s="1"/>
  <c r="CD48" i="4"/>
  <c r="BK47" i="4"/>
  <c r="BK48" i="4" s="1"/>
  <c r="BW47" i="4"/>
  <c r="BW48" i="4" s="1"/>
  <c r="BP48" i="4"/>
  <c r="CF48" i="4"/>
  <c r="BO47" i="4"/>
  <c r="BO48" i="4" s="1"/>
  <c r="BB48" i="4"/>
  <c r="BJ48" i="4"/>
  <c r="BR48" i="4"/>
  <c r="CH48" i="4"/>
  <c r="CA47" i="4"/>
  <c r="CA48" i="4" s="1"/>
  <c r="AU48" i="4"/>
  <c r="DI47" i="4"/>
  <c r="BG47" i="4"/>
  <c r="CM47" i="4"/>
  <c r="DJ47" i="4"/>
  <c r="CT130" i="4" l="1"/>
  <c r="CT183" i="4" s="1"/>
  <c r="K21" i="30"/>
  <c r="G21" i="30"/>
  <c r="O21" i="30"/>
  <c r="DV52" i="32"/>
  <c r="DV44" i="32"/>
  <c r="DW52" i="32"/>
  <c r="DW51" i="32"/>
  <c r="CT160" i="4"/>
  <c r="DX49" i="32"/>
  <c r="DX51" i="32" s="1"/>
  <c r="DV83" i="32"/>
  <c r="DV93" i="32"/>
  <c r="DZ63" i="32"/>
  <c r="DU94" i="32"/>
  <c r="DW82" i="32"/>
  <c r="DW83" i="32" s="1"/>
  <c r="DW58" i="32"/>
  <c r="DW60" i="32" s="1"/>
  <c r="DV50" i="4"/>
  <c r="DW50" i="4" s="1"/>
  <c r="DX50" i="4" s="1"/>
  <c r="DY50" i="4" s="1"/>
  <c r="DZ50" i="4" s="1"/>
  <c r="CU56" i="4"/>
  <c r="CU55" i="4" s="1"/>
  <c r="CT55" i="4"/>
  <c r="DY56" i="4"/>
  <c r="DX55" i="4"/>
  <c r="CP200" i="4"/>
  <c r="CP202" i="4" s="1"/>
  <c r="DN47" i="4"/>
  <c r="CO195" i="4"/>
  <c r="CO197" i="4" s="1"/>
  <c r="CP199" i="4"/>
  <c r="CO199" i="4"/>
  <c r="CO200" i="4"/>
  <c r="CN219" i="4"/>
  <c r="CP201" i="4"/>
  <c r="K36" i="30"/>
  <c r="G36" i="30"/>
  <c r="O36" i="30"/>
  <c r="CP218" i="4"/>
  <c r="CP217" i="4"/>
  <c r="CP216" i="4"/>
  <c r="CP212" i="4"/>
  <c r="DQ47" i="4"/>
  <c r="DR47" i="4"/>
  <c r="DS47" i="4"/>
  <c r="DK47" i="4"/>
  <c r="BG48" i="4"/>
  <c r="DL47" i="4"/>
  <c r="DP47" i="4"/>
  <c r="DM47" i="4"/>
  <c r="DO47" i="4"/>
  <c r="DV79" i="32" l="1"/>
  <c r="DV88" i="32" s="1"/>
  <c r="DV89" i="32" s="1"/>
  <c r="L40" i="29"/>
  <c r="DW44" i="32"/>
  <c r="DW79" i="32" s="1"/>
  <c r="DV46" i="32"/>
  <c r="DV47" i="32" s="1"/>
  <c r="DV61" i="32"/>
  <c r="DV53" i="32"/>
  <c r="DU55" i="4"/>
  <c r="DX58" i="32"/>
  <c r="DZ49" i="32"/>
  <c r="DZ51" i="32" s="1"/>
  <c r="DY49" i="32"/>
  <c r="DY51" i="32" s="1"/>
  <c r="DX52" i="32"/>
  <c r="DX82" i="32"/>
  <c r="DX83" i="32" s="1"/>
  <c r="DW93" i="32"/>
  <c r="DW61" i="32"/>
  <c r="DV94" i="32"/>
  <c r="DZ56" i="4"/>
  <c r="DZ55" i="4" s="1"/>
  <c r="DY55" i="4"/>
  <c r="CO202" i="4"/>
  <c r="CP219" i="4"/>
  <c r="DW221" i="4"/>
  <c r="DV221" i="4"/>
  <c r="DT221" i="4"/>
  <c r="DS221" i="4"/>
  <c r="DR221" i="4"/>
  <c r="DQ221" i="4"/>
  <c r="DP221" i="4"/>
  <c r="DO221" i="4"/>
  <c r="DN221" i="4"/>
  <c r="DM221" i="4"/>
  <c r="DL221" i="4"/>
  <c r="DK221" i="4"/>
  <c r="DJ221" i="4"/>
  <c r="DI221" i="4"/>
  <c r="DH221" i="4"/>
  <c r="DG221" i="4"/>
  <c r="DF221" i="4"/>
  <c r="DE221" i="4"/>
  <c r="DD221" i="4"/>
  <c r="DC221" i="4"/>
  <c r="DB221" i="4"/>
  <c r="DA221" i="4"/>
  <c r="CZ221" i="4"/>
  <c r="CY221" i="4"/>
  <c r="CX221" i="4"/>
  <c r="CW221" i="4"/>
  <c r="CP221" i="4"/>
  <c r="CO221" i="4"/>
  <c r="CN221" i="4"/>
  <c r="CM221" i="4"/>
  <c r="CL221" i="4"/>
  <c r="CK221" i="4"/>
  <c r="CJ221" i="4"/>
  <c r="CI221" i="4"/>
  <c r="CH221" i="4"/>
  <c r="CG221" i="4"/>
  <c r="CF221" i="4"/>
  <c r="CE221" i="4"/>
  <c r="CD221" i="4"/>
  <c r="CC221" i="4"/>
  <c r="CB221" i="4"/>
  <c r="CA221" i="4"/>
  <c r="BZ221" i="4"/>
  <c r="BY221" i="4"/>
  <c r="BX221" i="4"/>
  <c r="BW221" i="4"/>
  <c r="BV221" i="4"/>
  <c r="BU221" i="4"/>
  <c r="BT221" i="4"/>
  <c r="BS221" i="4"/>
  <c r="BR221" i="4"/>
  <c r="BQ221" i="4"/>
  <c r="BP221" i="4"/>
  <c r="BO221" i="4"/>
  <c r="BN221" i="4"/>
  <c r="BM221" i="4"/>
  <c r="BL221" i="4"/>
  <c r="BK221" i="4"/>
  <c r="BJ221" i="4"/>
  <c r="BI221" i="4"/>
  <c r="BH221" i="4"/>
  <c r="BG221" i="4"/>
  <c r="BF221" i="4"/>
  <c r="BE221" i="4"/>
  <c r="BD221" i="4"/>
  <c r="BC221" i="4"/>
  <c r="BB221" i="4"/>
  <c r="BA221" i="4"/>
  <c r="AZ221" i="4"/>
  <c r="AY221" i="4"/>
  <c r="AX221" i="4"/>
  <c r="AW221" i="4"/>
  <c r="AV221" i="4"/>
  <c r="AU221" i="4"/>
  <c r="AT221" i="4"/>
  <c r="AS221" i="4"/>
  <c r="AR221" i="4"/>
  <c r="AQ221" i="4"/>
  <c r="AP221" i="4"/>
  <c r="AO221" i="4"/>
  <c r="AN221" i="4"/>
  <c r="AM221" i="4"/>
  <c r="AL221" i="4"/>
  <c r="AK221" i="4"/>
  <c r="AJ221" i="4"/>
  <c r="AI221" i="4"/>
  <c r="AH221" i="4"/>
  <c r="AG221" i="4"/>
  <c r="AF221" i="4"/>
  <c r="AE221" i="4"/>
  <c r="AD221" i="4"/>
  <c r="AC221" i="4"/>
  <c r="AB221" i="4"/>
  <c r="AA221" i="4"/>
  <c r="Z221" i="4"/>
  <c r="Y221" i="4"/>
  <c r="X221" i="4"/>
  <c r="W221" i="4"/>
  <c r="V221" i="4"/>
  <c r="U221" i="4"/>
  <c r="T221" i="4"/>
  <c r="S221" i="4"/>
  <c r="R221" i="4"/>
  <c r="Q221" i="4"/>
  <c r="P221" i="4"/>
  <c r="O221" i="4"/>
  <c r="N221" i="4"/>
  <c r="M221" i="4"/>
  <c r="L221" i="4"/>
  <c r="K221" i="4"/>
  <c r="J221" i="4"/>
  <c r="I221" i="4"/>
  <c r="H221" i="4"/>
  <c r="G221" i="4"/>
  <c r="F221" i="4"/>
  <c r="E221" i="4"/>
  <c r="D221" i="4"/>
  <c r="DW187" i="4"/>
  <c r="DV187" i="4"/>
  <c r="DT187" i="4"/>
  <c r="DS187" i="4"/>
  <c r="DR187" i="4"/>
  <c r="DQ187" i="4"/>
  <c r="DP187" i="4"/>
  <c r="DO187" i="4"/>
  <c r="DN187" i="4"/>
  <c r="DM187" i="4"/>
  <c r="DL187" i="4"/>
  <c r="DK187" i="4"/>
  <c r="DJ187" i="4"/>
  <c r="DI187" i="4"/>
  <c r="DH187" i="4"/>
  <c r="DG187" i="4"/>
  <c r="DF187" i="4"/>
  <c r="DE187" i="4"/>
  <c r="DD187" i="4"/>
  <c r="DC187" i="4"/>
  <c r="DB187" i="4"/>
  <c r="DA187" i="4"/>
  <c r="CZ187" i="4"/>
  <c r="CY187" i="4"/>
  <c r="CX187" i="4"/>
  <c r="CW187" i="4"/>
  <c r="CP187" i="4"/>
  <c r="CO187" i="4"/>
  <c r="CN187" i="4"/>
  <c r="CM187" i="4"/>
  <c r="CL187" i="4"/>
  <c r="CK187" i="4"/>
  <c r="CJ187" i="4"/>
  <c r="CI187" i="4"/>
  <c r="CH187" i="4"/>
  <c r="CG187" i="4"/>
  <c r="CF187" i="4"/>
  <c r="CE187" i="4"/>
  <c r="CD187" i="4"/>
  <c r="CC187" i="4"/>
  <c r="CB187" i="4"/>
  <c r="CA187" i="4"/>
  <c r="BZ187" i="4"/>
  <c r="BY187" i="4"/>
  <c r="BX187" i="4"/>
  <c r="BW187" i="4"/>
  <c r="BV187" i="4"/>
  <c r="BU187" i="4"/>
  <c r="BT187" i="4"/>
  <c r="BS187" i="4"/>
  <c r="BR187" i="4"/>
  <c r="BQ187" i="4"/>
  <c r="BP187" i="4"/>
  <c r="BO187" i="4"/>
  <c r="BN187" i="4"/>
  <c r="BM187" i="4"/>
  <c r="BL187" i="4"/>
  <c r="BK187" i="4"/>
  <c r="BJ187" i="4"/>
  <c r="BI187" i="4"/>
  <c r="BH187" i="4"/>
  <c r="BG187" i="4"/>
  <c r="BF187" i="4"/>
  <c r="BE187" i="4"/>
  <c r="BD187" i="4"/>
  <c r="BC187" i="4"/>
  <c r="BB187" i="4"/>
  <c r="BA187" i="4"/>
  <c r="AZ187" i="4"/>
  <c r="AY187" i="4"/>
  <c r="AX187" i="4"/>
  <c r="AW187" i="4"/>
  <c r="AV187" i="4"/>
  <c r="AU187" i="4"/>
  <c r="AT187" i="4"/>
  <c r="AS187" i="4"/>
  <c r="AR187" i="4"/>
  <c r="AQ187" i="4"/>
  <c r="AP187" i="4"/>
  <c r="AO187" i="4"/>
  <c r="AN187" i="4"/>
  <c r="AM187" i="4"/>
  <c r="AL187" i="4"/>
  <c r="AK187" i="4"/>
  <c r="AJ187" i="4"/>
  <c r="AI187" i="4"/>
  <c r="AH187" i="4"/>
  <c r="AG187" i="4"/>
  <c r="AF187" i="4"/>
  <c r="AE187" i="4"/>
  <c r="AD187" i="4"/>
  <c r="AC187" i="4"/>
  <c r="AB187" i="4"/>
  <c r="AA187" i="4"/>
  <c r="Z187" i="4"/>
  <c r="Y187" i="4"/>
  <c r="X187" i="4"/>
  <c r="W187" i="4"/>
  <c r="V187" i="4"/>
  <c r="U187" i="4"/>
  <c r="T187" i="4"/>
  <c r="S187" i="4"/>
  <c r="R187" i="4"/>
  <c r="Q187" i="4"/>
  <c r="P187" i="4"/>
  <c r="O187" i="4"/>
  <c r="N187" i="4"/>
  <c r="M187" i="4"/>
  <c r="L187" i="4"/>
  <c r="K187" i="4"/>
  <c r="J187" i="4"/>
  <c r="I187" i="4"/>
  <c r="H187" i="4"/>
  <c r="G187" i="4"/>
  <c r="F187" i="4"/>
  <c r="E187" i="4"/>
  <c r="D187" i="4"/>
  <c r="DW204" i="4"/>
  <c r="DV204" i="4"/>
  <c r="DT204" i="4"/>
  <c r="DS204" i="4"/>
  <c r="DR204" i="4"/>
  <c r="DQ204" i="4"/>
  <c r="DP204" i="4"/>
  <c r="DO204" i="4"/>
  <c r="DN204" i="4"/>
  <c r="DM204" i="4"/>
  <c r="DL204" i="4"/>
  <c r="DK204" i="4"/>
  <c r="DJ204" i="4"/>
  <c r="DI204" i="4"/>
  <c r="DH204" i="4"/>
  <c r="DG204" i="4"/>
  <c r="DF204" i="4"/>
  <c r="DE204" i="4"/>
  <c r="DD204" i="4"/>
  <c r="DC204" i="4"/>
  <c r="DB204" i="4"/>
  <c r="DA204" i="4"/>
  <c r="CZ204" i="4"/>
  <c r="CY204" i="4"/>
  <c r="CX204" i="4"/>
  <c r="CW204" i="4"/>
  <c r="CP204" i="4"/>
  <c r="CO204" i="4"/>
  <c r="CN204" i="4"/>
  <c r="CM204" i="4"/>
  <c r="CL204" i="4"/>
  <c r="CK204" i="4"/>
  <c r="CJ204" i="4"/>
  <c r="CI204" i="4"/>
  <c r="CH204" i="4"/>
  <c r="CG204" i="4"/>
  <c r="CF204" i="4"/>
  <c r="CE204" i="4"/>
  <c r="CD204" i="4"/>
  <c r="CC204" i="4"/>
  <c r="CB204" i="4"/>
  <c r="CA204" i="4"/>
  <c r="BZ204" i="4"/>
  <c r="BY204" i="4"/>
  <c r="BX204" i="4"/>
  <c r="BW204" i="4"/>
  <c r="BV204" i="4"/>
  <c r="BU204" i="4"/>
  <c r="BT204" i="4"/>
  <c r="BS204" i="4"/>
  <c r="BR204" i="4"/>
  <c r="BQ204" i="4"/>
  <c r="BP204" i="4"/>
  <c r="BO204" i="4"/>
  <c r="BN204" i="4"/>
  <c r="BM204" i="4"/>
  <c r="BL204" i="4"/>
  <c r="BK204" i="4"/>
  <c r="BJ204" i="4"/>
  <c r="BI204" i="4"/>
  <c r="BH204" i="4"/>
  <c r="BG204" i="4"/>
  <c r="BF204" i="4"/>
  <c r="BE204" i="4"/>
  <c r="BD204" i="4"/>
  <c r="BC204" i="4"/>
  <c r="BB204" i="4"/>
  <c r="BA204" i="4"/>
  <c r="AZ204" i="4"/>
  <c r="AY204" i="4"/>
  <c r="AX204" i="4"/>
  <c r="AW204" i="4"/>
  <c r="AV204" i="4"/>
  <c r="AU204" i="4"/>
  <c r="AT204" i="4"/>
  <c r="AS204" i="4"/>
  <c r="AR204" i="4"/>
  <c r="AQ204" i="4"/>
  <c r="AP204" i="4"/>
  <c r="AO204" i="4"/>
  <c r="AN204" i="4"/>
  <c r="AM204" i="4"/>
  <c r="AL204" i="4"/>
  <c r="AK204" i="4"/>
  <c r="AJ204" i="4"/>
  <c r="AI204" i="4"/>
  <c r="AH204" i="4"/>
  <c r="AG204" i="4"/>
  <c r="AF204" i="4"/>
  <c r="AE204" i="4"/>
  <c r="AD204" i="4"/>
  <c r="AC204" i="4"/>
  <c r="AB204" i="4"/>
  <c r="AA204" i="4"/>
  <c r="Z204" i="4"/>
  <c r="Y204" i="4"/>
  <c r="X204" i="4"/>
  <c r="W204" i="4"/>
  <c r="V204" i="4"/>
  <c r="U204" i="4"/>
  <c r="T204" i="4"/>
  <c r="S204" i="4"/>
  <c r="R204" i="4"/>
  <c r="Q204" i="4"/>
  <c r="P204" i="4"/>
  <c r="O204" i="4"/>
  <c r="N204" i="4"/>
  <c r="M204" i="4"/>
  <c r="L204" i="4"/>
  <c r="K204" i="4"/>
  <c r="J204" i="4"/>
  <c r="I204" i="4"/>
  <c r="H204" i="4"/>
  <c r="G204" i="4"/>
  <c r="F204" i="4"/>
  <c r="E204" i="4"/>
  <c r="D204" i="4"/>
  <c r="DW235" i="4"/>
  <c r="DV235" i="4"/>
  <c r="DT235" i="4"/>
  <c r="DS235" i="4"/>
  <c r="DR235" i="4"/>
  <c r="DQ235" i="4"/>
  <c r="DP235" i="4"/>
  <c r="DO235" i="4"/>
  <c r="DN235" i="4"/>
  <c r="DM235" i="4"/>
  <c r="DL235" i="4"/>
  <c r="DK235" i="4"/>
  <c r="DJ235" i="4"/>
  <c r="DI235" i="4"/>
  <c r="DH235" i="4"/>
  <c r="DG235" i="4"/>
  <c r="DF235" i="4"/>
  <c r="DE235" i="4"/>
  <c r="DD235" i="4"/>
  <c r="DC235" i="4"/>
  <c r="DB235" i="4"/>
  <c r="DA235" i="4"/>
  <c r="CZ235" i="4"/>
  <c r="CY235" i="4"/>
  <c r="CX235" i="4"/>
  <c r="CW235" i="4"/>
  <c r="CP235" i="4"/>
  <c r="CO235" i="4"/>
  <c r="CN235" i="4"/>
  <c r="CM235" i="4"/>
  <c r="CL235" i="4"/>
  <c r="CK235" i="4"/>
  <c r="CJ235" i="4"/>
  <c r="CI235" i="4"/>
  <c r="CH235" i="4"/>
  <c r="CG235" i="4"/>
  <c r="CF235" i="4"/>
  <c r="CE235" i="4"/>
  <c r="CD235" i="4"/>
  <c r="CC235" i="4"/>
  <c r="CB235" i="4"/>
  <c r="CA235" i="4"/>
  <c r="BZ235" i="4"/>
  <c r="BY235" i="4"/>
  <c r="BX235" i="4"/>
  <c r="BW235" i="4"/>
  <c r="BV235" i="4"/>
  <c r="BU235" i="4"/>
  <c r="BT235" i="4"/>
  <c r="BS235" i="4"/>
  <c r="BR235" i="4"/>
  <c r="BQ235" i="4"/>
  <c r="BP235" i="4"/>
  <c r="BO235" i="4"/>
  <c r="BN235" i="4"/>
  <c r="BM235" i="4"/>
  <c r="BL235" i="4"/>
  <c r="BK235" i="4"/>
  <c r="BJ235" i="4"/>
  <c r="BI235" i="4"/>
  <c r="BH235" i="4"/>
  <c r="BG235" i="4"/>
  <c r="BF235" i="4"/>
  <c r="BE235" i="4"/>
  <c r="BD235" i="4"/>
  <c r="BC235" i="4"/>
  <c r="BB235" i="4"/>
  <c r="BA235" i="4"/>
  <c r="AZ235" i="4"/>
  <c r="AY235" i="4"/>
  <c r="AX235" i="4"/>
  <c r="AW235" i="4"/>
  <c r="AV235" i="4"/>
  <c r="AU235" i="4"/>
  <c r="AT235" i="4"/>
  <c r="AS235" i="4"/>
  <c r="AR235" i="4"/>
  <c r="AQ235" i="4"/>
  <c r="AP235" i="4"/>
  <c r="AO235" i="4"/>
  <c r="AN235" i="4"/>
  <c r="AM235" i="4"/>
  <c r="AL235" i="4"/>
  <c r="AK235" i="4"/>
  <c r="AJ235" i="4"/>
  <c r="AI235" i="4"/>
  <c r="AH235" i="4"/>
  <c r="AG235" i="4"/>
  <c r="AF235" i="4"/>
  <c r="AE235" i="4"/>
  <c r="AD235" i="4"/>
  <c r="AC235" i="4"/>
  <c r="AB235" i="4"/>
  <c r="AA235" i="4"/>
  <c r="Z235" i="4"/>
  <c r="Y235" i="4"/>
  <c r="X235" i="4"/>
  <c r="W235" i="4"/>
  <c r="V235" i="4"/>
  <c r="U235" i="4"/>
  <c r="T235" i="4"/>
  <c r="S235" i="4"/>
  <c r="R235" i="4"/>
  <c r="Q235" i="4"/>
  <c r="P235" i="4"/>
  <c r="O235" i="4"/>
  <c r="N235" i="4"/>
  <c r="M235" i="4"/>
  <c r="L235" i="4"/>
  <c r="K235" i="4"/>
  <c r="J235" i="4"/>
  <c r="I235" i="4"/>
  <c r="H235" i="4"/>
  <c r="G235" i="4"/>
  <c r="F235" i="4"/>
  <c r="E235" i="4"/>
  <c r="D235" i="4"/>
  <c r="DA185" i="4"/>
  <c r="DD185" i="4"/>
  <c r="DE185" i="4"/>
  <c r="DF185" i="4"/>
  <c r="DC185" i="4"/>
  <c r="R183" i="4"/>
  <c r="W185" i="4"/>
  <c r="V185" i="4"/>
  <c r="U185" i="4"/>
  <c r="P185" i="4"/>
  <c r="O185" i="4"/>
  <c r="L185" i="4"/>
  <c r="W183" i="4"/>
  <c r="V183" i="4"/>
  <c r="U183" i="4"/>
  <c r="Q183" i="4"/>
  <c r="P183" i="4"/>
  <c r="O183" i="4"/>
  <c r="N183" i="4"/>
  <c r="M183" i="4"/>
  <c r="L183" i="4"/>
  <c r="K183" i="4"/>
  <c r="J183" i="4"/>
  <c r="I183" i="4"/>
  <c r="H183" i="4"/>
  <c r="W182" i="4"/>
  <c r="V182" i="4"/>
  <c r="U182" i="4"/>
  <c r="P182" i="4"/>
  <c r="O182" i="4"/>
  <c r="L182" i="4"/>
  <c r="CN183" i="4"/>
  <c r="CF183" i="4"/>
  <c r="CB183" i="4"/>
  <c r="BP183" i="4"/>
  <c r="BM183" i="4"/>
  <c r="BL183" i="4"/>
  <c r="BH183" i="4"/>
  <c r="BD183" i="4"/>
  <c r="AZ183" i="4"/>
  <c r="AV183" i="4"/>
  <c r="AR183" i="4"/>
  <c r="AJ183" i="4"/>
  <c r="AF183" i="4"/>
  <c r="AB183" i="4"/>
  <c r="X183" i="4"/>
  <c r="X185" i="4"/>
  <c r="DW85" i="32" l="1"/>
  <c r="DW46" i="32"/>
  <c r="DW47" i="32" s="1"/>
  <c r="DW88" i="32"/>
  <c r="DW89" i="32" s="1"/>
  <c r="DV90" i="32"/>
  <c r="DV96" i="32" s="1"/>
  <c r="DV97" i="32" s="1"/>
  <c r="L41" i="29"/>
  <c r="DV85" i="32"/>
  <c r="DV86" i="32" s="1"/>
  <c r="L44" i="29"/>
  <c r="DX44" i="32"/>
  <c r="DX79" i="32" s="1"/>
  <c r="DX85" i="32" s="1"/>
  <c r="DW53" i="32"/>
  <c r="DW90" i="32" s="1"/>
  <c r="DV62" i="32"/>
  <c r="DV64" i="32" s="1"/>
  <c r="DW77" i="32" s="1"/>
  <c r="DV55" i="32"/>
  <c r="DV56" i="32" s="1"/>
  <c r="DX61" i="32"/>
  <c r="DX60" i="32"/>
  <c r="DZ52" i="32"/>
  <c r="DX93" i="32"/>
  <c r="DX94" i="32" s="1"/>
  <c r="DZ58" i="32"/>
  <c r="DZ60" i="32" s="1"/>
  <c r="DY58" i="32"/>
  <c r="DY60" i="32" s="1"/>
  <c r="DY82" i="32"/>
  <c r="DY52" i="32"/>
  <c r="DW94" i="32"/>
  <c r="CP120" i="4"/>
  <c r="CO120" i="4"/>
  <c r="CN120" i="4"/>
  <c r="CM120" i="4"/>
  <c r="CL120" i="4"/>
  <c r="CK120" i="4"/>
  <c r="CJ120" i="4"/>
  <c r="CI120" i="4"/>
  <c r="CH120" i="4"/>
  <c r="CG120" i="4"/>
  <c r="CF120" i="4"/>
  <c r="CE120" i="4"/>
  <c r="CD120" i="4"/>
  <c r="CC120" i="4"/>
  <c r="CB120" i="4"/>
  <c r="CA120" i="4"/>
  <c r="BZ120" i="4"/>
  <c r="BY120" i="4"/>
  <c r="BX120" i="4"/>
  <c r="BV120" i="4"/>
  <c r="BU120" i="4"/>
  <c r="BT120" i="4"/>
  <c r="BP120" i="4"/>
  <c r="BO120" i="4"/>
  <c r="BN120" i="4"/>
  <c r="BM120" i="4"/>
  <c r="BL120" i="4"/>
  <c r="BK120" i="4"/>
  <c r="BJ120" i="4"/>
  <c r="BI120" i="4"/>
  <c r="BH120" i="4"/>
  <c r="BC120" i="4"/>
  <c r="BB120" i="4"/>
  <c r="BA120" i="4"/>
  <c r="AZ120" i="4"/>
  <c r="AY120" i="4"/>
  <c r="AU120" i="4"/>
  <c r="AT120" i="4"/>
  <c r="AS120" i="4"/>
  <c r="AR120" i="4"/>
  <c r="AR121" i="4" s="1"/>
  <c r="AQ120" i="4"/>
  <c r="AP120" i="4"/>
  <c r="AO120" i="4"/>
  <c r="AN120" i="4"/>
  <c r="AM120" i="4"/>
  <c r="AL120" i="4"/>
  <c r="AK120" i="4"/>
  <c r="AJ120" i="4"/>
  <c r="AI120" i="4"/>
  <c r="AH120" i="4"/>
  <c r="AG120" i="4"/>
  <c r="AF120" i="4"/>
  <c r="AE120" i="4"/>
  <c r="AD120" i="4"/>
  <c r="AC120" i="4"/>
  <c r="AB120" i="4"/>
  <c r="AA120" i="4"/>
  <c r="Z120" i="4"/>
  <c r="Y120" i="4"/>
  <c r="X120" i="4"/>
  <c r="W120" i="4"/>
  <c r="W121" i="4" s="1"/>
  <c r="V120" i="4"/>
  <c r="U120" i="4"/>
  <c r="T120" i="4"/>
  <c r="S120" i="4"/>
  <c r="S121" i="4" s="1"/>
  <c r="R120" i="4"/>
  <c r="Q120" i="4"/>
  <c r="P120" i="4"/>
  <c r="O120" i="4"/>
  <c r="N120" i="4"/>
  <c r="M120" i="4"/>
  <c r="L120" i="4"/>
  <c r="K120" i="4"/>
  <c r="J120" i="4"/>
  <c r="I120" i="4"/>
  <c r="H120" i="4"/>
  <c r="D120" i="4"/>
  <c r="CP115" i="4"/>
  <c r="CP109" i="4" s="1"/>
  <c r="CO115" i="4"/>
  <c r="CO108" i="4" s="1"/>
  <c r="CN115" i="4"/>
  <c r="CN108" i="4" s="1"/>
  <c r="CM115" i="4"/>
  <c r="CM108" i="4" s="1"/>
  <c r="CL115" i="4"/>
  <c r="CL108" i="4" s="1"/>
  <c r="CG115" i="4"/>
  <c r="CG109" i="4" s="1"/>
  <c r="CF115" i="4"/>
  <c r="CF108" i="4" s="1"/>
  <c r="CE115" i="4"/>
  <c r="CE108" i="4" s="1"/>
  <c r="CD115" i="4"/>
  <c r="CD109" i="4" s="1"/>
  <c r="CC115" i="4"/>
  <c r="CC108" i="4" s="1"/>
  <c r="CB115" i="4"/>
  <c r="CB108" i="4" s="1"/>
  <c r="BW115" i="4"/>
  <c r="BW108" i="4" s="1"/>
  <c r="BV115" i="4"/>
  <c r="BV108" i="4" s="1"/>
  <c r="BU115" i="4"/>
  <c r="BU108" i="4" s="1"/>
  <c r="BT115" i="4"/>
  <c r="BT108" i="4" s="1"/>
  <c r="BS115" i="4"/>
  <c r="BS108" i="4" s="1"/>
  <c r="BR115" i="4"/>
  <c r="BR109" i="4" s="1"/>
  <c r="BQ115" i="4"/>
  <c r="BQ109" i="4" s="1"/>
  <c r="BP115" i="4"/>
  <c r="BP108" i="4" s="1"/>
  <c r="BO115" i="4"/>
  <c r="BO108" i="4" s="1"/>
  <c r="BN115" i="4"/>
  <c r="BN109" i="4" s="1"/>
  <c r="BM115" i="4"/>
  <c r="BM108" i="4" s="1"/>
  <c r="BL115" i="4"/>
  <c r="BL108" i="4" s="1"/>
  <c r="BK115" i="4"/>
  <c r="BK108" i="4" s="1"/>
  <c r="BJ115" i="4"/>
  <c r="BJ109" i="4" s="1"/>
  <c r="BI115" i="4"/>
  <c r="BI109" i="4" s="1"/>
  <c r="BH115" i="4"/>
  <c r="BH108" i="4" s="1"/>
  <c r="BG115" i="4"/>
  <c r="BG108" i="4" s="1"/>
  <c r="BF115" i="4"/>
  <c r="BF108" i="4" s="1"/>
  <c r="BE115" i="4"/>
  <c r="BE108" i="4" s="1"/>
  <c r="BD115" i="4"/>
  <c r="BD108" i="4" s="1"/>
  <c r="BC115" i="4"/>
  <c r="BC108" i="4" s="1"/>
  <c r="BB115" i="4"/>
  <c r="BB109" i="4" s="1"/>
  <c r="BA115" i="4"/>
  <c r="BA108" i="4" s="1"/>
  <c r="AZ115" i="4"/>
  <c r="AZ108" i="4" s="1"/>
  <c r="AY115" i="4"/>
  <c r="AY108" i="4" s="1"/>
  <c r="AX115" i="4"/>
  <c r="AX109" i="4" s="1"/>
  <c r="AW115" i="4"/>
  <c r="AW108" i="4" s="1"/>
  <c r="AV115" i="4"/>
  <c r="AV108" i="4" s="1"/>
  <c r="AU115" i="4"/>
  <c r="AU108" i="4" s="1"/>
  <c r="AT115" i="4"/>
  <c r="AT109" i="4" s="1"/>
  <c r="AS115" i="4"/>
  <c r="AS109" i="4" s="1"/>
  <c r="AR115" i="4"/>
  <c r="AR108" i="4" s="1"/>
  <c r="AQ115" i="4"/>
  <c r="AQ108" i="4" s="1"/>
  <c r="AP115" i="4"/>
  <c r="AP108" i="4" s="1"/>
  <c r="AO115" i="4"/>
  <c r="AO108" i="4" s="1"/>
  <c r="AN115" i="4"/>
  <c r="AN108" i="4" s="1"/>
  <c r="AM115" i="4"/>
  <c r="AM108" i="4" s="1"/>
  <c r="AL115" i="4"/>
  <c r="AL108" i="4" s="1"/>
  <c r="AK115" i="4"/>
  <c r="AK108" i="4" s="1"/>
  <c r="AJ115" i="4"/>
  <c r="AJ108" i="4" s="1"/>
  <c r="AI115" i="4"/>
  <c r="AI108" i="4" s="1"/>
  <c r="AH115" i="4"/>
  <c r="AH109" i="4" s="1"/>
  <c r="AG115" i="4"/>
  <c r="AG109" i="4" s="1"/>
  <c r="AF115" i="4"/>
  <c r="AF108" i="4" s="1"/>
  <c r="AE115" i="4"/>
  <c r="AE108" i="4" s="1"/>
  <c r="AD115" i="4"/>
  <c r="AD108" i="4" s="1"/>
  <c r="AC115" i="4"/>
  <c r="AC109" i="4" s="1"/>
  <c r="AB115" i="4"/>
  <c r="AB108" i="4" s="1"/>
  <c r="AA115" i="4"/>
  <c r="AA108" i="4" s="1"/>
  <c r="Z115" i="4"/>
  <c r="Z109" i="4" s="1"/>
  <c r="Y115" i="4"/>
  <c r="Y108" i="4" s="1"/>
  <c r="X115" i="4"/>
  <c r="X108" i="4" s="1"/>
  <c r="W115" i="4"/>
  <c r="W108" i="4" s="1"/>
  <c r="V115" i="4"/>
  <c r="V109" i="4" s="1"/>
  <c r="U115" i="4"/>
  <c r="U109" i="4" s="1"/>
  <c r="T115" i="4"/>
  <c r="T108" i="4" s="1"/>
  <c r="S115" i="4"/>
  <c r="S108" i="4" s="1"/>
  <c r="R115" i="4"/>
  <c r="R109" i="4" s="1"/>
  <c r="Q115" i="4"/>
  <c r="Q108" i="4" s="1"/>
  <c r="P115" i="4"/>
  <c r="P108" i="4" s="1"/>
  <c r="O115" i="4"/>
  <c r="O108" i="4" s="1"/>
  <c r="N115" i="4"/>
  <c r="N108" i="4" s="1"/>
  <c r="M115" i="4"/>
  <c r="M109" i="4" s="1"/>
  <c r="L115" i="4"/>
  <c r="L108" i="4" s="1"/>
  <c r="K115" i="4"/>
  <c r="K108" i="4" s="1"/>
  <c r="J115" i="4"/>
  <c r="J108" i="4" s="1"/>
  <c r="I115" i="4"/>
  <c r="I108" i="4" s="1"/>
  <c r="H115" i="4"/>
  <c r="H108" i="4" s="1"/>
  <c r="CL114" i="4"/>
  <c r="CK114" i="4"/>
  <c r="CK107" i="4" s="1"/>
  <c r="CJ114" i="4"/>
  <c r="CJ107" i="4" s="1"/>
  <c r="CI114" i="4"/>
  <c r="CI107" i="4" s="1"/>
  <c r="CH114" i="4"/>
  <c r="CH107" i="4" s="1"/>
  <c r="CG114" i="4"/>
  <c r="CG107" i="4" s="1"/>
  <c r="CF114" i="4"/>
  <c r="CF107" i="4" s="1"/>
  <c r="CE114" i="4"/>
  <c r="CE107" i="4" s="1"/>
  <c r="CD114" i="4"/>
  <c r="CD107" i="4" s="1"/>
  <c r="CC114" i="4"/>
  <c r="CC107" i="4" s="1"/>
  <c r="CB114" i="4"/>
  <c r="CB107" i="4" s="1"/>
  <c r="BS114" i="4"/>
  <c r="BS107" i="4" s="1"/>
  <c r="BR114" i="4"/>
  <c r="BR107" i="4" s="1"/>
  <c r="BQ114" i="4"/>
  <c r="BQ107" i="4" s="1"/>
  <c r="BP114" i="4"/>
  <c r="BP107" i="4" s="1"/>
  <c r="BO114" i="4"/>
  <c r="BO107" i="4" s="1"/>
  <c r="BN114" i="4"/>
  <c r="BN107" i="4" s="1"/>
  <c r="BM114" i="4"/>
  <c r="BM107" i="4" s="1"/>
  <c r="BL114" i="4"/>
  <c r="BL107" i="4" s="1"/>
  <c r="BK114" i="4"/>
  <c r="BK107" i="4" s="1"/>
  <c r="BJ114" i="4"/>
  <c r="BJ107" i="4" s="1"/>
  <c r="BI114" i="4"/>
  <c r="BI107" i="4" s="1"/>
  <c r="BH114" i="4"/>
  <c r="BH107" i="4" s="1"/>
  <c r="BG114" i="4"/>
  <c r="BG107" i="4" s="1"/>
  <c r="BF114" i="4"/>
  <c r="BF107" i="4" s="1"/>
  <c r="BE114" i="4"/>
  <c r="BE107" i="4" s="1"/>
  <c r="BD114" i="4"/>
  <c r="BD107" i="4" s="1"/>
  <c r="BC114" i="4"/>
  <c r="BC107" i="4" s="1"/>
  <c r="BB114" i="4"/>
  <c r="BB107" i="4" s="1"/>
  <c r="BA114" i="4"/>
  <c r="BA107" i="4" s="1"/>
  <c r="AZ114" i="4"/>
  <c r="AZ107" i="4" s="1"/>
  <c r="AY114" i="4"/>
  <c r="AY107" i="4" s="1"/>
  <c r="AX114" i="4"/>
  <c r="AX107" i="4" s="1"/>
  <c r="AW114" i="4"/>
  <c r="AW107" i="4" s="1"/>
  <c r="AV114" i="4"/>
  <c r="AV107" i="4" s="1"/>
  <c r="AU114" i="4"/>
  <c r="AU107" i="4" s="1"/>
  <c r="AT114" i="4"/>
  <c r="AT107" i="4" s="1"/>
  <c r="AS114" i="4"/>
  <c r="AS107" i="4" s="1"/>
  <c r="AR114" i="4"/>
  <c r="AR107" i="4" s="1"/>
  <c r="AQ114" i="4"/>
  <c r="AQ107" i="4" s="1"/>
  <c r="AP114" i="4"/>
  <c r="AP107" i="4" s="1"/>
  <c r="AO114" i="4"/>
  <c r="AO107" i="4" s="1"/>
  <c r="AN114" i="4"/>
  <c r="AN107" i="4" s="1"/>
  <c r="AM114" i="4"/>
  <c r="AM107" i="4" s="1"/>
  <c r="AL114" i="4"/>
  <c r="AL107" i="4" s="1"/>
  <c r="AK114" i="4"/>
  <c r="AK107" i="4" s="1"/>
  <c r="AJ114" i="4"/>
  <c r="AJ107" i="4" s="1"/>
  <c r="AI114" i="4"/>
  <c r="AI107" i="4" s="1"/>
  <c r="AH114" i="4"/>
  <c r="AH107" i="4" s="1"/>
  <c r="AG114" i="4"/>
  <c r="AG107" i="4" s="1"/>
  <c r="AF114" i="4"/>
  <c r="AF107" i="4" s="1"/>
  <c r="AE114" i="4"/>
  <c r="AE107" i="4" s="1"/>
  <c r="AD114" i="4"/>
  <c r="AD107" i="4" s="1"/>
  <c r="AC114" i="4"/>
  <c r="AC107" i="4" s="1"/>
  <c r="AB114" i="4"/>
  <c r="AB107" i="4" s="1"/>
  <c r="AA114" i="4"/>
  <c r="AA107" i="4" s="1"/>
  <c r="Z114" i="4"/>
  <c r="Z107" i="4" s="1"/>
  <c r="Y114" i="4"/>
  <c r="Y107" i="4" s="1"/>
  <c r="X114" i="4"/>
  <c r="X107" i="4" s="1"/>
  <c r="W114" i="4"/>
  <c r="W107" i="4" s="1"/>
  <c r="V114" i="4"/>
  <c r="V107" i="4" s="1"/>
  <c r="U114" i="4"/>
  <c r="U107" i="4" s="1"/>
  <c r="T114" i="4"/>
  <c r="T107" i="4" s="1"/>
  <c r="S114" i="4"/>
  <c r="S107" i="4" s="1"/>
  <c r="R114" i="4"/>
  <c r="R107" i="4" s="1"/>
  <c r="Q114" i="4"/>
  <c r="Q107" i="4" s="1"/>
  <c r="P114" i="4"/>
  <c r="P107" i="4" s="1"/>
  <c r="O114" i="4"/>
  <c r="O107" i="4" s="1"/>
  <c r="N114" i="4"/>
  <c r="N107" i="4" s="1"/>
  <c r="M114" i="4"/>
  <c r="M107" i="4" s="1"/>
  <c r="L114" i="4"/>
  <c r="L107" i="4" s="1"/>
  <c r="K114" i="4"/>
  <c r="K107" i="4" s="1"/>
  <c r="J114" i="4"/>
  <c r="J107" i="4" s="1"/>
  <c r="I114" i="4"/>
  <c r="I107" i="4" s="1"/>
  <c r="H114" i="4"/>
  <c r="H107" i="4" s="1"/>
  <c r="G115" i="4"/>
  <c r="G108" i="4" s="1"/>
  <c r="G114" i="4"/>
  <c r="G107" i="4" s="1"/>
  <c r="DW99" i="32" l="1"/>
  <c r="DX86" i="32"/>
  <c r="DV99" i="32"/>
  <c r="DV100" i="32" s="1"/>
  <c r="L46" i="29"/>
  <c r="DW86" i="32"/>
  <c r="DW55" i="32"/>
  <c r="DW56" i="32" s="1"/>
  <c r="DX46" i="32"/>
  <c r="DX47" i="32" s="1"/>
  <c r="DY44" i="32"/>
  <c r="DY79" i="32" s="1"/>
  <c r="DY88" i="32" s="1"/>
  <c r="DX88" i="32"/>
  <c r="DX89" i="32" s="1"/>
  <c r="DW96" i="32"/>
  <c r="DW97" i="32" s="1"/>
  <c r="DW62" i="32"/>
  <c r="DW64" i="32" s="1"/>
  <c r="DW9" i="4" s="1"/>
  <c r="DX53" i="32"/>
  <c r="DX62" i="32" s="1"/>
  <c r="DX64" i="32" s="1"/>
  <c r="DV65" i="32"/>
  <c r="DV67" i="32" s="1"/>
  <c r="DZ61" i="32"/>
  <c r="DZ82" i="32"/>
  <c r="DZ83" i="32" s="1"/>
  <c r="DY61" i="32"/>
  <c r="DY83" i="32"/>
  <c r="DY93" i="32"/>
  <c r="DY94" i="32" s="1"/>
  <c r="AO122" i="4"/>
  <c r="AO121" i="4"/>
  <c r="BX122" i="4"/>
  <c r="AH122" i="4"/>
  <c r="AH121" i="4"/>
  <c r="BY122" i="4"/>
  <c r="AI122" i="4"/>
  <c r="AI121" i="4"/>
  <c r="CI122" i="4"/>
  <c r="M122" i="4"/>
  <c r="M121" i="4"/>
  <c r="U122" i="4"/>
  <c r="U121" i="4"/>
  <c r="AC122" i="4"/>
  <c r="AC121" i="4"/>
  <c r="AK122" i="4"/>
  <c r="AK121" i="4"/>
  <c r="AS122" i="4"/>
  <c r="AS121" i="4"/>
  <c r="BH122" i="4"/>
  <c r="BP122" i="4"/>
  <c r="CB122" i="4"/>
  <c r="CJ122" i="4"/>
  <c r="Q122" i="4"/>
  <c r="Q121" i="4"/>
  <c r="BL122" i="4"/>
  <c r="R122" i="4"/>
  <c r="R121" i="4"/>
  <c r="K122" i="4"/>
  <c r="K121" i="4"/>
  <c r="BB122" i="4"/>
  <c r="L122" i="4"/>
  <c r="L121" i="4"/>
  <c r="AJ122" i="4"/>
  <c r="AJ121" i="4"/>
  <c r="CA122" i="4"/>
  <c r="N122" i="4"/>
  <c r="N121" i="4"/>
  <c r="V122" i="4"/>
  <c r="V121" i="4"/>
  <c r="AD122" i="4"/>
  <c r="AD121" i="4"/>
  <c r="AL122" i="4"/>
  <c r="AL121" i="4"/>
  <c r="AT122" i="4"/>
  <c r="AT121" i="4"/>
  <c r="BI122" i="4"/>
  <c r="BT122" i="4"/>
  <c r="CC122" i="4"/>
  <c r="CK122" i="4"/>
  <c r="I122" i="4"/>
  <c r="I121" i="4"/>
  <c r="Y122" i="4"/>
  <c r="Y121" i="4"/>
  <c r="AZ122" i="4"/>
  <c r="CF122" i="4"/>
  <c r="CN122" i="4"/>
  <c r="J122" i="4"/>
  <c r="J121" i="4"/>
  <c r="AP122" i="4"/>
  <c r="AP121" i="4"/>
  <c r="BM122" i="4"/>
  <c r="CG122" i="4"/>
  <c r="CO122" i="4"/>
  <c r="AA122" i="4"/>
  <c r="AA121" i="4"/>
  <c r="AQ122" i="4"/>
  <c r="BZ122" i="4"/>
  <c r="CH122" i="4"/>
  <c r="CP122" i="4"/>
  <c r="AB122" i="4"/>
  <c r="AB121" i="4"/>
  <c r="BO122" i="4"/>
  <c r="D122" i="4"/>
  <c r="D121" i="4"/>
  <c r="O122" i="4"/>
  <c r="O121" i="4"/>
  <c r="AE122" i="4"/>
  <c r="AE121" i="4"/>
  <c r="AM122" i="4"/>
  <c r="AM121" i="4"/>
  <c r="AU122" i="4"/>
  <c r="AU121" i="4"/>
  <c r="BJ122" i="4"/>
  <c r="BU122" i="4"/>
  <c r="CD122" i="4"/>
  <c r="CL122" i="4"/>
  <c r="AG122" i="4"/>
  <c r="AG121" i="4"/>
  <c r="Z122" i="4"/>
  <c r="Z121" i="4"/>
  <c r="BA122" i="4"/>
  <c r="BN122" i="4"/>
  <c r="T122" i="4"/>
  <c r="T121" i="4"/>
  <c r="BC122" i="4"/>
  <c r="H122" i="4"/>
  <c r="H121" i="4"/>
  <c r="P122" i="4"/>
  <c r="P121" i="4"/>
  <c r="X122" i="4"/>
  <c r="X121" i="4"/>
  <c r="AF122" i="4"/>
  <c r="AF121" i="4"/>
  <c r="AN122" i="4"/>
  <c r="AY122" i="4"/>
  <c r="BK122" i="4"/>
  <c r="BV122" i="4"/>
  <c r="CE122" i="4"/>
  <c r="CM122" i="4"/>
  <c r="BF109" i="4"/>
  <c r="BJ108" i="4"/>
  <c r="R108" i="4"/>
  <c r="BI108" i="4"/>
  <c r="J109" i="4"/>
  <c r="BN108" i="4"/>
  <c r="CL109" i="4"/>
  <c r="AL109" i="4"/>
  <c r="AP109" i="4"/>
  <c r="N109" i="4"/>
  <c r="AH108" i="4"/>
  <c r="CG108" i="4"/>
  <c r="CD108" i="4"/>
  <c r="BV109" i="4"/>
  <c r="AD109" i="4"/>
  <c r="CE109" i="4"/>
  <c r="U108" i="4"/>
  <c r="V108" i="4"/>
  <c r="AK109" i="4"/>
  <c r="BB108" i="4"/>
  <c r="BA109" i="4"/>
  <c r="M108" i="4"/>
  <c r="AS108" i="4"/>
  <c r="CO109" i="4"/>
  <c r="Z108" i="4"/>
  <c r="AT108" i="4"/>
  <c r="BQ108" i="4"/>
  <c r="CP108" i="4"/>
  <c r="AC108" i="4"/>
  <c r="AX108" i="4"/>
  <c r="BR108" i="4"/>
  <c r="K109" i="4"/>
  <c r="S109" i="4"/>
  <c r="AA109" i="4"/>
  <c r="AI109" i="4"/>
  <c r="AQ109" i="4"/>
  <c r="AY109" i="4"/>
  <c r="BG109" i="4"/>
  <c r="BO109" i="4"/>
  <c r="BW109" i="4"/>
  <c r="CM109" i="4"/>
  <c r="L109" i="4"/>
  <c r="T109" i="4"/>
  <c r="AB109" i="4"/>
  <c r="AJ109" i="4"/>
  <c r="AR109" i="4"/>
  <c r="AZ109" i="4"/>
  <c r="BH109" i="4"/>
  <c r="BP109" i="4"/>
  <c r="CF109" i="4"/>
  <c r="CN109" i="4"/>
  <c r="G109" i="4"/>
  <c r="O109" i="4"/>
  <c r="W109" i="4"/>
  <c r="AE109" i="4"/>
  <c r="AM109" i="4"/>
  <c r="AU109" i="4"/>
  <c r="BC109" i="4"/>
  <c r="BK109" i="4"/>
  <c r="BS109" i="4"/>
  <c r="H109" i="4"/>
  <c r="P109" i="4"/>
  <c r="X109" i="4"/>
  <c r="AF109" i="4"/>
  <c r="AN109" i="4"/>
  <c r="AV109" i="4"/>
  <c r="BD109" i="4"/>
  <c r="BL109" i="4"/>
  <c r="BT109" i="4"/>
  <c r="CB109" i="4"/>
  <c r="I109" i="4"/>
  <c r="Q109" i="4"/>
  <c r="Y109" i="4"/>
  <c r="AO109" i="4"/>
  <c r="AW109" i="4"/>
  <c r="BE109" i="4"/>
  <c r="BM109" i="4"/>
  <c r="BU109" i="4"/>
  <c r="CC109" i="4"/>
  <c r="Y36" i="27" l="1"/>
  <c r="Z36" i="27" s="1"/>
  <c r="DV66" i="32"/>
  <c r="DZ44" i="32"/>
  <c r="DZ46" i="32" s="1"/>
  <c r="DY85" i="32"/>
  <c r="DY86" i="32" s="1"/>
  <c r="DW100" i="32"/>
  <c r="DY89" i="32"/>
  <c r="DY46" i="32"/>
  <c r="DY47" i="32" s="1"/>
  <c r="DX77" i="32"/>
  <c r="DW65" i="32"/>
  <c r="DW67" i="32" s="1"/>
  <c r="DX55" i="32"/>
  <c r="DX56" i="32" s="1"/>
  <c r="DX90" i="32"/>
  <c r="DX96" i="32" s="1"/>
  <c r="DY53" i="32"/>
  <c r="DY62" i="32" s="1"/>
  <c r="DY64" i="32" s="1"/>
  <c r="DZ77" i="32" s="1"/>
  <c r="DY77" i="32"/>
  <c r="DX65" i="32"/>
  <c r="DZ93" i="32"/>
  <c r="DZ94" i="32" s="1"/>
  <c r="CU9" i="4"/>
  <c r="BW27" i="4"/>
  <c r="BW17" i="4"/>
  <c r="AA36" i="27" l="1"/>
  <c r="DZ79" i="32"/>
  <c r="DZ85" i="32" s="1"/>
  <c r="DZ86" i="32" s="1"/>
  <c r="DZ53" i="32"/>
  <c r="DZ55" i="32" s="1"/>
  <c r="DW66" i="32"/>
  <c r="DZ47" i="32"/>
  <c r="DY65" i="32"/>
  <c r="DY67" i="32" s="1"/>
  <c r="DX99" i="32"/>
  <c r="DX100" i="32" s="1"/>
  <c r="DY90" i="32"/>
  <c r="DY96" i="32" s="1"/>
  <c r="DY97" i="32" s="1"/>
  <c r="DY55" i="32"/>
  <c r="DX66" i="32"/>
  <c r="DX67" i="32"/>
  <c r="DX97" i="32"/>
  <c r="CU114" i="4"/>
  <c r="DU9" i="4"/>
  <c r="CU47" i="4"/>
  <c r="CU152" i="4"/>
  <c r="BX27" i="4"/>
  <c r="BX17" i="4"/>
  <c r="BX11" i="4"/>
  <c r="H8" i="29" l="1"/>
  <c r="DZ56" i="32"/>
  <c r="DZ88" i="32"/>
  <c r="DZ89" i="32" s="1"/>
  <c r="DZ90" i="32"/>
  <c r="DZ96" i="32" s="1"/>
  <c r="DZ97" i="32" s="1"/>
  <c r="DZ62" i="32"/>
  <c r="DZ64" i="32" s="1"/>
  <c r="DZ65" i="32" s="1"/>
  <c r="DZ66" i="32" s="1"/>
  <c r="DY56" i="32"/>
  <c r="DY66" i="32"/>
  <c r="DY99" i="32"/>
  <c r="DY100" i="32" s="1"/>
  <c r="DU47" i="4"/>
  <c r="DU48" i="4" s="1"/>
  <c r="DV48" i="4" s="1"/>
  <c r="DW48" i="4" s="1"/>
  <c r="DX48" i="4" s="1"/>
  <c r="DY48" i="4" s="1"/>
  <c r="DZ48" i="4" s="1"/>
  <c r="DU114" i="4"/>
  <c r="CU130" i="4"/>
  <c r="CU160" i="4"/>
  <c r="DU152" i="4"/>
  <c r="H33" i="29" s="1"/>
  <c r="CA115" i="4"/>
  <c r="BX115" i="4"/>
  <c r="BZ115" i="4"/>
  <c r="BY115" i="4"/>
  <c r="BZ27" i="4"/>
  <c r="DZ99" i="32" l="1"/>
  <c r="DZ100" i="32" s="1"/>
  <c r="DZ67" i="32"/>
  <c r="DU160" i="4"/>
  <c r="DU182" i="4"/>
  <c r="DU130" i="4"/>
  <c r="CU183" i="4"/>
  <c r="BY108" i="4"/>
  <c r="BY109" i="4"/>
  <c r="BX108" i="4"/>
  <c r="BX109" i="4"/>
  <c r="BZ109" i="4"/>
  <c r="BZ108" i="4"/>
  <c r="CA108" i="4"/>
  <c r="CA109" i="4"/>
  <c r="CA17" i="4"/>
  <c r="CA16" i="4"/>
  <c r="CA27" i="4"/>
  <c r="CB17" i="4"/>
  <c r="CC17" i="4"/>
  <c r="CB27" i="4"/>
  <c r="CD15" i="4"/>
  <c r="CH15" i="4"/>
  <c r="DU183" i="4" l="1"/>
  <c r="DU185" i="4"/>
  <c r="DV185" i="4" s="1"/>
  <c r="CP23" i="4"/>
  <c r="DD168" i="4"/>
  <c r="BN130" i="4"/>
  <c r="BN184" i="4" s="1"/>
  <c r="BN153" i="4"/>
  <c r="CO133" i="4"/>
  <c r="CO100" i="4"/>
  <c r="CO121" i="4" s="1"/>
  <c r="CO89" i="4"/>
  <c r="CO77" i="4"/>
  <c r="BO130" i="4" l="1"/>
  <c r="BO184" i="4" s="1"/>
  <c r="BN183" i="4"/>
  <c r="CP131" i="4"/>
  <c r="DT131" i="4" s="1"/>
  <c r="CO144" i="4"/>
  <c r="CO143" i="4"/>
  <c r="CP143" i="4" s="1"/>
  <c r="CO142" i="4"/>
  <c r="CP142" i="4" s="1"/>
  <c r="CO141" i="4"/>
  <c r="CP141" i="4" s="1"/>
  <c r="CP100" i="4"/>
  <c r="CP121" i="4" s="1"/>
  <c r="CP89" i="4"/>
  <c r="CP77" i="4"/>
  <c r="CR77" i="4" s="1"/>
  <c r="CS77" i="4" s="1"/>
  <c r="CT77" i="4" s="1"/>
  <c r="CU77" i="4" s="1"/>
  <c r="DU77" i="4" s="1"/>
  <c r="CI71" i="4"/>
  <c r="CK71" i="4"/>
  <c r="CJ71" i="4"/>
  <c r="BO183" i="4" l="1"/>
  <c r="CP144" i="4"/>
  <c r="DG136" i="4"/>
  <c r="DG132" i="4"/>
  <c r="DF131" i="4"/>
  <c r="DG131" i="4"/>
  <c r="CA154" i="4"/>
  <c r="AA157" i="4"/>
  <c r="AI131" i="4"/>
  <c r="DI134" i="4"/>
  <c r="DG134" i="4"/>
  <c r="DE134" i="4"/>
  <c r="DF134" i="4"/>
  <c r="DH134" i="4"/>
  <c r="DJ134" i="4"/>
  <c r="DJ131" i="4"/>
  <c r="DH138" i="4"/>
  <c r="DS136" i="4"/>
  <c r="DT136" i="4"/>
  <c r="DM139" i="4"/>
  <c r="CX92" i="4"/>
  <c r="CW85" i="4"/>
  <c r="CW90" i="4"/>
  <c r="CY100" i="4"/>
  <c r="DS99" i="4"/>
  <c r="DR99" i="4"/>
  <c r="DQ99" i="4"/>
  <c r="DP99" i="4"/>
  <c r="DO99" i="4"/>
  <c r="DN99" i="4"/>
  <c r="DM99" i="4"/>
  <c r="DL99" i="4"/>
  <c r="DK99" i="4"/>
  <c r="DJ99" i="4"/>
  <c r="DI99" i="4"/>
  <c r="DG99" i="4"/>
  <c r="DF99" i="4"/>
  <c r="DE99" i="4"/>
  <c r="DD99" i="4"/>
  <c r="DC99" i="4"/>
  <c r="DB99" i="4"/>
  <c r="DA99" i="4"/>
  <c r="CZ99" i="4"/>
  <c r="CY99" i="4"/>
  <c r="CX99" i="4"/>
  <c r="DS98" i="4"/>
  <c r="DR98" i="4"/>
  <c r="DQ98" i="4"/>
  <c r="DP98" i="4"/>
  <c r="DO98" i="4"/>
  <c r="DN98" i="4"/>
  <c r="DM98" i="4"/>
  <c r="DL98" i="4"/>
  <c r="DK98" i="4"/>
  <c r="DJ98" i="4"/>
  <c r="DI98" i="4"/>
  <c r="DG98" i="4"/>
  <c r="DF98" i="4"/>
  <c r="DE98" i="4"/>
  <c r="DD98" i="4"/>
  <c r="DC98" i="4"/>
  <c r="DB98" i="4"/>
  <c r="DA98" i="4"/>
  <c r="CZ98" i="4"/>
  <c r="CY98" i="4"/>
  <c r="CX98" i="4"/>
  <c r="DS97" i="4"/>
  <c r="DR97" i="4"/>
  <c r="DQ97" i="4"/>
  <c r="DP97" i="4"/>
  <c r="DO97" i="4"/>
  <c r="DL97" i="4"/>
  <c r="DK97" i="4"/>
  <c r="DJ97" i="4"/>
  <c r="DI97" i="4"/>
  <c r="DG97" i="4"/>
  <c r="DF97" i="4"/>
  <c r="DE97" i="4"/>
  <c r="DD97" i="4"/>
  <c r="DC97" i="4"/>
  <c r="DB97" i="4"/>
  <c r="DA97" i="4"/>
  <c r="CZ97" i="4"/>
  <c r="CY97" i="4"/>
  <c r="CX97" i="4"/>
  <c r="DS96" i="4"/>
  <c r="DR96" i="4"/>
  <c r="DQ96" i="4"/>
  <c r="DP96" i="4"/>
  <c r="DO96" i="4"/>
  <c r="DN96" i="4"/>
  <c r="DM96" i="4"/>
  <c r="DL96" i="4"/>
  <c r="DK96" i="4"/>
  <c r="DJ96" i="4"/>
  <c r="DI96" i="4"/>
  <c r="DG96" i="4"/>
  <c r="DF96" i="4"/>
  <c r="DE96" i="4"/>
  <c r="DD96" i="4"/>
  <c r="DC96" i="4"/>
  <c r="DB96" i="4"/>
  <c r="DA96" i="4"/>
  <c r="CZ96" i="4"/>
  <c r="CY96" i="4"/>
  <c r="CX96" i="4"/>
  <c r="DS95" i="4"/>
  <c r="DR95" i="4"/>
  <c r="DQ95" i="4"/>
  <c r="DP95" i="4"/>
  <c r="DO95" i="4"/>
  <c r="DN95" i="4"/>
  <c r="DM95" i="4"/>
  <c r="DL95" i="4"/>
  <c r="DK95" i="4"/>
  <c r="DJ95" i="4"/>
  <c r="DI95" i="4"/>
  <c r="DG95" i="4"/>
  <c r="DF95" i="4"/>
  <c r="DE95" i="4"/>
  <c r="DD95" i="4"/>
  <c r="DC95" i="4"/>
  <c r="DB95" i="4"/>
  <c r="DA95" i="4"/>
  <c r="CZ95" i="4"/>
  <c r="CY95" i="4"/>
  <c r="CX95" i="4"/>
  <c r="DS94" i="4"/>
  <c r="DR94" i="4"/>
  <c r="DQ94" i="4"/>
  <c r="DP94" i="4"/>
  <c r="DO94" i="4"/>
  <c r="DN94" i="4"/>
  <c r="DM94" i="4"/>
  <c r="DL94" i="4"/>
  <c r="DK94" i="4"/>
  <c r="DJ94" i="4"/>
  <c r="DI94" i="4"/>
  <c r="DG94" i="4"/>
  <c r="DF94" i="4"/>
  <c r="DE94" i="4"/>
  <c r="DD94" i="4"/>
  <c r="DC94" i="4"/>
  <c r="DB94" i="4"/>
  <c r="DA94" i="4"/>
  <c r="CZ94" i="4"/>
  <c r="CY94" i="4"/>
  <c r="CX94" i="4"/>
  <c r="DS92" i="4"/>
  <c r="DR92" i="4"/>
  <c r="DQ92" i="4"/>
  <c r="DP92" i="4"/>
  <c r="DO92" i="4"/>
  <c r="DN92" i="4"/>
  <c r="DM92" i="4"/>
  <c r="DL92" i="4"/>
  <c r="DK92" i="4"/>
  <c r="DJ92" i="4"/>
  <c r="DI92" i="4"/>
  <c r="DH92" i="4"/>
  <c r="DG92" i="4"/>
  <c r="DF92" i="4"/>
  <c r="DE92" i="4"/>
  <c r="DD92" i="4"/>
  <c r="DC92" i="4"/>
  <c r="DB92" i="4"/>
  <c r="DA92" i="4"/>
  <c r="CZ92" i="4"/>
  <c r="CY92" i="4"/>
  <c r="DR89" i="4"/>
  <c r="DQ89" i="4"/>
  <c r="DP89" i="4"/>
  <c r="DO89" i="4"/>
  <c r="DN89" i="4"/>
  <c r="DL89" i="4"/>
  <c r="DK89" i="4"/>
  <c r="DJ89" i="4"/>
  <c r="DI89" i="4"/>
  <c r="DG89" i="4"/>
  <c r="DF89" i="4"/>
  <c r="DE89" i="4"/>
  <c r="DD89" i="4"/>
  <c r="DC89" i="4"/>
  <c r="DA89" i="4"/>
  <c r="CZ89" i="4"/>
  <c r="CY89" i="4"/>
  <c r="CX89" i="4"/>
  <c r="DS88" i="4"/>
  <c r="DR88" i="4"/>
  <c r="DQ88" i="4"/>
  <c r="DP88" i="4"/>
  <c r="DO88" i="4"/>
  <c r="DN88" i="4"/>
  <c r="DL88" i="4"/>
  <c r="DK88" i="4"/>
  <c r="DJ88" i="4"/>
  <c r="DI88" i="4"/>
  <c r="DG88" i="4"/>
  <c r="DF88" i="4"/>
  <c r="DE88" i="4"/>
  <c r="DD88" i="4"/>
  <c r="DC88" i="4"/>
  <c r="DB88" i="4"/>
  <c r="DA88" i="4"/>
  <c r="CZ88" i="4"/>
  <c r="CY88" i="4"/>
  <c r="CX88" i="4"/>
  <c r="DS87" i="4"/>
  <c r="DR87" i="4"/>
  <c r="DQ87" i="4"/>
  <c r="DP87" i="4"/>
  <c r="DO87" i="4"/>
  <c r="DN87" i="4"/>
  <c r="DM87" i="4"/>
  <c r="DL87" i="4"/>
  <c r="DK87" i="4"/>
  <c r="DJ87" i="4"/>
  <c r="DI87" i="4"/>
  <c r="DH87" i="4"/>
  <c r="DG87" i="4"/>
  <c r="DF87" i="4"/>
  <c r="DE87" i="4"/>
  <c r="DD87" i="4"/>
  <c r="DC87" i="4"/>
  <c r="DB87" i="4"/>
  <c r="DA87" i="4"/>
  <c r="CZ87" i="4"/>
  <c r="CY87" i="4"/>
  <c r="CX87" i="4"/>
  <c r="DS84" i="4"/>
  <c r="DR84" i="4"/>
  <c r="DQ84" i="4"/>
  <c r="DP84" i="4"/>
  <c r="DO84" i="4"/>
  <c r="DN84" i="4"/>
  <c r="DM84" i="4"/>
  <c r="DL84" i="4"/>
  <c r="DK84" i="4"/>
  <c r="DJ84" i="4"/>
  <c r="DI84" i="4"/>
  <c r="DH84" i="4"/>
  <c r="DG84" i="4"/>
  <c r="DF84" i="4"/>
  <c r="DE84" i="4"/>
  <c r="DD84" i="4"/>
  <c r="DC84" i="4"/>
  <c r="DB84" i="4"/>
  <c r="DA84" i="4"/>
  <c r="CZ84" i="4"/>
  <c r="CY84" i="4"/>
  <c r="CX84" i="4"/>
  <c r="DS83" i="4"/>
  <c r="DR83" i="4"/>
  <c r="DQ83" i="4"/>
  <c r="DP83" i="4"/>
  <c r="DO83" i="4"/>
  <c r="DN83" i="4"/>
  <c r="DM83" i="4"/>
  <c r="DL83" i="4"/>
  <c r="DK83" i="4"/>
  <c r="DJ83" i="4"/>
  <c r="DI83" i="4"/>
  <c r="DH83" i="4"/>
  <c r="DG83" i="4"/>
  <c r="DF83" i="4"/>
  <c r="DE83" i="4"/>
  <c r="DD83" i="4"/>
  <c r="DC83" i="4"/>
  <c r="DB83" i="4"/>
  <c r="DA83" i="4"/>
  <c r="CZ83" i="4"/>
  <c r="CY83" i="4"/>
  <c r="CX83" i="4"/>
  <c r="DS82" i="4"/>
  <c r="DR82" i="4"/>
  <c r="DQ82" i="4"/>
  <c r="DP82" i="4"/>
  <c r="DM82" i="4"/>
  <c r="DL82" i="4"/>
  <c r="DJ82" i="4"/>
  <c r="DI82" i="4"/>
  <c r="DH82" i="4"/>
  <c r="DG82" i="4"/>
  <c r="DF82" i="4"/>
  <c r="DE82" i="4"/>
  <c r="DD82" i="4"/>
  <c r="DC82" i="4"/>
  <c r="DB82" i="4"/>
  <c r="DA82" i="4"/>
  <c r="CZ82" i="4"/>
  <c r="CY82" i="4"/>
  <c r="CX82" i="4"/>
  <c r="DR79" i="4"/>
  <c r="DQ79" i="4"/>
  <c r="DP79" i="4"/>
  <c r="DO79" i="4"/>
  <c r="DN79" i="4"/>
  <c r="DL79" i="4"/>
  <c r="DK79" i="4"/>
  <c r="DJ79" i="4"/>
  <c r="DI79" i="4"/>
  <c r="DE79" i="4"/>
  <c r="DD79" i="4"/>
  <c r="DC79" i="4"/>
  <c r="DB79" i="4"/>
  <c r="DA79" i="4"/>
  <c r="CZ79" i="4"/>
  <c r="CY79" i="4"/>
  <c r="CX79" i="4"/>
  <c r="DT78" i="4"/>
  <c r="DS78" i="4"/>
  <c r="DR78" i="4"/>
  <c r="DQ78" i="4"/>
  <c r="DP78" i="4"/>
  <c r="DM78" i="4"/>
  <c r="DL78" i="4"/>
  <c r="DK78" i="4"/>
  <c r="DJ78" i="4"/>
  <c r="DG78" i="4"/>
  <c r="DF78" i="4"/>
  <c r="DE78" i="4"/>
  <c r="DD78" i="4"/>
  <c r="DC78" i="4"/>
  <c r="DB78" i="4"/>
  <c r="DA78" i="4"/>
  <c r="CZ78" i="4"/>
  <c r="CY78" i="4"/>
  <c r="CX78" i="4"/>
  <c r="DQ77" i="4"/>
  <c r="DP77" i="4"/>
  <c r="DO77" i="4"/>
  <c r="DN77" i="4"/>
  <c r="DL77" i="4"/>
  <c r="DK77" i="4"/>
  <c r="DJ77" i="4"/>
  <c r="DI77" i="4"/>
  <c r="DG77" i="4"/>
  <c r="DF77" i="4"/>
  <c r="DE77" i="4"/>
  <c r="DD77" i="4"/>
  <c r="DC77" i="4"/>
  <c r="DB77" i="4"/>
  <c r="DA77" i="4"/>
  <c r="CZ77" i="4"/>
  <c r="CY77" i="4"/>
  <c r="CX77" i="4"/>
  <c r="DS76" i="4"/>
  <c r="DR76" i="4"/>
  <c r="DQ76" i="4"/>
  <c r="DP76" i="4"/>
  <c r="DO76" i="4"/>
  <c r="DN76" i="4"/>
  <c r="DL76" i="4"/>
  <c r="DK76" i="4"/>
  <c r="DJ76" i="4"/>
  <c r="DI76" i="4"/>
  <c r="DG76" i="4"/>
  <c r="DF76" i="4"/>
  <c r="DE76" i="4"/>
  <c r="DD76" i="4"/>
  <c r="DC76" i="4"/>
  <c r="DB76" i="4"/>
  <c r="DA76" i="4"/>
  <c r="CZ76" i="4"/>
  <c r="CY76" i="4"/>
  <c r="CX76" i="4"/>
  <c r="DS75" i="4"/>
  <c r="DR75" i="4"/>
  <c r="DQ75" i="4"/>
  <c r="DP75" i="4"/>
  <c r="DO75" i="4"/>
  <c r="DN75" i="4"/>
  <c r="DM75" i="4"/>
  <c r="DL75" i="4"/>
  <c r="DK75" i="4"/>
  <c r="DJ75" i="4"/>
  <c r="DI75" i="4"/>
  <c r="DH75" i="4"/>
  <c r="DG75" i="4"/>
  <c r="DF75" i="4"/>
  <c r="DE75" i="4"/>
  <c r="DF184" i="4" s="1"/>
  <c r="DD75" i="4"/>
  <c r="DE184" i="4" s="1"/>
  <c r="DC75" i="4"/>
  <c r="DD184" i="4" s="1"/>
  <c r="DB75" i="4"/>
  <c r="DC184" i="4" s="1"/>
  <c r="DA75" i="4"/>
  <c r="CZ75" i="4"/>
  <c r="DA184" i="4" s="1"/>
  <c r="CY75" i="4"/>
  <c r="CX75" i="4"/>
  <c r="DT72" i="4"/>
  <c r="DS72" i="4"/>
  <c r="DR72" i="4"/>
  <c r="DQ72" i="4"/>
  <c r="DP72" i="4"/>
  <c r="DO72" i="4"/>
  <c r="DN72" i="4"/>
  <c r="DM72" i="4"/>
  <c r="DK72" i="4"/>
  <c r="DJ72" i="4"/>
  <c r="DH72" i="4"/>
  <c r="DG72" i="4"/>
  <c r="DF72" i="4"/>
  <c r="DE72" i="4"/>
  <c r="DD72" i="4"/>
  <c r="DC72" i="4"/>
  <c r="DB72" i="4"/>
  <c r="DA72" i="4"/>
  <c r="CZ72" i="4"/>
  <c r="CY72" i="4"/>
  <c r="CX72" i="4"/>
  <c r="DS71" i="4"/>
  <c r="DQ71" i="4"/>
  <c r="DP71" i="4"/>
  <c r="DO71" i="4"/>
  <c r="DN71" i="4"/>
  <c r="DM71" i="4"/>
  <c r="DK71" i="4"/>
  <c r="DJ71" i="4"/>
  <c r="DI71" i="4"/>
  <c r="DH71" i="4"/>
  <c r="DG71" i="4"/>
  <c r="DF71" i="4"/>
  <c r="DE71" i="4"/>
  <c r="DD71" i="4"/>
  <c r="DC71" i="4"/>
  <c r="DB71" i="4"/>
  <c r="DA71" i="4"/>
  <c r="CZ71" i="4"/>
  <c r="CY71" i="4"/>
  <c r="CX71" i="4"/>
  <c r="DS70" i="4"/>
  <c r="DR70" i="4"/>
  <c r="DQ70" i="4"/>
  <c r="DP70" i="4"/>
  <c r="DM70" i="4"/>
  <c r="DK70" i="4"/>
  <c r="DJ70" i="4"/>
  <c r="DI70" i="4"/>
  <c r="DH70" i="4"/>
  <c r="DG70" i="4"/>
  <c r="DF70" i="4"/>
  <c r="DE70" i="4"/>
  <c r="DD70" i="4"/>
  <c r="DC70" i="4"/>
  <c r="DB70" i="4"/>
  <c r="DA70" i="4"/>
  <c r="CZ70" i="4"/>
  <c r="CY70" i="4"/>
  <c r="CX70" i="4"/>
  <c r="DS69" i="4"/>
  <c r="DR69" i="4"/>
  <c r="DQ69" i="4"/>
  <c r="DP69" i="4"/>
  <c r="DO69" i="4"/>
  <c r="DN69" i="4"/>
  <c r="DM69" i="4"/>
  <c r="DL69" i="4"/>
  <c r="DK69" i="4"/>
  <c r="DJ69" i="4"/>
  <c r="DI69" i="4"/>
  <c r="DH69" i="4"/>
  <c r="DG69" i="4"/>
  <c r="DF69" i="4"/>
  <c r="DE69" i="4"/>
  <c r="DD69" i="4"/>
  <c r="DC69" i="4"/>
  <c r="DB69" i="4"/>
  <c r="DA69" i="4"/>
  <c r="CZ69" i="4"/>
  <c r="CY69" i="4"/>
  <c r="CX69" i="4"/>
  <c r="DS68" i="4"/>
  <c r="DR68" i="4"/>
  <c r="DQ68" i="4"/>
  <c r="DP68" i="4"/>
  <c r="DO68" i="4"/>
  <c r="DN68" i="4"/>
  <c r="DM68" i="4"/>
  <c r="DL68" i="4"/>
  <c r="DK68" i="4"/>
  <c r="DJ68" i="4"/>
  <c r="DI68" i="4"/>
  <c r="DH68" i="4"/>
  <c r="DG68" i="4"/>
  <c r="DF68" i="4"/>
  <c r="DE68" i="4"/>
  <c r="DD68" i="4"/>
  <c r="DC68" i="4"/>
  <c r="DB68" i="4"/>
  <c r="DA68" i="4"/>
  <c r="CZ68" i="4"/>
  <c r="CY68" i="4"/>
  <c r="CX68" i="4"/>
  <c r="DT67" i="4"/>
  <c r="DS67" i="4"/>
  <c r="DR67" i="4"/>
  <c r="DQ67" i="4"/>
  <c r="DP67" i="4"/>
  <c r="DM67" i="4"/>
  <c r="DK67" i="4"/>
  <c r="DJ67" i="4"/>
  <c r="DI67" i="4"/>
  <c r="DH67" i="4"/>
  <c r="DG67" i="4"/>
  <c r="DF67" i="4"/>
  <c r="DE67" i="4"/>
  <c r="DD67" i="4"/>
  <c r="DC67" i="4"/>
  <c r="DB67" i="4"/>
  <c r="DA67" i="4"/>
  <c r="CZ67" i="4"/>
  <c r="CY67" i="4"/>
  <c r="CX67" i="4"/>
  <c r="DS66" i="4"/>
  <c r="DR66" i="4"/>
  <c r="DQ66" i="4"/>
  <c r="DP66" i="4"/>
  <c r="DO66" i="4"/>
  <c r="DN66" i="4"/>
  <c r="DM66" i="4"/>
  <c r="DL66" i="4"/>
  <c r="DK66" i="4"/>
  <c r="DJ66" i="4"/>
  <c r="DI66" i="4"/>
  <c r="DH66" i="4"/>
  <c r="DG66" i="4"/>
  <c r="DF66" i="4"/>
  <c r="DE66" i="4"/>
  <c r="DD66" i="4"/>
  <c r="DC66" i="4"/>
  <c r="CZ66" i="4"/>
  <c r="CY66" i="4"/>
  <c r="CX66" i="4"/>
  <c r="DB166" i="4"/>
  <c r="DA166" i="4"/>
  <c r="CZ166" i="4"/>
  <c r="CY166" i="4"/>
  <c r="CX166" i="4"/>
  <c r="BV166" i="4"/>
  <c r="BU166" i="4"/>
  <c r="BT166" i="4"/>
  <c r="AJ166" i="4"/>
  <c r="V166" i="4"/>
  <c r="T166" i="4"/>
  <c r="O166" i="4"/>
  <c r="DF160" i="4"/>
  <c r="DE160" i="4"/>
  <c r="DD160" i="4"/>
  <c r="DC160" i="4"/>
  <c r="DB160" i="4"/>
  <c r="DA160" i="4"/>
  <c r="CX160" i="4"/>
  <c r="CW160" i="4"/>
  <c r="CN160" i="4"/>
  <c r="CJ160" i="4"/>
  <c r="CF160" i="4"/>
  <c r="CB160" i="4"/>
  <c r="BX160" i="4"/>
  <c r="BV160" i="4"/>
  <c r="BU160" i="4"/>
  <c r="BT160" i="4"/>
  <c r="BP160" i="4"/>
  <c r="BL160" i="4"/>
  <c r="BH160" i="4"/>
  <c r="BD160" i="4"/>
  <c r="AN160" i="4"/>
  <c r="AJ160" i="4"/>
  <c r="AF160" i="4"/>
  <c r="AB160" i="4"/>
  <c r="X160" i="4"/>
  <c r="V160" i="4"/>
  <c r="U160" i="4"/>
  <c r="T160" i="4"/>
  <c r="P160" i="4"/>
  <c r="O160" i="4"/>
  <c r="L160" i="4"/>
  <c r="T150" i="4"/>
  <c r="DC146" i="4"/>
  <c r="DC150" i="4" s="1"/>
  <c r="DC51" i="4" s="1"/>
  <c r="BV146" i="4"/>
  <c r="BU146" i="4"/>
  <c r="BT146" i="4"/>
  <c r="BM146" i="4"/>
  <c r="AR146" i="4"/>
  <c r="AJ146" i="4"/>
  <c r="AF146" i="4"/>
  <c r="AB146" i="4"/>
  <c r="X146" i="4"/>
  <c r="G120" i="4"/>
  <c r="F120" i="4"/>
  <c r="E120" i="4"/>
  <c r="CM100" i="4"/>
  <c r="CM121" i="4" s="1"/>
  <c r="CL100" i="4"/>
  <c r="CL121" i="4" s="1"/>
  <c r="CI100" i="4"/>
  <c r="CI121" i="4" s="1"/>
  <c r="CE100" i="4"/>
  <c r="CE121" i="4" s="1"/>
  <c r="CD100" i="4"/>
  <c r="CD121" i="4" s="1"/>
  <c r="CC100" i="4"/>
  <c r="CC121" i="4" s="1"/>
  <c r="CB100" i="4"/>
  <c r="CB121" i="4" s="1"/>
  <c r="CA100" i="4"/>
  <c r="CA121" i="4" s="1"/>
  <c r="BZ100" i="4"/>
  <c r="BZ121" i="4" s="1"/>
  <c r="BW100" i="4"/>
  <c r="BV100" i="4"/>
  <c r="BV121" i="4" s="1"/>
  <c r="BU100" i="4"/>
  <c r="BU121" i="4" s="1"/>
  <c r="BT100" i="4"/>
  <c r="BT121" i="4" s="1"/>
  <c r="BK100" i="4"/>
  <c r="BK121" i="4" s="1"/>
  <c r="BI100" i="4"/>
  <c r="BI121" i="4" s="1"/>
  <c r="BH100" i="4"/>
  <c r="BH121" i="4" s="1"/>
  <c r="BG100" i="4"/>
  <c r="BF100" i="4"/>
  <c r="BE100" i="4"/>
  <c r="BD100" i="4"/>
  <c r="BC100" i="4"/>
  <c r="BC121" i="4" s="1"/>
  <c r="BB100" i="4"/>
  <c r="BB121" i="4" s="1"/>
  <c r="BA100" i="4"/>
  <c r="BA121" i="4" s="1"/>
  <c r="AZ100" i="4"/>
  <c r="AZ121" i="4" s="1"/>
  <c r="AY100" i="4"/>
  <c r="AY121" i="4" s="1"/>
  <c r="AQ100" i="4"/>
  <c r="AQ121" i="4" s="1"/>
  <c r="CP90" i="4"/>
  <c r="CO90" i="4"/>
  <c r="CK90" i="4"/>
  <c r="CI90" i="4"/>
  <c r="CH90" i="4"/>
  <c r="CG90" i="4"/>
  <c r="CF90" i="4"/>
  <c r="CE90" i="4"/>
  <c r="CD90" i="4"/>
  <c r="CC90" i="4"/>
  <c r="CB90" i="4"/>
  <c r="CA90" i="4"/>
  <c r="BZ90" i="4"/>
  <c r="BY90" i="4"/>
  <c r="BW90" i="4"/>
  <c r="BV90" i="4"/>
  <c r="BU90" i="4"/>
  <c r="BT90" i="4"/>
  <c r="BS90" i="4"/>
  <c r="BQ90" i="4"/>
  <c r="BP90" i="4"/>
  <c r="BK90" i="4"/>
  <c r="BJ90" i="4"/>
  <c r="BI90" i="4"/>
  <c r="BH90" i="4"/>
  <c r="BG90" i="4"/>
  <c r="BD90" i="4"/>
  <c r="BC90" i="4"/>
  <c r="BB90" i="4"/>
  <c r="BA90" i="4"/>
  <c r="AZ90" i="4"/>
  <c r="AY90" i="4"/>
  <c r="AX90" i="4"/>
  <c r="AR90" i="4"/>
  <c r="AQ90" i="4"/>
  <c r="AN90" i="4"/>
  <c r="AM90" i="4"/>
  <c r="AL90" i="4"/>
  <c r="AK90" i="4"/>
  <c r="AI90" i="4"/>
  <c r="AH90" i="4"/>
  <c r="AG90" i="4"/>
  <c r="AF90" i="4"/>
  <c r="AE90" i="4"/>
  <c r="AD90" i="4"/>
  <c r="AC90" i="4"/>
  <c r="AB90" i="4"/>
  <c r="AA90" i="4"/>
  <c r="Z90" i="4"/>
  <c r="Y90" i="4"/>
  <c r="X90" i="4"/>
  <c r="V90" i="4"/>
  <c r="U90" i="4"/>
  <c r="T90" i="4"/>
  <c r="S90" i="4"/>
  <c r="R90" i="4"/>
  <c r="Q90" i="4"/>
  <c r="P90" i="4"/>
  <c r="O90" i="4"/>
  <c r="N90" i="4"/>
  <c r="M90" i="4"/>
  <c r="L90" i="4"/>
  <c r="K90" i="4"/>
  <c r="J90" i="4"/>
  <c r="I90" i="4"/>
  <c r="H90" i="4"/>
  <c r="G90" i="4"/>
  <c r="F90" i="4"/>
  <c r="E90" i="4"/>
  <c r="D90" i="4"/>
  <c r="CP85" i="4"/>
  <c r="CO85" i="4"/>
  <c r="CN85" i="4"/>
  <c r="CM85" i="4"/>
  <c r="CL85" i="4"/>
  <c r="CK85" i="4"/>
  <c r="CJ85" i="4"/>
  <c r="CI85" i="4"/>
  <c r="CH85" i="4"/>
  <c r="CG85" i="4"/>
  <c r="CF85" i="4"/>
  <c r="CE85" i="4"/>
  <c r="CD85" i="4"/>
  <c r="CC85" i="4"/>
  <c r="CB85" i="4"/>
  <c r="CA85" i="4"/>
  <c r="BZ85" i="4"/>
  <c r="BY85" i="4"/>
  <c r="BX85" i="4"/>
  <c r="BV85" i="4"/>
  <c r="BU85" i="4"/>
  <c r="BT85" i="4"/>
  <c r="BP85" i="4"/>
  <c r="BO85" i="4"/>
  <c r="BN85" i="4"/>
  <c r="BM85" i="4"/>
  <c r="BL85" i="4"/>
  <c r="BK85" i="4"/>
  <c r="BJ85" i="4"/>
  <c r="BI85" i="4"/>
  <c r="BH85" i="4"/>
  <c r="BC85" i="4"/>
  <c r="BB85" i="4"/>
  <c r="BA85" i="4"/>
  <c r="AZ85" i="4"/>
  <c r="AY85" i="4"/>
  <c r="AU85" i="4"/>
  <c r="AT85" i="4"/>
  <c r="AS85" i="4"/>
  <c r="AR85" i="4"/>
  <c r="AQ85" i="4"/>
  <c r="AP85" i="4"/>
  <c r="AO85" i="4"/>
  <c r="AN85" i="4"/>
  <c r="AM85" i="4"/>
  <c r="AL85" i="4"/>
  <c r="AK85" i="4"/>
  <c r="AJ85" i="4"/>
  <c r="AI85" i="4"/>
  <c r="AH85" i="4"/>
  <c r="AF85" i="4"/>
  <c r="AE85" i="4"/>
  <c r="AD85" i="4"/>
  <c r="AC85" i="4"/>
  <c r="AB85" i="4"/>
  <c r="AA85" i="4"/>
  <c r="Z85" i="4"/>
  <c r="Y85" i="4"/>
  <c r="X85" i="4"/>
  <c r="W85" i="4"/>
  <c r="V85" i="4"/>
  <c r="U85" i="4"/>
  <c r="T85" i="4"/>
  <c r="S85" i="4"/>
  <c r="R85" i="4"/>
  <c r="Q85" i="4"/>
  <c r="P85" i="4"/>
  <c r="O85" i="4"/>
  <c r="N85" i="4"/>
  <c r="M85" i="4"/>
  <c r="L85" i="4"/>
  <c r="K85" i="4"/>
  <c r="J85" i="4"/>
  <c r="I85" i="4"/>
  <c r="H85" i="4"/>
  <c r="G85" i="4"/>
  <c r="F85" i="4"/>
  <c r="E85" i="4"/>
  <c r="D85" i="4"/>
  <c r="CP73" i="4"/>
  <c r="CP80" i="4" s="1"/>
  <c r="CM73" i="4"/>
  <c r="CH73" i="4"/>
  <c r="CH80" i="4" s="1"/>
  <c r="CG73" i="4"/>
  <c r="CG80" i="4" s="1"/>
  <c r="CE73" i="4"/>
  <c r="CE80" i="4" s="1"/>
  <c r="CD73" i="4"/>
  <c r="CD80" i="4" s="1"/>
  <c r="CC73" i="4"/>
  <c r="CC80" i="4" s="1"/>
  <c r="CB73" i="4"/>
  <c r="CB80" i="4" s="1"/>
  <c r="CA73" i="4"/>
  <c r="CA80" i="4" s="1"/>
  <c r="BZ73" i="4"/>
  <c r="BZ80" i="4" s="1"/>
  <c r="BY73" i="4"/>
  <c r="BX73" i="4"/>
  <c r="BO73" i="4"/>
  <c r="BN73" i="4"/>
  <c r="BM73" i="4"/>
  <c r="BL73" i="4"/>
  <c r="BJ73" i="4"/>
  <c r="BJ80" i="4" s="1"/>
  <c r="BI73" i="4"/>
  <c r="BI80" i="4" s="1"/>
  <c r="BG73" i="4"/>
  <c r="BG80" i="4" s="1"/>
  <c r="BF73" i="4"/>
  <c r="BF80" i="4" s="1"/>
  <c r="BE73" i="4"/>
  <c r="BE80" i="4" s="1"/>
  <c r="BC73" i="4"/>
  <c r="BC80" i="4" s="1"/>
  <c r="AZ73" i="4"/>
  <c r="AZ80" i="4" s="1"/>
  <c r="AX73" i="4"/>
  <c r="AV73" i="4"/>
  <c r="AU73" i="4"/>
  <c r="AT73" i="4"/>
  <c r="AS73" i="4"/>
  <c r="AQ73" i="4"/>
  <c r="AP73" i="4"/>
  <c r="AO73" i="4"/>
  <c r="AM73" i="4"/>
  <c r="AL73" i="4"/>
  <c r="AL80" i="4" s="1"/>
  <c r="AK73" i="4"/>
  <c r="AK80" i="4" s="1"/>
  <c r="AJ73" i="4"/>
  <c r="AI73" i="4"/>
  <c r="AI80" i="4" s="1"/>
  <c r="AH73" i="4"/>
  <c r="AH80" i="4" s="1"/>
  <c r="AG73" i="4"/>
  <c r="AF73" i="4"/>
  <c r="AF80" i="4" s="1"/>
  <c r="AE73" i="4"/>
  <c r="AE80" i="4" s="1"/>
  <c r="AD73" i="4"/>
  <c r="AD80" i="4" s="1"/>
  <c r="AC73" i="4"/>
  <c r="AC80" i="4" s="1"/>
  <c r="AB73" i="4"/>
  <c r="AB80" i="4" s="1"/>
  <c r="AA73" i="4"/>
  <c r="AA80" i="4" s="1"/>
  <c r="Z73" i="4"/>
  <c r="Z80" i="4" s="1"/>
  <c r="Y73" i="4"/>
  <c r="Y80" i="4" s="1"/>
  <c r="X73" i="4"/>
  <c r="X80" i="4" s="1"/>
  <c r="V73" i="4"/>
  <c r="V80" i="4" s="1"/>
  <c r="U73" i="4"/>
  <c r="U80" i="4" s="1"/>
  <c r="T73" i="4"/>
  <c r="T80" i="4" s="1"/>
  <c r="R73" i="4"/>
  <c r="R80" i="4" s="1"/>
  <c r="Q73" i="4"/>
  <c r="Q80" i="4" s="1"/>
  <c r="P73" i="4"/>
  <c r="P80" i="4" s="1"/>
  <c r="O73" i="4"/>
  <c r="O80" i="4" s="1"/>
  <c r="N73" i="4"/>
  <c r="M73" i="4"/>
  <c r="M80" i="4" s="1"/>
  <c r="L73" i="4"/>
  <c r="L80" i="4" s="1"/>
  <c r="K73" i="4"/>
  <c r="K80" i="4" s="1"/>
  <c r="J73" i="4"/>
  <c r="J80" i="4" s="1"/>
  <c r="I73" i="4"/>
  <c r="I80" i="4" s="1"/>
  <c r="H73" i="4"/>
  <c r="H80" i="4" s="1"/>
  <c r="G73" i="4"/>
  <c r="G80" i="4" s="1"/>
  <c r="F73" i="4"/>
  <c r="F80" i="4" s="1"/>
  <c r="E73" i="4"/>
  <c r="E80" i="4" s="1"/>
  <c r="D73" i="4"/>
  <c r="D80" i="4" s="1"/>
  <c r="F122" i="4" l="1"/>
  <c r="F121" i="4"/>
  <c r="E122" i="4"/>
  <c r="E121" i="4"/>
  <c r="G122" i="4"/>
  <c r="G121" i="4"/>
  <c r="CZ120" i="4"/>
  <c r="CZ125" i="4" s="1"/>
  <c r="DH120" i="4"/>
  <c r="CY120" i="4"/>
  <c r="CY125" i="4" s="1"/>
  <c r="DG120" i="4"/>
  <c r="DC120" i="4"/>
  <c r="DS120" i="4"/>
  <c r="CX120" i="4"/>
  <c r="CX125" i="4" s="1"/>
  <c r="DF120" i="4"/>
  <c r="DP120" i="4"/>
  <c r="DA120" i="4"/>
  <c r="DA125" i="4" s="1"/>
  <c r="DI120" i="4"/>
  <c r="DQ120" i="4"/>
  <c r="DB120" i="4"/>
  <c r="DJ120" i="4"/>
  <c r="DR120" i="4"/>
  <c r="DD120" i="4"/>
  <c r="DD125" i="4" s="1"/>
  <c r="DL120" i="4"/>
  <c r="DE120" i="4"/>
  <c r="DM120" i="4"/>
  <c r="DE90" i="4"/>
  <c r="BZ102" i="4"/>
  <c r="BZ104" i="4" s="1"/>
  <c r="F102" i="4"/>
  <c r="F104" i="4" s="1"/>
  <c r="CA102" i="4"/>
  <c r="CA104" i="4" s="1"/>
  <c r="DC85" i="4"/>
  <c r="DL85" i="4"/>
  <c r="P102" i="4"/>
  <c r="P104" i="4" s="1"/>
  <c r="AL102" i="4"/>
  <c r="AL104" i="4" s="1"/>
  <c r="CC102" i="4"/>
  <c r="CC104" i="4" s="1"/>
  <c r="Y102" i="4"/>
  <c r="Y104" i="4" s="1"/>
  <c r="AR102" i="4"/>
  <c r="CE102" i="4"/>
  <c r="CE104" i="4" s="1"/>
  <c r="DH85" i="4"/>
  <c r="K102" i="4"/>
  <c r="K104" i="4" s="1"/>
  <c r="DA85" i="4"/>
  <c r="DI85" i="4"/>
  <c r="E102" i="4"/>
  <c r="E104" i="4" s="1"/>
  <c r="M102" i="4"/>
  <c r="M104" i="4" s="1"/>
  <c r="U102" i="4"/>
  <c r="U104" i="4" s="1"/>
  <c r="DA90" i="4"/>
  <c r="AM102" i="4"/>
  <c r="CY85" i="4"/>
  <c r="DG85" i="4"/>
  <c r="DI90" i="4"/>
  <c r="CY73" i="4"/>
  <c r="CY80" i="4" s="1"/>
  <c r="V102" i="4"/>
  <c r="V104" i="4" s="1"/>
  <c r="BU102" i="4"/>
  <c r="DD85" i="4"/>
  <c r="DQ85" i="4"/>
  <c r="G102" i="4"/>
  <c r="G104" i="4" s="1"/>
  <c r="O102" i="4"/>
  <c r="O104" i="4" s="1"/>
  <c r="DE85" i="4"/>
  <c r="DR90" i="4"/>
  <c r="CW102" i="4"/>
  <c r="R102" i="4"/>
  <c r="R104" i="4" s="1"/>
  <c r="Z102" i="4"/>
  <c r="Z104" i="4" s="1"/>
  <c r="DQ90" i="4"/>
  <c r="I102" i="4"/>
  <c r="I104" i="4" s="1"/>
  <c r="AH102" i="4"/>
  <c r="AH104" i="4" s="1"/>
  <c r="CX85" i="4"/>
  <c r="AA102" i="4"/>
  <c r="AA104" i="4" s="1"/>
  <c r="BK102" i="4"/>
  <c r="Q102" i="4"/>
  <c r="Q104" i="4" s="1"/>
  <c r="DP85" i="4"/>
  <c r="DN90" i="4"/>
  <c r="DE100" i="4"/>
  <c r="AK102" i="4"/>
  <c r="AK104" i="4" s="1"/>
  <c r="BH102" i="4"/>
  <c r="AD102" i="4"/>
  <c r="AD104" i="4" s="1"/>
  <c r="CY90" i="4"/>
  <c r="DO90" i="4"/>
  <c r="J102" i="4"/>
  <c r="J104" i="4" s="1"/>
  <c r="S102" i="4"/>
  <c r="DP90" i="4"/>
  <c r="N102" i="4"/>
  <c r="X102" i="4"/>
  <c r="X104" i="4" s="1"/>
  <c r="BC102" i="4"/>
  <c r="BC104" i="4" s="1"/>
  <c r="CZ85" i="4"/>
  <c r="DS85" i="4"/>
  <c r="DM85" i="4"/>
  <c r="DC100" i="4"/>
  <c r="AI102" i="4"/>
  <c r="AI104" i="4" s="1"/>
  <c r="DD90" i="4"/>
  <c r="AE102" i="4"/>
  <c r="AE104" i="4" s="1"/>
  <c r="AY102" i="4"/>
  <c r="H102" i="4"/>
  <c r="H104" i="4" s="1"/>
  <c r="DL90" i="4"/>
  <c r="AC102" i="4"/>
  <c r="AC104" i="4" s="1"/>
  <c r="CZ90" i="4"/>
  <c r="CI102" i="4"/>
  <c r="DQ73" i="4"/>
  <c r="DQ80" i="4" s="1"/>
  <c r="DB100" i="4"/>
  <c r="DF90" i="4"/>
  <c r="DJ73" i="4"/>
  <c r="DJ80" i="4" s="1"/>
  <c r="DG73" i="4"/>
  <c r="BV102" i="4"/>
  <c r="AF102" i="4"/>
  <c r="AF104" i="4" s="1"/>
  <c r="BB102" i="4"/>
  <c r="BI102" i="4"/>
  <c r="BI104" i="4" s="1"/>
  <c r="CO102" i="4"/>
  <c r="DS73" i="4"/>
  <c r="DF100" i="4"/>
  <c r="D102" i="4"/>
  <c r="D104" i="4" s="1"/>
  <c r="L102" i="4"/>
  <c r="L104" i="4" s="1"/>
  <c r="T102" i="4"/>
  <c r="T104" i="4" s="1"/>
  <c r="AB102" i="4"/>
  <c r="AB104" i="4" s="1"/>
  <c r="CX73" i="4"/>
  <c r="CX80" i="4" s="1"/>
  <c r="DR85" i="4"/>
  <c r="DD100" i="4"/>
  <c r="AZ102" i="4"/>
  <c r="AZ104" i="4" s="1"/>
  <c r="DJ90" i="4"/>
  <c r="DG100" i="4"/>
  <c r="DC73" i="4"/>
  <c r="DC80" i="4" s="1"/>
  <c r="DK73" i="4"/>
  <c r="DK80" i="4" s="1"/>
  <c r="CZ73" i="4"/>
  <c r="CZ80" i="4" s="1"/>
  <c r="BA102" i="4"/>
  <c r="DB85" i="4"/>
  <c r="DJ85" i="4"/>
  <c r="DG90" i="4"/>
  <c r="CP102" i="4"/>
  <c r="CP104" i="4" s="1"/>
  <c r="BT102" i="4"/>
  <c r="CD102" i="4"/>
  <c r="CD104" i="4" s="1"/>
  <c r="DH73" i="4"/>
  <c r="DF85" i="4"/>
  <c r="DC90" i="4"/>
  <c r="DK90" i="4"/>
  <c r="CX90" i="4"/>
  <c r="DE73" i="4"/>
  <c r="DE80" i="4" s="1"/>
  <c r="DP73" i="4"/>
  <c r="DP80" i="4" s="1"/>
  <c r="AQ102" i="4"/>
  <c r="CB102" i="4"/>
  <c r="CB104" i="4" s="1"/>
  <c r="DM73" i="4"/>
  <c r="DD73" i="4"/>
  <c r="DD80" i="4" s="1"/>
  <c r="DF73" i="4"/>
  <c r="DF125" i="4" l="1"/>
  <c r="DB125" i="4"/>
  <c r="DC125" i="4"/>
  <c r="DG125" i="4"/>
  <c r="DE125" i="4"/>
  <c r="DB121" i="4"/>
  <c r="DC122" i="4"/>
  <c r="DC121" i="4"/>
  <c r="DQ122" i="4"/>
  <c r="DG122" i="4"/>
  <c r="DG121" i="4"/>
  <c r="CX122" i="4"/>
  <c r="DJ122" i="4"/>
  <c r="DM122" i="4"/>
  <c r="DI122" i="4"/>
  <c r="CY122" i="4"/>
  <c r="CY121" i="4"/>
  <c r="DD122" i="4"/>
  <c r="DD121" i="4"/>
  <c r="DE122" i="4"/>
  <c r="DE121" i="4"/>
  <c r="DH122" i="4"/>
  <c r="DF122" i="4"/>
  <c r="DF121" i="4"/>
  <c r="DR122" i="4"/>
  <c r="DS122" i="4"/>
  <c r="DL122" i="4"/>
  <c r="DP122" i="4"/>
  <c r="CZ122" i="4"/>
  <c r="DE102" i="4"/>
  <c r="DE104" i="4" s="1"/>
  <c r="CY102" i="4"/>
  <c r="CY104" i="4" s="1"/>
  <c r="DD102" i="4"/>
  <c r="DD104" i="4" s="1"/>
  <c r="DC102" i="4"/>
  <c r="DC104" i="4" s="1"/>
  <c r="DG102" i="4"/>
  <c r="DF102" i="4"/>
  <c r="CP10" i="4" l="1"/>
  <c r="CO10" i="4"/>
  <c r="CN10" i="4"/>
  <c r="CL10" i="4"/>
  <c r="CK10" i="4"/>
  <c r="CJ10" i="4"/>
  <c r="CI10" i="4"/>
  <c r="CH10" i="4"/>
  <c r="CG10" i="4"/>
  <c r="CF10" i="4"/>
  <c r="CE10" i="4"/>
  <c r="CD10" i="4"/>
  <c r="CC10" i="4"/>
  <c r="CA10" i="4"/>
  <c r="BW10" i="4"/>
  <c r="BS10" i="4"/>
  <c r="BR10" i="4"/>
  <c r="BQ10" i="4"/>
  <c r="BP10" i="4"/>
  <c r="BO10" i="4"/>
  <c r="BN10" i="4"/>
  <c r="BM10" i="4"/>
  <c r="BL10" i="4"/>
  <c r="BK10" i="4"/>
  <c r="BJ10" i="4"/>
  <c r="BI10" i="4"/>
  <c r="BH10" i="4"/>
  <c r="BG10" i="4"/>
  <c r="BF10" i="4"/>
  <c r="BE10" i="4"/>
  <c r="BD10" i="4"/>
  <c r="BC10" i="4"/>
  <c r="BB10" i="4"/>
  <c r="BA10" i="4"/>
  <c r="AZ10" i="4"/>
  <c r="AY10" i="4"/>
  <c r="AX10" i="4"/>
  <c r="AW10" i="4"/>
  <c r="AV10" i="4"/>
  <c r="AU10" i="4"/>
  <c r="AT10" i="4"/>
  <c r="AS10" i="4"/>
  <c r="AR10" i="4"/>
  <c r="AQ10" i="4"/>
  <c r="AP10" i="4"/>
  <c r="AO10" i="4"/>
  <c r="AN10" i="4"/>
  <c r="AM10" i="4"/>
  <c r="AL10" i="4"/>
  <c r="AK10" i="4"/>
  <c r="AJ10" i="4"/>
  <c r="AI10" i="4"/>
  <c r="AH10" i="4"/>
  <c r="AG10" i="4"/>
  <c r="AF10" i="4"/>
  <c r="AE10" i="4"/>
  <c r="AD10" i="4"/>
  <c r="AC10" i="4"/>
  <c r="AB10" i="4"/>
  <c r="AA10" i="4"/>
  <c r="Z10" i="4"/>
  <c r="Y10" i="4"/>
  <c r="X10" i="4"/>
  <c r="W10" i="4"/>
  <c r="V10" i="4"/>
  <c r="U10" i="4"/>
  <c r="T10" i="4"/>
  <c r="S10" i="4"/>
  <c r="R10" i="4"/>
  <c r="Q10" i="4"/>
  <c r="P10" i="4"/>
  <c r="O10" i="4"/>
  <c r="N10" i="4"/>
  <c r="M10" i="4"/>
  <c r="L10" i="4"/>
  <c r="K10" i="4"/>
  <c r="J10" i="4"/>
  <c r="I10" i="4"/>
  <c r="H10" i="4"/>
  <c r="CX40" i="4"/>
  <c r="CY40" i="4"/>
  <c r="CZ40" i="4"/>
  <c r="DA40" i="4"/>
  <c r="DB40" i="4"/>
  <c r="DC40" i="4"/>
  <c r="DD40" i="4"/>
  <c r="DE40" i="4"/>
  <c r="DF40" i="4"/>
  <c r="DG40" i="4"/>
  <c r="DH40" i="4"/>
  <c r="DI40" i="4"/>
  <c r="DJ40" i="4"/>
  <c r="DK40" i="4"/>
  <c r="DL40" i="4"/>
  <c r="DM40" i="4"/>
  <c r="DN40" i="4"/>
  <c r="DO40" i="4"/>
  <c r="DP40" i="4"/>
  <c r="DQ40" i="4"/>
  <c r="DR40" i="4"/>
  <c r="DS40" i="4"/>
  <c r="DO38" i="4"/>
  <c r="DN38" i="4"/>
  <c r="DM38" i="4"/>
  <c r="DL38" i="4"/>
  <c r="DL36" i="4" s="1"/>
  <c r="DK38" i="4"/>
  <c r="DJ38" i="4"/>
  <c r="DI38" i="4"/>
  <c r="DH38" i="4"/>
  <c r="DG38" i="4"/>
  <c r="DF38" i="4"/>
  <c r="DE38" i="4"/>
  <c r="DE36" i="4" s="1"/>
  <c r="DD38" i="4"/>
  <c r="DC38" i="4"/>
  <c r="DT33" i="4"/>
  <c r="DS33" i="4"/>
  <c r="DR33" i="4"/>
  <c r="DQ33" i="4"/>
  <c r="DP33" i="4"/>
  <c r="DO33" i="4"/>
  <c r="DN33" i="4"/>
  <c r="DM33" i="4"/>
  <c r="DL33" i="4"/>
  <c r="DK33" i="4"/>
  <c r="DJ33" i="4"/>
  <c r="DI33" i="4"/>
  <c r="DH33" i="4"/>
  <c r="DG33" i="4"/>
  <c r="DF33" i="4"/>
  <c r="DE33" i="4"/>
  <c r="DD33" i="4"/>
  <c r="DC33" i="4"/>
  <c r="DB33" i="4"/>
  <c r="DA33" i="4"/>
  <c r="CZ33" i="4"/>
  <c r="CY33" i="4"/>
  <c r="CX33" i="4"/>
  <c r="DN32" i="4"/>
  <c r="DM32" i="4"/>
  <c r="DL32" i="4"/>
  <c r="DK32" i="4"/>
  <c r="DJ32" i="4"/>
  <c r="DI32" i="4"/>
  <c r="DH32" i="4"/>
  <c r="DG32" i="4"/>
  <c r="DF32" i="4"/>
  <c r="DE32" i="4"/>
  <c r="DD32" i="4"/>
  <c r="DC32" i="4"/>
  <c r="DB32" i="4"/>
  <c r="DA32" i="4"/>
  <c r="CZ32" i="4"/>
  <c r="CY32" i="4"/>
  <c r="CX32" i="4"/>
  <c r="DQ29" i="4"/>
  <c r="DP29" i="4"/>
  <c r="DO29" i="4"/>
  <c r="DN29" i="4"/>
  <c r="DM29" i="4"/>
  <c r="DL29" i="4"/>
  <c r="DK29" i="4"/>
  <c r="DJ29" i="4"/>
  <c r="DI29" i="4"/>
  <c r="DH29" i="4"/>
  <c r="DG29" i="4"/>
  <c r="DF29" i="4"/>
  <c r="DE29" i="4"/>
  <c r="DD29" i="4"/>
  <c r="DC29" i="4"/>
  <c r="DB29" i="4"/>
  <c r="DA29" i="4"/>
  <c r="CZ29" i="4"/>
  <c r="CY29" i="4"/>
  <c r="CX29" i="4"/>
  <c r="DN27" i="4"/>
  <c r="DM27" i="4"/>
  <c r="DL27" i="4"/>
  <c r="DK27" i="4"/>
  <c r="DJ27" i="4"/>
  <c r="DI27" i="4"/>
  <c r="DH27" i="4"/>
  <c r="DG27" i="4"/>
  <c r="DF27" i="4"/>
  <c r="DE27" i="4"/>
  <c r="DD27" i="4"/>
  <c r="DC27" i="4"/>
  <c r="DB27" i="4"/>
  <c r="DA27" i="4"/>
  <c r="CZ27" i="4"/>
  <c r="CY27" i="4"/>
  <c r="CX27" i="4"/>
  <c r="DN23" i="4"/>
  <c r="DM23" i="4"/>
  <c r="DL23" i="4"/>
  <c r="DK23" i="4"/>
  <c r="DJ23" i="4"/>
  <c r="DI23" i="4"/>
  <c r="DH23" i="4"/>
  <c r="DG23" i="4"/>
  <c r="DF23" i="4"/>
  <c r="DE23" i="4"/>
  <c r="DD23" i="4"/>
  <c r="DC23" i="4"/>
  <c r="DB23" i="4"/>
  <c r="DA23" i="4"/>
  <c r="CZ23" i="4"/>
  <c r="CY23" i="4"/>
  <c r="CX23" i="4"/>
  <c r="DS22" i="4"/>
  <c r="DQ22" i="4"/>
  <c r="DP22" i="4"/>
  <c r="DO22" i="4"/>
  <c r="DN22" i="4"/>
  <c r="DM22" i="4"/>
  <c r="DL22" i="4"/>
  <c r="DK22" i="4"/>
  <c r="DJ22" i="4"/>
  <c r="DI22" i="4"/>
  <c r="DH22" i="4"/>
  <c r="DG22" i="4"/>
  <c r="DF22" i="4"/>
  <c r="DE22" i="4"/>
  <c r="DD22" i="4"/>
  <c r="DC22" i="4"/>
  <c r="DB22" i="4"/>
  <c r="DA22" i="4"/>
  <c r="CZ22" i="4"/>
  <c r="CY22" i="4"/>
  <c r="CX22" i="4"/>
  <c r="DT21" i="4"/>
  <c r="DS21" i="4"/>
  <c r="DR21" i="4"/>
  <c r="DQ21" i="4"/>
  <c r="DP21" i="4"/>
  <c r="DO21" i="4"/>
  <c r="DN21" i="4"/>
  <c r="DM21" i="4"/>
  <c r="DL21" i="4"/>
  <c r="DK21" i="4"/>
  <c r="DJ21" i="4"/>
  <c r="DI21" i="4"/>
  <c r="DH21" i="4"/>
  <c r="DG21" i="4"/>
  <c r="DF21" i="4"/>
  <c r="DE21" i="4"/>
  <c r="DD21" i="4"/>
  <c r="DC21" i="4"/>
  <c r="DB21" i="4"/>
  <c r="DA21" i="4"/>
  <c r="CZ21" i="4"/>
  <c r="CY21" i="4"/>
  <c r="CX21" i="4"/>
  <c r="CX134" i="4" s="1"/>
  <c r="DN17" i="4"/>
  <c r="DM17" i="4"/>
  <c r="DL17" i="4"/>
  <c r="DK17" i="4"/>
  <c r="DJ17" i="4"/>
  <c r="DI17" i="4"/>
  <c r="DH17" i="4"/>
  <c r="DG17" i="4"/>
  <c r="DF17" i="4"/>
  <c r="DE17" i="4"/>
  <c r="DD17" i="4"/>
  <c r="DC17" i="4"/>
  <c r="DB17" i="4"/>
  <c r="DA17" i="4"/>
  <c r="CZ17" i="4"/>
  <c r="CY17" i="4"/>
  <c r="CX17" i="4"/>
  <c r="DP15" i="4"/>
  <c r="DO15" i="4"/>
  <c r="DN15" i="4"/>
  <c r="DM15" i="4"/>
  <c r="DL15" i="4"/>
  <c r="DK15" i="4"/>
  <c r="DJ15" i="4"/>
  <c r="DI15" i="4"/>
  <c r="DH15" i="4"/>
  <c r="DG15" i="4"/>
  <c r="DF15" i="4"/>
  <c r="DE15" i="4"/>
  <c r="DD15" i="4"/>
  <c r="DC15" i="4"/>
  <c r="DB15" i="4"/>
  <c r="DA15" i="4"/>
  <c r="CZ15" i="4"/>
  <c r="CY15" i="4"/>
  <c r="CX15" i="4"/>
  <c r="DS11" i="4"/>
  <c r="DS115" i="4" s="1"/>
  <c r="DQ11" i="4"/>
  <c r="DQ115" i="4" s="1"/>
  <c r="DO11" i="4"/>
  <c r="DO115" i="4" s="1"/>
  <c r="DN11" i="4"/>
  <c r="DN115" i="4" s="1"/>
  <c r="DM11" i="4"/>
  <c r="DM115" i="4" s="1"/>
  <c r="DL11" i="4"/>
  <c r="DL115" i="4" s="1"/>
  <c r="DK11" i="4"/>
  <c r="DK115" i="4" s="1"/>
  <c r="DJ11" i="4"/>
  <c r="DJ115" i="4" s="1"/>
  <c r="DI11" i="4"/>
  <c r="DI115" i="4" s="1"/>
  <c r="DH11" i="4"/>
  <c r="DH115" i="4" s="1"/>
  <c r="DG11" i="4"/>
  <c r="DG115" i="4" s="1"/>
  <c r="DF11" i="4"/>
  <c r="DF115" i="4" s="1"/>
  <c r="DE11" i="4"/>
  <c r="DE115" i="4" s="1"/>
  <c r="DD11" i="4"/>
  <c r="DD115" i="4" s="1"/>
  <c r="DC11" i="4"/>
  <c r="DC115" i="4" s="1"/>
  <c r="DB11" i="4"/>
  <c r="DB115" i="4" s="1"/>
  <c r="DA11" i="4"/>
  <c r="DA115" i="4" s="1"/>
  <c r="CZ11" i="4"/>
  <c r="CZ115" i="4" s="1"/>
  <c r="CY11" i="4"/>
  <c r="CX11" i="4"/>
  <c r="CX115" i="4" s="1"/>
  <c r="DR9" i="4"/>
  <c r="DQ9" i="4"/>
  <c r="CX9" i="4"/>
  <c r="W38" i="4"/>
  <c r="V38" i="4"/>
  <c r="U38" i="4"/>
  <c r="T38" i="4"/>
  <c r="S38" i="4"/>
  <c r="R38" i="4"/>
  <c r="Q38" i="4"/>
  <c r="P38" i="4"/>
  <c r="O38" i="4"/>
  <c r="N38" i="4"/>
  <c r="M38" i="4"/>
  <c r="L38" i="4"/>
  <c r="K38" i="4"/>
  <c r="J38" i="4"/>
  <c r="I38" i="4"/>
  <c r="H38" i="4"/>
  <c r="G38" i="4"/>
  <c r="F38" i="4"/>
  <c r="E38" i="4"/>
  <c r="D38" i="4"/>
  <c r="D36" i="4" s="1"/>
  <c r="CP38" i="4"/>
  <c r="CP36" i="4" s="1"/>
  <c r="CO38" i="4"/>
  <c r="CN38" i="4"/>
  <c r="CM38" i="4"/>
  <c r="CL38" i="4"/>
  <c r="CK38" i="4"/>
  <c r="CI38" i="4"/>
  <c r="CH38" i="4"/>
  <c r="CG38" i="4"/>
  <c r="CF38" i="4"/>
  <c r="CE38" i="4"/>
  <c r="CD38" i="4"/>
  <c r="CC38" i="4"/>
  <c r="CB38" i="4"/>
  <c r="CA38" i="4"/>
  <c r="BZ38" i="4"/>
  <c r="BY38" i="4"/>
  <c r="CP16" i="4"/>
  <c r="CO16" i="4"/>
  <c r="CN16" i="4"/>
  <c r="CJ16" i="4"/>
  <c r="CI16" i="4"/>
  <c r="CG16" i="4"/>
  <c r="CF16" i="4"/>
  <c r="CE16" i="4"/>
  <c r="CC16" i="4"/>
  <c r="CB16" i="4"/>
  <c r="BZ16" i="4"/>
  <c r="BY16" i="4"/>
  <c r="BW16" i="4"/>
  <c r="BS16" i="4"/>
  <c r="BR16" i="4"/>
  <c r="BQ16" i="4"/>
  <c r="BP16" i="4"/>
  <c r="BO16" i="4"/>
  <c r="BN16" i="4"/>
  <c r="BM16" i="4"/>
  <c r="BL16" i="4"/>
  <c r="BK16" i="4"/>
  <c r="BJ16" i="4"/>
  <c r="BI16" i="4"/>
  <c r="BH16" i="4"/>
  <c r="BG16" i="4"/>
  <c r="BF16" i="4"/>
  <c r="BE16" i="4"/>
  <c r="BD16" i="4"/>
  <c r="BC16" i="4"/>
  <c r="BB16" i="4"/>
  <c r="BA16" i="4"/>
  <c r="AZ16" i="4"/>
  <c r="AY16" i="4"/>
  <c r="AX16" i="4"/>
  <c r="AW16" i="4"/>
  <c r="AV16" i="4"/>
  <c r="AU16" i="4"/>
  <c r="AT16" i="4"/>
  <c r="AS16" i="4"/>
  <c r="AR16" i="4"/>
  <c r="AQ16" i="4"/>
  <c r="AP16" i="4"/>
  <c r="AO16" i="4"/>
  <c r="AN16" i="4"/>
  <c r="AM16" i="4"/>
  <c r="AL16" i="4"/>
  <c r="AK16" i="4"/>
  <c r="AJ16" i="4"/>
  <c r="AI16" i="4"/>
  <c r="AH16" i="4"/>
  <c r="AG16" i="4"/>
  <c r="AF16" i="4"/>
  <c r="AE16" i="4"/>
  <c r="AD16" i="4"/>
  <c r="AC16" i="4"/>
  <c r="AB16" i="4"/>
  <c r="AA16" i="4"/>
  <c r="Z16" i="4"/>
  <c r="Y16" i="4"/>
  <c r="X16" i="4"/>
  <c r="W16" i="4"/>
  <c r="V16" i="4"/>
  <c r="U16" i="4"/>
  <c r="T16" i="4"/>
  <c r="S16" i="4"/>
  <c r="R16" i="4"/>
  <c r="Q16" i="4"/>
  <c r="P16" i="4"/>
  <c r="O16" i="4"/>
  <c r="N16" i="4"/>
  <c r="M16" i="4"/>
  <c r="L16" i="4"/>
  <c r="K16" i="4"/>
  <c r="J16" i="4"/>
  <c r="I16" i="4"/>
  <c r="H16" i="4"/>
  <c r="G16" i="4"/>
  <c r="F16" i="4"/>
  <c r="E16" i="4"/>
  <c r="D16" i="4"/>
  <c r="CP12" i="4"/>
  <c r="CO12" i="4"/>
  <c r="CN12" i="4"/>
  <c r="CL12" i="4"/>
  <c r="CK12" i="4"/>
  <c r="CJ12" i="4"/>
  <c r="CI12" i="4"/>
  <c r="CG12" i="4"/>
  <c r="CF12" i="4"/>
  <c r="CE12" i="4"/>
  <c r="CD12" i="4"/>
  <c r="CC12" i="4"/>
  <c r="CB12" i="4"/>
  <c r="CA12" i="4"/>
  <c r="BZ12" i="4"/>
  <c r="BY12" i="4"/>
  <c r="BW12" i="4"/>
  <c r="BS12" i="4"/>
  <c r="BR12" i="4"/>
  <c r="BQ12" i="4"/>
  <c r="BP12" i="4"/>
  <c r="BO12" i="4"/>
  <c r="BN12" i="4"/>
  <c r="BM12" i="4"/>
  <c r="BL12" i="4"/>
  <c r="BK12" i="4"/>
  <c r="BJ12" i="4"/>
  <c r="BI12" i="4"/>
  <c r="BH12" i="4"/>
  <c r="BG12" i="4"/>
  <c r="BF12" i="4"/>
  <c r="BE12" i="4"/>
  <c r="BD12" i="4"/>
  <c r="BC12" i="4"/>
  <c r="BB12" i="4"/>
  <c r="BA12" i="4"/>
  <c r="AZ12" i="4"/>
  <c r="AY12" i="4"/>
  <c r="AX12" i="4"/>
  <c r="AW12" i="4"/>
  <c r="AV12" i="4"/>
  <c r="AU12" i="4"/>
  <c r="AT12" i="4"/>
  <c r="AS12" i="4"/>
  <c r="AR12" i="4"/>
  <c r="AQ12" i="4"/>
  <c r="AQ13" i="4" s="1"/>
  <c r="AP12" i="4"/>
  <c r="AP13" i="4" s="1"/>
  <c r="AO12" i="4"/>
  <c r="AN12" i="4"/>
  <c r="AN13" i="4" s="1"/>
  <c r="AM12" i="4"/>
  <c r="AM13" i="4" s="1"/>
  <c r="AL12" i="4"/>
  <c r="AL13" i="4" s="1"/>
  <c r="AK12" i="4"/>
  <c r="AK13" i="4" s="1"/>
  <c r="AJ12" i="4"/>
  <c r="AI12" i="4"/>
  <c r="AI13" i="4" s="1"/>
  <c r="AH12" i="4"/>
  <c r="AH13" i="4" s="1"/>
  <c r="AG12" i="4"/>
  <c r="AG13" i="4" s="1"/>
  <c r="AF12" i="4"/>
  <c r="AE12" i="4"/>
  <c r="AE13" i="4" s="1"/>
  <c r="AD12" i="4"/>
  <c r="AC12" i="4"/>
  <c r="AC13" i="4" s="1"/>
  <c r="AB12" i="4"/>
  <c r="AA12" i="4"/>
  <c r="AA13" i="4" s="1"/>
  <c r="Z12" i="4"/>
  <c r="Y12" i="4"/>
  <c r="X12" i="4"/>
  <c r="X13" i="4" s="1"/>
  <c r="W12" i="4"/>
  <c r="W13" i="4" s="1"/>
  <c r="V12" i="4"/>
  <c r="V13" i="4" s="1"/>
  <c r="U12" i="4"/>
  <c r="U13" i="4" s="1"/>
  <c r="T12" i="4"/>
  <c r="T13" i="4" s="1"/>
  <c r="S12" i="4"/>
  <c r="S13" i="4" s="1"/>
  <c r="R12" i="4"/>
  <c r="R13" i="4" s="1"/>
  <c r="Q12" i="4"/>
  <c r="P12" i="4"/>
  <c r="P13" i="4" s="1"/>
  <c r="O12" i="4"/>
  <c r="O18" i="4" s="1"/>
  <c r="N12" i="4"/>
  <c r="M12" i="4"/>
  <c r="M13" i="4" s="1"/>
  <c r="L12" i="4"/>
  <c r="L13" i="4" s="1"/>
  <c r="K12" i="4"/>
  <c r="K13" i="4" s="1"/>
  <c r="J12" i="4"/>
  <c r="J13" i="4" s="1"/>
  <c r="I12" i="4"/>
  <c r="H12" i="4"/>
  <c r="G12" i="4"/>
  <c r="G13" i="4" s="1"/>
  <c r="F12" i="4"/>
  <c r="E12" i="4"/>
  <c r="E13" i="4" s="1"/>
  <c r="DW127" i="4"/>
  <c r="DV127" i="4"/>
  <c r="DT127" i="4"/>
  <c r="DS127" i="4"/>
  <c r="DR127" i="4"/>
  <c r="DQ127" i="4"/>
  <c r="DP127" i="4"/>
  <c r="DO127" i="4"/>
  <c r="DN127" i="4"/>
  <c r="DM127" i="4"/>
  <c r="DL127" i="4"/>
  <c r="DK127" i="4"/>
  <c r="DJ127" i="4"/>
  <c r="DI127" i="4"/>
  <c r="DH127" i="4"/>
  <c r="DG127" i="4"/>
  <c r="DF127" i="4"/>
  <c r="DE127" i="4"/>
  <c r="DD127" i="4"/>
  <c r="DC127" i="4"/>
  <c r="DB127" i="4"/>
  <c r="DA127" i="4"/>
  <c r="CZ127" i="4"/>
  <c r="CY127" i="4"/>
  <c r="CX127" i="4"/>
  <c r="CW127" i="4"/>
  <c r="CP127" i="4"/>
  <c r="CO127" i="4"/>
  <c r="CN127" i="4"/>
  <c r="CM127" i="4"/>
  <c r="CL127" i="4"/>
  <c r="CK127" i="4"/>
  <c r="CJ127" i="4"/>
  <c r="CI127" i="4"/>
  <c r="CH127" i="4"/>
  <c r="CG127" i="4"/>
  <c r="CF127" i="4"/>
  <c r="CE127" i="4"/>
  <c r="CD127" i="4"/>
  <c r="CC127" i="4"/>
  <c r="CB127" i="4"/>
  <c r="CA127" i="4"/>
  <c r="BZ127" i="4"/>
  <c r="BY127" i="4"/>
  <c r="BX127" i="4"/>
  <c r="BW127" i="4"/>
  <c r="BV127" i="4"/>
  <c r="BU127" i="4"/>
  <c r="BT127" i="4"/>
  <c r="BS127" i="4"/>
  <c r="BR127" i="4"/>
  <c r="BQ127" i="4"/>
  <c r="BP127" i="4"/>
  <c r="BO127" i="4"/>
  <c r="BN127" i="4"/>
  <c r="BM127" i="4"/>
  <c r="BL127" i="4"/>
  <c r="BK127" i="4"/>
  <c r="BJ127" i="4"/>
  <c r="BI127" i="4"/>
  <c r="BH127" i="4"/>
  <c r="BG127" i="4"/>
  <c r="BF127" i="4"/>
  <c r="BE127" i="4"/>
  <c r="BD127" i="4"/>
  <c r="BC127" i="4"/>
  <c r="BB127" i="4"/>
  <c r="BA127" i="4"/>
  <c r="AZ127" i="4"/>
  <c r="AY127" i="4"/>
  <c r="AX127" i="4"/>
  <c r="AW127" i="4"/>
  <c r="AV127" i="4"/>
  <c r="AU127" i="4"/>
  <c r="AT127" i="4"/>
  <c r="AS127" i="4"/>
  <c r="AR127" i="4"/>
  <c r="AQ127" i="4"/>
  <c r="AP127" i="4"/>
  <c r="AO127" i="4"/>
  <c r="AN127" i="4"/>
  <c r="AM127" i="4"/>
  <c r="AL127" i="4"/>
  <c r="AK127" i="4"/>
  <c r="AJ127" i="4"/>
  <c r="AI127" i="4"/>
  <c r="AH127" i="4"/>
  <c r="AG127" i="4"/>
  <c r="AF127" i="4"/>
  <c r="AE127" i="4"/>
  <c r="AD127" i="4"/>
  <c r="AC127" i="4"/>
  <c r="AB127" i="4"/>
  <c r="AA127" i="4"/>
  <c r="Z127" i="4"/>
  <c r="Y127" i="4"/>
  <c r="X127" i="4"/>
  <c r="W127" i="4"/>
  <c r="V127" i="4"/>
  <c r="U127" i="4"/>
  <c r="T127" i="4"/>
  <c r="S127" i="4"/>
  <c r="R127" i="4"/>
  <c r="Q127" i="4"/>
  <c r="P127" i="4"/>
  <c r="O127" i="4"/>
  <c r="N127" i="4"/>
  <c r="M127" i="4"/>
  <c r="L127" i="4"/>
  <c r="K127" i="4"/>
  <c r="J127" i="4"/>
  <c r="I127" i="4"/>
  <c r="H127" i="4"/>
  <c r="G127" i="4"/>
  <c r="F127" i="4"/>
  <c r="E127" i="4"/>
  <c r="D127" i="4"/>
  <c r="DW64" i="4"/>
  <c r="DV64" i="4"/>
  <c r="DT64" i="4"/>
  <c r="DS64" i="4"/>
  <c r="DR64" i="4"/>
  <c r="DQ64" i="4"/>
  <c r="DP64" i="4"/>
  <c r="DO64" i="4"/>
  <c r="DN64" i="4"/>
  <c r="DM64" i="4"/>
  <c r="DL64" i="4"/>
  <c r="DK64" i="4"/>
  <c r="DJ64" i="4"/>
  <c r="DI64" i="4"/>
  <c r="DH64" i="4"/>
  <c r="DG64" i="4"/>
  <c r="DF64" i="4"/>
  <c r="DE64" i="4"/>
  <c r="DD64" i="4"/>
  <c r="DC64" i="4"/>
  <c r="DB64" i="4"/>
  <c r="DA64" i="4"/>
  <c r="CZ64" i="4"/>
  <c r="CY64" i="4"/>
  <c r="CX64" i="4"/>
  <c r="CW64" i="4"/>
  <c r="CP64" i="4"/>
  <c r="CO64" i="4"/>
  <c r="CN64" i="4"/>
  <c r="CM64" i="4"/>
  <c r="CL64" i="4"/>
  <c r="CK64" i="4"/>
  <c r="CJ64" i="4"/>
  <c r="CI64" i="4"/>
  <c r="CH64" i="4"/>
  <c r="CG64" i="4"/>
  <c r="CF64" i="4"/>
  <c r="CE64" i="4"/>
  <c r="CD64" i="4"/>
  <c r="CC64" i="4"/>
  <c r="CB64" i="4"/>
  <c r="CA64" i="4"/>
  <c r="BZ64" i="4"/>
  <c r="BY64" i="4"/>
  <c r="BX64" i="4"/>
  <c r="BW64" i="4"/>
  <c r="BV64" i="4"/>
  <c r="BU64" i="4"/>
  <c r="BT64" i="4"/>
  <c r="BS64" i="4"/>
  <c r="BR64" i="4"/>
  <c r="BQ64" i="4"/>
  <c r="BP64" i="4"/>
  <c r="BO64" i="4"/>
  <c r="BN64" i="4"/>
  <c r="BM64" i="4"/>
  <c r="BL64" i="4"/>
  <c r="BK64" i="4"/>
  <c r="BJ64" i="4"/>
  <c r="BI64" i="4"/>
  <c r="BH64" i="4"/>
  <c r="BG64" i="4"/>
  <c r="BF64" i="4"/>
  <c r="BE64" i="4"/>
  <c r="BD64" i="4"/>
  <c r="BC64" i="4"/>
  <c r="BB64" i="4"/>
  <c r="BA64" i="4"/>
  <c r="AZ64" i="4"/>
  <c r="AY64" i="4"/>
  <c r="AX64" i="4"/>
  <c r="AW64" i="4"/>
  <c r="AV64" i="4"/>
  <c r="AU64" i="4"/>
  <c r="AT64" i="4"/>
  <c r="AS64" i="4"/>
  <c r="AR64" i="4"/>
  <c r="AQ64" i="4"/>
  <c r="AP64" i="4"/>
  <c r="AO64" i="4"/>
  <c r="AN64" i="4"/>
  <c r="AM64" i="4"/>
  <c r="AL64" i="4"/>
  <c r="AK64" i="4"/>
  <c r="AJ64" i="4"/>
  <c r="AI64" i="4"/>
  <c r="AH64" i="4"/>
  <c r="AG64" i="4"/>
  <c r="AF64" i="4"/>
  <c r="AE64" i="4"/>
  <c r="AD64" i="4"/>
  <c r="AC64" i="4"/>
  <c r="AB64" i="4"/>
  <c r="AA64" i="4"/>
  <c r="Z64" i="4"/>
  <c r="Y64" i="4"/>
  <c r="X64" i="4"/>
  <c r="W64" i="4"/>
  <c r="V64" i="4"/>
  <c r="U64" i="4"/>
  <c r="T64" i="4"/>
  <c r="S64" i="4"/>
  <c r="R64" i="4"/>
  <c r="Q64" i="4"/>
  <c r="P64" i="4"/>
  <c r="O64" i="4"/>
  <c r="N64" i="4"/>
  <c r="M64" i="4"/>
  <c r="L64" i="4"/>
  <c r="K64" i="4"/>
  <c r="J64" i="4"/>
  <c r="I64" i="4"/>
  <c r="H64" i="4"/>
  <c r="G64" i="4"/>
  <c r="F64" i="4"/>
  <c r="E64" i="4"/>
  <c r="D64" i="4"/>
  <c r="CX7" i="4"/>
  <c r="CY7" i="4"/>
  <c r="CZ7" i="4"/>
  <c r="DA7" i="4"/>
  <c r="DB7" i="4"/>
  <c r="DC7" i="4"/>
  <c r="DD7" i="4"/>
  <c r="DE7" i="4"/>
  <c r="DF7" i="4"/>
  <c r="DG7" i="4"/>
  <c r="DH7" i="4"/>
  <c r="DI7" i="4"/>
  <c r="DJ7" i="4"/>
  <c r="DK7" i="4"/>
  <c r="DL7" i="4"/>
  <c r="DM7" i="4"/>
  <c r="DN7" i="4"/>
  <c r="DO7" i="4"/>
  <c r="DP7" i="4"/>
  <c r="DQ7" i="4"/>
  <c r="DR7" i="4"/>
  <c r="DS7" i="4"/>
  <c r="DT7" i="4"/>
  <c r="DV7" i="4"/>
  <c r="DW7" i="4"/>
  <c r="CW7" i="4"/>
  <c r="CP7" i="4"/>
  <c r="CO7" i="4"/>
  <c r="CN7" i="4"/>
  <c r="CM7" i="4"/>
  <c r="CL7" i="4"/>
  <c r="CK7" i="4"/>
  <c r="CJ7" i="4"/>
  <c r="CI7" i="4"/>
  <c r="CH7" i="4"/>
  <c r="CG7" i="4"/>
  <c r="CF7" i="4"/>
  <c r="CE7" i="4"/>
  <c r="CD7" i="4"/>
  <c r="CC7" i="4"/>
  <c r="CB7" i="4"/>
  <c r="CA7" i="4"/>
  <c r="BZ7" i="4"/>
  <c r="BY7" i="4"/>
  <c r="BX7" i="4"/>
  <c r="BW7" i="4"/>
  <c r="BV7" i="4"/>
  <c r="BU7" i="4"/>
  <c r="BT7" i="4"/>
  <c r="BS7" i="4"/>
  <c r="BR7" i="4"/>
  <c r="BQ7" i="4"/>
  <c r="BP7" i="4"/>
  <c r="BO7" i="4"/>
  <c r="BN7" i="4"/>
  <c r="BM7" i="4"/>
  <c r="BL7" i="4"/>
  <c r="BK7" i="4"/>
  <c r="BJ7" i="4"/>
  <c r="BI7" i="4"/>
  <c r="BH7" i="4"/>
  <c r="BG7" i="4"/>
  <c r="BF7" i="4"/>
  <c r="BE7" i="4"/>
  <c r="BD7" i="4"/>
  <c r="BC7" i="4"/>
  <c r="BB7" i="4"/>
  <c r="BA7" i="4"/>
  <c r="AZ7" i="4"/>
  <c r="AY7" i="4"/>
  <c r="AX7" i="4"/>
  <c r="AW7" i="4"/>
  <c r="AV7" i="4"/>
  <c r="AU7" i="4"/>
  <c r="AT7" i="4"/>
  <c r="AS7" i="4"/>
  <c r="AR7" i="4"/>
  <c r="AQ7" i="4"/>
  <c r="AP7" i="4"/>
  <c r="AO7" i="4"/>
  <c r="AN7" i="4"/>
  <c r="AM7" i="4"/>
  <c r="AL7" i="4"/>
  <c r="AK7" i="4"/>
  <c r="AJ7" i="4"/>
  <c r="AI7" i="4"/>
  <c r="AH7" i="4"/>
  <c r="AG7" i="4"/>
  <c r="AF7" i="4"/>
  <c r="AE7" i="4"/>
  <c r="AD7" i="4"/>
  <c r="AC7" i="4"/>
  <c r="AB7" i="4"/>
  <c r="AA7" i="4"/>
  <c r="Z7" i="4"/>
  <c r="Y7" i="4"/>
  <c r="X7" i="4"/>
  <c r="W7" i="4"/>
  <c r="V7" i="4"/>
  <c r="U7" i="4"/>
  <c r="T7" i="4"/>
  <c r="S7" i="4"/>
  <c r="R7" i="4"/>
  <c r="Q7" i="4"/>
  <c r="P7" i="4"/>
  <c r="O7" i="4"/>
  <c r="N7" i="4"/>
  <c r="M7" i="4"/>
  <c r="L7" i="4"/>
  <c r="K7" i="4"/>
  <c r="J7" i="4"/>
  <c r="I7" i="4"/>
  <c r="H7" i="4"/>
  <c r="G7" i="4"/>
  <c r="F7" i="4"/>
  <c r="E7" i="4"/>
  <c r="D7" i="4"/>
  <c r="CP5" i="4"/>
  <c r="CO5" i="4"/>
  <c r="CN5" i="4"/>
  <c r="CM5" i="4"/>
  <c r="CL5" i="4"/>
  <c r="CK5" i="4"/>
  <c r="CJ5" i="4"/>
  <c r="CI5" i="4"/>
  <c r="CH5" i="4"/>
  <c r="CG5" i="4"/>
  <c r="CF5" i="4"/>
  <c r="CE5" i="4"/>
  <c r="CD5" i="4"/>
  <c r="CC5" i="4"/>
  <c r="CB5" i="4"/>
  <c r="CA5" i="4"/>
  <c r="BZ5" i="4"/>
  <c r="BY5" i="4"/>
  <c r="BX5" i="4"/>
  <c r="BW5" i="4"/>
  <c r="BV5" i="4"/>
  <c r="BU5" i="4"/>
  <c r="BT5" i="4"/>
  <c r="BS5" i="4"/>
  <c r="BR5" i="4"/>
  <c r="BQ5" i="4"/>
  <c r="BP5" i="4"/>
  <c r="BO5" i="4"/>
  <c r="BN5" i="4"/>
  <c r="BM5" i="4"/>
  <c r="BL5" i="4"/>
  <c r="BK5" i="4"/>
  <c r="BJ5" i="4"/>
  <c r="BI5" i="4"/>
  <c r="BH5" i="4"/>
  <c r="BG5" i="4"/>
  <c r="BF5" i="4"/>
  <c r="BE5" i="4"/>
  <c r="BD5" i="4"/>
  <c r="BC5" i="4"/>
  <c r="BB5" i="4"/>
  <c r="BA5" i="4"/>
  <c r="AZ5" i="4"/>
  <c r="AY5" i="4"/>
  <c r="AX5" i="4"/>
  <c r="AW5" i="4"/>
  <c r="AV5" i="4"/>
  <c r="AU5" i="4"/>
  <c r="AT5" i="4"/>
  <c r="AS5" i="4"/>
  <c r="AR5" i="4"/>
  <c r="AQ5" i="4"/>
  <c r="AP5" i="4"/>
  <c r="AO5" i="4"/>
  <c r="AN5" i="4"/>
  <c r="AM5" i="4"/>
  <c r="AL5" i="4"/>
  <c r="AK5" i="4"/>
  <c r="AJ5" i="4"/>
  <c r="AI5" i="4"/>
  <c r="AH5" i="4"/>
  <c r="AG5" i="4"/>
  <c r="AF5" i="4"/>
  <c r="AE5" i="4"/>
  <c r="AD5" i="4"/>
  <c r="AC5" i="4"/>
  <c r="AB5" i="4"/>
  <c r="AA5" i="4"/>
  <c r="Z5" i="4"/>
  <c r="Y5" i="4"/>
  <c r="X5" i="4"/>
  <c r="W5" i="4"/>
  <c r="V5" i="4"/>
  <c r="U5" i="4"/>
  <c r="T5" i="4"/>
  <c r="S5" i="4"/>
  <c r="R5" i="4"/>
  <c r="Q5" i="4"/>
  <c r="P5" i="4"/>
  <c r="O5" i="4"/>
  <c r="N5" i="4"/>
  <c r="M5" i="4"/>
  <c r="L5" i="4"/>
  <c r="K5" i="4"/>
  <c r="J5" i="4"/>
  <c r="I5" i="4"/>
  <c r="H5" i="4"/>
  <c r="G5" i="4"/>
  <c r="F5" i="4"/>
  <c r="E5" i="4"/>
  <c r="D5" i="4"/>
  <c r="F39" i="28"/>
  <c r="G39" i="28" s="1"/>
  <c r="E45" i="28"/>
  <c r="F12" i="28"/>
  <c r="G12" i="28" s="1"/>
  <c r="O10" i="28"/>
  <c r="N10" i="28"/>
  <c r="U25" i="27"/>
  <c r="U24" i="27"/>
  <c r="V26" i="27"/>
  <c r="T26" i="27"/>
  <c r="CP153" i="4"/>
  <c r="G33" i="27"/>
  <c r="G9" i="27"/>
  <c r="CO168" i="4"/>
  <c r="CP168" i="4" s="1"/>
  <c r="DT168" i="4" s="1"/>
  <c r="CO165" i="4"/>
  <c r="CO163" i="4"/>
  <c r="CO155" i="4"/>
  <c r="CP155" i="4" s="1"/>
  <c r="DT155" i="4" s="1"/>
  <c r="CO156" i="4"/>
  <c r="CO152" i="4"/>
  <c r="CO130" i="4"/>
  <c r="CO184" i="4" s="1"/>
  <c r="CP133" i="4"/>
  <c r="CO132" i="4"/>
  <c r="DT95" i="4"/>
  <c r="CO23" i="4"/>
  <c r="U18" i="27"/>
  <c r="I42" i="27"/>
  <c r="D49" i="27"/>
  <c r="G49" i="27" s="1"/>
  <c r="D47" i="27"/>
  <c r="G47" i="27" s="1"/>
  <c r="I34" i="27"/>
  <c r="D15" i="27"/>
  <c r="U19" i="27"/>
  <c r="U22" i="27"/>
  <c r="E31" i="27"/>
  <c r="I31" i="27" s="1"/>
  <c r="I48" i="27"/>
  <c r="G48" i="27"/>
  <c r="I46" i="27"/>
  <c r="G46" i="27"/>
  <c r="E18" i="27"/>
  <c r="I43" i="27"/>
  <c r="G43" i="27"/>
  <c r="E11" i="27"/>
  <c r="E10" i="27" s="1"/>
  <c r="G42" i="27"/>
  <c r="I9" i="27"/>
  <c r="F38" i="27"/>
  <c r="D38" i="27"/>
  <c r="CN139" i="4"/>
  <c r="CO139" i="4" s="1"/>
  <c r="CP139" i="4" s="1"/>
  <c r="CJ130" i="4"/>
  <c r="CJ184" i="4" s="1"/>
  <c r="CN145" i="4"/>
  <c r="CN89" i="4"/>
  <c r="CN90" i="4" s="1"/>
  <c r="CN77" i="4"/>
  <c r="CN185" i="4"/>
  <c r="CN182" i="4"/>
  <c r="CN164" i="4"/>
  <c r="CO164" i="4" s="1"/>
  <c r="CN162" i="4"/>
  <c r="CN23" i="4"/>
  <c r="CM89" i="4"/>
  <c r="CM79" i="4"/>
  <c r="DS79" i="4" s="1"/>
  <c r="CM77" i="4"/>
  <c r="CM23" i="4"/>
  <c r="DT154" i="4"/>
  <c r="CJ238" i="4"/>
  <c r="CF238" i="4"/>
  <c r="CB238" i="4"/>
  <c r="CL89" i="4"/>
  <c r="CL90" i="4" s="1"/>
  <c r="CL102" i="4" s="1"/>
  <c r="CL77" i="4"/>
  <c r="CL16" i="4"/>
  <c r="DS153" i="4"/>
  <c r="CL154" i="4"/>
  <c r="DS156" i="4"/>
  <c r="CL68" i="4"/>
  <c r="BW240" i="4"/>
  <c r="BV240" i="4"/>
  <c r="BU240" i="4"/>
  <c r="BT240" i="4"/>
  <c r="BS240" i="4"/>
  <c r="BR240" i="4"/>
  <c r="BQ240" i="4"/>
  <c r="BP240" i="4"/>
  <c r="BO240" i="4"/>
  <c r="BN240" i="4"/>
  <c r="BM240" i="4"/>
  <c r="BL240" i="4"/>
  <c r="BK240" i="4"/>
  <c r="BJ240" i="4"/>
  <c r="BI240" i="4"/>
  <c r="BH240" i="4"/>
  <c r="BG240" i="4"/>
  <c r="BF240" i="4"/>
  <c r="BE240" i="4"/>
  <c r="BD240" i="4"/>
  <c r="BC240" i="4"/>
  <c r="BB240" i="4"/>
  <c r="BA240" i="4"/>
  <c r="AZ240" i="4"/>
  <c r="AY240" i="4"/>
  <c r="AX240" i="4"/>
  <c r="AW240" i="4"/>
  <c r="AV240" i="4"/>
  <c r="AU240" i="4"/>
  <c r="AT240" i="4"/>
  <c r="AS240" i="4"/>
  <c r="AR240" i="4"/>
  <c r="AQ240" i="4"/>
  <c r="AP240" i="4"/>
  <c r="AO240" i="4"/>
  <c r="AN240" i="4"/>
  <c r="AM240" i="4"/>
  <c r="AL240" i="4"/>
  <c r="AK240" i="4"/>
  <c r="AJ240" i="4"/>
  <c r="DE240" i="4"/>
  <c r="AI240" i="4"/>
  <c r="AH240" i="4"/>
  <c r="AG240" i="4"/>
  <c r="AF240" i="4"/>
  <c r="AE240" i="4"/>
  <c r="AD240" i="4"/>
  <c r="AC240" i="4"/>
  <c r="AB240" i="4"/>
  <c r="AA240" i="4"/>
  <c r="Z240" i="4"/>
  <c r="Y240" i="4"/>
  <c r="X240" i="4"/>
  <c r="CI239" i="4"/>
  <c r="CH239" i="4"/>
  <c r="CG239" i="4"/>
  <c r="CE239" i="4"/>
  <c r="CD239" i="4"/>
  <c r="CC239" i="4"/>
  <c r="CA239" i="4"/>
  <c r="BZ239" i="4"/>
  <c r="BW239" i="4"/>
  <c r="BV239" i="4"/>
  <c r="BU239" i="4"/>
  <c r="BO239" i="4"/>
  <c r="BI239" i="4"/>
  <c r="BG239" i="4"/>
  <c r="BF239" i="4"/>
  <c r="BE239" i="4"/>
  <c r="BC239" i="4"/>
  <c r="BB239" i="4"/>
  <c r="BA239" i="4"/>
  <c r="AM239" i="4"/>
  <c r="AL239" i="4"/>
  <c r="AK239" i="4"/>
  <c r="AI239" i="4"/>
  <c r="AH239" i="4"/>
  <c r="AG239" i="4"/>
  <c r="AE239" i="4"/>
  <c r="AD239" i="4"/>
  <c r="AC239" i="4"/>
  <c r="AA239" i="4"/>
  <c r="Z239" i="4"/>
  <c r="Y239" i="4"/>
  <c r="CF185" i="4"/>
  <c r="CB185" i="4"/>
  <c r="CJ182" i="4"/>
  <c r="CF182" i="4"/>
  <c r="CB182" i="4"/>
  <c r="BV185" i="4"/>
  <c r="BU185" i="4"/>
  <c r="BT185" i="4"/>
  <c r="BP185" i="4"/>
  <c r="BL185" i="4"/>
  <c r="BH185" i="4"/>
  <c r="BD185" i="4"/>
  <c r="AZ185" i="4"/>
  <c r="AV185" i="4"/>
  <c r="AR185" i="4"/>
  <c r="AJ185" i="4"/>
  <c r="AF185" i="4"/>
  <c r="AB185" i="4"/>
  <c r="BP182" i="4"/>
  <c r="BL182" i="4"/>
  <c r="BH182" i="4"/>
  <c r="BD182" i="4"/>
  <c r="AZ182" i="4"/>
  <c r="AV182" i="4"/>
  <c r="AR182" i="4"/>
  <c r="AN182" i="4"/>
  <c r="AJ182" i="4"/>
  <c r="AF182" i="4"/>
  <c r="AB182" i="4"/>
  <c r="X182" i="4"/>
  <c r="DC171" i="4"/>
  <c r="DE171" i="4"/>
  <c r="CK168" i="4"/>
  <c r="CL168" i="4" s="1"/>
  <c r="CM168" i="4" s="1"/>
  <c r="DS168" i="4" s="1"/>
  <c r="CG168" i="4"/>
  <c r="CH168" i="4" s="1"/>
  <c r="CI168" i="4" s="1"/>
  <c r="CC168" i="4"/>
  <c r="BY168" i="4"/>
  <c r="BW168" i="4"/>
  <c r="DO168" i="4" s="1"/>
  <c r="BQ168" i="4"/>
  <c r="BR168" i="4" s="1"/>
  <c r="BM168" i="4"/>
  <c r="BN168" i="4" s="1"/>
  <c r="BI168" i="4"/>
  <c r="BJ168" i="4" s="1"/>
  <c r="BE168" i="4"/>
  <c r="BF168" i="4" s="1"/>
  <c r="BA168" i="4"/>
  <c r="AW168" i="4"/>
  <c r="AX168" i="4" s="1"/>
  <c r="AS168" i="4"/>
  <c r="AT168" i="4" s="1"/>
  <c r="AO168" i="4"/>
  <c r="AP168" i="4" s="1"/>
  <c r="AQ168" i="4" s="1"/>
  <c r="AK168" i="4"/>
  <c r="AL168" i="4" s="1"/>
  <c r="AM168" i="4" s="1"/>
  <c r="AG168" i="4"/>
  <c r="AH168" i="4" s="1"/>
  <c r="AI168" i="4" s="1"/>
  <c r="AC168" i="4"/>
  <c r="AD168" i="4" s="1"/>
  <c r="AE168" i="4" s="1"/>
  <c r="Y168" i="4"/>
  <c r="W168" i="4"/>
  <c r="CG165" i="4"/>
  <c r="CH165" i="4" s="1"/>
  <c r="CH238" i="4" s="1"/>
  <c r="CC165" i="4"/>
  <c r="BW165" i="4"/>
  <c r="BM165" i="4"/>
  <c r="BH165" i="4"/>
  <c r="BD165" i="4"/>
  <c r="AZ165" i="4"/>
  <c r="AW165" i="4"/>
  <c r="AO165" i="4"/>
  <c r="AP165" i="4" s="1"/>
  <c r="W165" i="4"/>
  <c r="Q165" i="4"/>
  <c r="R165" i="4" s="1"/>
  <c r="M165" i="4"/>
  <c r="N165" i="4" s="1"/>
  <c r="CK165" i="4"/>
  <c r="CJ164" i="4"/>
  <c r="CF164" i="4"/>
  <c r="CG164" i="4" s="1"/>
  <c r="CB164" i="4"/>
  <c r="CC164" i="4" s="1"/>
  <c r="BX164" i="4"/>
  <c r="BZ164" i="4" s="1"/>
  <c r="BW164" i="4"/>
  <c r="DO164" i="4" s="1"/>
  <c r="AZ164" i="4"/>
  <c r="AW164" i="4"/>
  <c r="AX164" i="4" s="1"/>
  <c r="AS165" i="4"/>
  <c r="AO164" i="4"/>
  <c r="AP164" i="4" s="1"/>
  <c r="DG164" i="4" s="1"/>
  <c r="AG165" i="4"/>
  <c r="AG164" i="4"/>
  <c r="AH164" i="4" s="1"/>
  <c r="AI164" i="4" s="1"/>
  <c r="U164" i="4"/>
  <c r="W164" i="4" s="1"/>
  <c r="S163" i="4"/>
  <c r="P164" i="4"/>
  <c r="Q164" i="4" s="1"/>
  <c r="S164" i="4" s="1"/>
  <c r="L164" i="4"/>
  <c r="M164" i="4" s="1"/>
  <c r="CK163" i="4"/>
  <c r="CL163" i="4" s="1"/>
  <c r="CG163" i="4"/>
  <c r="CH163" i="4" s="1"/>
  <c r="CI163" i="4" s="1"/>
  <c r="CC163" i="4"/>
  <c r="BY163" i="4"/>
  <c r="BW163" i="4"/>
  <c r="DO163" i="4" s="1"/>
  <c r="BI164" i="4"/>
  <c r="BI163" i="4"/>
  <c r="BJ163" i="4" s="1"/>
  <c r="BK163" i="4" s="1"/>
  <c r="BE164" i="4"/>
  <c r="BD163" i="4"/>
  <c r="BA163" i="4"/>
  <c r="BB163" i="4" s="1"/>
  <c r="AX163" i="4"/>
  <c r="AY163" i="4" s="1"/>
  <c r="AP163" i="4"/>
  <c r="AK165" i="4"/>
  <c r="AK164" i="4"/>
  <c r="AL164" i="4" s="1"/>
  <c r="AM164" i="4" s="1"/>
  <c r="AK163" i="4"/>
  <c r="AI163" i="4"/>
  <c r="AC165" i="4"/>
  <c r="AD165" i="4" s="1"/>
  <c r="AC164" i="4"/>
  <c r="AD164" i="4" s="1"/>
  <c r="AE164" i="4" s="1"/>
  <c r="AD163" i="4"/>
  <c r="Y165" i="4"/>
  <c r="Y164" i="4"/>
  <c r="Z164" i="4" s="1"/>
  <c r="Y163" i="4"/>
  <c r="CJ162" i="4"/>
  <c r="CF162" i="4"/>
  <c r="CB162" i="4"/>
  <c r="BX162" i="4"/>
  <c r="BW162" i="4"/>
  <c r="BR165" i="4"/>
  <c r="BP164" i="4"/>
  <c r="BQ164" i="4" s="1"/>
  <c r="BO164" i="4"/>
  <c r="DM164" i="4" s="1"/>
  <c r="BP163" i="4"/>
  <c r="BP162" i="4"/>
  <c r="BM163" i="4"/>
  <c r="BL162" i="4"/>
  <c r="BL166" i="4" s="1"/>
  <c r="BH162" i="4"/>
  <c r="BD162" i="4"/>
  <c r="AZ162" i="4"/>
  <c r="AV162" i="4"/>
  <c r="AV166" i="4" s="1"/>
  <c r="AR162" i="4"/>
  <c r="AS162" i="4" s="1"/>
  <c r="AT162" i="4" s="1"/>
  <c r="AU162" i="4" s="1"/>
  <c r="AN162" i="4"/>
  <c r="DF162" i="4"/>
  <c r="DF166" i="4" s="1"/>
  <c r="AK162" i="4"/>
  <c r="DE162" i="4"/>
  <c r="DE166" i="4" s="1"/>
  <c r="AF162" i="4"/>
  <c r="DD162" i="4"/>
  <c r="DD166" i="4" s="1"/>
  <c r="AB162" i="4"/>
  <c r="AB166" i="4" s="1"/>
  <c r="DC162" i="4"/>
  <c r="DC166" i="4" s="1"/>
  <c r="X162" i="4"/>
  <c r="X166" i="4" s="1"/>
  <c r="U162" i="4"/>
  <c r="R162" i="4"/>
  <c r="P162" i="4"/>
  <c r="N162" i="4"/>
  <c r="L162" i="4"/>
  <c r="CW162" i="4"/>
  <c r="CW166" i="4" s="1"/>
  <c r="DO153" i="4"/>
  <c r="DO156" i="4"/>
  <c r="DN155" i="4"/>
  <c r="DN156" i="4"/>
  <c r="BR158" i="4"/>
  <c r="DN158" i="4" s="1"/>
  <c r="DM158" i="4"/>
  <c r="DM156" i="4"/>
  <c r="DL158" i="4"/>
  <c r="DL155" i="4"/>
  <c r="DL156" i="4"/>
  <c r="DK158" i="4"/>
  <c r="DK156" i="4"/>
  <c r="DJ158" i="4"/>
  <c r="DJ155" i="4"/>
  <c r="DJ153" i="4"/>
  <c r="DJ156" i="4"/>
  <c r="DI158" i="4"/>
  <c r="DI159" i="4"/>
  <c r="DI154" i="4"/>
  <c r="DI156" i="4"/>
  <c r="DH158" i="4"/>
  <c r="DH159" i="4"/>
  <c r="DH156" i="4"/>
  <c r="AG158" i="4"/>
  <c r="AH158" i="4" s="1"/>
  <c r="AI158" i="4" s="1"/>
  <c r="AZ159" i="4"/>
  <c r="AZ160" i="4" s="1"/>
  <c r="AM159" i="4"/>
  <c r="AM154" i="4"/>
  <c r="CK155" i="4"/>
  <c r="BW155" i="4"/>
  <c r="DO155" i="4" s="1"/>
  <c r="BW154" i="4"/>
  <c r="DO154" i="4" s="1"/>
  <c r="BE159" i="4"/>
  <c r="BF159" i="4" s="1"/>
  <c r="BE155" i="4"/>
  <c r="AV155" i="4"/>
  <c r="AR155" i="4"/>
  <c r="AR160" i="4" s="1"/>
  <c r="AP155" i="4"/>
  <c r="AQ155" i="4" s="1"/>
  <c r="DG155" i="4" s="1"/>
  <c r="AK155" i="4"/>
  <c r="AL155" i="4" s="1"/>
  <c r="AM155" i="4" s="1"/>
  <c r="W155" i="4"/>
  <c r="Q155" i="4"/>
  <c r="R155" i="4" s="1"/>
  <c r="M155" i="4"/>
  <c r="BQ154" i="4"/>
  <c r="BR154" i="4" s="1"/>
  <c r="BS154" i="4" s="1"/>
  <c r="DN154" i="4" s="1"/>
  <c r="BM155" i="4"/>
  <c r="BN155" i="4" s="1"/>
  <c r="BO155" i="4" s="1"/>
  <c r="DM155" i="4" s="1"/>
  <c r="BN154" i="4"/>
  <c r="BM154" i="4"/>
  <c r="BA154" i="4"/>
  <c r="BB154" i="4" s="1"/>
  <c r="AU154" i="4"/>
  <c r="DH154" i="4" s="1"/>
  <c r="AG155" i="4"/>
  <c r="AH155" i="4" s="1"/>
  <c r="AI155" i="4" s="1"/>
  <c r="AG154" i="4"/>
  <c r="AH154" i="4" s="1"/>
  <c r="AI154" i="4" s="1"/>
  <c r="S154" i="4"/>
  <c r="S153" i="4"/>
  <c r="BQ153" i="4"/>
  <c r="BO153" i="4"/>
  <c r="DM153" i="4" s="1"/>
  <c r="BI154" i="4"/>
  <c r="BJ154" i="4" s="1"/>
  <c r="BK154" i="4" s="1"/>
  <c r="DL154" i="4" s="1"/>
  <c r="BI153" i="4"/>
  <c r="BJ153" i="4" s="1"/>
  <c r="BK153" i="4" s="1"/>
  <c r="DL153" i="4" s="1"/>
  <c r="BF154" i="4"/>
  <c r="BF153" i="4"/>
  <c r="AY153" i="4"/>
  <c r="DI153" i="4" s="1"/>
  <c r="AS153" i="4"/>
  <c r="AT153" i="4" s="1"/>
  <c r="AL153" i="4"/>
  <c r="AM153" i="4" s="1"/>
  <c r="W156" i="4"/>
  <c r="Q156" i="4"/>
  <c r="S156" i="4" s="1"/>
  <c r="AW157" i="4"/>
  <c r="AX157" i="4" s="1"/>
  <c r="CK152" i="4"/>
  <c r="CG155" i="4"/>
  <c r="CH155" i="4" s="1"/>
  <c r="CI154" i="4"/>
  <c r="CG153" i="4"/>
  <c r="CH153" i="4" s="1"/>
  <c r="CI153" i="4" s="1"/>
  <c r="DR153" i="4" s="1"/>
  <c r="CG152" i="4"/>
  <c r="CC155" i="4"/>
  <c r="CD155" i="4" s="1"/>
  <c r="CC153" i="4"/>
  <c r="CD153" i="4" s="1"/>
  <c r="CC152" i="4"/>
  <c r="BY155" i="4"/>
  <c r="BZ155" i="4" s="1"/>
  <c r="CA155" i="4" s="1"/>
  <c r="DP153" i="4"/>
  <c r="BY152" i="4"/>
  <c r="BW152" i="4"/>
  <c r="BW182" i="4" s="1"/>
  <c r="BQ152" i="4"/>
  <c r="BM152" i="4"/>
  <c r="BN152" i="4" s="1"/>
  <c r="BI152" i="4"/>
  <c r="BE152" i="4"/>
  <c r="BA152" i="4"/>
  <c r="BB152" i="4" s="1"/>
  <c r="AW152" i="4"/>
  <c r="AS157" i="4"/>
  <c r="AT157" i="4" s="1"/>
  <c r="AU157" i="4" s="1"/>
  <c r="DH157" i="4" s="1"/>
  <c r="AS152" i="4"/>
  <c r="AO156" i="4"/>
  <c r="AP156" i="4" s="1"/>
  <c r="AQ156" i="4" s="1"/>
  <c r="AO157" i="4"/>
  <c r="AO152" i="4"/>
  <c r="AK157" i="4"/>
  <c r="AL157" i="4" s="1"/>
  <c r="AM157" i="4" s="1"/>
  <c r="AK152" i="4"/>
  <c r="AG157" i="4"/>
  <c r="AH157" i="4" s="1"/>
  <c r="AI157" i="4" s="1"/>
  <c r="AG152" i="4"/>
  <c r="AE158" i="4"/>
  <c r="AE159" i="4"/>
  <c r="AC155" i="4"/>
  <c r="AD155" i="4" s="1"/>
  <c r="AE155" i="4" s="1"/>
  <c r="AC154" i="4"/>
  <c r="AD154" i="4" s="1"/>
  <c r="AE156" i="4"/>
  <c r="AC157" i="4"/>
  <c r="AC152" i="4"/>
  <c r="AD152" i="4" s="1"/>
  <c r="Y158" i="4"/>
  <c r="Z158" i="4" s="1"/>
  <c r="AA158" i="4" s="1"/>
  <c r="Z159" i="4"/>
  <c r="Y155" i="4"/>
  <c r="Z155" i="4" s="1"/>
  <c r="Y154" i="4"/>
  <c r="Z154" i="4" s="1"/>
  <c r="AA154" i="4" s="1"/>
  <c r="AA156" i="4"/>
  <c r="Y152" i="4"/>
  <c r="Q152" i="4"/>
  <c r="M152" i="4"/>
  <c r="H152" i="4"/>
  <c r="AS148" i="4"/>
  <c r="AP148" i="4"/>
  <c r="AQ148" i="4" s="1"/>
  <c r="AK148" i="4"/>
  <c r="AL148" i="4" s="1"/>
  <c r="AM148" i="4" s="1"/>
  <c r="AG148" i="4"/>
  <c r="AH148" i="4" s="1"/>
  <c r="AI148" i="4" s="1"/>
  <c r="AC148" i="4"/>
  <c r="AD148" i="4" s="1"/>
  <c r="AE148" i="4" s="1"/>
  <c r="Y148" i="4"/>
  <c r="DC176" i="4"/>
  <c r="CX146" i="4"/>
  <c r="CW146" i="4"/>
  <c r="CF145" i="4"/>
  <c r="CB145" i="4"/>
  <c r="BX145" i="4"/>
  <c r="BW145" i="4"/>
  <c r="DO145" i="4" s="1"/>
  <c r="BL145" i="4"/>
  <c r="BH145" i="4"/>
  <c r="BD145" i="4"/>
  <c r="AZ145" i="4"/>
  <c r="AV145" i="4"/>
  <c r="AK145" i="4"/>
  <c r="AL145" i="4" s="1"/>
  <c r="AK144" i="4"/>
  <c r="AL144" i="4" s="1"/>
  <c r="AK143" i="4"/>
  <c r="AL143" i="4" s="1"/>
  <c r="AK142" i="4"/>
  <c r="AL142" i="4" s="1"/>
  <c r="AK141" i="4"/>
  <c r="AG145" i="4"/>
  <c r="AH145" i="4" s="1"/>
  <c r="AG144" i="4"/>
  <c r="AH144" i="4" s="1"/>
  <c r="AG143" i="4"/>
  <c r="AH143" i="4" s="1"/>
  <c r="AG142" i="4"/>
  <c r="AH142" i="4" s="1"/>
  <c r="AG141" i="4"/>
  <c r="AC145" i="4"/>
  <c r="AD145" i="4" s="1"/>
  <c r="AC144" i="4"/>
  <c r="AC143" i="4"/>
  <c r="AD143" i="4" s="1"/>
  <c r="AC142" i="4"/>
  <c r="AD142" i="4" s="1"/>
  <c r="AC141" i="4"/>
  <c r="AD141" i="4" s="1"/>
  <c r="Y145" i="4"/>
  <c r="Z145" i="4" s="1"/>
  <c r="AA145" i="4" s="1"/>
  <c r="Y144" i="4"/>
  <c r="Z144" i="4" s="1"/>
  <c r="AA144" i="4" s="1"/>
  <c r="Y143" i="4"/>
  <c r="Z143" i="4" s="1"/>
  <c r="Y142" i="4"/>
  <c r="Z142" i="4" s="1"/>
  <c r="AA142" i="4" s="1"/>
  <c r="Y141" i="4"/>
  <c r="Z141" i="4" s="1"/>
  <c r="CG144" i="4"/>
  <c r="CG143" i="4"/>
  <c r="CG142" i="4"/>
  <c r="CG141" i="4"/>
  <c r="CC144" i="4"/>
  <c r="CC143" i="4"/>
  <c r="CC142" i="4"/>
  <c r="CD142" i="4" s="1"/>
  <c r="CE142" i="4" s="1"/>
  <c r="CC141" i="4"/>
  <c r="BY144" i="4"/>
  <c r="BY143" i="4"/>
  <c r="BY142" i="4"/>
  <c r="BY141" i="4"/>
  <c r="BW144" i="4"/>
  <c r="BW143" i="4"/>
  <c r="DO143" i="4" s="1"/>
  <c r="BW142" i="4"/>
  <c r="DO142" i="4" s="1"/>
  <c r="BW141" i="4"/>
  <c r="BQ145" i="4"/>
  <c r="BR145" i="4" s="1"/>
  <c r="BQ144" i="4"/>
  <c r="BN144" i="4"/>
  <c r="BI144" i="4"/>
  <c r="BI143" i="4"/>
  <c r="BI142" i="4"/>
  <c r="BI141" i="4"/>
  <c r="BE144" i="4"/>
  <c r="BE143" i="4"/>
  <c r="BE142" i="4"/>
  <c r="BE141" i="4"/>
  <c r="BA144" i="4"/>
  <c r="BA143" i="4"/>
  <c r="BA142" i="4"/>
  <c r="BA141" i="4"/>
  <c r="AW144" i="4"/>
  <c r="AW143" i="4"/>
  <c r="AW142" i="4"/>
  <c r="AW141" i="4"/>
  <c r="AS144" i="4"/>
  <c r="AS143" i="4"/>
  <c r="AS142" i="4"/>
  <c r="AS141" i="4"/>
  <c r="AO145" i="4"/>
  <c r="AO144" i="4"/>
  <c r="AO142" i="4"/>
  <c r="AO141" i="4"/>
  <c r="BP143" i="4"/>
  <c r="BP146" i="4" s="1"/>
  <c r="BN143" i="4"/>
  <c r="AN143" i="4"/>
  <c r="BQ142" i="4"/>
  <c r="BR142" i="4" s="1"/>
  <c r="BQ141" i="4"/>
  <c r="BR141" i="4" s="1"/>
  <c r="BN142" i="4"/>
  <c r="BN141" i="4"/>
  <c r="CG130" i="4"/>
  <c r="CG184" i="4" s="1"/>
  <c r="CG136" i="4"/>
  <c r="CG133" i="4"/>
  <c r="CG132" i="4"/>
  <c r="CG131" i="4"/>
  <c r="CC130" i="4"/>
  <c r="CC184" i="4" s="1"/>
  <c r="CC136" i="4"/>
  <c r="CC133" i="4"/>
  <c r="CC132" i="4"/>
  <c r="CC131" i="4"/>
  <c r="CF139" i="4"/>
  <c r="CG139" i="4" s="1"/>
  <c r="CB139" i="4"/>
  <c r="BX139" i="4"/>
  <c r="BW139" i="4"/>
  <c r="DO139" i="4" s="1"/>
  <c r="AA139" i="4"/>
  <c r="CJ139" i="4"/>
  <c r="BQ139" i="4"/>
  <c r="BR139" i="4" s="1"/>
  <c r="BQ130" i="4"/>
  <c r="BQ184" i="4" s="1"/>
  <c r="DM130" i="4"/>
  <c r="BN136" i="4"/>
  <c r="DM136" i="4" s="1"/>
  <c r="AN130" i="4"/>
  <c r="AN184" i="4" s="1"/>
  <c r="AK130" i="4"/>
  <c r="AK184" i="4" s="1"/>
  <c r="AG139" i="4"/>
  <c r="AH139" i="4" s="1"/>
  <c r="AG130" i="4"/>
  <c r="AG184" i="4" s="1"/>
  <c r="AC130" i="4"/>
  <c r="AC184" i="4" s="1"/>
  <c r="Y130" i="4"/>
  <c r="Y184" i="4" s="1"/>
  <c r="S130" i="4"/>
  <c r="S184" i="4" s="1"/>
  <c r="CZ130" i="4"/>
  <c r="CY130" i="4"/>
  <c r="BY130" i="4"/>
  <c r="BY184" i="4" s="1"/>
  <c r="BY136" i="4"/>
  <c r="BW130" i="4"/>
  <c r="BW184" i="4" s="1"/>
  <c r="BW136" i="4"/>
  <c r="DO136" i="4" s="1"/>
  <c r="BQ136" i="4"/>
  <c r="BR136" i="4" s="1"/>
  <c r="BR77" i="4" s="1"/>
  <c r="BI130" i="4"/>
  <c r="BI184" i="4" s="1"/>
  <c r="BI136" i="4"/>
  <c r="BJ136" i="4" s="1"/>
  <c r="BK136" i="4" s="1"/>
  <c r="BE130" i="4"/>
  <c r="BE184" i="4" s="1"/>
  <c r="BE136" i="4"/>
  <c r="BA130" i="4"/>
  <c r="BA184" i="4" s="1"/>
  <c r="BA136" i="4"/>
  <c r="AW130" i="4"/>
  <c r="AW184" i="4" s="1"/>
  <c r="AW136" i="4"/>
  <c r="AT136" i="4"/>
  <c r="CK133" i="4"/>
  <c r="CK132" i="4"/>
  <c r="CL132" i="4" s="1"/>
  <c r="CM132" i="4" s="1"/>
  <c r="CK131" i="4"/>
  <c r="BY133" i="4"/>
  <c r="BY132" i="4"/>
  <c r="CA131" i="4"/>
  <c r="DP131" i="4" s="1"/>
  <c r="BY129" i="4"/>
  <c r="BZ129" i="4" s="1"/>
  <c r="CA129" i="4" s="1"/>
  <c r="AW135" i="4"/>
  <c r="DI135" i="4" s="1"/>
  <c r="AW133" i="4"/>
  <c r="AX133" i="4" s="1"/>
  <c r="AY133" i="4" s="1"/>
  <c r="AW132" i="4"/>
  <c r="AW138" i="4"/>
  <c r="AS135" i="4"/>
  <c r="AO135" i="4"/>
  <c r="DG135" i="4" s="1"/>
  <c r="AO133" i="4"/>
  <c r="AG135" i="4"/>
  <c r="AH135" i="4" s="1"/>
  <c r="BW133" i="4"/>
  <c r="BW132" i="4"/>
  <c r="DO132" i="4" s="1"/>
  <c r="AK135" i="4"/>
  <c r="AL135" i="4" s="1"/>
  <c r="AK133" i="4"/>
  <c r="AH133" i="4"/>
  <c r="AC135" i="4"/>
  <c r="AD135" i="4" s="1"/>
  <c r="AC133" i="4"/>
  <c r="AD133" i="4" s="1"/>
  <c r="BQ133" i="4"/>
  <c r="BR133" i="4" s="1"/>
  <c r="BQ132" i="4"/>
  <c r="BR132" i="4" s="1"/>
  <c r="BA133" i="4"/>
  <c r="BA132" i="4"/>
  <c r="AS133" i="4"/>
  <c r="AS132" i="4"/>
  <c r="Y133" i="4"/>
  <c r="Z133" i="4" s="1"/>
  <c r="BQ138" i="4"/>
  <c r="BR138" i="4" s="1"/>
  <c r="BM133" i="4"/>
  <c r="BM132" i="4"/>
  <c r="BM138" i="4"/>
  <c r="BI133" i="4"/>
  <c r="BI132" i="4"/>
  <c r="BI138" i="4"/>
  <c r="BE133" i="4"/>
  <c r="BE132" i="4"/>
  <c r="BE138" i="4"/>
  <c r="BF138" i="4" s="1"/>
  <c r="BG138" i="4" s="1"/>
  <c r="BA138" i="4"/>
  <c r="AO138" i="4"/>
  <c r="AK138" i="4"/>
  <c r="AL138" i="4" s="1"/>
  <c r="AG138" i="4"/>
  <c r="AH138" i="4" s="1"/>
  <c r="BL131" i="4"/>
  <c r="BI131" i="4"/>
  <c r="AX131" i="4"/>
  <c r="AU131" i="4"/>
  <c r="DH131" i="4" s="1"/>
  <c r="AC134" i="4"/>
  <c r="Y134" i="4"/>
  <c r="DB134" i="4"/>
  <c r="S134" i="4"/>
  <c r="CZ134" i="4"/>
  <c r="CY134" i="4"/>
  <c r="CW134" i="4"/>
  <c r="BF131" i="4"/>
  <c r="BF134" i="4"/>
  <c r="BV24" i="4"/>
  <c r="BU24" i="4"/>
  <c r="BQ24" i="4"/>
  <c r="BO24" i="4"/>
  <c r="BN24" i="4"/>
  <c r="BJ24" i="4"/>
  <c r="BI24" i="4"/>
  <c r="BC24" i="4"/>
  <c r="AU24" i="4"/>
  <c r="AS24" i="4"/>
  <c r="AL24" i="4"/>
  <c r="AA24" i="4"/>
  <c r="AF239" i="4"/>
  <c r="DA100" i="4"/>
  <c r="DA121" i="4" s="1"/>
  <c r="CZ100" i="4"/>
  <c r="CZ121" i="4" s="1"/>
  <c r="CX100" i="4"/>
  <c r="CX121" i="4" s="1"/>
  <c r="BP94" i="4"/>
  <c r="BJ99" i="4"/>
  <c r="BJ100" i="4" s="1"/>
  <c r="BJ121" i="4" s="1"/>
  <c r="AW99" i="4"/>
  <c r="AX99" i="4" s="1"/>
  <c r="AY239" i="4" s="1"/>
  <c r="AO99" i="4"/>
  <c r="CJ98" i="4"/>
  <c r="BX99" i="4"/>
  <c r="BX98" i="4"/>
  <c r="BR98" i="4"/>
  <c r="BR95" i="4"/>
  <c r="BR94" i="4"/>
  <c r="BL98" i="4"/>
  <c r="BM98" i="4" s="1"/>
  <c r="AX98" i="4"/>
  <c r="AR94" i="4"/>
  <c r="AS94" i="4" s="1"/>
  <c r="AJ98" i="4"/>
  <c r="CK100" i="4"/>
  <c r="CK121" i="4" s="1"/>
  <c r="BL95" i="4"/>
  <c r="AW95" i="4"/>
  <c r="AV95" i="4"/>
  <c r="CJ94" i="4"/>
  <c r="AW94" i="4"/>
  <c r="AT95" i="4"/>
  <c r="AU95" i="4" s="1"/>
  <c r="DH95" i="4" s="1"/>
  <c r="AP94" i="4"/>
  <c r="AN94" i="4"/>
  <c r="BR88" i="4"/>
  <c r="BF89" i="4"/>
  <c r="BF90" i="4" s="1"/>
  <c r="BE89" i="4"/>
  <c r="BE90" i="4" s="1"/>
  <c r="AW89" i="4"/>
  <c r="AW90" i="4" s="1"/>
  <c r="AV89" i="4"/>
  <c r="AV90" i="4" s="1"/>
  <c r="AP89" i="4"/>
  <c r="AP90" i="4" s="1"/>
  <c r="AP102" i="4" s="1"/>
  <c r="AO89" i="4"/>
  <c r="AO90" i="4" s="1"/>
  <c r="AO102" i="4" s="1"/>
  <c r="AJ89" i="4"/>
  <c r="AJ90" i="4" s="1"/>
  <c r="AJ102" i="4" s="1"/>
  <c r="W89" i="4"/>
  <c r="CX86" i="4"/>
  <c r="CJ88" i="4"/>
  <c r="AS88" i="4"/>
  <c r="AV24" i="4"/>
  <c r="AG83" i="4"/>
  <c r="BW82" i="4"/>
  <c r="BW120" i="4" s="1"/>
  <c r="BS82" i="4"/>
  <c r="BS120" i="4" s="1"/>
  <c r="BR82" i="4"/>
  <c r="BR120" i="4" s="1"/>
  <c r="BQ82" i="4"/>
  <c r="BQ120" i="4" s="1"/>
  <c r="BG82" i="4"/>
  <c r="BG120" i="4" s="1"/>
  <c r="BF82" i="4"/>
  <c r="BF120" i="4" s="1"/>
  <c r="BE82" i="4"/>
  <c r="BE120" i="4" s="1"/>
  <c r="BD82" i="4"/>
  <c r="BD120" i="4" s="1"/>
  <c r="AX82" i="4"/>
  <c r="AX120" i="4" s="1"/>
  <c r="AW82" i="4"/>
  <c r="AW120" i="4" s="1"/>
  <c r="AV82" i="4"/>
  <c r="AV120" i="4" s="1"/>
  <c r="CJ79" i="4"/>
  <c r="BR76" i="4"/>
  <c r="AX79" i="4"/>
  <c r="AW79" i="4"/>
  <c r="AV79" i="4"/>
  <c r="AQ79" i="4"/>
  <c r="AN79" i="4"/>
  <c r="AM79" i="4"/>
  <c r="AJ79" i="4"/>
  <c r="AJ80" i="4" s="1"/>
  <c r="AG79" i="4"/>
  <c r="AG80" i="4" s="1"/>
  <c r="CK77" i="4"/>
  <c r="CI77" i="4"/>
  <c r="DR77" i="4" s="1"/>
  <c r="BX77" i="4"/>
  <c r="BX76" i="4"/>
  <c r="BL77" i="4"/>
  <c r="BL76" i="4"/>
  <c r="AT77" i="4"/>
  <c r="AU77" i="4" s="1"/>
  <c r="DH77" i="4" s="1"/>
  <c r="AT76" i="4"/>
  <c r="AU76" i="4" s="1"/>
  <c r="DH76" i="4" s="1"/>
  <c r="AO76" i="4"/>
  <c r="AS75" i="4"/>
  <c r="AR75" i="4"/>
  <c r="AN75" i="4"/>
  <c r="N75" i="4"/>
  <c r="O184" i="4" s="1"/>
  <c r="CJ142" i="4"/>
  <c r="CJ141" i="4"/>
  <c r="BH73" i="4"/>
  <c r="BH80" i="4" s="1"/>
  <c r="BH104" i="4" s="1"/>
  <c r="BD73" i="4"/>
  <c r="BD80" i="4" s="1"/>
  <c r="BB72" i="4"/>
  <c r="BB73" i="4" s="1"/>
  <c r="BB80" i="4" s="1"/>
  <c r="BB104" i="4" s="1"/>
  <c r="BA72" i="4"/>
  <c r="BA73" i="4" s="1"/>
  <c r="BA80" i="4" s="1"/>
  <c r="BA104" i="4" s="1"/>
  <c r="AW72" i="4"/>
  <c r="AW73" i="4" s="1"/>
  <c r="AN71" i="4"/>
  <c r="AN73" i="4" s="1"/>
  <c r="BK71" i="4"/>
  <c r="DL71" i="4" s="1"/>
  <c r="DL70" i="4"/>
  <c r="AY72" i="4"/>
  <c r="AR66" i="4"/>
  <c r="AR122" i="4" s="1"/>
  <c r="W66" i="4"/>
  <c r="W122" i="4" s="1"/>
  <c r="S66" i="4"/>
  <c r="S122" i="4" s="1"/>
  <c r="CW66" i="4"/>
  <c r="CW73" i="4" s="1"/>
  <c r="CW80" i="4" s="1"/>
  <c r="CW104" i="4" s="1"/>
  <c r="BU9" i="4"/>
  <c r="BT9" i="4"/>
  <c r="BT111" i="4" s="1"/>
  <c r="BX38" i="4"/>
  <c r="DR32" i="4"/>
  <c r="DQ32" i="4"/>
  <c r="DO32" i="4"/>
  <c r="CK29" i="4"/>
  <c r="DS29" i="4" s="1"/>
  <c r="CH29" i="4"/>
  <c r="DR29" i="4" s="1"/>
  <c r="CL23" i="4"/>
  <c r="CK23" i="4"/>
  <c r="CJ23" i="4"/>
  <c r="CI23" i="4"/>
  <c r="CI24" i="4" s="1"/>
  <c r="CH23" i="4"/>
  <c r="CH24" i="4" s="1"/>
  <c r="CG23" i="4"/>
  <c r="CF23" i="4"/>
  <c r="CE23" i="4"/>
  <c r="CE24" i="4" s="1"/>
  <c r="CD23" i="4"/>
  <c r="CD24" i="4" s="1"/>
  <c r="CC23" i="4"/>
  <c r="CB23" i="4"/>
  <c r="CA23" i="4"/>
  <c r="CA24" i="4" s="1"/>
  <c r="BZ23" i="4"/>
  <c r="BZ24" i="4" s="1"/>
  <c r="BY23" i="4"/>
  <c r="BX23" i="4"/>
  <c r="BW23" i="4"/>
  <c r="DO23" i="4" s="1"/>
  <c r="CH22" i="4"/>
  <c r="DR22" i="4" s="1"/>
  <c r="CK15" i="4"/>
  <c r="D12" i="4"/>
  <c r="CH11" i="4"/>
  <c r="DN9" i="4"/>
  <c r="DN48" i="4" s="1"/>
  <c r="DM9" i="4"/>
  <c r="DL9" i="4"/>
  <c r="DK9" i="4"/>
  <c r="DJ9" i="4"/>
  <c r="DI9" i="4"/>
  <c r="DH9" i="4"/>
  <c r="DG9" i="4"/>
  <c r="DG114" i="4" s="1"/>
  <c r="DG107" i="4" s="1"/>
  <c r="DF9" i="4"/>
  <c r="DE9" i="4"/>
  <c r="DD9" i="4"/>
  <c r="DC9" i="4"/>
  <c r="DB9" i="4"/>
  <c r="DA9" i="4"/>
  <c r="CZ9" i="4"/>
  <c r="CZ114" i="4" s="1"/>
  <c r="CZ107" i="4" s="1"/>
  <c r="CY9" i="4"/>
  <c r="CY114" i="4" s="1"/>
  <c r="CY107" i="4" s="1"/>
  <c r="CL239" i="4"/>
  <c r="CM239" i="4"/>
  <c r="CN238" i="4"/>
  <c r="DT79" i="4"/>
  <c r="DV79" i="4" s="1"/>
  <c r="DW79" i="4" s="1"/>
  <c r="DX79" i="4" s="1"/>
  <c r="DY79" i="4" s="1"/>
  <c r="DZ79" i="4" s="1"/>
  <c r="G34" i="27"/>
  <c r="Y24" i="4"/>
  <c r="BX95" i="4"/>
  <c r="CJ99" i="4"/>
  <c r="CR82" i="4"/>
  <c r="BB24" i="4"/>
  <c r="BL88" i="4"/>
  <c r="BL89" i="4" s="1"/>
  <c r="DQ154" i="4"/>
  <c r="BY111" i="4" l="1"/>
  <c r="BU111" i="4"/>
  <c r="BT110" i="4"/>
  <c r="BU110" i="4"/>
  <c r="D19" i="29"/>
  <c r="D12" i="27"/>
  <c r="G12" i="27" s="1"/>
  <c r="D22" i="27"/>
  <c r="D24" i="27" s="1"/>
  <c r="D25" i="27" s="1"/>
  <c r="E47" i="28"/>
  <c r="E48" i="28"/>
  <c r="U26" i="27"/>
  <c r="G11" i="27"/>
  <c r="F45" i="28"/>
  <c r="F48" i="28" s="1"/>
  <c r="G25" i="28"/>
  <c r="G31" i="28" s="1"/>
  <c r="F31" i="28"/>
  <c r="O19" i="28"/>
  <c r="N19" i="28"/>
  <c r="BW122" i="4"/>
  <c r="BW121" i="4"/>
  <c r="AW122" i="4"/>
  <c r="BS122" i="4"/>
  <c r="AX122" i="4"/>
  <c r="BG122" i="4"/>
  <c r="BG121" i="4"/>
  <c r="CP37" i="4"/>
  <c r="BE122" i="4"/>
  <c r="BE121" i="4"/>
  <c r="BQ122" i="4"/>
  <c r="BD122" i="4"/>
  <c r="BD121" i="4"/>
  <c r="BF122" i="4"/>
  <c r="BF121" i="4"/>
  <c r="AV122" i="4"/>
  <c r="AV121" i="4"/>
  <c r="BR122" i="4"/>
  <c r="DL240" i="4"/>
  <c r="DH39" i="4"/>
  <c r="DT22" i="4"/>
  <c r="DT29" i="4"/>
  <c r="DT84" i="4"/>
  <c r="CR84" i="4"/>
  <c r="CS84" i="4" s="1"/>
  <c r="CT84" i="4" s="1"/>
  <c r="CU84" i="4" s="1"/>
  <c r="DU84" i="4" s="1"/>
  <c r="DV84" i="4" s="1"/>
  <c r="DW84" i="4" s="1"/>
  <c r="DX84" i="4" s="1"/>
  <c r="DY84" i="4" s="1"/>
  <c r="DZ84" i="4" s="1"/>
  <c r="CS82" i="4"/>
  <c r="CR120" i="4"/>
  <c r="CS16" i="4"/>
  <c r="CR15" i="4"/>
  <c r="D18" i="27"/>
  <c r="G18" i="27" s="1"/>
  <c r="I10" i="27"/>
  <c r="G10" i="27"/>
  <c r="G31" i="27"/>
  <c r="I11" i="27"/>
  <c r="DK39" i="4"/>
  <c r="DC39" i="4"/>
  <c r="DO39" i="4"/>
  <c r="DG39" i="4"/>
  <c r="BY36" i="4"/>
  <c r="BY39" i="4"/>
  <c r="CG39" i="4"/>
  <c r="CG36" i="4"/>
  <c r="CO36" i="4"/>
  <c r="CO39" i="4"/>
  <c r="J36" i="4"/>
  <c r="J39" i="4"/>
  <c r="R36" i="4"/>
  <c r="R39" i="4"/>
  <c r="DH240" i="4"/>
  <c r="DH36" i="4"/>
  <c r="DL39" i="4"/>
  <c r="DD39" i="4"/>
  <c r="BZ36" i="4"/>
  <c r="BZ39" i="4"/>
  <c r="CH36" i="4"/>
  <c r="CH39" i="4"/>
  <c r="CP39" i="4"/>
  <c r="CR39" i="4" s="1"/>
  <c r="CS39" i="4" s="1"/>
  <c r="CT39" i="4" s="1"/>
  <c r="CU39" i="4" s="1"/>
  <c r="K39" i="4"/>
  <c r="K36" i="4"/>
  <c r="S39" i="4"/>
  <c r="S36" i="4"/>
  <c r="DI240" i="4"/>
  <c r="DI36" i="4"/>
  <c r="CA36" i="4"/>
  <c r="CA39" i="4"/>
  <c r="CI36" i="4"/>
  <c r="CI39" i="4"/>
  <c r="D39" i="4"/>
  <c r="L36" i="4"/>
  <c r="L39" i="4"/>
  <c r="T36" i="4"/>
  <c r="T39" i="4"/>
  <c r="DJ240" i="4"/>
  <c r="DJ36" i="4"/>
  <c r="DJ39" i="4"/>
  <c r="CB36" i="4"/>
  <c r="CB39" i="4"/>
  <c r="CJ39" i="4"/>
  <c r="E39" i="4"/>
  <c r="E36" i="4"/>
  <c r="M39" i="4"/>
  <c r="M36" i="4"/>
  <c r="U39" i="4"/>
  <c r="U36" i="4"/>
  <c r="DC240" i="4"/>
  <c r="DC36" i="4"/>
  <c r="DK240" i="4"/>
  <c r="DK36" i="4"/>
  <c r="DL37" i="4" s="1"/>
  <c r="DI39" i="4"/>
  <c r="CC36" i="4"/>
  <c r="CC39" i="4"/>
  <c r="CK39" i="4"/>
  <c r="CK36" i="4"/>
  <c r="CK37" i="4" s="1"/>
  <c r="F39" i="4"/>
  <c r="F36" i="4"/>
  <c r="N36" i="4"/>
  <c r="N39" i="4"/>
  <c r="V39" i="4"/>
  <c r="V36" i="4"/>
  <c r="DD240" i="4"/>
  <c r="DD36" i="4"/>
  <c r="BX36" i="4"/>
  <c r="BX37" i="4" s="1"/>
  <c r="BX39" i="4"/>
  <c r="CD36" i="4"/>
  <c r="CD39" i="4"/>
  <c r="CL36" i="4"/>
  <c r="CL39" i="4"/>
  <c r="G36" i="4"/>
  <c r="G39" i="4"/>
  <c r="O36" i="4"/>
  <c r="O39" i="4"/>
  <c r="W36" i="4"/>
  <c r="W39" i="4"/>
  <c r="DM240" i="4"/>
  <c r="DM36" i="4"/>
  <c r="DM37" i="4" s="1"/>
  <c r="CK240" i="4"/>
  <c r="CE39" i="4"/>
  <c r="CE36" i="4"/>
  <c r="CM39" i="4"/>
  <c r="CM36" i="4"/>
  <c r="H36" i="4"/>
  <c r="H39" i="4"/>
  <c r="P36" i="4"/>
  <c r="P39" i="4"/>
  <c r="DF240" i="4"/>
  <c r="DF36" i="4"/>
  <c r="DF37" i="4" s="1"/>
  <c r="DN240" i="4"/>
  <c r="DN36" i="4"/>
  <c r="DN39" i="4"/>
  <c r="DF39" i="4"/>
  <c r="CF36" i="4"/>
  <c r="CF39" i="4"/>
  <c r="CN36" i="4"/>
  <c r="CN39" i="4"/>
  <c r="I36" i="4"/>
  <c r="I39" i="4"/>
  <c r="Q39" i="4"/>
  <c r="Q36" i="4"/>
  <c r="DG240" i="4"/>
  <c r="DG36" i="4"/>
  <c r="DO240" i="4"/>
  <c r="DO36" i="4"/>
  <c r="DM39" i="4"/>
  <c r="DE39" i="4"/>
  <c r="BY240" i="4"/>
  <c r="CG240" i="4"/>
  <c r="CO240" i="4"/>
  <c r="DR48" i="4"/>
  <c r="C40" i="30"/>
  <c r="BZ240" i="4"/>
  <c r="CH240" i="4"/>
  <c r="CP240" i="4"/>
  <c r="CA240" i="4"/>
  <c r="CI240" i="4"/>
  <c r="CB240" i="4"/>
  <c r="CJ240" i="4"/>
  <c r="CC240" i="4"/>
  <c r="CD240" i="4"/>
  <c r="CL240" i="4"/>
  <c r="CE240" i="4"/>
  <c r="CM240" i="4"/>
  <c r="CF240" i="4"/>
  <c r="CN240" i="4"/>
  <c r="DQ48" i="4"/>
  <c r="C47" i="30"/>
  <c r="E14" i="28"/>
  <c r="E20" i="28" s="1"/>
  <c r="DH114" i="4"/>
  <c r="DH107" i="4" s="1"/>
  <c r="DH48" i="4"/>
  <c r="BT48" i="4"/>
  <c r="DI114" i="4"/>
  <c r="DI107" i="4" s="1"/>
  <c r="DI48" i="4"/>
  <c r="BU48" i="4"/>
  <c r="DJ114" i="4"/>
  <c r="DJ107" i="4" s="1"/>
  <c r="DJ48" i="4"/>
  <c r="DK114" i="4"/>
  <c r="DK107" i="4" s="1"/>
  <c r="DK48" i="4"/>
  <c r="DL114" i="4"/>
  <c r="DL107" i="4" s="1"/>
  <c r="DL48" i="4"/>
  <c r="DM114" i="4"/>
  <c r="DM107" i="4" s="1"/>
  <c r="DM48" i="4"/>
  <c r="W18" i="4"/>
  <c r="W58" i="4" s="1"/>
  <c r="BE183" i="4"/>
  <c r="CY183" i="4"/>
  <c r="CY184" i="4"/>
  <c r="AN183" i="4"/>
  <c r="DF114" i="4"/>
  <c r="DF107" i="4" s="1"/>
  <c r="DF182" i="4"/>
  <c r="DF183" i="4"/>
  <c r="CZ184" i="4"/>
  <c r="CZ183" i="4"/>
  <c r="CO183" i="4"/>
  <c r="DB114" i="4"/>
  <c r="DB107" i="4" s="1"/>
  <c r="DB182" i="4"/>
  <c r="AK18" i="4"/>
  <c r="AK103" i="32" s="1"/>
  <c r="DO130" i="4"/>
  <c r="BW183" i="4"/>
  <c r="AH130" i="4"/>
  <c r="AH184" i="4" s="1"/>
  <c r="AG183" i="4"/>
  <c r="I152" i="4"/>
  <c r="H185" i="4"/>
  <c r="H182" i="4"/>
  <c r="BI183" i="4"/>
  <c r="N80" i="4"/>
  <c r="N104" i="4" s="1"/>
  <c r="DA114" i="4"/>
  <c r="DA107" i="4" s="1"/>
  <c r="DA183" i="4"/>
  <c r="DA182" i="4"/>
  <c r="CG183" i="4"/>
  <c r="BI18" i="4"/>
  <c r="BI103" i="32" s="1"/>
  <c r="DC182" i="4"/>
  <c r="DC183" i="4"/>
  <c r="BT183" i="4"/>
  <c r="BA183" i="4"/>
  <c r="M185" i="4"/>
  <c r="M182" i="4"/>
  <c r="DM183" i="4"/>
  <c r="DM184" i="4"/>
  <c r="BR130" i="4"/>
  <c r="BR184" i="4" s="1"/>
  <c r="BQ183" i="4"/>
  <c r="AW183" i="4"/>
  <c r="AD130" i="4"/>
  <c r="AC183" i="4"/>
  <c r="CJ183" i="4"/>
  <c r="DD114" i="4"/>
  <c r="DD107" i="4" s="1"/>
  <c r="DD182" i="4"/>
  <c r="DD183" i="4"/>
  <c r="BU183" i="4"/>
  <c r="BY183" i="4"/>
  <c r="AK183" i="4"/>
  <c r="CC183" i="4"/>
  <c r="Q182" i="4"/>
  <c r="Q185" i="4"/>
  <c r="CX114" i="4"/>
  <c r="CX107" i="4" s="1"/>
  <c r="CX182" i="4"/>
  <c r="S183" i="4"/>
  <c r="Y183" i="4"/>
  <c r="DE114" i="4"/>
  <c r="DE107" i="4" s="1"/>
  <c r="DE183" i="4"/>
  <c r="DE182" i="4"/>
  <c r="DC178" i="4"/>
  <c r="DC52" i="4" s="1"/>
  <c r="DO144" i="4"/>
  <c r="BN160" i="4"/>
  <c r="BO18" i="4"/>
  <c r="BO103" i="32" s="1"/>
  <c r="BA18" i="4"/>
  <c r="BA103" i="32" s="1"/>
  <c r="BR144" i="4"/>
  <c r="DE108" i="4"/>
  <c r="DE109" i="4"/>
  <c r="DM109" i="4"/>
  <c r="DM108" i="4"/>
  <c r="CX109" i="4"/>
  <c r="CX108" i="4"/>
  <c r="DF108" i="4"/>
  <c r="DF109" i="4"/>
  <c r="DN108" i="4"/>
  <c r="DN109" i="4"/>
  <c r="DG109" i="4"/>
  <c r="DG108" i="4"/>
  <c r="DO109" i="4"/>
  <c r="DO108" i="4"/>
  <c r="AG85" i="4"/>
  <c r="AG102" i="4" s="1"/>
  <c r="AG104" i="4" s="1"/>
  <c r="AG108" i="4"/>
  <c r="CZ109" i="4"/>
  <c r="CZ108" i="4"/>
  <c r="DH109" i="4"/>
  <c r="DH108" i="4"/>
  <c r="DQ109" i="4"/>
  <c r="DQ108" i="4"/>
  <c r="CL73" i="4"/>
  <c r="CL80" i="4" s="1"/>
  <c r="CL104" i="4" s="1"/>
  <c r="CL107" i="4"/>
  <c r="DA108" i="4"/>
  <c r="DA109" i="4"/>
  <c r="DI109" i="4"/>
  <c r="DI108" i="4"/>
  <c r="DS109" i="4"/>
  <c r="DS108" i="4"/>
  <c r="DB108" i="4"/>
  <c r="DB109" i="4"/>
  <c r="DJ109" i="4"/>
  <c r="DJ108" i="4"/>
  <c r="DC109" i="4"/>
  <c r="DC108" i="4"/>
  <c r="DK109" i="4"/>
  <c r="DK108" i="4"/>
  <c r="DD108" i="4"/>
  <c r="DD109" i="4"/>
  <c r="DL108" i="4"/>
  <c r="DL109" i="4"/>
  <c r="DR114" i="4"/>
  <c r="DR107" i="4" s="1"/>
  <c r="DR11" i="4"/>
  <c r="DR115" i="4" s="1"/>
  <c r="CI115" i="4"/>
  <c r="CH115" i="4"/>
  <c r="CK115" i="4"/>
  <c r="CJ115" i="4"/>
  <c r="CY115" i="4"/>
  <c r="DN114" i="4"/>
  <c r="DN107" i="4" s="1"/>
  <c r="DC114" i="4"/>
  <c r="DC107" i="4" s="1"/>
  <c r="BU114" i="4"/>
  <c r="BU107" i="4" s="1"/>
  <c r="BT114" i="4"/>
  <c r="BT107" i="4" s="1"/>
  <c r="DQ114" i="4"/>
  <c r="DQ107" i="4" s="1"/>
  <c r="AV13" i="4"/>
  <c r="BD13" i="4"/>
  <c r="BL13" i="4"/>
  <c r="BW13" i="4"/>
  <c r="CG13" i="4"/>
  <c r="BZ13" i="4"/>
  <c r="AN18" i="4"/>
  <c r="AN103" i="32" s="1"/>
  <c r="AZ13" i="4"/>
  <c r="BH13" i="4"/>
  <c r="BP13" i="4"/>
  <c r="CB13" i="4"/>
  <c r="CK13" i="4"/>
  <c r="AY157" i="4"/>
  <c r="DI157" i="4" s="1"/>
  <c r="AW13" i="4"/>
  <c r="BM13" i="4"/>
  <c r="BN13" i="4"/>
  <c r="BO13" i="4"/>
  <c r="AV160" i="4"/>
  <c r="AS13" i="4"/>
  <c r="BA13" i="4"/>
  <c r="BI13" i="4"/>
  <c r="BQ13" i="4"/>
  <c r="CC13" i="4"/>
  <c r="CL13" i="4"/>
  <c r="AX13" i="4"/>
  <c r="CI13" i="4"/>
  <c r="AY13" i="4"/>
  <c r="CA13" i="4"/>
  <c r="AT13" i="4"/>
  <c r="BB13" i="4"/>
  <c r="BJ13" i="4"/>
  <c r="BR13" i="4"/>
  <c r="CD13" i="4"/>
  <c r="CN18" i="4"/>
  <c r="CN103" i="32" s="1"/>
  <c r="BG13" i="4"/>
  <c r="CJ13" i="4"/>
  <c r="BU182" i="4"/>
  <c r="AU13" i="4"/>
  <c r="BC13" i="4"/>
  <c r="BK13" i="4"/>
  <c r="BS13" i="4"/>
  <c r="CE13" i="4"/>
  <c r="CO13" i="4"/>
  <c r="AB13" i="4"/>
  <c r="AB18" i="4"/>
  <c r="AB25" i="4" s="1"/>
  <c r="AJ13" i="4"/>
  <c r="AJ18" i="4"/>
  <c r="AJ103" i="32" s="1"/>
  <c r="AR13" i="4"/>
  <c r="AR18" i="4"/>
  <c r="AR103" i="32" s="1"/>
  <c r="G45" i="28"/>
  <c r="H39" i="28"/>
  <c r="G17" i="27"/>
  <c r="I17" i="27"/>
  <c r="AC18" i="4"/>
  <c r="AC58" i="4" s="1"/>
  <c r="BQ18" i="4"/>
  <c r="BQ103" i="32" s="1"/>
  <c r="AS18" i="4"/>
  <c r="AS103" i="32" s="1"/>
  <c r="M18" i="4"/>
  <c r="M58" i="4" s="1"/>
  <c r="CC18" i="4"/>
  <c r="CC103" i="32" s="1"/>
  <c r="U18" i="4"/>
  <c r="U19" i="4" s="1"/>
  <c r="E18" i="4"/>
  <c r="E25" i="4" s="1"/>
  <c r="E30" i="4" s="1"/>
  <c r="BA165" i="4"/>
  <c r="BB165" i="4" s="1"/>
  <c r="BC165" i="4" s="1"/>
  <c r="H43" i="27"/>
  <c r="BC154" i="4"/>
  <c r="DJ154" i="4" s="1"/>
  <c r="DG156" i="4"/>
  <c r="CY10" i="4"/>
  <c r="CN146" i="4"/>
  <c r="CO145" i="4"/>
  <c r="BN165" i="4"/>
  <c r="AC182" i="4"/>
  <c r="CC160" i="4"/>
  <c r="W160" i="4"/>
  <c r="AL165" i="4"/>
  <c r="AW185" i="4"/>
  <c r="AA133" i="4"/>
  <c r="DK12" i="4"/>
  <c r="DK18" i="4" s="1"/>
  <c r="CJ166" i="4"/>
  <c r="M160" i="4"/>
  <c r="CK160" i="4"/>
  <c r="AZ166" i="4"/>
  <c r="BR164" i="4"/>
  <c r="BS164" i="4" s="1"/>
  <c r="AH18" i="4"/>
  <c r="AH103" i="32" s="1"/>
  <c r="V18" i="4"/>
  <c r="V19" i="4" s="1"/>
  <c r="Y160" i="4"/>
  <c r="AK160" i="4"/>
  <c r="N166" i="4"/>
  <c r="W166" i="4"/>
  <c r="AC185" i="4"/>
  <c r="AG146" i="4"/>
  <c r="BE160" i="4"/>
  <c r="P166" i="4"/>
  <c r="R166" i="4"/>
  <c r="BS168" i="4"/>
  <c r="DN168" i="4" s="1"/>
  <c r="H20" i="27"/>
  <c r="DG10" i="4"/>
  <c r="BJ130" i="4"/>
  <c r="BJ184" i="4" s="1"/>
  <c r="AP144" i="4"/>
  <c r="AQ144" i="4" s="1"/>
  <c r="BZ144" i="4"/>
  <c r="CH144" i="4"/>
  <c r="BD146" i="4"/>
  <c r="AG160" i="4"/>
  <c r="CP132" i="4"/>
  <c r="DT132" i="4" s="1"/>
  <c r="CK130" i="4"/>
  <c r="CK184" i="4" s="1"/>
  <c r="BG18" i="4"/>
  <c r="BG103" i="32" s="1"/>
  <c r="DL12" i="4"/>
  <c r="DL18" i="4" s="1"/>
  <c r="DB66" i="4"/>
  <c r="DB122" i="4" s="1"/>
  <c r="W73" i="4"/>
  <c r="W80" i="4" s="1"/>
  <c r="BR24" i="4"/>
  <c r="BQ85" i="4"/>
  <c r="BS139" i="4"/>
  <c r="DN139" i="4" s="1"/>
  <c r="CD131" i="4"/>
  <c r="CE131" i="4" s="1"/>
  <c r="CH136" i="4"/>
  <c r="CI136" i="4" s="1"/>
  <c r="DR136" i="4" s="1"/>
  <c r="AO143" i="4"/>
  <c r="AP143" i="4" s="1"/>
  <c r="AN146" i="4"/>
  <c r="AT141" i="4"/>
  <c r="AU141" i="4" s="1"/>
  <c r="BB141" i="4"/>
  <c r="BC141" i="4" s="1"/>
  <c r="DJ141" i="4" s="1"/>
  <c r="BJ141" i="4"/>
  <c r="DQ142" i="4"/>
  <c r="BL146" i="4"/>
  <c r="BM148" i="4" s="1"/>
  <c r="R152" i="4"/>
  <c r="Q160" i="4"/>
  <c r="L166" i="4"/>
  <c r="DG168" i="4"/>
  <c r="CL18" i="4"/>
  <c r="CL103" i="32" s="1"/>
  <c r="CP130" i="4"/>
  <c r="CP184" i="4" s="1"/>
  <c r="AW24" i="4"/>
  <c r="AV85" i="4"/>
  <c r="AV102" i="4" s="1"/>
  <c r="AG162" i="4"/>
  <c r="AF166" i="4"/>
  <c r="AU168" i="4"/>
  <c r="DH168" i="4" s="1"/>
  <c r="Z134" i="4"/>
  <c r="DI72" i="4"/>
  <c r="DI73" i="4" s="1"/>
  <c r="AY73" i="4"/>
  <c r="BG134" i="4"/>
  <c r="DK134" i="4" s="1"/>
  <c r="BZ133" i="4"/>
  <c r="CA133" i="4" s="1"/>
  <c r="BB130" i="4"/>
  <c r="BB184" i="4" s="1"/>
  <c r="CD133" i="4"/>
  <c r="CE133" i="4" s="1"/>
  <c r="BJ143" i="4"/>
  <c r="BK143" i="4" s="1"/>
  <c r="DL143" i="4" s="1"/>
  <c r="CD144" i="4"/>
  <c r="AI18" i="4"/>
  <c r="AI103" i="32" s="1"/>
  <c r="T18" i="4"/>
  <c r="T58" i="4" s="1"/>
  <c r="AQ18" i="4"/>
  <c r="AQ103" i="32" s="1"/>
  <c r="L18" i="4"/>
  <c r="L58" i="4" s="1"/>
  <c r="AY18" i="4"/>
  <c r="AY103" i="32" s="1"/>
  <c r="AX85" i="4"/>
  <c r="DO82" i="4"/>
  <c r="DO120" i="4" s="1"/>
  <c r="BW85" i="4"/>
  <c r="BW102" i="4" s="1"/>
  <c r="DA102" i="4"/>
  <c r="BG131" i="4"/>
  <c r="DK131" i="4" s="1"/>
  <c r="CL131" i="4"/>
  <c r="CM131" i="4" s="1"/>
  <c r="BF136" i="4"/>
  <c r="CD136" i="4"/>
  <c r="CE136" i="4" s="1"/>
  <c r="BB144" i="4"/>
  <c r="BJ144" i="4"/>
  <c r="BZ141" i="4"/>
  <c r="CH141" i="4"/>
  <c r="CI141" i="4" s="1"/>
  <c r="CC145" i="4"/>
  <c r="CD145" i="4" s="1"/>
  <c r="CE145" i="4" s="1"/>
  <c r="CB146" i="4"/>
  <c r="AO182" i="4"/>
  <c r="AO160" i="4"/>
  <c r="BI182" i="4"/>
  <c r="BI160" i="4"/>
  <c r="AL162" i="4"/>
  <c r="AK166" i="4"/>
  <c r="BX166" i="4"/>
  <c r="DS77" i="4"/>
  <c r="DS80" i="4" s="1"/>
  <c r="CM80" i="4"/>
  <c r="DO152" i="4"/>
  <c r="S18" i="4"/>
  <c r="S19" i="4" s="1"/>
  <c r="AU153" i="4"/>
  <c r="DH153" i="4" s="1"/>
  <c r="BY162" i="4"/>
  <c r="DH12" i="4"/>
  <c r="DH13" i="4" s="1"/>
  <c r="AZ18" i="4"/>
  <c r="BD85" i="4"/>
  <c r="BD102" i="4" s="1"/>
  <c r="BD104" i="4" s="1"/>
  <c r="CW150" i="4"/>
  <c r="AY131" i="4"/>
  <c r="DI131" i="4" s="1"/>
  <c r="DK138" i="4"/>
  <c r="DI133" i="4"/>
  <c r="BF130" i="4"/>
  <c r="BF184" i="4" s="1"/>
  <c r="BY139" i="4"/>
  <c r="CD130" i="4"/>
  <c r="CD184" i="4" s="1"/>
  <c r="AP141" i="4"/>
  <c r="AX141" i="4"/>
  <c r="AY141" i="4" s="1"/>
  <c r="DI141" i="4" s="1"/>
  <c r="BF141" i="4"/>
  <c r="BO144" i="4"/>
  <c r="AW145" i="4"/>
  <c r="AX145" i="4" s="1"/>
  <c r="AV146" i="4"/>
  <c r="CG145" i="4"/>
  <c r="CH145" i="4" s="1"/>
  <c r="CF146" i="4"/>
  <c r="BM182" i="4"/>
  <c r="BM160" i="4"/>
  <c r="BO154" i="4"/>
  <c r="DM154" i="4" s="1"/>
  <c r="U166" i="4"/>
  <c r="CB166" i="4"/>
  <c r="DT98" i="4"/>
  <c r="CP152" i="4"/>
  <c r="CP182" i="4" s="1"/>
  <c r="CO160" i="4"/>
  <c r="AR73" i="4"/>
  <c r="BR85" i="4"/>
  <c r="CX102" i="4"/>
  <c r="CX104" i="4" s="1"/>
  <c r="BB142" i="4"/>
  <c r="BC142" i="4" s="1"/>
  <c r="DJ142" i="4" s="1"/>
  <c r="BE162" i="4"/>
  <c r="BF162" i="4" s="1"/>
  <c r="BD166" i="4"/>
  <c r="DN82" i="4"/>
  <c r="DN120" i="4" s="1"/>
  <c r="BS85" i="4"/>
  <c r="DO162" i="4"/>
  <c r="BW166" i="4"/>
  <c r="BW24" i="4"/>
  <c r="CH164" i="4"/>
  <c r="CI164" i="4" s="1"/>
  <c r="DR164" i="4" s="1"/>
  <c r="DL163" i="4"/>
  <c r="BP18" i="4"/>
  <c r="BP103" i="32" s="1"/>
  <c r="DT71" i="4"/>
  <c r="DV71" i="4" s="1"/>
  <c r="DW71" i="4" s="1"/>
  <c r="DX71" i="4" s="1"/>
  <c r="DY71" i="4" s="1"/>
  <c r="DZ71" i="4" s="1"/>
  <c r="BR79" i="4"/>
  <c r="BE85" i="4"/>
  <c r="BE102" i="4" s="1"/>
  <c r="BE104" i="4" s="1"/>
  <c r="AX100" i="4"/>
  <c r="AX121" i="4" s="1"/>
  <c r="BJ131" i="4"/>
  <c r="BK131" i="4" s="1"/>
  <c r="DL131" i="4" s="1"/>
  <c r="DL136" i="4"/>
  <c r="CC139" i="4"/>
  <c r="CD139" i="4" s="1"/>
  <c r="CH131" i="4"/>
  <c r="CI131" i="4" s="1"/>
  <c r="AP142" i="4"/>
  <c r="AQ142" i="4" s="1"/>
  <c r="DG142" i="4" s="1"/>
  <c r="AX142" i="4"/>
  <c r="AY142" i="4" s="1"/>
  <c r="CH143" i="4"/>
  <c r="CI143" i="4" s="1"/>
  <c r="DR143" i="4" s="1"/>
  <c r="AC146" i="4"/>
  <c r="AZ146" i="4"/>
  <c r="BQ182" i="4"/>
  <c r="BQ160" i="4"/>
  <c r="CG160" i="4"/>
  <c r="AO162" i="4"/>
  <c r="AO166" i="4" s="1"/>
  <c r="AN166" i="4"/>
  <c r="BP166" i="4"/>
  <c r="CG162" i="4"/>
  <c r="CG166" i="4" s="1"/>
  <c r="CF166" i="4"/>
  <c r="DS89" i="4"/>
  <c r="DS90" i="4" s="1"/>
  <c r="CM90" i="4"/>
  <c r="CM102" i="4" s="1"/>
  <c r="DT99" i="4"/>
  <c r="CP156" i="4"/>
  <c r="DT156" i="4" s="1"/>
  <c r="AA141" i="4"/>
  <c r="Z146" i="4"/>
  <c r="DT82" i="4"/>
  <c r="DG79" i="4"/>
  <c r="DG80" i="4" s="1"/>
  <c r="DG104" i="4" s="1"/>
  <c r="AQ80" i="4"/>
  <c r="AQ104" i="4" s="1"/>
  <c r="DB89" i="4"/>
  <c r="DB90" i="4" s="1"/>
  <c r="DB102" i="4" s="1"/>
  <c r="W90" i="4"/>
  <c r="W102" i="4" s="1"/>
  <c r="BB136" i="4"/>
  <c r="BC136" i="4" s="1"/>
  <c r="DJ136" i="4" s="1"/>
  <c r="CK139" i="4"/>
  <c r="CL139" i="4" s="1"/>
  <c r="CM139" i="4" s="1"/>
  <c r="CZ102" i="4"/>
  <c r="CZ104" i="4" s="1"/>
  <c r="BX146" i="4"/>
  <c r="BX150" i="4" s="1"/>
  <c r="AN80" i="4"/>
  <c r="AJ104" i="4"/>
  <c r="BF85" i="4"/>
  <c r="BF102" i="4" s="1"/>
  <c r="BF104" i="4" s="1"/>
  <c r="BF133" i="4"/>
  <c r="BG133" i="4" s="1"/>
  <c r="BR89" i="4"/>
  <c r="BR90" i="4" s="1"/>
  <c r="BJ133" i="4"/>
  <c r="BK133" i="4" s="1"/>
  <c r="BO143" i="4"/>
  <c r="DM143" i="4" s="1"/>
  <c r="AW85" i="4"/>
  <c r="BB132" i="4"/>
  <c r="BC132" i="4" s="1"/>
  <c r="DJ132" i="4" s="1"/>
  <c r="BZ136" i="4"/>
  <c r="CA136" i="4" s="1"/>
  <c r="DP136" i="4" s="1"/>
  <c r="BO141" i="4"/>
  <c r="DM141" i="4" s="1"/>
  <c r="BB143" i="4"/>
  <c r="BC143" i="4" s="1"/>
  <c r="BI162" i="4"/>
  <c r="BH166" i="4"/>
  <c r="BW185" i="4"/>
  <c r="BW160" i="4"/>
  <c r="BS142" i="4"/>
  <c r="DN142" i="4" s="1"/>
  <c r="BC18" i="4"/>
  <c r="BC103" i="32" s="1"/>
  <c r="BH18" i="4"/>
  <c r="BH103" i="32" s="1"/>
  <c r="BZ130" i="4"/>
  <c r="BZ184" i="4" s="1"/>
  <c r="BR152" i="4"/>
  <c r="BR160" i="4" s="1"/>
  <c r="AA18" i="4"/>
  <c r="AA19" i="4" s="1"/>
  <c r="K18" i="4"/>
  <c r="K19" i="4" s="1"/>
  <c r="DA66" i="4"/>
  <c r="DA122" i="4" s="1"/>
  <c r="S73" i="4"/>
  <c r="S80" i="4" s="1"/>
  <c r="S104" i="4" s="1"/>
  <c r="DR71" i="4"/>
  <c r="DR73" i="4" s="1"/>
  <c r="DR80" i="4" s="1"/>
  <c r="CI73" i="4"/>
  <c r="CI80" i="4" s="1"/>
  <c r="CI104" i="4" s="1"/>
  <c r="DF79" i="4"/>
  <c r="DF80" i="4" s="1"/>
  <c r="DF104" i="4" s="1"/>
  <c r="AM80" i="4"/>
  <c r="AM104" i="4" s="1"/>
  <c r="DK82" i="4"/>
  <c r="DK120" i="4" s="1"/>
  <c r="BG85" i="4"/>
  <c r="BG102" i="4" s="1"/>
  <c r="BG104" i="4" s="1"/>
  <c r="BJ102" i="4"/>
  <c r="BJ104" i="4" s="1"/>
  <c r="AT132" i="4"/>
  <c r="AU132" i="4" s="1"/>
  <c r="CH133" i="4"/>
  <c r="CI133" i="4" s="1"/>
  <c r="AP145" i="4"/>
  <c r="AQ145" i="4" s="1"/>
  <c r="BF144" i="4"/>
  <c r="DO141" i="4"/>
  <c r="BW146" i="4"/>
  <c r="CD141" i="4"/>
  <c r="Y146" i="4"/>
  <c r="AL141" i="4"/>
  <c r="AL146" i="4" s="1"/>
  <c r="AK146" i="4"/>
  <c r="BI145" i="4"/>
  <c r="BJ145" i="4" s="1"/>
  <c r="BH146" i="4"/>
  <c r="BY160" i="4"/>
  <c r="CN166" i="4"/>
  <c r="DT88" i="4"/>
  <c r="DV88" i="4" s="1"/>
  <c r="DW88" i="4" s="1"/>
  <c r="DX88" i="4" s="1"/>
  <c r="DY88" i="4" s="1"/>
  <c r="DZ88" i="4" s="1"/>
  <c r="DT89" i="4"/>
  <c r="DT76" i="4"/>
  <c r="DV76" i="4" s="1"/>
  <c r="DW76" i="4" s="1"/>
  <c r="DX76" i="4" s="1"/>
  <c r="DY76" i="4" s="1"/>
  <c r="DZ76" i="4" s="1"/>
  <c r="DT77" i="4"/>
  <c r="DV77" i="4" s="1"/>
  <c r="DW77" i="4" s="1"/>
  <c r="DX77" i="4" s="1"/>
  <c r="DY77" i="4" s="1"/>
  <c r="DZ77" i="4" s="1"/>
  <c r="DT70" i="4"/>
  <c r="DL67" i="4"/>
  <c r="DT87" i="4"/>
  <c r="AE163" i="4"/>
  <c r="AD157" i="4"/>
  <c r="AC160" i="4"/>
  <c r="DO133" i="4"/>
  <c r="CJ185" i="4"/>
  <c r="DS132" i="4"/>
  <c r="CN100" i="4"/>
  <c r="CN121" i="4" s="1"/>
  <c r="CK102" i="4"/>
  <c r="CG100" i="4"/>
  <c r="CG121" i="4" s="1"/>
  <c r="CF100" i="4"/>
  <c r="CF121" i="4" s="1"/>
  <c r="BM95" i="4"/>
  <c r="DH97" i="4"/>
  <c r="AW100" i="4" s="1"/>
  <c r="AW121" i="4" s="1"/>
  <c r="AN239" i="4"/>
  <c r="CJ89" i="4"/>
  <c r="CJ90" i="4" s="1"/>
  <c r="BM88" i="4"/>
  <c r="BL90" i="4"/>
  <c r="BM76" i="4"/>
  <c r="BN76" i="4" s="1"/>
  <c r="DN78" i="4"/>
  <c r="CF73" i="4"/>
  <c r="CF80" i="4" s="1"/>
  <c r="DN70" i="4"/>
  <c r="DO70" i="4" s="1"/>
  <c r="BB18" i="4"/>
  <c r="BB103" i="32" s="1"/>
  <c r="AM18" i="4"/>
  <c r="AM103" i="32" s="1"/>
  <c r="BN185" i="4"/>
  <c r="AE18" i="4"/>
  <c r="AE19" i="4" s="1"/>
  <c r="H42" i="27"/>
  <c r="BM185" i="4"/>
  <c r="O13" i="4"/>
  <c r="DD239" i="4"/>
  <c r="AT18" i="4"/>
  <c r="AT103" i="32" s="1"/>
  <c r="BI185" i="4"/>
  <c r="AP152" i="4"/>
  <c r="AQ152" i="4" s="1"/>
  <c r="BJ18" i="4"/>
  <c r="BJ103" i="32" s="1"/>
  <c r="AU18" i="4"/>
  <c r="AU103" i="32" s="1"/>
  <c r="CN13" i="4"/>
  <c r="DR156" i="4"/>
  <c r="BK18" i="4"/>
  <c r="BK103" i="32" s="1"/>
  <c r="G18" i="4"/>
  <c r="G58" i="4" s="1"/>
  <c r="AA155" i="4"/>
  <c r="CB239" i="4"/>
  <c r="CO18" i="4"/>
  <c r="CO103" i="32" s="1"/>
  <c r="AQ165" i="4"/>
  <c r="AL18" i="4"/>
  <c r="AL103" i="32" s="1"/>
  <c r="BS18" i="4"/>
  <c r="BS103" i="32" s="1"/>
  <c r="BR18" i="4"/>
  <c r="BR103" i="32" s="1"/>
  <c r="CE18" i="4"/>
  <c r="CE103" i="32" s="1"/>
  <c r="AX130" i="4"/>
  <c r="AX184" i="4" s="1"/>
  <c r="BZ168" i="4"/>
  <c r="CA168" i="4" s="1"/>
  <c r="DP168" i="4" s="1"/>
  <c r="DN24" i="4"/>
  <c r="BP24" i="4"/>
  <c r="BZ142" i="4"/>
  <c r="CA142" i="4" s="1"/>
  <c r="CG238" i="4"/>
  <c r="CI165" i="4"/>
  <c r="DR165" i="4" s="1"/>
  <c r="DR238" i="4" s="1"/>
  <c r="CD168" i="4"/>
  <c r="CE168" i="4" s="1"/>
  <c r="DQ168" i="4" s="1"/>
  <c r="D13" i="4"/>
  <c r="D18" i="4"/>
  <c r="D58" i="4" s="1"/>
  <c r="BF142" i="4"/>
  <c r="BG142" i="4" s="1"/>
  <c r="H13" i="4"/>
  <c r="H18" i="4"/>
  <c r="H58" i="4" s="1"/>
  <c r="AF13" i="4"/>
  <c r="AF18" i="4"/>
  <c r="AF19" i="4" s="1"/>
  <c r="CF13" i="4"/>
  <c r="CF18" i="4"/>
  <c r="CF103" i="32" s="1"/>
  <c r="DQ239" i="4"/>
  <c r="BF143" i="4"/>
  <c r="BG143" i="4" s="1"/>
  <c r="DK143" i="4" s="1"/>
  <c r="CK164" i="4"/>
  <c r="CL164" i="4" s="1"/>
  <c r="Q13" i="4"/>
  <c r="Q18" i="4"/>
  <c r="Q19" i="4" s="1"/>
  <c r="AO13" i="4"/>
  <c r="AO18" i="4"/>
  <c r="AO103" i="32" s="1"/>
  <c r="DR10" i="4"/>
  <c r="C41" i="30" s="1"/>
  <c r="CP239" i="4"/>
  <c r="CL24" i="4"/>
  <c r="CK162" i="4"/>
  <c r="P18" i="4"/>
  <c r="P58" i="4" s="1"/>
  <c r="P60" i="4" s="1"/>
  <c r="AO130" i="4"/>
  <c r="AO184" i="4" s="1"/>
  <c r="AN185" i="4"/>
  <c r="AC162" i="4"/>
  <c r="AW162" i="4"/>
  <c r="AW166" i="4" s="1"/>
  <c r="CP165" i="4"/>
  <c r="CP238" i="4" s="1"/>
  <c r="CO238" i="4"/>
  <c r="AR99" i="4"/>
  <c r="AS99" i="4" s="1"/>
  <c r="AT99" i="4" s="1"/>
  <c r="AU99" i="4" s="1"/>
  <c r="DH99" i="4" s="1"/>
  <c r="DG239" i="4"/>
  <c r="CK238" i="4"/>
  <c r="CL165" i="4"/>
  <c r="CL238" i="4" s="1"/>
  <c r="BL18" i="4"/>
  <c r="BL103" i="32" s="1"/>
  <c r="AP24" i="4"/>
  <c r="CM163" i="4"/>
  <c r="DS163" i="4" s="1"/>
  <c r="AU136" i="4"/>
  <c r="DH136" i="4" s="1"/>
  <c r="AX152" i="4"/>
  <c r="AY152" i="4" s="1"/>
  <c r="AW182" i="4"/>
  <c r="M162" i="4"/>
  <c r="M166" i="4" s="1"/>
  <c r="CE153" i="4"/>
  <c r="DQ153" i="4" s="1"/>
  <c r="DP11" i="4"/>
  <c r="DP115" i="4" s="1"/>
  <c r="AT165" i="4"/>
  <c r="BD18" i="4"/>
  <c r="BD103" i="32" s="1"/>
  <c r="X18" i="4"/>
  <c r="X58" i="4" s="1"/>
  <c r="AV18" i="4"/>
  <c r="AV103" i="32" s="1"/>
  <c r="AJ171" i="4"/>
  <c r="DF171" i="4" s="1"/>
  <c r="AG24" i="4"/>
  <c r="AS130" i="4"/>
  <c r="AS184" i="4" s="1"/>
  <c r="AT135" i="4"/>
  <c r="DH135" i="4" s="1"/>
  <c r="BY145" i="4"/>
  <c r="BY146" i="4" s="1"/>
  <c r="BA182" i="4"/>
  <c r="BC152" i="4"/>
  <c r="BA185" i="4"/>
  <c r="CO162" i="4"/>
  <c r="CO166" i="4" s="1"/>
  <c r="J18" i="4"/>
  <c r="J58" i="4" s="1"/>
  <c r="CN239" i="4"/>
  <c r="CJ24" i="4"/>
  <c r="BD24" i="4"/>
  <c r="BQ185" i="4"/>
  <c r="CI18" i="4"/>
  <c r="CI19" i="4" s="1"/>
  <c r="AP18" i="4"/>
  <c r="AP103" i="32" s="1"/>
  <c r="DE10" i="4"/>
  <c r="BH239" i="4"/>
  <c r="DI163" i="4"/>
  <c r="CO239" i="4"/>
  <c r="BZ18" i="4"/>
  <c r="BZ103" i="32" s="1"/>
  <c r="BN18" i="4"/>
  <c r="BN103" i="32" s="1"/>
  <c r="R18" i="4"/>
  <c r="R58" i="4" s="1"/>
  <c r="AX18" i="4"/>
  <c r="AX103" i="32" s="1"/>
  <c r="DP155" i="4"/>
  <c r="DJ100" i="4"/>
  <c r="DJ125" i="4" s="1"/>
  <c r="AO24" i="4"/>
  <c r="BK24" i="4"/>
  <c r="CJ144" i="4"/>
  <c r="I13" i="4"/>
  <c r="I18" i="4"/>
  <c r="I19" i="4" s="1"/>
  <c r="CG18" i="4"/>
  <c r="CG103" i="32" s="1"/>
  <c r="S155" i="4"/>
  <c r="BA145" i="4"/>
  <c r="AT79" i="4"/>
  <c r="DH10" i="4"/>
  <c r="DF10" i="4"/>
  <c r="AW18" i="4"/>
  <c r="AW103" i="32" s="1"/>
  <c r="CC24" i="4"/>
  <c r="CK24" i="4"/>
  <c r="DC239" i="4"/>
  <c r="AC24" i="4"/>
  <c r="BZ143" i="4"/>
  <c r="CC185" i="4"/>
  <c r="CD152" i="4"/>
  <c r="CD160" i="4" s="1"/>
  <c r="CC182" i="4"/>
  <c r="CL152" i="4"/>
  <c r="CK182" i="4"/>
  <c r="CO24" i="4"/>
  <c r="CO182" i="4"/>
  <c r="CO185" i="4"/>
  <c r="AG18" i="4"/>
  <c r="AG103" i="32" s="1"/>
  <c r="BD239" i="4"/>
  <c r="AO79" i="4"/>
  <c r="AO80" i="4" s="1"/>
  <c r="AO104" i="4" s="1"/>
  <c r="AP76" i="4"/>
  <c r="AK24" i="4"/>
  <c r="CL133" i="4"/>
  <c r="BY18" i="4"/>
  <c r="BY103" i="32" s="1"/>
  <c r="BY13" i="4"/>
  <c r="Y13" i="4"/>
  <c r="Y18" i="4"/>
  <c r="Y58" i="4" s="1"/>
  <c r="BE13" i="4"/>
  <c r="BE18" i="4"/>
  <c r="BE103" i="32" s="1"/>
  <c r="CZ12" i="4"/>
  <c r="CZ13" i="4" s="1"/>
  <c r="CZ10" i="4"/>
  <c r="BE165" i="4"/>
  <c r="BF165" i="4" s="1"/>
  <c r="BG165" i="4" s="1"/>
  <c r="DR168" i="4"/>
  <c r="BN163" i="4"/>
  <c r="BO163" i="4" s="1"/>
  <c r="DM163" i="4" s="1"/>
  <c r="BN145" i="4"/>
  <c r="N152" i="4"/>
  <c r="DB5" i="4"/>
  <c r="DD5" i="4"/>
  <c r="F13" i="4"/>
  <c r="F18" i="4"/>
  <c r="F25" i="4" s="1"/>
  <c r="N13" i="4"/>
  <c r="N18" i="4"/>
  <c r="N58" i="4" s="1"/>
  <c r="AD13" i="4"/>
  <c r="AD18" i="4"/>
  <c r="AD19" i="4" s="1"/>
  <c r="AH141" i="4"/>
  <c r="AH146" i="4" s="1"/>
  <c r="AE24" i="4"/>
  <c r="BM18" i="4"/>
  <c r="BM103" i="32" s="1"/>
  <c r="AT144" i="4"/>
  <c r="DM5" i="4"/>
  <c r="AA164" i="4"/>
  <c r="BS141" i="4"/>
  <c r="DN141" i="4" s="1"/>
  <c r="CI155" i="4"/>
  <c r="DR155" i="4" s="1"/>
  <c r="CX16" i="4"/>
  <c r="DK10" i="4"/>
  <c r="AB239" i="4"/>
  <c r="BK168" i="4"/>
  <c r="DL168" i="4" s="1"/>
  <c r="CD18" i="4"/>
  <c r="CD103" i="32" s="1"/>
  <c r="DQ12" i="4"/>
  <c r="DQ13" i="4" s="1"/>
  <c r="BK72" i="4"/>
  <c r="DL72" i="4" s="1"/>
  <c r="BZ152" i="4"/>
  <c r="BY185" i="4"/>
  <c r="BY182" i="4"/>
  <c r="BM162" i="4"/>
  <c r="AT88" i="4"/>
  <c r="AS89" i="4"/>
  <c r="AS90" i="4" s="1"/>
  <c r="AS102" i="4" s="1"/>
  <c r="AX132" i="4"/>
  <c r="AY132" i="4" s="1"/>
  <c r="Y185" i="4"/>
  <c r="Z130" i="4"/>
  <c r="Z184" i="4" s="1"/>
  <c r="BQ143" i="4"/>
  <c r="BA159" i="4"/>
  <c r="BA160" i="4" s="1"/>
  <c r="DS17" i="4"/>
  <c r="CJ18" i="4"/>
  <c r="CJ103" i="32" s="1"/>
  <c r="BX9" i="4"/>
  <c r="DL10" i="4"/>
  <c r="CM24" i="4"/>
  <c r="DB12" i="4"/>
  <c r="DB13" i="4" s="1"/>
  <c r="DB10" i="4"/>
  <c r="AZ239" i="4"/>
  <c r="DJ239" i="4"/>
  <c r="BJ239" i="4"/>
  <c r="BK239" i="4"/>
  <c r="DF239" i="4"/>
  <c r="DE239" i="4"/>
  <c r="AJ239" i="4"/>
  <c r="BA24" i="4"/>
  <c r="BF152" i="4"/>
  <c r="BG152" i="4" s="1"/>
  <c r="BE185" i="4"/>
  <c r="BQ163" i="4"/>
  <c r="BR163" i="4" s="1"/>
  <c r="BS163" i="4" s="1"/>
  <c r="DN163" i="4" s="1"/>
  <c r="CD164" i="4"/>
  <c r="CE164" i="4" s="1"/>
  <c r="DQ164" i="4" s="1"/>
  <c r="AE153" i="4"/>
  <c r="Y162" i="4"/>
  <c r="Y166" i="4" s="1"/>
  <c r="BF132" i="4"/>
  <c r="BO142" i="4"/>
  <c r="DM142" i="4" s="1"/>
  <c r="CG182" i="4"/>
  <c r="CH152" i="4"/>
  <c r="CI152" i="4" s="1"/>
  <c r="CI182" i="4" s="1"/>
  <c r="BG153" i="4"/>
  <c r="DK153" i="4" s="1"/>
  <c r="CH100" i="4"/>
  <c r="CH121" i="4" s="1"/>
  <c r="DT143" i="4"/>
  <c r="DR154" i="4"/>
  <c r="BI165" i="4"/>
  <c r="DP100" i="4"/>
  <c r="BM77" i="4"/>
  <c r="BN77" i="4" s="1"/>
  <c r="BO77" i="4" s="1"/>
  <c r="DM77" i="4" s="1"/>
  <c r="BL79" i="4"/>
  <c r="BL80" i="4" s="1"/>
  <c r="BX88" i="4"/>
  <c r="Z24" i="4"/>
  <c r="AL163" i="4"/>
  <c r="BE163" i="4"/>
  <c r="AH165" i="4"/>
  <c r="DO165" i="4"/>
  <c r="CP164" i="4"/>
  <c r="BO152" i="4"/>
  <c r="BN182" i="4"/>
  <c r="DD12" i="4"/>
  <c r="DP32" i="4"/>
  <c r="BS132" i="4"/>
  <c r="CH130" i="4"/>
  <c r="CH184" i="4" s="1"/>
  <c r="CG185" i="4"/>
  <c r="BJ142" i="4"/>
  <c r="BK142" i="4" s="1"/>
  <c r="AK182" i="4"/>
  <c r="AL152" i="4"/>
  <c r="BG154" i="4"/>
  <c r="DK154" i="4" s="1"/>
  <c r="BV9" i="4"/>
  <c r="AA132" i="4"/>
  <c r="Z152" i="4"/>
  <c r="Z160" i="4" s="1"/>
  <c r="Y182" i="4"/>
  <c r="AD182" i="4"/>
  <c r="AE152" i="4"/>
  <c r="Q162" i="4"/>
  <c r="Q166" i="4" s="1"/>
  <c r="Z163" i="4"/>
  <c r="AA163" i="4" s="1"/>
  <c r="BF164" i="4"/>
  <c r="BG164" i="4" s="1"/>
  <c r="AX165" i="4"/>
  <c r="CC238" i="4"/>
  <c r="CD165" i="4"/>
  <c r="AT24" i="4"/>
  <c r="AX143" i="4"/>
  <c r="BS165" i="4"/>
  <c r="CD132" i="4"/>
  <c r="CE132" i="4" s="1"/>
  <c r="AX144" i="4"/>
  <c r="AT152" i="4"/>
  <c r="AS182" i="4"/>
  <c r="CM154" i="4"/>
  <c r="CN24" i="4"/>
  <c r="DS100" i="4"/>
  <c r="DJ12" i="4"/>
  <c r="DJ18" i="4" s="1"/>
  <c r="AS155" i="4"/>
  <c r="AT155" i="4" s="1"/>
  <c r="BZ163" i="4"/>
  <c r="CA163" i="4" s="1"/>
  <c r="BG168" i="4"/>
  <c r="DK168" i="4" s="1"/>
  <c r="DQ5" i="4"/>
  <c r="DI100" i="4"/>
  <c r="DI125" i="4" s="1"/>
  <c r="DQ100" i="4"/>
  <c r="DQ125" i="4" s="1"/>
  <c r="X239" i="4"/>
  <c r="BY24" i="4"/>
  <c r="Z168" i="4"/>
  <c r="AA168" i="4" s="1"/>
  <c r="DN10" i="4"/>
  <c r="BA162" i="4"/>
  <c r="CF239" i="4"/>
  <c r="CY38" i="4"/>
  <c r="CY36" i="4" s="1"/>
  <c r="DA38" i="4"/>
  <c r="DA36" i="4" s="1"/>
  <c r="DG148" i="4"/>
  <c r="DN5" i="4"/>
  <c r="CP24" i="4"/>
  <c r="DA10" i="4"/>
  <c r="BL24" i="4"/>
  <c r="CX5" i="4"/>
  <c r="DH5" i="4"/>
  <c r="DT5" i="4"/>
  <c r="DE5" i="4"/>
  <c r="DG5" i="4"/>
  <c r="DI5" i="4"/>
  <c r="CY5" i="4"/>
  <c r="DA5" i="4"/>
  <c r="DC5" i="4"/>
  <c r="DK5" i="4"/>
  <c r="DO5" i="4"/>
  <c r="DS5" i="4"/>
  <c r="DD16" i="4"/>
  <c r="DL16" i="4"/>
  <c r="DP156" i="4"/>
  <c r="AP138" i="4"/>
  <c r="BM24" i="4"/>
  <c r="AD134" i="4"/>
  <c r="BB133" i="4"/>
  <c r="BC138" i="4"/>
  <c r="AL133" i="4"/>
  <c r="BE145" i="4"/>
  <c r="AG182" i="4"/>
  <c r="AG185" i="4"/>
  <c r="AH152" i="4"/>
  <c r="AH160" i="4" s="1"/>
  <c r="DN153" i="4"/>
  <c r="CH132" i="4"/>
  <c r="CJ95" i="4"/>
  <c r="CJ96" i="4" s="1"/>
  <c r="DR100" i="4"/>
  <c r="DR125" i="4" s="1"/>
  <c r="DS239" i="4"/>
  <c r="DR239" i="4"/>
  <c r="CH139" i="4"/>
  <c r="AE154" i="4"/>
  <c r="CK73" i="4"/>
  <c r="CK80" i="4" s="1"/>
  <c r="AT94" i="4"/>
  <c r="CG24" i="4"/>
  <c r="AK185" i="4"/>
  <c r="AL130" i="4"/>
  <c r="AL184" i="4" s="1"/>
  <c r="CC162" i="4"/>
  <c r="Z165" i="4"/>
  <c r="DS15" i="4"/>
  <c r="CK16" i="4"/>
  <c r="CK18" i="4"/>
  <c r="CK103" i="32" s="1"/>
  <c r="DQ27" i="4"/>
  <c r="DP38" i="4"/>
  <c r="BX240" i="4"/>
  <c r="BT10" i="4"/>
  <c r="BT12" i="4"/>
  <c r="BT16" i="4"/>
  <c r="BT182" i="4"/>
  <c r="BX94" i="4"/>
  <c r="DP239" i="4"/>
  <c r="AQ24" i="4"/>
  <c r="BZ132" i="4"/>
  <c r="BF155" i="4"/>
  <c r="DC170" i="4"/>
  <c r="DC172" i="4" s="1"/>
  <c r="DC174" i="4" s="1"/>
  <c r="O25" i="4"/>
  <c r="O19" i="4"/>
  <c r="O58" i="4"/>
  <c r="BC163" i="4"/>
  <c r="DM12" i="4"/>
  <c r="DM16" i="4"/>
  <c r="DM10" i="4"/>
  <c r="AP157" i="4"/>
  <c r="AQ157" i="4" s="1"/>
  <c r="DG157" i="4" s="1"/>
  <c r="DT153" i="4"/>
  <c r="AE165" i="4"/>
  <c r="BX79" i="4"/>
  <c r="AO239" i="4"/>
  <c r="AO96" i="4"/>
  <c r="AP99" i="4"/>
  <c r="DL239" i="4"/>
  <c r="DK239" i="4"/>
  <c r="DK100" i="4"/>
  <c r="BP239" i="4"/>
  <c r="DN239" i="4"/>
  <c r="DM239" i="4"/>
  <c r="BT239" i="4"/>
  <c r="DO239" i="4"/>
  <c r="AQ163" i="4"/>
  <c r="DG163" i="4" s="1"/>
  <c r="BJ164" i="4"/>
  <c r="CK141" i="4"/>
  <c r="BN100" i="4"/>
  <c r="BN121" i="4" s="1"/>
  <c r="DL100" i="4"/>
  <c r="DL125" i="4" s="1"/>
  <c r="AX136" i="4"/>
  <c r="AY136" i="4" s="1"/>
  <c r="BB182" i="4"/>
  <c r="CF24" i="4"/>
  <c r="BJ132" i="4"/>
  <c r="BS138" i="4"/>
  <c r="AS145" i="4"/>
  <c r="AT142" i="4"/>
  <c r="BB168" i="4"/>
  <c r="BC168" i="4" s="1"/>
  <c r="DD10" i="4"/>
  <c r="CK142" i="4"/>
  <c r="CL142" i="4" s="1"/>
  <c r="BS136" i="4"/>
  <c r="DN136" i="4" s="1"/>
  <c r="DR163" i="4"/>
  <c r="DO17" i="4"/>
  <c r="BW18" i="4"/>
  <c r="BW103" i="32" s="1"/>
  <c r="DQ23" i="4"/>
  <c r="DQ24" i="4" s="1"/>
  <c r="CB24" i="4"/>
  <c r="DS23" i="4"/>
  <c r="DS24" i="4" s="1"/>
  <c r="AT133" i="4"/>
  <c r="AX138" i="4"/>
  <c r="AT143" i="4"/>
  <c r="AU143" i="4" s="1"/>
  <c r="AD144" i="4"/>
  <c r="AD146" i="4" s="1"/>
  <c r="CA164" i="4"/>
  <c r="DP164" i="4" s="1"/>
  <c r="S165" i="4"/>
  <c r="BY10" i="4"/>
  <c r="BU10" i="4"/>
  <c r="BU12" i="4"/>
  <c r="BU16" i="4"/>
  <c r="DT139" i="4"/>
  <c r="DI12" i="4"/>
  <c r="DI10" i="4"/>
  <c r="DJ10" i="4"/>
  <c r="DP17" i="4"/>
  <c r="CA18" i="4"/>
  <c r="CA103" i="32" s="1"/>
  <c r="AM24" i="4"/>
  <c r="BE182" i="4"/>
  <c r="N155" i="4"/>
  <c r="AW155" i="4"/>
  <c r="AW160" i="4" s="1"/>
  <c r="BQ162" i="4"/>
  <c r="DC12" i="4"/>
  <c r="DC10" i="4"/>
  <c r="AD24" i="4"/>
  <c r="AH24" i="4"/>
  <c r="BN138" i="4"/>
  <c r="BM131" i="4"/>
  <c r="CD143" i="4"/>
  <c r="BJ152" i="4"/>
  <c r="BJ160" i="4" s="1"/>
  <c r="CB18" i="4"/>
  <c r="CB103" i="32" s="1"/>
  <c r="DQ17" i="4"/>
  <c r="DR27" i="4"/>
  <c r="AP133" i="4"/>
  <c r="AQ133" i="4" s="1"/>
  <c r="DF12" i="4"/>
  <c r="DA24" i="4"/>
  <c r="DG12" i="4"/>
  <c r="DG16" i="4"/>
  <c r="DN12" i="4"/>
  <c r="CL155" i="4"/>
  <c r="CM155" i="4" s="1"/>
  <c r="CD163" i="4"/>
  <c r="CP13" i="4"/>
  <c r="DA12" i="4"/>
  <c r="AX239" i="4"/>
  <c r="AW239" i="4"/>
  <c r="AI24" i="4"/>
  <c r="BN132" i="4"/>
  <c r="BO132" i="4" s="1"/>
  <c r="Z148" i="4"/>
  <c r="Z13" i="4"/>
  <c r="Z18" i="4"/>
  <c r="BF13" i="4"/>
  <c r="BF18" i="4"/>
  <c r="BF103" i="32" s="1"/>
  <c r="AA143" i="4"/>
  <c r="AT148" i="4"/>
  <c r="AU148" i="4" s="1"/>
  <c r="AY164" i="4"/>
  <c r="CH12" i="4"/>
  <c r="CY12" i="4"/>
  <c r="CY16" i="4"/>
  <c r="DP23" i="4"/>
  <c r="DR23" i="4"/>
  <c r="DP27" i="4"/>
  <c r="CH142" i="4"/>
  <c r="CE155" i="4"/>
  <c r="DQ155" i="4" s="1"/>
  <c r="DH162" i="4"/>
  <c r="DO27" i="4"/>
  <c r="DE12" i="4"/>
  <c r="DE16" i="4"/>
  <c r="DQ15" i="4"/>
  <c r="DQ16" i="4" s="1"/>
  <c r="CD16" i="4"/>
  <c r="DR17" i="4"/>
  <c r="DB16" i="4"/>
  <c r="DJ16" i="4"/>
  <c r="DR15" i="4"/>
  <c r="DR16" i="4" s="1"/>
  <c r="CH16" i="4"/>
  <c r="AA159" i="4"/>
  <c r="BA164" i="4"/>
  <c r="AY168" i="4"/>
  <c r="DI168" i="4" s="1"/>
  <c r="DB24" i="4"/>
  <c r="BG159" i="4"/>
  <c r="DK159" i="4" s="1"/>
  <c r="BO168" i="4"/>
  <c r="DM168" i="4" s="1"/>
  <c r="CX38" i="4"/>
  <c r="CX36" i="4" s="1"/>
  <c r="CZ38" i="4"/>
  <c r="CZ36" i="4" s="1"/>
  <c r="DB38" i="4"/>
  <c r="DB36" i="4" s="1"/>
  <c r="CP163" i="4"/>
  <c r="DT163" i="4" s="1"/>
  <c r="DF16" i="4"/>
  <c r="DN16" i="4"/>
  <c r="CZ5" i="4"/>
  <c r="DF5" i="4"/>
  <c r="DJ5" i="4"/>
  <c r="DL5" i="4"/>
  <c r="DP5" i="4"/>
  <c r="DR5" i="4"/>
  <c r="CZ16" i="4"/>
  <c r="DQ38" i="4"/>
  <c r="DS38" i="4"/>
  <c r="DS39" i="4" s="1"/>
  <c r="DI24" i="4"/>
  <c r="DC24" i="4"/>
  <c r="DK24" i="4"/>
  <c r="DH16" i="4"/>
  <c r="DA16" i="4"/>
  <c r="DI16" i="4"/>
  <c r="DE24" i="4"/>
  <c r="CX12" i="4"/>
  <c r="DC16" i="4"/>
  <c r="DK16" i="4"/>
  <c r="DR38" i="4"/>
  <c r="CZ24" i="4"/>
  <c r="BZ111" i="4" l="1"/>
  <c r="BV111" i="4"/>
  <c r="BX110" i="4"/>
  <c r="BX111" i="4"/>
  <c r="CB111" i="4"/>
  <c r="T41" i="30"/>
  <c r="U41" i="30"/>
  <c r="T40" i="30"/>
  <c r="BV110" i="4"/>
  <c r="BX177" i="4"/>
  <c r="D13" i="29"/>
  <c r="F13" i="29" s="1"/>
  <c r="F14" i="27"/>
  <c r="F19" i="29"/>
  <c r="H25" i="28"/>
  <c r="I25" i="28" s="1"/>
  <c r="F47" i="28"/>
  <c r="G22" i="27"/>
  <c r="I22" i="27"/>
  <c r="I27" i="27"/>
  <c r="DS121" i="4"/>
  <c r="DS125" i="4"/>
  <c r="DK125" i="4"/>
  <c r="BS101" i="32"/>
  <c r="BS102" i="32" s="1"/>
  <c r="BS104" i="32"/>
  <c r="AT104" i="32"/>
  <c r="AT101" i="32"/>
  <c r="AT102" i="32" s="1"/>
  <c r="BB101" i="32"/>
  <c r="BB102" i="32" s="1"/>
  <c r="BB104" i="32"/>
  <c r="BH101" i="32"/>
  <c r="BH104" i="32"/>
  <c r="CN101" i="32"/>
  <c r="CN104" i="32"/>
  <c r="CP101" i="32"/>
  <c r="CP102" i="32" s="1"/>
  <c r="CP104" i="32"/>
  <c r="CD101" i="32"/>
  <c r="CD102" i="32" s="1"/>
  <c r="CD104" i="32"/>
  <c r="CG104" i="32"/>
  <c r="CG101" i="32"/>
  <c r="CG102" i="32" s="1"/>
  <c r="AX104" i="32"/>
  <c r="AX101" i="32"/>
  <c r="AX102" i="32" s="1"/>
  <c r="AP101" i="32"/>
  <c r="AP102" i="32" s="1"/>
  <c r="AP104" i="32"/>
  <c r="AV101" i="32"/>
  <c r="AV104" i="32"/>
  <c r="AL104" i="32"/>
  <c r="AL101" i="32"/>
  <c r="AL102" i="32" s="1"/>
  <c r="BC101" i="32"/>
  <c r="BC102" i="32" s="1"/>
  <c r="BC104" i="32"/>
  <c r="AH101" i="32"/>
  <c r="AH102" i="32" s="1"/>
  <c r="AH104" i="32"/>
  <c r="BY101" i="32"/>
  <c r="BY102" i="32" s="1"/>
  <c r="BY104" i="32"/>
  <c r="BK101" i="32"/>
  <c r="BK102" i="32" s="1"/>
  <c r="BK104" i="32"/>
  <c r="BP104" i="32"/>
  <c r="BP101" i="32"/>
  <c r="CJ104" i="32"/>
  <c r="CJ101" i="32"/>
  <c r="AY101" i="32"/>
  <c r="AY102" i="32" s="1"/>
  <c r="AY104" i="32"/>
  <c r="AR104" i="32"/>
  <c r="AR101" i="32"/>
  <c r="CK101" i="32"/>
  <c r="CK102" i="32" s="1"/>
  <c r="CK104" i="32"/>
  <c r="AW101" i="32"/>
  <c r="AW102" i="32" s="1"/>
  <c r="AW104" i="32"/>
  <c r="BN101" i="32"/>
  <c r="BN102" i="32" s="1"/>
  <c r="BN104" i="32"/>
  <c r="BD104" i="32"/>
  <c r="BD101" i="32"/>
  <c r="CO101" i="32"/>
  <c r="CO102" i="32" s="1"/>
  <c r="CO104" i="32"/>
  <c r="CC101" i="32"/>
  <c r="CC102" i="32" s="1"/>
  <c r="CC104" i="32"/>
  <c r="AN104" i="32"/>
  <c r="AN101" i="32"/>
  <c r="BO101" i="32"/>
  <c r="BO102" i="32" s="1"/>
  <c r="BO104" i="32"/>
  <c r="AK104" i="32"/>
  <c r="AK101" i="32"/>
  <c r="AK102" i="32" s="1"/>
  <c r="AM101" i="32"/>
  <c r="AM102" i="32" s="1"/>
  <c r="AM104" i="32"/>
  <c r="BE104" i="32"/>
  <c r="BE101" i="32"/>
  <c r="BE102" i="32" s="1"/>
  <c r="BG101" i="32"/>
  <c r="BG102" i="32" s="1"/>
  <c r="BG104" i="32"/>
  <c r="BA101" i="32"/>
  <c r="BA102" i="32" s="1"/>
  <c r="BA104" i="32"/>
  <c r="CA101" i="32"/>
  <c r="CA102" i="32" s="1"/>
  <c r="CA104" i="32"/>
  <c r="BM101" i="32"/>
  <c r="BM102" i="32" s="1"/>
  <c r="BM104" i="32"/>
  <c r="BZ101" i="32"/>
  <c r="BZ102" i="32" s="1"/>
  <c r="BZ104" i="32"/>
  <c r="AU104" i="32"/>
  <c r="AU101" i="32"/>
  <c r="AU102" i="32" s="1"/>
  <c r="AQ101" i="32"/>
  <c r="AQ102" i="32" s="1"/>
  <c r="AQ104" i="32"/>
  <c r="AJ104" i="32"/>
  <c r="AJ101" i="32"/>
  <c r="BW101" i="32"/>
  <c r="BW102" i="32" s="1"/>
  <c r="BW104" i="32"/>
  <c r="BR101" i="32"/>
  <c r="BR102" i="32" s="1"/>
  <c r="BR104" i="32"/>
  <c r="CB104" i="32"/>
  <c r="CB101" i="32"/>
  <c r="AG101" i="32"/>
  <c r="AG104" i="32"/>
  <c r="CF104" i="32"/>
  <c r="CF101" i="32"/>
  <c r="BJ101" i="32"/>
  <c r="BJ102" i="32" s="1"/>
  <c r="BJ104" i="32"/>
  <c r="AS101" i="32"/>
  <c r="AS102" i="32" s="1"/>
  <c r="AS104" i="32"/>
  <c r="BI101" i="32"/>
  <c r="BI102" i="32" s="1"/>
  <c r="BI104" i="32"/>
  <c r="BF101" i="32"/>
  <c r="BF102" i="32" s="1"/>
  <c r="BF104" i="32"/>
  <c r="BL101" i="32"/>
  <c r="BL104" i="32"/>
  <c r="AO101" i="32"/>
  <c r="AO102" i="32" s="1"/>
  <c r="AO104" i="32"/>
  <c r="CE101" i="32"/>
  <c r="CE102" i="32" s="1"/>
  <c r="CE104" i="32"/>
  <c r="AI101" i="32"/>
  <c r="AI102" i="32" s="1"/>
  <c r="AI104" i="32"/>
  <c r="CL101" i="32"/>
  <c r="CL102" i="32" s="1"/>
  <c r="CL104" i="32"/>
  <c r="BQ104" i="32"/>
  <c r="BQ101" i="32"/>
  <c r="BQ102" i="32" s="1"/>
  <c r="BQ58" i="4"/>
  <c r="BQ59" i="4" s="1"/>
  <c r="BH25" i="4"/>
  <c r="BH28" i="4" s="1"/>
  <c r="DO122" i="4"/>
  <c r="BM19" i="4"/>
  <c r="CG58" i="4"/>
  <c r="CG59" i="4" s="1"/>
  <c r="AV19" i="4"/>
  <c r="H60" i="4"/>
  <c r="AL19" i="4"/>
  <c r="AU19" i="4"/>
  <c r="AG25" i="4"/>
  <c r="AZ58" i="4"/>
  <c r="BL19" i="4"/>
  <c r="DI37" i="4"/>
  <c r="DL102" i="4"/>
  <c r="DL121" i="4"/>
  <c r="DR102" i="4"/>
  <c r="DR104" i="4" s="1"/>
  <c r="DR121" i="4"/>
  <c r="BE25" i="4"/>
  <c r="X60" i="4"/>
  <c r="AY25" i="4"/>
  <c r="AY28" i="4" s="1"/>
  <c r="AJ19" i="4"/>
  <c r="DQ102" i="4"/>
  <c r="DQ104" i="4" s="1"/>
  <c r="DQ121" i="4"/>
  <c r="CF25" i="4"/>
  <c r="CF30" i="4" s="1"/>
  <c r="CF34" i="4" s="1"/>
  <c r="BJ25" i="4"/>
  <c r="BJ28" i="4" s="1"/>
  <c r="DK122" i="4"/>
  <c r="DK121" i="4"/>
  <c r="DI102" i="4"/>
  <c r="DI121" i="4"/>
  <c r="DN122" i="4"/>
  <c r="BY19" i="4"/>
  <c r="DJ102" i="4"/>
  <c r="DJ104" i="4" s="1"/>
  <c r="DJ121" i="4"/>
  <c r="BK19" i="4"/>
  <c r="DP102" i="4"/>
  <c r="DP104" i="4" s="1"/>
  <c r="DP121" i="4"/>
  <c r="AW58" i="4"/>
  <c r="BN58" i="4"/>
  <c r="AN25" i="4"/>
  <c r="AN28" i="4" s="1"/>
  <c r="F40" i="30"/>
  <c r="F42" i="30" s="1"/>
  <c r="E40" i="30"/>
  <c r="J40" i="30"/>
  <c r="J42" i="30" s="1"/>
  <c r="D40" i="30"/>
  <c r="D42" i="30" s="1"/>
  <c r="H40" i="30"/>
  <c r="H42" i="30" s="1"/>
  <c r="I40" i="30"/>
  <c r="U40" i="30" s="1"/>
  <c r="N60" i="4"/>
  <c r="R60" i="4"/>
  <c r="AC60" i="4"/>
  <c r="O60" i="4"/>
  <c r="L60" i="4"/>
  <c r="T60" i="4"/>
  <c r="CY37" i="4"/>
  <c r="G37" i="4"/>
  <c r="CH37" i="4"/>
  <c r="CB37" i="4"/>
  <c r="CS29" i="4"/>
  <c r="CR164" i="4"/>
  <c r="CT82" i="4"/>
  <c r="CS120" i="4"/>
  <c r="U37" i="4"/>
  <c r="CT16" i="4"/>
  <c r="CS15" i="4"/>
  <c r="DV98" i="4"/>
  <c r="DW98" i="4" s="1"/>
  <c r="DX98" i="4" s="1"/>
  <c r="V37" i="4"/>
  <c r="Q37" i="4"/>
  <c r="M37" i="4"/>
  <c r="S37" i="4"/>
  <c r="H37" i="4"/>
  <c r="DJ37" i="4"/>
  <c r="BZ37" i="4"/>
  <c r="J37" i="4"/>
  <c r="N37" i="4"/>
  <c r="CM37" i="4"/>
  <c r="E37" i="4"/>
  <c r="CI37" i="4"/>
  <c r="O37" i="4"/>
  <c r="DN37" i="4"/>
  <c r="DA37" i="4"/>
  <c r="DD37" i="4"/>
  <c r="BX176" i="4"/>
  <c r="BX178" i="4" s="1"/>
  <c r="BX52" i="4" s="1"/>
  <c r="BX51" i="4"/>
  <c r="CE37" i="4"/>
  <c r="DK37" i="4"/>
  <c r="CD37" i="4"/>
  <c r="DE37" i="4"/>
  <c r="CL37" i="4"/>
  <c r="DB37" i="4"/>
  <c r="DO37" i="4"/>
  <c r="DC37" i="4"/>
  <c r="CN37" i="4"/>
  <c r="W37" i="4"/>
  <c r="X37" i="4"/>
  <c r="CJ37" i="4"/>
  <c r="CO37" i="4"/>
  <c r="DH37" i="4"/>
  <c r="DG37" i="4"/>
  <c r="CC37" i="4"/>
  <c r="T37" i="4"/>
  <c r="CA37" i="4"/>
  <c r="CG37" i="4"/>
  <c r="DR240" i="4"/>
  <c r="DR36" i="4"/>
  <c r="DR39" i="4"/>
  <c r="K37" i="4"/>
  <c r="DP240" i="4"/>
  <c r="DP36" i="4"/>
  <c r="DP37" i="4" s="1"/>
  <c r="CF37" i="4"/>
  <c r="DA39" i="4"/>
  <c r="DS240" i="4"/>
  <c r="DS36" i="4"/>
  <c r="DS37" i="4" s="1"/>
  <c r="CX39" i="4"/>
  <c r="P37" i="4"/>
  <c r="CY39" i="4"/>
  <c r="CZ39" i="4"/>
  <c r="DB39" i="4"/>
  <c r="L37" i="4"/>
  <c r="I37" i="4"/>
  <c r="CZ37" i="4"/>
  <c r="DQ240" i="4"/>
  <c r="DQ36" i="4"/>
  <c r="DP39" i="4"/>
  <c r="F37" i="4"/>
  <c r="DQ39" i="4"/>
  <c r="R37" i="4"/>
  <c r="BY37" i="4"/>
  <c r="CP214" i="4"/>
  <c r="AD185" i="4"/>
  <c r="AD184" i="4"/>
  <c r="W41" i="30"/>
  <c r="V41" i="30"/>
  <c r="CN214" i="4"/>
  <c r="CO25" i="4"/>
  <c r="CO28" i="4" s="1"/>
  <c r="CO214" i="4"/>
  <c r="CR24" i="4"/>
  <c r="C73" i="30"/>
  <c r="G73" i="30" s="1"/>
  <c r="CM197" i="4"/>
  <c r="P40" i="30"/>
  <c r="P42" i="30" s="1"/>
  <c r="M40" i="30"/>
  <c r="L40" i="30"/>
  <c r="L42" i="30" s="1"/>
  <c r="N40" i="30"/>
  <c r="N42" i="30" s="1"/>
  <c r="R40" i="30"/>
  <c r="R42" i="30" s="1"/>
  <c r="Q40" i="30"/>
  <c r="Q42" i="30" s="1"/>
  <c r="CL19" i="4"/>
  <c r="CL214" i="4"/>
  <c r="CJ214" i="4"/>
  <c r="CK214" i="4"/>
  <c r="BV48" i="4"/>
  <c r="CM48" i="4"/>
  <c r="BX48" i="4"/>
  <c r="AK25" i="4"/>
  <c r="AK28" i="4" s="1"/>
  <c r="W25" i="4"/>
  <c r="W28" i="4" s="1"/>
  <c r="W19" i="4"/>
  <c r="AK58" i="4"/>
  <c r="AK19" i="4"/>
  <c r="BO25" i="4"/>
  <c r="BO30" i="4" s="1"/>
  <c r="BO58" i="4"/>
  <c r="BI58" i="4"/>
  <c r="BQ19" i="4"/>
  <c r="BQ25" i="4"/>
  <c r="BQ28" i="4" s="1"/>
  <c r="AJ25" i="4"/>
  <c r="AJ30" i="4" s="1"/>
  <c r="BA25" i="4"/>
  <c r="BA30" i="4" s="1"/>
  <c r="AJ58" i="4"/>
  <c r="AO185" i="4"/>
  <c r="AO183" i="4"/>
  <c r="BG130" i="4"/>
  <c r="BF183" i="4"/>
  <c r="BO19" i="4"/>
  <c r="BA19" i="4"/>
  <c r="CH183" i="4"/>
  <c r="BO165" i="4"/>
  <c r="AD183" i="4"/>
  <c r="AS183" i="4"/>
  <c r="AY130" i="4"/>
  <c r="AY184" i="4" s="1"/>
  <c r="AX183" i="4"/>
  <c r="Z183" i="4"/>
  <c r="BI25" i="4"/>
  <c r="BI30" i="4" s="1"/>
  <c r="BV183" i="4"/>
  <c r="DO146" i="4"/>
  <c r="CK185" i="4"/>
  <c r="CK183" i="4"/>
  <c r="DO184" i="4"/>
  <c r="DO185" i="4"/>
  <c r="AH183" i="4"/>
  <c r="BI19" i="4"/>
  <c r="BK130" i="4"/>
  <c r="BJ183" i="4"/>
  <c r="AL183" i="4"/>
  <c r="BX183" i="4"/>
  <c r="N185" i="4"/>
  <c r="N182" i="4"/>
  <c r="CE130" i="4"/>
  <c r="CD183" i="4"/>
  <c r="CP183" i="4"/>
  <c r="BR183" i="4"/>
  <c r="BC130" i="4"/>
  <c r="BB183" i="4"/>
  <c r="R160" i="4"/>
  <c r="R182" i="4"/>
  <c r="R185" i="4"/>
  <c r="CA130" i="4"/>
  <c r="BZ183" i="4"/>
  <c r="J152" i="4"/>
  <c r="I182" i="4"/>
  <c r="I185" i="4"/>
  <c r="AN58" i="4"/>
  <c r="BA58" i="4"/>
  <c r="BG144" i="4"/>
  <c r="DM144" i="4"/>
  <c r="BK144" i="4"/>
  <c r="CI144" i="4"/>
  <c r="AU144" i="4"/>
  <c r="AY144" i="4"/>
  <c r="BC144" i="4"/>
  <c r="CA144" i="4"/>
  <c r="CK108" i="4"/>
  <c r="CK109" i="4"/>
  <c r="DP108" i="4"/>
  <c r="DP109" i="4"/>
  <c r="CH109" i="4"/>
  <c r="CH108" i="4"/>
  <c r="BY114" i="4"/>
  <c r="BY107" i="4" s="1"/>
  <c r="CI108" i="4"/>
  <c r="CI109" i="4"/>
  <c r="DR109" i="4"/>
  <c r="DR108" i="4"/>
  <c r="BW114" i="4"/>
  <c r="BW107" i="4" s="1"/>
  <c r="AB58" i="4"/>
  <c r="CY109" i="4"/>
  <c r="CY108" i="4"/>
  <c r="AB19" i="4"/>
  <c r="BV114" i="4"/>
  <c r="BV107" i="4" s="1"/>
  <c r="CJ108" i="4"/>
  <c r="CJ109" i="4"/>
  <c r="DT120" i="4"/>
  <c r="F15" i="28" s="1"/>
  <c r="O116" i="4"/>
  <c r="O123" i="4" s="1"/>
  <c r="AC59" i="4"/>
  <c r="M59" i="4"/>
  <c r="P116" i="4"/>
  <c r="P123" i="4" s="1"/>
  <c r="DR12" i="4"/>
  <c r="DR13" i="4" s="1"/>
  <c r="CN114" i="4"/>
  <c r="CN107" i="4" s="1"/>
  <c r="CP114" i="4"/>
  <c r="CP107" i="4" s="1"/>
  <c r="CO114" i="4"/>
  <c r="CO107" i="4" s="1"/>
  <c r="CM114" i="4"/>
  <c r="CM107" i="4" s="1"/>
  <c r="CA114" i="4"/>
  <c r="CA107" i="4" s="1"/>
  <c r="BZ114" i="4"/>
  <c r="BZ107" i="4" s="1"/>
  <c r="BX114" i="4"/>
  <c r="BX107" i="4" s="1"/>
  <c r="CN25" i="4"/>
  <c r="CN30" i="4" s="1"/>
  <c r="AC19" i="4"/>
  <c r="AN19" i="4"/>
  <c r="BN25" i="4"/>
  <c r="BN30" i="4" s="1"/>
  <c r="AC25" i="4"/>
  <c r="AC28" i="4" s="1"/>
  <c r="AS19" i="4"/>
  <c r="AR58" i="4"/>
  <c r="CB10" i="4"/>
  <c r="AR19" i="4"/>
  <c r="AR25" i="4"/>
  <c r="AR28" i="4" s="1"/>
  <c r="BN131" i="4"/>
  <c r="BQ146" i="4"/>
  <c r="BR143" i="4"/>
  <c r="BS143" i="4" s="1"/>
  <c r="CN58" i="4"/>
  <c r="BV16" i="4"/>
  <c r="CN19" i="4"/>
  <c r="G47" i="28"/>
  <c r="G48" i="28"/>
  <c r="I39" i="28"/>
  <c r="J39" i="28" s="1"/>
  <c r="K39" i="28" s="1"/>
  <c r="H45" i="28"/>
  <c r="CC58" i="4"/>
  <c r="BG19" i="4"/>
  <c r="CC19" i="4"/>
  <c r="CC25" i="4"/>
  <c r="CC30" i="4" s="1"/>
  <c r="AS25" i="4"/>
  <c r="AS28" i="4" s="1"/>
  <c r="BR25" i="4"/>
  <c r="BR30" i="4" s="1"/>
  <c r="BN19" i="4"/>
  <c r="BC25" i="4"/>
  <c r="BC28" i="4" s="1"/>
  <c r="AT19" i="4"/>
  <c r="U25" i="4"/>
  <c r="U28" i="4" s="1"/>
  <c r="DJ165" i="4"/>
  <c r="U58" i="4"/>
  <c r="E28" i="4"/>
  <c r="M19" i="4"/>
  <c r="CM164" i="4"/>
  <c r="DS164" i="4" s="1"/>
  <c r="AV25" i="4"/>
  <c r="AV28" i="4" s="1"/>
  <c r="E19" i="4"/>
  <c r="M25" i="4"/>
  <c r="M28" i="4" s="1"/>
  <c r="E58" i="4"/>
  <c r="J43" i="27"/>
  <c r="CP185" i="4"/>
  <c r="AH58" i="4"/>
  <c r="CD58" i="4"/>
  <c r="AY145" i="4"/>
  <c r="DI145" i="4" s="1"/>
  <c r="AI19" i="4"/>
  <c r="DQ133" i="4"/>
  <c r="H48" i="27"/>
  <c r="AH19" i="4"/>
  <c r="CL25" i="4"/>
  <c r="AM165" i="4"/>
  <c r="AX19" i="4"/>
  <c r="CM133" i="4"/>
  <c r="DS133" i="4" s="1"/>
  <c r="DQ136" i="4"/>
  <c r="W104" i="4"/>
  <c r="DK13" i="4"/>
  <c r="V25" i="4"/>
  <c r="V30" i="4" s="1"/>
  <c r="AL25" i="4"/>
  <c r="AL30" i="4" s="1"/>
  <c r="AL242" i="4" s="1"/>
  <c r="AO146" i="4"/>
  <c r="BL25" i="4"/>
  <c r="BL28" i="4" s="1"/>
  <c r="DL133" i="4"/>
  <c r="CP160" i="4"/>
  <c r="DS131" i="4"/>
  <c r="DL13" i="4"/>
  <c r="CJ143" i="4"/>
  <c r="CJ145" i="4" s="1"/>
  <c r="BS152" i="4"/>
  <c r="BS160" i="4" s="1"/>
  <c r="BI166" i="4"/>
  <c r="V58" i="4"/>
  <c r="V60" i="4" s="1"/>
  <c r="AH25" i="4"/>
  <c r="AH28" i="4" s="1"/>
  <c r="DK164" i="4"/>
  <c r="AR239" i="4"/>
  <c r="AR163" i="4" s="1"/>
  <c r="AR164" i="4" s="1"/>
  <c r="AS164" i="4" s="1"/>
  <c r="AS166" i="4" s="1"/>
  <c r="CK166" i="4"/>
  <c r="CG146" i="4"/>
  <c r="AD58" i="4"/>
  <c r="L25" i="4"/>
  <c r="L30" i="4" s="1"/>
  <c r="Q25" i="4"/>
  <c r="Q28" i="4" s="1"/>
  <c r="DL142" i="4"/>
  <c r="J42" i="27"/>
  <c r="D19" i="4"/>
  <c r="AQ19" i="4"/>
  <c r="AX24" i="4"/>
  <c r="AL166" i="4"/>
  <c r="CG19" i="4"/>
  <c r="CH162" i="4"/>
  <c r="CH166" i="4" s="1"/>
  <c r="G19" i="4"/>
  <c r="X19" i="4"/>
  <c r="BQ166" i="4"/>
  <c r="AY19" i="4"/>
  <c r="AP162" i="4"/>
  <c r="AP166" i="4" s="1"/>
  <c r="DG145" i="4"/>
  <c r="DS139" i="4"/>
  <c r="DR131" i="4"/>
  <c r="DO166" i="4"/>
  <c r="BY150" i="4"/>
  <c r="DP133" i="4"/>
  <c r="AS160" i="4"/>
  <c r="DN164" i="4"/>
  <c r="G25" i="4"/>
  <c r="G28" i="4" s="1"/>
  <c r="X25" i="4"/>
  <c r="X28" i="4" s="1"/>
  <c r="BB185" i="4"/>
  <c r="CI25" i="4"/>
  <c r="CI30" i="4" s="1"/>
  <c r="AT160" i="4"/>
  <c r="BJ162" i="4"/>
  <c r="BK162" i="4" s="1"/>
  <c r="DM132" i="4"/>
  <c r="DQ145" i="4"/>
  <c r="CG25" i="4"/>
  <c r="CG30" i="4" s="1"/>
  <c r="CO58" i="4"/>
  <c r="BB19" i="4"/>
  <c r="L19" i="4"/>
  <c r="BM79" i="4"/>
  <c r="BM80" i="4" s="1"/>
  <c r="DP142" i="4"/>
  <c r="S152" i="4"/>
  <c r="BR19" i="4"/>
  <c r="AI25" i="4"/>
  <c r="AI30" i="4" s="1"/>
  <c r="BK141" i="4"/>
  <c r="DL141" i="4" s="1"/>
  <c r="BR182" i="4"/>
  <c r="DS9" i="4"/>
  <c r="CA165" i="4"/>
  <c r="CA238" i="4" s="1"/>
  <c r="BK73" i="4"/>
  <c r="BK80" i="4" s="1"/>
  <c r="BK104" i="4" s="1"/>
  <c r="CC146" i="4"/>
  <c r="DR133" i="4"/>
  <c r="CM104" i="4"/>
  <c r="R25" i="4"/>
  <c r="R30" i="4" s="1"/>
  <c r="AA25" i="4"/>
  <c r="AA30" i="4" s="1"/>
  <c r="K58" i="4"/>
  <c r="K25" i="4"/>
  <c r="K30" i="4" s="1"/>
  <c r="BN162" i="4"/>
  <c r="BM166" i="4"/>
  <c r="BI146" i="4"/>
  <c r="CZ152" i="4"/>
  <c r="N160" i="4"/>
  <c r="CK104" i="4"/>
  <c r="P59" i="4"/>
  <c r="AM162" i="4"/>
  <c r="DI136" i="4"/>
  <c r="DK85" i="4"/>
  <c r="DK102" i="4" s="1"/>
  <c r="DK104" i="4" s="1"/>
  <c r="DA73" i="4"/>
  <c r="DA80" i="4" s="1"/>
  <c r="DA104" i="4" s="1"/>
  <c r="DQ132" i="4"/>
  <c r="AQ141" i="4"/>
  <c r="AP146" i="4"/>
  <c r="BZ162" i="4"/>
  <c r="BZ166" i="4" s="1"/>
  <c r="BY166" i="4"/>
  <c r="CH146" i="4"/>
  <c r="AG166" i="4"/>
  <c r="AH162" i="4"/>
  <c r="BJ146" i="4"/>
  <c r="DH132" i="4"/>
  <c r="BG25" i="4"/>
  <c r="BG28" i="4" s="1"/>
  <c r="DH18" i="4"/>
  <c r="DH19" i="4" s="1"/>
  <c r="AG19" i="4"/>
  <c r="BH19" i="4"/>
  <c r="Q58" i="4"/>
  <c r="BK145" i="4"/>
  <c r="DL145" i="4" s="1"/>
  <c r="BA166" i="4"/>
  <c r="CH182" i="4"/>
  <c r="CH160" i="4"/>
  <c r="BH58" i="4"/>
  <c r="BZ185" i="4"/>
  <c r="BZ160" i="4"/>
  <c r="DG165" i="4"/>
  <c r="BC182" i="4"/>
  <c r="BP58" i="4"/>
  <c r="DG133" i="4"/>
  <c r="DJ143" i="4"/>
  <c r="DK133" i="4"/>
  <c r="AA146" i="4"/>
  <c r="BE146" i="4"/>
  <c r="DI132" i="4"/>
  <c r="DO85" i="4"/>
  <c r="DP24" i="4"/>
  <c r="DH143" i="4"/>
  <c r="BA146" i="4"/>
  <c r="DG144" i="4"/>
  <c r="CL130" i="4"/>
  <c r="CL184" i="4" s="1"/>
  <c r="AZ59" i="4"/>
  <c r="N59" i="4"/>
  <c r="Y59" i="4"/>
  <c r="AF25" i="4"/>
  <c r="AF30" i="4" s="1"/>
  <c r="J19" i="4"/>
  <c r="CI160" i="4"/>
  <c r="AZ19" i="4"/>
  <c r="BP19" i="4"/>
  <c r="H19" i="4"/>
  <c r="S58" i="4"/>
  <c r="S60" i="4" s="1"/>
  <c r="T25" i="4"/>
  <c r="T30" i="4" s="1"/>
  <c r="CD162" i="4"/>
  <c r="CD166" i="4" s="1"/>
  <c r="CC166" i="4"/>
  <c r="BB58" i="4"/>
  <c r="AQ160" i="4"/>
  <c r="DS102" i="4"/>
  <c r="DS104" i="4" s="1"/>
  <c r="DT94" i="4"/>
  <c r="DV94" i="4" s="1"/>
  <c r="DW94" i="4" s="1"/>
  <c r="DX94" i="4" s="1"/>
  <c r="DM152" i="4"/>
  <c r="BO160" i="4"/>
  <c r="BG182" i="4"/>
  <c r="BZ139" i="4"/>
  <c r="D59" i="4"/>
  <c r="G59" i="4"/>
  <c r="DK142" i="4"/>
  <c r="DN132" i="4"/>
  <c r="CE144" i="4"/>
  <c r="CA141" i="4"/>
  <c r="AX102" i="4"/>
  <c r="BG162" i="4"/>
  <c r="J59" i="4"/>
  <c r="DR141" i="4"/>
  <c r="BZ25" i="4"/>
  <c r="BZ30" i="4" s="1"/>
  <c r="T59" i="4"/>
  <c r="AL182" i="4"/>
  <c r="AL160" i="4"/>
  <c r="W59" i="4"/>
  <c r="CI238" i="4"/>
  <c r="H59" i="4"/>
  <c r="DN85" i="4"/>
  <c r="AZ25" i="4"/>
  <c r="AZ30" i="4" s="1"/>
  <c r="BP25" i="4"/>
  <c r="BP30" i="4" s="1"/>
  <c r="P19" i="4"/>
  <c r="H25" i="4"/>
  <c r="H28" i="4" s="1"/>
  <c r="S25" i="4"/>
  <c r="S30" i="4" s="1"/>
  <c r="T19" i="4"/>
  <c r="BB25" i="4"/>
  <c r="BB30" i="4" s="1"/>
  <c r="AP130" i="4"/>
  <c r="AP184" i="4" s="1"/>
  <c r="BF160" i="4"/>
  <c r="AP79" i="4"/>
  <c r="AP80" i="4" s="1"/>
  <c r="AP104" i="4" s="1"/>
  <c r="R59" i="4"/>
  <c r="AX185" i="4"/>
  <c r="AP182" i="4"/>
  <c r="AP160" i="4"/>
  <c r="CE141" i="4"/>
  <c r="CD146" i="4"/>
  <c r="BN146" i="4"/>
  <c r="DI142" i="4"/>
  <c r="AW146" i="4"/>
  <c r="DO160" i="4"/>
  <c r="AS146" i="4"/>
  <c r="DQ131" i="4"/>
  <c r="DV99" i="4"/>
  <c r="DW99" i="4" s="1"/>
  <c r="DX99" i="4" s="1"/>
  <c r="DB73" i="4"/>
  <c r="DB80" i="4" s="1"/>
  <c r="DB104" i="4" s="1"/>
  <c r="CL160" i="4"/>
  <c r="BG136" i="4"/>
  <c r="DK136" i="4" s="1"/>
  <c r="AX182" i="4"/>
  <c r="BG141" i="4"/>
  <c r="AO25" i="4"/>
  <c r="AO28" i="4" s="1"/>
  <c r="CF19" i="4"/>
  <c r="BC19" i="4"/>
  <c r="AQ25" i="4"/>
  <c r="AQ30" i="4" s="1"/>
  <c r="AQ242" i="4" s="1"/>
  <c r="CK144" i="4"/>
  <c r="AT130" i="4"/>
  <c r="AT184" i="4" s="1"/>
  <c r="X59" i="4"/>
  <c r="AD162" i="4"/>
  <c r="AC166" i="4"/>
  <c r="DT133" i="4"/>
  <c r="BE166" i="4"/>
  <c r="AX146" i="4"/>
  <c r="L59" i="4"/>
  <c r="AA134" i="4"/>
  <c r="Z150" i="4"/>
  <c r="Z176" i="4" s="1"/>
  <c r="Z178" i="4" s="1"/>
  <c r="DH141" i="4"/>
  <c r="CE139" i="4"/>
  <c r="DQ139" i="4" s="1"/>
  <c r="DL73" i="4"/>
  <c r="DL80" i="4" s="1"/>
  <c r="DT90" i="4"/>
  <c r="DS154" i="4"/>
  <c r="DP154" i="4"/>
  <c r="AE157" i="4"/>
  <c r="AE160" i="4" s="1"/>
  <c r="AD160" i="4"/>
  <c r="DJ138" i="4"/>
  <c r="DN138" i="4"/>
  <c r="AW102" i="4"/>
  <c r="CG102" i="4"/>
  <c r="CG104" i="4" s="1"/>
  <c r="CF102" i="4"/>
  <c r="CF104" i="4" s="1"/>
  <c r="CH102" i="4"/>
  <c r="CH104" i="4" s="1"/>
  <c r="CJ100" i="4"/>
  <c r="BX239" i="4"/>
  <c r="CN102" i="4"/>
  <c r="DT97" i="4"/>
  <c r="DV97" i="4" s="1"/>
  <c r="DW97" i="4" s="1"/>
  <c r="DX97" i="4" s="1"/>
  <c r="DY97" i="4" s="1"/>
  <c r="DZ97" i="4" s="1"/>
  <c r="BM89" i="4"/>
  <c r="BN89" i="4" s="1"/>
  <c r="BN88" i="4" s="1"/>
  <c r="BN90" i="4" s="1"/>
  <c r="BN102" i="4" s="1"/>
  <c r="DO78" i="4"/>
  <c r="BN133" i="4"/>
  <c r="BO133" i="4" s="1"/>
  <c r="CJ73" i="4"/>
  <c r="CJ80" i="4" s="1"/>
  <c r="CN73" i="4"/>
  <c r="CN80" i="4" s="1"/>
  <c r="CE19" i="4"/>
  <c r="CE25" i="4"/>
  <c r="CE30" i="4" s="1"/>
  <c r="BS19" i="4"/>
  <c r="DJ152" i="4"/>
  <c r="DJ182" i="4" s="1"/>
  <c r="I25" i="4"/>
  <c r="I28" i="4" s="1"/>
  <c r="CJ58" i="4"/>
  <c r="AE25" i="4"/>
  <c r="AE30" i="4" s="1"/>
  <c r="BG24" i="4"/>
  <c r="AG58" i="4"/>
  <c r="AG60" i="4" s="1"/>
  <c r="AT25" i="4"/>
  <c r="AT28" i="4" s="1"/>
  <c r="BS25" i="4"/>
  <c r="BS28" i="4" s="1"/>
  <c r="BJ58" i="4"/>
  <c r="BZ145" i="4"/>
  <c r="CA145" i="4" s="1"/>
  <c r="BK25" i="4"/>
  <c r="K26" i="27"/>
  <c r="H26" i="27"/>
  <c r="CP145" i="4"/>
  <c r="BJ19" i="4"/>
  <c r="AS185" i="4"/>
  <c r="AM25" i="4"/>
  <c r="AM28" i="4" s="1"/>
  <c r="AF58" i="4"/>
  <c r="N25" i="4"/>
  <c r="N28" i="4" s="1"/>
  <c r="CO19" i="4"/>
  <c r="BM25" i="4"/>
  <c r="BM28" i="4" s="1"/>
  <c r="AU25" i="4"/>
  <c r="CI145" i="4"/>
  <c r="DR145" i="4" s="1"/>
  <c r="AM19" i="4"/>
  <c r="AO19" i="4"/>
  <c r="BD19" i="4"/>
  <c r="N19" i="4"/>
  <c r="D25" i="4"/>
  <c r="D30" i="4" s="1"/>
  <c r="D44" i="4" s="1"/>
  <c r="BE24" i="4"/>
  <c r="AW25" i="4"/>
  <c r="AW28" i="4" s="1"/>
  <c r="BL58" i="4"/>
  <c r="CP162" i="4"/>
  <c r="AS98" i="4"/>
  <c r="AX58" i="4"/>
  <c r="BO145" i="4"/>
  <c r="BO146" i="4" s="1"/>
  <c r="AV58" i="4"/>
  <c r="CL162" i="4"/>
  <c r="CL166" i="4" s="1"/>
  <c r="P25" i="4"/>
  <c r="P30" i="4" s="1"/>
  <c r="CE143" i="4"/>
  <c r="DQ143" i="4" s="1"/>
  <c r="AS58" i="4"/>
  <c r="AS239" i="4"/>
  <c r="BD58" i="4"/>
  <c r="BD60" i="4" s="1"/>
  <c r="CD182" i="4"/>
  <c r="DR152" i="4"/>
  <c r="DR182" i="4" s="1"/>
  <c r="CF58" i="4"/>
  <c r="CD19" i="4"/>
  <c r="BD25" i="4"/>
  <c r="BD30" i="4" s="1"/>
  <c r="BZ182" i="4"/>
  <c r="CD185" i="4"/>
  <c r="BZ58" i="4"/>
  <c r="AP25" i="4"/>
  <c r="AP30" i="4" s="1"/>
  <c r="I58" i="4"/>
  <c r="AD25" i="4"/>
  <c r="AD28" i="4" s="1"/>
  <c r="AX25" i="4"/>
  <c r="AX28" i="4" s="1"/>
  <c r="CJ25" i="4"/>
  <c r="CJ30" i="4" s="1"/>
  <c r="AO58" i="4"/>
  <c r="AX162" i="4"/>
  <c r="AU165" i="4"/>
  <c r="DH165" i="4" s="1"/>
  <c r="R19" i="4"/>
  <c r="CD25" i="4"/>
  <c r="CD30" i="4" s="1"/>
  <c r="CA152" i="4"/>
  <c r="CE152" i="4"/>
  <c r="J25" i="4"/>
  <c r="J30" i="4" s="1"/>
  <c r="BZ19" i="4"/>
  <c r="CL141" i="4"/>
  <c r="AP19" i="4"/>
  <c r="CM165" i="4"/>
  <c r="AN24" i="4"/>
  <c r="F19" i="4"/>
  <c r="BX170" i="4"/>
  <c r="BB145" i="4"/>
  <c r="BB146" i="4" s="1"/>
  <c r="BV182" i="4"/>
  <c r="CA143" i="4"/>
  <c r="DP143" i="4" s="1"/>
  <c r="CL182" i="4"/>
  <c r="DG24" i="4"/>
  <c r="DK165" i="4"/>
  <c r="DP9" i="4"/>
  <c r="CM10" i="4"/>
  <c r="BY58" i="4"/>
  <c r="Y25" i="4"/>
  <c r="Y28" i="4" s="1"/>
  <c r="CI130" i="4"/>
  <c r="CI184" i="4" s="1"/>
  <c r="DV95" i="4"/>
  <c r="DW95" i="4" s="1"/>
  <c r="DX95" i="4" s="1"/>
  <c r="DY95" i="4" s="1"/>
  <c r="CZ18" i="4"/>
  <c r="CZ58" i="4" s="1"/>
  <c r="DJ13" i="4"/>
  <c r="BY25" i="4"/>
  <c r="BY28" i="4" s="1"/>
  <c r="BX10" i="4"/>
  <c r="AM152" i="4"/>
  <c r="BM58" i="4"/>
  <c r="BM60" i="4" s="1"/>
  <c r="CM16" i="4"/>
  <c r="BE19" i="4"/>
  <c r="BE58" i="4"/>
  <c r="BE60" i="4" s="1"/>
  <c r="AW19" i="4"/>
  <c r="Y19" i="4"/>
  <c r="F58" i="4"/>
  <c r="J60" i="4" s="1"/>
  <c r="AE182" i="4"/>
  <c r="BZ10" i="4"/>
  <c r="CM152" i="4"/>
  <c r="DS152" i="4" s="1"/>
  <c r="DO9" i="4"/>
  <c r="CI132" i="4"/>
  <c r="DR132" i="4" s="1"/>
  <c r="CM12" i="4"/>
  <c r="AU155" i="4"/>
  <c r="DH155" i="4" s="1"/>
  <c r="S162" i="4"/>
  <c r="S166" i="4" s="1"/>
  <c r="BX89" i="4"/>
  <c r="BX90" i="4" s="1"/>
  <c r="BB159" i="4"/>
  <c r="AA153" i="4"/>
  <c r="BB162" i="4"/>
  <c r="BO185" i="4"/>
  <c r="BO182" i="4"/>
  <c r="AI165" i="4"/>
  <c r="BF24" i="4"/>
  <c r="DQ18" i="4"/>
  <c r="C49" i="30" s="1"/>
  <c r="AA148" i="4"/>
  <c r="CJ19" i="4"/>
  <c r="AY143" i="4"/>
  <c r="DI143" i="4" s="1"/>
  <c r="AY165" i="4"/>
  <c r="AF24" i="4"/>
  <c r="DD24" i="4"/>
  <c r="AB24" i="4"/>
  <c r="BJ165" i="4"/>
  <c r="J40" i="29"/>
  <c r="BF182" i="4"/>
  <c r="BF185" i="4"/>
  <c r="AM163" i="4"/>
  <c r="AT182" i="4"/>
  <c r="AU88" i="4"/>
  <c r="AT89" i="4"/>
  <c r="AT90" i="4" s="1"/>
  <c r="AT102" i="4" s="1"/>
  <c r="CM142" i="4"/>
  <c r="DS142" i="4" s="1"/>
  <c r="Z182" i="4"/>
  <c r="AA152" i="4"/>
  <c r="AA182" i="4" s="1"/>
  <c r="CH185" i="4"/>
  <c r="AA130" i="4"/>
  <c r="AA184" i="4" s="1"/>
  <c r="Z185" i="4"/>
  <c r="DM24" i="4"/>
  <c r="DB18" i="4"/>
  <c r="DB25" i="4" s="1"/>
  <c r="BX16" i="4"/>
  <c r="AU152" i="4"/>
  <c r="DN165" i="4"/>
  <c r="DD13" i="4"/>
  <c r="DD18" i="4"/>
  <c r="BF163" i="4"/>
  <c r="BG163" i="4" s="1"/>
  <c r="Z162" i="4"/>
  <c r="Z166" i="4" s="1"/>
  <c r="CD238" i="4"/>
  <c r="CE165" i="4"/>
  <c r="CE238" i="4" s="1"/>
  <c r="BG132" i="4"/>
  <c r="DR24" i="4"/>
  <c r="BV12" i="4"/>
  <c r="DH148" i="4"/>
  <c r="BV10" i="4"/>
  <c r="BX12" i="4"/>
  <c r="DK152" i="4"/>
  <c r="DK182" i="4" s="1"/>
  <c r="BK164" i="4"/>
  <c r="DP163" i="4"/>
  <c r="DQ156" i="4"/>
  <c r="CI139" i="4"/>
  <c r="DR139" i="4" s="1"/>
  <c r="J41" i="29"/>
  <c r="DM18" i="4"/>
  <c r="DM13" i="4"/>
  <c r="AR80" i="4"/>
  <c r="AR104" i="4" s="1"/>
  <c r="DG18" i="4"/>
  <c r="DG13" i="4"/>
  <c r="AZ24" i="4"/>
  <c r="DJ24" i="4"/>
  <c r="BB164" i="4"/>
  <c r="CI142" i="4"/>
  <c r="DR142" i="4" s="1"/>
  <c r="Z25" i="4"/>
  <c r="Z19" i="4"/>
  <c r="Z58" i="4"/>
  <c r="CF44" i="4"/>
  <c r="BS24" i="4"/>
  <c r="DI13" i="4"/>
  <c r="DI18" i="4"/>
  <c r="BU13" i="4"/>
  <c r="BU18" i="4"/>
  <c r="AU133" i="4"/>
  <c r="DH133" i="4" s="1"/>
  <c r="AW59" i="4"/>
  <c r="AB30" i="4"/>
  <c r="AB28" i="4"/>
  <c r="CJ239" i="4"/>
  <c r="CK239" i="4"/>
  <c r="DE18" i="4"/>
  <c r="DE13" i="4"/>
  <c r="CY13" i="4"/>
  <c r="CY18" i="4"/>
  <c r="DN13" i="4"/>
  <c r="DN18" i="4"/>
  <c r="AR24" i="4"/>
  <c r="AT145" i="4"/>
  <c r="AU145" i="4" s="1"/>
  <c r="AQ239" i="4"/>
  <c r="AP239" i="4"/>
  <c r="AQ182" i="4"/>
  <c r="BH30" i="4"/>
  <c r="BO76" i="4"/>
  <c r="BN79" i="4"/>
  <c r="BN80" i="4" s="1"/>
  <c r="CX18" i="4"/>
  <c r="CX13" i="4"/>
  <c r="AG28" i="4"/>
  <c r="AG30" i="4"/>
  <c r="DA13" i="4"/>
  <c r="DA18" i="4"/>
  <c r="BE28" i="4"/>
  <c r="BE30" i="4"/>
  <c r="CP25" i="4"/>
  <c r="CP19" i="4"/>
  <c r="CP58" i="4"/>
  <c r="BO138" i="4"/>
  <c r="DM138" i="4" s="1"/>
  <c r="CY24" i="4"/>
  <c r="AY24" i="4"/>
  <c r="BR58" i="4"/>
  <c r="BS130" i="4"/>
  <c r="BS184" i="4" s="1"/>
  <c r="BR185" i="4"/>
  <c r="AU142" i="4"/>
  <c r="DH142" i="4" s="1"/>
  <c r="BK132" i="4"/>
  <c r="DL132" i="4" s="1"/>
  <c r="O59" i="4"/>
  <c r="DK19" i="4"/>
  <c r="DK25" i="4"/>
  <c r="DJ19" i="4"/>
  <c r="DJ25" i="4"/>
  <c r="DJ168" i="4"/>
  <c r="BF145" i="4"/>
  <c r="BF146" i="4" s="1"/>
  <c r="H16" i="27"/>
  <c r="DC18" i="4"/>
  <c r="DC13" i="4"/>
  <c r="CB25" i="4"/>
  <c r="CB19" i="4"/>
  <c r="CB58" i="4"/>
  <c r="AX155" i="4"/>
  <c r="BY239" i="4"/>
  <c r="DL19" i="4"/>
  <c r="DL25" i="4"/>
  <c r="F30" i="4"/>
  <c r="F28" i="4"/>
  <c r="E44" i="4"/>
  <c r="E34" i="4"/>
  <c r="DF24" i="4"/>
  <c r="AJ24" i="4"/>
  <c r="DF18" i="4"/>
  <c r="DF13" i="4"/>
  <c r="AQ143" i="4"/>
  <c r="DG143" i="4" s="1"/>
  <c r="CA132" i="4"/>
  <c r="AA165" i="4"/>
  <c r="AU94" i="4"/>
  <c r="DH94" i="4" s="1"/>
  <c r="AT239" i="4"/>
  <c r="BW19" i="4"/>
  <c r="BW25" i="4"/>
  <c r="BW58" i="4"/>
  <c r="BS133" i="4"/>
  <c r="DN133" i="4" s="1"/>
  <c r="AL58" i="4"/>
  <c r="AL185" i="4"/>
  <c r="BF19" i="4"/>
  <c r="BF25" i="4"/>
  <c r="BF58" i="4"/>
  <c r="AB171" i="4"/>
  <c r="DD171" i="4" s="1"/>
  <c r="DS155" i="4"/>
  <c r="BS144" i="4"/>
  <c r="BG155" i="4"/>
  <c r="BG160" i="4" s="1"/>
  <c r="DI164" i="4"/>
  <c r="AH185" i="4"/>
  <c r="AI152" i="4"/>
  <c r="AI160" i="4" s="1"/>
  <c r="AH182" i="4"/>
  <c r="DH24" i="4"/>
  <c r="CH13" i="4"/>
  <c r="CH18" i="4"/>
  <c r="CH103" i="32" s="1"/>
  <c r="CE163" i="4"/>
  <c r="DQ163" i="4" s="1"/>
  <c r="BJ185" i="4"/>
  <c r="BJ182" i="4"/>
  <c r="BK152" i="4"/>
  <c r="DT32" i="4"/>
  <c r="BR162" i="4"/>
  <c r="BR166" i="4" s="1"/>
  <c r="CA25" i="4"/>
  <c r="CA19" i="4"/>
  <c r="AY138" i="4"/>
  <c r="DI138" i="4" s="1"/>
  <c r="DJ163" i="4"/>
  <c r="O28" i="4"/>
  <c r="O30" i="4"/>
  <c r="BT13" i="4"/>
  <c r="BT18" i="4"/>
  <c r="CK19" i="4"/>
  <c r="CK25" i="4"/>
  <c r="CK58" i="4"/>
  <c r="DG152" i="4"/>
  <c r="BC133" i="4"/>
  <c r="AQ138" i="4"/>
  <c r="DP111" i="4" l="1"/>
  <c r="DQ111" i="4"/>
  <c r="DO110" i="4"/>
  <c r="DO111" i="4"/>
  <c r="K45" i="28"/>
  <c r="H31" i="28"/>
  <c r="DP177" i="4"/>
  <c r="DP110" i="4"/>
  <c r="D14" i="29"/>
  <c r="F14" i="29" s="1"/>
  <c r="G27" i="27"/>
  <c r="G29" i="27"/>
  <c r="CJ121" i="4"/>
  <c r="CJ125" i="4"/>
  <c r="BT103" i="32"/>
  <c r="BT101" i="32" s="1"/>
  <c r="BU103" i="32"/>
  <c r="BU101" i="32" s="1"/>
  <c r="BU102" i="32" s="1"/>
  <c r="BD102" i="32"/>
  <c r="DK101" i="32"/>
  <c r="AN102" i="32"/>
  <c r="DG101" i="32"/>
  <c r="CH101" i="32"/>
  <c r="CH102" i="32" s="1"/>
  <c r="CH104" i="32"/>
  <c r="BN60" i="4"/>
  <c r="CB102" i="32"/>
  <c r="DQ101" i="32"/>
  <c r="CJ102" i="32"/>
  <c r="AR102" i="32"/>
  <c r="DH101" i="32"/>
  <c r="AL60" i="4"/>
  <c r="DF101" i="32"/>
  <c r="AJ102" i="32"/>
  <c r="AV60" i="4"/>
  <c r="DM101" i="32"/>
  <c r="BL102" i="32"/>
  <c r="DJ101" i="32"/>
  <c r="CR102" i="32"/>
  <c r="AS60" i="4"/>
  <c r="BH102" i="32"/>
  <c r="DL101" i="32"/>
  <c r="AG102" i="32"/>
  <c r="DE101" i="32"/>
  <c r="AV102" i="32"/>
  <c r="DI101" i="32"/>
  <c r="CF28" i="4"/>
  <c r="BN59" i="4"/>
  <c r="CO60" i="4"/>
  <c r="BP102" i="32"/>
  <c r="DN101" i="32"/>
  <c r="CF102" i="32"/>
  <c r="CF242" i="4"/>
  <c r="CN102" i="32"/>
  <c r="BR60" i="4"/>
  <c r="AF60" i="4"/>
  <c r="AD60" i="4"/>
  <c r="CK60" i="4"/>
  <c r="DL104" i="4"/>
  <c r="AY30" i="4"/>
  <c r="AY44" i="4" s="1"/>
  <c r="Z60" i="4"/>
  <c r="BH60" i="4"/>
  <c r="AZ60" i="4"/>
  <c r="AN30" i="4"/>
  <c r="AN44" i="4" s="1"/>
  <c r="BJ30" i="4"/>
  <c r="BJ34" i="4" s="1"/>
  <c r="BA60" i="4"/>
  <c r="BQ60" i="4"/>
  <c r="CN60" i="4"/>
  <c r="DT9" i="4"/>
  <c r="BF60" i="4"/>
  <c r="AB59" i="4"/>
  <c r="AB60" i="4"/>
  <c r="CC60" i="4"/>
  <c r="CZ116" i="4"/>
  <c r="CZ123" i="4" s="1"/>
  <c r="AO60" i="4"/>
  <c r="CF60" i="4"/>
  <c r="BJ60" i="4"/>
  <c r="BP60" i="4"/>
  <c r="BB60" i="4"/>
  <c r="J116" i="4"/>
  <c r="J123" i="4" s="1"/>
  <c r="I60" i="4"/>
  <c r="CJ60" i="4"/>
  <c r="N116" i="4"/>
  <c r="N123" i="4" s="1"/>
  <c r="K60" i="4"/>
  <c r="CD60" i="4"/>
  <c r="U60" i="4"/>
  <c r="Y60" i="4"/>
  <c r="AN59" i="4"/>
  <c r="AN60" i="4"/>
  <c r="AW60" i="4"/>
  <c r="BL60" i="4"/>
  <c r="AH60" i="4"/>
  <c r="AR60" i="4"/>
  <c r="M60" i="4"/>
  <c r="CG60" i="4"/>
  <c r="AK59" i="4"/>
  <c r="AK60" i="4"/>
  <c r="Q116" i="4"/>
  <c r="Q123" i="4" s="1"/>
  <c r="Q60" i="4"/>
  <c r="AJ59" i="4"/>
  <c r="AJ60" i="4"/>
  <c r="BI60" i="4"/>
  <c r="W60" i="4"/>
  <c r="DZ95" i="4"/>
  <c r="DT23" i="4"/>
  <c r="DY98" i="4"/>
  <c r="DU22" i="4"/>
  <c r="DY94" i="4"/>
  <c r="CS37" i="4"/>
  <c r="DT92" i="4"/>
  <c r="CR92" i="4"/>
  <c r="CU82" i="4"/>
  <c r="CT120" i="4"/>
  <c r="DX239" i="4"/>
  <c r="DY99" i="4"/>
  <c r="CT29" i="4"/>
  <c r="CS164" i="4"/>
  <c r="CU16" i="4"/>
  <c r="CU15" i="4" s="1"/>
  <c r="CT15" i="4"/>
  <c r="CS17" i="4"/>
  <c r="CT17" i="4" s="1"/>
  <c r="CU17" i="4" s="1"/>
  <c r="DU239" i="4"/>
  <c r="DQ37" i="4"/>
  <c r="DR37" i="4"/>
  <c r="BY176" i="4"/>
  <c r="BY178" i="4" s="1"/>
  <c r="BY52" i="4" s="1"/>
  <c r="BY51" i="4"/>
  <c r="CO30" i="4"/>
  <c r="CO44" i="4" s="1"/>
  <c r="DJ130" i="4"/>
  <c r="DJ184" i="4" s="1"/>
  <c r="BC184" i="4"/>
  <c r="W40" i="30"/>
  <c r="G40" i="30"/>
  <c r="E42" i="30"/>
  <c r="L54" i="30"/>
  <c r="L56" i="30" s="1"/>
  <c r="F54" i="30"/>
  <c r="F56" i="30" s="1"/>
  <c r="J54" i="30"/>
  <c r="J56" i="30" s="1"/>
  <c r="D54" i="30"/>
  <c r="D56" i="30" s="1"/>
  <c r="R54" i="30"/>
  <c r="R56" i="30" s="1"/>
  <c r="H54" i="30"/>
  <c r="H56" i="30" s="1"/>
  <c r="P54" i="30"/>
  <c r="P56" i="30" s="1"/>
  <c r="N54" i="30"/>
  <c r="N56" i="30" s="1"/>
  <c r="E54" i="30"/>
  <c r="M54" i="30"/>
  <c r="I54" i="30"/>
  <c r="Q54" i="30"/>
  <c r="Q56" i="30" s="1"/>
  <c r="V40" i="30"/>
  <c r="M42" i="30"/>
  <c r="O42" i="30" s="1"/>
  <c r="O40" i="30"/>
  <c r="BG58" i="4"/>
  <c r="BG184" i="4"/>
  <c r="DP130" i="4"/>
  <c r="DP184" i="4" s="1"/>
  <c r="CA184" i="4"/>
  <c r="BK58" i="4"/>
  <c r="BK184" i="4"/>
  <c r="K40" i="30"/>
  <c r="I42" i="30"/>
  <c r="DP48" i="4"/>
  <c r="C54" i="30"/>
  <c r="DS48" i="4"/>
  <c r="C34" i="30"/>
  <c r="DQ130" i="4"/>
  <c r="DQ184" i="4" s="1"/>
  <c r="CE184" i="4"/>
  <c r="AK30" i="4"/>
  <c r="AK44" i="4" s="1"/>
  <c r="W30" i="4"/>
  <c r="W34" i="4" s="1"/>
  <c r="W43" i="4" s="1"/>
  <c r="DO183" i="4"/>
  <c r="DO48" i="4"/>
  <c r="BO59" i="4"/>
  <c r="BO28" i="4"/>
  <c r="BC58" i="4"/>
  <c r="BI28" i="4"/>
  <c r="BI59" i="4"/>
  <c r="BA28" i="4"/>
  <c r="AJ28" i="4"/>
  <c r="BQ30" i="4"/>
  <c r="DL130" i="4"/>
  <c r="DL184" i="4" s="1"/>
  <c r="DS182" i="4"/>
  <c r="BG185" i="4"/>
  <c r="I116" i="4"/>
  <c r="I123" i="4" s="1"/>
  <c r="DM165" i="4"/>
  <c r="DK130" i="4"/>
  <c r="DK184" i="4" s="1"/>
  <c r="BN28" i="4"/>
  <c r="CE58" i="4"/>
  <c r="CA58" i="4"/>
  <c r="CA60" i="4" s="1"/>
  <c r="AY183" i="4"/>
  <c r="AC30" i="4"/>
  <c r="AC242" i="4" s="1"/>
  <c r="AY58" i="4"/>
  <c r="CA185" i="4"/>
  <c r="DR144" i="4"/>
  <c r="DR146" i="4" s="1"/>
  <c r="DI130" i="4"/>
  <c r="DI58" i="4" s="1"/>
  <c r="CZ160" i="4"/>
  <c r="CZ182" i="4"/>
  <c r="CZ185" i="4"/>
  <c r="S160" i="4"/>
  <c r="S182" i="4"/>
  <c r="S185" i="4"/>
  <c r="DN130" i="4"/>
  <c r="DN58" i="4" s="1"/>
  <c r="BS183" i="4"/>
  <c r="BC183" i="4"/>
  <c r="DM182" i="4"/>
  <c r="DM185" i="4"/>
  <c r="U116" i="4"/>
  <c r="U123" i="4" s="1"/>
  <c r="DO182" i="4"/>
  <c r="BG183" i="4"/>
  <c r="CL183" i="4"/>
  <c r="BA59" i="4"/>
  <c r="CA183" i="4"/>
  <c r="BK183" i="4"/>
  <c r="CE183" i="4"/>
  <c r="AA183" i="4"/>
  <c r="CI58" i="4"/>
  <c r="CI183" i="4"/>
  <c r="AP58" i="4"/>
  <c r="AP183" i="4"/>
  <c r="DG160" i="4"/>
  <c r="DG182" i="4"/>
  <c r="K152" i="4"/>
  <c r="CY152" i="4" s="1"/>
  <c r="J182" i="4"/>
  <c r="J185" i="4"/>
  <c r="BC185" i="4"/>
  <c r="AT185" i="4"/>
  <c r="AT183" i="4"/>
  <c r="DL144" i="4"/>
  <c r="DL146" i="4" s="1"/>
  <c r="DI144" i="4"/>
  <c r="DI146" i="4" s="1"/>
  <c r="AR30" i="4"/>
  <c r="DQ144" i="4"/>
  <c r="DK144" i="4"/>
  <c r="DH144" i="4"/>
  <c r="DP144" i="4"/>
  <c r="DJ144" i="4"/>
  <c r="DN144" i="4"/>
  <c r="K116" i="4"/>
  <c r="K123" i="4" s="1"/>
  <c r="AR59" i="4"/>
  <c r="CL144" i="4"/>
  <c r="G116" i="4"/>
  <c r="G123" i="4" s="1"/>
  <c r="R116" i="4"/>
  <c r="R123" i="4" s="1"/>
  <c r="BR116" i="4"/>
  <c r="BR123" i="4" s="1"/>
  <c r="DR18" i="4"/>
  <c r="U59" i="4"/>
  <c r="X116" i="4"/>
  <c r="X123" i="4" s="1"/>
  <c r="DP16" i="4"/>
  <c r="DP114" i="4"/>
  <c r="DP107" i="4" s="1"/>
  <c r="I59" i="4"/>
  <c r="L116" i="4"/>
  <c r="L123" i="4" s="1"/>
  <c r="AG59" i="4"/>
  <c r="CN28" i="4"/>
  <c r="AH59" i="4"/>
  <c r="CN34" i="4"/>
  <c r="CN241" i="4" s="1"/>
  <c r="BP116" i="4"/>
  <c r="BP123" i="4" s="1"/>
  <c r="CN44" i="4"/>
  <c r="DO114" i="4"/>
  <c r="DO107" i="4" s="1"/>
  <c r="W116" i="4"/>
  <c r="W123" i="4" s="1"/>
  <c r="V116" i="4"/>
  <c r="V123" i="4" s="1"/>
  <c r="T116" i="4"/>
  <c r="T123" i="4" s="1"/>
  <c r="DS12" i="4"/>
  <c r="DS13" i="4" s="1"/>
  <c r="DS114" i="4"/>
  <c r="DS107" i="4" s="1"/>
  <c r="AD59" i="4"/>
  <c r="BQ116" i="4"/>
  <c r="BQ123" i="4" s="1"/>
  <c r="Z116" i="4"/>
  <c r="Z123" i="4" s="1"/>
  <c r="S116" i="4"/>
  <c r="S123" i="4" s="1"/>
  <c r="E59" i="4"/>
  <c r="H116" i="4"/>
  <c r="H123" i="4" s="1"/>
  <c r="M116" i="4"/>
  <c r="M123" i="4" s="1"/>
  <c r="AO59" i="4"/>
  <c r="BO116" i="4"/>
  <c r="BO123" i="4" s="1"/>
  <c r="V59" i="4"/>
  <c r="Y116" i="4"/>
  <c r="Y123" i="4" s="1"/>
  <c r="J46" i="29"/>
  <c r="BZ59" i="4"/>
  <c r="BB59" i="4"/>
  <c r="BR28" i="4"/>
  <c r="AV59" i="4"/>
  <c r="BX13" i="4"/>
  <c r="BX24" i="4"/>
  <c r="CM13" i="4"/>
  <c r="BZ242" i="4"/>
  <c r="AX160" i="4"/>
  <c r="AY155" i="4"/>
  <c r="AY160" i="4" s="1"/>
  <c r="CN59" i="4"/>
  <c r="AX59" i="4"/>
  <c r="BJ59" i="4"/>
  <c r="CC28" i="4"/>
  <c r="CC59" i="4"/>
  <c r="DQ25" i="4"/>
  <c r="DQ30" i="4" s="1"/>
  <c r="DQ242" i="4" s="1"/>
  <c r="CD59" i="4"/>
  <c r="CD44" i="4"/>
  <c r="CE242" i="4"/>
  <c r="CG34" i="4"/>
  <c r="CG42" i="4" s="1"/>
  <c r="CI34" i="4"/>
  <c r="CI241" i="4" s="1"/>
  <c r="CJ59" i="4"/>
  <c r="CJ34" i="4"/>
  <c r="CJ241" i="4" s="1"/>
  <c r="CO59" i="4"/>
  <c r="CP59" i="4"/>
  <c r="I45" i="28"/>
  <c r="J25" i="28"/>
  <c r="I31" i="28"/>
  <c r="H48" i="28"/>
  <c r="H47" i="28"/>
  <c r="AV30" i="4"/>
  <c r="AH30" i="4"/>
  <c r="AH242" i="4" s="1"/>
  <c r="AS30" i="4"/>
  <c r="BC30" i="4"/>
  <c r="BG30" i="4"/>
  <c r="AE28" i="4"/>
  <c r="AL44" i="4"/>
  <c r="V28" i="4"/>
  <c r="M30" i="4"/>
  <c r="M44" i="4" s="1"/>
  <c r="U30" i="4"/>
  <c r="U44" i="4" s="1"/>
  <c r="AY182" i="4"/>
  <c r="R28" i="4"/>
  <c r="DH25" i="4"/>
  <c r="DH28" i="4" s="1"/>
  <c r="G30" i="4"/>
  <c r="G44" i="4" s="1"/>
  <c r="CZ25" i="4"/>
  <c r="CZ30" i="4" s="1"/>
  <c r="AO30" i="4"/>
  <c r="AO44" i="4" s="1"/>
  <c r="K28" i="4"/>
  <c r="DQ165" i="4"/>
  <c r="DQ238" i="4" s="1"/>
  <c r="J48" i="27"/>
  <c r="BL30" i="4"/>
  <c r="BZ34" i="4"/>
  <c r="BZ43" i="4" s="1"/>
  <c r="BY170" i="4"/>
  <c r="F49" i="27"/>
  <c r="H49" i="27" s="1"/>
  <c r="AD30" i="4"/>
  <c r="AD44" i="4" s="1"/>
  <c r="AL34" i="4"/>
  <c r="AL241" i="4" s="1"/>
  <c r="BZ44" i="4"/>
  <c r="DS16" i="4"/>
  <c r="DS10" i="4"/>
  <c r="AZ28" i="4"/>
  <c r="BS182" i="4"/>
  <c r="BJ166" i="4"/>
  <c r="DN152" i="4"/>
  <c r="AM30" i="4"/>
  <c r="AM242" i="4" s="1"/>
  <c r="CL28" i="4"/>
  <c r="CL30" i="4"/>
  <c r="CI242" i="4"/>
  <c r="CK143" i="4"/>
  <c r="CL143" i="4" s="1"/>
  <c r="K59" i="4"/>
  <c r="AL28" i="4"/>
  <c r="CA162" i="4"/>
  <c r="DP162" i="4" s="1"/>
  <c r="AF28" i="4"/>
  <c r="CD242" i="4"/>
  <c r="AT58" i="4"/>
  <c r="AT60" i="4" s="1"/>
  <c r="X30" i="4"/>
  <c r="X44" i="4" s="1"/>
  <c r="BZ28" i="4"/>
  <c r="AI28" i="4"/>
  <c r="CG242" i="4"/>
  <c r="AU130" i="4"/>
  <c r="AU184" i="4" s="1"/>
  <c r="DL162" i="4"/>
  <c r="AA28" i="4"/>
  <c r="CE162" i="4"/>
  <c r="CE166" i="4" s="1"/>
  <c r="CG44" i="4"/>
  <c r="T28" i="4"/>
  <c r="BM30" i="4"/>
  <c r="AY146" i="4"/>
  <c r="DM145" i="4"/>
  <c r="DM146" i="4" s="1"/>
  <c r="CI44" i="4"/>
  <c r="AQ162" i="4"/>
  <c r="DG162" i="4" s="1"/>
  <c r="DG166" i="4" s="1"/>
  <c r="AQ34" i="4"/>
  <c r="AQ42" i="4" s="1"/>
  <c r="Q30" i="4"/>
  <c r="Q44" i="4" s="1"/>
  <c r="DP132" i="4"/>
  <c r="CI162" i="4"/>
  <c r="CI166" i="4" s="1"/>
  <c r="L28" i="4"/>
  <c r="AU146" i="4"/>
  <c r="DT239" i="4"/>
  <c r="AQ130" i="4"/>
  <c r="AQ184" i="4" s="1"/>
  <c r="AM166" i="4"/>
  <c r="DR130" i="4"/>
  <c r="CI28" i="4"/>
  <c r="AP185" i="4"/>
  <c r="DP165" i="4"/>
  <c r="BK146" i="4"/>
  <c r="BX18" i="4"/>
  <c r="CG28" i="4"/>
  <c r="DS160" i="4"/>
  <c r="P28" i="4"/>
  <c r="H30" i="4"/>
  <c r="I30" i="4"/>
  <c r="S28" i="4"/>
  <c r="DH88" i="4"/>
  <c r="CE185" i="4"/>
  <c r="CE160" i="4"/>
  <c r="DK141" i="4"/>
  <c r="CJ242" i="4"/>
  <c r="BY59" i="4"/>
  <c r="CL58" i="4"/>
  <c r="CM130" i="4"/>
  <c r="CM184" i="4" s="1"/>
  <c r="DQ10" i="4"/>
  <c r="C48" i="30" s="1"/>
  <c r="BC162" i="4"/>
  <c r="BB166" i="4"/>
  <c r="BM59" i="4"/>
  <c r="CZ59" i="4"/>
  <c r="CF59" i="4"/>
  <c r="DT162" i="4"/>
  <c r="CP166" i="4"/>
  <c r="DT164" i="4"/>
  <c r="CE146" i="4"/>
  <c r="DQ141" i="4"/>
  <c r="BH59" i="4"/>
  <c r="AH166" i="4"/>
  <c r="AI162" i="4"/>
  <c r="AI166" i="4" s="1"/>
  <c r="CI146" i="4"/>
  <c r="BO162" i="4"/>
  <c r="BN166" i="4"/>
  <c r="AQ44" i="4"/>
  <c r="CJ44" i="4"/>
  <c r="N30" i="4"/>
  <c r="N34" i="4" s="1"/>
  <c r="BP28" i="4"/>
  <c r="CM18" i="4"/>
  <c r="BB28" i="4"/>
  <c r="CD28" i="4"/>
  <c r="DR160" i="4"/>
  <c r="DH152" i="4"/>
  <c r="AU160" i="4"/>
  <c r="AQ28" i="4"/>
  <c r="BD59" i="4"/>
  <c r="Y27" i="27"/>
  <c r="AT146" i="4"/>
  <c r="BZ146" i="4"/>
  <c r="BP59" i="4"/>
  <c r="AT30" i="4"/>
  <c r="DL152" i="4"/>
  <c r="BK160" i="4"/>
  <c r="AW30" i="4"/>
  <c r="DP152" i="4"/>
  <c r="DP182" i="4" s="1"/>
  <c r="DH145" i="4"/>
  <c r="CA146" i="4"/>
  <c r="DP141" i="4"/>
  <c r="CL185" i="4"/>
  <c r="AX30" i="4"/>
  <c r="CE182" i="4"/>
  <c r="DP12" i="4"/>
  <c r="DP18" i="4" s="1"/>
  <c r="CA182" i="4"/>
  <c r="AA160" i="4"/>
  <c r="BO88" i="4"/>
  <c r="DM88" i="4" s="1"/>
  <c r="BE59" i="4"/>
  <c r="AY162" i="4"/>
  <c r="AY166" i="4" s="1"/>
  <c r="AX166" i="4"/>
  <c r="AS59" i="4"/>
  <c r="CA160" i="4"/>
  <c r="BH24" i="4"/>
  <c r="DL24" i="4"/>
  <c r="BY30" i="4"/>
  <c r="DG138" i="4"/>
  <c r="J44" i="29"/>
  <c r="BS30" i="4"/>
  <c r="DQ152" i="4"/>
  <c r="S59" i="4"/>
  <c r="BC159" i="4"/>
  <c r="BC160" i="4" s="1"/>
  <c r="BB160" i="4"/>
  <c r="AM182" i="4"/>
  <c r="AM160" i="4"/>
  <c r="DM133" i="4"/>
  <c r="AE162" i="4"/>
  <c r="AE166" i="4" s="1"/>
  <c r="AD166" i="4"/>
  <c r="BF166" i="4"/>
  <c r="CA139" i="4"/>
  <c r="DP139" i="4" s="1"/>
  <c r="DM160" i="4"/>
  <c r="AQ146" i="4"/>
  <c r="DG141" i="4"/>
  <c r="DG146" i="4" s="1"/>
  <c r="Q59" i="4"/>
  <c r="DK132" i="4"/>
  <c r="CK145" i="4"/>
  <c r="CL145" i="4" s="1"/>
  <c r="CM160" i="4"/>
  <c r="DP145" i="4"/>
  <c r="DK162" i="4"/>
  <c r="BG166" i="4"/>
  <c r="CN104" i="4"/>
  <c r="CP146" i="4"/>
  <c r="BR146" i="4"/>
  <c r="DN143" i="4"/>
  <c r="DJ133" i="4"/>
  <c r="AR166" i="4"/>
  <c r="CJ102" i="4"/>
  <c r="CJ104" i="4" s="1"/>
  <c r="BN104" i="4"/>
  <c r="DM97" i="4"/>
  <c r="BO100" i="4"/>
  <c r="BO121" i="4" s="1"/>
  <c r="BM90" i="4"/>
  <c r="BY80" i="4"/>
  <c r="BX80" i="4"/>
  <c r="DM76" i="4"/>
  <c r="CO146" i="4"/>
  <c r="CO73" i="4"/>
  <c r="CO80" i="4" s="1"/>
  <c r="CO104" i="4" s="1"/>
  <c r="CM141" i="4"/>
  <c r="DS141" i="4" s="1"/>
  <c r="CJ146" i="4"/>
  <c r="BD28" i="4"/>
  <c r="BL59" i="4"/>
  <c r="CJ28" i="4"/>
  <c r="AU28" i="4"/>
  <c r="AU30" i="4"/>
  <c r="AF59" i="4"/>
  <c r="DO16" i="4"/>
  <c r="CD34" i="4"/>
  <c r="CD43" i="4" s="1"/>
  <c r="CE34" i="4"/>
  <c r="CE241" i="4" s="1"/>
  <c r="F17" i="28"/>
  <c r="D34" i="4"/>
  <c r="D43" i="4" s="1"/>
  <c r="CE44" i="4"/>
  <c r="CZ19" i="4"/>
  <c r="D28" i="4"/>
  <c r="H46" i="27"/>
  <c r="H47" i="27"/>
  <c r="J46" i="27"/>
  <c r="BK28" i="4"/>
  <c r="BK30" i="4"/>
  <c r="CE28" i="4"/>
  <c r="AU182" i="4"/>
  <c r="CM182" i="4"/>
  <c r="F59" i="4"/>
  <c r="CM162" i="4"/>
  <c r="CM166" i="4" s="1"/>
  <c r="AP28" i="4"/>
  <c r="CM238" i="4"/>
  <c r="DS165" i="4"/>
  <c r="DS238" i="4" s="1"/>
  <c r="J28" i="4"/>
  <c r="DQ19" i="4"/>
  <c r="C50" i="30" s="1"/>
  <c r="CI185" i="4"/>
  <c r="BC145" i="4"/>
  <c r="BC146" i="4" s="1"/>
  <c r="Y30" i="4"/>
  <c r="Y44" i="4" s="1"/>
  <c r="Y45" i="4" s="1"/>
  <c r="DO24" i="4"/>
  <c r="BT24" i="4"/>
  <c r="DV239" i="4"/>
  <c r="DP10" i="4"/>
  <c r="C55" i="30" s="1"/>
  <c r="DO12" i="4"/>
  <c r="DO18" i="4" s="1"/>
  <c r="DO10" i="4"/>
  <c r="DD25" i="4"/>
  <c r="DD19" i="4"/>
  <c r="DI165" i="4"/>
  <c r="DB58" i="4"/>
  <c r="DL164" i="4"/>
  <c r="BV13" i="4"/>
  <c r="BV18" i="4"/>
  <c r="AA185" i="4"/>
  <c r="AA58" i="4"/>
  <c r="N40" i="29"/>
  <c r="AU89" i="4"/>
  <c r="DH89" i="4" s="1"/>
  <c r="DB19" i="4"/>
  <c r="AA162" i="4"/>
  <c r="AA166" i="4" s="1"/>
  <c r="Z170" i="4"/>
  <c r="DK163" i="4"/>
  <c r="BK165" i="4"/>
  <c r="BK166" i="4" s="1"/>
  <c r="O44" i="4"/>
  <c r="O34" i="4"/>
  <c r="DV87" i="4"/>
  <c r="K44" i="4"/>
  <c r="K34" i="4"/>
  <c r="BW59" i="4"/>
  <c r="E42" i="4"/>
  <c r="E43" i="4"/>
  <c r="BI44" i="4"/>
  <c r="BI34" i="4"/>
  <c r="BI242" i="4"/>
  <c r="AB44" i="4"/>
  <c r="AB242" i="4"/>
  <c r="AB34" i="4"/>
  <c r="S44" i="4"/>
  <c r="S34" i="4"/>
  <c r="P44" i="4"/>
  <c r="P34" i="4"/>
  <c r="AS80" i="4"/>
  <c r="AS104" i="4" s="1"/>
  <c r="BD44" i="4"/>
  <c r="BD34" i="4"/>
  <c r="BD242" i="4"/>
  <c r="DF19" i="4"/>
  <c r="DF25" i="4"/>
  <c r="DL30" i="4"/>
  <c r="DL28" i="4"/>
  <c r="BP44" i="4"/>
  <c r="BP242" i="4"/>
  <c r="BP34" i="4"/>
  <c r="CC44" i="4"/>
  <c r="CC242" i="4"/>
  <c r="CC34" i="4"/>
  <c r="DE19" i="4"/>
  <c r="DE25" i="4"/>
  <c r="CK30" i="4"/>
  <c r="CK28" i="4"/>
  <c r="CA30" i="4"/>
  <c r="CA28" i="4"/>
  <c r="AI182" i="4"/>
  <c r="BA44" i="4"/>
  <c r="BA34" i="4"/>
  <c r="BA242" i="4"/>
  <c r="BO44" i="4"/>
  <c r="BO242" i="4"/>
  <c r="BO34" i="4"/>
  <c r="DC58" i="4"/>
  <c r="DC19" i="4"/>
  <c r="DC25" i="4"/>
  <c r="BS162" i="4"/>
  <c r="BS166" i="4" s="1"/>
  <c r="AA242" i="4"/>
  <c r="AA44" i="4"/>
  <c r="AA34" i="4"/>
  <c r="BR59" i="4"/>
  <c r="L44" i="4"/>
  <c r="L34" i="4"/>
  <c r="CX58" i="4"/>
  <c r="CX116" i="4" s="1"/>
  <c r="CX123" i="4" s="1"/>
  <c r="CX19" i="4"/>
  <c r="CX25" i="4"/>
  <c r="BH44" i="4"/>
  <c r="BH242" i="4"/>
  <c r="BH34" i="4"/>
  <c r="BR44" i="4"/>
  <c r="BR242" i="4"/>
  <c r="BR34" i="4"/>
  <c r="DG19" i="4"/>
  <c r="DG25" i="4"/>
  <c r="DM58" i="4"/>
  <c r="DM19" i="4"/>
  <c r="DM25" i="4"/>
  <c r="BT25" i="4"/>
  <c r="BT19" i="4"/>
  <c r="BT58" i="4"/>
  <c r="BF30" i="4"/>
  <c r="BF28" i="4"/>
  <c r="AU239" i="4"/>
  <c r="F44" i="4"/>
  <c r="F34" i="4"/>
  <c r="J44" i="4"/>
  <c r="J34" i="4"/>
  <c r="CB59" i="4"/>
  <c r="DB30" i="4"/>
  <c r="DB28" i="4"/>
  <c r="DA19" i="4"/>
  <c r="DA58" i="4"/>
  <c r="DA25" i="4"/>
  <c r="BB44" i="4"/>
  <c r="BB242" i="4"/>
  <c r="BB34" i="4"/>
  <c r="AJ44" i="4"/>
  <c r="AJ34" i="4"/>
  <c r="AJ242" i="4"/>
  <c r="AL59" i="4"/>
  <c r="DK30" i="4"/>
  <c r="DK28" i="4"/>
  <c r="DW239" i="4"/>
  <c r="CK59" i="4"/>
  <c r="AI44" i="4"/>
  <c r="AI242" i="4"/>
  <c r="AI34" i="4"/>
  <c r="BF59" i="4"/>
  <c r="AG44" i="4"/>
  <c r="AG34" i="4"/>
  <c r="AG242" i="4"/>
  <c r="BO79" i="4"/>
  <c r="DM79" i="4" s="1"/>
  <c r="AZ44" i="4"/>
  <c r="AZ242" i="4"/>
  <c r="AZ34" i="4"/>
  <c r="BN44" i="4"/>
  <c r="BN34" i="4"/>
  <c r="BN242" i="4"/>
  <c r="AP44" i="4"/>
  <c r="AP34" i="4"/>
  <c r="AP242" i="4"/>
  <c r="CN242" i="4"/>
  <c r="BK182" i="4"/>
  <c r="BK185" i="4"/>
  <c r="CH25" i="4"/>
  <c r="CH58" i="4"/>
  <c r="CH60" i="4" s="1"/>
  <c r="CH19" i="4"/>
  <c r="BO131" i="4"/>
  <c r="AN242" i="4"/>
  <c r="AN34" i="4"/>
  <c r="V44" i="4"/>
  <c r="V34" i="4"/>
  <c r="AE44" i="4"/>
  <c r="AE242" i="4"/>
  <c r="AE34" i="4"/>
  <c r="DK155" i="4"/>
  <c r="DK160" i="4" s="1"/>
  <c r="DI19" i="4"/>
  <c r="DI25" i="4"/>
  <c r="Z59" i="4"/>
  <c r="AF44" i="4"/>
  <c r="AF242" i="4"/>
  <c r="AF34" i="4"/>
  <c r="BE44" i="4"/>
  <c r="BE242" i="4"/>
  <c r="BE34" i="4"/>
  <c r="AY242" i="4"/>
  <c r="T44" i="4"/>
  <c r="T34" i="4"/>
  <c r="Z30" i="4"/>
  <c r="Z28" i="4"/>
  <c r="BS58" i="4"/>
  <c r="BS60" i="4" s="1"/>
  <c r="BS185" i="4"/>
  <c r="BW30" i="4"/>
  <c r="BW28" i="4"/>
  <c r="CP30" i="4"/>
  <c r="CP28" i="4"/>
  <c r="E39" i="31" s="1"/>
  <c r="BU25" i="4"/>
  <c r="BU19" i="4"/>
  <c r="BU58" i="4"/>
  <c r="N41" i="29"/>
  <c r="BS145" i="4"/>
  <c r="DN145" i="4" s="1"/>
  <c r="R44" i="4"/>
  <c r="R34" i="4"/>
  <c r="CB30" i="4"/>
  <c r="CB28" i="4"/>
  <c r="DJ30" i="4"/>
  <c r="DJ28" i="4"/>
  <c r="DN19" i="4"/>
  <c r="DN25" i="4"/>
  <c r="CY58" i="4"/>
  <c r="CZ60" i="4" s="1"/>
  <c r="CY19" i="4"/>
  <c r="CY25" i="4"/>
  <c r="CF42" i="4"/>
  <c r="CF43" i="4"/>
  <c r="CF241" i="4"/>
  <c r="CF150" i="4"/>
  <c r="CF51" i="4" s="1"/>
  <c r="BC164" i="4"/>
  <c r="BG145" i="4"/>
  <c r="DK145" i="4" s="1"/>
  <c r="T54" i="30" l="1"/>
  <c r="Y54" i="30" s="1"/>
  <c r="U54" i="30"/>
  <c r="T48" i="30"/>
  <c r="U48" i="30"/>
  <c r="T50" i="30"/>
  <c r="U50" i="30"/>
  <c r="T34" i="30"/>
  <c r="U34" i="30"/>
  <c r="T55" i="30"/>
  <c r="U55" i="30"/>
  <c r="K47" i="28"/>
  <c r="K48" i="28"/>
  <c r="CJ110" i="4"/>
  <c r="BT60" i="4"/>
  <c r="BU60" i="4"/>
  <c r="H19" i="29"/>
  <c r="J19" i="29" s="1"/>
  <c r="I29" i="27"/>
  <c r="BT104" i="32"/>
  <c r="BU104" i="32"/>
  <c r="BX103" i="32"/>
  <c r="BX101" i="32" s="1"/>
  <c r="DR101" i="32"/>
  <c r="DR103" i="32" s="1"/>
  <c r="DR104" i="32" s="1"/>
  <c r="BV103" i="32"/>
  <c r="BV101" i="32" s="1"/>
  <c r="BV102" i="32" s="1"/>
  <c r="C56" i="30"/>
  <c r="CM101" i="32"/>
  <c r="CM104" i="32"/>
  <c r="DI103" i="32"/>
  <c r="DI104" i="32" s="1"/>
  <c r="DI102" i="32"/>
  <c r="DJ102" i="32"/>
  <c r="DJ103" i="32"/>
  <c r="DJ104" i="32" s="1"/>
  <c r="DT101" i="32"/>
  <c r="DT103" i="32" s="1"/>
  <c r="DF102" i="32"/>
  <c r="DF103" i="32"/>
  <c r="DF104" i="32" s="1"/>
  <c r="CS102" i="32"/>
  <c r="CR101" i="32"/>
  <c r="DG102" i="32"/>
  <c r="DG103" i="32"/>
  <c r="DG104" i="32" s="1"/>
  <c r="DN103" i="32"/>
  <c r="DN104" i="32" s="1"/>
  <c r="DN102" i="32"/>
  <c r="AE45" i="4"/>
  <c r="DL102" i="32"/>
  <c r="DL103" i="32"/>
  <c r="DL104" i="32" s="1"/>
  <c r="DM102" i="32"/>
  <c r="DM103" i="32"/>
  <c r="DM104" i="32" s="1"/>
  <c r="DK102" i="32"/>
  <c r="DK103" i="32"/>
  <c r="DK104" i="32" s="1"/>
  <c r="DH103" i="32"/>
  <c r="DH104" i="32" s="1"/>
  <c r="DH102" i="32"/>
  <c r="DE103" i="32"/>
  <c r="DE104" i="32" s="1"/>
  <c r="DE102" i="32"/>
  <c r="DQ103" i="32"/>
  <c r="DQ104" i="32" s="1"/>
  <c r="DQ102" i="32"/>
  <c r="BT102" i="32"/>
  <c r="AY34" i="4"/>
  <c r="AY43" i="4" s="1"/>
  <c r="CT37" i="4"/>
  <c r="CU37" i="4" s="1"/>
  <c r="CS36" i="4"/>
  <c r="BJ242" i="4"/>
  <c r="BJ44" i="4"/>
  <c r="BN45" i="4" s="1"/>
  <c r="H21" i="27"/>
  <c r="BX25" i="4"/>
  <c r="BX30" i="4" s="1"/>
  <c r="DM116" i="4"/>
  <c r="DM123" i="4" s="1"/>
  <c r="DB116" i="4"/>
  <c r="DB123" i="4" s="1"/>
  <c r="DB60" i="4"/>
  <c r="DI116" i="4"/>
  <c r="DI123" i="4" s="1"/>
  <c r="AD116" i="4"/>
  <c r="AD123" i="4" s="1"/>
  <c r="AA60" i="4"/>
  <c r="CL60" i="4"/>
  <c r="BG116" i="4"/>
  <c r="BG123" i="4" s="1"/>
  <c r="BG60" i="4"/>
  <c r="CP60" i="4"/>
  <c r="BK116" i="4"/>
  <c r="BK123" i="4" s="1"/>
  <c r="BK60" i="4"/>
  <c r="CI60" i="4"/>
  <c r="DT24" i="4"/>
  <c r="AP59" i="4"/>
  <c r="AP60" i="4"/>
  <c r="BO60" i="4"/>
  <c r="CE60" i="4"/>
  <c r="AX60" i="4"/>
  <c r="BY60" i="4"/>
  <c r="CY116" i="4"/>
  <c r="CY123" i="4" s="1"/>
  <c r="CY60" i="4"/>
  <c r="DC116" i="4"/>
  <c r="DC123" i="4" s="1"/>
  <c r="DC60" i="4"/>
  <c r="BF116" i="4"/>
  <c r="BF123" i="4" s="1"/>
  <c r="BC60" i="4"/>
  <c r="DN116" i="4"/>
  <c r="DN123" i="4" s="1"/>
  <c r="DN60" i="4"/>
  <c r="DA116" i="4"/>
  <c r="DA123" i="4" s="1"/>
  <c r="DA60" i="4"/>
  <c r="BW60" i="4"/>
  <c r="T45" i="4"/>
  <c r="BG59" i="4"/>
  <c r="CS92" i="4"/>
  <c r="DT47" i="4"/>
  <c r="CR114" i="4"/>
  <c r="CR68" i="4" s="1"/>
  <c r="CT114" i="4"/>
  <c r="CS114" i="4"/>
  <c r="CU10" i="4"/>
  <c r="DZ99" i="4"/>
  <c r="DZ94" i="4"/>
  <c r="DP183" i="4"/>
  <c r="CS24" i="4"/>
  <c r="CR23" i="4"/>
  <c r="CU68" i="4"/>
  <c r="DY239" i="4"/>
  <c r="CU29" i="4"/>
  <c r="CU164" i="4" s="1"/>
  <c r="CT164" i="4"/>
  <c r="DZ98" i="4"/>
  <c r="DU82" i="4"/>
  <c r="CU120" i="4"/>
  <c r="DU15" i="4"/>
  <c r="DU17" i="4"/>
  <c r="S45" i="4"/>
  <c r="X45" i="4"/>
  <c r="BC116" i="4"/>
  <c r="BC123" i="4" s="1"/>
  <c r="BE116" i="4"/>
  <c r="BE123" i="4" s="1"/>
  <c r="BC59" i="4"/>
  <c r="BD116" i="4"/>
  <c r="BD123" i="4" s="1"/>
  <c r="BI116" i="4"/>
  <c r="BI123" i="4" s="1"/>
  <c r="CI45" i="4"/>
  <c r="AK242" i="4"/>
  <c r="BH116" i="4"/>
  <c r="BH123" i="4" s="1"/>
  <c r="BJ116" i="4"/>
  <c r="BJ123" i="4" s="1"/>
  <c r="AJ45" i="4"/>
  <c r="DJ183" i="4"/>
  <c r="CO242" i="4"/>
  <c r="BD45" i="4"/>
  <c r="AB45" i="4"/>
  <c r="K45" i="4"/>
  <c r="AK45" i="4"/>
  <c r="BN116" i="4"/>
  <c r="BN123" i="4" s="1"/>
  <c r="AP45" i="4"/>
  <c r="CO34" i="4"/>
  <c r="CO43" i="4" s="1"/>
  <c r="BM116" i="4"/>
  <c r="BM123" i="4" s="1"/>
  <c r="CD45" i="4"/>
  <c r="AO45" i="4"/>
  <c r="V55" i="30"/>
  <c r="W55" i="30"/>
  <c r="BE45" i="4"/>
  <c r="AK34" i="4"/>
  <c r="AK43" i="4" s="1"/>
  <c r="P45" i="4"/>
  <c r="BI45" i="4"/>
  <c r="O45" i="4"/>
  <c r="CM19" i="4"/>
  <c r="CM214" i="4"/>
  <c r="R70" i="30"/>
  <c r="V70" i="30" s="1"/>
  <c r="CN45" i="4"/>
  <c r="W34" i="30"/>
  <c r="V34" i="30"/>
  <c r="V45" i="4"/>
  <c r="DQ58" i="4"/>
  <c r="BK59" i="4"/>
  <c r="DJ58" i="4"/>
  <c r="BL116" i="4"/>
  <c r="BL123" i="4" s="1"/>
  <c r="DJ185" i="4"/>
  <c r="DQ183" i="4"/>
  <c r="L47" i="30"/>
  <c r="L49" i="30" s="1"/>
  <c r="N47" i="30"/>
  <c r="N49" i="30" s="1"/>
  <c r="F47" i="30"/>
  <c r="F49" i="30" s="1"/>
  <c r="R47" i="30"/>
  <c r="R49" i="30" s="1"/>
  <c r="Q47" i="30"/>
  <c r="M47" i="30"/>
  <c r="H47" i="30"/>
  <c r="H49" i="30" s="1"/>
  <c r="E47" i="30"/>
  <c r="T47" i="30" s="1"/>
  <c r="P47" i="30"/>
  <c r="P49" i="30" s="1"/>
  <c r="I47" i="30"/>
  <c r="U47" i="30" s="1"/>
  <c r="Z47" i="30" s="1"/>
  <c r="J47" i="30"/>
  <c r="J49" i="30" s="1"/>
  <c r="W54" i="30"/>
  <c r="D47" i="30"/>
  <c r="D49" i="30" s="1"/>
  <c r="V54" i="30"/>
  <c r="G42" i="30"/>
  <c r="W48" i="30"/>
  <c r="V48" i="30"/>
  <c r="G54" i="30"/>
  <c r="E56" i="30"/>
  <c r="BH45" i="4"/>
  <c r="AI45" i="4"/>
  <c r="M70" i="30"/>
  <c r="Q70" i="30" s="1"/>
  <c r="DR19" i="4"/>
  <c r="C43" i="30" s="1"/>
  <c r="C42" i="30"/>
  <c r="AN45" i="4"/>
  <c r="J45" i="4"/>
  <c r="AF45" i="4"/>
  <c r="BR45" i="4"/>
  <c r="CJ45" i="4"/>
  <c r="R74" i="30"/>
  <c r="V74" i="30" s="1"/>
  <c r="I56" i="30"/>
  <c r="K54" i="30"/>
  <c r="V50" i="30"/>
  <c r="W50" i="30"/>
  <c r="Q45" i="4"/>
  <c r="CG45" i="4"/>
  <c r="U45" i="4"/>
  <c r="K42" i="30"/>
  <c r="M56" i="30"/>
  <c r="O56" i="30" s="1"/>
  <c r="O54" i="30"/>
  <c r="W44" i="4"/>
  <c r="W45" i="4" s="1"/>
  <c r="BB116" i="4"/>
  <c r="BB123" i="4" s="1"/>
  <c r="DL58" i="4"/>
  <c r="DM60" i="4" s="1"/>
  <c r="DK183" i="4"/>
  <c r="BQ44" i="4"/>
  <c r="DK58" i="4"/>
  <c r="DL183" i="4"/>
  <c r="CD116" i="4"/>
  <c r="CD123" i="4" s="1"/>
  <c r="CA59" i="4"/>
  <c r="BQ34" i="4"/>
  <c r="BQ43" i="4" s="1"/>
  <c r="CC116" i="4"/>
  <c r="CC123" i="4" s="1"/>
  <c r="BQ242" i="4"/>
  <c r="DK185" i="4"/>
  <c r="CI42" i="4"/>
  <c r="AY59" i="4"/>
  <c r="AZ116" i="4"/>
  <c r="AZ123" i="4" s="1"/>
  <c r="BA116" i="4"/>
  <c r="BA123" i="4" s="1"/>
  <c r="AY116" i="4"/>
  <c r="AY123" i="4" s="1"/>
  <c r="CI43" i="4"/>
  <c r="CF116" i="4"/>
  <c r="CF123" i="4" s="1"/>
  <c r="CG116" i="4"/>
  <c r="CG123" i="4" s="1"/>
  <c r="AR44" i="4"/>
  <c r="AR45" i="4" s="1"/>
  <c r="CB116" i="4"/>
  <c r="CB123" i="4" s="1"/>
  <c r="AR242" i="4"/>
  <c r="DI183" i="4"/>
  <c r="CE59" i="4"/>
  <c r="AR34" i="4"/>
  <c r="AR42" i="4" s="1"/>
  <c r="CE116" i="4"/>
  <c r="CE123" i="4" s="1"/>
  <c r="AS242" i="4"/>
  <c r="AC44" i="4"/>
  <c r="AC45" i="4" s="1"/>
  <c r="CI59" i="4"/>
  <c r="AC34" i="4"/>
  <c r="AC42" i="4" s="1"/>
  <c r="DI184" i="4"/>
  <c r="DH160" i="4"/>
  <c r="DH182" i="4"/>
  <c r="DP185" i="4"/>
  <c r="DL160" i="4"/>
  <c r="DL182" i="4"/>
  <c r="DQ160" i="4"/>
  <c r="DQ182" i="4"/>
  <c r="DH146" i="4"/>
  <c r="DL185" i="4"/>
  <c r="DQ185" i="4"/>
  <c r="DH130" i="4"/>
  <c r="AU183" i="4"/>
  <c r="DS130" i="4"/>
  <c r="CM183" i="4"/>
  <c r="AQ183" i="4"/>
  <c r="DN160" i="4"/>
  <c r="DN182" i="4"/>
  <c r="K182" i="4"/>
  <c r="K185" i="4"/>
  <c r="DN184" i="4"/>
  <c r="DN185" i="4"/>
  <c r="DN183" i="4"/>
  <c r="DR184" i="4"/>
  <c r="DR185" i="4"/>
  <c r="DR183" i="4"/>
  <c r="CY160" i="4"/>
  <c r="CY182" i="4"/>
  <c r="CY185" i="4"/>
  <c r="DR25" i="4"/>
  <c r="DR30" i="4" s="1"/>
  <c r="DQ146" i="4"/>
  <c r="CH116" i="4"/>
  <c r="CH123" i="4" s="1"/>
  <c r="BS116" i="4"/>
  <c r="BS123" i="4" s="1"/>
  <c r="CL116" i="4"/>
  <c r="CL123" i="4" s="1"/>
  <c r="CM144" i="4"/>
  <c r="DS18" i="4"/>
  <c r="C35" i="30" s="1"/>
  <c r="CI116" i="4"/>
  <c r="CI123" i="4" s="1"/>
  <c r="DR162" i="4"/>
  <c r="DR166" i="4" s="1"/>
  <c r="J47" i="29"/>
  <c r="AB116" i="4"/>
  <c r="AB123" i="4" s="1"/>
  <c r="BU116" i="4"/>
  <c r="BU123" i="4" s="1"/>
  <c r="CK116" i="4"/>
  <c r="CK123" i="4" s="1"/>
  <c r="CJ116" i="4"/>
  <c r="CJ123" i="4" s="1"/>
  <c r="BT116" i="4"/>
  <c r="BT123" i="4" s="1"/>
  <c r="AC116" i="4"/>
  <c r="AC123" i="4" s="1"/>
  <c r="AA116" i="4"/>
  <c r="AA123" i="4" s="1"/>
  <c r="AW44" i="4"/>
  <c r="BA45" i="4" s="1"/>
  <c r="E9" i="31"/>
  <c r="BG44" i="4"/>
  <c r="AT242" i="4"/>
  <c r="BM242" i="4"/>
  <c r="BL44" i="4"/>
  <c r="BL45" i="4" s="1"/>
  <c r="AX34" i="4"/>
  <c r="AX241" i="4" s="1"/>
  <c r="BS242" i="4"/>
  <c r="AT59" i="4"/>
  <c r="BC44" i="4"/>
  <c r="BC45" i="4" s="1"/>
  <c r="AV242" i="4"/>
  <c r="BY44" i="4"/>
  <c r="CC45" i="4" s="1"/>
  <c r="AS34" i="4"/>
  <c r="AS241" i="4" s="1"/>
  <c r="CJ43" i="4"/>
  <c r="AH34" i="4"/>
  <c r="AH43" i="4" s="1"/>
  <c r="AS44" i="4"/>
  <c r="AS45" i="4" s="1"/>
  <c r="AV44" i="4"/>
  <c r="AZ45" i="4" s="1"/>
  <c r="AH44" i="4"/>
  <c r="AH45" i="4" s="1"/>
  <c r="BL242" i="4"/>
  <c r="DQ34" i="4"/>
  <c r="DQ241" i="4" s="1"/>
  <c r="DQ44" i="4"/>
  <c r="DQ28" i="4"/>
  <c r="CG150" i="4"/>
  <c r="CG241" i="4"/>
  <c r="CG43" i="4"/>
  <c r="CK129" i="4"/>
  <c r="CJ42" i="4"/>
  <c r="CL59" i="4"/>
  <c r="J45" i="28"/>
  <c r="J31" i="28"/>
  <c r="I47" i="28"/>
  <c r="I48" i="28"/>
  <c r="G34" i="4"/>
  <c r="G43" i="4" s="1"/>
  <c r="AV34" i="4"/>
  <c r="AV43" i="4" s="1"/>
  <c r="BC34" i="4"/>
  <c r="BC42" i="4" s="1"/>
  <c r="DI152" i="4"/>
  <c r="BG34" i="4"/>
  <c r="BG241" i="4" s="1"/>
  <c r="BC242" i="4"/>
  <c r="BG242" i="4"/>
  <c r="AL129" i="4"/>
  <c r="AL150" i="4" s="1"/>
  <c r="AL43" i="4"/>
  <c r="DH30" i="4"/>
  <c r="DH34" i="4" s="1"/>
  <c r="AY185" i="4"/>
  <c r="Y242" i="4"/>
  <c r="M34" i="4"/>
  <c r="M129" i="4" s="1"/>
  <c r="M150" i="4" s="1"/>
  <c r="U34" i="4"/>
  <c r="V129" i="4" s="1"/>
  <c r="V150" i="4" s="1"/>
  <c r="CL146" i="4"/>
  <c r="AO34" i="4"/>
  <c r="AO129" i="4" s="1"/>
  <c r="AO150" i="4" s="1"/>
  <c r="AO51" i="4" s="1"/>
  <c r="CN43" i="4"/>
  <c r="CN42" i="4"/>
  <c r="CZ28" i="4"/>
  <c r="AU58" i="4"/>
  <c r="AY60" i="4" s="1"/>
  <c r="AD34" i="4"/>
  <c r="AD42" i="4" s="1"/>
  <c r="AO242" i="4"/>
  <c r="AX242" i="4"/>
  <c r="AM34" i="4"/>
  <c r="AM43" i="4" s="1"/>
  <c r="BO89" i="4"/>
  <c r="DM89" i="4" s="1"/>
  <c r="DM90" i="4" s="1"/>
  <c r="AD242" i="4"/>
  <c r="AM44" i="4"/>
  <c r="AM45" i="4" s="1"/>
  <c r="AQ43" i="4"/>
  <c r="AX44" i="4"/>
  <c r="BY34" i="4"/>
  <c r="BY43" i="4" s="1"/>
  <c r="CM25" i="4"/>
  <c r="H44" i="4"/>
  <c r="H45" i="4" s="1"/>
  <c r="BL34" i="4"/>
  <c r="BL42" i="4" s="1"/>
  <c r="DU10" i="4"/>
  <c r="E10" i="31" s="1"/>
  <c r="BL96" i="4"/>
  <c r="BL99" i="4" s="1"/>
  <c r="BL239" i="4" s="1"/>
  <c r="DT15" i="4"/>
  <c r="BZ42" i="4"/>
  <c r="BZ150" i="4"/>
  <c r="BZ241" i="4"/>
  <c r="AL42" i="4"/>
  <c r="BX58" i="4"/>
  <c r="AT96" i="4"/>
  <c r="AT98" i="4" s="1"/>
  <c r="DH90" i="4"/>
  <c r="AU185" i="4"/>
  <c r="DQ162" i="4"/>
  <c r="DQ166" i="4" s="1"/>
  <c r="X242" i="4"/>
  <c r="CM58" i="4"/>
  <c r="CM60" i="4" s="1"/>
  <c r="X34" i="4"/>
  <c r="X241" i="4" s="1"/>
  <c r="BX19" i="4"/>
  <c r="CL44" i="4"/>
  <c r="BM34" i="4"/>
  <c r="BM43" i="4" s="1"/>
  <c r="BM44" i="4"/>
  <c r="BM45" i="4" s="1"/>
  <c r="DP166" i="4"/>
  <c r="CM143" i="4"/>
  <c r="DS143" i="4" s="1"/>
  <c r="CK146" i="4"/>
  <c r="I34" i="4"/>
  <c r="I43" i="4" s="1"/>
  <c r="CE43" i="4"/>
  <c r="BY242" i="4"/>
  <c r="I44" i="4"/>
  <c r="I45" i="4" s="1"/>
  <c r="DP160" i="4"/>
  <c r="AU90" i="4"/>
  <c r="AU102" i="4" s="1"/>
  <c r="CE150" i="4"/>
  <c r="CE51" i="4" s="1"/>
  <c r="CE42" i="4"/>
  <c r="Q34" i="4"/>
  <c r="Q42" i="4" s="1"/>
  <c r="H34" i="4"/>
  <c r="H43" i="4" s="1"/>
  <c r="DP146" i="4"/>
  <c r="CA166" i="4"/>
  <c r="BS34" i="4"/>
  <c r="BS42" i="4" s="1"/>
  <c r="AT34" i="4"/>
  <c r="AT43" i="4" s="1"/>
  <c r="DK146" i="4"/>
  <c r="AT44" i="4"/>
  <c r="AT45" i="4" s="1"/>
  <c r="J9" i="27"/>
  <c r="D42" i="4"/>
  <c r="AQ166" i="4"/>
  <c r="CM185" i="4"/>
  <c r="DP13" i="4"/>
  <c r="DM80" i="4"/>
  <c r="DI162" i="4"/>
  <c r="DI166" i="4" s="1"/>
  <c r="DG130" i="4"/>
  <c r="AQ58" i="4"/>
  <c r="AQ185" i="4"/>
  <c r="BS44" i="4"/>
  <c r="BS45" i="4" s="1"/>
  <c r="N44" i="4"/>
  <c r="N45" i="4" s="1"/>
  <c r="BG146" i="4"/>
  <c r="AW242" i="4"/>
  <c r="CX59" i="4"/>
  <c r="DJ159" i="4"/>
  <c r="DJ160" i="4" s="1"/>
  <c r="AW34" i="4"/>
  <c r="AW241" i="4" s="1"/>
  <c r="J45" i="29"/>
  <c r="DA59" i="4"/>
  <c r="DB59" i="4"/>
  <c r="DM131" i="4"/>
  <c r="CY59" i="4"/>
  <c r="CO129" i="4"/>
  <c r="DJ145" i="4"/>
  <c r="DJ146" i="4" s="1"/>
  <c r="DK166" i="4"/>
  <c r="DC59" i="4"/>
  <c r="BO166" i="4"/>
  <c r="DM162" i="4"/>
  <c r="DM166" i="4" s="1"/>
  <c r="DJ162" i="4"/>
  <c r="BC166" i="4"/>
  <c r="DT145" i="4"/>
  <c r="DN146" i="4"/>
  <c r="BS146" i="4"/>
  <c r="DN59" i="4"/>
  <c r="DI59" i="4"/>
  <c r="DM59" i="4"/>
  <c r="BO80" i="4"/>
  <c r="BK34" i="4"/>
  <c r="BK242" i="4"/>
  <c r="BK44" i="4"/>
  <c r="DO13" i="4"/>
  <c r="AU242" i="4"/>
  <c r="AU44" i="4"/>
  <c r="AU45" i="4" s="1"/>
  <c r="AU34" i="4"/>
  <c r="CD42" i="4"/>
  <c r="CD241" i="4"/>
  <c r="DB129" i="4"/>
  <c r="DB150" i="4" s="1"/>
  <c r="DS162" i="4"/>
  <c r="DS166" i="4" s="1"/>
  <c r="W42" i="4"/>
  <c r="CM145" i="4"/>
  <c r="Y34" i="4"/>
  <c r="Y42" i="4" s="1"/>
  <c r="DR58" i="4"/>
  <c r="BV58" i="4"/>
  <c r="BV19" i="4"/>
  <c r="BV25" i="4"/>
  <c r="DL165" i="4"/>
  <c r="AA59" i="4"/>
  <c r="DN162" i="4"/>
  <c r="DN166" i="4" s="1"/>
  <c r="DD30" i="4"/>
  <c r="DD28" i="4"/>
  <c r="CF176" i="4"/>
  <c r="CF178" i="4" s="1"/>
  <c r="CF52" i="4" s="1"/>
  <c r="DB34" i="4"/>
  <c r="DB44" i="4"/>
  <c r="BR42" i="4"/>
  <c r="BR43" i="4"/>
  <c r="BR96" i="4"/>
  <c r="V42" i="4"/>
  <c r="V43" i="4"/>
  <c r="W129" i="4"/>
  <c r="W150" i="4" s="1"/>
  <c r="R43" i="4"/>
  <c r="R42" i="4"/>
  <c r="R129" i="4"/>
  <c r="R150" i="4" s="1"/>
  <c r="N43" i="4"/>
  <c r="N42" i="4"/>
  <c r="N129" i="4"/>
  <c r="N150" i="4" s="1"/>
  <c r="J43" i="4"/>
  <c r="J42" i="4"/>
  <c r="J129" i="4"/>
  <c r="J150" i="4" s="1"/>
  <c r="BT59" i="4"/>
  <c r="L43" i="4"/>
  <c r="L42" i="4"/>
  <c r="L129" i="4"/>
  <c r="L150" i="4" s="1"/>
  <c r="AB43" i="4"/>
  <c r="AB42" i="4"/>
  <c r="AB129" i="4"/>
  <c r="AB150" i="4" s="1"/>
  <c r="AB51" i="4" s="1"/>
  <c r="AB241" i="4"/>
  <c r="CZ44" i="4"/>
  <c r="CZ34" i="4"/>
  <c r="AF43" i="4"/>
  <c r="AF42" i="4"/>
  <c r="AF241" i="4"/>
  <c r="AF129" i="4"/>
  <c r="AF150" i="4" s="1"/>
  <c r="AF51" i="4" s="1"/>
  <c r="DO58" i="4"/>
  <c r="DO19" i="4"/>
  <c r="DO25" i="4"/>
  <c r="AG43" i="4"/>
  <c r="AG42" i="4"/>
  <c r="AG241" i="4"/>
  <c r="AG129" i="4"/>
  <c r="DC30" i="4"/>
  <c r="DC28" i="4"/>
  <c r="BA42" i="4"/>
  <c r="BA43" i="4"/>
  <c r="BA241" i="4"/>
  <c r="BA129" i="4"/>
  <c r="AT80" i="4"/>
  <c r="AT104" i="4" s="1"/>
  <c r="K43" i="4"/>
  <c r="K42" i="4"/>
  <c r="K129" i="4"/>
  <c r="K150" i="4" s="1"/>
  <c r="T42" i="4"/>
  <c r="T43" i="4"/>
  <c r="U129" i="4"/>
  <c r="U150" i="4" s="1"/>
  <c r="BD43" i="4"/>
  <c r="BD42" i="4"/>
  <c r="BD129" i="4"/>
  <c r="BD150" i="4" s="1"/>
  <c r="BD51" i="4" s="1"/>
  <c r="BD241" i="4"/>
  <c r="CY30" i="4"/>
  <c r="CY28" i="4"/>
  <c r="BF44" i="4"/>
  <c r="BF45" i="4" s="1"/>
  <c r="BF242" i="4"/>
  <c r="BF34" i="4"/>
  <c r="DJ34" i="4"/>
  <c r="DJ44" i="4"/>
  <c r="DJ242" i="4"/>
  <c r="BU59" i="4"/>
  <c r="BW44" i="4"/>
  <c r="BW242" i="4"/>
  <c r="BW34" i="4"/>
  <c r="AZ42" i="4"/>
  <c r="AZ43" i="4"/>
  <c r="AZ241" i="4"/>
  <c r="AZ129" i="4"/>
  <c r="AZ150" i="4" s="1"/>
  <c r="AZ51" i="4" s="1"/>
  <c r="DG30" i="4"/>
  <c r="DG28" i="4"/>
  <c r="CA44" i="4"/>
  <c r="CA45" i="4" s="1"/>
  <c r="CA34" i="4"/>
  <c r="CA242" i="4"/>
  <c r="DJ164" i="4"/>
  <c r="BE43" i="4"/>
  <c r="BE42" i="4"/>
  <c r="BE241" i="4"/>
  <c r="DI155" i="4"/>
  <c r="CH59" i="4"/>
  <c r="AI43" i="4"/>
  <c r="AI42" i="4"/>
  <c r="AI241" i="4"/>
  <c r="AI129" i="4"/>
  <c r="DM30" i="4"/>
  <c r="DM28" i="4"/>
  <c r="DL44" i="4"/>
  <c r="DL34" i="4"/>
  <c r="DL242" i="4"/>
  <c r="P43" i="4"/>
  <c r="P42" i="4"/>
  <c r="P129" i="4"/>
  <c r="P150" i="4" s="1"/>
  <c r="O43" i="4"/>
  <c r="O42" i="4"/>
  <c r="O129" i="4"/>
  <c r="O150" i="4" s="1"/>
  <c r="BJ43" i="4"/>
  <c r="BJ42" i="4"/>
  <c r="BJ129" i="4"/>
  <c r="BJ241" i="4"/>
  <c r="DN30" i="4"/>
  <c r="DN28" i="4"/>
  <c r="AN43" i="4"/>
  <c r="AN42" i="4"/>
  <c r="AN96" i="4"/>
  <c r="AN100" i="4" s="1"/>
  <c r="AN129" i="4"/>
  <c r="AN150" i="4" s="1"/>
  <c r="AN51" i="4" s="1"/>
  <c r="DK44" i="4"/>
  <c r="DK34" i="4"/>
  <c r="DK242" i="4"/>
  <c r="DA30" i="4"/>
  <c r="DA28" i="4"/>
  <c r="F42" i="4"/>
  <c r="F43" i="4"/>
  <c r="BU28" i="4"/>
  <c r="BU30" i="4"/>
  <c r="Z44" i="4"/>
  <c r="Z45" i="4" s="1"/>
  <c r="Z34" i="4"/>
  <c r="Z242" i="4"/>
  <c r="AE43" i="4"/>
  <c r="AE42" i="4"/>
  <c r="AE241" i="4"/>
  <c r="AE129" i="4"/>
  <c r="AJ42" i="4"/>
  <c r="AJ43" i="4"/>
  <c r="AJ129" i="4"/>
  <c r="AJ150" i="4" s="1"/>
  <c r="AJ51" i="4" s="1"/>
  <c r="AJ241" i="4"/>
  <c r="BB42" i="4"/>
  <c r="BB43" i="4"/>
  <c r="BB241" i="4"/>
  <c r="BB129" i="4"/>
  <c r="AA43" i="4"/>
  <c r="AA42" i="4"/>
  <c r="AA241" i="4"/>
  <c r="DM100" i="4"/>
  <c r="BP100" i="4"/>
  <c r="CK44" i="4"/>
  <c r="CO45" i="4" s="1"/>
  <c r="CK242" i="4"/>
  <c r="CK34" i="4"/>
  <c r="DP58" i="4"/>
  <c r="DP19" i="4"/>
  <c r="C57" i="30" s="1"/>
  <c r="DP25" i="4"/>
  <c r="BI43" i="4"/>
  <c r="BI42" i="4"/>
  <c r="BI241" i="4"/>
  <c r="CB44" i="4"/>
  <c r="CB242" i="4"/>
  <c r="CB34" i="4"/>
  <c r="CP44" i="4"/>
  <c r="CP34" i="4"/>
  <c r="CP242" i="4"/>
  <c r="BT28" i="4"/>
  <c r="BT30" i="4"/>
  <c r="BH43" i="4"/>
  <c r="BH42" i="4"/>
  <c r="BH129" i="4"/>
  <c r="BH150" i="4" s="1"/>
  <c r="BH51" i="4" s="1"/>
  <c r="BH241" i="4"/>
  <c r="DE30" i="4"/>
  <c r="DE28" i="4"/>
  <c r="DO100" i="4"/>
  <c r="BS59" i="4"/>
  <c r="DI30" i="4"/>
  <c r="DI28" i="4"/>
  <c r="CH30" i="4"/>
  <c r="CH28" i="4"/>
  <c r="AP43" i="4"/>
  <c r="AP42" i="4"/>
  <c r="AP96" i="4"/>
  <c r="AP98" i="4" s="1"/>
  <c r="BN43" i="4"/>
  <c r="BN42" i="4"/>
  <c r="BN129" i="4"/>
  <c r="AV239" i="4"/>
  <c r="DH239" i="4"/>
  <c r="DI239" i="4"/>
  <c r="CX30" i="4"/>
  <c r="CX28" i="4"/>
  <c r="BO43" i="4"/>
  <c r="BO42" i="4"/>
  <c r="BO241" i="4"/>
  <c r="CC43" i="4"/>
  <c r="CC42" i="4"/>
  <c r="CC241" i="4"/>
  <c r="BP42" i="4"/>
  <c r="BP43" i="4"/>
  <c r="BP241" i="4"/>
  <c r="BP129" i="4"/>
  <c r="BP150" i="4" s="1"/>
  <c r="BP51" i="4" s="1"/>
  <c r="DF30" i="4"/>
  <c r="DF28" i="4"/>
  <c r="S43" i="4"/>
  <c r="S42" i="4"/>
  <c r="S129" i="4"/>
  <c r="S150" i="4" s="1"/>
  <c r="DW87" i="4"/>
  <c r="DX87" i="4" s="1"/>
  <c r="T8" i="30" l="1"/>
  <c r="Y47" i="30"/>
  <c r="Y8" i="30" s="1"/>
  <c r="V8" i="30"/>
  <c r="AA54" i="30"/>
  <c r="AA8" i="30" s="1"/>
  <c r="AB54" i="30"/>
  <c r="U8" i="30"/>
  <c r="Z54" i="30"/>
  <c r="Z8" i="30" s="1"/>
  <c r="T57" i="30"/>
  <c r="T11" i="30" s="1"/>
  <c r="U57" i="30"/>
  <c r="U11" i="30" s="1"/>
  <c r="U42" i="30"/>
  <c r="T42" i="30"/>
  <c r="T35" i="30"/>
  <c r="U35" i="30"/>
  <c r="T43" i="30"/>
  <c r="U43" i="30"/>
  <c r="W56" i="30"/>
  <c r="T56" i="30"/>
  <c r="Y56" i="30" s="1"/>
  <c r="U56" i="30"/>
  <c r="CL110" i="4"/>
  <c r="CK110" i="4"/>
  <c r="DU16" i="4"/>
  <c r="DV16" i="4" s="1"/>
  <c r="DW16" i="4" s="1"/>
  <c r="DX16" i="4" s="1"/>
  <c r="DY16" i="4" s="1"/>
  <c r="DZ16" i="4" s="1"/>
  <c r="H13" i="29"/>
  <c r="H14" i="29" s="1"/>
  <c r="CR139" i="4"/>
  <c r="D20" i="29"/>
  <c r="DV17" i="4"/>
  <c r="H15" i="29"/>
  <c r="J15" i="29" s="1"/>
  <c r="L19" i="29"/>
  <c r="N19" i="29" s="1"/>
  <c r="BX104" i="32"/>
  <c r="DR102" i="32"/>
  <c r="BP121" i="4"/>
  <c r="BP125" i="4"/>
  <c r="AN121" i="4"/>
  <c r="AN125" i="4"/>
  <c r="DM121" i="4"/>
  <c r="DM125" i="4"/>
  <c r="BT117" i="4"/>
  <c r="BT125" i="4" s="1"/>
  <c r="BU117" i="4"/>
  <c r="BU125" i="4" s="1"/>
  <c r="BV104" i="32"/>
  <c r="AY241" i="4"/>
  <c r="AY42" i="4"/>
  <c r="CR103" i="32"/>
  <c r="CR104" i="32" s="1"/>
  <c r="DT104" i="32"/>
  <c r="DT102" i="32"/>
  <c r="CT102" i="32"/>
  <c r="CS101" i="32"/>
  <c r="CS103" i="32" s="1"/>
  <c r="CS104" i="32" s="1"/>
  <c r="DZ239" i="4"/>
  <c r="CM102" i="32"/>
  <c r="DS101" i="32"/>
  <c r="DS103" i="32" s="1"/>
  <c r="DO101" i="32"/>
  <c r="BX28" i="4"/>
  <c r="BX102" i="32"/>
  <c r="DP101" i="32"/>
  <c r="DO102" i="4"/>
  <c r="DO121" i="4"/>
  <c r="CT36" i="4"/>
  <c r="CU36" i="4" s="1"/>
  <c r="DK116" i="4"/>
  <c r="DK123" i="4" s="1"/>
  <c r="DK60" i="4"/>
  <c r="DJ59" i="4"/>
  <c r="DJ60" i="4"/>
  <c r="BV60" i="4"/>
  <c r="BZ60" i="4"/>
  <c r="DU29" i="4"/>
  <c r="BX60" i="4"/>
  <c r="CB60" i="4"/>
  <c r="DL116" i="4"/>
  <c r="DL123" i="4" s="1"/>
  <c r="DL60" i="4"/>
  <c r="DP116" i="4"/>
  <c r="DP123" i="4" s="1"/>
  <c r="DP60" i="4"/>
  <c r="DO116" i="4"/>
  <c r="DO123" i="4" s="1"/>
  <c r="DO60" i="4"/>
  <c r="DR116" i="4"/>
  <c r="DR123" i="4" s="1"/>
  <c r="DR60" i="4"/>
  <c r="AU60" i="4"/>
  <c r="DQ116" i="4"/>
  <c r="DQ123" i="4" s="1"/>
  <c r="DQ60" i="4"/>
  <c r="CT68" i="4"/>
  <c r="CU141" i="4" s="1"/>
  <c r="CT92" i="4"/>
  <c r="CU92" i="4" s="1"/>
  <c r="CR141" i="4"/>
  <c r="CR240" i="4"/>
  <c r="DT48" i="4"/>
  <c r="C29" i="30" s="1"/>
  <c r="DU68" i="4"/>
  <c r="DU107" i="4" s="1"/>
  <c r="DV107" i="4" s="1"/>
  <c r="DW107" i="4" s="1"/>
  <c r="DX107" i="4" s="1"/>
  <c r="DY107" i="4" s="1"/>
  <c r="DZ107" i="4" s="1"/>
  <c r="CS68" i="4"/>
  <c r="CT24" i="4"/>
  <c r="CS23" i="4"/>
  <c r="CS139" i="4" s="1"/>
  <c r="DY87" i="4"/>
  <c r="DU120" i="4"/>
  <c r="DV82" i="4"/>
  <c r="CS38" i="4"/>
  <c r="DT38" i="4"/>
  <c r="DU164" i="4"/>
  <c r="CO42" i="4"/>
  <c r="CO241" i="4"/>
  <c r="DT68" i="4"/>
  <c r="BP45" i="4"/>
  <c r="CG176" i="4"/>
  <c r="CG178" i="4" s="1"/>
  <c r="CG52" i="4" s="1"/>
  <c r="CG51" i="4"/>
  <c r="BZ176" i="4"/>
  <c r="BZ178" i="4" s="1"/>
  <c r="BZ52" i="4" s="1"/>
  <c r="BZ51" i="4"/>
  <c r="AL170" i="4"/>
  <c r="AL51" i="4"/>
  <c r="BW45" i="4"/>
  <c r="L45" i="4"/>
  <c r="DJ116" i="4"/>
  <c r="DJ123" i="4" s="1"/>
  <c r="DL45" i="4"/>
  <c r="DQ59" i="4"/>
  <c r="AV45" i="4"/>
  <c r="G56" i="30"/>
  <c r="AK42" i="4"/>
  <c r="AK129" i="4"/>
  <c r="AK150" i="4" s="1"/>
  <c r="AK241" i="4"/>
  <c r="Q49" i="30"/>
  <c r="W49" i="30" s="1"/>
  <c r="AB49" i="30" s="1"/>
  <c r="W47" i="30"/>
  <c r="AB47" i="30" s="1"/>
  <c r="DT114" i="4"/>
  <c r="BG45" i="4"/>
  <c r="W43" i="30"/>
  <c r="V43" i="30"/>
  <c r="E49" i="30"/>
  <c r="T49" i="30" s="1"/>
  <c r="G47" i="30"/>
  <c r="CP45" i="4"/>
  <c r="H70" i="30"/>
  <c r="L70" i="30" s="1"/>
  <c r="CK45" i="4"/>
  <c r="M74" i="30"/>
  <c r="Q74" i="30" s="1"/>
  <c r="V56" i="30"/>
  <c r="AW45" i="4"/>
  <c r="M49" i="30"/>
  <c r="O47" i="30"/>
  <c r="V47" i="30"/>
  <c r="AA47" i="30" s="1"/>
  <c r="W57" i="30"/>
  <c r="W11" i="30" s="1"/>
  <c r="V57" i="30"/>
  <c r="V11" i="30" s="1"/>
  <c r="C51" i="30"/>
  <c r="AG45" i="4"/>
  <c r="CE45" i="4"/>
  <c r="AY45" i="4"/>
  <c r="H74" i="30"/>
  <c r="L74" i="30" s="1"/>
  <c r="AX45" i="4"/>
  <c r="V35" i="30"/>
  <c r="W35" i="30"/>
  <c r="C36" i="30"/>
  <c r="AQ45" i="4"/>
  <c r="BB45" i="4"/>
  <c r="K56" i="30"/>
  <c r="BJ45" i="4"/>
  <c r="R45" i="4"/>
  <c r="K47" i="30"/>
  <c r="I49" i="30"/>
  <c r="U49" i="30" s="1"/>
  <c r="Z49" i="30" s="1"/>
  <c r="AA45" i="4"/>
  <c r="AD45" i="4"/>
  <c r="CF45" i="4"/>
  <c r="BK45" i="4"/>
  <c r="DK45" i="4"/>
  <c r="BQ45" i="4"/>
  <c r="BO45" i="4"/>
  <c r="M45" i="4"/>
  <c r="V42" i="30"/>
  <c r="W42" i="30"/>
  <c r="AL45" i="4"/>
  <c r="DQ43" i="4"/>
  <c r="DL59" i="4"/>
  <c r="BQ129" i="4"/>
  <c r="BR129" i="4" s="1"/>
  <c r="BS129" i="4" s="1"/>
  <c r="BQ241" i="4"/>
  <c r="DK59" i="4"/>
  <c r="BQ42" i="4"/>
  <c r="BK241" i="4"/>
  <c r="AR43" i="4"/>
  <c r="AR241" i="4"/>
  <c r="AR129" i="4"/>
  <c r="AR150" i="4" s="1"/>
  <c r="AC43" i="4"/>
  <c r="AC129" i="4"/>
  <c r="AC150" i="4" s="1"/>
  <c r="AC241" i="4"/>
  <c r="AX42" i="4"/>
  <c r="DR28" i="4"/>
  <c r="DI182" i="4"/>
  <c r="DI185" i="4"/>
  <c r="DG184" i="4"/>
  <c r="DG183" i="4"/>
  <c r="DG185" i="4"/>
  <c r="DS183" i="4"/>
  <c r="DS185" i="4"/>
  <c r="DS184" i="4"/>
  <c r="AX43" i="4"/>
  <c r="DH58" i="4"/>
  <c r="DH184" i="4"/>
  <c r="DH183" i="4"/>
  <c r="DH185" i="4"/>
  <c r="DS58" i="4"/>
  <c r="DS19" i="4"/>
  <c r="DS144" i="4"/>
  <c r="AX129" i="4"/>
  <c r="AX150" i="4" s="1"/>
  <c r="BX116" i="4"/>
  <c r="BX123" i="4" s="1"/>
  <c r="CO116" i="4"/>
  <c r="CO123" i="4" s="1"/>
  <c r="AW116" i="4"/>
  <c r="AW123" i="4" s="1"/>
  <c r="DS25" i="4"/>
  <c r="AH129" i="4"/>
  <c r="AH150" i="4" s="1"/>
  <c r="BY116" i="4"/>
  <c r="BY123" i="4" s="1"/>
  <c r="AX116" i="4"/>
  <c r="AX123" i="4" s="1"/>
  <c r="AV116" i="4"/>
  <c r="AV123" i="4" s="1"/>
  <c r="BV116" i="4"/>
  <c r="BV123" i="4" s="1"/>
  <c r="AH241" i="4"/>
  <c r="BW116" i="4"/>
  <c r="BW123" i="4" s="1"/>
  <c r="AT116" i="4"/>
  <c r="AT123" i="4" s="1"/>
  <c r="AQ116" i="4"/>
  <c r="AQ123" i="4" s="1"/>
  <c r="AR116" i="4"/>
  <c r="AR123" i="4" s="1"/>
  <c r="AS116" i="4"/>
  <c r="AS123" i="4" s="1"/>
  <c r="CP116" i="4"/>
  <c r="CP123" i="4" s="1"/>
  <c r="CM116" i="4"/>
  <c r="CM123" i="4" s="1"/>
  <c r="CN116" i="4"/>
  <c r="CN123" i="4" s="1"/>
  <c r="CA116" i="4"/>
  <c r="CA123" i="4" s="1"/>
  <c r="BZ116" i="4"/>
  <c r="BZ123" i="4" s="1"/>
  <c r="AH42" i="4"/>
  <c r="DH44" i="4"/>
  <c r="AU116" i="4"/>
  <c r="AU123" i="4" s="1"/>
  <c r="G42" i="4"/>
  <c r="AS42" i="4"/>
  <c r="AS43" i="4"/>
  <c r="DQ42" i="4"/>
  <c r="AU59" i="4"/>
  <c r="BG129" i="4"/>
  <c r="BG150" i="4" s="1"/>
  <c r="BG42" i="4"/>
  <c r="CJ150" i="4"/>
  <c r="BG43" i="4"/>
  <c r="AV129" i="4"/>
  <c r="AV150" i="4" s="1"/>
  <c r="AV42" i="4"/>
  <c r="BC43" i="4"/>
  <c r="M43" i="4"/>
  <c r="M42" i="4"/>
  <c r="CM30" i="4"/>
  <c r="CK150" i="4"/>
  <c r="DI160" i="4"/>
  <c r="BC241" i="4"/>
  <c r="K31" i="28"/>
  <c r="AO42" i="4"/>
  <c r="BY42" i="4"/>
  <c r="BC129" i="4"/>
  <c r="DJ129" i="4" s="1"/>
  <c r="BL129" i="4"/>
  <c r="BL150" i="4" s="1"/>
  <c r="AO43" i="4"/>
  <c r="J47" i="28"/>
  <c r="J48" i="28"/>
  <c r="AT42" i="4"/>
  <c r="DH242" i="4"/>
  <c r="BL43" i="4"/>
  <c r="BL241" i="4"/>
  <c r="U42" i="4"/>
  <c r="U43" i="4"/>
  <c r="J34" i="27"/>
  <c r="AM129" i="4"/>
  <c r="AM241" i="4"/>
  <c r="AM42" i="4"/>
  <c r="H42" i="4"/>
  <c r="X42" i="4"/>
  <c r="X43" i="4"/>
  <c r="H129" i="4"/>
  <c r="H150" i="4" s="1"/>
  <c r="BX59" i="4"/>
  <c r="AW129" i="4"/>
  <c r="AW150" i="4" s="1"/>
  <c r="BO90" i="4"/>
  <c r="BO102" i="4" s="1"/>
  <c r="BO104" i="4" s="1"/>
  <c r="AD129" i="4"/>
  <c r="AD150" i="4" s="1"/>
  <c r="AD43" i="4"/>
  <c r="AD241" i="4"/>
  <c r="DT10" i="4"/>
  <c r="AU96" i="4"/>
  <c r="DH96" i="4" s="1"/>
  <c r="I129" i="4"/>
  <c r="I150" i="4" s="1"/>
  <c r="J8" i="29"/>
  <c r="BM96" i="4"/>
  <c r="BM241" i="4" s="1"/>
  <c r="DT152" i="4"/>
  <c r="BM42" i="4"/>
  <c r="Q43" i="4"/>
  <c r="CM59" i="4"/>
  <c r="I42" i="4"/>
  <c r="CO150" i="4"/>
  <c r="CP129" i="4"/>
  <c r="CG170" i="4"/>
  <c r="L9" i="27"/>
  <c r="H9" i="27"/>
  <c r="X129" i="4"/>
  <c r="X150" i="4" s="1"/>
  <c r="X170" i="4" s="1"/>
  <c r="X172" i="4" s="1"/>
  <c r="X174" i="4" s="1"/>
  <c r="DS32" i="4"/>
  <c r="CL242" i="4"/>
  <c r="CL34" i="4"/>
  <c r="CM146" i="4"/>
  <c r="CE170" i="4"/>
  <c r="CE176" i="4"/>
  <c r="CE178" i="4" s="1"/>
  <c r="CE52" i="4" s="1"/>
  <c r="K9" i="27"/>
  <c r="BS43" i="4"/>
  <c r="DJ166" i="4"/>
  <c r="Q129" i="4"/>
  <c r="Q150" i="4" s="1"/>
  <c r="AQ59" i="4"/>
  <c r="DG58" i="4"/>
  <c r="DS145" i="4"/>
  <c r="DL166" i="4"/>
  <c r="BV59" i="4"/>
  <c r="AW42" i="4"/>
  <c r="AW43" i="4"/>
  <c r="Y43" i="4"/>
  <c r="AG150" i="4"/>
  <c r="BN150" i="4"/>
  <c r="CN150" i="4"/>
  <c r="AL176" i="4"/>
  <c r="AL178" i="4" s="1"/>
  <c r="AL52" i="4" s="1"/>
  <c r="CC150" i="4"/>
  <c r="BB150" i="4"/>
  <c r="BA150" i="4"/>
  <c r="CD150" i="4"/>
  <c r="DM102" i="4"/>
  <c r="DM104" i="4" s="1"/>
  <c r="DP59" i="4"/>
  <c r="DO59" i="4"/>
  <c r="DR59" i="4"/>
  <c r="BP102" i="4"/>
  <c r="AN102" i="4"/>
  <c r="AN104" i="4" s="1"/>
  <c r="BL100" i="4"/>
  <c r="BP73" i="4"/>
  <c r="BP80" i="4" s="1"/>
  <c r="Y241" i="4"/>
  <c r="BK42" i="4"/>
  <c r="BK43" i="4"/>
  <c r="AU42" i="4"/>
  <c r="AU129" i="4"/>
  <c r="AU43" i="4"/>
  <c r="Y129" i="4"/>
  <c r="Y150" i="4" s="1"/>
  <c r="Y176" i="4" s="1"/>
  <c r="Y178" i="4" s="1"/>
  <c r="DD242" i="4"/>
  <c r="DD44" i="4"/>
  <c r="DD34" i="4"/>
  <c r="BV30" i="4"/>
  <c r="BV28" i="4"/>
  <c r="N44" i="29"/>
  <c r="L45" i="29"/>
  <c r="N45" i="29" s="1"/>
  <c r="BX44" i="4"/>
  <c r="BX242" i="4"/>
  <c r="BX34" i="4"/>
  <c r="DF44" i="4"/>
  <c r="DF34" i="4"/>
  <c r="DF242" i="4"/>
  <c r="DM44" i="4"/>
  <c r="DM45" i="4" s="1"/>
  <c r="DM34" i="4"/>
  <c r="DM242" i="4"/>
  <c r="DG44" i="4"/>
  <c r="DG34" i="4"/>
  <c r="DG242" i="4"/>
  <c r="BP176" i="4"/>
  <c r="BP178" i="4" s="1"/>
  <c r="BP52" i="4" s="1"/>
  <c r="CX34" i="4"/>
  <c r="CX129" i="4" s="1"/>
  <c r="CX150" i="4" s="1"/>
  <c r="CX44" i="4"/>
  <c r="DI44" i="4"/>
  <c r="DJ45" i="4" s="1"/>
  <c r="DI34" i="4"/>
  <c r="DI242" i="4"/>
  <c r="BY100" i="4"/>
  <c r="BY121" i="4" s="1"/>
  <c r="BX96" i="4"/>
  <c r="BX100" i="4" s="1"/>
  <c r="BX121" i="4" s="1"/>
  <c r="BT44" i="4"/>
  <c r="BT34" i="4"/>
  <c r="BT242" i="4"/>
  <c r="CK43" i="4"/>
  <c r="CK42" i="4"/>
  <c r="CK241" i="4"/>
  <c r="AJ176" i="4"/>
  <c r="AJ178" i="4" s="1"/>
  <c r="Z43" i="4"/>
  <c r="Z42" i="4"/>
  <c r="Z241" i="4"/>
  <c r="AN176" i="4"/>
  <c r="AN178" i="4" s="1"/>
  <c r="AN52" i="4" s="1"/>
  <c r="AZ176" i="4"/>
  <c r="AZ178" i="4" s="1"/>
  <c r="AZ52" i="4" s="1"/>
  <c r="DJ42" i="4"/>
  <c r="DJ43" i="4"/>
  <c r="DJ241" i="4"/>
  <c r="AB176" i="4"/>
  <c r="AB178" i="4" s="1"/>
  <c r="AB52" i="4" s="1"/>
  <c r="N46" i="29"/>
  <c r="L47" i="29"/>
  <c r="N47" i="29" s="1"/>
  <c r="DE44" i="4"/>
  <c r="DE34" i="4"/>
  <c r="DE242" i="4"/>
  <c r="DP30" i="4"/>
  <c r="DP28" i="4"/>
  <c r="DP117" i="4" s="1"/>
  <c r="DP125" i="4" s="1"/>
  <c r="AN241" i="4"/>
  <c r="AO241" i="4"/>
  <c r="CY44" i="4"/>
  <c r="CZ45" i="4" s="1"/>
  <c r="CY34" i="4"/>
  <c r="BS241" i="4"/>
  <c r="BR241" i="4"/>
  <c r="Y18" i="27"/>
  <c r="DH42" i="4"/>
  <c r="DH43" i="4"/>
  <c r="AP129" i="4"/>
  <c r="AP150" i="4" s="1"/>
  <c r="AP51" i="4" s="1"/>
  <c r="AO176" i="4"/>
  <c r="AO178" i="4" s="1"/>
  <c r="AO52" i="4" s="1"/>
  <c r="CZ42" i="4"/>
  <c r="CZ43" i="4"/>
  <c r="CZ129" i="4"/>
  <c r="CZ150" i="4" s="1"/>
  <c r="DA44" i="4"/>
  <c r="DA45" i="4" s="1"/>
  <c r="DA34" i="4"/>
  <c r="BE129" i="4"/>
  <c r="BD176" i="4"/>
  <c r="BD178" i="4" s="1"/>
  <c r="AQ241" i="4"/>
  <c r="AP241" i="4"/>
  <c r="BU44" i="4"/>
  <c r="BU34" i="4"/>
  <c r="BU242" i="4"/>
  <c r="CL129" i="4"/>
  <c r="CB43" i="4"/>
  <c r="CB42" i="4"/>
  <c r="CB241" i="4"/>
  <c r="CB150" i="4"/>
  <c r="CB51" i="4" s="1"/>
  <c r="DL43" i="4"/>
  <c r="DL42" i="4"/>
  <c r="DL241" i="4"/>
  <c r="DB42" i="4"/>
  <c r="DB43" i="4"/>
  <c r="BZ170" i="4"/>
  <c r="CA42" i="4"/>
  <c r="CA43" i="4"/>
  <c r="CA150" i="4"/>
  <c r="CA51" i="4" s="1"/>
  <c r="CA241" i="4"/>
  <c r="DO30" i="4"/>
  <c r="DO28" i="4"/>
  <c r="DO117" i="4" s="1"/>
  <c r="DO125" i="4" s="1"/>
  <c r="DR34" i="4"/>
  <c r="DR44" i="4"/>
  <c r="DR242" i="4"/>
  <c r="CF170" i="4"/>
  <c r="CM28" i="4"/>
  <c r="DS27" i="4"/>
  <c r="CH44" i="4"/>
  <c r="CH45" i="4" s="1"/>
  <c r="CH242" i="4"/>
  <c r="CH34" i="4"/>
  <c r="CP43" i="4"/>
  <c r="CP42" i="4"/>
  <c r="CP241" i="4"/>
  <c r="AT241" i="4"/>
  <c r="AT163" i="4"/>
  <c r="AF176" i="4"/>
  <c r="AF178" i="4" s="1"/>
  <c r="AF52" i="4" s="1"/>
  <c r="BI129" i="4"/>
  <c r="BH176" i="4"/>
  <c r="BH178" i="4" s="1"/>
  <c r="BH52" i="4" s="1"/>
  <c r="DK43" i="4"/>
  <c r="DK42" i="4"/>
  <c r="DK241" i="4"/>
  <c r="DN44" i="4"/>
  <c r="DN34" i="4"/>
  <c r="DN242" i="4"/>
  <c r="BW43" i="4"/>
  <c r="BW42" i="4"/>
  <c r="BW241" i="4"/>
  <c r="BW129" i="4"/>
  <c r="BF43" i="4"/>
  <c r="BF42" i="4"/>
  <c r="BF241" i="4"/>
  <c r="DC44" i="4"/>
  <c r="DC45" i="4" s="1"/>
  <c r="DC34" i="4"/>
  <c r="DC242" i="4"/>
  <c r="V10" i="30" l="1"/>
  <c r="AA56" i="30"/>
  <c r="AA10" i="30" s="1"/>
  <c r="T10" i="30"/>
  <c r="Y49" i="30"/>
  <c r="Y10" i="30" s="1"/>
  <c r="U10" i="30"/>
  <c r="Z56" i="30"/>
  <c r="Z10" i="30" s="1"/>
  <c r="W10" i="30"/>
  <c r="AB56" i="30"/>
  <c r="AB10" i="30" s="1"/>
  <c r="T36" i="30"/>
  <c r="U36" i="30"/>
  <c r="T51" i="30"/>
  <c r="U51" i="30"/>
  <c r="CM110" i="4"/>
  <c r="BT45" i="4"/>
  <c r="BU45" i="4"/>
  <c r="D30" i="29"/>
  <c r="F30" i="29" s="1"/>
  <c r="F31" i="27"/>
  <c r="H25" i="29"/>
  <c r="J25" i="29" s="1"/>
  <c r="DW17" i="4"/>
  <c r="DX17" i="4" s="1"/>
  <c r="DY17" i="4" s="1"/>
  <c r="DZ17" i="4" s="1"/>
  <c r="L15" i="29"/>
  <c r="N15" i="29" s="1"/>
  <c r="F20" i="29"/>
  <c r="Z18" i="27"/>
  <c r="AA18" i="27"/>
  <c r="BL121" i="4"/>
  <c r="BL125" i="4"/>
  <c r="BY117" i="4"/>
  <c r="BY125" i="4" s="1"/>
  <c r="BX117" i="4"/>
  <c r="BX125" i="4" s="1"/>
  <c r="BW117" i="4"/>
  <c r="BW125" i="4" s="1"/>
  <c r="BV117" i="4"/>
  <c r="BV125" i="4" s="1"/>
  <c r="BZ117" i="4"/>
  <c r="BZ125" i="4" s="1"/>
  <c r="CA117" i="4"/>
  <c r="CA125" i="4" s="1"/>
  <c r="CU102" i="32"/>
  <c r="CU101" i="32" s="1"/>
  <c r="CU103" i="32" s="1"/>
  <c r="CU104" i="32" s="1"/>
  <c r="CT101" i="32"/>
  <c r="CT103" i="32" s="1"/>
  <c r="CT104" i="32" s="1"/>
  <c r="DV29" i="4"/>
  <c r="DS102" i="32"/>
  <c r="DS104" i="32"/>
  <c r="DP102" i="32"/>
  <c r="DP103" i="32"/>
  <c r="DP104" i="32" s="1"/>
  <c r="DO102" i="32"/>
  <c r="DO103" i="32"/>
  <c r="DO104" i="32" s="1"/>
  <c r="G15" i="28"/>
  <c r="DU92" i="4"/>
  <c r="CT141" i="4"/>
  <c r="DH60" i="4"/>
  <c r="DI60" i="4"/>
  <c r="DS116" i="4"/>
  <c r="DS123" i="4" s="1"/>
  <c r="DS60" i="4"/>
  <c r="DG116" i="4"/>
  <c r="DG123" i="4" s="1"/>
  <c r="DX9" i="4"/>
  <c r="CS40" i="4"/>
  <c r="CS165" i="4" s="1"/>
  <c r="CS240" i="4"/>
  <c r="CS141" i="4"/>
  <c r="DT40" i="4"/>
  <c r="CU38" i="4"/>
  <c r="CU24" i="4"/>
  <c r="CU23" i="4" s="1"/>
  <c r="CU139" i="4" s="1"/>
  <c r="CT23" i="4"/>
  <c r="CT139" i="4" s="1"/>
  <c r="CR165" i="4"/>
  <c r="DW82" i="4"/>
  <c r="DV120" i="4"/>
  <c r="DZ87" i="4"/>
  <c r="DT36" i="4"/>
  <c r="DT37" i="4" s="1"/>
  <c r="DT240" i="4"/>
  <c r="DT107" i="4"/>
  <c r="BQ131" i="4"/>
  <c r="BR131" i="4" s="1"/>
  <c r="BS131" i="4" s="1"/>
  <c r="DH45" i="4"/>
  <c r="DT141" i="4"/>
  <c r="CJ170" i="4"/>
  <c r="CJ51" i="4"/>
  <c r="BB170" i="4"/>
  <c r="BB51" i="4"/>
  <c r="AK176" i="4"/>
  <c r="AK178" i="4" s="1"/>
  <c r="AK52" i="4" s="1"/>
  <c r="AK51" i="4"/>
  <c r="CC170" i="4"/>
  <c r="CC51" i="4"/>
  <c r="BL176" i="4"/>
  <c r="BL178" i="4" s="1"/>
  <c r="BL52" i="4" s="1"/>
  <c r="BL51" i="4"/>
  <c r="BG176" i="4"/>
  <c r="BG178" i="4" s="1"/>
  <c r="BG52" i="4" s="1"/>
  <c r="BG51" i="4"/>
  <c r="AH170" i="4"/>
  <c r="AH51" i="4"/>
  <c r="CN170" i="4"/>
  <c r="CN51" i="4"/>
  <c r="AD176" i="4"/>
  <c r="AD178" i="4" s="1"/>
  <c r="AD52" i="4" s="1"/>
  <c r="AD51" i="4"/>
  <c r="AC170" i="4"/>
  <c r="AC51" i="4"/>
  <c r="AG176" i="4"/>
  <c r="AG178" i="4" s="1"/>
  <c r="AG52" i="4" s="1"/>
  <c r="AG51" i="4"/>
  <c r="AV176" i="4"/>
  <c r="AV178" i="4" s="1"/>
  <c r="AV52" i="4" s="1"/>
  <c r="AV51" i="4"/>
  <c r="BA176" i="4"/>
  <c r="BA178" i="4" s="1"/>
  <c r="BA52" i="4" s="1"/>
  <c r="BA51" i="4"/>
  <c r="AW176" i="4"/>
  <c r="AW178" i="4" s="1"/>
  <c r="AW52" i="4" s="1"/>
  <c r="AW51" i="4"/>
  <c r="BN170" i="4"/>
  <c r="BN51" i="4"/>
  <c r="CD176" i="4"/>
  <c r="CD178" i="4" s="1"/>
  <c r="CD179" i="4" s="1"/>
  <c r="CD51" i="4"/>
  <c r="CO176" i="4"/>
  <c r="CO178" i="4" s="1"/>
  <c r="CO51" i="4"/>
  <c r="CK176" i="4"/>
  <c r="CK51" i="4"/>
  <c r="AX176" i="4"/>
  <c r="AX178" i="4" s="1"/>
  <c r="AX52" i="4" s="1"/>
  <c r="AX51" i="4"/>
  <c r="AR176" i="4"/>
  <c r="AR178" i="4" s="1"/>
  <c r="AR52" i="4" s="1"/>
  <c r="AR51" i="4"/>
  <c r="AJ179" i="4"/>
  <c r="AJ52" i="4"/>
  <c r="DF45" i="4"/>
  <c r="DN45" i="4"/>
  <c r="BD179" i="4"/>
  <c r="BD52" i="4"/>
  <c r="DE45" i="4"/>
  <c r="DF129" i="4"/>
  <c r="CL45" i="4"/>
  <c r="W51" i="30"/>
  <c r="V51" i="30"/>
  <c r="G49" i="30"/>
  <c r="W36" i="30"/>
  <c r="V36" i="30"/>
  <c r="AF179" i="4"/>
  <c r="DI45" i="4"/>
  <c r="BX45" i="4"/>
  <c r="DD45" i="4"/>
  <c r="K49" i="30"/>
  <c r="DB45" i="4"/>
  <c r="BY45" i="4"/>
  <c r="C44" i="30"/>
  <c r="DR45" i="4"/>
  <c r="AN179" i="4"/>
  <c r="E21" i="31"/>
  <c r="E22" i="31" s="1"/>
  <c r="CY45" i="4"/>
  <c r="O49" i="30"/>
  <c r="V49" i="30"/>
  <c r="AA49" i="30" s="1"/>
  <c r="DG45" i="4"/>
  <c r="BH179" i="4"/>
  <c r="CB45" i="4"/>
  <c r="DS59" i="4"/>
  <c r="AS129" i="4"/>
  <c r="AS150" i="4" s="1"/>
  <c r="DT130" i="4"/>
  <c r="DT160" i="4"/>
  <c r="DT182" i="4"/>
  <c r="DH116" i="4"/>
  <c r="DH123" i="4" s="1"/>
  <c r="DH59" i="4"/>
  <c r="DS146" i="4"/>
  <c r="DS110" i="4" s="1"/>
  <c r="DE129" i="4"/>
  <c r="DS28" i="4"/>
  <c r="CJ176" i="4"/>
  <c r="G9" i="31"/>
  <c r="DV9" i="4"/>
  <c r="BC150" i="4"/>
  <c r="BM129" i="4"/>
  <c r="BO129" i="4" s="1"/>
  <c r="DM129" i="4" s="1"/>
  <c r="DD129" i="4"/>
  <c r="DN129" i="4"/>
  <c r="CM34" i="4"/>
  <c r="CM42" i="4" s="1"/>
  <c r="CM242" i="4"/>
  <c r="CM44" i="4"/>
  <c r="AY129" i="4"/>
  <c r="DI129" i="4" s="1"/>
  <c r="L34" i="27"/>
  <c r="H34" i="27"/>
  <c r="K34" i="27"/>
  <c r="AD170" i="4"/>
  <c r="AU98" i="4"/>
  <c r="DH98" i="4" s="1"/>
  <c r="DH100" i="4" s="1"/>
  <c r="DH125" i="4" s="1"/>
  <c r="J33" i="29"/>
  <c r="CO170" i="4"/>
  <c r="BM99" i="4"/>
  <c r="BM100" i="4" s="1"/>
  <c r="BM125" i="4" s="1"/>
  <c r="BN241" i="4"/>
  <c r="AX170" i="4"/>
  <c r="CD170" i="4"/>
  <c r="CL43" i="4"/>
  <c r="CL42" i="4"/>
  <c r="CL241" i="4"/>
  <c r="AW170" i="4"/>
  <c r="BA170" i="4"/>
  <c r="BB176" i="4"/>
  <c r="BB178" i="4" s="1"/>
  <c r="BN176" i="4"/>
  <c r="AK170" i="4"/>
  <c r="DG59" i="4"/>
  <c r="AG170" i="4"/>
  <c r="X176" i="4"/>
  <c r="X178" i="4" s="1"/>
  <c r="AB179" i="4" s="1"/>
  <c r="AC176" i="4"/>
  <c r="AC178" i="4" s="1"/>
  <c r="AH176" i="4"/>
  <c r="AH178" i="4" s="1"/>
  <c r="CC176" i="4"/>
  <c r="CC178" i="4" s="1"/>
  <c r="CC52" i="4" s="1"/>
  <c r="CP150" i="4"/>
  <c r="DJ150" i="4"/>
  <c r="AA129" i="4"/>
  <c r="BE150" i="4"/>
  <c r="CN176" i="4"/>
  <c r="CN178" i="4" s="1"/>
  <c r="BI150" i="4"/>
  <c r="CL150" i="4"/>
  <c r="AU150" i="4"/>
  <c r="BP104" i="4"/>
  <c r="BX102" i="4"/>
  <c r="BX104" i="4" s="1"/>
  <c r="BY102" i="4"/>
  <c r="BY104" i="4" s="1"/>
  <c r="BL102" i="4"/>
  <c r="BL104" i="4" s="1"/>
  <c r="DH78" i="4"/>
  <c r="BQ73" i="4"/>
  <c r="BQ80" i="4" s="1"/>
  <c r="DS30" i="4"/>
  <c r="DS242" i="4" s="1"/>
  <c r="CM129" i="4"/>
  <c r="DD42" i="4"/>
  <c r="DD241" i="4"/>
  <c r="DD43" i="4"/>
  <c r="BV44" i="4"/>
  <c r="BV34" i="4"/>
  <c r="BV242" i="4"/>
  <c r="CB176" i="4"/>
  <c r="CB178" i="4" s="1"/>
  <c r="CB52" i="4" s="1"/>
  <c r="DQ129" i="4"/>
  <c r="AB170" i="4"/>
  <c r="AB172" i="4" s="1"/>
  <c r="AB174" i="4" s="1"/>
  <c r="BT43" i="4"/>
  <c r="BT42" i="4"/>
  <c r="BT129" i="4"/>
  <c r="BT150" i="4" s="1"/>
  <c r="BT51" i="4" s="1"/>
  <c r="BT241" i="4"/>
  <c r="DO44" i="4"/>
  <c r="DO45" i="4" s="1"/>
  <c r="DO34" i="4"/>
  <c r="DO242" i="4"/>
  <c r="CX43" i="4"/>
  <c r="CX42" i="4"/>
  <c r="BJ138" i="4"/>
  <c r="AU163" i="4"/>
  <c r="AT164" i="4"/>
  <c r="AT166" i="4" s="1"/>
  <c r="DI42" i="4"/>
  <c r="DI43" i="4"/>
  <c r="DF43" i="4"/>
  <c r="DF42" i="4"/>
  <c r="DF241" i="4"/>
  <c r="BK129" i="4"/>
  <c r="AF170" i="4"/>
  <c r="AF172" i="4" s="1"/>
  <c r="AF174" i="4" s="1"/>
  <c r="CA176" i="4"/>
  <c r="CA178" i="4" s="1"/>
  <c r="DP129" i="4"/>
  <c r="BF129" i="4"/>
  <c r="DA42" i="4"/>
  <c r="DA43" i="4"/>
  <c r="DA129" i="4"/>
  <c r="DA150" i="4" s="1"/>
  <c r="AQ129" i="4"/>
  <c r="AQ150" i="4" s="1"/>
  <c r="AQ51" i="4" s="1"/>
  <c r="AP176" i="4"/>
  <c r="AP178" i="4" s="1"/>
  <c r="DE43" i="4"/>
  <c r="DE42" i="4"/>
  <c r="DE241" i="4"/>
  <c r="AZ170" i="4"/>
  <c r="AN170" i="4"/>
  <c r="AV170" i="4"/>
  <c r="Y170" i="4"/>
  <c r="BL170" i="4"/>
  <c r="CK170" i="4"/>
  <c r="Y171" i="4"/>
  <c r="BP170" i="4"/>
  <c r="BQ99" i="4"/>
  <c r="BQ239" i="4" s="1"/>
  <c r="BD170" i="4"/>
  <c r="AO170" i="4"/>
  <c r="BX43" i="4"/>
  <c r="BX42" i="4"/>
  <c r="DR42" i="4"/>
  <c r="DR43" i="4"/>
  <c r="DR241" i="4"/>
  <c r="BU43" i="4"/>
  <c r="BU42" i="4"/>
  <c r="BU241" i="4"/>
  <c r="BU129" i="4"/>
  <c r="AR170" i="4"/>
  <c r="DG42" i="4"/>
  <c r="DG43" i="4"/>
  <c r="DG241" i="4"/>
  <c r="DC43" i="4"/>
  <c r="DC42" i="4"/>
  <c r="DC241" i="4"/>
  <c r="CY42" i="4"/>
  <c r="CY43" i="4"/>
  <c r="CY129" i="4"/>
  <c r="CY150" i="4" s="1"/>
  <c r="BH170" i="4"/>
  <c r="Y25" i="27"/>
  <c r="DP44" i="4"/>
  <c r="DP34" i="4"/>
  <c r="DP242" i="4"/>
  <c r="BY241" i="4"/>
  <c r="BX241" i="4"/>
  <c r="DM43" i="4"/>
  <c r="DM42" i="4"/>
  <c r="DM241" i="4"/>
  <c r="DN43" i="4"/>
  <c r="DN42" i="4"/>
  <c r="DN241" i="4"/>
  <c r="CH42" i="4"/>
  <c r="CH43" i="4"/>
  <c r="CH241" i="4"/>
  <c r="CH150" i="4"/>
  <c r="CH51" i="4" s="1"/>
  <c r="AU79" i="4"/>
  <c r="DH79" i="4" s="1"/>
  <c r="BG170" i="4"/>
  <c r="AJ170" i="4"/>
  <c r="AJ172" i="4" s="1"/>
  <c r="AJ174" i="4" s="1"/>
  <c r="T44" i="30" l="1"/>
  <c r="U44" i="30"/>
  <c r="G25" i="29"/>
  <c r="CJ178" i="4"/>
  <c r="CJ177" i="4"/>
  <c r="BN178" i="4"/>
  <c r="BN177" i="4"/>
  <c r="CK178" i="4"/>
  <c r="CK177" i="4"/>
  <c r="DV47" i="4"/>
  <c r="L8" i="29"/>
  <c r="N8" i="29" s="1"/>
  <c r="DU139" i="4"/>
  <c r="DV164" i="4"/>
  <c r="L25" i="29"/>
  <c r="N25" i="29" s="1"/>
  <c r="Y26" i="27"/>
  <c r="Z25" i="27"/>
  <c r="AA25" i="27"/>
  <c r="DW29" i="4"/>
  <c r="DW164" i="4" s="1"/>
  <c r="DU101" i="32"/>
  <c r="DU102" i="32" s="1"/>
  <c r="DV102" i="32" s="1"/>
  <c r="BM102" i="4"/>
  <c r="BM104" i="4" s="1"/>
  <c r="BM121" i="4"/>
  <c r="DH102" i="4"/>
  <c r="DH121" i="4"/>
  <c r="DU141" i="4"/>
  <c r="CT38" i="4"/>
  <c r="CT240" i="4" s="1"/>
  <c r="BQ150" i="4"/>
  <c r="BQ51" i="4" s="1"/>
  <c r="CU240" i="4"/>
  <c r="CU40" i="4"/>
  <c r="K31" i="27"/>
  <c r="J31" i="27"/>
  <c r="L31" i="27"/>
  <c r="H31" i="27"/>
  <c r="CS238" i="4"/>
  <c r="CS166" i="4"/>
  <c r="DX82" i="4"/>
  <c r="DW120" i="4"/>
  <c r="CR238" i="4"/>
  <c r="CR166" i="4"/>
  <c r="DT165" i="4"/>
  <c r="H9" i="31"/>
  <c r="H10" i="31" s="1"/>
  <c r="DX15" i="4"/>
  <c r="DX10" i="4"/>
  <c r="DX114" i="4"/>
  <c r="DX152" i="4"/>
  <c r="DX47" i="4"/>
  <c r="CS18" i="4"/>
  <c r="CR18" i="4"/>
  <c r="CR75" i="4"/>
  <c r="CR184" i="4"/>
  <c r="DU23" i="4"/>
  <c r="H20" i="29" s="1"/>
  <c r="J20" i="29" s="1"/>
  <c r="DY9" i="4"/>
  <c r="DT39" i="4"/>
  <c r="F13" i="28"/>
  <c r="DW47" i="4"/>
  <c r="CO52" i="4"/>
  <c r="CN52" i="4"/>
  <c r="AD179" i="4"/>
  <c r="BL179" i="4"/>
  <c r="BA179" i="4"/>
  <c r="F9" i="31"/>
  <c r="F10" i="31" s="1"/>
  <c r="CO179" i="4"/>
  <c r="BP179" i="4"/>
  <c r="CK179" i="4"/>
  <c r="AZ179" i="4"/>
  <c r="AV179" i="4"/>
  <c r="CL176" i="4"/>
  <c r="CL51" i="4"/>
  <c r="AK179" i="4"/>
  <c r="AR179" i="4"/>
  <c r="CD52" i="4"/>
  <c r="BI176" i="4"/>
  <c r="BI178" i="4" s="1"/>
  <c r="BI52" i="4" s="1"/>
  <c r="BI51" i="4"/>
  <c r="AO179" i="4"/>
  <c r="DJ176" i="4"/>
  <c r="DJ178" i="4" s="1"/>
  <c r="DJ52" i="4" s="1"/>
  <c r="DJ51" i="4"/>
  <c r="AU176" i="4"/>
  <c r="AU178" i="4" s="1"/>
  <c r="AU52" i="4" s="1"/>
  <c r="AU51" i="4"/>
  <c r="AS176" i="4"/>
  <c r="AS178" i="4" s="1"/>
  <c r="AS52" i="4" s="1"/>
  <c r="AS51" i="4"/>
  <c r="DT75" i="4"/>
  <c r="DU184" i="4" s="1"/>
  <c r="CP170" i="4"/>
  <c r="CP51" i="4"/>
  <c r="BE176" i="4"/>
  <c r="BE178" i="4" s="1"/>
  <c r="BE179" i="4" s="1"/>
  <c r="BE51" i="4"/>
  <c r="BC170" i="4"/>
  <c r="BC51" i="4"/>
  <c r="AP179" i="4"/>
  <c r="AP52" i="4"/>
  <c r="AC179" i="4"/>
  <c r="AC52" i="4"/>
  <c r="BB179" i="4"/>
  <c r="BB52" i="4"/>
  <c r="CE179" i="4"/>
  <c r="CA52" i="4"/>
  <c r="AH179" i="4"/>
  <c r="AH52" i="4"/>
  <c r="AL179" i="4"/>
  <c r="CB179" i="4"/>
  <c r="CF179" i="4"/>
  <c r="CC179" i="4"/>
  <c r="CG179" i="4"/>
  <c r="W44" i="30"/>
  <c r="V44" i="30"/>
  <c r="C74" i="30"/>
  <c r="G74" i="30" s="1"/>
  <c r="CM45" i="4"/>
  <c r="DP45" i="4"/>
  <c r="C58" i="30"/>
  <c r="DQ45" i="4"/>
  <c r="AT129" i="4"/>
  <c r="AT150" i="4" s="1"/>
  <c r="BV45" i="4"/>
  <c r="BZ45" i="4"/>
  <c r="AG179" i="4"/>
  <c r="U20" i="27"/>
  <c r="DT185" i="4"/>
  <c r="DT184" i="4"/>
  <c r="DT183" i="4"/>
  <c r="DI150" i="4"/>
  <c r="DV114" i="4"/>
  <c r="DV10" i="4"/>
  <c r="DV152" i="4"/>
  <c r="BM150" i="4"/>
  <c r="DW114" i="4"/>
  <c r="BC176" i="4"/>
  <c r="BC178" i="4" s="1"/>
  <c r="AY150" i="4"/>
  <c r="CM241" i="4"/>
  <c r="CM43" i="4"/>
  <c r="AU241" i="4"/>
  <c r="BN239" i="4"/>
  <c r="BM239" i="4"/>
  <c r="BE170" i="4"/>
  <c r="DS34" i="4"/>
  <c r="DS43" i="4" s="1"/>
  <c r="CP176" i="4"/>
  <c r="DJ170" i="4"/>
  <c r="CL170" i="4"/>
  <c r="BI170" i="4"/>
  <c r="DQ150" i="4"/>
  <c r="AA150" i="4"/>
  <c r="CM150" i="4"/>
  <c r="BF150" i="4"/>
  <c r="BJ150" i="4"/>
  <c r="DP150" i="4"/>
  <c r="BU150" i="4"/>
  <c r="BR150" i="4"/>
  <c r="DM150" i="4"/>
  <c r="BS150" i="4"/>
  <c r="BO150" i="4"/>
  <c r="DL129" i="4"/>
  <c r="DH80" i="4"/>
  <c r="DH163" i="4"/>
  <c r="BQ100" i="4"/>
  <c r="BQ121" i="4" s="1"/>
  <c r="AU80" i="4"/>
  <c r="AU104" i="4" s="1"/>
  <c r="BR73" i="4"/>
  <c r="BR80" i="4" s="1"/>
  <c r="BQ170" i="4"/>
  <c r="DS44" i="4"/>
  <c r="DS129" i="4"/>
  <c r="BV43" i="4"/>
  <c r="BV129" i="4"/>
  <c r="BW131" i="4" s="1"/>
  <c r="BV42" i="4"/>
  <c r="BV241" i="4"/>
  <c r="AV80" i="4"/>
  <c r="AV104" i="4" s="1"/>
  <c r="BK138" i="4"/>
  <c r="DW10" i="4"/>
  <c r="DW152" i="4"/>
  <c r="CA170" i="4"/>
  <c r="AS170" i="4"/>
  <c r="AP170" i="4"/>
  <c r="AC171" i="4"/>
  <c r="AC172" i="4" s="1"/>
  <c r="AC174" i="4" s="1"/>
  <c r="AU164" i="4"/>
  <c r="AU166" i="4" s="1"/>
  <c r="DO42" i="4"/>
  <c r="DO43" i="4"/>
  <c r="DO241" i="4"/>
  <c r="CH176" i="4"/>
  <c r="CH178" i="4" s="1"/>
  <c r="CI129" i="4"/>
  <c r="DI241" i="4"/>
  <c r="AV241" i="4"/>
  <c r="DH241" i="4"/>
  <c r="AQ176" i="4"/>
  <c r="AQ178" i="4" s="1"/>
  <c r="DG129" i="4"/>
  <c r="AG171" i="4"/>
  <c r="AG172" i="4" s="1"/>
  <c r="AG174" i="4" s="1"/>
  <c r="DK129" i="4"/>
  <c r="CB170" i="4"/>
  <c r="AK171" i="4"/>
  <c r="AK172" i="4" s="1"/>
  <c r="AK174" i="4" s="1"/>
  <c r="DP42" i="4"/>
  <c r="DP43" i="4"/>
  <c r="DP241" i="4"/>
  <c r="BR99" i="4"/>
  <c r="BR100" i="4" s="1"/>
  <c r="BR121" i="4" s="1"/>
  <c r="Y172" i="4"/>
  <c r="Y174" i="4" s="1"/>
  <c r="BT176" i="4"/>
  <c r="U58" i="30" l="1"/>
  <c r="T58" i="30"/>
  <c r="F14" i="28"/>
  <c r="L33" i="29"/>
  <c r="N33" i="29" s="1"/>
  <c r="CJ52" i="4"/>
  <c r="CN179" i="4"/>
  <c r="DH104" i="4"/>
  <c r="BN52" i="4"/>
  <c r="CJ179" i="4"/>
  <c r="CK52" i="4"/>
  <c r="CL178" i="4"/>
  <c r="CL177" i="4"/>
  <c r="DX29" i="4"/>
  <c r="DY29" i="4" s="1"/>
  <c r="Z26" i="27"/>
  <c r="AA26" i="27"/>
  <c r="BT178" i="4"/>
  <c r="BT177" i="4"/>
  <c r="CS117" i="4"/>
  <c r="CR117" i="4"/>
  <c r="DU103" i="32"/>
  <c r="DU104" i="32" s="1"/>
  <c r="BQ176" i="4"/>
  <c r="BQ178" i="4" s="1"/>
  <c r="BQ52" i="4" s="1"/>
  <c r="DW102" i="32"/>
  <c r="DV101" i="32"/>
  <c r="DV103" i="32" s="1"/>
  <c r="CT40" i="4"/>
  <c r="CT165" i="4" s="1"/>
  <c r="DU38" i="4"/>
  <c r="DU36" i="4" s="1"/>
  <c r="CU165" i="4"/>
  <c r="CU166" i="4" s="1"/>
  <c r="DY82" i="4"/>
  <c r="DX120" i="4"/>
  <c r="H21" i="31"/>
  <c r="H22" i="31" s="1"/>
  <c r="DX160" i="4"/>
  <c r="I9" i="31"/>
  <c r="I10" i="31" s="1"/>
  <c r="DY15" i="4"/>
  <c r="DY152" i="4"/>
  <c r="DY10" i="4"/>
  <c r="DY114" i="4"/>
  <c r="DY47" i="4"/>
  <c r="CU18" i="4"/>
  <c r="DZ9" i="4"/>
  <c r="CS75" i="4"/>
  <c r="CS184" i="4"/>
  <c r="DT166" i="4"/>
  <c r="DT238" i="4"/>
  <c r="CS25" i="4"/>
  <c r="CS19" i="4"/>
  <c r="CS58" i="4"/>
  <c r="CS12" i="4"/>
  <c r="CR25" i="4"/>
  <c r="CR19" i="4"/>
  <c r="CR58" i="4"/>
  <c r="CR12" i="4"/>
  <c r="DX164" i="4"/>
  <c r="DU24" i="4"/>
  <c r="DV24" i="4" s="1"/>
  <c r="CT18" i="4"/>
  <c r="G10" i="31"/>
  <c r="AW179" i="4"/>
  <c r="DQ176" i="4"/>
  <c r="DQ178" i="4" s="1"/>
  <c r="DQ52" i="4" s="1"/>
  <c r="DQ51" i="4"/>
  <c r="BM176" i="4"/>
  <c r="BM178" i="4" s="1"/>
  <c r="BM179" i="4" s="1"/>
  <c r="BM51" i="4"/>
  <c r="DI170" i="4"/>
  <c r="DI51" i="4"/>
  <c r="BR176" i="4"/>
  <c r="BR178" i="4" s="1"/>
  <c r="BR52" i="4" s="1"/>
  <c r="BR51" i="4"/>
  <c r="BE52" i="4"/>
  <c r="BU170" i="4"/>
  <c r="BU51" i="4"/>
  <c r="DP176" i="4"/>
  <c r="DP178" i="4" s="1"/>
  <c r="DP52" i="4" s="1"/>
  <c r="DP51" i="4"/>
  <c r="AY170" i="4"/>
  <c r="AY51" i="4"/>
  <c r="DM176" i="4"/>
  <c r="DM51" i="4"/>
  <c r="BJ176" i="4"/>
  <c r="BJ178" i="4" s="1"/>
  <c r="BJ52" i="4" s="1"/>
  <c r="BJ51" i="4"/>
  <c r="BF176" i="4"/>
  <c r="BF178" i="4" s="1"/>
  <c r="BF52" i="4" s="1"/>
  <c r="BF51" i="4"/>
  <c r="AT176" i="4"/>
  <c r="AT178" i="4" s="1"/>
  <c r="AT52" i="4" s="1"/>
  <c r="AT51" i="4"/>
  <c r="BO176" i="4"/>
  <c r="BO51" i="4"/>
  <c r="CM170" i="4"/>
  <c r="CM51" i="4"/>
  <c r="AS179" i="4"/>
  <c r="BS176" i="4"/>
  <c r="BS178" i="4" s="1"/>
  <c r="BS52" i="4" s="1"/>
  <c r="BS51" i="4"/>
  <c r="AA170" i="4"/>
  <c r="AA51" i="4"/>
  <c r="BI179" i="4"/>
  <c r="AU179" i="4"/>
  <c r="AQ52" i="4"/>
  <c r="BG179" i="4"/>
  <c r="BC52" i="4"/>
  <c r="CH179" i="4"/>
  <c r="CH52" i="4"/>
  <c r="DW160" i="4"/>
  <c r="G21" i="31"/>
  <c r="G22" i="31" s="1"/>
  <c r="DV160" i="4"/>
  <c r="F21" i="31"/>
  <c r="F22" i="31" s="1"/>
  <c r="DH129" i="4"/>
  <c r="DH150" i="4" s="1"/>
  <c r="C37" i="30"/>
  <c r="DS45" i="4"/>
  <c r="V58" i="30"/>
  <c r="W58" i="30"/>
  <c r="DI176" i="4"/>
  <c r="DI178" i="4" s="1"/>
  <c r="DI52" i="4" s="1"/>
  <c r="DW185" i="4"/>
  <c r="DS150" i="4"/>
  <c r="CP178" i="4"/>
  <c r="DV68" i="4"/>
  <c r="DV141" i="4" s="1"/>
  <c r="BM170" i="4"/>
  <c r="AY176" i="4"/>
  <c r="AY178" i="4" s="1"/>
  <c r="AY52" i="4" s="1"/>
  <c r="DS241" i="4"/>
  <c r="DS42" i="4"/>
  <c r="DO129" i="4"/>
  <c r="DM170" i="4"/>
  <c r="CM176" i="4"/>
  <c r="BO170" i="4"/>
  <c r="BU176" i="4"/>
  <c r="BF170" i="4"/>
  <c r="DP170" i="4"/>
  <c r="DL138" i="4"/>
  <c r="DL150" i="4" s="1"/>
  <c r="DL51" i="4" s="1"/>
  <c r="DG150" i="4"/>
  <c r="DK150" i="4"/>
  <c r="CI150" i="4"/>
  <c r="AA176" i="4"/>
  <c r="AA178" i="4" s="1"/>
  <c r="AA52" i="4" s="1"/>
  <c r="DQ170" i="4"/>
  <c r="BR170" i="4"/>
  <c r="BV150" i="4"/>
  <c r="BK150" i="4"/>
  <c r="DO131" i="4"/>
  <c r="BW150" i="4"/>
  <c r="DN131" i="4"/>
  <c r="DN150" i="4" s="1"/>
  <c r="BS100" i="4"/>
  <c r="BS121" i="4" s="1"/>
  <c r="DN97" i="4"/>
  <c r="DN100" i="4" s="1"/>
  <c r="DN125" i="4" s="1"/>
  <c r="BR102" i="4"/>
  <c r="BR104" i="4" s="1"/>
  <c r="BQ102" i="4"/>
  <c r="BQ104" i="4" s="1"/>
  <c r="DN67" i="4"/>
  <c r="DN73" i="4" s="1"/>
  <c r="DN80" i="4" s="1"/>
  <c r="BS73" i="4"/>
  <c r="BS80" i="4" s="1"/>
  <c r="AU170" i="4"/>
  <c r="BT170" i="4"/>
  <c r="AT170" i="4"/>
  <c r="AL171" i="4"/>
  <c r="AL172" i="4" s="1"/>
  <c r="AL174" i="4" s="1"/>
  <c r="AH171" i="4"/>
  <c r="AH172" i="4" s="1"/>
  <c r="AH174" i="4" s="1"/>
  <c r="DR129" i="4"/>
  <c r="BR239" i="4"/>
  <c r="BS239" i="4"/>
  <c r="DH164" i="4"/>
  <c r="DH166" i="4" s="1"/>
  <c r="CH170" i="4"/>
  <c r="BJ170" i="4"/>
  <c r="AW80" i="4"/>
  <c r="AW104" i="4" s="1"/>
  <c r="BS170" i="4"/>
  <c r="AD171" i="4"/>
  <c r="AD172" i="4" s="1"/>
  <c r="AD174" i="4" s="1"/>
  <c r="Z171" i="4"/>
  <c r="Z172" i="4" s="1"/>
  <c r="Z174" i="4" s="1"/>
  <c r="AQ170" i="4"/>
  <c r="V12" i="30" l="1"/>
  <c r="AA58" i="30"/>
  <c r="AA12" i="30" s="1"/>
  <c r="T12" i="30"/>
  <c r="Y58" i="30"/>
  <c r="Y12" i="30" s="1"/>
  <c r="U12" i="30"/>
  <c r="Z58" i="30"/>
  <c r="Z12" i="30" s="1"/>
  <c r="W12" i="30"/>
  <c r="AB58" i="30"/>
  <c r="AB12" i="30" s="1"/>
  <c r="T37" i="30"/>
  <c r="U37" i="30"/>
  <c r="DV104" i="32"/>
  <c r="DV18" i="4"/>
  <c r="CL52" i="4"/>
  <c r="CR13" i="4"/>
  <c r="CR11" i="4" s="1"/>
  <c r="F10" i="27" s="1"/>
  <c r="CS13" i="4"/>
  <c r="CS11" i="4" s="1"/>
  <c r="CR60" i="4"/>
  <c r="CM178" i="4"/>
  <c r="CM177" i="4"/>
  <c r="CL179" i="4"/>
  <c r="BO178" i="4"/>
  <c r="BO177" i="4"/>
  <c r="DM178" i="4"/>
  <c r="DM52" i="4" s="1"/>
  <c r="DM177" i="4"/>
  <c r="CR27" i="4"/>
  <c r="CR132" i="4" s="1"/>
  <c r="BT52" i="4"/>
  <c r="BX179" i="4"/>
  <c r="BT179" i="4"/>
  <c r="BU178" i="4"/>
  <c r="BU177" i="4"/>
  <c r="CU117" i="4"/>
  <c r="CT117" i="4"/>
  <c r="DU40" i="4"/>
  <c r="CU238" i="4"/>
  <c r="DX102" i="32"/>
  <c r="DW101" i="32"/>
  <c r="DW103" i="32" s="1"/>
  <c r="DW104" i="32" s="1"/>
  <c r="DW24" i="4"/>
  <c r="DV23" i="4"/>
  <c r="L20" i="29" s="1"/>
  <c r="N20" i="29" s="1"/>
  <c r="DN102" i="4"/>
  <c r="DN104" i="4" s="1"/>
  <c r="DN121" i="4"/>
  <c r="DU37" i="4"/>
  <c r="DV36" i="4"/>
  <c r="DV38" i="4" s="1"/>
  <c r="DU240" i="4"/>
  <c r="CS59" i="4"/>
  <c r="CS60" i="4"/>
  <c r="DX68" i="4"/>
  <c r="DY68" i="4"/>
  <c r="J9" i="31"/>
  <c r="J10" i="31" s="1"/>
  <c r="DZ15" i="4"/>
  <c r="DZ152" i="4"/>
  <c r="DZ47" i="4"/>
  <c r="DZ114" i="4"/>
  <c r="DZ68" i="4" s="1"/>
  <c r="DZ10" i="4"/>
  <c r="CU58" i="4"/>
  <c r="CU25" i="4"/>
  <c r="CU19" i="4"/>
  <c r="CU12" i="4"/>
  <c r="CT19" i="4"/>
  <c r="CT25" i="4"/>
  <c r="CT58" i="4"/>
  <c r="CT12" i="4"/>
  <c r="CT184" i="4"/>
  <c r="CT75" i="4"/>
  <c r="DZ29" i="4"/>
  <c r="DZ164" i="4" s="1"/>
  <c r="DY164" i="4"/>
  <c r="BF179" i="4"/>
  <c r="DW130" i="4"/>
  <c r="DW183" i="4" s="1"/>
  <c r="DX185" i="4"/>
  <c r="CR59" i="4"/>
  <c r="CR116" i="4"/>
  <c r="CS116" i="4"/>
  <c r="CS27" i="4"/>
  <c r="CS30" i="4" s="1"/>
  <c r="CT238" i="4"/>
  <c r="CT166" i="4"/>
  <c r="DU165" i="4"/>
  <c r="I21" i="31"/>
  <c r="I22" i="31" s="1"/>
  <c r="DY160" i="4"/>
  <c r="DZ82" i="4"/>
  <c r="DZ120" i="4" s="1"/>
  <c r="DY120" i="4"/>
  <c r="AX179" i="4"/>
  <c r="AT179" i="4"/>
  <c r="BS179" i="4"/>
  <c r="BN179" i="4"/>
  <c r="BR179" i="4"/>
  <c r="BM52" i="4"/>
  <c r="DS170" i="4"/>
  <c r="DS51" i="4"/>
  <c r="DN176" i="4"/>
  <c r="DN178" i="4" s="1"/>
  <c r="DN52" i="4" s="1"/>
  <c r="DN51" i="4"/>
  <c r="BJ179" i="4"/>
  <c r="DH176" i="4"/>
  <c r="DH178" i="4" s="1"/>
  <c r="DH52" i="4" s="1"/>
  <c r="DH51" i="4"/>
  <c r="CI176" i="4"/>
  <c r="CI178" i="4" s="1"/>
  <c r="CI179" i="4" s="1"/>
  <c r="CI51" i="4"/>
  <c r="BQ179" i="4"/>
  <c r="DK176" i="4"/>
  <c r="DK178" i="4" s="1"/>
  <c r="DK179" i="4" s="1"/>
  <c r="DK51" i="4"/>
  <c r="BW176" i="4"/>
  <c r="BW51" i="4"/>
  <c r="DG176" i="4"/>
  <c r="DG178" i="4" s="1"/>
  <c r="DG52" i="4" s="1"/>
  <c r="DG51" i="4"/>
  <c r="BK176" i="4"/>
  <c r="BK178" i="4" s="1"/>
  <c r="BK179" i="4" s="1"/>
  <c r="BK51" i="4"/>
  <c r="BV176" i="4"/>
  <c r="BV51" i="4"/>
  <c r="DQ179" i="4"/>
  <c r="CP179" i="4"/>
  <c r="CP52" i="4"/>
  <c r="V37" i="30"/>
  <c r="W37" i="30"/>
  <c r="BC179" i="4"/>
  <c r="AY179" i="4"/>
  <c r="DJ179" i="4"/>
  <c r="DS176" i="4"/>
  <c r="DV130" i="4"/>
  <c r="DV183" i="4" s="1"/>
  <c r="DW68" i="4"/>
  <c r="DH170" i="4"/>
  <c r="CI170" i="4"/>
  <c r="DO150" i="4"/>
  <c r="DO51" i="4" s="1"/>
  <c r="DG170" i="4"/>
  <c r="DK170" i="4"/>
  <c r="BV170" i="4"/>
  <c r="DR150" i="4"/>
  <c r="BS102" i="4"/>
  <c r="BS104" i="4" s="1"/>
  <c r="AM171" i="4"/>
  <c r="DN170" i="4"/>
  <c r="BW170" i="4"/>
  <c r="AX80" i="4"/>
  <c r="AX104" i="4" s="1"/>
  <c r="AI171" i="4"/>
  <c r="DL176" i="4"/>
  <c r="DL178" i="4" s="1"/>
  <c r="DL52" i="4" s="1"/>
  <c r="AA171" i="4"/>
  <c r="AA172" i="4" s="1"/>
  <c r="AA174" i="4" s="1"/>
  <c r="BK170" i="4"/>
  <c r="AE171" i="4"/>
  <c r="K10" i="31" l="1"/>
  <c r="L10" i="31" s="1"/>
  <c r="M10" i="31" s="1"/>
  <c r="N10" i="31" s="1"/>
  <c r="O10" i="31" s="1"/>
  <c r="P10" i="31" s="1"/>
  <c r="DV58" i="4"/>
  <c r="D9" i="29"/>
  <c r="F9" i="29" s="1"/>
  <c r="CR115" i="4"/>
  <c r="CR69" i="4" s="1"/>
  <c r="CS115" i="4"/>
  <c r="CS83" i="4" s="1"/>
  <c r="CR89" i="4"/>
  <c r="CM52" i="4"/>
  <c r="CQ179" i="4"/>
  <c r="CU27" i="4"/>
  <c r="CU30" i="4" s="1"/>
  <c r="CU242" i="4" s="1"/>
  <c r="CS132" i="4"/>
  <c r="CU13" i="4"/>
  <c r="CU11" i="4" s="1"/>
  <c r="CR30" i="4"/>
  <c r="CR34" i="4" s="1"/>
  <c r="DS178" i="4"/>
  <c r="DS52" i="4" s="1"/>
  <c r="DS177" i="4"/>
  <c r="CT13" i="4"/>
  <c r="CT11" i="4" s="1"/>
  <c r="CT115" i="4" s="1"/>
  <c r="CT69" i="4" s="1"/>
  <c r="F24" i="27"/>
  <c r="BO52" i="4"/>
  <c r="BU52" i="4"/>
  <c r="D23" i="29"/>
  <c r="F23" i="29" s="1"/>
  <c r="CT27" i="4"/>
  <c r="CT30" i="4" s="1"/>
  <c r="CT34" i="4" s="1"/>
  <c r="DU39" i="4"/>
  <c r="DV39" i="4" s="1"/>
  <c r="DV40" i="4" s="1"/>
  <c r="L30" i="29" s="1"/>
  <c r="N30" i="29" s="1"/>
  <c r="H30" i="29"/>
  <c r="BY179" i="4"/>
  <c r="BU179" i="4"/>
  <c r="BV178" i="4"/>
  <c r="BV177" i="4"/>
  <c r="BW178" i="4"/>
  <c r="BW177" i="4"/>
  <c r="G13" i="28"/>
  <c r="P39" i="31" s="1"/>
  <c r="DY102" i="32"/>
  <c r="DX101" i="32"/>
  <c r="DX103" i="32" s="1"/>
  <c r="DX104" i="32" s="1"/>
  <c r="DX24" i="4"/>
  <c r="DW23" i="4"/>
  <c r="DY141" i="4"/>
  <c r="DZ141" i="4"/>
  <c r="CU59" i="4"/>
  <c r="CU60" i="4"/>
  <c r="CT59" i="4"/>
  <c r="CT60" i="4"/>
  <c r="CU116" i="4"/>
  <c r="DY185" i="4"/>
  <c r="DX130" i="4"/>
  <c r="CS242" i="4"/>
  <c r="CS44" i="4"/>
  <c r="CS34" i="4"/>
  <c r="CU75" i="4"/>
  <c r="DU75" i="4" s="1"/>
  <c r="DV75" i="4" s="1"/>
  <c r="DW75" i="4" s="1"/>
  <c r="CU184" i="4"/>
  <c r="J21" i="31"/>
  <c r="J22" i="31" s="1"/>
  <c r="K22" i="31" s="1"/>
  <c r="L22" i="31" s="1"/>
  <c r="M22" i="31" s="1"/>
  <c r="N22" i="31" s="1"/>
  <c r="O22" i="31" s="1"/>
  <c r="P22" i="31" s="1"/>
  <c r="DZ160" i="4"/>
  <c r="DW141" i="4"/>
  <c r="DX141" i="4"/>
  <c r="DU238" i="4"/>
  <c r="DV165" i="4"/>
  <c r="DU166" i="4"/>
  <c r="CT116" i="4"/>
  <c r="BK52" i="4"/>
  <c r="DH179" i="4"/>
  <c r="CI52" i="4"/>
  <c r="DI179" i="4"/>
  <c r="DN179" i="4"/>
  <c r="DK52" i="4"/>
  <c r="BO179" i="4"/>
  <c r="CM179" i="4"/>
  <c r="DR170" i="4"/>
  <c r="DR51" i="4"/>
  <c r="DL179" i="4"/>
  <c r="DM179" i="4"/>
  <c r="DR176" i="4"/>
  <c r="DR178" i="4" s="1"/>
  <c r="BT73" i="4"/>
  <c r="BT80" i="4" s="1"/>
  <c r="BT104" i="4" s="1"/>
  <c r="DO170" i="4"/>
  <c r="DO176" i="4"/>
  <c r="DL170" i="4"/>
  <c r="C28" i="28" l="1"/>
  <c r="D10" i="29"/>
  <c r="D11" i="29" s="1"/>
  <c r="F11" i="29" s="1"/>
  <c r="CU132" i="4"/>
  <c r="CR83" i="4"/>
  <c r="CR85" i="4" s="1"/>
  <c r="G14" i="28"/>
  <c r="CT242" i="4"/>
  <c r="CT132" i="4"/>
  <c r="CS69" i="4"/>
  <c r="CT142" i="4" s="1"/>
  <c r="CU34" i="4"/>
  <c r="CU129" i="4" s="1"/>
  <c r="CU44" i="4"/>
  <c r="DU11" i="4"/>
  <c r="H9" i="29" s="1"/>
  <c r="H10" i="29" s="1"/>
  <c r="H11" i="29" s="1"/>
  <c r="CT83" i="4"/>
  <c r="CT85" i="4" s="1"/>
  <c r="CR44" i="4"/>
  <c r="CR242" i="4"/>
  <c r="CT44" i="4"/>
  <c r="BV52" i="4"/>
  <c r="BW52" i="4"/>
  <c r="DU27" i="4"/>
  <c r="H23" i="29" s="1"/>
  <c r="CR90" i="4"/>
  <c r="CS89" i="4"/>
  <c r="CU115" i="4"/>
  <c r="CU83" i="4" s="1"/>
  <c r="DX75" i="4"/>
  <c r="CS45" i="4"/>
  <c r="Y11" i="27"/>
  <c r="K25" i="29"/>
  <c r="J30" i="29"/>
  <c r="O25" i="29"/>
  <c r="BW179" i="4"/>
  <c r="BZ179" i="4"/>
  <c r="BV179" i="4"/>
  <c r="DO178" i="4"/>
  <c r="DO52" i="4" s="1"/>
  <c r="DO177" i="4"/>
  <c r="CA179" i="4"/>
  <c r="F15" i="31"/>
  <c r="DZ102" i="32"/>
  <c r="DZ101" i="32" s="1"/>
  <c r="DZ103" i="32" s="1"/>
  <c r="DZ104" i="32" s="1"/>
  <c r="DY101" i="32"/>
  <c r="DY103" i="32" s="1"/>
  <c r="DY104" i="32" s="1"/>
  <c r="DW39" i="4"/>
  <c r="DX39" i="4" s="1"/>
  <c r="DY39" i="4" s="1"/>
  <c r="DZ39" i="4" s="1"/>
  <c r="DY24" i="4"/>
  <c r="DX23" i="4"/>
  <c r="DZ185" i="4"/>
  <c r="DZ130" i="4" s="1"/>
  <c r="DY130" i="4"/>
  <c r="CS85" i="4"/>
  <c r="DX184" i="4"/>
  <c r="DX183" i="4"/>
  <c r="CR42" i="4"/>
  <c r="CR43" i="4"/>
  <c r="CR129" i="4"/>
  <c r="CS42" i="4"/>
  <c r="CS129" i="4"/>
  <c r="CS43" i="4"/>
  <c r="DW18" i="4"/>
  <c r="CR142" i="4"/>
  <c r="CT42" i="4"/>
  <c r="CT129" i="4"/>
  <c r="CT43" i="4"/>
  <c r="DV238" i="4"/>
  <c r="DW165" i="4"/>
  <c r="DV184" i="4"/>
  <c r="DR179" i="4"/>
  <c r="DR52" i="4"/>
  <c r="K9" i="31"/>
  <c r="DS179" i="4"/>
  <c r="DW184" i="4"/>
  <c r="DI78" i="4"/>
  <c r="DI80" i="4" s="1"/>
  <c r="DI104" i="4" s="1"/>
  <c r="AY80" i="4"/>
  <c r="AY104" i="4" s="1"/>
  <c r="BU73" i="4"/>
  <c r="BU80" i="4" s="1"/>
  <c r="BU104" i="4" s="1"/>
  <c r="F10" i="29" l="1"/>
  <c r="D16" i="29"/>
  <c r="D17" i="29" s="1"/>
  <c r="F17" i="29" s="1"/>
  <c r="DU132" i="4"/>
  <c r="CS144" i="4"/>
  <c r="CU42" i="4"/>
  <c r="CU43" i="4"/>
  <c r="CS142" i="4"/>
  <c r="CT144" i="4"/>
  <c r="CT146" i="4" s="1"/>
  <c r="DU12" i="4"/>
  <c r="DU13" i="4" s="1"/>
  <c r="CU69" i="4"/>
  <c r="DU69" i="4" s="1"/>
  <c r="H16" i="29"/>
  <c r="H21" i="29" s="1"/>
  <c r="CR45" i="4"/>
  <c r="CT89" i="4"/>
  <c r="CS90" i="4"/>
  <c r="Y37" i="27"/>
  <c r="Z37" i="27" s="1"/>
  <c r="CT45" i="4"/>
  <c r="DU115" i="4"/>
  <c r="DY75" i="4"/>
  <c r="DZ184" i="4" s="1"/>
  <c r="AA11" i="27"/>
  <c r="Z11" i="27"/>
  <c r="F16" i="31"/>
  <c r="DP179" i="4"/>
  <c r="DO179" i="4"/>
  <c r="G15" i="31"/>
  <c r="DZ24" i="4"/>
  <c r="DZ23" i="4" s="1"/>
  <c r="DY23" i="4"/>
  <c r="CU85" i="4"/>
  <c r="DU83" i="4"/>
  <c r="CU144" i="4"/>
  <c r="DU129" i="4"/>
  <c r="DX165" i="4"/>
  <c r="DW238" i="4"/>
  <c r="DX18" i="4"/>
  <c r="DY184" i="4"/>
  <c r="DY183" i="4"/>
  <c r="DZ183" i="4"/>
  <c r="L9" i="31"/>
  <c r="K21" i="31"/>
  <c r="BV73" i="4"/>
  <c r="BV80" i="4" s="1"/>
  <c r="BV104" i="4" s="1"/>
  <c r="D21" i="29" l="1"/>
  <c r="D26" i="29" s="1"/>
  <c r="D28" i="29" s="1"/>
  <c r="F16" i="29"/>
  <c r="CS146" i="4"/>
  <c r="CS110" i="4" s="1"/>
  <c r="DU18" i="4"/>
  <c r="DU58" i="4" s="1"/>
  <c r="DU109" i="4"/>
  <c r="DV109" i="4" s="1"/>
  <c r="DW109" i="4" s="1"/>
  <c r="DX109" i="4" s="1"/>
  <c r="DY109" i="4" s="1"/>
  <c r="DZ109" i="4" s="1"/>
  <c r="H17" i="29"/>
  <c r="CU142" i="4"/>
  <c r="DU142" i="4" s="1"/>
  <c r="CT110" i="4"/>
  <c r="CT111" i="4"/>
  <c r="Y38" i="27"/>
  <c r="AA38" i="27" s="1"/>
  <c r="CT150" i="4"/>
  <c r="CT176" i="4" s="1"/>
  <c r="AA37" i="27"/>
  <c r="CT90" i="4"/>
  <c r="CU89" i="4"/>
  <c r="DZ75" i="4"/>
  <c r="H26" i="29"/>
  <c r="H28" i="29" s="1"/>
  <c r="H24" i="29"/>
  <c r="G16" i="31"/>
  <c r="DY165" i="4"/>
  <c r="DX238" i="4"/>
  <c r="DX166" i="4"/>
  <c r="DY18" i="4"/>
  <c r="DZ18" i="4"/>
  <c r="H15" i="31"/>
  <c r="DX25" i="4"/>
  <c r="DX19" i="4"/>
  <c r="DX58" i="4"/>
  <c r="DX12" i="4"/>
  <c r="DU85" i="4"/>
  <c r="DU108" i="4"/>
  <c r="L21" i="31"/>
  <c r="M9" i="31"/>
  <c r="N9" i="31" s="1"/>
  <c r="DO67" i="4"/>
  <c r="DO73" i="4" s="1"/>
  <c r="DO80" i="4" s="1"/>
  <c r="DO104" i="4" s="1"/>
  <c r="BW73" i="4"/>
  <c r="BW80" i="4" s="1"/>
  <c r="BW104" i="4" s="1"/>
  <c r="D24" i="29" l="1"/>
  <c r="G16" i="29" s="1"/>
  <c r="F21" i="29"/>
  <c r="F26" i="29"/>
  <c r="G30" i="29"/>
  <c r="DU19" i="4"/>
  <c r="CS111" i="4"/>
  <c r="CS150" i="4"/>
  <c r="CS176" i="4" s="1"/>
  <c r="CS177" i="4" s="1"/>
  <c r="E15" i="31"/>
  <c r="E16" i="31" s="1"/>
  <c r="DU25" i="4"/>
  <c r="DU28" i="4" s="1"/>
  <c r="CU146" i="4"/>
  <c r="CU110" i="4" s="1"/>
  <c r="Z38" i="27"/>
  <c r="DV108" i="4"/>
  <c r="DW108" i="4" s="1"/>
  <c r="DX108" i="4" s="1"/>
  <c r="DY108" i="4" s="1"/>
  <c r="DZ108" i="4" s="1"/>
  <c r="CT170" i="4"/>
  <c r="CT178" i="4"/>
  <c r="CT52" i="4" s="1"/>
  <c r="CU90" i="4"/>
  <c r="DU89" i="4"/>
  <c r="CT51" i="4"/>
  <c r="DX13" i="4"/>
  <c r="DX11" i="4" s="1"/>
  <c r="DX115" i="4" s="1"/>
  <c r="CT177" i="4"/>
  <c r="G28" i="29"/>
  <c r="F28" i="29"/>
  <c r="H16" i="31"/>
  <c r="I15" i="31"/>
  <c r="DY58" i="4"/>
  <c r="DY19" i="4"/>
  <c r="DY25" i="4"/>
  <c r="DY12" i="4"/>
  <c r="DU59" i="4"/>
  <c r="DU116" i="4"/>
  <c r="J15" i="31"/>
  <c r="DZ19" i="4"/>
  <c r="DZ25" i="4"/>
  <c r="DZ58" i="4"/>
  <c r="DZ12" i="4"/>
  <c r="H12" i="31"/>
  <c r="H13" i="31" s="1"/>
  <c r="DX59" i="4"/>
  <c r="DX116" i="4"/>
  <c r="DY238" i="4"/>
  <c r="DZ165" i="4"/>
  <c r="DY166" i="4"/>
  <c r="N21" i="31"/>
  <c r="O9" i="31"/>
  <c r="P9" i="31" s="1"/>
  <c r="M21" i="31"/>
  <c r="G19" i="29" l="1"/>
  <c r="G13" i="29"/>
  <c r="G10" i="29"/>
  <c r="G20" i="29"/>
  <c r="G21" i="29"/>
  <c r="G23" i="29" s="1"/>
  <c r="F24" i="29"/>
  <c r="P21" i="31"/>
  <c r="CS178" i="4"/>
  <c r="CS179" i="4" s="1"/>
  <c r="CS51" i="4"/>
  <c r="CS170" i="4"/>
  <c r="DU30" i="4"/>
  <c r="DU34" i="4" s="1"/>
  <c r="CU150" i="4"/>
  <c r="CU170" i="4" s="1"/>
  <c r="CU111" i="4"/>
  <c r="CT179" i="4"/>
  <c r="DY13" i="4"/>
  <c r="DY11" i="4" s="1"/>
  <c r="DY115" i="4" s="1"/>
  <c r="DZ13" i="4"/>
  <c r="DZ11" i="4" s="1"/>
  <c r="DZ115" i="4" s="1"/>
  <c r="DY60" i="4"/>
  <c r="DU90" i="4"/>
  <c r="DU117" i="4"/>
  <c r="E18" i="31"/>
  <c r="I16" i="31"/>
  <c r="J16" i="31"/>
  <c r="K16" i="31" s="1"/>
  <c r="Y29" i="27"/>
  <c r="DV28" i="4"/>
  <c r="DZ60" i="4"/>
  <c r="I12" i="31"/>
  <c r="I13" i="31" s="1"/>
  <c r="DY59" i="4"/>
  <c r="DY116" i="4"/>
  <c r="DZ238" i="4"/>
  <c r="DZ166" i="4"/>
  <c r="J12" i="31"/>
  <c r="J13" i="31" s="1"/>
  <c r="DZ59" i="4"/>
  <c r="DZ116" i="4"/>
  <c r="O21" i="31"/>
  <c r="G15" i="29" l="1"/>
  <c r="CS52" i="4"/>
  <c r="L16" i="31"/>
  <c r="K13" i="31"/>
  <c r="DU44" i="4"/>
  <c r="DU242" i="4"/>
  <c r="CU176" i="4"/>
  <c r="CU177" i="4" s="1"/>
  <c r="CU51" i="4"/>
  <c r="K15" i="31"/>
  <c r="DW28" i="4"/>
  <c r="DV117" i="4"/>
  <c r="DU43" i="4"/>
  <c r="DU42" i="4"/>
  <c r="L13" i="31" l="1"/>
  <c r="L15" i="31"/>
  <c r="M16" i="31"/>
  <c r="N16" i="31" s="1"/>
  <c r="CU178" i="4"/>
  <c r="CU52" i="4" s="1"/>
  <c r="DX28" i="4"/>
  <c r="DW117" i="4"/>
  <c r="M13" i="31" l="1"/>
  <c r="N13" i="31" s="1"/>
  <c r="M15" i="31"/>
  <c r="DX117" i="4"/>
  <c r="DY28" i="4"/>
  <c r="DX27" i="4"/>
  <c r="O16" i="31"/>
  <c r="N15" i="31"/>
  <c r="O15" i="31" l="1"/>
  <c r="P16" i="31"/>
  <c r="O13" i="31"/>
  <c r="H18" i="31"/>
  <c r="DX132" i="4"/>
  <c r="DX30" i="4"/>
  <c r="DY117" i="4"/>
  <c r="DZ28" i="4"/>
  <c r="DY27" i="4"/>
  <c r="P13" i="31" l="1"/>
  <c r="P12" i="31" s="1"/>
  <c r="P15" i="31"/>
  <c r="P18" i="31" s="1"/>
  <c r="I18" i="31"/>
  <c r="DY132" i="4"/>
  <c r="DY30" i="4"/>
  <c r="DZ27" i="4"/>
  <c r="DZ117" i="4"/>
  <c r="DX34" i="4"/>
  <c r="DX129" i="4" s="1"/>
  <c r="DX242" i="4"/>
  <c r="J18" i="31" l="1"/>
  <c r="DZ132" i="4"/>
  <c r="DZ30" i="4"/>
  <c r="DY242" i="4"/>
  <c r="DY34" i="4"/>
  <c r="DY129" i="4" s="1"/>
  <c r="K18" i="31" l="1"/>
  <c r="DZ242" i="4"/>
  <c r="DZ34" i="4"/>
  <c r="DZ129" i="4" s="1"/>
  <c r="L18" i="31" l="1"/>
  <c r="M18" i="31" l="1"/>
  <c r="O18" i="31" l="1"/>
  <c r="N18" i="31"/>
  <c r="DV15" i="4" l="1"/>
  <c r="DW15" i="4"/>
  <c r="L13" i="29" l="1"/>
  <c r="N13" i="29" s="1"/>
  <c r="H14" i="27"/>
  <c r="L14" i="29" l="1"/>
  <c r="N14" i="29" s="1"/>
  <c r="F15" i="27"/>
  <c r="H15" i="27" s="1"/>
  <c r="DT16" i="4" l="1"/>
  <c r="J14" i="29" l="1"/>
  <c r="J13" i="29"/>
  <c r="DT11" i="4" l="1"/>
  <c r="DT115" i="4" l="1"/>
  <c r="DT12" i="4"/>
  <c r="CR144" i="4"/>
  <c r="DT69" i="4"/>
  <c r="J10" i="27"/>
  <c r="H10" i="27"/>
  <c r="K10" i="27"/>
  <c r="L10" i="27"/>
  <c r="F11" i="27"/>
  <c r="DT13" i="4" l="1"/>
  <c r="DT18" i="4"/>
  <c r="DT109" i="4"/>
  <c r="DX69" i="4" s="1"/>
  <c r="DU144" i="4"/>
  <c r="DU146" i="4" s="1"/>
  <c r="DU111" i="4" s="1"/>
  <c r="CR146" i="4"/>
  <c r="DT83" i="4"/>
  <c r="J9" i="29"/>
  <c r="H11" i="27"/>
  <c r="J11" i="27"/>
  <c r="K11" i="27"/>
  <c r="F17" i="27"/>
  <c r="L11" i="27"/>
  <c r="F12" i="27"/>
  <c r="CR110" i="4" l="1"/>
  <c r="CR111" i="4"/>
  <c r="DU150" i="4"/>
  <c r="DU51" i="4" s="1"/>
  <c r="DU110" i="4"/>
  <c r="CR150" i="4"/>
  <c r="CR51" i="4" s="1"/>
  <c r="DY69" i="4"/>
  <c r="DY142" i="4" s="1"/>
  <c r="DT25" i="4"/>
  <c r="DT144" i="4"/>
  <c r="DT85" i="4"/>
  <c r="DT108" i="4"/>
  <c r="DT142" i="4"/>
  <c r="F18" i="27"/>
  <c r="H17" i="27"/>
  <c r="F22" i="27"/>
  <c r="F25" i="27" s="1"/>
  <c r="J17" i="27"/>
  <c r="K17" i="27"/>
  <c r="L17" i="27"/>
  <c r="DT58" i="4"/>
  <c r="DT19" i="4"/>
  <c r="J10" i="29"/>
  <c r="J11" i="29"/>
  <c r="H12" i="27"/>
  <c r="K12" i="27"/>
  <c r="DU176" i="4" l="1"/>
  <c r="H32" i="29" s="1"/>
  <c r="DU170" i="4"/>
  <c r="CR170" i="4"/>
  <c r="CR176" i="4"/>
  <c r="CR177" i="4" s="1"/>
  <c r="DT60" i="4"/>
  <c r="DU60" i="4"/>
  <c r="DZ69" i="4"/>
  <c r="DZ142" i="4" s="1"/>
  <c r="DX83" i="4"/>
  <c r="DT116" i="4"/>
  <c r="DT146" i="4"/>
  <c r="DT59" i="4"/>
  <c r="C26" i="28"/>
  <c r="H18" i="27"/>
  <c r="K18" i="27"/>
  <c r="H22" i="27"/>
  <c r="K22" i="27"/>
  <c r="L22" i="27"/>
  <c r="J22" i="27"/>
  <c r="J17" i="29"/>
  <c r="J16" i="29"/>
  <c r="E26" i="28" l="1"/>
  <c r="D26" i="28"/>
  <c r="C32" i="28"/>
  <c r="D32" i="29"/>
  <c r="F32" i="29" s="1"/>
  <c r="CR178" i="4"/>
  <c r="CR179" i="4" s="1"/>
  <c r="F33" i="27"/>
  <c r="DU177" i="4"/>
  <c r="DU178" i="4"/>
  <c r="DU52" i="4" s="1"/>
  <c r="F26" i="28"/>
  <c r="J26" i="28"/>
  <c r="H26" i="28"/>
  <c r="G26" i="28"/>
  <c r="K26" i="28"/>
  <c r="I26" i="28"/>
  <c r="DX85" i="4"/>
  <c r="DZ83" i="4"/>
  <c r="DY83" i="4"/>
  <c r="J21" i="29"/>
  <c r="M13" i="28"/>
  <c r="Y20" i="27"/>
  <c r="DV12" i="4"/>
  <c r="DW12" i="4"/>
  <c r="DV19" i="4"/>
  <c r="DW19" i="4"/>
  <c r="DV25" i="4"/>
  <c r="DW25" i="4"/>
  <c r="E12" i="31"/>
  <c r="DW58" i="4"/>
  <c r="CR52" i="4" l="1"/>
  <c r="H32" i="28"/>
  <c r="D32" i="28"/>
  <c r="E32" i="28"/>
  <c r="M18" i="28"/>
  <c r="F32" i="28"/>
  <c r="J32" i="28"/>
  <c r="I32" i="28"/>
  <c r="G32" i="28"/>
  <c r="K32" i="28"/>
  <c r="DV27" i="4"/>
  <c r="DV132" i="4" s="1"/>
  <c r="DV89" i="4" s="1"/>
  <c r="DW27" i="4"/>
  <c r="G18" i="31" s="1"/>
  <c r="Y21" i="27"/>
  <c r="Z20" i="27"/>
  <c r="AA20" i="27"/>
  <c r="G12" i="31"/>
  <c r="G13" i="31" s="1"/>
  <c r="DW60" i="4"/>
  <c r="DX60" i="4"/>
  <c r="F12" i="31"/>
  <c r="F13" i="31" s="1"/>
  <c r="DV60" i="4"/>
  <c r="DZ144" i="4"/>
  <c r="DZ146" i="4" s="1"/>
  <c r="DZ111" i="4" s="1"/>
  <c r="DZ85" i="4"/>
  <c r="DY85" i="4"/>
  <c r="DY144" i="4"/>
  <c r="DY146" i="4" s="1"/>
  <c r="DY111" i="4" s="1"/>
  <c r="E13" i="31"/>
  <c r="DV116" i="4"/>
  <c r="DW116" i="4"/>
  <c r="DW13" i="4"/>
  <c r="DW11" i="4" s="1"/>
  <c r="DV13" i="4"/>
  <c r="DV11" i="4" s="1"/>
  <c r="L9" i="29" s="1"/>
  <c r="C27" i="28"/>
  <c r="DW59" i="4"/>
  <c r="DV59" i="4"/>
  <c r="O22" i="28"/>
  <c r="DW132" i="4" l="1"/>
  <c r="DW89" i="4" s="1"/>
  <c r="DY110" i="4"/>
  <c r="DW30" i="4"/>
  <c r="DZ110" i="4"/>
  <c r="DV90" i="4"/>
  <c r="L23" i="29"/>
  <c r="N23" i="29" s="1"/>
  <c r="DV30" i="4"/>
  <c r="DV242" i="4" s="1"/>
  <c r="F18" i="31"/>
  <c r="AA21" i="27"/>
  <c r="Z21" i="27"/>
  <c r="J20" i="31"/>
  <c r="J24" i="31" s="1"/>
  <c r="DZ150" i="4"/>
  <c r="I20" i="31"/>
  <c r="I24" i="31" s="1"/>
  <c r="DY150" i="4"/>
  <c r="DW115" i="4"/>
  <c r="DW83" i="4" s="1"/>
  <c r="DX144" i="4" s="1"/>
  <c r="DV115" i="4"/>
  <c r="DV83" i="4" s="1"/>
  <c r="DV85" i="4" s="1"/>
  <c r="DW242" i="4" l="1"/>
  <c r="DW34" i="4"/>
  <c r="DW129" i="4" s="1"/>
  <c r="DV34" i="4"/>
  <c r="DV129" i="4" s="1"/>
  <c r="DW90" i="4"/>
  <c r="DX89" i="4"/>
  <c r="J25" i="31"/>
  <c r="DY176" i="4"/>
  <c r="DY170" i="4"/>
  <c r="DY51" i="4"/>
  <c r="DZ51" i="4"/>
  <c r="DZ170" i="4"/>
  <c r="DZ176" i="4"/>
  <c r="DW69" i="4"/>
  <c r="DX142" i="4" s="1"/>
  <c r="DX146" i="4" s="1"/>
  <c r="DX111" i="4" s="1"/>
  <c r="DW85" i="4"/>
  <c r="DW144" i="4"/>
  <c r="DV69" i="4"/>
  <c r="L10" i="29"/>
  <c r="N9" i="29"/>
  <c r="DX110" i="4" l="1"/>
  <c r="DY89" i="4"/>
  <c r="DX90" i="4"/>
  <c r="DZ177" i="4"/>
  <c r="DY177" i="4"/>
  <c r="H20" i="31"/>
  <c r="H24" i="31" s="1"/>
  <c r="DX150" i="4"/>
  <c r="DW142" i="4"/>
  <c r="DW146" i="4" s="1"/>
  <c r="DW111" i="4" s="1"/>
  <c r="Y22" i="27"/>
  <c r="C41" i="28"/>
  <c r="N10" i="29"/>
  <c r="L11" i="29"/>
  <c r="N11" i="29" s="1"/>
  <c r="L16" i="29"/>
  <c r="DV144" i="4"/>
  <c r="DV142" i="4"/>
  <c r="L41" i="28" l="1"/>
  <c r="K41" i="28"/>
  <c r="DW110" i="4"/>
  <c r="DZ89" i="4"/>
  <c r="DZ90" i="4" s="1"/>
  <c r="DY90" i="4"/>
  <c r="D41" i="28"/>
  <c r="AA22" i="27"/>
  <c r="Z22" i="27"/>
  <c r="I25" i="31"/>
  <c r="DX176" i="4"/>
  <c r="DX51" i="4"/>
  <c r="DX170" i="4"/>
  <c r="K12" i="31"/>
  <c r="DW150" i="4"/>
  <c r="G20" i="31"/>
  <c r="G41" i="28"/>
  <c r="N14" i="28"/>
  <c r="I41" i="28"/>
  <c r="H41" i="28"/>
  <c r="J41" i="28"/>
  <c r="F41" i="28"/>
  <c r="E41" i="28"/>
  <c r="DV146" i="4"/>
  <c r="DV111" i="4" s="1"/>
  <c r="L21" i="29"/>
  <c r="L17" i="29"/>
  <c r="N17" i="29" s="1"/>
  <c r="N16" i="29"/>
  <c r="DV110" i="4" l="1"/>
  <c r="DX177" i="4"/>
  <c r="DW176" i="4"/>
  <c r="DW51" i="4"/>
  <c r="E20" i="31"/>
  <c r="E24" i="31" s="1"/>
  <c r="DV150" i="4"/>
  <c r="F20" i="31"/>
  <c r="F24" i="31" s="1"/>
  <c r="G24" i="31"/>
  <c r="H25" i="31" s="1"/>
  <c r="L12" i="31"/>
  <c r="L26" i="29"/>
  <c r="N21" i="29"/>
  <c r="L24" i="29"/>
  <c r="DW177" i="4" l="1"/>
  <c r="M12" i="31"/>
  <c r="DV176" i="4"/>
  <c r="DV51" i="4"/>
  <c r="G25" i="31"/>
  <c r="F25" i="31"/>
  <c r="O13" i="29"/>
  <c r="O20" i="29"/>
  <c r="N24" i="29"/>
  <c r="O19" i="29"/>
  <c r="O10" i="29"/>
  <c r="O16" i="29"/>
  <c r="L28" i="29"/>
  <c r="N26" i="29"/>
  <c r="O30" i="29"/>
  <c r="O21" i="29"/>
  <c r="DV177" i="4" l="1"/>
  <c r="L32" i="29"/>
  <c r="N32" i="29" s="1"/>
  <c r="O12" i="31"/>
  <c r="N12" i="31"/>
  <c r="C55" i="28"/>
  <c r="Y24" i="27"/>
  <c r="O15" i="29"/>
  <c r="O28" i="29"/>
  <c r="O23" i="29" s="1"/>
  <c r="N28" i="29"/>
  <c r="D55" i="28" l="1"/>
  <c r="E55" i="28"/>
  <c r="M55" i="28"/>
  <c r="N55" i="28"/>
  <c r="AA24" i="27"/>
  <c r="Z24" i="27"/>
  <c r="K55" i="28"/>
  <c r="G55" i="28"/>
  <c r="L55" i="28"/>
  <c r="N15" i="28"/>
  <c r="J55" i="28"/>
  <c r="H55" i="28"/>
  <c r="F55" i="28"/>
  <c r="I55" i="28"/>
  <c r="K20" i="31"/>
  <c r="DT27" i="4"/>
  <c r="DT30" i="4" l="1"/>
  <c r="DT44" i="4" s="1"/>
  <c r="L20" i="31"/>
  <c r="K24" i="31"/>
  <c r="DT28" i="4"/>
  <c r="DT117" i="4" s="1"/>
  <c r="DU45" i="4" l="1"/>
  <c r="DT34" i="4"/>
  <c r="DT42" i="4" s="1"/>
  <c r="DT242" i="4"/>
  <c r="K25" i="31"/>
  <c r="M20" i="31"/>
  <c r="L24" i="31"/>
  <c r="DT45" i="4"/>
  <c r="J23" i="29"/>
  <c r="F27" i="27"/>
  <c r="H24" i="27"/>
  <c r="K24" i="27"/>
  <c r="C40" i="28"/>
  <c r="L40" i="28" l="1"/>
  <c r="K40" i="28"/>
  <c r="C46" i="28"/>
  <c r="I46" i="28" s="1"/>
  <c r="M19" i="28"/>
  <c r="E46" i="28"/>
  <c r="F46" i="28"/>
  <c r="H46" i="28"/>
  <c r="D40" i="28"/>
  <c r="M24" i="31"/>
  <c r="M25" i="31" s="1"/>
  <c r="N20" i="31"/>
  <c r="CU45" i="4"/>
  <c r="DT43" i="4"/>
  <c r="L25" i="31"/>
  <c r="H25" i="27"/>
  <c r="K25" i="27"/>
  <c r="J26" i="29"/>
  <c r="K30" i="29"/>
  <c r="K13" i="29"/>
  <c r="K16" i="29"/>
  <c r="J24" i="29"/>
  <c r="K20" i="29"/>
  <c r="K21" i="29"/>
  <c r="K10" i="29"/>
  <c r="K19" i="29"/>
  <c r="H27" i="27"/>
  <c r="J27" i="27"/>
  <c r="L27" i="27"/>
  <c r="K27" i="27"/>
  <c r="F29" i="27"/>
  <c r="J40" i="28"/>
  <c r="G40" i="28"/>
  <c r="I40" i="28"/>
  <c r="F40" i="28"/>
  <c r="H40" i="28"/>
  <c r="M14" i="28"/>
  <c r="E40" i="28"/>
  <c r="D46" i="28" l="1"/>
  <c r="J46" i="28"/>
  <c r="L46" i="28"/>
  <c r="K46" i="28"/>
  <c r="G46" i="28"/>
  <c r="O20" i="31"/>
  <c r="N24" i="31"/>
  <c r="N25" i="31" s="1"/>
  <c r="K15" i="29"/>
  <c r="K29" i="27"/>
  <c r="L29" i="27"/>
  <c r="J29" i="27"/>
  <c r="H29" i="27"/>
  <c r="J28" i="29"/>
  <c r="K28" i="29"/>
  <c r="K23" i="29" s="1"/>
  <c r="DT129" i="4"/>
  <c r="O24" i="31" l="1"/>
  <c r="O25" i="31" s="1"/>
  <c r="P20" i="31"/>
  <c r="P24" i="31" s="1"/>
  <c r="CR96" i="4"/>
  <c r="DT96" i="4"/>
  <c r="DT150" i="4"/>
  <c r="DT51" i="4" s="1"/>
  <c r="P25" i="31" l="1"/>
  <c r="CU179" i="4"/>
  <c r="DT100" i="4"/>
  <c r="DT125" i="4" s="1"/>
  <c r="DT241" i="4"/>
  <c r="CR100" i="4"/>
  <c r="CR125" i="4" s="1"/>
  <c r="CR241" i="4"/>
  <c r="CS96" i="4"/>
  <c r="DT176" i="4"/>
  <c r="DT170" i="4"/>
  <c r="DT178" i="4" l="1"/>
  <c r="DU179" i="4" s="1"/>
  <c r="DT177" i="4"/>
  <c r="CR102" i="4"/>
  <c r="CR121" i="4"/>
  <c r="DT102" i="4"/>
  <c r="DT121" i="4"/>
  <c r="CS241" i="4"/>
  <c r="CS100" i="4"/>
  <c r="CS125" i="4" s="1"/>
  <c r="CT96" i="4"/>
  <c r="C54" i="28"/>
  <c r="D54" i="28" s="1"/>
  <c r="O50" i="28"/>
  <c r="J32" i="29"/>
  <c r="J33" i="27"/>
  <c r="H33" i="27"/>
  <c r="H54" i="28" l="1"/>
  <c r="M54" i="28"/>
  <c r="N54" i="28"/>
  <c r="DT179" i="4"/>
  <c r="DT52" i="4"/>
  <c r="CS102" i="4"/>
  <c r="CS121" i="4"/>
  <c r="CT100" i="4"/>
  <c r="CT125" i="4" s="1"/>
  <c r="CT241" i="4"/>
  <c r="CU96" i="4"/>
  <c r="DU96" i="4" s="1"/>
  <c r="I54" i="28"/>
  <c r="E54" i="28"/>
  <c r="L54" i="28"/>
  <c r="G54" i="28"/>
  <c r="K54" i="28"/>
  <c r="M15" i="28"/>
  <c r="J54" i="28"/>
  <c r="F54" i="28"/>
  <c r="CT102" i="4" l="1"/>
  <c r="CT121" i="4"/>
  <c r="DU100" i="4"/>
  <c r="DU125" i="4" s="1"/>
  <c r="DV96" i="4"/>
  <c r="DU241" i="4"/>
  <c r="CU100" i="4"/>
  <c r="CU125" i="4" s="1"/>
  <c r="CU241" i="4"/>
  <c r="DD58" i="4"/>
  <c r="DE58" i="4"/>
  <c r="DF58" i="4"/>
  <c r="AE134" i="4"/>
  <c r="AE138" i="4"/>
  <c r="AI138" i="4"/>
  <c r="AM138" i="4"/>
  <c r="AE132" i="4"/>
  <c r="AI132" i="4"/>
  <c r="AM132" i="4"/>
  <c r="AE133" i="4"/>
  <c r="AI133" i="4"/>
  <c r="AM133" i="4"/>
  <c r="AE135" i="4"/>
  <c r="AI135" i="4"/>
  <c r="AM135" i="4"/>
  <c r="AE130" i="4"/>
  <c r="AE184" i="4" s="1"/>
  <c r="AI130" i="4"/>
  <c r="AI184" i="4" s="1"/>
  <c r="AM130" i="4"/>
  <c r="AM184" i="4" s="1"/>
  <c r="AE139" i="4"/>
  <c r="AI139" i="4"/>
  <c r="AE141" i="4"/>
  <c r="AI141" i="4"/>
  <c r="AM141" i="4"/>
  <c r="AE142" i="4"/>
  <c r="AI142" i="4"/>
  <c r="AM142" i="4"/>
  <c r="AE143" i="4"/>
  <c r="AI143" i="4"/>
  <c r="AM143" i="4"/>
  <c r="AE144" i="4"/>
  <c r="AI144" i="4"/>
  <c r="AM144" i="4"/>
  <c r="AE145" i="4"/>
  <c r="AI145" i="4"/>
  <c r="AM145" i="4"/>
  <c r="DD146" i="4"/>
  <c r="DD150" i="4" s="1"/>
  <c r="DD51" i="4" s="1"/>
  <c r="DE146" i="4"/>
  <c r="DE150" i="4" s="1"/>
  <c r="DF146" i="4"/>
  <c r="DF150" i="4" s="1"/>
  <c r="DF51" i="4" s="1"/>
  <c r="CU102" i="4" l="1"/>
  <c r="CU121" i="4"/>
  <c r="DU102" i="4"/>
  <c r="DU121" i="4"/>
  <c r="DF116" i="4"/>
  <c r="DF123" i="4" s="1"/>
  <c r="DF60" i="4"/>
  <c r="DG60" i="4"/>
  <c r="DE116" i="4"/>
  <c r="DE123" i="4" s="1"/>
  <c r="DE60" i="4"/>
  <c r="DD116" i="4"/>
  <c r="DD123" i="4" s="1"/>
  <c r="DD60" i="4"/>
  <c r="DW96" i="4"/>
  <c r="DV241" i="4"/>
  <c r="DV100" i="4"/>
  <c r="DE170" i="4"/>
  <c r="DE172" i="4" s="1"/>
  <c r="DE174" i="4" s="1"/>
  <c r="DE51" i="4"/>
  <c r="AE58" i="4"/>
  <c r="AE183" i="4"/>
  <c r="AM58" i="4"/>
  <c r="AM183" i="4"/>
  <c r="AI185" i="4"/>
  <c r="AI183" i="4"/>
  <c r="DD59" i="4"/>
  <c r="DF59" i="4"/>
  <c r="AM185" i="4"/>
  <c r="AE146" i="4"/>
  <c r="AE150" i="4" s="1"/>
  <c r="AE51" i="4" s="1"/>
  <c r="AI146" i="4"/>
  <c r="AI150" i="4" s="1"/>
  <c r="AI51" i="4" s="1"/>
  <c r="AE185" i="4"/>
  <c r="AM146" i="4"/>
  <c r="AM150" i="4" s="1"/>
  <c r="AM51" i="4" s="1"/>
  <c r="DE176" i="4"/>
  <c r="DE178" i="4" s="1"/>
  <c r="DE59" i="4"/>
  <c r="DF170" i="4"/>
  <c r="DF172" i="4" s="1"/>
  <c r="DF174" i="4" s="1"/>
  <c r="DF176" i="4"/>
  <c r="DF178" i="4" s="1"/>
  <c r="DF52" i="4" s="1"/>
  <c r="DD176" i="4"/>
  <c r="DD178" i="4" s="1"/>
  <c r="DD170" i="4"/>
  <c r="DD172" i="4" s="1"/>
  <c r="DD174" i="4" s="1"/>
  <c r="AI58" i="4"/>
  <c r="AI60" i="4" s="1"/>
  <c r="AP116" i="4" l="1"/>
  <c r="AP123" i="4" s="1"/>
  <c r="AM60" i="4"/>
  <c r="AQ60" i="4"/>
  <c r="AH116" i="4"/>
  <c r="AH123" i="4" s="1"/>
  <c r="AE60" i="4"/>
  <c r="DX96" i="4"/>
  <c r="DW241" i="4"/>
  <c r="DW100" i="4"/>
  <c r="DE179" i="4"/>
  <c r="DE52" i="4"/>
  <c r="DD179" i="4"/>
  <c r="DD52" i="4"/>
  <c r="DF179" i="4"/>
  <c r="DG179" i="4"/>
  <c r="AE59" i="4"/>
  <c r="AG116" i="4"/>
  <c r="AG123" i="4" s="1"/>
  <c r="AE116" i="4"/>
  <c r="AE123" i="4" s="1"/>
  <c r="AF116" i="4"/>
  <c r="AF123" i="4" s="1"/>
  <c r="AN116" i="4"/>
  <c r="AN123" i="4" s="1"/>
  <c r="AM116" i="4"/>
  <c r="AM123" i="4" s="1"/>
  <c r="AO116" i="4"/>
  <c r="AO123" i="4" s="1"/>
  <c r="AM59" i="4"/>
  <c r="AL116" i="4"/>
  <c r="AL123" i="4" s="1"/>
  <c r="AK116" i="4"/>
  <c r="AK123" i="4" s="1"/>
  <c r="AJ116" i="4"/>
  <c r="AJ123" i="4" s="1"/>
  <c r="AI116" i="4"/>
  <c r="AI123" i="4" s="1"/>
  <c r="AE176" i="4"/>
  <c r="AE178" i="4" s="1"/>
  <c r="AE52" i="4" s="1"/>
  <c r="AE170" i="4"/>
  <c r="AE172" i="4" s="1"/>
  <c r="AE174" i="4" s="1"/>
  <c r="AM176" i="4"/>
  <c r="AM178" i="4" s="1"/>
  <c r="AM52" i="4" s="1"/>
  <c r="AM170" i="4"/>
  <c r="AM172" i="4" s="1"/>
  <c r="AM174" i="4" s="1"/>
  <c r="AN171" i="4"/>
  <c r="AN172" i="4" s="1"/>
  <c r="AN174" i="4" s="1"/>
  <c r="DG171" i="4"/>
  <c r="DG172" i="4" s="1"/>
  <c r="DG174" i="4" s="1"/>
  <c r="AI176" i="4"/>
  <c r="AI178" i="4" s="1"/>
  <c r="AI52" i="4" s="1"/>
  <c r="AI170" i="4"/>
  <c r="AI172" i="4" s="1"/>
  <c r="AI174" i="4" s="1"/>
  <c r="AI59" i="4"/>
  <c r="DY96" i="4" l="1"/>
  <c r="DX100" i="4"/>
  <c r="DX241" i="4"/>
  <c r="AM179" i="4"/>
  <c r="AQ179" i="4"/>
  <c r="AE179" i="4"/>
  <c r="AI179" i="4"/>
  <c r="AO171" i="4"/>
  <c r="AO172" i="4" s="1"/>
  <c r="AO174" i="4" s="1"/>
  <c r="DH171" i="4"/>
  <c r="DH172" i="4" s="1"/>
  <c r="DH174" i="4" s="1"/>
  <c r="AR171" i="4"/>
  <c r="AR172" i="4" s="1"/>
  <c r="AR174" i="4" s="1"/>
  <c r="DY100" i="4" l="1"/>
  <c r="DY241" i="4"/>
  <c r="DZ96" i="4"/>
  <c r="AV171" i="4"/>
  <c r="AV172" i="4" s="1"/>
  <c r="AV174" i="4" s="1"/>
  <c r="DI171" i="4"/>
  <c r="DI172" i="4" s="1"/>
  <c r="DI174" i="4" s="1"/>
  <c r="AS171" i="4"/>
  <c r="AS172" i="4" s="1"/>
  <c r="AS174" i="4" s="1"/>
  <c r="AP171" i="4"/>
  <c r="AP172" i="4" s="1"/>
  <c r="AP174" i="4" s="1"/>
  <c r="DZ241" i="4" l="1"/>
  <c r="DZ100" i="4"/>
  <c r="AT171" i="4"/>
  <c r="AT172" i="4" s="1"/>
  <c r="AT174" i="4" s="1"/>
  <c r="AQ171" i="4"/>
  <c r="AQ172" i="4" s="1"/>
  <c r="AQ174" i="4" s="1"/>
  <c r="AZ171" i="4"/>
  <c r="AZ172" i="4" s="1"/>
  <c r="AZ174" i="4" s="1"/>
  <c r="DJ171" i="4"/>
  <c r="DJ172" i="4" s="1"/>
  <c r="DJ174" i="4" s="1"/>
  <c r="AW171" i="4"/>
  <c r="AW172" i="4" s="1"/>
  <c r="AW174" i="4" s="1"/>
  <c r="BD171" i="4" l="1"/>
  <c r="BD172" i="4" s="1"/>
  <c r="BD174" i="4" s="1"/>
  <c r="DK171" i="4"/>
  <c r="DK172" i="4" s="1"/>
  <c r="DK174" i="4" s="1"/>
  <c r="BA171" i="4"/>
  <c r="BA172" i="4" s="1"/>
  <c r="BA174" i="4" s="1"/>
  <c r="AU171" i="4"/>
  <c r="AU172" i="4" s="1"/>
  <c r="AU174" i="4" s="1"/>
  <c r="AX171" i="4"/>
  <c r="AX172" i="4" s="1"/>
  <c r="AX174" i="4" s="1"/>
  <c r="BH171" i="4" l="1"/>
  <c r="BH172" i="4" s="1"/>
  <c r="BH174" i="4" s="1"/>
  <c r="DL171" i="4"/>
  <c r="DL172" i="4" s="1"/>
  <c r="DL174" i="4" s="1"/>
  <c r="AY171" i="4"/>
  <c r="AY172" i="4" s="1"/>
  <c r="AY174" i="4" s="1"/>
  <c r="BB171" i="4"/>
  <c r="BB172" i="4" s="1"/>
  <c r="BB174" i="4" s="1"/>
  <c r="BE171" i="4"/>
  <c r="BE172" i="4" s="1"/>
  <c r="BE174" i="4" s="1"/>
  <c r="BF171" i="4" l="1"/>
  <c r="BF172" i="4" s="1"/>
  <c r="BF174" i="4" s="1"/>
  <c r="BL171" i="4"/>
  <c r="BL172" i="4" s="1"/>
  <c r="BL174" i="4" s="1"/>
  <c r="DM171" i="4"/>
  <c r="DM172" i="4" s="1"/>
  <c r="DM174" i="4" s="1"/>
  <c r="BC171" i="4"/>
  <c r="BC172" i="4" s="1"/>
  <c r="BC174" i="4" s="1"/>
  <c r="BI171" i="4"/>
  <c r="BI172" i="4" s="1"/>
  <c r="BI174" i="4" s="1"/>
  <c r="DN171" i="4" l="1"/>
  <c r="DN172" i="4" s="1"/>
  <c r="DN174" i="4" s="1"/>
  <c r="BP171" i="4"/>
  <c r="BP172" i="4" s="1"/>
  <c r="BP174" i="4" s="1"/>
  <c r="BM171" i="4"/>
  <c r="BM172" i="4" s="1"/>
  <c r="BM174" i="4" s="1"/>
  <c r="BJ171" i="4"/>
  <c r="BJ172" i="4" s="1"/>
  <c r="BJ174" i="4" s="1"/>
  <c r="BG171" i="4"/>
  <c r="BG172" i="4" s="1"/>
  <c r="BG174" i="4" s="1"/>
  <c r="BK171" i="4" l="1"/>
  <c r="BK172" i="4" s="1"/>
  <c r="BK174" i="4" s="1"/>
  <c r="BN171" i="4"/>
  <c r="BN172" i="4" s="1"/>
  <c r="BN174" i="4" s="1"/>
  <c r="BQ171" i="4"/>
  <c r="BQ172" i="4" s="1"/>
  <c r="BQ174" i="4" s="1"/>
  <c r="BT171" i="4"/>
  <c r="BT172" i="4" s="1"/>
  <c r="BT174" i="4" s="1"/>
  <c r="DO171" i="4"/>
  <c r="DO172" i="4" s="1"/>
  <c r="DO174" i="4" s="1"/>
  <c r="BU171" i="4" l="1"/>
  <c r="BU172" i="4" s="1"/>
  <c r="BU174" i="4" s="1"/>
  <c r="BO171" i="4"/>
  <c r="BO172" i="4" s="1"/>
  <c r="BO174" i="4" s="1"/>
  <c r="DP171" i="4"/>
  <c r="DP172" i="4" s="1"/>
  <c r="DP174" i="4" s="1"/>
  <c r="BX171" i="4"/>
  <c r="BX172" i="4" s="1"/>
  <c r="BX174" i="4" s="1"/>
  <c r="BR171" i="4"/>
  <c r="BR172" i="4" s="1"/>
  <c r="BR174" i="4" s="1"/>
  <c r="BY171" i="4" l="1"/>
  <c r="BY172" i="4" s="1"/>
  <c r="BY174" i="4" s="1"/>
  <c r="DQ171" i="4"/>
  <c r="DQ172" i="4" s="1"/>
  <c r="DQ174" i="4" s="1"/>
  <c r="CB171" i="4"/>
  <c r="CB172" i="4" s="1"/>
  <c r="CB174" i="4" s="1"/>
  <c r="BS171" i="4"/>
  <c r="BS172" i="4" s="1"/>
  <c r="BS174" i="4" s="1"/>
  <c r="BV171" i="4"/>
  <c r="BV172" i="4" s="1"/>
  <c r="BV174" i="4" s="1"/>
  <c r="BW171" i="4" l="1"/>
  <c r="BW172" i="4" s="1"/>
  <c r="BW174" i="4" s="1"/>
  <c r="CC171" i="4"/>
  <c r="CC172" i="4" s="1"/>
  <c r="CC174" i="4" s="1"/>
  <c r="CF171" i="4"/>
  <c r="CF172" i="4" s="1"/>
  <c r="CF174" i="4" s="1"/>
  <c r="DR171" i="4"/>
  <c r="DR172" i="4" s="1"/>
  <c r="DR174" i="4" s="1"/>
  <c r="BZ171" i="4"/>
  <c r="BZ172" i="4" s="1"/>
  <c r="BZ174" i="4" s="1"/>
  <c r="CD171" i="4" l="1"/>
  <c r="CD172" i="4" s="1"/>
  <c r="CD174" i="4" s="1"/>
  <c r="CJ171" i="4"/>
  <c r="CJ172" i="4" s="1"/>
  <c r="CJ174" i="4" s="1"/>
  <c r="DS171" i="4"/>
  <c r="DS172" i="4" s="1"/>
  <c r="DS174" i="4" s="1"/>
  <c r="CG171" i="4"/>
  <c r="CG172" i="4" s="1"/>
  <c r="CG174" i="4" s="1"/>
  <c r="CA171" i="4"/>
  <c r="CA172" i="4" s="1"/>
  <c r="CA174" i="4" s="1"/>
  <c r="CK171" i="4" l="1"/>
  <c r="CK172" i="4" s="1"/>
  <c r="CK174" i="4" s="1"/>
  <c r="CH171" i="4"/>
  <c r="CH172" i="4" s="1"/>
  <c r="CH174" i="4" s="1"/>
  <c r="CN171" i="4"/>
  <c r="CN172" i="4" s="1"/>
  <c r="CN174" i="4" s="1"/>
  <c r="DT171" i="4"/>
  <c r="DT172" i="4" s="1"/>
  <c r="DU171" i="4" s="1"/>
  <c r="DU172" i="4" s="1"/>
  <c r="CE171" i="4"/>
  <c r="CE172" i="4" s="1"/>
  <c r="CE174" i="4" s="1"/>
  <c r="CO171" i="4" l="1"/>
  <c r="CO172" i="4" s="1"/>
  <c r="CI171" i="4"/>
  <c r="CI172" i="4" s="1"/>
  <c r="CI174" i="4" s="1"/>
  <c r="CL171" i="4"/>
  <c r="CL172" i="4" s="1"/>
  <c r="CL174" i="4" s="1"/>
  <c r="CP171" i="4" l="1"/>
  <c r="CP172" i="4" s="1"/>
  <c r="CO174" i="4"/>
  <c r="CM171" i="4"/>
  <c r="CM172" i="4" s="1"/>
  <c r="CM174" i="4" s="1"/>
  <c r="CP174" i="4" l="1"/>
  <c r="CQ171" i="4"/>
  <c r="CQ172" i="4" s="1"/>
  <c r="CQ174" i="4" s="1"/>
  <c r="CR171" i="4" l="1"/>
  <c r="CR172" i="4" s="1"/>
  <c r="DT66" i="4" l="1"/>
  <c r="F16" i="28" s="1"/>
  <c r="CS171" i="4"/>
  <c r="CS172" i="4" s="1"/>
  <c r="CR66" i="4"/>
  <c r="CR174" i="4" s="1"/>
  <c r="E33" i="28" l="1"/>
  <c r="D33" i="28"/>
  <c r="D27" i="28"/>
  <c r="E27" i="28"/>
  <c r="I28" i="28"/>
  <c r="DT122" i="4"/>
  <c r="DT123" i="4" s="1"/>
  <c r="K33" i="28"/>
  <c r="F33" i="28"/>
  <c r="H33" i="28"/>
  <c r="G33" i="28"/>
  <c r="I33" i="28"/>
  <c r="J33" i="28"/>
  <c r="F20" i="28"/>
  <c r="N18" i="28" s="1"/>
  <c r="F27" i="28"/>
  <c r="J27" i="28"/>
  <c r="H27" i="28"/>
  <c r="K27" i="28"/>
  <c r="I27" i="28"/>
  <c r="G27" i="28"/>
  <c r="CR122" i="4"/>
  <c r="CR123" i="4" s="1"/>
  <c r="CR73" i="4"/>
  <c r="CR80" i="4" s="1"/>
  <c r="CR104" i="4" s="1"/>
  <c r="CT171" i="4"/>
  <c r="CT172" i="4" s="1"/>
  <c r="CS66" i="4"/>
  <c r="CS174" i="4" s="1"/>
  <c r="DT174" i="4"/>
  <c r="DT73" i="4"/>
  <c r="DT80" i="4" s="1"/>
  <c r="DT104" i="4" s="1"/>
  <c r="CS122" i="4" l="1"/>
  <c r="CS123" i="4" s="1"/>
  <c r="CS73" i="4"/>
  <c r="CS80" i="4" s="1"/>
  <c r="CS104" i="4" s="1"/>
  <c r="CU171" i="4"/>
  <c r="CU172" i="4" s="1"/>
  <c r="CT66" i="4"/>
  <c r="CT174" i="4" s="1"/>
  <c r="CU66" i="4" l="1"/>
  <c r="CT73" i="4"/>
  <c r="CT80" i="4" s="1"/>
  <c r="CT104" i="4" s="1"/>
  <c r="CT122" i="4"/>
  <c r="CT123" i="4" s="1"/>
  <c r="N13" i="28" l="1"/>
  <c r="CU174" i="4"/>
  <c r="DU66" i="4"/>
  <c r="G16" i="28" s="1"/>
  <c r="P34" i="31" s="1"/>
  <c r="CU73" i="4"/>
  <c r="CU80" i="4" s="1"/>
  <c r="CU104" i="4" s="1"/>
  <c r="CU122" i="4"/>
  <c r="CU123" i="4" s="1"/>
  <c r="DU122" i="4" l="1"/>
  <c r="DU123" i="4" s="1"/>
  <c r="DU174" i="4"/>
  <c r="DU73" i="4"/>
  <c r="DU80" i="4" s="1"/>
  <c r="DU104" i="4" s="1"/>
  <c r="G17" i="28" l="1"/>
  <c r="DV166" i="4"/>
  <c r="DV170" i="4" s="1"/>
  <c r="DW166" i="4"/>
  <c r="DW170" i="4" s="1"/>
  <c r="E34" i="28" l="1"/>
  <c r="D28" i="28"/>
  <c r="E28" i="28"/>
  <c r="D34" i="28"/>
  <c r="K34" i="28"/>
  <c r="F28" i="28"/>
  <c r="I34" i="28"/>
  <c r="J34" i="28"/>
  <c r="H34" i="28"/>
  <c r="K28" i="28"/>
  <c r="G34" i="28"/>
  <c r="G28" i="28"/>
  <c r="F34" i="28"/>
  <c r="G20" i="28"/>
  <c r="J28" i="28"/>
  <c r="H28" i="28"/>
  <c r="DV171" i="4"/>
  <c r="DV172" i="4" s="1"/>
  <c r="DV92" i="4"/>
  <c r="O18" i="28" l="1"/>
  <c r="O13" i="28"/>
  <c r="DV121" i="4"/>
  <c r="DV125" i="4"/>
  <c r="DW171" i="4"/>
  <c r="DW172" i="4" s="1"/>
  <c r="DX171" i="4" s="1"/>
  <c r="DX172" i="4" s="1"/>
  <c r="DV66" i="4"/>
  <c r="DW92" i="4"/>
  <c r="DV102" i="4"/>
  <c r="DW121" i="4" l="1"/>
  <c r="DW125" i="4"/>
  <c r="DW102" i="4"/>
  <c r="DX92" i="4"/>
  <c r="DX66" i="4"/>
  <c r="DX174" i="4" s="1"/>
  <c r="DY171" i="4"/>
  <c r="DY172" i="4" s="1"/>
  <c r="DV122" i="4"/>
  <c r="DV123" i="4" s="1"/>
  <c r="DV73" i="4"/>
  <c r="DV80" i="4" s="1"/>
  <c r="DV104" i="4" s="1"/>
  <c r="DW66" i="4"/>
  <c r="DW174" i="4" s="1"/>
  <c r="DV174" i="4"/>
  <c r="DX121" i="4" l="1"/>
  <c r="DX125" i="4"/>
  <c r="DY92" i="4"/>
  <c r="DX102" i="4"/>
  <c r="DY66" i="4"/>
  <c r="DZ171" i="4"/>
  <c r="DZ172" i="4" s="1"/>
  <c r="DX122" i="4"/>
  <c r="DX123" i="4" s="1"/>
  <c r="DX73" i="4"/>
  <c r="DX80" i="4" s="1"/>
  <c r="DW73" i="4"/>
  <c r="DW80" i="4" s="1"/>
  <c r="DW104" i="4" s="1"/>
  <c r="DW122" i="4"/>
  <c r="DW123" i="4" s="1"/>
  <c r="DW37" i="4"/>
  <c r="DX37" i="4" s="1"/>
  <c r="DY121" i="4" l="1"/>
  <c r="DY125" i="4"/>
  <c r="DX104" i="4"/>
  <c r="DY37" i="4"/>
  <c r="DZ37" i="4" s="1"/>
  <c r="DZ92" i="4"/>
  <c r="DZ125" i="4" s="1"/>
  <c r="DY102" i="4"/>
  <c r="DY73" i="4"/>
  <c r="DY80" i="4" s="1"/>
  <c r="DY122" i="4"/>
  <c r="DY123" i="4" s="1"/>
  <c r="DZ66" i="4"/>
  <c r="DY174" i="4"/>
  <c r="DW36" i="4"/>
  <c r="DZ102" i="4" l="1"/>
  <c r="DZ121" i="4"/>
  <c r="DY104" i="4"/>
  <c r="DW38" i="4"/>
  <c r="DW240" i="4" s="1"/>
  <c r="DX36" i="4"/>
  <c r="DZ73" i="4"/>
  <c r="DZ80" i="4" s="1"/>
  <c r="DZ122" i="4"/>
  <c r="DZ123" i="4" s="1"/>
  <c r="DZ174" i="4"/>
  <c r="DV240" i="4"/>
  <c r="DV42" i="4"/>
  <c r="E42" i="31" l="1"/>
  <c r="E43" i="31" s="1"/>
  <c r="DZ104" i="4"/>
  <c r="DW40" i="4"/>
  <c r="DW43" i="4" s="1"/>
  <c r="DW42" i="4"/>
  <c r="DY36" i="4"/>
  <c r="DY38" i="4" s="1"/>
  <c r="DX38" i="4"/>
  <c r="DV44" i="4"/>
  <c r="C56" i="28"/>
  <c r="DV43" i="4"/>
  <c r="DV178" i="4"/>
  <c r="F27" i="31" l="1"/>
  <c r="F28" i="31" s="1"/>
  <c r="P27" i="31"/>
  <c r="P28" i="31" s="1"/>
  <c r="P29" i="31"/>
  <c r="D56" i="28"/>
  <c r="G27" i="31"/>
  <c r="G28" i="31" s="1"/>
  <c r="L27" i="31"/>
  <c r="L28" i="31" s="1"/>
  <c r="O27" i="31"/>
  <c r="O28" i="31" s="1"/>
  <c r="I27" i="31"/>
  <c r="I28" i="31" s="1"/>
  <c r="K27" i="31"/>
  <c r="K28" i="31" s="1"/>
  <c r="N27" i="31"/>
  <c r="N28" i="31" s="1"/>
  <c r="H27" i="31"/>
  <c r="H28" i="31" s="1"/>
  <c r="M27" i="31"/>
  <c r="M28" i="31" s="1"/>
  <c r="J27" i="31"/>
  <c r="J28" i="31" s="1"/>
  <c r="M56" i="28"/>
  <c r="N56" i="28"/>
  <c r="DW44" i="4"/>
  <c r="DW178" i="4"/>
  <c r="DY40" i="4"/>
  <c r="DY240" i="4"/>
  <c r="DY42" i="4"/>
  <c r="DX240" i="4"/>
  <c r="DX40" i="4"/>
  <c r="DX42" i="4"/>
  <c r="DZ36" i="4"/>
  <c r="DZ38" i="4" s="1"/>
  <c r="DV179" i="4"/>
  <c r="DV52" i="4"/>
  <c r="F56" i="28"/>
  <c r="G56" i="28"/>
  <c r="I56" i="28"/>
  <c r="H56" i="28"/>
  <c r="O15" i="28"/>
  <c r="J56" i="28"/>
  <c r="K56" i="28"/>
  <c r="E56" i="28"/>
  <c r="L56" i="28"/>
  <c r="C42" i="28"/>
  <c r="DV45" i="4"/>
  <c r="P32" i="31" l="1"/>
  <c r="L42" i="28"/>
  <c r="K42" i="28"/>
  <c r="DW52" i="4"/>
  <c r="DW45" i="4"/>
  <c r="D42" i="28"/>
  <c r="O6" i="28"/>
  <c r="O36" i="28"/>
  <c r="DW179" i="4"/>
  <c r="DZ240" i="4"/>
  <c r="DZ40" i="4"/>
  <c r="DZ42" i="4"/>
  <c r="DX44" i="4"/>
  <c r="DX43" i="4"/>
  <c r="DX178" i="4"/>
  <c r="DY44" i="4"/>
  <c r="DY43" i="4"/>
  <c r="DY178" i="4"/>
  <c r="F42" i="28"/>
  <c r="E42" i="28"/>
  <c r="G42" i="28"/>
  <c r="O14" i="28"/>
  <c r="H42" i="28"/>
  <c r="J42" i="28"/>
  <c r="I42" i="28"/>
  <c r="P44" i="31" l="1"/>
  <c r="DX45" i="4"/>
  <c r="E6" i="28"/>
  <c r="DY45" i="4"/>
  <c r="DX52" i="4"/>
  <c r="DX179" i="4"/>
  <c r="DZ44" i="4"/>
  <c r="DZ43" i="4"/>
  <c r="DZ178" i="4"/>
  <c r="DY52" i="4"/>
  <c r="DY179" i="4"/>
  <c r="P38" i="31" l="1"/>
  <c r="P41" i="31" s="1"/>
  <c r="P45" i="31" s="1"/>
  <c r="J6" i="28"/>
  <c r="DZ45" i="4"/>
  <c r="DZ179" i="4"/>
  <c r="DZ52" i="4"/>
  <c r="P42" i="31" l="1"/>
  <c r="P46" i="31"/>
  <c r="DK69" i="32"/>
  <c r="DL69" i="32"/>
  <c r="DM69" i="32"/>
  <c r="DN69" i="32"/>
  <c r="DO69" i="32"/>
  <c r="DP69" i="32"/>
  <c r="DQ69" i="32"/>
  <c r="DR69" i="32"/>
  <c r="DR70" i="32" s="1"/>
  <c r="DR72" i="32" s="1"/>
  <c r="DS69" i="32"/>
  <c r="DT69" i="32"/>
  <c r="BD70" i="32"/>
  <c r="BE70" i="32"/>
  <c r="BF70" i="32"/>
  <c r="BG70" i="32"/>
  <c r="BH70" i="32"/>
  <c r="BI70" i="32"/>
  <c r="BJ70" i="32"/>
  <c r="BK70" i="32"/>
  <c r="BL70" i="32"/>
  <c r="BM70" i="32"/>
  <c r="BN70" i="32"/>
  <c r="BO70" i="32"/>
  <c r="BP70" i="32"/>
  <c r="BQ70" i="32"/>
  <c r="BR70" i="32"/>
  <c r="BS70" i="32"/>
  <c r="BT70" i="32"/>
  <c r="BT72" i="32" s="1"/>
  <c r="BU70" i="32"/>
  <c r="BU72" i="32" s="1"/>
  <c r="BV70" i="32"/>
  <c r="BV72" i="32" s="1"/>
  <c r="BW70" i="32"/>
  <c r="BW72" i="32" s="1"/>
  <c r="BX70" i="32"/>
  <c r="BX72" i="32" s="1"/>
  <c r="BY70" i="32"/>
  <c r="BY72" i="32" s="1"/>
  <c r="BZ70" i="32"/>
  <c r="BZ72" i="32" s="1"/>
  <c r="CA70" i="32"/>
  <c r="CA72" i="32" s="1"/>
  <c r="CB70" i="32"/>
  <c r="CB72" i="32" s="1"/>
  <c r="CC70" i="32"/>
  <c r="CC72" i="32" s="1"/>
  <c r="CD70" i="32"/>
  <c r="CE70" i="32"/>
  <c r="CE72" i="32" s="1"/>
  <c r="CF70" i="32"/>
  <c r="CF72" i="32" s="1"/>
  <c r="CG70" i="32"/>
  <c r="CG72" i="32" s="1"/>
  <c r="CH70" i="32"/>
  <c r="CH72" i="32" s="1"/>
  <c r="CI70" i="32"/>
  <c r="CI72" i="32" s="1"/>
  <c r="CJ70" i="32"/>
  <c r="CJ72" i="32" s="1"/>
  <c r="CK70" i="32"/>
  <c r="CK72" i="32" s="1"/>
  <c r="CL70" i="32"/>
  <c r="CM70" i="32"/>
  <c r="CM72" i="32" s="1"/>
  <c r="CN70" i="32"/>
  <c r="CN72" i="32" s="1"/>
  <c r="CO70" i="32"/>
  <c r="CO72" i="32" s="1"/>
  <c r="CP70" i="32"/>
  <c r="CP72" i="32" s="1"/>
  <c r="DK70" i="32"/>
  <c r="DL70" i="32"/>
  <c r="CD72" i="32"/>
  <c r="CL72" i="32"/>
  <c r="DT70" i="32" l="1"/>
  <c r="DT72" i="32" s="1"/>
  <c r="C31" i="30"/>
  <c r="DN70" i="32"/>
  <c r="DS70" i="32"/>
  <c r="DS72" i="32" s="1"/>
  <c r="DQ70" i="32"/>
  <c r="DQ72" i="32" s="1"/>
  <c r="DM70" i="32"/>
  <c r="CR70" i="32"/>
  <c r="CR72" i="32" s="1"/>
  <c r="CT69" i="32"/>
  <c r="CS70" i="32"/>
  <c r="CS72" i="32" s="1"/>
  <c r="DO70" i="32"/>
  <c r="DO72" i="32" s="1"/>
  <c r="DP70" i="32"/>
  <c r="DP72" i="32" s="1"/>
  <c r="CU69" i="32" l="1"/>
  <c r="CT70" i="32"/>
  <c r="CT72" i="32" s="1"/>
  <c r="CU70" i="32" l="1"/>
  <c r="CU72" i="32" s="1"/>
  <c r="DU69" i="32"/>
  <c r="DU70" i="32" l="1"/>
  <c r="DU72" i="32" s="1"/>
  <c r="DV69" i="32"/>
  <c r="DV70" i="32" l="1"/>
  <c r="DV72" i="32" s="1"/>
  <c r="DW69" i="32"/>
  <c r="DW70" i="32" l="1"/>
  <c r="DW72" i="32" s="1"/>
  <c r="DX69" i="32"/>
  <c r="DY69" i="32" l="1"/>
  <c r="DX70" i="32"/>
  <c r="DX72" i="32" s="1"/>
  <c r="DZ69" i="32" l="1"/>
  <c r="DZ70" i="32" s="1"/>
  <c r="DZ72" i="32" s="1"/>
  <c r="DY70" i="32"/>
  <c r="DY72" i="32" s="1"/>
</calcChain>
</file>

<file path=xl/comments1.xml><?xml version="1.0" encoding="utf-8"?>
<comments xmlns="http://schemas.openxmlformats.org/spreadsheetml/2006/main">
  <authors>
    <author>Sinkevicius, Armintas (Research)</author>
  </authors>
  <commentList>
    <comment ref="O5" authorId="0">
      <text>
        <r>
          <rPr>
            <b/>
            <sz val="9"/>
            <color indexed="81"/>
            <rFont val="Tahoma"/>
            <family val="2"/>
          </rPr>
          <t>Sinkevicius, Armintas (Research):</t>
        </r>
        <r>
          <rPr>
            <sz val="9"/>
            <color indexed="81"/>
            <rFont val="Tahoma"/>
            <family val="2"/>
          </rPr>
          <t xml:space="preserve">
Margins @ 12.6% - 12.7% to 13.0%
@ 8.0x EV / EBITDA</t>
        </r>
      </text>
    </comment>
  </commentList>
</comments>
</file>

<file path=xl/comments2.xml><?xml version="1.0" encoding="utf-8"?>
<comments xmlns="http://schemas.openxmlformats.org/spreadsheetml/2006/main">
  <authors>
    <author>Sinkevicius, Armintas (Research)</author>
  </authors>
  <commentList>
    <comment ref="DU18" authorId="0">
      <text>
        <r>
          <rPr>
            <b/>
            <sz val="9"/>
            <color indexed="81"/>
            <rFont val="Tahoma"/>
            <family val="2"/>
          </rPr>
          <t>Sinkevicius, Armintas (Research):</t>
        </r>
        <r>
          <rPr>
            <sz val="9"/>
            <color indexed="81"/>
            <rFont val="Tahoma"/>
            <family val="2"/>
          </rPr>
          <t xml:space="preserve">
1312 - 1343
1320 - 1353
+ FX @ 1367 @ Midpoint</t>
        </r>
      </text>
    </comment>
    <comment ref="DU19" authorId="0">
      <text>
        <r>
          <rPr>
            <b/>
            <sz val="9"/>
            <color indexed="81"/>
            <rFont val="Tahoma"/>
            <family val="2"/>
          </rPr>
          <t>Sinkevicius, Armintas (Research):</t>
        </r>
        <r>
          <rPr>
            <sz val="9"/>
            <color indexed="81"/>
            <rFont val="Tahoma"/>
            <family val="2"/>
          </rPr>
          <t xml:space="preserve">
12.6% - 12.7%</t>
        </r>
      </text>
    </comment>
    <comment ref="DW19" authorId="0">
      <text>
        <r>
          <rPr>
            <b/>
            <sz val="9"/>
            <color indexed="81"/>
            <rFont val="Tahoma"/>
            <family val="2"/>
          </rPr>
          <t>Sinkevicius, Armintas (Research):</t>
        </r>
        <r>
          <rPr>
            <sz val="9"/>
            <color indexed="81"/>
            <rFont val="Tahoma"/>
            <family val="2"/>
          </rPr>
          <t xml:space="preserve">
August 2017
@ Low 13% Range</t>
        </r>
      </text>
    </comment>
    <comment ref="B22" authorId="0">
      <text>
        <r>
          <rPr>
            <b/>
            <sz val="9"/>
            <color indexed="81"/>
            <rFont val="Tahoma"/>
            <family val="2"/>
          </rPr>
          <t>Sinkevicius, Armintas (Research):</t>
        </r>
        <r>
          <rPr>
            <sz val="9"/>
            <color indexed="81"/>
            <rFont val="Tahoma"/>
            <family val="2"/>
          </rPr>
          <t xml:space="preserve">
50% Japan JV
+ 32.6% India JV</t>
        </r>
      </text>
    </comment>
    <comment ref="CR28" authorId="0">
      <text>
        <r>
          <rPr>
            <b/>
            <sz val="9"/>
            <color indexed="81"/>
            <rFont val="Tahoma"/>
            <family val="2"/>
          </rPr>
          <t>Sinkevicius, Armintas (Research):</t>
        </r>
        <r>
          <rPr>
            <sz val="9"/>
            <color indexed="81"/>
            <rFont val="Tahoma"/>
            <family val="2"/>
          </rPr>
          <t xml:space="preserve">
28%</t>
        </r>
      </text>
    </comment>
    <comment ref="DU28" authorId="0">
      <text>
        <r>
          <rPr>
            <b/>
            <sz val="9"/>
            <color indexed="81"/>
            <rFont val="Tahoma"/>
            <family val="2"/>
          </rPr>
          <t>Sinkevicius, Armintas (Research):</t>
        </r>
        <r>
          <rPr>
            <sz val="9"/>
            <color indexed="81"/>
            <rFont val="Tahoma"/>
            <family val="2"/>
          </rPr>
          <t xml:space="preserve">
29%
28%</t>
        </r>
      </text>
    </comment>
    <comment ref="CQ44" authorId="0">
      <text>
        <r>
          <rPr>
            <b/>
            <sz val="9"/>
            <color indexed="81"/>
            <rFont val="Tahoma"/>
            <family val="2"/>
          </rPr>
          <t>Sinkevicius, Armintas (Research):</t>
        </r>
        <r>
          <rPr>
            <sz val="9"/>
            <color indexed="81"/>
            <rFont val="Tahoma"/>
            <family val="2"/>
          </rPr>
          <t xml:space="preserve">
$0.99 - $1.01</t>
        </r>
      </text>
    </comment>
    <comment ref="CR44" authorId="0">
      <text>
        <r>
          <rPr>
            <b/>
            <sz val="9"/>
            <color indexed="81"/>
            <rFont val="Tahoma"/>
            <family val="2"/>
          </rPr>
          <t>Sinkevicius, Armintas (Research):</t>
        </r>
        <r>
          <rPr>
            <sz val="9"/>
            <color indexed="81"/>
            <rFont val="Tahoma"/>
            <family val="2"/>
          </rPr>
          <t xml:space="preserve">
$0.97 - $1.01
$0.99 - $1.03</t>
        </r>
      </text>
    </comment>
    <comment ref="DU44" authorId="0">
      <text>
        <r>
          <rPr>
            <b/>
            <sz val="9"/>
            <color indexed="81"/>
            <rFont val="Tahoma"/>
            <family val="2"/>
          </rPr>
          <t>Sinkevicius, Armintas (Research):</t>
        </r>
        <r>
          <rPr>
            <sz val="9"/>
            <color indexed="81"/>
            <rFont val="Tahoma"/>
            <family val="2"/>
          </rPr>
          <t xml:space="preserve">
4.12 - 4.25
4.25 - 4.35
+ FX @ $4.39 @ Midpoint</t>
        </r>
      </text>
    </comment>
    <comment ref="DU48" authorId="0">
      <text>
        <r>
          <rPr>
            <b/>
            <sz val="9"/>
            <color indexed="81"/>
            <rFont val="Tahoma"/>
            <family val="2"/>
          </rPr>
          <t>Sinkevicius, Armintas (Research):</t>
        </r>
        <r>
          <rPr>
            <sz val="9"/>
            <color indexed="81"/>
            <rFont val="Tahoma"/>
            <family val="2"/>
          </rPr>
          <t xml:space="preserve">
4%</t>
        </r>
      </text>
    </comment>
    <comment ref="DW48" authorId="0">
      <text>
        <r>
          <rPr>
            <b/>
            <sz val="9"/>
            <color indexed="81"/>
            <rFont val="Tahoma"/>
            <family val="2"/>
          </rPr>
          <t>Sinkevicius, Armintas (Research):</t>
        </r>
        <r>
          <rPr>
            <sz val="9"/>
            <color indexed="81"/>
            <rFont val="Tahoma"/>
            <family val="2"/>
          </rPr>
          <t xml:space="preserve">
August 2017
@ 4% of Revenue</t>
        </r>
      </text>
    </comment>
    <comment ref="DW50" authorId="0">
      <text>
        <r>
          <rPr>
            <b/>
            <sz val="9"/>
            <color indexed="81"/>
            <rFont val="Tahoma"/>
            <family val="2"/>
          </rPr>
          <t>Sinkevicius, Armintas (Research):</t>
        </r>
        <r>
          <rPr>
            <sz val="9"/>
            <color indexed="81"/>
            <rFont val="Tahoma"/>
            <family val="2"/>
          </rPr>
          <t xml:space="preserve">
August 2017
Dividend Growth @ Cash Flow</t>
        </r>
      </text>
    </comment>
    <comment ref="DU54" authorId="0">
      <text>
        <r>
          <rPr>
            <b/>
            <sz val="9"/>
            <color indexed="81"/>
            <rFont val="Tahoma"/>
            <family val="2"/>
          </rPr>
          <t>Sinkevicius, Armintas (Research):</t>
        </r>
        <r>
          <rPr>
            <sz val="9"/>
            <color indexed="81"/>
            <rFont val="Tahoma"/>
            <family val="2"/>
          </rPr>
          <t xml:space="preserve">
100</t>
        </r>
      </text>
    </comment>
    <comment ref="DW54" authorId="0">
      <text>
        <r>
          <rPr>
            <b/>
            <sz val="9"/>
            <color indexed="81"/>
            <rFont val="Tahoma"/>
            <family val="2"/>
          </rPr>
          <t>Sinkevicius, Armintas (Research):</t>
        </r>
        <r>
          <rPr>
            <sz val="9"/>
            <color indexed="81"/>
            <rFont val="Tahoma"/>
            <family val="2"/>
          </rPr>
          <t xml:space="preserve">
@ Investor Day 2017
"Offset dilution of stock based compensation via share repurchases."</t>
        </r>
      </text>
    </comment>
    <comment ref="CP55" authorId="0">
      <text>
        <r>
          <rPr>
            <b/>
            <sz val="9"/>
            <color indexed="81"/>
            <rFont val="Tahoma"/>
            <family val="2"/>
          </rPr>
          <t>Sinkevicius, Armintas (Research):</t>
        </r>
        <r>
          <rPr>
            <sz val="9"/>
            <color indexed="81"/>
            <rFont val="Tahoma"/>
            <family val="2"/>
          </rPr>
          <t xml:space="preserve">
9,857,280 Shares Remaining</t>
        </r>
      </text>
    </comment>
    <comment ref="B123" authorId="0">
      <text>
        <r>
          <rPr>
            <b/>
            <sz val="9"/>
            <color indexed="81"/>
            <rFont val="Tahoma"/>
            <family val="2"/>
          </rPr>
          <t>Sinkevicius, Armintas (Research):</t>
        </r>
        <r>
          <rPr>
            <sz val="9"/>
            <color indexed="81"/>
            <rFont val="Tahoma"/>
            <family val="2"/>
          </rPr>
          <t xml:space="preserve">
Target &lt; 2.0x</t>
        </r>
      </text>
    </comment>
    <comment ref="DU132" authorId="0">
      <text>
        <r>
          <rPr>
            <b/>
            <sz val="9"/>
            <color indexed="81"/>
            <rFont val="Tahoma"/>
            <family val="2"/>
          </rPr>
          <t>Sinkevicius, Armintas (Research):</t>
        </r>
        <r>
          <rPr>
            <sz val="9"/>
            <color indexed="81"/>
            <rFont val="Tahoma"/>
            <family val="2"/>
          </rPr>
          <t xml:space="preserve">
23%, 24% Cash Tax</t>
        </r>
      </text>
    </comment>
    <comment ref="DU152" authorId="0">
      <text>
        <r>
          <rPr>
            <b/>
            <sz val="9"/>
            <color indexed="81"/>
            <rFont val="Tahoma"/>
            <family val="2"/>
          </rPr>
          <t>Sinkevicius, Armintas (Research):</t>
        </r>
        <r>
          <rPr>
            <sz val="9"/>
            <color indexed="81"/>
            <rFont val="Tahoma"/>
            <family val="2"/>
          </rPr>
          <t xml:space="preserve">
575 - 625
</t>
        </r>
      </text>
    </comment>
    <comment ref="DU163" authorId="0">
      <text>
        <r>
          <rPr>
            <b/>
            <sz val="9"/>
            <color indexed="81"/>
            <rFont val="Tahoma"/>
            <family val="2"/>
          </rPr>
          <t>Sinkevicius, Armintas (Research):</t>
        </r>
        <r>
          <rPr>
            <sz val="9"/>
            <color indexed="81"/>
            <rFont val="Tahoma"/>
            <family val="2"/>
          </rPr>
          <t xml:space="preserve">
100</t>
        </r>
      </text>
    </comment>
    <comment ref="DU176" authorId="0">
      <text>
        <r>
          <rPr>
            <b/>
            <sz val="9"/>
            <color indexed="81"/>
            <rFont val="Tahoma"/>
            <family val="2"/>
          </rPr>
          <t>Sinkevicius, Armintas (Research):</t>
        </r>
        <r>
          <rPr>
            <sz val="9"/>
            <color indexed="81"/>
            <rFont val="Tahoma"/>
            <family val="2"/>
          </rPr>
          <t xml:space="preserve">
500 - 550
525 - 575</t>
        </r>
      </text>
    </comment>
    <comment ref="DW182" authorId="0">
      <text>
        <r>
          <rPr>
            <b/>
            <sz val="9"/>
            <color indexed="81"/>
            <rFont val="Tahoma"/>
            <family val="2"/>
          </rPr>
          <t>Sinkevicius, Armintas (Research):</t>
        </r>
        <r>
          <rPr>
            <sz val="9"/>
            <color indexed="81"/>
            <rFont val="Tahoma"/>
            <family val="2"/>
          </rPr>
          <t xml:space="preserve">
August 2017
@ 5.5% to 6.5%</t>
        </r>
      </text>
    </comment>
  </commentList>
</comments>
</file>

<file path=xl/comments3.xml><?xml version="1.0" encoding="utf-8"?>
<comments xmlns="http://schemas.openxmlformats.org/spreadsheetml/2006/main">
  <authors>
    <author>Sinkevicius, Armintas (Research)</author>
  </authors>
  <commentList>
    <comment ref="DU18" authorId="0">
      <text>
        <r>
          <rPr>
            <b/>
            <sz val="9"/>
            <color indexed="81"/>
            <rFont val="Tahoma"/>
            <family val="2"/>
          </rPr>
          <t>Sinkevicius, Armintas (Research):</t>
        </r>
        <r>
          <rPr>
            <sz val="9"/>
            <color indexed="81"/>
            <rFont val="Tahoma"/>
            <family val="2"/>
          </rPr>
          <t xml:space="preserve">
Morgan Stanley Estimate
for US SAAR</t>
        </r>
      </text>
    </comment>
    <comment ref="DV18" authorId="0">
      <text>
        <r>
          <rPr>
            <b/>
            <sz val="9"/>
            <color indexed="81"/>
            <rFont val="Tahoma"/>
            <family val="2"/>
          </rPr>
          <t>Sinkevicius, Armintas (Research):</t>
        </r>
        <r>
          <rPr>
            <sz val="9"/>
            <color indexed="81"/>
            <rFont val="Tahoma"/>
            <family val="2"/>
          </rPr>
          <t xml:space="preserve">
Morgan Stanley Estimate
for US SAAR</t>
        </r>
      </text>
    </comment>
    <comment ref="DW18" authorId="0">
      <text>
        <r>
          <rPr>
            <b/>
            <sz val="9"/>
            <color indexed="81"/>
            <rFont val="Tahoma"/>
            <family val="2"/>
          </rPr>
          <t>Sinkevicius, Armintas (Research):</t>
        </r>
        <r>
          <rPr>
            <sz val="9"/>
            <color indexed="81"/>
            <rFont val="Tahoma"/>
            <family val="2"/>
          </rPr>
          <t xml:space="preserve">
Morgan Stanley Estimate
for US SAAR</t>
        </r>
      </text>
    </comment>
    <comment ref="DX18" authorId="0">
      <text>
        <r>
          <rPr>
            <b/>
            <sz val="9"/>
            <color indexed="81"/>
            <rFont val="Tahoma"/>
            <family val="2"/>
          </rPr>
          <t>Sinkevicius, Armintas (Research):</t>
        </r>
        <r>
          <rPr>
            <sz val="9"/>
            <color indexed="81"/>
            <rFont val="Tahoma"/>
            <family val="2"/>
          </rPr>
          <t xml:space="preserve">
Morgan Stanley Estimate
for US SAAR</t>
        </r>
      </text>
    </comment>
    <comment ref="DY18" authorId="0">
      <text>
        <r>
          <rPr>
            <b/>
            <sz val="9"/>
            <color indexed="81"/>
            <rFont val="Tahoma"/>
            <family val="2"/>
          </rPr>
          <t>Sinkevicius, Armintas (Research):</t>
        </r>
        <r>
          <rPr>
            <sz val="9"/>
            <color indexed="81"/>
            <rFont val="Tahoma"/>
            <family val="2"/>
          </rPr>
          <t xml:space="preserve">
Morgan Stanley Estimate
for US SAAR</t>
        </r>
      </text>
    </comment>
    <comment ref="DZ18" authorId="0">
      <text>
        <r>
          <rPr>
            <b/>
            <sz val="9"/>
            <color indexed="81"/>
            <rFont val="Tahoma"/>
            <family val="2"/>
          </rPr>
          <t>Sinkevicius, Armintas (Research):</t>
        </r>
        <r>
          <rPr>
            <sz val="9"/>
            <color indexed="81"/>
            <rFont val="Tahoma"/>
            <family val="2"/>
          </rPr>
          <t xml:space="preserve">
Morgan Stanley Estimate
for US SAAR</t>
        </r>
      </text>
    </comment>
    <comment ref="DS27" authorId="0">
      <text>
        <r>
          <rPr>
            <b/>
            <sz val="9"/>
            <color indexed="81"/>
            <rFont val="Tahoma"/>
            <family val="2"/>
          </rPr>
          <t>Sinkevicius, Armintas (Research):</t>
        </r>
        <r>
          <rPr>
            <sz val="9"/>
            <color indexed="81"/>
            <rFont val="Tahoma"/>
            <family val="2"/>
          </rPr>
          <t xml:space="preserve">
September 2016
Combustion @ 88M x 44% x $185 aCPV
Hybrid @ 3M x 20% x $140 aCPV
Electric @ 0.5M x 3% x $620 aCPV</t>
        </r>
      </text>
    </comment>
    <comment ref="DW27" authorId="0">
      <text>
        <r>
          <rPr>
            <b/>
            <sz val="9"/>
            <color indexed="81"/>
            <rFont val="Tahoma"/>
            <family val="2"/>
          </rPr>
          <t>Sinkevicius, Armintas (Research):</t>
        </r>
        <r>
          <rPr>
            <sz val="9"/>
            <color indexed="81"/>
            <rFont val="Tahoma"/>
            <family val="2"/>
          </rPr>
          <t xml:space="preserve">
August 2017
Combustion @ 89M x 50% x $200 aCPV
Hybrid @ 11M x 36% x $240 aCPV
Electric @ 2.2M x 26% x $285 aCPV</t>
        </r>
      </text>
    </comment>
    <comment ref="BT35" authorId="0">
      <text>
        <r>
          <rPr>
            <b/>
            <sz val="9"/>
            <color indexed="81"/>
            <rFont val="Tahoma"/>
            <family val="2"/>
          </rPr>
          <t>Sinkevicius, Armintas (Research):</t>
        </r>
        <r>
          <rPr>
            <sz val="9"/>
            <color indexed="81"/>
            <rFont val="Tahoma"/>
            <family val="2"/>
          </rPr>
          <t xml:space="preserve">
January 2013
Presentation</t>
        </r>
      </text>
    </comment>
    <comment ref="BX35" authorId="0">
      <text>
        <r>
          <rPr>
            <b/>
            <sz val="9"/>
            <color indexed="81"/>
            <rFont val="Tahoma"/>
            <family val="2"/>
          </rPr>
          <t>Sinkevicius, Armintas (Research):</t>
        </r>
        <r>
          <rPr>
            <sz val="9"/>
            <color indexed="81"/>
            <rFont val="Tahoma"/>
            <family val="2"/>
          </rPr>
          <t xml:space="preserve">
August 2013
Presentation</t>
        </r>
      </text>
    </comment>
    <comment ref="CB35" authorId="0">
      <text>
        <r>
          <rPr>
            <b/>
            <sz val="9"/>
            <color indexed="81"/>
            <rFont val="Tahoma"/>
            <family val="2"/>
          </rPr>
          <t>Sinkevicius, Armintas (Research):</t>
        </r>
        <r>
          <rPr>
            <sz val="9"/>
            <color indexed="81"/>
            <rFont val="Tahoma"/>
            <family val="2"/>
          </rPr>
          <t xml:space="preserve">
March 2014
Presentation</t>
        </r>
      </text>
    </comment>
    <comment ref="CF35" authorId="0">
      <text>
        <r>
          <rPr>
            <b/>
            <sz val="9"/>
            <color indexed="81"/>
            <rFont val="Tahoma"/>
            <family val="2"/>
          </rPr>
          <t>Sinkevicius, Armintas (Research):</t>
        </r>
        <r>
          <rPr>
            <sz val="9"/>
            <color indexed="81"/>
            <rFont val="Tahoma"/>
            <family val="2"/>
          </rPr>
          <t xml:space="preserve">
August 2015
Presentation</t>
        </r>
      </text>
    </comment>
    <comment ref="CJ35" authorId="0">
      <text>
        <r>
          <rPr>
            <b/>
            <sz val="9"/>
            <color indexed="81"/>
            <rFont val="Tahoma"/>
            <family val="2"/>
          </rPr>
          <t>Sinkevicius, Armintas (Research):</t>
        </r>
        <r>
          <rPr>
            <sz val="9"/>
            <color indexed="81"/>
            <rFont val="Tahoma"/>
            <family val="2"/>
          </rPr>
          <t xml:space="preserve">
November 2017 Presentation</t>
        </r>
      </text>
    </comment>
    <comment ref="CN40" authorId="0">
      <text>
        <r>
          <rPr>
            <b/>
            <sz val="9"/>
            <color indexed="81"/>
            <rFont val="Tahoma"/>
            <family val="2"/>
          </rPr>
          <t>Sinkevicius, Armintas (Research):</t>
        </r>
        <r>
          <rPr>
            <sz val="9"/>
            <color indexed="81"/>
            <rFont val="Tahoma"/>
            <family val="2"/>
          </rPr>
          <t xml:space="preserve">
100 - 150</t>
        </r>
      </text>
    </comment>
    <comment ref="CO40" authorId="0">
      <text>
        <r>
          <rPr>
            <b/>
            <sz val="9"/>
            <color indexed="81"/>
            <rFont val="Tahoma"/>
            <family val="2"/>
          </rPr>
          <t>Sinkevicius, Armintas (Research):</t>
        </r>
        <r>
          <rPr>
            <sz val="9"/>
            <color indexed="81"/>
            <rFont val="Tahoma"/>
            <family val="2"/>
          </rPr>
          <t xml:space="preserve">
140 - 190</t>
        </r>
      </text>
    </comment>
    <comment ref="CP40" authorId="0">
      <text>
        <r>
          <rPr>
            <b/>
            <sz val="9"/>
            <color indexed="81"/>
            <rFont val="Tahoma"/>
            <family val="2"/>
          </rPr>
          <t>Sinkevicius, Armintas (Research):</t>
        </r>
        <r>
          <rPr>
            <sz val="9"/>
            <color indexed="81"/>
            <rFont val="Tahoma"/>
            <family val="2"/>
          </rPr>
          <t xml:space="preserve">
100 - 150</t>
        </r>
      </text>
    </comment>
    <comment ref="CQ40" authorId="0">
      <text>
        <r>
          <rPr>
            <b/>
            <sz val="9"/>
            <color indexed="81"/>
            <rFont val="Tahoma"/>
            <family val="2"/>
          </rPr>
          <t>Sinkevicius, Armintas (Research):</t>
        </r>
        <r>
          <rPr>
            <sz val="9"/>
            <color indexed="81"/>
            <rFont val="Tahoma"/>
            <family val="2"/>
          </rPr>
          <t xml:space="preserve">
151 - 181</t>
        </r>
      </text>
    </comment>
    <comment ref="DS40" authorId="0">
      <text>
        <r>
          <rPr>
            <b/>
            <sz val="9"/>
            <color indexed="81"/>
            <rFont val="Tahoma"/>
            <family val="2"/>
          </rPr>
          <t>Sinkevicius, Armintas (Research):</t>
        </r>
        <r>
          <rPr>
            <sz val="9"/>
            <color indexed="81"/>
            <rFont val="Tahoma"/>
            <family val="2"/>
          </rPr>
          <t xml:space="preserve">
Jan 2016 @ 230 - 390</t>
        </r>
      </text>
    </comment>
    <comment ref="DT40" authorId="0">
      <text>
        <r>
          <rPr>
            <b/>
            <sz val="9"/>
            <color indexed="81"/>
            <rFont val="Tahoma"/>
            <family val="2"/>
          </rPr>
          <t>Sinkevicius, Armintas (Research):</t>
        </r>
        <r>
          <rPr>
            <sz val="9"/>
            <color indexed="81"/>
            <rFont val="Tahoma"/>
            <family val="2"/>
          </rPr>
          <t xml:space="preserve">
Jan 2016 @ 410 - 590
Jan 2017 @ 410 - 590
4Q @ 410 - 590
1Q @ 410 - 590
2Q @ 690 - 740
3Q @ 875 - 905</t>
        </r>
      </text>
    </comment>
    <comment ref="DU40" authorId="0">
      <text>
        <r>
          <rPr>
            <b/>
            <sz val="9"/>
            <color indexed="81"/>
            <rFont val="Tahoma"/>
            <family val="2"/>
          </rPr>
          <t>Sinkevicius, Armintas (Research):</t>
        </r>
        <r>
          <rPr>
            <sz val="9"/>
            <color indexed="81"/>
            <rFont val="Tahoma"/>
            <family val="2"/>
          </rPr>
          <t xml:space="preserve">
Jan 2016 @ 460 - 670
Jan 2017 @ 460 - 670
Jan 2018 @ 650 - 730</t>
        </r>
      </text>
    </comment>
    <comment ref="DV40" authorId="0">
      <text>
        <r>
          <rPr>
            <b/>
            <sz val="9"/>
            <color indexed="81"/>
            <rFont val="Tahoma"/>
            <family val="2"/>
          </rPr>
          <t>Sinkevicius, Armintas (Research):</t>
        </r>
        <r>
          <rPr>
            <sz val="9"/>
            <color indexed="81"/>
            <rFont val="Tahoma"/>
            <family val="2"/>
          </rPr>
          <t xml:space="preserve">
Jan 2017 @ 500 - 700
Jan 2018 @ 675 - 800</t>
        </r>
      </text>
    </comment>
    <comment ref="DW40" authorId="0">
      <text>
        <r>
          <rPr>
            <b/>
            <sz val="9"/>
            <color indexed="81"/>
            <rFont val="Tahoma"/>
            <family val="2"/>
          </rPr>
          <t>Sinkevicius, Armintas (Research):</t>
        </r>
        <r>
          <rPr>
            <sz val="9"/>
            <color indexed="81"/>
            <rFont val="Tahoma"/>
            <family val="2"/>
          </rPr>
          <t xml:space="preserve">
Jan 2018 @ 700 - 825</t>
        </r>
      </text>
    </comment>
    <comment ref="CQ54" authorId="0">
      <text>
        <r>
          <rPr>
            <b/>
            <sz val="9"/>
            <color indexed="81"/>
            <rFont val="Tahoma"/>
            <family val="2"/>
          </rPr>
          <t>Sinkevicius, Armintas (Research):</t>
        </r>
        <r>
          <rPr>
            <sz val="9"/>
            <color indexed="81"/>
            <rFont val="Tahoma"/>
            <family val="2"/>
          </rPr>
          <t xml:space="preserve">
$15M for Sevcon
Acquired on September 27, 2017</t>
        </r>
      </text>
    </comment>
    <comment ref="CR64" authorId="0">
      <text>
        <r>
          <rPr>
            <b/>
            <sz val="9"/>
            <color indexed="81"/>
            <rFont val="Tahoma"/>
            <family val="2"/>
          </rPr>
          <t>Sinkevicius, Armintas (Research):</t>
        </r>
        <r>
          <rPr>
            <sz val="9"/>
            <color indexed="81"/>
            <rFont val="Tahoma"/>
            <family val="2"/>
          </rPr>
          <t xml:space="preserve">
2560 - 2630
2590 - 2650
FX @ 1.23 v. 1.18
+ $44M
2664 @ Midpoint</t>
        </r>
      </text>
    </comment>
    <comment ref="DU64" authorId="0">
      <text>
        <r>
          <rPr>
            <b/>
            <sz val="9"/>
            <color indexed="81"/>
            <rFont val="Tahoma"/>
            <family val="2"/>
          </rPr>
          <t>Sinkevicius, Armintas (Research):</t>
        </r>
        <r>
          <rPr>
            <sz val="9"/>
            <color indexed="81"/>
            <rFont val="Tahoma"/>
            <family val="2"/>
          </rPr>
          <t xml:space="preserve">
10410 - 10588
10517 - 10695
FX @ 1.23 v. 1.18
+ $169M
10775 @ Midpoint</t>
        </r>
      </text>
    </comment>
    <comment ref="DW64" authorId="0">
      <text>
        <r>
          <rPr>
            <b/>
            <sz val="9"/>
            <color indexed="81"/>
            <rFont val="Tahoma"/>
            <family val="2"/>
          </rPr>
          <t>Sinkevicius, Armintas (Research):</t>
        </r>
        <r>
          <rPr>
            <sz val="9"/>
            <color indexed="81"/>
            <rFont val="Tahoma"/>
            <family val="2"/>
          </rPr>
          <t xml:space="preserve">
August 2017
@ $11.5b, +7% CAGR
v. 2016
or +5% GoM
@ $11.5b - $11.8b</t>
        </r>
      </text>
    </comment>
    <comment ref="DU66" authorId="0">
      <text>
        <r>
          <rPr>
            <b/>
            <sz val="9"/>
            <color indexed="81"/>
            <rFont val="Tahoma"/>
            <family val="2"/>
          </rPr>
          <t>Sinkevicius, Armintas (Research):</t>
        </r>
        <r>
          <rPr>
            <sz val="9"/>
            <color indexed="81"/>
            <rFont val="Tahoma"/>
            <family val="2"/>
          </rPr>
          <t xml:space="preserve">
5.0% - 7.0% Organic
3.1% - 5.1% v. Market</t>
        </r>
      </text>
    </comment>
    <comment ref="CS69" authorId="0">
      <text>
        <r>
          <rPr>
            <b/>
            <sz val="9"/>
            <color indexed="81"/>
            <rFont val="Tahoma"/>
            <family val="2"/>
          </rPr>
          <t>Sinkevicius, Armintas (Research):</t>
        </r>
        <r>
          <rPr>
            <sz val="9"/>
            <color indexed="81"/>
            <rFont val="Tahoma"/>
            <family val="2"/>
          </rPr>
          <t xml:space="preserve">
March 30, 2018</t>
        </r>
      </text>
    </comment>
    <comment ref="DU69" authorId="0">
      <text>
        <r>
          <rPr>
            <b/>
            <sz val="9"/>
            <color indexed="81"/>
            <rFont val="Tahoma"/>
            <family val="2"/>
          </rPr>
          <t>Sinkevicius, Armintas (Research):</t>
        </r>
        <r>
          <rPr>
            <sz val="9"/>
            <color indexed="81"/>
            <rFont val="Tahoma"/>
            <family val="2"/>
          </rPr>
          <t xml:space="preserve">
Guidance
1.15 @ Detroit
1.18 @ 4Q17</t>
        </r>
      </text>
    </comment>
    <comment ref="CS74" authorId="0">
      <text>
        <r>
          <rPr>
            <b/>
            <sz val="9"/>
            <color indexed="81"/>
            <rFont val="Tahoma"/>
            <family val="2"/>
          </rPr>
          <t>Sinkevicius, Armintas (Research):</t>
        </r>
        <r>
          <rPr>
            <sz val="9"/>
            <color indexed="81"/>
            <rFont val="Tahoma"/>
            <family val="2"/>
          </rPr>
          <t xml:space="preserve">
March 30, 2018</t>
        </r>
      </text>
    </comment>
    <comment ref="CQ95" authorId="0">
      <text>
        <r>
          <rPr>
            <b/>
            <sz val="9"/>
            <color indexed="81"/>
            <rFont val="Tahoma"/>
            <family val="2"/>
          </rPr>
          <t>Sinkevicius, Armintas (Research):</t>
        </r>
        <r>
          <rPr>
            <sz val="9"/>
            <color indexed="81"/>
            <rFont val="Tahoma"/>
            <family val="2"/>
          </rPr>
          <t xml:space="preserve">
$4M for Sevcon
Acquired on September 27, 2017</t>
        </r>
      </text>
    </comment>
  </commentList>
</comments>
</file>

<file path=xl/comments4.xml><?xml version="1.0" encoding="utf-8"?>
<comments xmlns="http://schemas.openxmlformats.org/spreadsheetml/2006/main">
  <authors>
    <author>Sinkevicius, Armintas (Research)</author>
  </authors>
  <commentList>
    <comment ref="Q8" authorId="0">
      <text>
        <r>
          <rPr>
            <b/>
            <sz val="9"/>
            <color indexed="81"/>
            <rFont val="Tahoma"/>
            <family val="2"/>
          </rPr>
          <t>Sinkevicius, Armintas (Research):</t>
        </r>
        <r>
          <rPr>
            <sz val="9"/>
            <color indexed="81"/>
            <rFont val="Tahoma"/>
            <family val="2"/>
          </rPr>
          <t xml:space="preserve">
10410 - 10588
@ January 2018</t>
        </r>
      </text>
    </comment>
    <comment ref="Q10" authorId="0">
      <text>
        <r>
          <rPr>
            <b/>
            <sz val="9"/>
            <color indexed="81"/>
            <rFont val="Tahoma"/>
            <family val="2"/>
          </rPr>
          <t>Sinkevicius, Armintas (Research):</t>
        </r>
        <r>
          <rPr>
            <sz val="9"/>
            <color indexed="81"/>
            <rFont val="Tahoma"/>
            <family val="2"/>
          </rPr>
          <t xml:space="preserve">
1312 - 1343
@ January 2018</t>
        </r>
      </text>
    </comment>
    <comment ref="Q12" authorId="0">
      <text>
        <r>
          <rPr>
            <b/>
            <sz val="9"/>
            <color indexed="81"/>
            <rFont val="Tahoma"/>
            <family val="2"/>
          </rPr>
          <t>Sinkevicius, Armintas (Research):</t>
        </r>
        <r>
          <rPr>
            <sz val="9"/>
            <color indexed="81"/>
            <rFont val="Tahoma"/>
            <family val="2"/>
          </rPr>
          <t xml:space="preserve">
$4.15 - $4.25
@ January 2018</t>
        </r>
      </text>
    </comment>
    <comment ref="Q13" authorId="0">
      <text>
        <r>
          <rPr>
            <b/>
            <sz val="9"/>
            <color indexed="81"/>
            <rFont val="Tahoma"/>
            <family val="2"/>
          </rPr>
          <t>Sinkevicius, Armintas (Research):</t>
        </r>
        <r>
          <rPr>
            <sz val="9"/>
            <color indexed="81"/>
            <rFont val="Tahoma"/>
            <family val="2"/>
          </rPr>
          <t xml:space="preserve">
500 - 525
@ January 2018</t>
        </r>
      </text>
    </comment>
    <comment ref="Q17" authorId="0">
      <text>
        <r>
          <rPr>
            <b/>
            <sz val="9"/>
            <color indexed="81"/>
            <rFont val="Tahoma"/>
            <family val="2"/>
          </rPr>
          <t>Sinkevicius, Armintas (Research):</t>
        </r>
        <r>
          <rPr>
            <sz val="9"/>
            <color indexed="81"/>
            <rFont val="Tahoma"/>
            <family val="2"/>
          </rPr>
          <t xml:space="preserve">
29 @ January 2019</t>
        </r>
      </text>
    </comment>
    <comment ref="Q18" authorId="0">
      <text>
        <r>
          <rPr>
            <b/>
            <sz val="9"/>
            <color indexed="81"/>
            <rFont val="Tahoma"/>
            <family val="2"/>
          </rPr>
          <t>Sinkevicius, Armintas (Research):</t>
        </r>
        <r>
          <rPr>
            <sz val="9"/>
            <color indexed="81"/>
            <rFont val="Tahoma"/>
            <family val="2"/>
          </rPr>
          <t xml:space="preserve">
$1.15 @ January 2018</t>
        </r>
      </text>
    </comment>
    <comment ref="O34" authorId="0">
      <text>
        <r>
          <rPr>
            <b/>
            <sz val="9"/>
            <color indexed="81"/>
            <rFont val="Tahoma"/>
            <family val="2"/>
          </rPr>
          <t>Sinkevicius, Armintas (Research):</t>
        </r>
        <r>
          <rPr>
            <sz val="9"/>
            <color indexed="81"/>
            <rFont val="Tahoma"/>
            <family val="2"/>
          </rPr>
          <t xml:space="preserve">
FX + Remy Acquisition</t>
        </r>
      </text>
    </comment>
    <comment ref="K40" authorId="0">
      <text>
        <r>
          <rPr>
            <b/>
            <sz val="9"/>
            <color indexed="81"/>
            <rFont val="Tahoma"/>
            <family val="2"/>
          </rPr>
          <t>Sinkevicius, Armintas (Research):</t>
        </r>
        <r>
          <rPr>
            <sz val="9"/>
            <color indexed="81"/>
            <rFont val="Tahoma"/>
            <family val="2"/>
          </rPr>
          <t xml:space="preserve">
"… impact of weaker than expected market conditions, particularly slower light vehicle production growth in China, unfavorable mix of light vehicle production in North America, and weak commercial vehicle markets around the world..."</t>
        </r>
      </text>
    </comment>
    <comment ref="O40" authorId="0">
      <text>
        <r>
          <rPr>
            <b/>
            <sz val="9"/>
            <color indexed="81"/>
            <rFont val="Tahoma"/>
            <family val="2"/>
          </rPr>
          <t>Sinkevicius, Armintas (Research):</t>
        </r>
        <r>
          <rPr>
            <sz val="9"/>
            <color indexed="81"/>
            <rFont val="Tahoma"/>
            <family val="2"/>
          </rPr>
          <t xml:space="preserve">
FX</t>
        </r>
      </text>
    </comment>
    <comment ref="E43" authorId="0">
      <text>
        <r>
          <rPr>
            <b/>
            <sz val="9"/>
            <color indexed="81"/>
            <rFont val="Tahoma"/>
            <family val="2"/>
          </rPr>
          <t>Sinkevicius, Armintas (Research):</t>
        </r>
        <r>
          <rPr>
            <sz val="9"/>
            <color indexed="81"/>
            <rFont val="Tahoma"/>
            <family val="2"/>
          </rPr>
          <t xml:space="preserve">
approximately</t>
        </r>
      </text>
    </comment>
    <comment ref="I43" authorId="0">
      <text>
        <r>
          <rPr>
            <b/>
            <sz val="9"/>
            <color indexed="81"/>
            <rFont val="Tahoma"/>
            <family val="2"/>
          </rPr>
          <t>Sinkevicius, Armintas (Research):</t>
        </r>
        <r>
          <rPr>
            <sz val="9"/>
            <color indexed="81"/>
            <rFont val="Tahoma"/>
            <family val="2"/>
          </rPr>
          <t xml:space="preserve">
approximately</t>
        </r>
      </text>
    </comment>
    <comment ref="M43" authorId="0">
      <text>
        <r>
          <rPr>
            <b/>
            <sz val="9"/>
            <color indexed="81"/>
            <rFont val="Tahoma"/>
            <family val="2"/>
          </rPr>
          <t>Sinkevicius, Armintas (Research):</t>
        </r>
        <r>
          <rPr>
            <sz val="9"/>
            <color indexed="81"/>
            <rFont val="Tahoma"/>
            <family val="2"/>
          </rPr>
          <t xml:space="preserve">
above</t>
        </r>
      </text>
    </comment>
    <comment ref="Q43" authorId="0">
      <text>
        <r>
          <rPr>
            <b/>
            <sz val="9"/>
            <color indexed="81"/>
            <rFont val="Tahoma"/>
            <family val="2"/>
          </rPr>
          <t>Sinkevicius, Armintas (Research):</t>
        </r>
        <r>
          <rPr>
            <sz val="9"/>
            <color indexed="81"/>
            <rFont val="Tahoma"/>
            <family val="2"/>
          </rPr>
          <t xml:space="preserve">
above</t>
        </r>
      </text>
    </comment>
    <comment ref="G47" authorId="0">
      <text>
        <r>
          <rPr>
            <b/>
            <sz val="9"/>
            <color indexed="81"/>
            <rFont val="Tahoma"/>
            <family val="2"/>
          </rPr>
          <t>Sinkevicius, Armintas (Research):</t>
        </r>
        <r>
          <rPr>
            <sz val="9"/>
            <color indexed="81"/>
            <rFont val="Tahoma"/>
            <family val="2"/>
          </rPr>
          <t xml:space="preserve">
FX</t>
        </r>
      </text>
    </comment>
    <comment ref="E50" authorId="0">
      <text>
        <r>
          <rPr>
            <b/>
            <sz val="9"/>
            <color indexed="81"/>
            <rFont val="Tahoma"/>
            <family val="2"/>
          </rPr>
          <t>Sinkevicius, Armintas (Research):</t>
        </r>
        <r>
          <rPr>
            <sz val="9"/>
            <color indexed="81"/>
            <rFont val="Tahoma"/>
            <family val="2"/>
          </rPr>
          <t xml:space="preserve">
approach</t>
        </r>
      </text>
    </comment>
    <comment ref="I50" authorId="0">
      <text>
        <r>
          <rPr>
            <b/>
            <sz val="9"/>
            <color indexed="81"/>
            <rFont val="Tahoma"/>
            <family val="2"/>
          </rPr>
          <t>Sinkevicius, Armintas (Research):</t>
        </r>
        <r>
          <rPr>
            <sz val="9"/>
            <color indexed="81"/>
            <rFont val="Tahoma"/>
            <family val="2"/>
          </rPr>
          <t xml:space="preserve">
approach</t>
        </r>
      </text>
    </comment>
    <comment ref="M50" authorId="0">
      <text>
        <r>
          <rPr>
            <b/>
            <sz val="9"/>
            <color indexed="81"/>
            <rFont val="Tahoma"/>
            <family val="2"/>
          </rPr>
          <t>Sinkevicius, Armintas (Research):</t>
        </r>
        <r>
          <rPr>
            <sz val="9"/>
            <color indexed="81"/>
            <rFont val="Tahoma"/>
            <family val="2"/>
          </rPr>
          <t xml:space="preserve">
or better</t>
        </r>
      </text>
    </comment>
    <comment ref="Q50" authorId="0">
      <text>
        <r>
          <rPr>
            <b/>
            <sz val="9"/>
            <color indexed="81"/>
            <rFont val="Tahoma"/>
            <family val="2"/>
          </rPr>
          <t>Sinkevicius, Armintas (Research):</t>
        </r>
        <r>
          <rPr>
            <sz val="9"/>
            <color indexed="81"/>
            <rFont val="Tahoma"/>
            <family val="2"/>
          </rPr>
          <t xml:space="preserve">
or better</t>
        </r>
      </text>
    </comment>
    <comment ref="D55" authorId="0">
      <text>
        <r>
          <rPr>
            <b/>
            <sz val="9"/>
            <color indexed="81"/>
            <rFont val="Tahoma"/>
            <family val="2"/>
          </rPr>
          <t>Sinkevicius, Armintas (Research):</t>
        </r>
        <r>
          <rPr>
            <sz val="9"/>
            <color indexed="81"/>
            <rFont val="Tahoma"/>
            <family val="2"/>
          </rPr>
          <t xml:space="preserve">
4% net of dispositions</t>
        </r>
      </text>
    </comment>
    <comment ref="F55" authorId="0">
      <text>
        <r>
          <rPr>
            <b/>
            <sz val="9"/>
            <color indexed="81"/>
            <rFont val="Tahoma"/>
            <family val="2"/>
          </rPr>
          <t>Sinkevicius, Armintas (Research):</t>
        </r>
        <r>
          <rPr>
            <sz val="9"/>
            <color indexed="81"/>
            <rFont val="Tahoma"/>
            <family val="2"/>
          </rPr>
          <t xml:space="preserve">
5% net of dispositions</t>
        </r>
      </text>
    </comment>
    <comment ref="H55" authorId="0">
      <text>
        <r>
          <rPr>
            <b/>
            <sz val="9"/>
            <color indexed="81"/>
            <rFont val="Tahoma"/>
            <family val="2"/>
          </rPr>
          <t>Sinkevicius, Armintas (Research):</t>
        </r>
        <r>
          <rPr>
            <sz val="9"/>
            <color indexed="81"/>
            <rFont val="Tahoma"/>
            <family val="2"/>
          </rPr>
          <t xml:space="preserve">
4% net of dispositions</t>
        </r>
      </text>
    </comment>
    <comment ref="J55" authorId="0">
      <text>
        <r>
          <rPr>
            <b/>
            <sz val="9"/>
            <color indexed="81"/>
            <rFont val="Tahoma"/>
            <family val="2"/>
          </rPr>
          <t>Sinkevicius, Armintas (Research):</t>
        </r>
        <r>
          <rPr>
            <sz val="9"/>
            <color indexed="81"/>
            <rFont val="Tahoma"/>
            <family val="2"/>
          </rPr>
          <t xml:space="preserve">
6% net of dispositions</t>
        </r>
      </text>
    </comment>
    <comment ref="L55" authorId="0">
      <text>
        <r>
          <rPr>
            <b/>
            <sz val="9"/>
            <color indexed="81"/>
            <rFont val="Tahoma"/>
            <family val="2"/>
          </rPr>
          <t>Sinkevicius, Armintas (Research):</t>
        </r>
        <r>
          <rPr>
            <sz val="9"/>
            <color indexed="81"/>
            <rFont val="Tahoma"/>
            <family val="2"/>
          </rPr>
          <t xml:space="preserve">
3% net of dispositions</t>
        </r>
      </text>
    </comment>
    <comment ref="N55" authorId="0">
      <text>
        <r>
          <rPr>
            <b/>
            <sz val="9"/>
            <color indexed="81"/>
            <rFont val="Tahoma"/>
            <family val="2"/>
          </rPr>
          <t>Sinkevicius, Armintas (Research):</t>
        </r>
        <r>
          <rPr>
            <sz val="9"/>
            <color indexed="81"/>
            <rFont val="Tahoma"/>
            <family val="2"/>
          </rPr>
          <t xml:space="preserve">
7% net of dispositions</t>
        </r>
      </text>
    </comment>
    <comment ref="P55" authorId="0">
      <text>
        <r>
          <rPr>
            <b/>
            <sz val="9"/>
            <color indexed="81"/>
            <rFont val="Tahoma"/>
            <family val="2"/>
          </rPr>
          <t>Sinkevicius, Armintas (Research):</t>
        </r>
        <r>
          <rPr>
            <sz val="9"/>
            <color indexed="81"/>
            <rFont val="Tahoma"/>
            <family val="2"/>
          </rPr>
          <t xml:space="preserve">
3% net of dispositions</t>
        </r>
      </text>
    </comment>
    <comment ref="R55" authorId="0">
      <text>
        <r>
          <rPr>
            <b/>
            <sz val="9"/>
            <color indexed="81"/>
            <rFont val="Tahoma"/>
            <family val="2"/>
          </rPr>
          <t>Sinkevicius, Armintas (Research):</t>
        </r>
        <r>
          <rPr>
            <sz val="9"/>
            <color indexed="81"/>
            <rFont val="Tahoma"/>
            <family val="2"/>
          </rPr>
          <t xml:space="preserve">
7% net of dispositions</t>
        </r>
      </text>
    </comment>
    <comment ref="E57" authorId="0">
      <text>
        <r>
          <rPr>
            <b/>
            <sz val="9"/>
            <color indexed="81"/>
            <rFont val="Tahoma"/>
            <family val="2"/>
          </rPr>
          <t>Sinkevicius, Armintas (Research):</t>
        </r>
        <r>
          <rPr>
            <sz val="9"/>
            <color indexed="81"/>
            <rFont val="Tahoma"/>
            <family val="2"/>
          </rPr>
          <t xml:space="preserve">
or better</t>
        </r>
      </text>
    </comment>
    <comment ref="I57" authorId="0">
      <text>
        <r>
          <rPr>
            <b/>
            <sz val="9"/>
            <color indexed="81"/>
            <rFont val="Tahoma"/>
            <family val="2"/>
          </rPr>
          <t>Sinkevicius, Armintas (Research):</t>
        </r>
        <r>
          <rPr>
            <sz val="9"/>
            <color indexed="81"/>
            <rFont val="Tahoma"/>
            <family val="2"/>
          </rPr>
          <t xml:space="preserve">
approximately</t>
        </r>
      </text>
    </comment>
    <comment ref="M57" authorId="0">
      <text>
        <r>
          <rPr>
            <b/>
            <sz val="9"/>
            <color indexed="81"/>
            <rFont val="Tahoma"/>
            <family val="2"/>
          </rPr>
          <t>Sinkevicius, Armintas (Research):</t>
        </r>
        <r>
          <rPr>
            <sz val="9"/>
            <color indexed="81"/>
            <rFont val="Tahoma"/>
            <family val="2"/>
          </rPr>
          <t xml:space="preserve">
or better</t>
        </r>
      </text>
    </comment>
    <comment ref="Q57" authorId="0">
      <text>
        <r>
          <rPr>
            <b/>
            <sz val="9"/>
            <color indexed="81"/>
            <rFont val="Tahoma"/>
            <family val="2"/>
          </rPr>
          <t>Sinkevicius, Armintas (Research):</t>
        </r>
        <r>
          <rPr>
            <sz val="9"/>
            <color indexed="81"/>
            <rFont val="Tahoma"/>
            <family val="2"/>
          </rPr>
          <t xml:space="preserve">
or better</t>
        </r>
      </text>
    </comment>
    <comment ref="C58" authorId="0">
      <text>
        <r>
          <rPr>
            <b/>
            <sz val="9"/>
            <color indexed="81"/>
            <rFont val="Tahoma"/>
            <family val="2"/>
          </rPr>
          <t>Sinkevicius, Armintas (Research):</t>
        </r>
        <r>
          <rPr>
            <sz val="9"/>
            <color indexed="81"/>
            <rFont val="Tahoma"/>
            <family val="2"/>
          </rPr>
          <t xml:space="preserve">
2 for 1 Stock Split
on December 16, 2013</t>
        </r>
      </text>
    </comment>
  </commentList>
</comments>
</file>

<file path=xl/comments5.xml><?xml version="1.0" encoding="utf-8"?>
<comments xmlns="http://schemas.openxmlformats.org/spreadsheetml/2006/main">
  <authors>
    <author>Sinkevicius, Armintas (Research)</author>
  </authors>
  <commentList>
    <comment ref="F7" authorId="0">
      <text>
        <r>
          <rPr>
            <b/>
            <sz val="9"/>
            <color indexed="81"/>
            <rFont val="Tahoma"/>
            <family val="2"/>
          </rPr>
          <t>Sinkevicius, Armintas (Research):</t>
        </r>
        <r>
          <rPr>
            <sz val="9"/>
            <color indexed="81"/>
            <rFont val="Tahoma"/>
            <family val="2"/>
          </rPr>
          <t xml:space="preserve">
$900M</t>
        </r>
      </text>
    </comment>
  </commentList>
</comments>
</file>

<file path=xl/sharedStrings.xml><?xml version="1.0" encoding="utf-8"?>
<sst xmlns="http://schemas.openxmlformats.org/spreadsheetml/2006/main" count="1305" uniqueCount="842">
  <si>
    <t>BWA.N,mscalc:marketCapitalizationCurrent,,,</t>
  </si>
  <si>
    <t>9.82913905024001,mstag:averageDilutedSharesOutstanding,2009FY,,FYR</t>
  </si>
  <si>
    <t>BWA.N,mstag:averageDilutedSharesOutstanding,2009FY,,FYR</t>
  </si>
  <si>
    <t>116.939</t>
  </si>
  <si>
    <t>BWA.N,mscalc:enterpriseFirmValue,2012FY,,FYR</t>
  </si>
  <si>
    <t>9,747.51631311702</t>
  </si>
  <si>
    <t>9.82913905024001,mscalc:ebitda,2011FY,,FYR</t>
  </si>
  <si>
    <t>BWA.N,mscalc:enterpriseFirmValue,2011FY,,FYR</t>
  </si>
  <si>
    <t>8,542.374</t>
  </si>
  <si>
    <t>BWA.N,mscalc:enterpriseFirmValueBasic,2012FY,,FYR,USD</t>
  </si>
  <si>
    <t>10,507.905053117</t>
  </si>
  <si>
    <t>1Q95</t>
  </si>
  <si>
    <t>2Q95</t>
  </si>
  <si>
    <t>3Q95</t>
  </si>
  <si>
    <t>4Q95</t>
  </si>
  <si>
    <t>1Q96</t>
  </si>
  <si>
    <t>2Q96</t>
  </si>
  <si>
    <t>3Q96</t>
  </si>
  <si>
    <t>4Q96</t>
  </si>
  <si>
    <t>1Q97</t>
  </si>
  <si>
    <t>2Q97</t>
  </si>
  <si>
    <t>3Q97</t>
  </si>
  <si>
    <t>4Q97</t>
  </si>
  <si>
    <t>1Q98</t>
  </si>
  <si>
    <t>2Q98</t>
  </si>
  <si>
    <t>3Q98</t>
  </si>
  <si>
    <t>4Q98</t>
  </si>
  <si>
    <t>1Q99</t>
  </si>
  <si>
    <t>2Q99</t>
  </si>
  <si>
    <t>3Q99</t>
  </si>
  <si>
    <t>4Q99</t>
  </si>
  <si>
    <t>1Q00</t>
  </si>
  <si>
    <t>2Q00</t>
  </si>
  <si>
    <t>3Q00</t>
  </si>
  <si>
    <t>4Q00</t>
  </si>
  <si>
    <t>1Q01</t>
  </si>
  <si>
    <t>2Q01</t>
  </si>
  <si>
    <t>3Q01</t>
  </si>
  <si>
    <t>4Q01</t>
  </si>
  <si>
    <t>1Q02</t>
  </si>
  <si>
    <t>2Q02</t>
  </si>
  <si>
    <t>3Q02</t>
  </si>
  <si>
    <t>4Q02</t>
  </si>
  <si>
    <t>1Q03</t>
  </si>
  <si>
    <t>2Q03</t>
  </si>
  <si>
    <t>3Q03</t>
  </si>
  <si>
    <t>4Q03</t>
  </si>
  <si>
    <t>1Q04</t>
  </si>
  <si>
    <t>2Q04</t>
  </si>
  <si>
    <t>3Q04</t>
  </si>
  <si>
    <t>4Q04</t>
  </si>
  <si>
    <t>1Q05</t>
  </si>
  <si>
    <t>2Q05</t>
  </si>
  <si>
    <t>3Q05</t>
  </si>
  <si>
    <t>4Q05</t>
  </si>
  <si>
    <t>1Q06</t>
  </si>
  <si>
    <t>2Q06</t>
  </si>
  <si>
    <t>3Q06</t>
  </si>
  <si>
    <t>4Q06</t>
  </si>
  <si>
    <t>1Q07</t>
  </si>
  <si>
    <t>2Q07</t>
  </si>
  <si>
    <t>3Q07</t>
  </si>
  <si>
    <t>4Q07</t>
  </si>
  <si>
    <t>1Q08</t>
  </si>
  <si>
    <t>2Q08</t>
  </si>
  <si>
    <t>3Q08</t>
  </si>
  <si>
    <t>4Q08</t>
  </si>
  <si>
    <t>1Q09</t>
  </si>
  <si>
    <t>2Q09</t>
  </si>
  <si>
    <t>3Q09</t>
  </si>
  <si>
    <t>4Q09</t>
  </si>
  <si>
    <t>1Q10</t>
  </si>
  <si>
    <t>2Q10</t>
  </si>
  <si>
    <t>3Q10</t>
  </si>
  <si>
    <t>4Q10</t>
  </si>
  <si>
    <t>1Q11</t>
  </si>
  <si>
    <t>2Q11</t>
  </si>
  <si>
    <t>3Q11</t>
  </si>
  <si>
    <t>4Q11</t>
  </si>
  <si>
    <t xml:space="preserve"> </t>
  </si>
  <si>
    <t>Engine</t>
  </si>
  <si>
    <t>Drivetrain</t>
  </si>
  <si>
    <t>Other</t>
  </si>
  <si>
    <t>Gross Profit</t>
  </si>
  <si>
    <t>Depreciation</t>
  </si>
  <si>
    <t>Operating Income</t>
  </si>
  <si>
    <t>Amortization</t>
  </si>
  <si>
    <t>Minority Interest</t>
  </si>
  <si>
    <t>Extraordinary Items</t>
  </si>
  <si>
    <t>Common Dividends</t>
  </si>
  <si>
    <t>Unrecognised Goodwill</t>
  </si>
  <si>
    <t>NA</t>
  </si>
  <si>
    <t>Tax Rate</t>
  </si>
  <si>
    <t>Net Debt</t>
  </si>
  <si>
    <t>EBITDA</t>
  </si>
  <si>
    <t>Inventories</t>
  </si>
  <si>
    <t>Prepayments</t>
  </si>
  <si>
    <t>Total Current Assets</t>
  </si>
  <si>
    <t>Deferred Income Taxes</t>
  </si>
  <si>
    <t>Total Assets</t>
  </si>
  <si>
    <t>Accounts Payable</t>
  </si>
  <si>
    <t>Total Current Liabilities</t>
  </si>
  <si>
    <t>Capital Stock</t>
  </si>
  <si>
    <t>Retained Earnings</t>
  </si>
  <si>
    <t>Treasury Stock</t>
  </si>
  <si>
    <t>Total Debt</t>
  </si>
  <si>
    <t>Capital Expenditures</t>
  </si>
  <si>
    <t>Net Debt / EBITDA</t>
  </si>
  <si>
    <t>Amortization of Goodwill</t>
  </si>
  <si>
    <t>Change in Working Capital</t>
  </si>
  <si>
    <t>Dividends</t>
  </si>
  <si>
    <t>Change in Cash</t>
  </si>
  <si>
    <t>Dividends per Share</t>
  </si>
  <si>
    <t>SG&amp;A</t>
  </si>
  <si>
    <t>Taxes</t>
  </si>
  <si>
    <t>Revenue</t>
  </si>
  <si>
    <t>Reported Net Income</t>
  </si>
  <si>
    <t>Cost of Equity</t>
  </si>
  <si>
    <t>USD</t>
  </si>
  <si>
    <t>BWA.N</t>
  </si>
  <si>
    <t>BorgWarner Inc.</t>
  </si>
  <si>
    <t>Net Income For Validation</t>
  </si>
  <si>
    <t>Low</t>
  </si>
  <si>
    <t>High</t>
  </si>
  <si>
    <t>Risk Free Rate</t>
  </si>
  <si>
    <t>HAR.N,mscalc:dilutedEarningsPerShare,2012FY,,FYR</t>
  </si>
  <si>
    <t>BWA,mscalc:dilutedEarningsPerShare,2012FY,,FYR</t>
  </si>
  <si>
    <t>HAR.N,mstag:averageDilutedSharesOutstanding,2012FY,,FYR</t>
  </si>
  <si>
    <t>HAR.N,mscalc:marketCapitalizationCurrent,,,,,,WORK</t>
  </si>
  <si>
    <t>HAR.N,mscalc:evToEbitda,2012FY,,FYR</t>
  </si>
  <si>
    <t>BWA.N,mscalc:ebitda,2012FY,,FYR</t>
  </si>
  <si>
    <t>BWA.N,mstag:revenueNet,2012FY,,FYR</t>
  </si>
  <si>
    <t>BWA,mscalc:evToEbitda,2012FY,,FYR</t>
  </si>
  <si>
    <t>BWA.N,mscalc:dilutedEarningsPerShare,2012FY,,FYR</t>
  </si>
  <si>
    <t>BWA,mscalc:marketCapitalizationCurrent,,,,,,WORK</t>
  </si>
  <si>
    <t>BWA.N,mstag:averageDilutedSharesOutstanding,2012FY,,FYR</t>
  </si>
  <si>
    <t>HAR.N,mscalc:ebitda,2012FY,,FYR</t>
  </si>
  <si>
    <t>BWA,mstag:averageDilutedSharesOutstanding,2012FY,,FYR</t>
  </si>
  <si>
    <t>BWA,mscalc:ebitda,2012FY,,FYR</t>
  </si>
  <si>
    <t>BWA,mstag:revenueNet,2012FY,,FYR</t>
  </si>
  <si>
    <t>HAR.N,mstag:revenueNet,2012FY,,FYR</t>
  </si>
  <si>
    <t>BWA.N,mscalc:marketCapitalizationCurrent,,,,,,WORK</t>
  </si>
  <si>
    <t>2.95093940348847</t>
  </si>
  <si>
    <t>72.19475</t>
  </si>
  <si>
    <t>6.48472768918791</t>
  </si>
  <si>
    <t>1,281.352115675</t>
  </si>
  <si>
    <t>8,204.035834</t>
  </si>
  <si>
    <t>5.69734538434804</t>
  </si>
  <si>
    <t>124.625</t>
  </si>
  <si>
    <t>439.803415249999</t>
  </si>
  <si>
    <t>4,378.182</t>
  </si>
  <si>
    <t>BWA.N,mscalc:pensionAndOpebAdjustment,-2146826273,0</t>
  </si>
  <si>
    <t>BWA.N,mscalc:currentDilutedSharesOutstandingCalc</t>
  </si>
  <si>
    <t>115.942</t>
  </si>
  <si>
    <t>BWA.N,mscalc:DebtNet,2011FY,,FYR</t>
  </si>
  <si>
    <t>503.4</t>
  </si>
  <si>
    <t>BWA.N,mscalc:evToEbitda,2012FY,,FYR,,,</t>
  </si>
  <si>
    <t>BWA.N,mstag:averageDilutedSharesOutstanding,2011FY,,FYR</t>
  </si>
  <si>
    <t>128.4605</t>
  </si>
  <si>
    <t>BWA.N,mstag:revenueNet,2011FY,,FYR</t>
  </si>
  <si>
    <t>7,114.7</t>
  </si>
  <si>
    <t>BWA.N,mscalc:ebitda,2011FY,,FYR</t>
  </si>
  <si>
    <t>1,072.9</t>
  </si>
  <si>
    <t>BWA.N,mscalc:dilutedEarningsPerShare,2011FY,,FYR</t>
  </si>
  <si>
    <t>4.45510487659631</t>
  </si>
  <si>
    <t>BWA.N,mscalc:evToEbitda,2011FY,,FYR</t>
  </si>
  <si>
    <t>7.96194799142511</t>
  </si>
  <si>
    <t>BWA.N,mstag:averageDilutedSharesOutstanding,2012FY,,FYR,,,</t>
  </si>
  <si>
    <t>BWA.N,mscalc:evToEbitda,2012FY,,FYR</t>
  </si>
  <si>
    <t>7.60721131519898</t>
  </si>
  <si>
    <t>Bull Case</t>
  </si>
  <si>
    <t>Bear Case</t>
  </si>
  <si>
    <t>Price Target</t>
  </si>
  <si>
    <t>Currency</t>
  </si>
  <si>
    <t>Date</t>
  </si>
  <si>
    <t>Current Stock Price</t>
  </si>
  <si>
    <t>Count</t>
  </si>
  <si>
    <t>$</t>
  </si>
  <si>
    <t>BWA.N,mscalc:targetPrice,,,,USD</t>
  </si>
  <si>
    <t>88</t>
  </si>
  <si>
    <t>BWA.N,mscalc:closePriceCurrencyCalc</t>
  </si>
  <si>
    <t>BWA.N,mscalc:sedolCodeCalc</t>
  </si>
  <si>
    <t>2111955</t>
  </si>
  <si>
    <t>BWA.N,mscalc:targetPrice</t>
  </si>
  <si>
    <t>,mscalc:closePriceCurrencyCalc</t>
  </si>
  <si>
    <t>,mscalc:targetPrice,,,,USD</t>
  </si>
  <si>
    <t>,mscalc:sedolCodeCalc</t>
  </si>
  <si>
    <t>BWA.N,mscalc:marketCapitalizationCurrent,,,,,,HOLD</t>
  </si>
  <si>
    <t>9,626.66426</t>
  </si>
  <si>
    <t>BWA.N,mscalc:DebtNet,2012FY,,FYR</t>
  </si>
  <si>
    <t>32.177053117016</t>
  </si>
  <si>
    <t>BWA.N,mscalc:pensionAndOpebAdjustment,2012FY,,FYR</t>
  </si>
  <si>
    <t>457</t>
  </si>
  <si>
    <t>$CL$2</t>
  </si>
  <si>
    <t>Check</t>
  </si>
  <si>
    <t>Total Revenue</t>
  </si>
  <si>
    <t>Employee Retirement  Benefits</t>
  </si>
  <si>
    <t>ModelWare EPS</t>
  </si>
  <si>
    <t>Days in Period</t>
  </si>
  <si>
    <t>Equity Value</t>
  </si>
  <si>
    <t>Fair Value</t>
  </si>
  <si>
    <t>Cost of Debt</t>
  </si>
  <si>
    <t>Equity / Capital</t>
  </si>
  <si>
    <t>Terminal Growth</t>
  </si>
  <si>
    <t>Free Cash Flow</t>
  </si>
  <si>
    <t>Enterprise Value</t>
  </si>
  <si>
    <t>MSe</t>
  </si>
  <si>
    <t>1Q12</t>
  </si>
  <si>
    <t>2Q12</t>
  </si>
  <si>
    <t>3Q12</t>
  </si>
  <si>
    <t>Segment Breakdown</t>
  </si>
  <si>
    <t>4Q12</t>
  </si>
  <si>
    <t>1Q13</t>
  </si>
  <si>
    <t>2Q13</t>
  </si>
  <si>
    <t>3Q13</t>
  </si>
  <si>
    <t>4Q13</t>
  </si>
  <si>
    <t>1Q14</t>
  </si>
  <si>
    <t>2Q14</t>
  </si>
  <si>
    <t>3Q14</t>
  </si>
  <si>
    <t>4Q14</t>
  </si>
  <si>
    <t>1Q15</t>
  </si>
  <si>
    <t>2Q15</t>
  </si>
  <si>
    <t>3Q15</t>
  </si>
  <si>
    <t>4Q15</t>
  </si>
  <si>
    <t>1Q16</t>
  </si>
  <si>
    <t>2Q16</t>
  </si>
  <si>
    <t>3Q16</t>
  </si>
  <si>
    <t>4Q16</t>
  </si>
  <si>
    <t>1Q17</t>
  </si>
  <si>
    <t>Cons</t>
  </si>
  <si>
    <t>Tax Expense</t>
  </si>
  <si>
    <t>Earnings Variance v. Results</t>
  </si>
  <si>
    <t>Income Statement ($MM)</t>
  </si>
  <si>
    <t>2Q17</t>
  </si>
  <si>
    <t>v. Cons</t>
  </si>
  <si>
    <t>v. MSe</t>
  </si>
  <si>
    <t>COGS</t>
  </si>
  <si>
    <t>% Gross Margin</t>
  </si>
  <si>
    <t>% of Sales</t>
  </si>
  <si>
    <t>Other Expense</t>
  </si>
  <si>
    <t>% Margin</t>
  </si>
  <si>
    <t>Interest Expense</t>
  </si>
  <si>
    <t>% Tax Rate</t>
  </si>
  <si>
    <t>Diluted Common Shares Outstanding</t>
  </si>
  <si>
    <t>BorgWarner (BWA)</t>
  </si>
  <si>
    <t>Non Controlling Interest</t>
  </si>
  <si>
    <t>Drivertain</t>
  </si>
  <si>
    <t>Mid</t>
  </si>
  <si>
    <t>Adjusted Operating Income</t>
  </si>
  <si>
    <t>Adjusted EPS</t>
  </si>
  <si>
    <t>∆</t>
  </si>
  <si>
    <t>% Organic Growth</t>
  </si>
  <si>
    <t>$ Difference</t>
  </si>
  <si>
    <t>% Difference</t>
  </si>
  <si>
    <t>3Q17</t>
  </si>
  <si>
    <t>MSe v. Cons</t>
  </si>
  <si>
    <t>%</t>
  </si>
  <si>
    <t>Pre Tax Income</t>
  </si>
  <si>
    <t>Equity Earnings</t>
  </si>
  <si>
    <t>Adjusted Net Income</t>
  </si>
  <si>
    <t>4Q17</t>
  </si>
  <si>
    <t>2018 Outlook</t>
  </si>
  <si>
    <t>% Capital Intensity</t>
  </si>
  <si>
    <t>Share Repurchase</t>
  </si>
  <si>
    <t>% R&amp;D</t>
  </si>
  <si>
    <t>Valuation</t>
  </si>
  <si>
    <t>% Upside / Downside</t>
  </si>
  <si>
    <t>Valuation Multiples</t>
  </si>
  <si>
    <t>2018e</t>
  </si>
  <si>
    <t>Current Multiples</t>
  </si>
  <si>
    <t>Morgan Stanley</t>
  </si>
  <si>
    <t>(x) Diluted Shares Outstanding</t>
  </si>
  <si>
    <t>P / FCF</t>
  </si>
  <si>
    <t>EV / EBITDA</t>
  </si>
  <si>
    <t>P / E</t>
  </si>
  <si>
    <t>(+) Minority Interest</t>
  </si>
  <si>
    <t>CAGR</t>
  </si>
  <si>
    <t>2019e</t>
  </si>
  <si>
    <t>Consensus</t>
  </si>
  <si>
    <t>Changes to Estimates</t>
  </si>
  <si>
    <t>Old</t>
  </si>
  <si>
    <t>∆ EPS</t>
  </si>
  <si>
    <t>Guidance History</t>
  </si>
  <si>
    <t>ANNUAL GUIDANCE</t>
  </si>
  <si>
    <t>3Q</t>
  </si>
  <si>
    <t>2Q</t>
  </si>
  <si>
    <t>1Q</t>
  </si>
  <si>
    <t>4Q</t>
  </si>
  <si>
    <t>2020e</t>
  </si>
  <si>
    <t>Segments ($MM)</t>
  </si>
  <si>
    <t>Balance Sheet ($MM)</t>
  </si>
  <si>
    <t>Cash Flow Statement ($MM)</t>
  </si>
  <si>
    <t>Modelware</t>
  </si>
  <si>
    <t>% Y / Y</t>
  </si>
  <si>
    <t>% Interest Rate</t>
  </si>
  <si>
    <t>Interest of Convertibles</t>
  </si>
  <si>
    <t>Basic Common Shares Outstanding</t>
  </si>
  <si>
    <t>Basic EPS</t>
  </si>
  <si>
    <t>Diluted EPS</t>
  </si>
  <si>
    <t>Adjusted EBITDA</t>
  </si>
  <si>
    <t>% of Revenue</t>
  </si>
  <si>
    <t>Eliminations</t>
  </si>
  <si>
    <t>Cash</t>
  </si>
  <si>
    <t>Marketable Securities</t>
  </si>
  <si>
    <t>Held for Sale</t>
  </si>
  <si>
    <t>Other Current Assets</t>
  </si>
  <si>
    <t>Property, Plant &amp; Equipment</t>
  </si>
  <si>
    <t>Investments</t>
  </si>
  <si>
    <t>Goodwill &amp; Intangibles</t>
  </si>
  <si>
    <t>Other Assets</t>
  </si>
  <si>
    <t>Notes Payable</t>
  </si>
  <si>
    <t>Income Tax Payable</t>
  </si>
  <si>
    <t>Long Term Debt</t>
  </si>
  <si>
    <t>Retirement Liabilities</t>
  </si>
  <si>
    <t>Other Liabilities</t>
  </si>
  <si>
    <t>Capital in Excess of Par Value</t>
  </si>
  <si>
    <t>Accumulated Other Comprehensive Income</t>
  </si>
  <si>
    <t>Management Shareholder Note</t>
  </si>
  <si>
    <t>Net Earnings</t>
  </si>
  <si>
    <t>Restructuring</t>
  </si>
  <si>
    <t>Deferred Income Tax</t>
  </si>
  <si>
    <t>Amortization of Tooling</t>
  </si>
  <si>
    <t>Amortization of Intangibles</t>
  </si>
  <si>
    <t>Account Changes</t>
  </si>
  <si>
    <t>Prepayments &amp; Income Tax Payable</t>
  </si>
  <si>
    <t>Long Term Liabilities</t>
  </si>
  <si>
    <t>Cash From Operating Activities</t>
  </si>
  <si>
    <t>Proceeds From Sale of Business</t>
  </si>
  <si>
    <t>Payments for Business Acquired</t>
  </si>
  <si>
    <t>Proceeds From Disposal of Assets</t>
  </si>
  <si>
    <t>Investment in Affiliates</t>
  </si>
  <si>
    <t>Tooling Outlays</t>
  </si>
  <si>
    <t>Tax for Business Sold</t>
  </si>
  <si>
    <t>Cash From Investing Activities</t>
  </si>
  <si>
    <t>Debt</t>
  </si>
  <si>
    <t>Stock Repurchase</t>
  </si>
  <si>
    <t>Cash From Financing Activities</t>
  </si>
  <si>
    <t>North America</t>
  </si>
  <si>
    <t>South America</t>
  </si>
  <si>
    <t>China</t>
  </si>
  <si>
    <t>Global Production</t>
  </si>
  <si>
    <t>% Q / Q</t>
  </si>
  <si>
    <t>$ Q / Q</t>
  </si>
  <si>
    <t>$ Y / Y</t>
  </si>
  <si>
    <t>$ 2 Year</t>
  </si>
  <si>
    <t>% 2 Year</t>
  </si>
  <si>
    <t>v. Global Production</t>
  </si>
  <si>
    <t>Q / Q</t>
  </si>
  <si>
    <t>Y / Y</t>
  </si>
  <si>
    <t>2 Year</t>
  </si>
  <si>
    <t>Working Capital</t>
  </si>
  <si>
    <t>LTM</t>
  </si>
  <si>
    <t>Leverage</t>
  </si>
  <si>
    <t>Days Receivables</t>
  </si>
  <si>
    <t>Days Payables</t>
  </si>
  <si>
    <t>Days Supply</t>
  </si>
  <si>
    <t>Total Liabilities</t>
  </si>
  <si>
    <t>Total Liabilities &amp; Shareholders' Equity</t>
  </si>
  <si>
    <t>Accounts Receivable</t>
  </si>
  <si>
    <t>Exchange Rate</t>
  </si>
  <si>
    <t>Cash Balance, Beginning</t>
  </si>
  <si>
    <t>Cash Balance, Ending</t>
  </si>
  <si>
    <t>per Share</t>
  </si>
  <si>
    <t>Capex (% of Revenue)</t>
  </si>
  <si>
    <t>Depreciation (% of Revenue)</t>
  </si>
  <si>
    <t>Depreciation (% of PP&amp;E)</t>
  </si>
  <si>
    <t>Depreciation (% of Capex)</t>
  </si>
  <si>
    <t>Capital Intensity</t>
  </si>
  <si>
    <t>% Increase</t>
  </si>
  <si>
    <t>Shares Repurchased ($MM)</t>
  </si>
  <si>
    <t>Shares Repurchased</t>
  </si>
  <si>
    <t>Average Share Price</t>
  </si>
  <si>
    <t>% Y / Y Revenue</t>
  </si>
  <si>
    <t>% Y / Y Operating Income</t>
  </si>
  <si>
    <t>Consolidated</t>
  </si>
  <si>
    <t>Previous Revenue</t>
  </si>
  <si>
    <t>+ Backlog</t>
  </si>
  <si>
    <t>+ Acquisition / Disposal</t>
  </si>
  <si>
    <t>+ Market Growth / Pricing</t>
  </si>
  <si>
    <t>+ FX</t>
  </si>
  <si>
    <t>Current Revenue</t>
  </si>
  <si>
    <t>Previous Operating Income</t>
  </si>
  <si>
    <t>+ Corporate, Raws &amp; Other</t>
  </si>
  <si>
    <t>Current Operating Income</t>
  </si>
  <si>
    <t>Segment Walk</t>
  </si>
  <si>
    <t>% Market Growth / Pricing</t>
  </si>
  <si>
    <t>% Incremental Margin</t>
  </si>
  <si>
    <t>EPS</t>
  </si>
  <si>
    <t>$ / Euro Exchange Rate</t>
  </si>
  <si>
    <t>QUARTERLY GUIDANCE</t>
  </si>
  <si>
    <t>Guidance</t>
  </si>
  <si>
    <t>Diff.</t>
  </si>
  <si>
    <t>Issuance / Repurchase of Common Stock</t>
  </si>
  <si>
    <t>Basic Common Shares Outstanding, End</t>
  </si>
  <si>
    <t>Change in Other Comprehensive Income</t>
  </si>
  <si>
    <t>% Statutory Tax Rate</t>
  </si>
  <si>
    <t>FX to Revenue</t>
  </si>
  <si>
    <t>FX to Operating Income</t>
  </si>
  <si>
    <t>R&amp;D</t>
  </si>
  <si>
    <t>Shareholders' Equity</t>
  </si>
  <si>
    <t>Backlog</t>
  </si>
  <si>
    <t>DCF</t>
  </si>
  <si>
    <t>Unlevered Free Cash Flow</t>
  </si>
  <si>
    <t>Period Discount Factor</t>
  </si>
  <si>
    <t>Discount Factor</t>
  </si>
  <si>
    <t>NPV of Free Cash Flows</t>
  </si>
  <si>
    <t>NPV of Terminal Value</t>
  </si>
  <si>
    <t>Adjusted Beta</t>
  </si>
  <si>
    <t>Share Count</t>
  </si>
  <si>
    <t>Interest Rate</t>
  </si>
  <si>
    <t>Debt / Capital</t>
  </si>
  <si>
    <t>Weighted Average Cost of Capital</t>
  </si>
  <si>
    <t>(-) Minority Interest</t>
  </si>
  <si>
    <t>DCF Valuation</t>
  </si>
  <si>
    <t>End of Period Basic Shares Outstanding</t>
  </si>
  <si>
    <t>% Dilution</t>
  </si>
  <si>
    <t>% of FCF</t>
  </si>
  <si>
    <t>% of OCF</t>
  </si>
  <si>
    <t>1Q18e</t>
  </si>
  <si>
    <t>2Q18e</t>
  </si>
  <si>
    <t>3Q18e</t>
  </si>
  <si>
    <t>4Q18e</t>
  </si>
  <si>
    <t>2021e</t>
  </si>
  <si>
    <t>2022e</t>
  </si>
  <si>
    <t>2023e</t>
  </si>
  <si>
    <t>Europe</t>
  </si>
  <si>
    <t>Japan / Korea</t>
  </si>
  <si>
    <t>Middle East / Africa</t>
  </si>
  <si>
    <t>South Asia</t>
  </si>
  <si>
    <t>(-) Cash</t>
  </si>
  <si>
    <t>(+) Cash</t>
  </si>
  <si>
    <t>(-) Debt</t>
  </si>
  <si>
    <t>(+) Debt</t>
  </si>
  <si>
    <t>(+) Pension</t>
  </si>
  <si>
    <t>(+) OPEB</t>
  </si>
  <si>
    <t>(-) Pension</t>
  </si>
  <si>
    <t>(-) OPEB</t>
  </si>
  <si>
    <t>Number of Employees</t>
  </si>
  <si>
    <t>Revenue Drivers</t>
  </si>
  <si>
    <t>NOPAT</t>
  </si>
  <si>
    <t>ROIC</t>
  </si>
  <si>
    <t>EUR to USD</t>
  </si>
  <si>
    <t>RMB to USD</t>
  </si>
  <si>
    <t>% of Total Revenue</t>
  </si>
  <si>
    <t>Debt Schedule</t>
  </si>
  <si>
    <t>Due</t>
  </si>
  <si>
    <t>Interest</t>
  </si>
  <si>
    <t>Total</t>
  </si>
  <si>
    <t>8.000% Senior Notes due 2019</t>
  </si>
  <si>
    <t>4.625% Senior Notes due 2020</t>
  </si>
  <si>
    <t>1.800% Senior Notes due 2022</t>
  </si>
  <si>
    <t>3.375% Senior Notes due 2025</t>
  </si>
  <si>
    <t>7.125% Senior Notes due 2029</t>
  </si>
  <si>
    <t>4.375% Senior Notes due 2045</t>
  </si>
  <si>
    <t>Term Loan Facilities &amp; Other</t>
  </si>
  <si>
    <t>Expected Market Return</t>
  </si>
  <si>
    <t>% Europe</t>
  </si>
  <si>
    <t>% China</t>
  </si>
  <si>
    <t>% Asia</t>
  </si>
  <si>
    <t>% Americas</t>
  </si>
  <si>
    <t>Geographic Exposure</t>
  </si>
  <si>
    <t>% Geographically Adjusted Growth</t>
  </si>
  <si>
    <t>v. Geographically Adjusted Growth</t>
  </si>
  <si>
    <t>2020 Outlook</t>
  </si>
  <si>
    <t>40</t>
  </si>
  <si>
    <t>Previous</t>
  </si>
  <si>
    <t>2017</t>
  </si>
  <si>
    <t>1Q18</t>
  </si>
  <si>
    <t>2Q18</t>
  </si>
  <si>
    <t>3Q18</t>
  </si>
  <si>
    <t>4Q18</t>
  </si>
  <si>
    <t>2Q18 Outlook</t>
  </si>
  <si>
    <t>as % of Revenue</t>
  </si>
  <si>
    <t>as % of Incremental Revenue</t>
  </si>
  <si>
    <t>$ Actual Results v. Midpoint of Guidance</t>
  </si>
  <si>
    <t>% Actual Results v. Midpoint of Guidance</t>
  </si>
  <si>
    <t>Research</t>
  </si>
  <si>
    <t>e = Morgan Stanley Research estimates unless otherwise noted</t>
  </si>
  <si>
    <t>Source: Morgan Stanley Research unless otherwise noted</t>
  </si>
  <si>
    <t>Stocks ratings are relative to the analyst's industry coverage universe.</t>
  </si>
  <si>
    <t>1585 Broadway</t>
  </si>
  <si>
    <t>New York, NY  10036-8293</t>
  </si>
  <si>
    <t>United States</t>
  </si>
  <si>
    <t>Tel: +1 (1)212 761 4000</t>
  </si>
  <si>
    <t>Authors: Armintas Sinkevicius, Adam Jonas</t>
  </si>
  <si>
    <t>Date: 10 Apr 2018</t>
  </si>
  <si>
    <t>Ticker: BWA.N</t>
  </si>
  <si>
    <t>Stock Rating: Overweight</t>
  </si>
  <si>
    <t>Industry: Autos &amp; Shared Mobility</t>
  </si>
  <si>
    <t>Industry View: Cautious</t>
  </si>
  <si>
    <t>Price as of 10 Apr 2018: 53.00</t>
  </si>
  <si>
    <t>Target Price: 61</t>
  </si>
  <si>
    <t>Analyst Certification</t>
  </si>
  <si>
    <t>Unless otherwise stated, the individuals listed on the cover page of this report are research analysts.</t>
  </si>
  <si>
    <t>Global Research Conflict Management Policy</t>
  </si>
  <si>
    <t>Important US Regulatory Disclosures on Subject Companies</t>
  </si>
  <si>
    <t>Morgan Stanley &amp; Co. LLC makes a market in the securities of BorgWarner Inc..</t>
  </si>
  <si>
    <t>STOCK RATINGS</t>
  </si>
  <si>
    <t>Global Stock Ratings Distribution</t>
  </si>
  <si>
    <t>(as of March 31, 2018)</t>
  </si>
  <si>
    <t>Coverage Universe</t>
  </si>
  <si>
    <t>Investment Banking Clients (IBC)</t>
  </si>
  <si>
    <t>Other Material Investment Services Clients (MISC)</t>
  </si>
  <si>
    <t>Stock Rating Category</t>
  </si>
  <si>
    <t>% of Total</t>
  </si>
  <si>
    <t>% of Total IBC</t>
  </si>
  <si>
    <t>% of Rating Category</t>
  </si>
  <si>
    <t>% of Total Other MISC</t>
  </si>
  <si>
    <t>Overweight/Buy</t>
  </si>
  <si>
    <t>Equal-weight/Hold</t>
  </si>
  <si>
    <t>Not-Rated/Hold</t>
  </si>
  <si>
    <t>Underweight/Sell</t>
  </si>
  <si>
    <t>Analyst Stock Ratings</t>
  </si>
  <si>
    <t>Analyst Industry Views</t>
  </si>
  <si>
    <t>.</t>
  </si>
  <si>
    <t>Stock Price, Price Target and Rating History (See Rating Definitions)</t>
  </si>
  <si>
    <t>Important Disclosures for Morgan Stanley Smith Barney LLC Customers</t>
  </si>
  <si>
    <t>Other Important Disclosures</t>
  </si>
  <si>
    <t>Morgan Stanley Research, or any portion thereof may not be reprinted, sold or redistributed without the</t>
  </si>
  <si>
    <t>written consent of Morgan Stanley.</t>
  </si>
  <si>
    <t>The trademarks and service marks contained in Morgan Stanley Research are the property of their</t>
  </si>
  <si>
    <t>respective owners. Third-party data providers make no warranties or representations relating to the</t>
  </si>
  <si>
    <t>accuracy, completeness, or timeliness of the data they provide and shall not have liability for any</t>
  </si>
  <si>
    <t>damages relating to such data. The Global Industry Classification Standard (GICS) was developed by and</t>
  </si>
  <si>
    <t>is the exclusive property of MSCI and S&amp;P.</t>
  </si>
  <si>
    <t>As required by the Capital Markets Board of Turkey, investment information, comments and recommendations</t>
  </si>
  <si>
    <t>stated here, are not within the scope of investment advisory activity. Investment advisory service is</t>
  </si>
  <si>
    <t>provided exclusively to persons based on their risk and income preferences by the authorized firms.</t>
  </si>
  <si>
    <t>Comments and recommendations stated here are general in nature. These opinions may not fit to your</t>
  </si>
  <si>
    <t>financial status, risk and return preferences. For this reason, to make an investment decision by</t>
  </si>
  <si>
    <t>relying solely to this information stated here may not bring about outcomes that fit your expectations.</t>
  </si>
  <si>
    <t>The information in Morgan Stanley Research is being communicated by Morgan Stanley &amp; Co. International</t>
  </si>
  <si>
    <t>plc (QFC Branch), regulated by the Qatar Financial Centre Regulatory Authority (the QFCRA), and is</t>
  </si>
  <si>
    <t>directed at business customers and market counterparties only and is not intended for Retail Customers</t>
  </si>
  <si>
    <t>as defined by the QFCRA.</t>
  </si>
  <si>
    <t>plc (DIFC Branch), regulated by the Dubai Financial Services Authority (the DFSA), and is directed at</t>
  </si>
  <si>
    <t>Professional Clients only, as defined by the DFSA. The financial products or financial services to which</t>
  </si>
  <si>
    <t>this research relates will only be made available to a customer who we are satisfied meets the</t>
  </si>
  <si>
    <t>regulatory criteria to be a Professional Client.</t>
  </si>
  <si>
    <t>Morgan Stanley Research is disseminated in Brazil by Morgan Stanley C.T.V.M. S.A.; in Mexico by Morgan</t>
  </si>
  <si>
    <t>Stanley México, Casa de Bolsa, S.A. de C.V which is regulated by Comision Nacional Bancaria y de</t>
  </si>
  <si>
    <t>Valores. Paseo de los Tamarindos 90, Torre 1, Col. Bosques de las Lomas Floor 29, 05120 Mexico City; in</t>
  </si>
  <si>
    <t>Japan by Morgan Stanley MUFG Securities Co., Ltd. and, for Commodities related research reports only,</t>
  </si>
  <si>
    <t>Morgan Stanley Capital Group Japan Co., Ltd; in Hong Kong by Morgan Stanley Asia Limited (which accepts</t>
  </si>
  <si>
    <t>responsibility for its contents) and by Morgan Stanley Asia International Limited, Hong Kong Branch; in</t>
  </si>
  <si>
    <t>Singapore by Morgan Stanley Asia (Singapore) Pte. (Registration number 199206298Z) and/or Morgan Stanley</t>
  </si>
  <si>
    <t>Asia (Singapore) Securities Pte Ltd (Registration number 200008434H), regulated by the Monetary</t>
  </si>
  <si>
    <t>Authority of Singapore (which accepts legal responsibility for its contents and should be contacted with</t>
  </si>
  <si>
    <t>respect to any matters arising from, or in connection with, Morgan Stanley Research) and by Morgan</t>
  </si>
  <si>
    <t>Stanley Asia International Limited, Singapore Branch (Registration number T11FC0207F); in Australia to</t>
  </si>
  <si>
    <t>"wholesale clients" within the meaning of the Australian Corporations Act by Morgan Stanley Australia</t>
  </si>
  <si>
    <t>Limited A.B.N. 67 003 734 576, holder of Australian financial services license No. 233742, which accepts</t>
  </si>
  <si>
    <t>responsibility for its contents; in Australia to "wholesale clients" and "retail clients" within the</t>
  </si>
  <si>
    <t>meaning of the Australian Corporations Act by Morgan Stanley Wealth Management Australia Pty Ltd (A.B.N.</t>
  </si>
  <si>
    <t>19 009 145 555, holder of Australian financial services license No. 240813, which accepts responsibility</t>
  </si>
  <si>
    <t>for its contents; in Korea by Morgan Stanley &amp; Co International plc, Seoul Branch; in India by Morgan</t>
  </si>
  <si>
    <t>Stanley India Company Private Limited; in Indonesia by PT. Morgan Stanley Sekuritas Indonesia; in Canada</t>
  </si>
  <si>
    <t>by Morgan Stanley Canada Limited, which has approved of and takes responsibility for its contents in</t>
  </si>
  <si>
    <t>Canada; in Germany by Morgan Stanley Bank AG, Frankfurt am Main and Morgan Stanley Private Wealth</t>
  </si>
  <si>
    <t>Management Limited, Niederlassung Deutschland, regulated by Bundesanstalt fuer</t>
  </si>
  <si>
    <t>Finanzdienstleistungsaufsicht (BaFin); in Spain by Morgan Stanley, S.V., S.A., a Morgan Stanley group</t>
  </si>
  <si>
    <t>company, which is supervised by the Spanish Securities Markets Commission (CNMV) and states that Morgan</t>
  </si>
  <si>
    <t>Stanley Research has been written and distributed in accordance with the rules of conduct applicable to</t>
  </si>
  <si>
    <t>financial research as established under Spanish regulations; in the US by Morgan Stanley &amp; Co. LLC,</t>
  </si>
  <si>
    <t>which accepts responsibility for its contents. Morgan Stanley &amp; Co. International plc, authorized by the</t>
  </si>
  <si>
    <t>Prudential Regulatory Authority and regulated by the Financial Conduct Authority and the Prudential</t>
  </si>
  <si>
    <t>Regulatory Authority, disseminates in the UK research that it has prepared, and approves solely for the</t>
  </si>
  <si>
    <t>purposes of section 21 of the Financial Services and Markets Act 2000, research which has been prepared</t>
  </si>
  <si>
    <t>by any of its affiliates. RMB Morgan Stanley Proprietary Limited is a member of the JSE Limited and</t>
  </si>
  <si>
    <t>regulated by the Financial Services Board in South Africa. RMB Morgan Stanley Proprietary Limited is a</t>
  </si>
  <si>
    <t>joint venture owned equally by Morgan Stanley International Holdings Inc. and RMB Investment Advisory</t>
  </si>
  <si>
    <t>(Proprietary) Limited, which is wholly owned by FirstRand Limited. The information in Morgan Stanley</t>
  </si>
  <si>
    <t>Research is being disseminated by Morgan Stanley Saudi Arabia, regulated by the Capital Market Authority</t>
  </si>
  <si>
    <t>in the Kingdom of Saudi Arabia , and is directed at Sophisticated investors only.</t>
  </si>
  <si>
    <t>Morgan Stanley is not incorporated under PRC law and the research in relation to this report is</t>
  </si>
  <si>
    <t>conducted outside the PRC. Morgan Stanley Research does not constitute an offer to sell or the</t>
  </si>
  <si>
    <t>solicitation of an offer to buy any securities in the PRC. PRC investors shall have the relevant</t>
  </si>
  <si>
    <t>qualifications to invest in such securities and shall be responsible for obtaining all relevant</t>
  </si>
  <si>
    <t>approvals, licenses, verifications and/or registrations from the relevant governmental authorities</t>
  </si>
  <si>
    <t>themselves. Neither this report nor any part of it is intended as, or shall constitute, provision of any</t>
  </si>
  <si>
    <t>consultancy or advisory service of securities investment as defined under PRC law. Such information is</t>
  </si>
  <si>
    <t>provided for your reference only.</t>
  </si>
  <si>
    <t>To our readers based in Taiwan or trading in Taiwan securities/instruments: Information on</t>
  </si>
  <si>
    <t>securities/instruments that trade in Taiwan is distributed by Morgan Stanley Taiwan Limited ("MSTL").</t>
  </si>
  <si>
    <t>Such information is for your reference only. The reader should independently evaluate the investment</t>
  </si>
  <si>
    <t>risks and is solely responsible for their investment decisions. Morgan Stanley Research may not be</t>
  </si>
  <si>
    <t>distributed to the public media or quoted or used by the public media without the express written</t>
  </si>
  <si>
    <t>consent of Morgan Stanley. Any non-customer reader within the scope of Article 7-1 of the Taiwan Stock</t>
  </si>
  <si>
    <t>Exchange Recommendation Regulations accessing and/or receiving Morgan Stanley Research is not permitted</t>
  </si>
  <si>
    <t>to provide Morgan Stanley Research to any third party (including but not limited to related parties,</t>
  </si>
  <si>
    <t>affiliated companies and any other third parties) or engage in any activities regarding Morgan Stanley</t>
  </si>
  <si>
    <t>Research which may create or give the appearance of creating a conflict of interest. Information on</t>
  </si>
  <si>
    <t>securities/instruments that do not trade in Taiwan is for informational purposes only and is not to be</t>
  </si>
  <si>
    <t>construed as a recommendation or a solicitation to trade in such securities/instruments. MSTL may not</t>
  </si>
  <si>
    <t>execute transactions for clients in these securities/instruments.</t>
  </si>
  <si>
    <t>Morgan Stanley may make investment decisions that are inconsistent with the recommendations or views in</t>
  </si>
  <si>
    <t>this report.</t>
  </si>
  <si>
    <t>Morgan Stanley Research personnel may participate in company events such as site visits and are</t>
  </si>
  <si>
    <t>generally prohibited from accepting payment by the company of associated expenses unless pre-approved by</t>
  </si>
  <si>
    <t>authorized members of Research management.</t>
  </si>
  <si>
    <t>With the exception of information regarding Morgan Stanley, Morgan Stanley Research is based on public</t>
  </si>
  <si>
    <t>information. Morgan Stanley makes every effort to use reliable, comprehensive information, but we make</t>
  </si>
  <si>
    <t>no representation that it is accurate or complete. We have no obligation to tell you when opinions or</t>
  </si>
  <si>
    <t>information in Morgan Stanley Research change apart from when we intend to discontinue equity research</t>
  </si>
  <si>
    <t>coverage of a subject company. Facts and views presented in Morgan Stanley Research have not been</t>
  </si>
  <si>
    <t>reviewed by, and may not reflect information known to, professionals in other Morgan Stanley business</t>
  </si>
  <si>
    <t>areas, including investment banking personnel.</t>
  </si>
  <si>
    <t>The "Important US Regulatory Disclosures on Subject Companies" section in Morgan Stanley Research lists</t>
  </si>
  <si>
    <t>all companies mentioned where Morgan Stanley owns 1% or more of a class of common equity securities of</t>
  </si>
  <si>
    <t>the companies. For all other companies mentioned in Morgan Stanley Research, Morgan Stanley may have an</t>
  </si>
  <si>
    <t>investment of less than 1% in securities/instruments or derivatives of securities/instruments of</t>
  </si>
  <si>
    <t>companies and may trade them in ways different from those discussed in Morgan Stanley Research.</t>
  </si>
  <si>
    <t>Employees of Morgan Stanley not involved in the preparation of Morgan Stanley Research may have</t>
  </si>
  <si>
    <t>investments in securities/instruments or derivatives of securities/instruments of companies mentioned</t>
  </si>
  <si>
    <t>and may trade them in ways different from those discussed in Morgan Stanley Research. Derivatives may be</t>
  </si>
  <si>
    <t>issued by Morgan Stanley or associated persons.</t>
  </si>
  <si>
    <t>The fixed income research analysts, strategists or economists principally responsible for the</t>
  </si>
  <si>
    <t>preparation of Morgan Stanley Research have received compensation based upon various factors, including</t>
  </si>
  <si>
    <t>quality, accuracy and value of research, firm profitability or revenues (which include fixed income</t>
  </si>
  <si>
    <t>trading and capital markets profitability or revenues), client feedback and competitive factors. Fixed</t>
  </si>
  <si>
    <t>Income Research analysts', strategists' or economists' compensation is not linked to investment banking</t>
  </si>
  <si>
    <t>or capital markets transactions performed by Morgan Stanley or the profitability or revenues of</t>
  </si>
  <si>
    <t>particular trading desks.</t>
  </si>
  <si>
    <t>Morgan Stanley Research does not provide individually tailored investment advice. Morgan Stanley</t>
  </si>
  <si>
    <t>Research has been prepared without regard to the circumstances and objectives of those who receive it.</t>
  </si>
  <si>
    <t>Morgan Stanley recommends that investors independently evaluate particular investments and strategies,</t>
  </si>
  <si>
    <t>and encourages investors to seek the advice of a financial adviser. The appropriateness of an investment</t>
  </si>
  <si>
    <t>or strategy will depend on an investor's circumstances and objectives. The securities, instruments, or</t>
  </si>
  <si>
    <t>strategies discussed in Morgan Stanley Research may not be suitable for all investors, and certain</t>
  </si>
  <si>
    <t>investors may not be eligible to purchase or participate in some or all of them. Morgan Stanley Research</t>
  </si>
  <si>
    <t>is not an offer to buy or sell or the solicitation of an offer to buy or sell any security/instrument or</t>
  </si>
  <si>
    <t>to participate in any particular trading strategy. The value of and income from your investments may</t>
  </si>
  <si>
    <t>vary because of changes in interest rates, foreign exchange rates, default rates, prepayment rates,</t>
  </si>
  <si>
    <t>securities/instruments prices, market indexes, operational or financial conditions of companies or other</t>
  </si>
  <si>
    <t>factors. There may be time limitations on the exercise of options or other rights in</t>
  </si>
  <si>
    <t>securities/instruments transactions. Past performance is not necessarily a guide to future performance.</t>
  </si>
  <si>
    <t>Estimates of future performance are based on assumptions that may not be realized. If provided, and</t>
  </si>
  <si>
    <t>unless otherwise stated, the closing price on the cover page is that of the primary exchange for the</t>
  </si>
  <si>
    <t>subject company's securities/instruments.</t>
  </si>
  <si>
    <t>If you do not agree to our Terms of Use and/or if you do not wish to provide your consent to Morgan</t>
  </si>
  <si>
    <t>Stanley processing your personal data or using cookies please do not access our research.</t>
  </si>
  <si>
    <t>Any access and/or use of Morgan Stanley Research is subject to Morgan Stanley's Terms of Use</t>
  </si>
  <si>
    <t>(http://www.morganstanley.com/terms.html). By accessing and/or using Morgan Stanley Research, you are</t>
  </si>
  <si>
    <t>indicating that you have read and agree to be bound by our Terms of Use</t>
  </si>
  <si>
    <t>(http://www.morganstanley.com/terms.html). In addition you consent to Morgan Stanley processing your</t>
  </si>
  <si>
    <t>personal data and using cookies in accordance with our Privacy Policy and our Global Cookies Policy</t>
  </si>
  <si>
    <t>(http://www.morganstanley.com/privacy_pledge.html), including for the purposes of setting your</t>
  </si>
  <si>
    <t>preferences and to collect readership data so that we can deliver better and more personalized service</t>
  </si>
  <si>
    <t>and products to you. To find out more information about how Morgan Stanley processes personal data, how</t>
  </si>
  <si>
    <t>we use cookies and how to reject cookies see our Privacy Policy and our Global Cookies Policy</t>
  </si>
  <si>
    <t>(http://www.morganstanley.com/privacy_pledge.html).</t>
  </si>
  <si>
    <t>Morgan Stanley Research is provided to our clients through our proprietary research portal on Matrix and</t>
  </si>
  <si>
    <t>also distributed electronically by Morgan Stanley to clients. Certain, but not all, Morgan Stanley</t>
  </si>
  <si>
    <t>Research products are also made available to clients through third-party vendors or redistributed to</t>
  </si>
  <si>
    <t>clients through alternate electronic means as a convenience. For access to all available Morgan Stanley</t>
  </si>
  <si>
    <t>Research, please contact your sales representative or go to Matrix at</t>
  </si>
  <si>
    <t>http://www.morganstanley.com/matrix.</t>
  </si>
  <si>
    <t>Morgan Stanley produces an equity research product called a "Tactical Idea." Views contained in a</t>
  </si>
  <si>
    <t>"Tactical Idea" on a particular stock may be contrary to the recommendations or views expressed in</t>
  </si>
  <si>
    <t>research on the same stock. This may be the result of differing time horizons, methodologies, market</t>
  </si>
  <si>
    <t>events, or other factors. For all research available on a particular stock, please contact your sales</t>
  </si>
  <si>
    <t>representative or go to Matrix at http://www.morganstanley.com/matrix.</t>
  </si>
  <si>
    <t>Morgan Stanley is not acting as a municipal advisor and the opinions or views contained herein are not</t>
  </si>
  <si>
    <t>intended to be, and do not constitute, advice within the meaning of Section 975 of the Dodd-Frank Wall</t>
  </si>
  <si>
    <t>Street Reform and Consumer Protection Act.</t>
  </si>
  <si>
    <t>Morgan Stanley Research policy is to update research reports as and when the Research Analyst and</t>
  </si>
  <si>
    <t>Research Management deem appropriate, based on developments with the issuer, the sector, or the market</t>
  </si>
  <si>
    <t>that may have a material impact on the research views or opinions stated therein. In addition, certain</t>
  </si>
  <si>
    <t>Research publications are intended to be updated on a regular periodic basis</t>
  </si>
  <si>
    <t>(weekly/monthly/quarterly/annual) and will ordinarily be updated with that frequency, unless the</t>
  </si>
  <si>
    <t>Research Analyst and Research Management determine that a different publication schedule is appropriate</t>
  </si>
  <si>
    <t>based on current conditions.</t>
  </si>
  <si>
    <t>Morgan Stanley &amp; Co. International PLC and its affiliates have a significant financial interest in the</t>
  </si>
  <si>
    <t>debt securities of BorgWarner Inc..</t>
  </si>
  <si>
    <t>Each Morgan Stanley Equity Research report is reviewed and approved on behalf of Morgan Stanley Smith</t>
  </si>
  <si>
    <t>Barney LLC. This review and approval is conducted by the same person who reviews the Equity Research</t>
  </si>
  <si>
    <t>report on behalf of Morgan Stanley. This could create a conflict of interest.</t>
  </si>
  <si>
    <t>Important disclosures regarding the relationship between the companies that are the subject of Morgan</t>
  </si>
  <si>
    <t>Stanley Research and Morgan Stanley Smith Barney LLC or Morgan Stanley or any of their affiliates, are</t>
  </si>
  <si>
    <t>available on the Morgan Stanley Wealth Management disclosure website at</t>
  </si>
  <si>
    <t>www.morganstanley.com/online/researchdisclosures. For Morgan Stanley specific disclosures, you may refer</t>
  </si>
  <si>
    <t>to www.morganstanley.com/researchdisclosures.</t>
  </si>
  <si>
    <t>Benchmarks for each region are as follows: North America - S&amp;P 500; Latin America - relevant MSCI</t>
  </si>
  <si>
    <t>country index or MSCI Latin America Index; Europe - MSCI Europe; Japan - TOPIX; Asia - relevant MSCI</t>
  </si>
  <si>
    <t>country index or MSCI sub-regional index or MSCI AC Asia Pacific ex Japan Index.</t>
  </si>
  <si>
    <t>Cautious (C): The analyst views the performance of his or her industry coverage universe over the next</t>
  </si>
  <si>
    <t>12-18 months with caution vs. the relevant broad market benchmark, as indicated below.</t>
  </si>
  <si>
    <t>In-Line (I): The analyst expects the performance of his or her industry coverage universe over the next</t>
  </si>
  <si>
    <t>12-18 months to be in line with the relevant broad market benchmark, as indicated below.</t>
  </si>
  <si>
    <t>Attractive (A): The analyst expects the performance of his or her industry coverage universe over the</t>
  </si>
  <si>
    <t>next 12-18 months to be attractive vs. the relevant broad market benchmark, as indicated below.</t>
  </si>
  <si>
    <t>Unless otherwise specified, the time frame for price targets included in Morgan Stanley Research is 12</t>
  </si>
  <si>
    <t>to 18 months.</t>
  </si>
  <si>
    <t>Underweight (U). The stock's total return is expected to be below the average total return of the</t>
  </si>
  <si>
    <t>analyst's industry (or industry team's) coverage universe, on a risk-adjusted basis, over the next 12-18</t>
  </si>
  <si>
    <t>months.</t>
  </si>
  <si>
    <t>Not-Rated (NR). Currently the analyst does not have adequate conviction about the stock's total return</t>
  </si>
  <si>
    <t>relative to the average total return of the analyst's industry (or industry team's) coverage universe,</t>
  </si>
  <si>
    <t>on a risk-adjusted basis, over the next 12-18 months.</t>
  </si>
  <si>
    <t>Equal-weight (E). The stock's total return is expected to be in line with the average total return of</t>
  </si>
  <si>
    <t>the analyst's industry (or industry team's) coverage universe, on a risk-adjusted basis, over the next</t>
  </si>
  <si>
    <t>12-18 months.</t>
  </si>
  <si>
    <t>Overweight (O). The stock's total return is expected to exceed the average total return of the analyst's</t>
  </si>
  <si>
    <t>industry (or industry team's) coverage universe, on a risk-adjusted basis, over the next 12-18 months.</t>
  </si>
  <si>
    <t>Data include common stock and ADRs currently assigned ratings. Investment Banking Clients are companies</t>
  </si>
  <si>
    <t>from whom Morgan Stanley received investment banking compensation in the last 12 months. Due to rounding</t>
  </si>
  <si>
    <t>off of decimals, the percentages provided in the "% of total" column may not add up to exactly 100</t>
  </si>
  <si>
    <t>percent.</t>
  </si>
  <si>
    <t>For disclosure purposes only (in accordance with NASD and NYSE requirements), we include the category</t>
  </si>
  <si>
    <t>headings of Buy, Hold, and Sell alongside our ratings of Overweight, Equal-weight, Not-Rated and</t>
  </si>
  <si>
    <t>Underweight. Morgan Stanley does not assign ratings of Buy, Hold or Sell to the stocks we cover.</t>
  </si>
  <si>
    <t>Overweight, Equal-weight, Not-Rated and Underweight are not the equivalent of buy, hold, and sell but</t>
  </si>
  <si>
    <t>represent recommended relative weightings (see definitions below). To satisfy regulatory requirements,</t>
  </si>
  <si>
    <t>we correspond Overweight, our most positive stock rating, with a buy recommendation; we correspond</t>
  </si>
  <si>
    <t>Equal-weight and Not-Rated to hold and Underweight to sell recommendations, respectively.</t>
  </si>
  <si>
    <t>The Stock Ratings described below apply to Morgan Stanley's Fundamental Equity Research and do not apply</t>
  </si>
  <si>
    <t>to Debt Research produced by the Firm.</t>
  </si>
  <si>
    <t>Morgan Stanley uses a relative rating system using terms such as Overweight, Equal-weight, Not-Rated or</t>
  </si>
  <si>
    <t>Underweight (see definitions below). Morgan Stanley does not assign ratings of Buy, Hold or Sell to the</t>
  </si>
  <si>
    <t>stocks we cover. Overweight, Equal-weight, Not-Rated and Underweight are not the equivalent of buy, hold</t>
  </si>
  <si>
    <t>and sell. Investors should carefully read the definitions of all ratings used in Morgan Stanley</t>
  </si>
  <si>
    <t>Research. In addition, since Morgan Stanley Research contains more complete information concerning the</t>
  </si>
  <si>
    <t>analyst's views, investors should carefully read Morgan Stanley Research, in its entirety, and not infer</t>
  </si>
  <si>
    <t>the contents from the rating alone. In any case, ratings (or research) should not be used or relied upon</t>
  </si>
  <si>
    <t>as investment advice. An investor's decision to buy or sell a stock should depend on individual</t>
  </si>
  <si>
    <t>circumstances (such as the investor's existing holdings) and other considerations.</t>
  </si>
  <si>
    <t>Certain disclosures listed above are also for compliance with applicable regulations in non-US</t>
  </si>
  <si>
    <t>jurisdictions.</t>
  </si>
  <si>
    <t>Morgan Stanley and its affiliates do business that relates to companies/instruments covered in Morgan</t>
  </si>
  <si>
    <t>Stanley Research, including market making, providing liquidity, fund management, commercial banking,</t>
  </si>
  <si>
    <t>extension of credit, investment services and investment banking. Morgan Stanley sells to and buys from</t>
  </si>
  <si>
    <t>customers the securities/instruments of companies covered in Morgan Stanley Research on a principal</t>
  </si>
  <si>
    <t>basis. Morgan Stanley may have a position in the debt of the Company or instruments discussed in this</t>
  </si>
  <si>
    <t>report. Morgan Stanley trades or may trade as principal in the debt securities (or in related</t>
  </si>
  <si>
    <t>derivatives) that are the subject of the debt research report.</t>
  </si>
  <si>
    <t>The equity research analysts or strategists principally responsible for the preparation of Morgan</t>
  </si>
  <si>
    <t>Stanley Research have received compensation based upon various factors, including quality of research,</t>
  </si>
  <si>
    <t>investor client feedback, stock picking, competitive factors, firm revenues and overall investment</t>
  </si>
  <si>
    <t>banking revenues. Equity Research analysts' or strategists' compensation is not linked to investment</t>
  </si>
  <si>
    <t>banking or capital markets transactions performed by Morgan Stanley or the profitability or revenues of</t>
  </si>
  <si>
    <t>Within the last 12 months, Morgan Stanley has either provided or is providing non-investment banking,</t>
  </si>
  <si>
    <t>securities-related services to and/or in the past has entered into an agreement to provide services or</t>
  </si>
  <si>
    <t>has a client relationship with the following company: BorgWarner Inc..</t>
  </si>
  <si>
    <t>Within the last 12 months, Morgan Stanley has provided or is providing investment banking services to,</t>
  </si>
  <si>
    <t>or has an investment banking client relationship with, the following company: BorgWarner Inc..</t>
  </si>
  <si>
    <t>Within the last 12 months, Morgan Stanley has received compensation for products and services other than</t>
  </si>
  <si>
    <t>investment banking services from BorgWarner Inc..</t>
  </si>
  <si>
    <t>In the next 3 months, Morgan Stanley expects to receive or intends to seek compensation for investment</t>
  </si>
  <si>
    <t>banking services from BorgWarner Inc..</t>
  </si>
  <si>
    <t>Morgan Stanley Research has been published in accordance with our conflict management policy, which is</t>
  </si>
  <si>
    <t>available at www.morganstanley.com/institutional/research/conflictpolicies.</t>
  </si>
  <si>
    <t>The following analysts hereby certify that their views about the companies and their securities</t>
  </si>
  <si>
    <t>discussed in this report are accurately expressed and that they have not received and will not receive</t>
  </si>
  <si>
    <t>direct or indirect compensation in exchange for expressing specific recommendations or views in this</t>
  </si>
  <si>
    <t>report: Armintas Sinkevicius, CFA, CPA.</t>
  </si>
  <si>
    <t>For valuation methodology and risks associated with any recommendation, rating or price target</t>
  </si>
  <si>
    <t>referenced in this research report, please contact the Client Support Team as follows: US/Canada +1 800</t>
  </si>
  <si>
    <t>303-2495; Hong Kong +852 2848-5999; Latin America +1 718 754-5444 (U.S.); London +44 (0)20-7425-8169;</t>
  </si>
  <si>
    <t>Singapore +65 6834-6860; Sydney +61 (0)2-9770-1505; Tokyo +81 (0)3-6836-9000. Alternatively you may</t>
  </si>
  <si>
    <t>contact your investment representative or Morgan Stanley Research at 1585 Broadway, (Attention: Research</t>
  </si>
  <si>
    <t>Management), New York, NY 10036 USA.</t>
  </si>
  <si>
    <t>For important disclosures, stock price charts and equity rating histories regarding companies that are</t>
  </si>
  <si>
    <t>the subject of this report, please see the Morgan Stanley Research Disclosure Website at</t>
  </si>
  <si>
    <t>www.morganstanley.com/researchdisclosures, or contact your investment representative or Morgan Stanley</t>
  </si>
  <si>
    <t>Research at 1585 Broadway, (Attention: Research Management), New York, NY, 10036 USA.</t>
  </si>
  <si>
    <t>The information and opinions in Morgan Stanley Research were prepared by Morgan Stanley &amp; Co. LLC,</t>
  </si>
  <si>
    <t>and/or Morgan Stanley C.T.V.M. S.A., and/or Morgan Stanley Mexico, Casa de Bolsa, S.A. de C.V., and/or</t>
  </si>
  <si>
    <t>Morgan Stanley Canada Limited. As used in this disclosure section, "Morgan Stanley" includes Morgan</t>
  </si>
  <si>
    <t>Stanley &amp; Co. LLC, Morgan Stanley C.T.V.M. S.A., Morgan Stanley Mexico, Casa de Bolsa, S.A. de C.V.,</t>
  </si>
  <si>
    <t>Morgan Stanley Canada Limited and their affiliates as necessary.</t>
  </si>
  <si>
    <t>Morgan Stanley does and seeks to do business with companies covered in Morgan Stanley Research. As a</t>
  </si>
  <si>
    <t>result, investors should be aware that the firm may have a conflict of interest that could affect the</t>
  </si>
  <si>
    <t>objectivity of Morgan Stanley Research. Investors should consider Morgan Stanley Research as only a</t>
  </si>
  <si>
    <t>single factor in making their investment decision.</t>
  </si>
  <si>
    <t>© Copyright 2018 Morgan Stanley</t>
  </si>
  <si>
    <t>MacroVersion</t>
  </si>
  <si>
    <t>PublishDate</t>
  </si>
  <si>
    <t>Discipline</t>
  </si>
  <si>
    <t>ResearchTopic</t>
  </si>
  <si>
    <t>Company</t>
  </si>
  <si>
    <t>DocType</t>
  </si>
  <si>
    <t>Model</t>
  </si>
  <si>
    <t>SubjectCode</t>
  </si>
  <si>
    <t>Description</t>
  </si>
  <si>
    <t>KeepVersions</t>
  </si>
  <si>
    <t>All</t>
  </si>
  <si>
    <t>Rating</t>
  </si>
  <si>
    <t>CurrYearTotalRevenue*</t>
  </si>
  <si>
    <t>CurrYearEPS*</t>
  </si>
  <si>
    <t>NextYearTotalRevenue*</t>
  </si>
  <si>
    <t>NextYearEPS*</t>
  </si>
  <si>
    <t>FollowingYearTotalRevenue*</t>
  </si>
  <si>
    <t>FollowingYearEPS*</t>
  </si>
  <si>
    <t>5YearGrowthRate</t>
  </si>
  <si>
    <t>UpdateReason</t>
  </si>
  <si>
    <t>Authors</t>
  </si>
  <si>
    <t>Tickers</t>
  </si>
  <si>
    <t>CUSIP</t>
  </si>
  <si>
    <t>RIC</t>
  </si>
  <si>
    <t>SEDOL</t>
  </si>
  <si>
    <t>PathName</t>
  </si>
  <si>
    <t>Distribution</t>
  </si>
  <si>
    <t>Deleted</t>
  </si>
  <si>
    <t>NO</t>
  </si>
  <si>
    <t>EmailAlert</t>
  </si>
  <si>
    <t>YES</t>
  </si>
  <si>
    <t>CurrQtrEPS</t>
  </si>
  <si>
    <t>CYEnd</t>
  </si>
  <si>
    <t>CQEnd</t>
  </si>
  <si>
    <t>CurrYearTotalRevenueActual*</t>
  </si>
  <si>
    <t>NextYearTotalRevenueActual*</t>
  </si>
  <si>
    <t>FollowingYearTotalRevenueActual*</t>
  </si>
  <si>
    <t>Multiplier</t>
  </si>
  <si>
    <t>TemplateRegion</t>
  </si>
  <si>
    <t>ObjectType</t>
  </si>
  <si>
    <t>excel</t>
  </si>
  <si>
    <t>LanguageCode</t>
  </si>
  <si>
    <t>en-US</t>
  </si>
  <si>
    <t>SubmitterUserId</t>
  </si>
  <si>
    <t>IndustryId</t>
  </si>
  <si>
    <t>TickerRegion</t>
  </si>
  <si>
    <t>AdditionalInstructions</t>
  </si>
  <si>
    <t>*Estimated</t>
  </si>
  <si>
    <t>Overweight / Cautious</t>
  </si>
  <si>
    <t>Regular Update</t>
  </si>
  <si>
    <t>NorthAmerica</t>
  </si>
  <si>
    <t>sinkevic</t>
  </si>
  <si>
    <t>MSA79FGM, MSA10866</t>
  </si>
  <si>
    <t>\\nyn177f2\u_t1481699656\sinkevic\Desktop\BWA Model.xlsm</t>
  </si>
  <si>
    <t>[BRO MSA]</t>
  </si>
  <si>
    <t>[PRODUCT MODEL]</t>
  </si>
  <si>
    <t>[EMAIL_ALERT YES]</t>
  </si>
  <si>
    <t>[DISCIPLINE Company]</t>
  </si>
  <si>
    <t>[SUPPRESSED NO]</t>
  </si>
  <si>
    <t>[DOCDAT 2018-04-10]</t>
  </si>
  <si>
    <t>[DOCTIME 19:06]</t>
  </si>
  <si>
    <t>[PSYM BWA.N(S&amp;P) (None)]</t>
  </si>
  <si>
    <t>[COU 1]</t>
  </si>
  <si>
    <t>[ANA MSA10866]</t>
  </si>
  <si>
    <t>[HL BWA.N Model]</t>
  </si>
  <si>
    <t>[IND AUTMAN AUTPTS TIRRUB]</t>
  </si>
  <si>
    <t>[PANA MSA79FGM]</t>
  </si>
</sst>
</file>

<file path=xl/styles.xml><?xml version="1.0" encoding="utf-8"?>
<styleSheet xmlns="http://schemas.openxmlformats.org/spreadsheetml/2006/main" xmlns:mc="http://schemas.openxmlformats.org/markup-compatibility/2006" xmlns:x14ac="http://schemas.microsoft.com/office/spreadsheetml/2009/9/ac" mc:Ignorable="x14ac">
  <numFmts count="24">
    <numFmt numFmtId="5" formatCode="&quot;$&quot;#,##0_);\(&quot;$&quot;#,##0\)"/>
    <numFmt numFmtId="7" formatCode="&quot;$&quot;#,##0.00_);\(&quot;$&quot;#,##0.00\)"/>
    <numFmt numFmtId="8" formatCode="&quot;$&quot;#,##0.00_);[Red]\(&quot;$&quot;#,##0.00\)"/>
    <numFmt numFmtId="41" formatCode="_(* #,##0_);_(* \(#,##0\);_(* &quot;-&quot;_);_(@_)"/>
    <numFmt numFmtId="44" formatCode="_(&quot;$&quot;* #,##0.00_);_(&quot;$&quot;* \(#,##0.00\);_(&quot;$&quot;* &quot;-&quot;??_);_(@_)"/>
    <numFmt numFmtId="43" formatCode="_(* #,##0.00_);_(* \(#,##0.00\);_(* &quot;-&quot;??_);_(@_)"/>
    <numFmt numFmtId="164" formatCode="#,##0.0_);\(#,##0.0\)"/>
    <numFmt numFmtId="165" formatCode="0.0%"/>
    <numFmt numFmtId="166" formatCode="#,##0.0_);[Red]\(#,##0.0\)"/>
    <numFmt numFmtId="168" formatCode="_(* #,##0_);_(* \(#,##0\);_(* &quot;-&quot;??_);_(@_)"/>
    <numFmt numFmtId="169" formatCode="_(* #,##0.0_);_(* \(#,##0.0\);_(* &quot;-&quot;??_);_(@_)"/>
    <numFmt numFmtId="171" formatCode="_(* #,##0.0%_);_(* \-#,##0.0%;_(* &quot;-&quot;??_);_(@_)"/>
    <numFmt numFmtId="172" formatCode="#,##0.000_);[Red]\(#,##0.000\)"/>
    <numFmt numFmtId="175" formatCode="_ * #,##0_ ;_ * \-#,##0_ ;_ * &quot;-&quot;_ ;_ @_ "/>
    <numFmt numFmtId="179" formatCode="0.0&quot;x&quot;"/>
    <numFmt numFmtId="180" formatCode="0.0%_);\(0.0%\);&quot;–&quot;_)"/>
    <numFmt numFmtId="181" formatCode="#,##0.0_);\(#,##0.0\);\–_);&quot;–&quot;_)"/>
    <numFmt numFmtId="182" formatCode="&quot;FY&quot;\ 0&quot;e&quot;"/>
    <numFmt numFmtId="183" formatCode="0.0\x"/>
    <numFmt numFmtId="184" formatCode="&quot;$&quot;#,##0.000_);\(&quot;$&quot;#,##0.000\)"/>
    <numFmt numFmtId="185" formatCode="&quot;$&quot;#,##0.000_);[Red]\(&quot;$&quot;#,##0.000\)"/>
    <numFmt numFmtId="186" formatCode="0&quot;e&quot;"/>
    <numFmt numFmtId="187" formatCode="0.000%"/>
    <numFmt numFmtId="193" formatCode="mm/dd/yy\ hh:mm"/>
  </numFmts>
  <fonts count="81">
    <font>
      <sz val="10"/>
      <name val="Arial"/>
    </font>
    <font>
      <sz val="10"/>
      <name val="Arial"/>
      <family val="2"/>
    </font>
    <font>
      <sz val="10"/>
      <name val="Arial"/>
      <family val="2"/>
    </font>
    <font>
      <sz val="10"/>
      <name val="MS Sans Serif"/>
      <family val="2"/>
    </font>
    <font>
      <b/>
      <sz val="10"/>
      <color indexed="8"/>
      <name val="Times New Roman"/>
      <family val="1"/>
    </font>
    <font>
      <sz val="8"/>
      <name val="Times New Roman"/>
      <family val="1"/>
    </font>
    <font>
      <sz val="9"/>
      <name val="Arial"/>
      <family val="2"/>
    </font>
    <font>
      <sz val="9"/>
      <name val="Times New Roman"/>
      <family val="1"/>
    </font>
    <font>
      <sz val="10"/>
      <color indexed="8"/>
      <name val="Times New Roman"/>
      <family val="1"/>
    </font>
    <font>
      <i/>
      <sz val="8"/>
      <name val="Times New Roman"/>
      <family val="1"/>
    </font>
    <font>
      <sz val="8"/>
      <name val="Arial"/>
      <family val="2"/>
    </font>
    <font>
      <sz val="12"/>
      <name val="바탕체"/>
      <family val="1"/>
      <charset val="129"/>
    </font>
    <font>
      <sz val="10"/>
      <name val="Helv"/>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62"/>
      <name val="Calibri"/>
      <family val="2"/>
    </font>
    <font>
      <b/>
      <sz val="13"/>
      <color indexed="62"/>
      <name val="Calibri"/>
      <family val="2"/>
    </font>
    <font>
      <b/>
      <sz val="11"/>
      <color indexed="62"/>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62"/>
      <name val="Cambria"/>
      <family val="2"/>
    </font>
    <font>
      <b/>
      <sz val="11"/>
      <color indexed="8"/>
      <name val="Calibri"/>
      <family val="2"/>
    </font>
    <font>
      <sz val="11"/>
      <color indexed="10"/>
      <name val="Calibri"/>
      <family val="2"/>
    </font>
    <font>
      <sz val="9"/>
      <color indexed="81"/>
      <name val="Tahoma"/>
      <family val="2"/>
    </font>
    <font>
      <b/>
      <sz val="9"/>
      <color indexed="81"/>
      <name val="Tahoma"/>
      <family val="2"/>
    </font>
    <font>
      <b/>
      <sz val="11"/>
      <name val="Calibri"/>
      <family val="2"/>
    </font>
    <font>
      <sz val="11"/>
      <name val="Calibri"/>
      <family val="2"/>
    </font>
    <font>
      <b/>
      <sz val="11"/>
      <name val="Calibri"/>
      <family val="2"/>
      <scheme val="minor"/>
    </font>
    <font>
      <sz val="11"/>
      <name val="Calibri"/>
      <family val="2"/>
      <scheme val="minor"/>
    </font>
    <font>
      <b/>
      <sz val="11"/>
      <color indexed="9"/>
      <name val="Calibri"/>
      <family val="2"/>
      <scheme val="minor"/>
    </font>
    <font>
      <b/>
      <i/>
      <sz val="11"/>
      <color theme="0"/>
      <name val="Calibri"/>
      <family val="2"/>
      <scheme val="minor"/>
    </font>
    <font>
      <sz val="11"/>
      <color rgb="FFFF0000"/>
      <name val="Calibri"/>
      <family val="2"/>
      <scheme val="minor"/>
    </font>
    <font>
      <sz val="11"/>
      <color rgb="FF0070C0"/>
      <name val="Calibri"/>
      <family val="2"/>
      <scheme val="minor"/>
    </font>
    <font>
      <b/>
      <sz val="11"/>
      <color rgb="FF0070C0"/>
      <name val="Calibri"/>
      <family val="2"/>
      <scheme val="minor"/>
    </font>
    <font>
      <sz val="11"/>
      <color indexed="9"/>
      <name val="Calibri"/>
      <family val="2"/>
      <scheme val="minor"/>
    </font>
    <font>
      <b/>
      <sz val="11"/>
      <color rgb="FFF8F8F8"/>
      <name val="Calibri"/>
      <family val="2"/>
      <scheme val="minor"/>
    </font>
    <font>
      <sz val="11"/>
      <color rgb="FFF8F8F8"/>
      <name val="Calibri"/>
      <family val="2"/>
      <scheme val="minor"/>
    </font>
    <font>
      <b/>
      <sz val="11"/>
      <color rgb="FF137CB1"/>
      <name val="Calibri"/>
      <family val="2"/>
      <scheme val="minor"/>
    </font>
    <font>
      <sz val="11"/>
      <color theme="0" tint="-0.249977111117893"/>
      <name val="Calibri"/>
      <family val="2"/>
      <scheme val="minor"/>
    </font>
    <font>
      <b/>
      <sz val="11"/>
      <color rgb="FFFF0000"/>
      <name val="Calibri"/>
      <family val="2"/>
      <scheme val="minor"/>
    </font>
    <font>
      <b/>
      <sz val="11"/>
      <color rgb="FFFFFFFF"/>
      <name val="Calibri"/>
      <family val="2"/>
      <scheme val="minor"/>
    </font>
    <font>
      <b/>
      <sz val="11"/>
      <color theme="0"/>
      <name val="Calibri"/>
      <family val="2"/>
      <scheme val="minor"/>
    </font>
    <font>
      <sz val="11"/>
      <color theme="0"/>
      <name val="Calibri"/>
      <family val="2"/>
      <scheme val="minor"/>
    </font>
    <font>
      <i/>
      <sz val="11"/>
      <color indexed="8"/>
      <name val="Calibri"/>
      <family val="2"/>
      <scheme val="minor"/>
    </font>
    <font>
      <b/>
      <sz val="11"/>
      <color indexed="8"/>
      <name val="Calibri"/>
      <family val="2"/>
      <scheme val="minor"/>
    </font>
    <font>
      <sz val="11"/>
      <color indexed="48"/>
      <name val="Calibri"/>
      <family val="2"/>
      <scheme val="minor"/>
    </font>
    <font>
      <sz val="11"/>
      <color indexed="8"/>
      <name val="Calibri"/>
      <family val="2"/>
      <scheme val="minor"/>
    </font>
    <font>
      <b/>
      <sz val="11"/>
      <color theme="0" tint="-0.249977111117893"/>
      <name val="Calibri"/>
      <family val="2"/>
      <scheme val="minor"/>
    </font>
    <font>
      <i/>
      <sz val="11"/>
      <color theme="0" tint="-0.249977111117893"/>
      <name val="Calibri"/>
      <family val="2"/>
      <scheme val="minor"/>
    </font>
    <font>
      <sz val="11"/>
      <color theme="4"/>
      <name val="Calibri"/>
      <family val="2"/>
      <scheme val="minor"/>
    </font>
    <font>
      <i/>
      <sz val="11"/>
      <color indexed="55"/>
      <name val="Calibri"/>
      <family val="2"/>
      <scheme val="minor"/>
    </font>
    <font>
      <i/>
      <sz val="11"/>
      <name val="Calibri"/>
      <family val="2"/>
      <scheme val="minor"/>
    </font>
    <font>
      <sz val="11"/>
      <color indexed="16"/>
      <name val="Calibri"/>
      <family val="2"/>
      <scheme val="minor"/>
    </font>
    <font>
      <i/>
      <sz val="11"/>
      <color indexed="10"/>
      <name val="Calibri"/>
      <family val="2"/>
      <scheme val="minor"/>
    </font>
    <font>
      <b/>
      <sz val="11"/>
      <color indexed="12"/>
      <name val="Calibri"/>
      <family val="2"/>
      <scheme val="minor"/>
    </font>
    <font>
      <sz val="11"/>
      <color indexed="62"/>
      <name val="Calibri"/>
      <family val="2"/>
      <scheme val="minor"/>
    </font>
    <font>
      <sz val="11"/>
      <color indexed="53"/>
      <name val="Calibri"/>
      <family val="2"/>
      <scheme val="minor"/>
    </font>
    <font>
      <i/>
      <sz val="11"/>
      <color indexed="22"/>
      <name val="Calibri"/>
      <family val="2"/>
      <scheme val="minor"/>
    </font>
    <font>
      <b/>
      <sz val="11"/>
      <color theme="4"/>
      <name val="Calibri"/>
      <family val="2"/>
      <scheme val="minor"/>
    </font>
    <font>
      <b/>
      <sz val="11"/>
      <color indexed="53"/>
      <name val="Calibri"/>
      <family val="2"/>
      <scheme val="minor"/>
    </font>
    <font>
      <b/>
      <sz val="11"/>
      <color indexed="62"/>
      <name val="Calibri"/>
      <family val="2"/>
      <scheme val="minor"/>
    </font>
    <font>
      <sz val="11"/>
      <color indexed="12"/>
      <name val="Calibri"/>
      <family val="2"/>
      <scheme val="minor"/>
    </font>
    <font>
      <sz val="11"/>
      <color indexed="22"/>
      <name val="Calibri"/>
      <family val="2"/>
      <scheme val="minor"/>
    </font>
    <font>
      <sz val="11"/>
      <color indexed="54"/>
      <name val="Calibri"/>
      <family val="2"/>
      <scheme val="minor"/>
    </font>
    <font>
      <b/>
      <sz val="11"/>
      <color indexed="48"/>
      <name val="Calibri"/>
      <family val="2"/>
      <scheme val="minor"/>
    </font>
    <font>
      <b/>
      <sz val="11"/>
      <color rgb="FF0070C0"/>
      <name val="Calibri"/>
      <family val="2"/>
    </font>
    <font>
      <sz val="11"/>
      <color rgb="FF0070C0"/>
      <name val="Calibri"/>
      <family val="2"/>
    </font>
    <font>
      <sz val="11"/>
      <color theme="0" tint="-0.249977111117893"/>
      <name val="Calibri"/>
      <family val="2"/>
    </font>
    <font>
      <b/>
      <sz val="11"/>
      <color rgb="FFFF0000"/>
      <name val="Calibri"/>
      <family val="2"/>
    </font>
    <font>
      <sz val="10"/>
      <name val="Courier"/>
      <family val="3"/>
    </font>
    <font>
      <sz val="11"/>
      <name val="Arial"/>
      <family val="2"/>
    </font>
    <font>
      <i/>
      <sz val="10"/>
      <name val="Arial"/>
      <family val="2"/>
    </font>
    <font>
      <sz val="10"/>
      <color rgb="FF000000"/>
      <name val="Arial"/>
      <family val="2"/>
    </font>
    <font>
      <b/>
      <sz val="12"/>
      <color rgb="FF000080"/>
      <name val="Arial"/>
      <family val="2"/>
    </font>
  </fonts>
  <fills count="25">
    <fill>
      <patternFill patternType="none"/>
    </fill>
    <fill>
      <patternFill patternType="gray125"/>
    </fill>
    <fill>
      <patternFill patternType="solid">
        <fgColor indexed="47"/>
      </patternFill>
    </fill>
    <fill>
      <patternFill patternType="solid">
        <fgColor indexed="29"/>
      </patternFill>
    </fill>
    <fill>
      <patternFill patternType="solid">
        <fgColor indexed="43"/>
      </patternFill>
    </fill>
    <fill>
      <patternFill patternType="solid">
        <fgColor indexed="27"/>
      </patternFill>
    </fill>
    <fill>
      <patternFill patternType="solid">
        <fgColor indexed="22"/>
      </patternFill>
    </fill>
    <fill>
      <patternFill patternType="solid">
        <fgColor indexed="44"/>
      </patternFill>
    </fill>
    <fill>
      <patternFill patternType="solid">
        <fgColor indexed="49"/>
      </patternFill>
    </fill>
    <fill>
      <patternFill patternType="solid">
        <fgColor indexed="26"/>
      </patternFill>
    </fill>
    <fill>
      <patternFill patternType="solid">
        <fgColor indexed="54"/>
      </patternFill>
    </fill>
    <fill>
      <patternFill patternType="solid">
        <fgColor indexed="45"/>
      </patternFill>
    </fill>
    <fill>
      <patternFill patternType="solid">
        <fgColor indexed="9"/>
      </patternFill>
    </fill>
    <fill>
      <patternFill patternType="solid">
        <fgColor indexed="55"/>
      </patternFill>
    </fill>
    <fill>
      <patternFill patternType="solid">
        <fgColor indexed="42"/>
      </patternFill>
    </fill>
    <fill>
      <patternFill patternType="solid">
        <fgColor indexed="43"/>
        <bgColor indexed="64"/>
      </patternFill>
    </fill>
    <fill>
      <patternFill patternType="solid">
        <fgColor rgb="FF0070C0"/>
        <bgColor indexed="64"/>
      </patternFill>
    </fill>
    <fill>
      <patternFill patternType="solid">
        <fgColor theme="0"/>
        <bgColor indexed="64"/>
      </patternFill>
    </fill>
    <fill>
      <patternFill patternType="solid">
        <fgColor theme="0" tint="-0.14999847407452621"/>
        <bgColor indexed="64"/>
      </patternFill>
    </fill>
    <fill>
      <patternFill patternType="solid">
        <fgColor theme="4" tint="0.59999389629810485"/>
        <bgColor indexed="64"/>
      </patternFill>
    </fill>
    <fill>
      <patternFill patternType="solid">
        <fgColor rgb="FFFFFFFF"/>
        <bgColor indexed="64"/>
      </patternFill>
    </fill>
    <fill>
      <patternFill patternType="solid">
        <fgColor theme="6" tint="0.39997558519241921"/>
        <bgColor indexed="64"/>
      </patternFill>
    </fill>
    <fill>
      <patternFill patternType="solid">
        <fgColor theme="0" tint="-0.249977111117893"/>
        <bgColor indexed="64"/>
      </patternFill>
    </fill>
    <fill>
      <patternFill patternType="solid">
        <fgColor theme="4" tint="0.39997558519241921"/>
        <bgColor indexed="64"/>
      </patternFill>
    </fill>
    <fill>
      <patternFill patternType="solid">
        <fgColor indexed="65"/>
        <bgColor indexed="64"/>
      </patternFill>
    </fill>
  </fills>
  <borders count="104">
    <border>
      <left/>
      <right/>
      <top/>
      <bottom/>
      <diagonal/>
    </border>
    <border>
      <left style="thin">
        <color indexed="64"/>
      </left>
      <right/>
      <top/>
      <bottom/>
      <diagonal/>
    </border>
    <border>
      <left/>
      <right/>
      <top/>
      <bottom style="thin">
        <color indexed="64"/>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medium">
        <color indexed="64"/>
      </bottom>
      <diagonal/>
    </border>
    <border>
      <left style="thin">
        <color indexed="64"/>
      </left>
      <right/>
      <top style="thin">
        <color indexed="64"/>
      </top>
      <bottom/>
      <diagonal/>
    </border>
    <border>
      <left/>
      <right/>
      <top style="medium">
        <color indexed="64"/>
      </top>
      <bottom style="medium">
        <color indexed="64"/>
      </bottom>
      <diagonal/>
    </border>
    <border>
      <left/>
      <right/>
      <top/>
      <bottom style="thick">
        <color indexed="49"/>
      </bottom>
      <diagonal/>
    </border>
    <border>
      <left/>
      <right/>
      <top/>
      <bottom style="thick">
        <color indexed="22"/>
      </bottom>
      <diagonal/>
    </border>
    <border>
      <left/>
      <right/>
      <top/>
      <bottom style="medium">
        <color indexed="49"/>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bottom style="thin">
        <color indexed="8"/>
      </bottom>
      <diagonal/>
    </border>
    <border>
      <left/>
      <right/>
      <top style="thin">
        <color indexed="49"/>
      </top>
      <bottom style="double">
        <color indexed="49"/>
      </bottom>
      <diagonal/>
    </border>
    <border>
      <left/>
      <right/>
      <top style="thin">
        <color indexed="64"/>
      </top>
      <bottom style="medium">
        <color indexed="64"/>
      </bottom>
      <diagonal/>
    </border>
    <border>
      <left/>
      <right/>
      <top style="medium">
        <color indexed="64"/>
      </top>
      <bottom/>
      <diagonal/>
    </border>
    <border>
      <left/>
      <right style="medium">
        <color indexed="64"/>
      </right>
      <top style="medium">
        <color indexed="64"/>
      </top>
      <bottom/>
      <diagonal/>
    </border>
    <border>
      <left/>
      <right style="medium">
        <color indexed="64"/>
      </right>
      <top/>
      <bottom style="medium">
        <color indexed="64"/>
      </bottom>
      <diagonal/>
    </border>
    <border>
      <left/>
      <right style="thin">
        <color indexed="64"/>
      </right>
      <top style="thin">
        <color indexed="64"/>
      </top>
      <bottom/>
      <diagonal/>
    </border>
    <border>
      <left/>
      <right/>
      <top style="thin">
        <color indexed="64"/>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64"/>
      </left>
      <right/>
      <top style="medium">
        <color indexed="64"/>
      </top>
      <bottom style="medium">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thin">
        <color indexed="64"/>
      </bottom>
      <diagonal/>
    </border>
    <border>
      <left/>
      <right style="medium">
        <color indexed="64"/>
      </right>
      <top/>
      <bottom style="thin">
        <color indexed="64"/>
      </bottom>
      <diagonal/>
    </border>
    <border>
      <left/>
      <right style="medium">
        <color indexed="64"/>
      </right>
      <top style="thin">
        <color indexed="64"/>
      </top>
      <bottom/>
      <diagonal/>
    </border>
    <border>
      <left style="medium">
        <color indexed="64"/>
      </left>
      <right/>
      <top style="thin">
        <color indexed="64"/>
      </top>
      <bottom/>
      <diagonal/>
    </border>
    <border>
      <left style="medium">
        <color indexed="64"/>
      </left>
      <right/>
      <top/>
      <bottom style="medium">
        <color indexed="64"/>
      </bottom>
      <diagonal/>
    </border>
    <border>
      <left style="medium">
        <color indexed="64"/>
      </left>
      <right style="medium">
        <color indexed="64"/>
      </right>
      <top/>
      <bottom/>
      <diagonal/>
    </border>
    <border>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right style="thin">
        <color indexed="64"/>
      </right>
      <top style="medium">
        <color indexed="64"/>
      </top>
      <bottom style="medium">
        <color indexed="64"/>
      </bottom>
      <diagonal/>
    </border>
    <border>
      <left/>
      <right/>
      <top/>
      <bottom style="thin">
        <color theme="0" tint="-0.2499465926084170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right/>
      <top style="thin">
        <color theme="0" tint="-0.24994659260841701"/>
      </top>
      <bottom/>
      <diagonal/>
    </border>
    <border>
      <left/>
      <right style="thin">
        <color theme="0" tint="-0.24994659260841701"/>
      </right>
      <top style="thin">
        <color theme="0" tint="-0.24994659260841701"/>
      </top>
      <bottom style="thin">
        <color theme="0" tint="-0.24994659260841701"/>
      </bottom>
      <diagonal/>
    </border>
    <border>
      <left style="thin">
        <color theme="0" tint="-0.24994659260841701"/>
      </left>
      <right/>
      <top style="thin">
        <color theme="0" tint="-0.24994659260841701"/>
      </top>
      <bottom style="thin">
        <color theme="0" tint="-0.24994659260841701"/>
      </bottom>
      <diagonal/>
    </border>
    <border>
      <left/>
      <right style="thin">
        <color theme="0" tint="-0.24994659260841701"/>
      </right>
      <top/>
      <bottom/>
      <diagonal/>
    </border>
    <border>
      <left style="thin">
        <color theme="0" tint="-0.24994659260841701"/>
      </left>
      <right/>
      <top/>
      <bottom/>
      <diagonal/>
    </border>
    <border>
      <left/>
      <right style="thin">
        <color theme="0" tint="-0.24994659260841701"/>
      </right>
      <top/>
      <bottom style="thin">
        <color indexed="64"/>
      </bottom>
      <diagonal/>
    </border>
    <border>
      <left style="thin">
        <color theme="0" tint="-0.24994659260841701"/>
      </left>
      <right/>
      <top style="thin">
        <color indexed="64"/>
      </top>
      <bottom/>
      <diagonal/>
    </border>
    <border>
      <left style="medium">
        <color indexed="64"/>
      </left>
      <right style="thin">
        <color theme="0" tint="-0.24994659260841701"/>
      </right>
      <top style="medium">
        <color indexed="64"/>
      </top>
      <bottom style="thin">
        <color theme="0" tint="-0.24994659260841701"/>
      </bottom>
      <diagonal/>
    </border>
    <border>
      <left style="thin">
        <color theme="0" tint="-0.24994659260841701"/>
      </left>
      <right style="thin">
        <color theme="0" tint="-0.24994659260841701"/>
      </right>
      <top style="medium">
        <color indexed="64"/>
      </top>
      <bottom style="thin">
        <color theme="0" tint="-0.24994659260841701"/>
      </bottom>
      <diagonal/>
    </border>
    <border>
      <left style="thin">
        <color theme="0" tint="-0.24994659260841701"/>
      </left>
      <right style="medium">
        <color indexed="64"/>
      </right>
      <top style="medium">
        <color indexed="64"/>
      </top>
      <bottom style="thin">
        <color theme="0" tint="-0.24994659260841701"/>
      </bottom>
      <diagonal/>
    </border>
    <border>
      <left style="medium">
        <color indexed="64"/>
      </left>
      <right/>
      <top style="medium">
        <color indexed="64"/>
      </top>
      <bottom style="thin">
        <color theme="0" tint="-0.24994659260841701"/>
      </bottom>
      <diagonal/>
    </border>
    <border>
      <left/>
      <right/>
      <top style="medium">
        <color indexed="64"/>
      </top>
      <bottom style="thin">
        <color theme="0" tint="-0.24994659260841701"/>
      </bottom>
      <diagonal/>
    </border>
    <border>
      <left/>
      <right style="medium">
        <color indexed="64"/>
      </right>
      <top style="medium">
        <color indexed="64"/>
      </top>
      <bottom style="thin">
        <color theme="0" tint="-0.24994659260841701"/>
      </bottom>
      <diagonal/>
    </border>
    <border>
      <left style="medium">
        <color indexed="64"/>
      </left>
      <right style="medium">
        <color indexed="64"/>
      </right>
      <top style="medium">
        <color indexed="64"/>
      </top>
      <bottom style="thin">
        <color theme="0" tint="-0.24994659260841701"/>
      </bottom>
      <diagonal/>
    </border>
    <border>
      <left/>
      <right/>
      <top style="thin">
        <color theme="0" tint="-0.24994659260841701"/>
      </top>
      <bottom style="thin">
        <color theme="0" tint="-0.24994659260841701"/>
      </bottom>
      <diagonal/>
    </border>
    <border>
      <left style="thin">
        <color theme="0" tint="-0.24994659260841701"/>
      </left>
      <right/>
      <top style="thin">
        <color theme="0" tint="-0.24994659260841701"/>
      </top>
      <bottom/>
      <diagonal/>
    </border>
    <border>
      <left style="medium">
        <color indexed="64"/>
      </left>
      <right style="thin">
        <color theme="0" tint="-0.24994659260841701"/>
      </right>
      <top style="thin">
        <color theme="0" tint="-0.24994659260841701"/>
      </top>
      <bottom/>
      <diagonal/>
    </border>
    <border>
      <left style="thin">
        <color theme="0" tint="-0.24994659260841701"/>
      </left>
      <right style="thin">
        <color theme="0" tint="-0.24994659260841701"/>
      </right>
      <top style="thin">
        <color theme="0" tint="-0.24994659260841701"/>
      </top>
      <bottom/>
      <diagonal/>
    </border>
    <border>
      <left style="thin">
        <color theme="0" tint="-0.24994659260841701"/>
      </left>
      <right style="medium">
        <color indexed="64"/>
      </right>
      <top style="thin">
        <color theme="0" tint="-0.24994659260841701"/>
      </top>
      <bottom/>
      <diagonal/>
    </border>
    <border>
      <left style="medium">
        <color indexed="64"/>
      </left>
      <right style="medium">
        <color indexed="64"/>
      </right>
      <top style="thin">
        <color theme="0" tint="-0.24994659260841701"/>
      </top>
      <bottom/>
      <diagonal/>
    </border>
    <border>
      <left style="medium">
        <color indexed="64"/>
      </left>
      <right style="thin">
        <color theme="0" tint="-0.24994659260841701"/>
      </right>
      <top/>
      <bottom/>
      <diagonal/>
    </border>
    <border>
      <left style="thin">
        <color theme="0" tint="-0.24994659260841701"/>
      </left>
      <right style="thin">
        <color theme="0" tint="-0.24994659260841701"/>
      </right>
      <top/>
      <bottom/>
      <diagonal/>
    </border>
    <border>
      <left style="thin">
        <color theme="0" tint="-0.24994659260841701"/>
      </left>
      <right style="medium">
        <color indexed="64"/>
      </right>
      <top/>
      <bottom/>
      <diagonal/>
    </border>
    <border>
      <left style="thin">
        <color theme="0" tint="-0.24994659260841701"/>
      </left>
      <right/>
      <top/>
      <bottom style="thin">
        <color theme="0" tint="-0.24994659260841701"/>
      </bottom>
      <diagonal/>
    </border>
    <border>
      <left style="medium">
        <color indexed="64"/>
      </left>
      <right style="thin">
        <color theme="0" tint="-0.24994659260841701"/>
      </right>
      <top/>
      <bottom style="medium">
        <color indexed="64"/>
      </bottom>
      <diagonal/>
    </border>
    <border>
      <left style="thin">
        <color theme="0" tint="-0.24994659260841701"/>
      </left>
      <right style="thin">
        <color theme="0" tint="-0.24994659260841701"/>
      </right>
      <top/>
      <bottom style="medium">
        <color indexed="64"/>
      </bottom>
      <diagonal/>
    </border>
    <border>
      <left style="thin">
        <color theme="0" tint="-0.24994659260841701"/>
      </left>
      <right style="medium">
        <color indexed="64"/>
      </right>
      <top/>
      <bottom style="medium">
        <color indexed="64"/>
      </bottom>
      <diagonal/>
    </border>
    <border>
      <left style="thin">
        <color theme="0" tint="-0.24994659260841701"/>
      </left>
      <right style="thin">
        <color theme="0" tint="-0.24994659260841701"/>
      </right>
      <top/>
      <bottom style="thin">
        <color theme="0" tint="-0.24994659260841701"/>
      </bottom>
      <diagonal/>
    </border>
    <border>
      <left style="thin">
        <color theme="0" tint="-0.24994659260841701"/>
      </left>
      <right/>
      <top/>
      <bottom style="thin">
        <color indexed="64"/>
      </bottom>
      <diagonal/>
    </border>
    <border>
      <left/>
      <right/>
      <top/>
      <bottom style="thin">
        <color auto="1"/>
      </bottom>
      <diagonal/>
    </border>
    <border>
      <left style="thin">
        <color indexed="64"/>
      </left>
      <right/>
      <top/>
      <bottom style="thin">
        <color auto="1"/>
      </bottom>
      <diagonal/>
    </border>
    <border>
      <left/>
      <right style="thin">
        <color indexed="64"/>
      </right>
      <top/>
      <bottom style="thin">
        <color auto="1"/>
      </bottom>
      <diagonal/>
    </border>
    <border>
      <left style="thin">
        <color indexed="64"/>
      </left>
      <right/>
      <top style="medium">
        <color indexed="64"/>
      </top>
      <bottom/>
      <diagonal/>
    </border>
    <border>
      <left/>
      <right style="thin">
        <color indexed="64"/>
      </right>
      <top style="medium">
        <color indexed="64"/>
      </top>
      <bottom/>
      <diagonal/>
    </border>
    <border>
      <left style="thin">
        <color indexed="64"/>
      </left>
      <right/>
      <top/>
      <bottom style="medium">
        <color indexed="64"/>
      </bottom>
      <diagonal/>
    </border>
    <border>
      <left/>
      <right style="thin">
        <color indexed="64"/>
      </right>
      <top/>
      <bottom style="medium">
        <color indexed="64"/>
      </bottom>
      <diagonal/>
    </border>
    <border>
      <left style="thin">
        <color indexed="64"/>
      </left>
      <right style="thin">
        <color theme="0" tint="-0.24994659260841701"/>
      </right>
      <top style="medium">
        <color indexed="64"/>
      </top>
      <bottom style="thin">
        <color theme="0" tint="-0.24994659260841701"/>
      </bottom>
      <diagonal/>
    </border>
    <border>
      <left style="thin">
        <color theme="0" tint="-0.24994659260841701"/>
      </left>
      <right style="thin">
        <color indexed="64"/>
      </right>
      <top style="medium">
        <color indexed="64"/>
      </top>
      <bottom style="thin">
        <color theme="0" tint="-0.24994659260841701"/>
      </bottom>
      <diagonal/>
    </border>
    <border>
      <left style="medium">
        <color indexed="64"/>
      </left>
      <right/>
      <top style="thin">
        <color theme="0" tint="-0.24994659260841701"/>
      </top>
      <bottom/>
      <diagonal/>
    </border>
    <border>
      <left style="thin">
        <color indexed="64"/>
      </left>
      <right style="thin">
        <color theme="0" tint="-0.24994659260841701"/>
      </right>
      <top style="thin">
        <color theme="0" tint="-0.24994659260841701"/>
      </top>
      <bottom/>
      <diagonal/>
    </border>
    <border>
      <left style="thin">
        <color theme="0" tint="-0.24994659260841701"/>
      </left>
      <right style="thin">
        <color indexed="64"/>
      </right>
      <top style="thin">
        <color theme="0" tint="-0.24994659260841701"/>
      </top>
      <bottom/>
      <diagonal/>
    </border>
    <border>
      <left/>
      <right style="medium">
        <color indexed="64"/>
      </right>
      <top style="thin">
        <color theme="0" tint="-0.24994659260841701"/>
      </top>
      <bottom/>
      <diagonal/>
    </border>
    <border>
      <left style="thin">
        <color indexed="64"/>
      </left>
      <right style="thin">
        <color theme="0" tint="-0.24994659260841701"/>
      </right>
      <top/>
      <bottom/>
      <diagonal/>
    </border>
    <border>
      <left style="thin">
        <color theme="0" tint="-0.24994659260841701"/>
      </left>
      <right style="thin">
        <color indexed="64"/>
      </right>
      <top/>
      <bottom/>
      <diagonal/>
    </border>
    <border>
      <left style="thin">
        <color indexed="64"/>
      </left>
      <right style="thin">
        <color theme="0" tint="-0.24994659260841701"/>
      </right>
      <top/>
      <bottom style="medium">
        <color indexed="64"/>
      </bottom>
      <diagonal/>
    </border>
    <border>
      <left style="thin">
        <color theme="0" tint="-0.24994659260841701"/>
      </left>
      <right style="thin">
        <color indexed="64"/>
      </right>
      <top/>
      <bottom style="medium">
        <color indexed="64"/>
      </bottom>
      <diagonal/>
    </border>
    <border>
      <left style="medium">
        <color indexed="64"/>
      </left>
      <right style="medium">
        <color indexed="64"/>
      </right>
      <top/>
      <bottom style="thin">
        <color theme="0" tint="-0.24994659260841701"/>
      </bottom>
      <diagonal/>
    </border>
    <border>
      <left style="medium">
        <color indexed="64"/>
      </left>
      <right style="thin">
        <color theme="0" tint="-0.24994659260841701"/>
      </right>
      <top/>
      <bottom style="thin">
        <color theme="0" tint="-0.24994659260841701"/>
      </bottom>
      <diagonal/>
    </border>
    <border>
      <left style="medium">
        <color indexed="64"/>
      </left>
      <right/>
      <top/>
      <bottom style="thin">
        <color theme="0" tint="-0.24994659260841701"/>
      </bottom>
      <diagonal/>
    </border>
    <border>
      <left style="thin">
        <color theme="0" tint="-0.24994659260841701"/>
      </left>
      <right style="medium">
        <color indexed="64"/>
      </right>
      <top/>
      <bottom style="thin">
        <color theme="0" tint="-0.24994659260841701"/>
      </bottom>
      <diagonal/>
    </border>
    <border>
      <left/>
      <right style="thin">
        <color theme="0" tint="-0.24994659260841701"/>
      </right>
      <top style="thin">
        <color theme="0" tint="-0.24994659260841701"/>
      </top>
      <bottom/>
      <diagonal/>
    </border>
    <border>
      <left/>
      <right style="thin">
        <color theme="0" tint="-0.24994659260841701"/>
      </right>
      <top/>
      <bottom style="thin">
        <color theme="0" tint="-0.24994659260841701"/>
      </bottom>
      <diagonal/>
    </border>
    <border>
      <left style="medium">
        <color indexed="64"/>
      </left>
      <right style="thin">
        <color indexed="64"/>
      </right>
      <top style="thin">
        <color theme="0" tint="-0.24994659260841701"/>
      </top>
      <bottom style="medium">
        <color indexed="64"/>
      </bottom>
      <diagonal/>
    </border>
    <border>
      <left style="medium">
        <color indexed="64"/>
      </left>
      <right style="thin">
        <color indexed="64"/>
      </right>
      <top style="thin">
        <color theme="0" tint="-0.24994659260841701"/>
      </top>
      <bottom/>
      <diagonal/>
    </border>
    <border>
      <left style="medium">
        <color indexed="64"/>
      </left>
      <right style="thin">
        <color indexed="64"/>
      </right>
      <top/>
      <bottom style="medium">
        <color indexed="64"/>
      </bottom>
      <diagonal/>
    </border>
    <border>
      <left style="thin">
        <color indexed="64"/>
      </left>
      <right/>
      <top style="medium">
        <color indexed="64"/>
      </top>
      <bottom style="thin">
        <color theme="0" tint="-0.24994659260841701"/>
      </bottom>
      <diagonal/>
    </border>
    <border>
      <left/>
      <right style="thin">
        <color indexed="64"/>
      </right>
      <top style="medium">
        <color indexed="64"/>
      </top>
      <bottom style="thin">
        <color theme="0" tint="-0.24994659260841701"/>
      </bottom>
      <diagonal/>
    </border>
    <border>
      <left style="thin">
        <color rgb="FF000000"/>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right/>
      <top style="thin">
        <color rgb="FF000000"/>
      </top>
      <bottom style="thin">
        <color rgb="FF000000"/>
      </bottom>
      <diagonal/>
    </border>
    <border>
      <left/>
      <right/>
      <top/>
      <bottom style="thin">
        <color rgb="FF000000"/>
      </bottom>
      <diagonal/>
    </border>
    <border>
      <left/>
      <right/>
      <top style="thin">
        <color rgb="FF000000"/>
      </top>
      <bottom/>
      <diagonal/>
    </border>
  </borders>
  <cellStyleXfs count="70">
    <xf numFmtId="0" fontId="0" fillId="0" borderId="0"/>
    <xf numFmtId="0" fontId="1" fillId="0" borderId="0"/>
    <xf numFmtId="0" fontId="2" fillId="0" borderId="0" applyNumberFormat="0" applyFill="0" applyBorder="0" applyAlignment="0" applyProtection="0"/>
    <xf numFmtId="0" fontId="12" fillId="0" borderId="0"/>
    <xf numFmtId="0" fontId="1" fillId="15" borderId="0" applyNumberFormat="0" applyFont="0" applyBorder="0" applyAlignment="0" applyProtection="0"/>
    <xf numFmtId="0" fontId="1" fillId="0" borderId="0"/>
    <xf numFmtId="0" fontId="3" fillId="0" borderId="0"/>
    <xf numFmtId="0" fontId="3" fillId="0" borderId="0"/>
    <xf numFmtId="0" fontId="3" fillId="0" borderId="0"/>
    <xf numFmtId="0" fontId="13" fillId="2" borderId="0" applyNumberFormat="0" applyBorder="0" applyAlignment="0" applyProtection="0"/>
    <xf numFmtId="0" fontId="13" fillId="3" borderId="0" applyNumberFormat="0" applyBorder="0" applyAlignment="0" applyProtection="0"/>
    <xf numFmtId="0" fontId="13" fillId="4" borderId="0" applyNumberFormat="0" applyBorder="0" applyAlignment="0" applyProtection="0"/>
    <xf numFmtId="0" fontId="13" fillId="2" borderId="0" applyNumberFormat="0" applyBorder="0" applyAlignment="0" applyProtection="0"/>
    <xf numFmtId="0" fontId="13" fillId="5" borderId="0" applyNumberFormat="0" applyBorder="0" applyAlignment="0" applyProtection="0"/>
    <xf numFmtId="0" fontId="13" fillId="4" borderId="0" applyNumberFormat="0" applyBorder="0" applyAlignment="0" applyProtection="0"/>
    <xf numFmtId="0" fontId="13" fillId="6" borderId="0" applyNumberFormat="0" applyBorder="0" applyAlignment="0" applyProtection="0"/>
    <xf numFmtId="0" fontId="13" fillId="3" borderId="0" applyNumberFormat="0" applyBorder="0" applyAlignment="0" applyProtection="0"/>
    <xf numFmtId="0" fontId="13" fillId="4" borderId="0" applyNumberFormat="0" applyBorder="0" applyAlignment="0" applyProtection="0"/>
    <xf numFmtId="0" fontId="13" fillId="6" borderId="0" applyNumberFormat="0" applyBorder="0" applyAlignment="0" applyProtection="0"/>
    <xf numFmtId="0" fontId="13" fillId="7" borderId="0" applyNumberFormat="0" applyBorder="0" applyAlignment="0" applyProtection="0"/>
    <xf numFmtId="0" fontId="13" fillId="4" borderId="0" applyNumberFormat="0" applyBorder="0" applyAlignment="0" applyProtection="0"/>
    <xf numFmtId="0" fontId="14" fillId="8" borderId="0" applyNumberFormat="0" applyBorder="0" applyAlignment="0" applyProtection="0"/>
    <xf numFmtId="0" fontId="14" fillId="3" borderId="0" applyNumberFormat="0" applyBorder="0" applyAlignment="0" applyProtection="0"/>
    <xf numFmtId="0" fontId="14" fillId="9" borderId="0" applyNumberFormat="0" applyBorder="0" applyAlignment="0" applyProtection="0"/>
    <xf numFmtId="0" fontId="14" fillId="6" borderId="0" applyNumberFormat="0" applyBorder="0" applyAlignment="0" applyProtection="0"/>
    <xf numFmtId="0" fontId="14" fillId="8" borderId="0" applyNumberFormat="0" applyBorder="0" applyAlignment="0" applyProtection="0"/>
    <xf numFmtId="0" fontId="14" fillId="4" borderId="0" applyNumberFormat="0" applyBorder="0" applyAlignment="0" applyProtection="0"/>
    <xf numFmtId="0" fontId="14" fillId="8" borderId="0" applyNumberFormat="0" applyBorder="0" applyAlignment="0" applyProtection="0"/>
    <xf numFmtId="0" fontId="14" fillId="3" borderId="0" applyNumberFormat="0" applyBorder="0" applyAlignment="0" applyProtection="0"/>
    <xf numFmtId="0" fontId="14" fillId="9" borderId="0" applyNumberFormat="0" applyBorder="0" applyAlignment="0" applyProtection="0"/>
    <xf numFmtId="0" fontId="14" fillId="10" borderId="0" applyNumberFormat="0" applyBorder="0" applyAlignment="0" applyProtection="0"/>
    <xf numFmtId="0" fontId="14" fillId="8" borderId="0" applyNumberFormat="0" applyBorder="0" applyAlignment="0" applyProtection="0"/>
    <xf numFmtId="0" fontId="14" fillId="3" borderId="0" applyNumberFormat="0" applyBorder="0" applyAlignment="0" applyProtection="0"/>
    <xf numFmtId="44" fontId="1" fillId="0" borderId="0" applyFont="0" applyFill="0" applyBorder="0" applyAlignment="0" applyProtection="0"/>
    <xf numFmtId="0" fontId="15" fillId="11" borderId="0" applyNumberFormat="0" applyBorder="0" applyAlignment="0" applyProtection="0"/>
    <xf numFmtId="0" fontId="4" fillId="0" borderId="0"/>
    <xf numFmtId="0" fontId="16" fillId="12" borderId="3" applyNumberFormat="0" applyAlignment="0" applyProtection="0"/>
    <xf numFmtId="0" fontId="17" fillId="13" borderId="4" applyNumberFormat="0" applyAlignment="0" applyProtection="0"/>
    <xf numFmtId="43" fontId="1" fillId="0" borderId="0" applyFont="0" applyFill="0" applyBorder="0" applyAlignment="0" applyProtection="0"/>
    <xf numFmtId="40" fontId="5" fillId="0" borderId="0" applyFont="0" applyFill="0" applyBorder="0" applyAlignment="0" applyProtection="0"/>
    <xf numFmtId="8" fontId="5" fillId="0" borderId="0" applyFont="0" applyFill="0" applyBorder="0" applyAlignment="0" applyProtection="0"/>
    <xf numFmtId="0" fontId="18" fillId="0" borderId="0" applyNumberFormat="0" applyFill="0" applyBorder="0" applyAlignment="0" applyProtection="0"/>
    <xf numFmtId="0" fontId="19" fillId="14" borderId="0" applyNumberFormat="0" applyBorder="0" applyAlignment="0" applyProtection="0"/>
    <xf numFmtId="0" fontId="20" fillId="0" borderId="8" applyNumberFormat="0" applyFill="0" applyAlignment="0" applyProtection="0"/>
    <xf numFmtId="0" fontId="21" fillId="0" borderId="9" applyNumberFormat="0" applyFill="0" applyAlignment="0" applyProtection="0"/>
    <xf numFmtId="0" fontId="22" fillId="0" borderId="10" applyNumberFormat="0" applyFill="0" applyAlignment="0" applyProtection="0"/>
    <xf numFmtId="0" fontId="22" fillId="0" borderId="0" applyNumberFormat="0" applyFill="0" applyBorder="0" applyAlignment="0" applyProtection="0"/>
    <xf numFmtId="0" fontId="23" fillId="4" borderId="3" applyNumberFormat="0" applyAlignment="0" applyProtection="0"/>
    <xf numFmtId="0" fontId="24" fillId="0" borderId="11" applyNumberFormat="0" applyFill="0" applyAlignment="0" applyProtection="0"/>
    <xf numFmtId="0" fontId="25" fillId="4" borderId="0" applyNumberFormat="0" applyBorder="0" applyAlignment="0" applyProtection="0"/>
    <xf numFmtId="0" fontId="2" fillId="0" borderId="0"/>
    <xf numFmtId="0" fontId="2" fillId="0" borderId="0"/>
    <xf numFmtId="0" fontId="2" fillId="0" borderId="0"/>
    <xf numFmtId="0" fontId="6" fillId="0" borderId="0"/>
    <xf numFmtId="0" fontId="5" fillId="0" borderId="0"/>
    <xf numFmtId="37" fontId="2" fillId="0" borderId="0"/>
    <xf numFmtId="0" fontId="1" fillId="4" borderId="12" applyNumberFormat="0" applyFont="0" applyAlignment="0" applyProtection="0"/>
    <xf numFmtId="0" fontId="26" fillId="12" borderId="13" applyNumberFormat="0" applyAlignment="0" applyProtection="0"/>
    <xf numFmtId="0" fontId="7" fillId="0" borderId="0">
      <alignment vertical="center"/>
    </xf>
    <xf numFmtId="9" fontId="1" fillId="0" borderId="0" applyFont="0" applyFill="0" applyBorder="0" applyAlignment="0" applyProtection="0"/>
    <xf numFmtId="9" fontId="2" fillId="0" borderId="0" applyFont="0" applyFill="0" applyBorder="0" applyAlignment="0" applyProtection="0"/>
    <xf numFmtId="0" fontId="8" fillId="0" borderId="0"/>
    <xf numFmtId="0" fontId="8" fillId="0" borderId="14">
      <alignment horizontal="centerContinuous"/>
    </xf>
    <xf numFmtId="0" fontId="9" fillId="0" borderId="14"/>
    <xf numFmtId="0" fontId="27" fillId="0" borderId="0" applyNumberFormat="0" applyFill="0" applyBorder="0" applyAlignment="0" applyProtection="0"/>
    <xf numFmtId="0" fontId="28" fillId="0" borderId="15" applyNumberFormat="0" applyFill="0" applyAlignment="0" applyProtection="0"/>
    <xf numFmtId="0" fontId="29" fillId="0" borderId="0" applyNumberFormat="0" applyFill="0" applyBorder="0" applyAlignment="0" applyProtection="0"/>
    <xf numFmtId="175" fontId="11" fillId="0" borderId="0" applyFont="0" applyFill="0" applyBorder="0" applyAlignment="0" applyProtection="0"/>
    <xf numFmtId="0" fontId="11" fillId="0" borderId="0" applyFont="0" applyFill="0" applyBorder="0" applyAlignment="0" applyProtection="0"/>
    <xf numFmtId="0" fontId="76" fillId="0" borderId="0"/>
  </cellStyleXfs>
  <cellXfs count="1258">
    <xf numFmtId="0" fontId="0" fillId="0" borderId="0" xfId="0"/>
    <xf numFmtId="0" fontId="1" fillId="0" borderId="0" xfId="1"/>
    <xf numFmtId="49" fontId="0" fillId="0" borderId="0" xfId="0" applyNumberFormat="1"/>
    <xf numFmtId="0" fontId="34" fillId="0" borderId="0" xfId="51" applyFont="1" applyFill="1" applyBorder="1"/>
    <xf numFmtId="0" fontId="35" fillId="0" borderId="0" xfId="51" applyFont="1" applyFill="1"/>
    <xf numFmtId="0" fontId="35" fillId="0" borderId="26" xfId="51" applyFont="1" applyFill="1" applyBorder="1"/>
    <xf numFmtId="0" fontId="35" fillId="0" borderId="17" xfId="51" applyFont="1" applyFill="1" applyBorder="1"/>
    <xf numFmtId="0" fontId="35" fillId="0" borderId="18" xfId="51" applyFont="1" applyFill="1" applyBorder="1"/>
    <xf numFmtId="0" fontId="35" fillId="0" borderId="27" xfId="51" applyFont="1" applyFill="1" applyBorder="1" applyAlignment="1">
      <alignment horizontal="center" vertical="center"/>
    </xf>
    <xf numFmtId="41" fontId="36" fillId="16" borderId="27" xfId="51" applyNumberFormat="1" applyFont="1" applyFill="1" applyBorder="1" applyAlignment="1">
      <alignment horizontal="center" vertical="center"/>
    </xf>
    <xf numFmtId="0" fontId="35" fillId="0" borderId="28" xfId="51" applyFont="1" applyFill="1" applyBorder="1" applyAlignment="1">
      <alignment horizontal="center" vertical="center"/>
    </xf>
    <xf numFmtId="0" fontId="35" fillId="0" borderId="0" xfId="51" applyFont="1" applyFill="1" applyAlignment="1">
      <alignment horizontal="center" vertical="center"/>
    </xf>
    <xf numFmtId="41" fontId="36" fillId="16" borderId="28" xfId="51" applyNumberFormat="1" applyFont="1" applyFill="1" applyBorder="1" applyAlignment="1">
      <alignment horizontal="center" vertical="center"/>
    </xf>
    <xf numFmtId="41" fontId="37" fillId="0" borderId="28" xfId="51" applyNumberFormat="1" applyFont="1" applyFill="1" applyBorder="1" applyAlignment="1">
      <alignment horizontal="center" vertical="center"/>
    </xf>
    <xf numFmtId="0" fontId="35" fillId="0" borderId="27" xfId="51" applyFont="1" applyFill="1" applyBorder="1"/>
    <xf numFmtId="0" fontId="35" fillId="0" borderId="0" xfId="51" applyFont="1" applyFill="1" applyBorder="1"/>
    <xf numFmtId="0" fontId="35" fillId="0" borderId="28" xfId="51" applyFont="1" applyFill="1" applyBorder="1"/>
    <xf numFmtId="0" fontId="38" fillId="0" borderId="0" xfId="51" applyFont="1" applyFill="1" applyBorder="1"/>
    <xf numFmtId="37" fontId="34" fillId="0" borderId="0" xfId="51" applyNumberFormat="1" applyFont="1" applyFill="1" applyBorder="1" applyAlignment="1"/>
    <xf numFmtId="37" fontId="34" fillId="0" borderId="28" xfId="51" applyNumberFormat="1" applyFont="1" applyFill="1" applyBorder="1" applyAlignment="1">
      <alignment horizontal="right"/>
    </xf>
    <xf numFmtId="37" fontId="34" fillId="0" borderId="27" xfId="60" applyNumberFormat="1" applyFont="1" applyFill="1" applyBorder="1" applyAlignment="1">
      <alignment horizontal="right"/>
    </xf>
    <xf numFmtId="37" fontId="34" fillId="0" borderId="0" xfId="60" applyNumberFormat="1" applyFont="1" applyFill="1" applyBorder="1" applyAlignment="1">
      <alignment horizontal="right"/>
    </xf>
    <xf numFmtId="165" fontId="34" fillId="0" borderId="27" xfId="60" applyNumberFormat="1" applyFont="1" applyFill="1" applyBorder="1" applyAlignment="1">
      <alignment horizontal="right"/>
    </xf>
    <xf numFmtId="165" fontId="34" fillId="0" borderId="28" xfId="60" applyNumberFormat="1" applyFont="1" applyFill="1" applyBorder="1" applyAlignment="1">
      <alignment horizontal="right"/>
    </xf>
    <xf numFmtId="41" fontId="35" fillId="0" borderId="0" xfId="51" applyNumberFormat="1" applyFont="1" applyFill="1" applyBorder="1" applyAlignment="1">
      <alignment horizontal="right"/>
    </xf>
    <xf numFmtId="41" fontId="38" fillId="0" borderId="0" xfId="51" applyNumberFormat="1" applyFont="1" applyFill="1" applyBorder="1" applyAlignment="1">
      <alignment horizontal="right"/>
    </xf>
    <xf numFmtId="165" fontId="35" fillId="0" borderId="27" xfId="60" applyNumberFormat="1" applyFont="1" applyFill="1" applyBorder="1" applyAlignment="1">
      <alignment horizontal="right"/>
    </xf>
    <xf numFmtId="165" fontId="35" fillId="0" borderId="28" xfId="60" applyNumberFormat="1" applyFont="1" applyFill="1" applyBorder="1" applyAlignment="1">
      <alignment horizontal="right"/>
    </xf>
    <xf numFmtId="165" fontId="35" fillId="0" borderId="0" xfId="60" applyNumberFormat="1" applyFont="1" applyFill="1" applyBorder="1" applyAlignment="1">
      <alignment horizontal="left" indent="1"/>
    </xf>
    <xf numFmtId="165" fontId="35" fillId="0" borderId="0" xfId="60" applyNumberFormat="1" applyFont="1" applyFill="1" applyBorder="1" applyAlignment="1">
      <alignment horizontal="right"/>
    </xf>
    <xf numFmtId="37" fontId="35" fillId="0" borderId="0" xfId="51" applyNumberFormat="1" applyFont="1" applyFill="1" applyBorder="1"/>
    <xf numFmtId="37" fontId="39" fillId="0" borderId="0" xfId="51" applyNumberFormat="1" applyFont="1" applyFill="1" applyBorder="1" applyAlignment="1">
      <alignment horizontal="right"/>
    </xf>
    <xf numFmtId="37" fontId="35" fillId="0" borderId="0" xfId="51" applyNumberFormat="1" applyFont="1" applyFill="1" applyBorder="1" applyAlignment="1">
      <alignment horizontal="right"/>
    </xf>
    <xf numFmtId="37" fontId="35" fillId="0" borderId="27" xfId="60" applyNumberFormat="1" applyFont="1" applyFill="1" applyBorder="1" applyAlignment="1">
      <alignment horizontal="right"/>
    </xf>
    <xf numFmtId="37" fontId="35" fillId="0" borderId="28" xfId="60" applyNumberFormat="1" applyFont="1" applyFill="1" applyBorder="1" applyAlignment="1">
      <alignment horizontal="right"/>
    </xf>
    <xf numFmtId="37" fontId="35" fillId="0" borderId="2" xfId="51" applyNumberFormat="1" applyFont="1" applyFill="1" applyBorder="1"/>
    <xf numFmtId="37" fontId="35" fillId="0" borderId="29" xfId="60" applyNumberFormat="1" applyFont="1" applyFill="1" applyBorder="1" applyAlignment="1">
      <alignment horizontal="right"/>
    </xf>
    <xf numFmtId="37" fontId="35" fillId="0" borderId="2" xfId="60" applyNumberFormat="1" applyFont="1" applyFill="1" applyBorder="1" applyAlignment="1">
      <alignment horizontal="right"/>
    </xf>
    <xf numFmtId="165" fontId="35" fillId="0" borderId="29" xfId="60" applyNumberFormat="1" applyFont="1" applyFill="1" applyBorder="1" applyAlignment="1">
      <alignment horizontal="right"/>
    </xf>
    <xf numFmtId="37" fontId="34" fillId="0" borderId="0" xfId="51" applyNumberFormat="1" applyFont="1" applyFill="1" applyBorder="1" applyAlignment="1">
      <alignment horizontal="left"/>
    </xf>
    <xf numFmtId="37" fontId="34" fillId="0" borderId="28" xfId="60" applyNumberFormat="1" applyFont="1" applyFill="1" applyBorder="1" applyAlignment="1">
      <alignment horizontal="right"/>
    </xf>
    <xf numFmtId="41" fontId="35" fillId="0" borderId="0" xfId="51" applyNumberFormat="1" applyFont="1" applyFill="1" applyBorder="1"/>
    <xf numFmtId="41" fontId="35" fillId="0" borderId="28" xfId="51" applyNumberFormat="1" applyFont="1" applyFill="1" applyBorder="1" applyAlignment="1">
      <alignment horizontal="right"/>
    </xf>
    <xf numFmtId="41" fontId="39" fillId="0" borderId="28" xfId="51" applyNumberFormat="1" applyFont="1" applyFill="1" applyBorder="1" applyAlignment="1">
      <alignment horizontal="right"/>
    </xf>
    <xf numFmtId="37" fontId="35" fillId="0" borderId="0" xfId="60" applyNumberFormat="1" applyFont="1" applyFill="1" applyBorder="1" applyAlignment="1">
      <alignment horizontal="right"/>
    </xf>
    <xf numFmtId="37" fontId="39" fillId="0" borderId="28" xfId="51" applyNumberFormat="1" applyFont="1" applyFill="1" applyBorder="1" applyAlignment="1">
      <alignment horizontal="right"/>
    </xf>
    <xf numFmtId="37" fontId="39" fillId="0" borderId="30" xfId="51" applyNumberFormat="1" applyFont="1" applyFill="1" applyBorder="1" applyAlignment="1">
      <alignment horizontal="right"/>
    </xf>
    <xf numFmtId="37" fontId="34" fillId="0" borderId="0" xfId="51" applyNumberFormat="1" applyFont="1" applyFill="1" applyBorder="1"/>
    <xf numFmtId="9" fontId="35" fillId="0" borderId="0" xfId="60" applyFont="1" applyFill="1" applyBorder="1" applyAlignment="1">
      <alignment horizontal="right"/>
    </xf>
    <xf numFmtId="9" fontId="38" fillId="0" borderId="0" xfId="60" applyFont="1" applyFill="1" applyBorder="1" applyAlignment="1">
      <alignment horizontal="right"/>
    </xf>
    <xf numFmtId="37" fontId="35" fillId="0" borderId="28" xfId="51" applyNumberFormat="1" applyFont="1" applyFill="1" applyBorder="1" applyAlignment="1">
      <alignment horizontal="right"/>
    </xf>
    <xf numFmtId="37" fontId="34" fillId="0" borderId="21" xfId="51" applyNumberFormat="1" applyFont="1" applyFill="1" applyBorder="1"/>
    <xf numFmtId="37" fontId="34" fillId="0" borderId="31" xfId="51" applyNumberFormat="1" applyFont="1" applyFill="1" applyBorder="1" applyAlignment="1">
      <alignment horizontal="right"/>
    </xf>
    <xf numFmtId="37" fontId="34" fillId="0" borderId="32" xfId="60" applyNumberFormat="1" applyFont="1" applyFill="1" applyBorder="1" applyAlignment="1">
      <alignment horizontal="right"/>
    </xf>
    <xf numFmtId="37" fontId="34" fillId="0" borderId="21" xfId="60" applyNumberFormat="1" applyFont="1" applyFill="1" applyBorder="1" applyAlignment="1">
      <alignment horizontal="right"/>
    </xf>
    <xf numFmtId="7" fontId="35" fillId="0" borderId="27" xfId="51" applyNumberFormat="1" applyFont="1" applyFill="1" applyBorder="1"/>
    <xf numFmtId="7" fontId="34" fillId="0" borderId="0" xfId="51" applyNumberFormat="1" applyFont="1" applyFill="1" applyBorder="1"/>
    <xf numFmtId="7" fontId="34" fillId="0" borderId="28" xfId="51" applyNumberFormat="1" applyFont="1" applyFill="1" applyBorder="1" applyAlignment="1">
      <alignment horizontal="right"/>
    </xf>
    <xf numFmtId="7" fontId="34" fillId="0" borderId="27" xfId="60" applyNumberFormat="1" applyFont="1" applyFill="1" applyBorder="1" applyAlignment="1">
      <alignment horizontal="right"/>
    </xf>
    <xf numFmtId="7" fontId="34" fillId="0" borderId="0" xfId="60" applyNumberFormat="1" applyFont="1" applyFill="1" applyBorder="1" applyAlignment="1">
      <alignment horizontal="right"/>
    </xf>
    <xf numFmtId="41" fontId="39" fillId="0" borderId="28" xfId="51" applyNumberFormat="1" applyFont="1" applyFill="1" applyBorder="1"/>
    <xf numFmtId="37" fontId="35" fillId="0" borderId="27" xfId="60" applyNumberFormat="1" applyFont="1" applyFill="1" applyBorder="1"/>
    <xf numFmtId="37" fontId="35" fillId="0" borderId="0" xfId="60" applyNumberFormat="1" applyFont="1" applyFill="1" applyBorder="1"/>
    <xf numFmtId="165" fontId="35" fillId="0" borderId="28" xfId="60" applyNumberFormat="1" applyFont="1" applyFill="1" applyBorder="1"/>
    <xf numFmtId="0" fontId="35" fillId="0" borderId="33" xfId="51" applyFont="1" applyFill="1" applyBorder="1"/>
    <xf numFmtId="0" fontId="35" fillId="0" borderId="5" xfId="51" applyFont="1" applyFill="1" applyBorder="1"/>
    <xf numFmtId="0" fontId="39" fillId="0" borderId="5" xfId="51" applyFont="1" applyFill="1" applyBorder="1"/>
    <xf numFmtId="37" fontId="35" fillId="0" borderId="5" xfId="51" applyNumberFormat="1" applyFont="1" applyFill="1" applyBorder="1"/>
    <xf numFmtId="0" fontId="35" fillId="0" borderId="19" xfId="51" applyFont="1" applyFill="1" applyBorder="1"/>
    <xf numFmtId="0" fontId="39" fillId="0" borderId="0" xfId="51" applyFont="1" applyFill="1"/>
    <xf numFmtId="37" fontId="35" fillId="0" borderId="0" xfId="51" applyNumberFormat="1" applyFont="1" applyFill="1"/>
    <xf numFmtId="0" fontId="38" fillId="0" borderId="5" xfId="51" applyFont="1" applyFill="1" applyBorder="1"/>
    <xf numFmtId="37" fontId="35" fillId="0" borderId="0" xfId="60" applyNumberFormat="1" applyFont="1" applyFill="1" applyBorder="1" applyAlignment="1">
      <alignment horizontal="left" indent="1"/>
    </xf>
    <xf numFmtId="0" fontId="35" fillId="0" borderId="0" xfId="52" applyFont="1" applyFill="1"/>
    <xf numFmtId="0" fontId="35" fillId="0" borderId="26" xfId="52" applyFont="1" applyFill="1" applyBorder="1"/>
    <xf numFmtId="0" fontId="35" fillId="0" borderId="17" xfId="52" applyFont="1" applyFill="1" applyBorder="1"/>
    <xf numFmtId="0" fontId="35" fillId="0" borderId="18" xfId="52" applyFont="1" applyFill="1" applyBorder="1"/>
    <xf numFmtId="0" fontId="35" fillId="0" borderId="27" xfId="52" applyFont="1" applyFill="1" applyBorder="1"/>
    <xf numFmtId="0" fontId="35" fillId="0" borderId="28" xfId="52" applyFont="1" applyFill="1" applyBorder="1"/>
    <xf numFmtId="0" fontId="35" fillId="0" borderId="0" xfId="52" applyFont="1" applyFill="1" applyBorder="1"/>
    <xf numFmtId="37" fontId="35" fillId="0" borderId="0" xfId="52" applyNumberFormat="1" applyFont="1" applyFill="1" applyBorder="1"/>
    <xf numFmtId="37" fontId="39" fillId="0" borderId="0" xfId="52" applyNumberFormat="1" applyFont="1" applyFill="1" applyBorder="1" applyAlignment="1">
      <alignment horizontal="right"/>
    </xf>
    <xf numFmtId="37" fontId="35" fillId="0" borderId="0" xfId="52" applyNumberFormat="1" applyFont="1" applyFill="1" applyBorder="1" applyAlignment="1">
      <alignment horizontal="right"/>
    </xf>
    <xf numFmtId="37" fontId="39" fillId="0" borderId="28" xfId="52" applyNumberFormat="1" applyFont="1" applyFill="1" applyBorder="1" applyAlignment="1">
      <alignment horizontal="right"/>
    </xf>
    <xf numFmtId="37" fontId="35" fillId="0" borderId="0" xfId="52" applyNumberFormat="1" applyFont="1" applyFill="1" applyBorder="1" applyAlignment="1">
      <alignment horizontal="left" indent="1"/>
    </xf>
    <xf numFmtId="165" fontId="39" fillId="0" borderId="0" xfId="52" applyNumberFormat="1" applyFont="1" applyFill="1" applyBorder="1" applyAlignment="1">
      <alignment horizontal="right"/>
    </xf>
    <xf numFmtId="165" fontId="35" fillId="0" borderId="0" xfId="52" applyNumberFormat="1" applyFont="1" applyFill="1" applyBorder="1" applyAlignment="1">
      <alignment horizontal="right"/>
    </xf>
    <xf numFmtId="165" fontId="39" fillId="0" borderId="28" xfId="52" applyNumberFormat="1" applyFont="1" applyFill="1" applyBorder="1" applyAlignment="1">
      <alignment horizontal="right"/>
    </xf>
    <xf numFmtId="7" fontId="39" fillId="0" borderId="0" xfId="52" applyNumberFormat="1" applyFont="1" applyFill="1" applyBorder="1" applyAlignment="1">
      <alignment horizontal="right"/>
    </xf>
    <xf numFmtId="7" fontId="35" fillId="0" borderId="0" xfId="52" applyNumberFormat="1" applyFont="1" applyFill="1" applyBorder="1" applyAlignment="1">
      <alignment horizontal="right"/>
    </xf>
    <xf numFmtId="7" fontId="39" fillId="0" borderId="28" xfId="52" applyNumberFormat="1" applyFont="1" applyFill="1" applyBorder="1" applyAlignment="1">
      <alignment horizontal="right"/>
    </xf>
    <xf numFmtId="0" fontId="35" fillId="0" borderId="33" xfId="52" applyFont="1" applyFill="1" applyBorder="1"/>
    <xf numFmtId="0" fontId="35" fillId="0" borderId="5" xfId="52" applyFont="1" applyFill="1" applyBorder="1"/>
    <xf numFmtId="0" fontId="35" fillId="0" borderId="19" xfId="52" applyFont="1" applyFill="1" applyBorder="1"/>
    <xf numFmtId="0" fontId="34" fillId="0" borderId="0" xfId="52" applyFont="1" applyFill="1" applyBorder="1"/>
    <xf numFmtId="165" fontId="34" fillId="0" borderId="0" xfId="60" applyNumberFormat="1" applyFont="1" applyFill="1" applyBorder="1" applyAlignment="1">
      <alignment horizontal="right"/>
    </xf>
    <xf numFmtId="165" fontId="35" fillId="0" borderId="2" xfId="60" applyNumberFormat="1" applyFont="1" applyFill="1" applyBorder="1" applyAlignment="1">
      <alignment horizontal="right"/>
    </xf>
    <xf numFmtId="165" fontId="34" fillId="0" borderId="21" xfId="60" applyNumberFormat="1" applyFont="1" applyFill="1" applyBorder="1" applyAlignment="1">
      <alignment horizontal="right"/>
    </xf>
    <xf numFmtId="165" fontId="35" fillId="0" borderId="0" xfId="60" applyNumberFormat="1" applyFont="1" applyFill="1" applyBorder="1"/>
    <xf numFmtId="41" fontId="36" fillId="16" borderId="0" xfId="51" applyNumberFormat="1" applyFont="1" applyFill="1" applyBorder="1" applyAlignment="1">
      <alignment horizontal="center" vertical="center"/>
    </xf>
    <xf numFmtId="41" fontId="36" fillId="16" borderId="27" xfId="51" applyNumberFormat="1" applyFont="1" applyFill="1" applyBorder="1" applyAlignment="1">
      <alignment horizontal="center" vertical="center"/>
    </xf>
    <xf numFmtId="37" fontId="40" fillId="0" borderId="28" xfId="51" applyNumberFormat="1" applyFont="1" applyFill="1" applyBorder="1" applyAlignment="1">
      <alignment horizontal="right"/>
    </xf>
    <xf numFmtId="165" fontId="34" fillId="0" borderId="32" xfId="60" applyNumberFormat="1" applyFont="1" applyFill="1" applyBorder="1" applyAlignment="1">
      <alignment horizontal="right"/>
    </xf>
    <xf numFmtId="165" fontId="35" fillId="0" borderId="27" xfId="60" applyNumberFormat="1" applyFont="1" applyFill="1" applyBorder="1"/>
    <xf numFmtId="41" fontId="36" fillId="16" borderId="0" xfId="51" applyNumberFormat="1" applyFont="1" applyFill="1" applyBorder="1" applyAlignment="1">
      <alignment horizontal="center" vertical="center"/>
    </xf>
    <xf numFmtId="41" fontId="36" fillId="16" borderId="27" xfId="51" applyNumberFormat="1" applyFont="1" applyFill="1" applyBorder="1" applyAlignment="1">
      <alignment horizontal="center" vertical="center"/>
    </xf>
    <xf numFmtId="37" fontId="40" fillId="0" borderId="0" xfId="51" applyNumberFormat="1" applyFont="1" applyFill="1" applyBorder="1" applyAlignment="1">
      <alignment horizontal="right"/>
    </xf>
    <xf numFmtId="37" fontId="39" fillId="0" borderId="2" xfId="51" applyNumberFormat="1" applyFont="1" applyFill="1" applyBorder="1" applyAlignment="1">
      <alignment horizontal="right"/>
    </xf>
    <xf numFmtId="37" fontId="34" fillId="0" borderId="0" xfId="51" applyNumberFormat="1" applyFont="1" applyFill="1" applyBorder="1" applyAlignment="1">
      <alignment horizontal="right"/>
    </xf>
    <xf numFmtId="41" fontId="39" fillId="0" borderId="0" xfId="51" applyNumberFormat="1" applyFont="1" applyFill="1" applyBorder="1" applyAlignment="1">
      <alignment horizontal="right"/>
    </xf>
    <xf numFmtId="41" fontId="39" fillId="0" borderId="0" xfId="51" applyNumberFormat="1" applyFont="1" applyFill="1" applyBorder="1"/>
    <xf numFmtId="0" fontId="39" fillId="0" borderId="0" xfId="51" applyFont="1" applyFill="1" applyBorder="1"/>
    <xf numFmtId="37" fontId="35" fillId="0" borderId="2" xfId="51" applyNumberFormat="1" applyFont="1" applyFill="1" applyBorder="1" applyAlignment="1">
      <alignment horizontal="right"/>
    </xf>
    <xf numFmtId="165" fontId="39" fillId="0" borderId="0" xfId="60" applyNumberFormat="1" applyFont="1" applyFill="1" applyBorder="1" applyAlignment="1">
      <alignment horizontal="right"/>
    </xf>
    <xf numFmtId="37" fontId="40" fillId="0" borderId="21" xfId="51" applyNumberFormat="1" applyFont="1" applyFill="1" applyBorder="1" applyAlignment="1">
      <alignment horizontal="right"/>
    </xf>
    <xf numFmtId="7" fontId="40" fillId="0" borderId="0" xfId="51" applyNumberFormat="1" applyFont="1" applyFill="1" applyBorder="1" applyAlignment="1">
      <alignment horizontal="right"/>
    </xf>
    <xf numFmtId="38" fontId="34" fillId="0" borderId="27" xfId="60" applyNumberFormat="1" applyFont="1" applyFill="1" applyBorder="1" applyAlignment="1">
      <alignment horizontal="right"/>
    </xf>
    <xf numFmtId="38" fontId="35" fillId="0" borderId="29" xfId="60" applyNumberFormat="1" applyFont="1" applyFill="1" applyBorder="1" applyAlignment="1">
      <alignment horizontal="right"/>
    </xf>
    <xf numFmtId="38" fontId="35" fillId="0" borderId="27" xfId="60" applyNumberFormat="1" applyFont="1" applyFill="1" applyBorder="1" applyAlignment="1">
      <alignment horizontal="right"/>
    </xf>
    <xf numFmtId="38" fontId="34" fillId="0" borderId="32" xfId="60" applyNumberFormat="1" applyFont="1" applyFill="1" applyBorder="1" applyAlignment="1">
      <alignment horizontal="right"/>
    </xf>
    <xf numFmtId="38" fontId="35" fillId="0" borderId="27" xfId="60" applyNumberFormat="1" applyFont="1" applyFill="1" applyBorder="1"/>
    <xf numFmtId="8" fontId="34" fillId="0" borderId="27" xfId="60" applyNumberFormat="1" applyFont="1" applyFill="1" applyBorder="1" applyAlignment="1">
      <alignment horizontal="right"/>
    </xf>
    <xf numFmtId="41" fontId="36" fillId="16" borderId="0" xfId="52" applyNumberFormat="1" applyFont="1" applyFill="1" applyBorder="1" applyAlignment="1">
      <alignment horizontal="center" vertical="center"/>
    </xf>
    <xf numFmtId="0" fontId="35" fillId="0" borderId="0" xfId="0" applyFont="1"/>
    <xf numFmtId="0" fontId="35" fillId="17" borderId="0" xfId="0" applyFont="1" applyFill="1"/>
    <xf numFmtId="37" fontId="35" fillId="0" borderId="28" xfId="52" applyNumberFormat="1" applyFont="1" applyFill="1" applyBorder="1" applyAlignment="1">
      <alignment horizontal="right"/>
    </xf>
    <xf numFmtId="165" fontId="35" fillId="0" borderId="28" xfId="52" applyNumberFormat="1" applyFont="1" applyFill="1" applyBorder="1" applyAlignment="1">
      <alignment horizontal="right"/>
    </xf>
    <xf numFmtId="37" fontId="35" fillId="0" borderId="0" xfId="52" applyNumberFormat="1" applyFont="1" applyFill="1" applyBorder="1" applyAlignment="1">
      <alignment horizontal="left"/>
    </xf>
    <xf numFmtId="0" fontId="36" fillId="17" borderId="0" xfId="50" applyFont="1" applyFill="1"/>
    <xf numFmtId="0" fontId="35" fillId="17" borderId="0" xfId="50" applyFont="1" applyFill="1"/>
    <xf numFmtId="0" fontId="35" fillId="17" borderId="0" xfId="50" applyFont="1" applyFill="1" applyAlignment="1">
      <alignment horizontal="right"/>
    </xf>
    <xf numFmtId="0" fontId="35" fillId="17" borderId="0" xfId="0" applyFont="1" applyFill="1"/>
    <xf numFmtId="0" fontId="34" fillId="17" borderId="0" xfId="50" applyFont="1" applyFill="1"/>
    <xf numFmtId="0" fontId="41" fillId="17" borderId="0" xfId="50" applyFont="1" applyFill="1"/>
    <xf numFmtId="0" fontId="42" fillId="16" borderId="25" xfId="50" applyFont="1" applyFill="1" applyBorder="1"/>
    <xf numFmtId="0" fontId="42" fillId="16" borderId="7" xfId="50" applyFont="1" applyFill="1" applyBorder="1"/>
    <xf numFmtId="0" fontId="42" fillId="16" borderId="7" xfId="50" applyFont="1" applyFill="1" applyBorder="1" applyAlignment="1">
      <alignment horizontal="right"/>
    </xf>
    <xf numFmtId="5" fontId="42" fillId="16" borderId="35" xfId="50" applyNumberFormat="1" applyFont="1" applyFill="1" applyBorder="1" applyAlignment="1">
      <alignment horizontal="right"/>
    </xf>
    <xf numFmtId="0" fontId="35" fillId="0" borderId="0" xfId="50" applyFont="1" applyFill="1" applyAlignment="1">
      <alignment horizontal="right"/>
    </xf>
    <xf numFmtId="9" fontId="41" fillId="17" borderId="0" xfId="50" applyNumberFormat="1" applyFont="1" applyFill="1"/>
    <xf numFmtId="9" fontId="35" fillId="17" borderId="0" xfId="50" applyNumberFormat="1" applyFont="1" applyFill="1"/>
    <xf numFmtId="9" fontId="35" fillId="17" borderId="0" xfId="50" applyNumberFormat="1" applyFont="1" applyFill="1" applyAlignment="1">
      <alignment horizontal="right"/>
    </xf>
    <xf numFmtId="0" fontId="42" fillId="16" borderId="0" xfId="50" applyFont="1" applyFill="1"/>
    <xf numFmtId="0" fontId="43" fillId="16" borderId="0" xfId="50" applyFont="1" applyFill="1"/>
    <xf numFmtId="0" fontId="43" fillId="16" borderId="0" xfId="50" applyFont="1" applyFill="1" applyAlignment="1">
      <alignment horizontal="right"/>
    </xf>
    <xf numFmtId="0" fontId="39" fillId="17" borderId="0" xfId="50" applyFont="1" applyFill="1"/>
    <xf numFmtId="0" fontId="34" fillId="18" borderId="0" xfId="50" applyFont="1" applyFill="1" applyAlignment="1">
      <alignment horizontal="center"/>
    </xf>
    <xf numFmtId="0" fontId="44" fillId="17" borderId="0" xfId="50" applyFont="1" applyFill="1" applyBorder="1" applyAlignment="1">
      <alignment horizontal="center"/>
    </xf>
    <xf numFmtId="0" fontId="35" fillId="0" borderId="0" xfId="50" applyFont="1" applyFill="1"/>
    <xf numFmtId="0" fontId="34" fillId="18" borderId="0" xfId="50" applyFont="1" applyFill="1" applyAlignment="1">
      <alignment horizontal="left"/>
    </xf>
    <xf numFmtId="182" fontId="34" fillId="18" borderId="0" xfId="50" applyNumberFormat="1" applyFont="1" applyFill="1" applyAlignment="1">
      <alignment horizontal="center"/>
    </xf>
    <xf numFmtId="0" fontId="35" fillId="17" borderId="0" xfId="50" applyFont="1" applyFill="1" applyBorder="1"/>
    <xf numFmtId="37" fontId="34" fillId="17" borderId="0" xfId="50" applyNumberFormat="1" applyFont="1" applyFill="1"/>
    <xf numFmtId="7" fontId="40" fillId="17" borderId="0" xfId="50" applyNumberFormat="1" applyFont="1" applyFill="1" applyAlignment="1">
      <alignment horizontal="center"/>
    </xf>
    <xf numFmtId="7" fontId="35" fillId="17" borderId="0" xfId="50" applyNumberFormat="1" applyFont="1" applyFill="1" applyAlignment="1">
      <alignment horizontal="center"/>
    </xf>
    <xf numFmtId="7" fontId="35" fillId="17" borderId="0" xfId="50" applyNumberFormat="1" applyFont="1" applyFill="1" applyBorder="1" applyAlignment="1">
      <alignment horizontal="center"/>
    </xf>
    <xf numFmtId="0" fontId="34" fillId="17" borderId="0" xfId="0" applyFont="1" applyFill="1"/>
    <xf numFmtId="165" fontId="45" fillId="17" borderId="0" xfId="50" applyNumberFormat="1" applyFont="1" applyFill="1"/>
    <xf numFmtId="37" fontId="38" fillId="17" borderId="0" xfId="50" applyNumberFormat="1" applyFont="1" applyFill="1" applyAlignment="1">
      <alignment horizontal="center"/>
    </xf>
    <xf numFmtId="37" fontId="38" fillId="17" borderId="0" xfId="50" applyNumberFormat="1" applyFont="1" applyFill="1" applyBorder="1" applyAlignment="1">
      <alignment horizontal="center"/>
    </xf>
    <xf numFmtId="0" fontId="35" fillId="17" borderId="26" xfId="50" applyFont="1" applyFill="1" applyBorder="1"/>
    <xf numFmtId="0" fontId="35" fillId="17" borderId="17" xfId="50" applyFont="1" applyFill="1" applyBorder="1"/>
    <xf numFmtId="179" fontId="35" fillId="17" borderId="17" xfId="50" applyNumberFormat="1" applyFont="1" applyFill="1" applyBorder="1"/>
    <xf numFmtId="0" fontId="45" fillId="17" borderId="0" xfId="0" applyFont="1" applyFill="1"/>
    <xf numFmtId="0" fontId="35" fillId="17" borderId="16" xfId="50" applyFont="1" applyFill="1" applyBorder="1"/>
    <xf numFmtId="37" fontId="35" fillId="17" borderId="16" xfId="50" applyNumberFormat="1" applyFont="1" applyFill="1" applyBorder="1" applyAlignment="1">
      <alignment horizontal="center"/>
    </xf>
    <xf numFmtId="37" fontId="35" fillId="17" borderId="0" xfId="50" applyNumberFormat="1" applyFont="1" applyFill="1" applyBorder="1" applyAlignment="1">
      <alignment horizontal="center"/>
    </xf>
    <xf numFmtId="0" fontId="35" fillId="17" borderId="27" xfId="50" applyFont="1" applyFill="1" applyBorder="1"/>
    <xf numFmtId="179" fontId="35" fillId="17" borderId="0" xfId="50" applyNumberFormat="1" applyFont="1" applyFill="1" applyBorder="1"/>
    <xf numFmtId="179" fontId="34" fillId="17" borderId="0" xfId="50" applyNumberFormat="1" applyFont="1" applyFill="1" applyBorder="1"/>
    <xf numFmtId="0" fontId="35" fillId="17" borderId="0" xfId="50" quotePrefix="1" applyFont="1" applyFill="1" applyBorder="1"/>
    <xf numFmtId="0" fontId="35" fillId="17" borderId="33" xfId="50" applyFont="1" applyFill="1" applyBorder="1"/>
    <xf numFmtId="0" fontId="35" fillId="17" borderId="5" xfId="50" applyFont="1" applyFill="1" applyBorder="1"/>
    <xf numFmtId="179" fontId="35" fillId="17" borderId="5" xfId="50" applyNumberFormat="1" applyFont="1" applyFill="1" applyBorder="1"/>
    <xf numFmtId="38" fontId="34" fillId="17" borderId="0" xfId="50" applyNumberFormat="1" applyFont="1" applyFill="1"/>
    <xf numFmtId="0" fontId="34" fillId="19" borderId="0" xfId="50" applyFont="1" applyFill="1" applyBorder="1"/>
    <xf numFmtId="0" fontId="43" fillId="19" borderId="0" xfId="50" applyFont="1" applyFill="1" applyBorder="1"/>
    <xf numFmtId="0" fontId="43" fillId="19" borderId="0" xfId="50" applyFont="1" applyFill="1" applyBorder="1" applyAlignment="1">
      <alignment horizontal="right"/>
    </xf>
    <xf numFmtId="0" fontId="34" fillId="19" borderId="0" xfId="50" applyFont="1" applyFill="1" applyBorder="1" applyAlignment="1">
      <alignment horizontal="center"/>
    </xf>
    <xf numFmtId="165" fontId="46" fillId="19" borderId="0" xfId="50" applyNumberFormat="1" applyFont="1" applyFill="1" applyBorder="1" applyAlignment="1">
      <alignment horizontal="center"/>
    </xf>
    <xf numFmtId="37" fontId="35" fillId="17" borderId="0" xfId="50" applyNumberFormat="1" applyFont="1" applyFill="1"/>
    <xf numFmtId="165" fontId="45" fillId="17" borderId="0" xfId="50" applyNumberFormat="1" applyFont="1" applyFill="1" applyBorder="1"/>
    <xf numFmtId="182" fontId="35" fillId="17" borderId="0" xfId="50" applyNumberFormat="1" applyFont="1" applyFill="1" applyBorder="1" applyAlignment="1">
      <alignment horizontal="center"/>
    </xf>
    <xf numFmtId="7" fontId="38" fillId="17" borderId="0" xfId="50" applyNumberFormat="1" applyFont="1" applyFill="1" applyBorder="1" applyAlignment="1">
      <alignment horizontal="center"/>
    </xf>
    <xf numFmtId="5" fontId="35" fillId="17" borderId="0" xfId="50" applyNumberFormat="1" applyFont="1" applyFill="1" applyBorder="1" applyAlignment="1">
      <alignment horizontal="center"/>
    </xf>
    <xf numFmtId="0" fontId="35" fillId="17" borderId="0" xfId="0" applyFont="1" applyFill="1" applyBorder="1"/>
    <xf numFmtId="182" fontId="34" fillId="17" borderId="39" xfId="50" applyNumberFormat="1" applyFont="1" applyFill="1" applyBorder="1" applyAlignment="1">
      <alignment horizontal="left"/>
    </xf>
    <xf numFmtId="183" fontId="34" fillId="18" borderId="40" xfId="50" applyNumberFormat="1" applyFont="1" applyFill="1" applyBorder="1"/>
    <xf numFmtId="183" fontId="34" fillId="18" borderId="40" xfId="50" applyNumberFormat="1" applyFont="1" applyFill="1" applyBorder="1" applyAlignment="1">
      <alignment horizontal="center"/>
    </xf>
    <xf numFmtId="183" fontId="40" fillId="18" borderId="40" xfId="50" applyNumberFormat="1" applyFont="1" applyFill="1" applyBorder="1" applyAlignment="1">
      <alignment horizontal="center"/>
    </xf>
    <xf numFmtId="182" fontId="35" fillId="17" borderId="40" xfId="50" applyNumberFormat="1" applyFont="1" applyFill="1" applyBorder="1" applyAlignment="1">
      <alignment horizontal="center"/>
    </xf>
    <xf numFmtId="7" fontId="38" fillId="17" borderId="40" xfId="50" applyNumberFormat="1" applyFont="1" applyFill="1" applyBorder="1" applyAlignment="1">
      <alignment horizontal="center"/>
    </xf>
    <xf numFmtId="5" fontId="35" fillId="17" borderId="40" xfId="50" applyNumberFormat="1" applyFont="1" applyFill="1" applyBorder="1" applyAlignment="1">
      <alignment horizontal="center"/>
    </xf>
    <xf numFmtId="5" fontId="34" fillId="19" borderId="40" xfId="50" applyNumberFormat="1" applyFont="1" applyFill="1" applyBorder="1" applyAlignment="1">
      <alignment horizontal="center"/>
    </xf>
    <xf numFmtId="182" fontId="35" fillId="17" borderId="41" xfId="50" applyNumberFormat="1" applyFont="1" applyFill="1" applyBorder="1" applyAlignment="1">
      <alignment horizontal="center"/>
    </xf>
    <xf numFmtId="183" fontId="34" fillId="18" borderId="42" xfId="50" applyNumberFormat="1" applyFont="1" applyFill="1" applyBorder="1" applyAlignment="1">
      <alignment horizontal="center"/>
    </xf>
    <xf numFmtId="1" fontId="39" fillId="17" borderId="0" xfId="50" applyNumberFormat="1" applyFont="1" applyFill="1"/>
    <xf numFmtId="7" fontId="39" fillId="17" borderId="40" xfId="50" applyNumberFormat="1" applyFont="1" applyFill="1" applyBorder="1" applyAlignment="1">
      <alignment horizontal="center"/>
    </xf>
    <xf numFmtId="1" fontId="35" fillId="17" borderId="0" xfId="50" applyNumberFormat="1" applyFont="1" applyFill="1"/>
    <xf numFmtId="183" fontId="34" fillId="18" borderId="43" xfId="50" applyNumberFormat="1" applyFont="1" applyFill="1" applyBorder="1"/>
    <xf numFmtId="37" fontId="38" fillId="17" borderId="40" xfId="50" applyNumberFormat="1" applyFont="1" applyFill="1" applyBorder="1" applyAlignment="1">
      <alignment horizontal="center"/>
    </xf>
    <xf numFmtId="37" fontId="39" fillId="17" borderId="40" xfId="50" applyNumberFormat="1" applyFont="1" applyFill="1" applyBorder="1" applyAlignment="1">
      <alignment horizontal="center"/>
    </xf>
    <xf numFmtId="0" fontId="35" fillId="17" borderId="0" xfId="52" applyFont="1" applyFill="1"/>
    <xf numFmtId="0" fontId="34" fillId="17" borderId="0" xfId="52" applyFont="1" applyFill="1" applyBorder="1"/>
    <xf numFmtId="0" fontId="35" fillId="17" borderId="0" xfId="52" applyFont="1" applyFill="1" applyBorder="1"/>
    <xf numFmtId="0" fontId="35" fillId="20" borderId="0" xfId="52" applyFont="1" applyFill="1"/>
    <xf numFmtId="0" fontId="0" fillId="17" borderId="0" xfId="0" applyFill="1"/>
    <xf numFmtId="0" fontId="0" fillId="0" borderId="0" xfId="0"/>
    <xf numFmtId="0" fontId="35" fillId="17" borderId="26" xfId="52" applyFont="1" applyFill="1" applyBorder="1"/>
    <xf numFmtId="0" fontId="35" fillId="17" borderId="17" xfId="52" applyFont="1" applyFill="1" applyBorder="1"/>
    <xf numFmtId="0" fontId="35" fillId="17" borderId="18" xfId="52" applyFont="1" applyFill="1" applyBorder="1"/>
    <xf numFmtId="0" fontId="35" fillId="17" borderId="0" xfId="52" applyFont="1" applyFill="1" applyAlignment="1">
      <alignment horizontal="center" vertical="center"/>
    </xf>
    <xf numFmtId="0" fontId="35" fillId="17" borderId="27" xfId="52" applyFont="1" applyFill="1" applyBorder="1" applyAlignment="1">
      <alignment horizontal="center" vertical="center"/>
    </xf>
    <xf numFmtId="0" fontId="36" fillId="16" borderId="0" xfId="52" applyFont="1" applyFill="1" applyBorder="1" applyAlignment="1">
      <alignment horizontal="left" vertical="center"/>
    </xf>
    <xf numFmtId="41" fontId="36" fillId="16" borderId="44" xfId="52" applyNumberFormat="1" applyFont="1" applyFill="1" applyBorder="1" applyAlignment="1">
      <alignment horizontal="center" vertical="center"/>
    </xf>
    <xf numFmtId="41" fontId="36" fillId="16" borderId="45" xfId="52" applyNumberFormat="1" applyFont="1" applyFill="1" applyBorder="1" applyAlignment="1">
      <alignment horizontal="center" vertical="center"/>
    </xf>
    <xf numFmtId="0" fontId="35" fillId="17" borderId="28" xfId="52" applyFont="1" applyFill="1" applyBorder="1" applyAlignment="1">
      <alignment horizontal="center" vertical="center"/>
    </xf>
    <xf numFmtId="0" fontId="35" fillId="20" borderId="0" xfId="52" applyFont="1" applyFill="1" applyAlignment="1">
      <alignment horizontal="center"/>
    </xf>
    <xf numFmtId="0" fontId="0" fillId="17" borderId="0" xfId="0" applyFill="1" applyAlignment="1">
      <alignment horizontal="center"/>
    </xf>
    <xf numFmtId="0" fontId="0" fillId="0" borderId="0" xfId="0" applyAlignment="1">
      <alignment horizontal="center"/>
    </xf>
    <xf numFmtId="0" fontId="35" fillId="17" borderId="27" xfId="52" applyFont="1" applyFill="1" applyBorder="1"/>
    <xf numFmtId="0" fontId="35" fillId="17" borderId="44" xfId="52" applyFont="1" applyFill="1" applyBorder="1"/>
    <xf numFmtId="0" fontId="35" fillId="17" borderId="45" xfId="52" applyFont="1" applyFill="1" applyBorder="1"/>
    <xf numFmtId="0" fontId="35" fillId="17" borderId="28" xfId="52" applyFont="1" applyFill="1" applyBorder="1"/>
    <xf numFmtId="37" fontId="34" fillId="17" borderId="0" xfId="52" applyNumberFormat="1" applyFont="1" applyFill="1" applyBorder="1" applyAlignment="1"/>
    <xf numFmtId="37" fontId="34" fillId="17" borderId="0" xfId="52" applyNumberFormat="1" applyFont="1" applyFill="1" applyBorder="1" applyAlignment="1">
      <alignment horizontal="right"/>
    </xf>
    <xf numFmtId="37" fontId="40" fillId="17" borderId="0" xfId="52" applyNumberFormat="1" applyFont="1" applyFill="1" applyBorder="1" applyAlignment="1">
      <alignment horizontal="right"/>
    </xf>
    <xf numFmtId="38" fontId="34" fillId="17" borderId="0" xfId="52" applyNumberFormat="1" applyFont="1" applyFill="1" applyBorder="1" applyAlignment="1">
      <alignment horizontal="right"/>
    </xf>
    <xf numFmtId="165" fontId="34" fillId="17" borderId="44" xfId="52" applyNumberFormat="1" applyFont="1" applyFill="1" applyBorder="1" applyAlignment="1">
      <alignment horizontal="right"/>
    </xf>
    <xf numFmtId="37" fontId="34" fillId="17" borderId="45" xfId="52" applyNumberFormat="1" applyFont="1" applyFill="1" applyBorder="1" applyAlignment="1">
      <alignment horizontal="right"/>
    </xf>
    <xf numFmtId="165" fontId="34" fillId="17" borderId="0" xfId="52" applyNumberFormat="1" applyFont="1" applyFill="1" applyBorder="1" applyAlignment="1">
      <alignment horizontal="right"/>
    </xf>
    <xf numFmtId="165" fontId="34" fillId="17" borderId="28" xfId="60" applyNumberFormat="1" applyFont="1" applyFill="1" applyBorder="1" applyAlignment="1">
      <alignment horizontal="right"/>
    </xf>
    <xf numFmtId="37" fontId="39" fillId="17" borderId="2" xfId="52" applyNumberFormat="1" applyFont="1" applyFill="1" applyBorder="1" applyAlignment="1">
      <alignment horizontal="right"/>
    </xf>
    <xf numFmtId="38" fontId="35" fillId="17" borderId="2" xfId="52" applyNumberFormat="1" applyFont="1" applyFill="1" applyBorder="1" applyAlignment="1">
      <alignment horizontal="right"/>
    </xf>
    <xf numFmtId="165" fontId="35" fillId="17" borderId="46" xfId="52" applyNumberFormat="1" applyFont="1" applyFill="1" applyBorder="1" applyAlignment="1">
      <alignment horizontal="right"/>
    </xf>
    <xf numFmtId="165" fontId="35" fillId="17" borderId="28" xfId="60" applyNumberFormat="1" applyFont="1" applyFill="1" applyBorder="1" applyAlignment="1">
      <alignment horizontal="right"/>
    </xf>
    <xf numFmtId="37" fontId="34" fillId="17" borderId="0" xfId="52" applyNumberFormat="1" applyFont="1" applyFill="1" applyBorder="1" applyAlignment="1">
      <alignment horizontal="left"/>
    </xf>
    <xf numFmtId="8" fontId="34" fillId="17" borderId="44" xfId="52" applyNumberFormat="1" applyFont="1" applyFill="1" applyBorder="1" applyAlignment="1">
      <alignment horizontal="right"/>
    </xf>
    <xf numFmtId="8" fontId="34" fillId="17" borderId="0" xfId="52" applyNumberFormat="1" applyFont="1" applyFill="1" applyBorder="1" applyAlignment="1">
      <alignment horizontal="right"/>
    </xf>
    <xf numFmtId="37" fontId="34" fillId="17" borderId="28" xfId="60" applyNumberFormat="1" applyFont="1" applyFill="1" applyBorder="1" applyAlignment="1">
      <alignment horizontal="right"/>
    </xf>
    <xf numFmtId="165" fontId="35" fillId="17" borderId="0" xfId="60" applyNumberFormat="1" applyFont="1" applyFill="1" applyBorder="1" applyAlignment="1">
      <alignment horizontal="left" indent="1"/>
    </xf>
    <xf numFmtId="165" fontId="35" fillId="17" borderId="0" xfId="60" applyNumberFormat="1" applyFont="1" applyFill="1" applyBorder="1" applyAlignment="1">
      <alignment horizontal="right"/>
    </xf>
    <xf numFmtId="8" fontId="35" fillId="17" borderId="44" xfId="60" applyNumberFormat="1" applyFont="1" applyFill="1" applyBorder="1" applyAlignment="1">
      <alignment horizontal="right"/>
    </xf>
    <xf numFmtId="165" fontId="35" fillId="17" borderId="45" xfId="60" applyNumberFormat="1" applyFont="1" applyFill="1" applyBorder="1" applyAlignment="1">
      <alignment horizontal="right"/>
    </xf>
    <xf numFmtId="41" fontId="35" fillId="17" borderId="0" xfId="52" applyNumberFormat="1" applyFont="1" applyFill="1" applyBorder="1"/>
    <xf numFmtId="41" fontId="35" fillId="17" borderId="0" xfId="52" applyNumberFormat="1" applyFont="1" applyFill="1" applyBorder="1" applyAlignment="1">
      <alignment horizontal="right"/>
    </xf>
    <xf numFmtId="8" fontId="35" fillId="17" borderId="44" xfId="52" applyNumberFormat="1" applyFont="1" applyFill="1" applyBorder="1" applyAlignment="1">
      <alignment horizontal="right"/>
    </xf>
    <xf numFmtId="41" fontId="35" fillId="17" borderId="45" xfId="52" applyNumberFormat="1" applyFont="1" applyFill="1" applyBorder="1" applyAlignment="1">
      <alignment horizontal="right"/>
    </xf>
    <xf numFmtId="8" fontId="35" fillId="17" borderId="0" xfId="52" applyNumberFormat="1" applyFont="1" applyFill="1" applyBorder="1" applyAlignment="1">
      <alignment horizontal="right"/>
    </xf>
    <xf numFmtId="37" fontId="35" fillId="17" borderId="0" xfId="52" applyNumberFormat="1" applyFont="1" applyFill="1" applyBorder="1"/>
    <xf numFmtId="37" fontId="35" fillId="17" borderId="0" xfId="52" applyNumberFormat="1" applyFont="1" applyFill="1" applyBorder="1" applyAlignment="1">
      <alignment horizontal="right"/>
    </xf>
    <xf numFmtId="37" fontId="39" fillId="17" borderId="0" xfId="52" applyNumberFormat="1" applyFont="1" applyFill="1" applyBorder="1" applyAlignment="1">
      <alignment horizontal="right"/>
    </xf>
    <xf numFmtId="38" fontId="35" fillId="17" borderId="0" xfId="52" applyNumberFormat="1" applyFont="1" applyFill="1" applyBorder="1" applyAlignment="1">
      <alignment horizontal="right"/>
    </xf>
    <xf numFmtId="37" fontId="35" fillId="17" borderId="45" xfId="52" applyNumberFormat="1" applyFont="1" applyFill="1" applyBorder="1" applyAlignment="1">
      <alignment horizontal="right"/>
    </xf>
    <xf numFmtId="8" fontId="35" fillId="17" borderId="46" xfId="52" applyNumberFormat="1" applyFont="1" applyFill="1" applyBorder="1" applyAlignment="1">
      <alignment horizontal="right"/>
    </xf>
    <xf numFmtId="37" fontId="35" fillId="17" borderId="0" xfId="60" applyNumberFormat="1" applyFont="1" applyFill="1" applyBorder="1" applyAlignment="1">
      <alignment horizontal="left" indent="1"/>
    </xf>
    <xf numFmtId="37" fontId="34" fillId="17" borderId="21" xfId="52" applyNumberFormat="1" applyFont="1" applyFill="1" applyBorder="1"/>
    <xf numFmtId="37" fontId="34" fillId="17" borderId="21" xfId="52" applyNumberFormat="1" applyFont="1" applyFill="1" applyBorder="1" applyAlignment="1">
      <alignment horizontal="right"/>
    </xf>
    <xf numFmtId="38" fontId="34" fillId="17" borderId="21" xfId="52" applyNumberFormat="1" applyFont="1" applyFill="1" applyBorder="1" applyAlignment="1">
      <alignment horizontal="right"/>
    </xf>
    <xf numFmtId="37" fontId="34" fillId="17" borderId="47" xfId="52" applyNumberFormat="1" applyFont="1" applyFill="1" applyBorder="1" applyAlignment="1">
      <alignment horizontal="right"/>
    </xf>
    <xf numFmtId="41" fontId="39" fillId="17" borderId="0" xfId="52" applyNumberFormat="1" applyFont="1" applyFill="1" applyBorder="1" applyAlignment="1">
      <alignment horizontal="right"/>
    </xf>
    <xf numFmtId="0" fontId="35" fillId="20" borderId="0" xfId="52" applyFont="1" applyFill="1" applyBorder="1"/>
    <xf numFmtId="7" fontId="35" fillId="17" borderId="27" xfId="52" applyNumberFormat="1" applyFont="1" applyFill="1" applyBorder="1"/>
    <xf numFmtId="7" fontId="34" fillId="17" borderId="0" xfId="52" applyNumberFormat="1" applyFont="1" applyFill="1" applyBorder="1"/>
    <xf numFmtId="7" fontId="34" fillId="17" borderId="0" xfId="52" applyNumberFormat="1" applyFont="1" applyFill="1" applyBorder="1" applyAlignment="1">
      <alignment horizontal="right"/>
    </xf>
    <xf numFmtId="7" fontId="34" fillId="17" borderId="45" xfId="52" applyNumberFormat="1" applyFont="1" applyFill="1" applyBorder="1" applyAlignment="1">
      <alignment horizontal="right"/>
    </xf>
    <xf numFmtId="41" fontId="39" fillId="17" borderId="0" xfId="52" applyNumberFormat="1" applyFont="1" applyFill="1" applyBorder="1"/>
    <xf numFmtId="8" fontId="35" fillId="17" borderId="44" xfId="52" applyNumberFormat="1" applyFont="1" applyFill="1" applyBorder="1"/>
    <xf numFmtId="41" fontId="35" fillId="17" borderId="45" xfId="52" applyNumberFormat="1" applyFont="1" applyFill="1" applyBorder="1"/>
    <xf numFmtId="8" fontId="35" fillId="17" borderId="0" xfId="52" applyNumberFormat="1" applyFont="1" applyFill="1" applyBorder="1"/>
    <xf numFmtId="165" fontId="35" fillId="17" borderId="28" xfId="60" applyNumberFormat="1" applyFont="1" applyFill="1" applyBorder="1"/>
    <xf numFmtId="0" fontId="35" fillId="17" borderId="33" xfId="52" applyFont="1" applyFill="1" applyBorder="1"/>
    <xf numFmtId="0" fontId="35" fillId="17" borderId="5" xfId="52" applyFont="1" applyFill="1" applyBorder="1"/>
    <xf numFmtId="0" fontId="35" fillId="17" borderId="19" xfId="52" applyFont="1" applyFill="1" applyBorder="1"/>
    <xf numFmtId="0" fontId="35" fillId="20" borderId="26" xfId="52" applyFont="1" applyFill="1" applyBorder="1"/>
    <xf numFmtId="0" fontId="35" fillId="20" borderId="17" xfId="52" applyFont="1" applyFill="1" applyBorder="1"/>
    <xf numFmtId="0" fontId="35" fillId="20" borderId="18" xfId="52" applyFont="1" applyFill="1" applyBorder="1"/>
    <xf numFmtId="0" fontId="35" fillId="20" borderId="27" xfId="52" applyFont="1" applyFill="1" applyBorder="1" applyAlignment="1">
      <alignment horizontal="center" vertical="center"/>
    </xf>
    <xf numFmtId="0" fontId="36" fillId="16" borderId="0" xfId="52" applyFont="1" applyFill="1" applyBorder="1" applyAlignment="1">
      <alignment vertical="center"/>
    </xf>
    <xf numFmtId="0" fontId="35" fillId="20" borderId="28" xfId="52" applyFont="1" applyFill="1" applyBorder="1" applyAlignment="1">
      <alignment horizontal="center" vertical="center"/>
    </xf>
    <xf numFmtId="0" fontId="35" fillId="20" borderId="27" xfId="52" applyFont="1" applyFill="1" applyBorder="1"/>
    <xf numFmtId="0" fontId="35" fillId="20" borderId="44" xfId="52" applyFont="1" applyFill="1" applyBorder="1"/>
    <xf numFmtId="0" fontId="35" fillId="20" borderId="45" xfId="52" applyFont="1" applyFill="1" applyBorder="1"/>
    <xf numFmtId="0" fontId="35" fillId="20" borderId="28" xfId="52" applyFont="1" applyFill="1" applyBorder="1"/>
    <xf numFmtId="0" fontId="34" fillId="20" borderId="0" xfId="52" applyFont="1" applyFill="1" applyBorder="1"/>
    <xf numFmtId="41" fontId="35" fillId="20" borderId="0" xfId="52" applyNumberFormat="1" applyFont="1" applyFill="1" applyBorder="1" applyAlignment="1">
      <alignment horizontal="right"/>
    </xf>
    <xf numFmtId="41" fontId="35" fillId="20" borderId="44" xfId="52" applyNumberFormat="1" applyFont="1" applyFill="1" applyBorder="1" applyAlignment="1">
      <alignment horizontal="right"/>
    </xf>
    <xf numFmtId="41" fontId="35" fillId="20" borderId="45" xfId="52" applyNumberFormat="1" applyFont="1" applyFill="1" applyBorder="1" applyAlignment="1">
      <alignment horizontal="right"/>
    </xf>
    <xf numFmtId="37" fontId="35" fillId="20" borderId="0" xfId="52" applyNumberFormat="1" applyFont="1" applyFill="1" applyBorder="1"/>
    <xf numFmtId="37" fontId="39" fillId="20" borderId="0" xfId="52" applyNumberFormat="1" applyFont="1" applyFill="1" applyBorder="1" applyAlignment="1">
      <alignment horizontal="right"/>
    </xf>
    <xf numFmtId="38" fontId="35" fillId="20" borderId="0" xfId="52" applyNumberFormat="1" applyFont="1" applyFill="1" applyBorder="1" applyAlignment="1">
      <alignment horizontal="right"/>
    </xf>
    <xf numFmtId="165" fontId="35" fillId="20" borderId="44" xfId="60" applyNumberFormat="1" applyFont="1" applyFill="1" applyBorder="1" applyAlignment="1">
      <alignment horizontal="right"/>
    </xf>
    <xf numFmtId="165" fontId="35" fillId="20" borderId="0" xfId="60" applyNumberFormat="1" applyFont="1" applyFill="1" applyBorder="1" applyAlignment="1">
      <alignment horizontal="right"/>
    </xf>
    <xf numFmtId="41" fontId="35" fillId="20" borderId="0" xfId="52" applyNumberFormat="1" applyFont="1" applyFill="1" applyBorder="1"/>
    <xf numFmtId="37" fontId="34" fillId="20" borderId="0" xfId="52" applyNumberFormat="1" applyFont="1" applyFill="1" applyBorder="1"/>
    <xf numFmtId="9" fontId="35" fillId="20" borderId="0" xfId="60" applyFont="1" applyFill="1" applyBorder="1" applyAlignment="1">
      <alignment horizontal="right"/>
    </xf>
    <xf numFmtId="9" fontId="35" fillId="20" borderId="45" xfId="60" applyFont="1" applyFill="1" applyBorder="1" applyAlignment="1">
      <alignment horizontal="right"/>
    </xf>
    <xf numFmtId="165" fontId="35" fillId="20" borderId="0" xfId="60" applyNumberFormat="1" applyFont="1" applyFill="1" applyBorder="1" applyAlignment="1">
      <alignment horizontal="left" indent="1"/>
    </xf>
    <xf numFmtId="165" fontId="35" fillId="20" borderId="45" xfId="60" applyNumberFormat="1" applyFont="1" applyFill="1" applyBorder="1" applyAlignment="1">
      <alignment horizontal="right"/>
    </xf>
    <xf numFmtId="0" fontId="35" fillId="20" borderId="33" xfId="52" applyFont="1" applyFill="1" applyBorder="1"/>
    <xf numFmtId="0" fontId="35" fillId="20" borderId="5" xfId="52" applyFont="1" applyFill="1" applyBorder="1"/>
    <xf numFmtId="0" fontId="35" fillId="20" borderId="19" xfId="52" applyFont="1" applyFill="1" applyBorder="1"/>
    <xf numFmtId="0" fontId="34" fillId="17" borderId="0" xfId="53" applyFont="1" applyFill="1"/>
    <xf numFmtId="0" fontId="35" fillId="17" borderId="0" xfId="53" applyFont="1" applyFill="1" applyAlignment="1">
      <alignment horizontal="center"/>
    </xf>
    <xf numFmtId="0" fontId="35" fillId="17" borderId="0" xfId="53" applyFont="1" applyFill="1"/>
    <xf numFmtId="0" fontId="47" fillId="16" borderId="0" xfId="53" applyFont="1" applyFill="1"/>
    <xf numFmtId="0" fontId="47" fillId="16" borderId="0" xfId="53" applyFont="1" applyFill="1" applyAlignment="1">
      <alignment horizontal="center"/>
    </xf>
    <xf numFmtId="0" fontId="47" fillId="16" borderId="0" xfId="53" applyFont="1" applyFill="1" applyAlignment="1">
      <alignment horizontal="left"/>
    </xf>
    <xf numFmtId="0" fontId="34" fillId="17" borderId="39" xfId="53" applyFont="1" applyFill="1" applyBorder="1"/>
    <xf numFmtId="0" fontId="34" fillId="19" borderId="43" xfId="53" applyFont="1" applyFill="1" applyBorder="1" applyAlignment="1">
      <alignment horizontal="center"/>
    </xf>
    <xf numFmtId="0" fontId="32" fillId="19" borderId="43" xfId="53" applyFont="1" applyFill="1" applyBorder="1" applyAlignment="1">
      <alignment horizontal="center"/>
    </xf>
    <xf numFmtId="0" fontId="34" fillId="19" borderId="54" xfId="53" applyFont="1" applyFill="1" applyBorder="1" applyAlignment="1">
      <alignment horizontal="center"/>
    </xf>
    <xf numFmtId="0" fontId="34" fillId="19" borderId="55" xfId="53" applyFont="1" applyFill="1" applyBorder="1" applyAlignment="1">
      <alignment horizontal="center"/>
    </xf>
    <xf numFmtId="0" fontId="34" fillId="19" borderId="40" xfId="53" applyFont="1" applyFill="1" applyBorder="1" applyAlignment="1">
      <alignment horizontal="center"/>
    </xf>
    <xf numFmtId="38" fontId="35" fillId="17" borderId="56" xfId="53" applyNumberFormat="1" applyFont="1" applyFill="1" applyBorder="1"/>
    <xf numFmtId="38" fontId="38" fillId="17" borderId="56" xfId="53" applyNumberFormat="1" applyFont="1" applyFill="1" applyBorder="1" applyAlignment="1">
      <alignment horizontal="center"/>
    </xf>
    <xf numFmtId="38" fontId="39" fillId="17" borderId="57" xfId="53" applyNumberFormat="1" applyFont="1" applyFill="1" applyBorder="1" applyAlignment="1">
      <alignment horizontal="center"/>
    </xf>
    <xf numFmtId="38" fontId="39" fillId="17" borderId="59" xfId="53" applyNumberFormat="1" applyFont="1" applyFill="1" applyBorder="1" applyAlignment="1">
      <alignment horizontal="center"/>
    </xf>
    <xf numFmtId="38" fontId="35" fillId="17" borderId="56" xfId="53" applyNumberFormat="1" applyFont="1" applyFill="1" applyBorder="1" applyAlignment="1">
      <alignment horizontal="center"/>
    </xf>
    <xf numFmtId="0" fontId="35" fillId="17" borderId="0" xfId="53" applyFont="1" applyFill="1" applyBorder="1"/>
    <xf numFmtId="38" fontId="35" fillId="17" borderId="60" xfId="53" applyNumberFormat="1" applyFont="1" applyFill="1" applyBorder="1" applyAlignment="1">
      <alignment horizontal="center"/>
    </xf>
    <xf numFmtId="38" fontId="35" fillId="17" borderId="41" xfId="53" applyNumberFormat="1" applyFont="1" applyFill="1" applyBorder="1" applyAlignment="1">
      <alignment horizontal="center"/>
    </xf>
    <xf numFmtId="38" fontId="35" fillId="17" borderId="58" xfId="53" applyNumberFormat="1" applyFont="1" applyFill="1" applyBorder="1" applyAlignment="1">
      <alignment horizontal="center"/>
    </xf>
    <xf numFmtId="38" fontId="35" fillId="17" borderId="0" xfId="53" applyNumberFormat="1" applyFont="1" applyFill="1" applyBorder="1"/>
    <xf numFmtId="38" fontId="35" fillId="17" borderId="45" xfId="53" applyNumberFormat="1" applyFont="1" applyFill="1" applyBorder="1"/>
    <xf numFmtId="38" fontId="38" fillId="17" borderId="45" xfId="53" applyNumberFormat="1" applyFont="1" applyFill="1" applyBorder="1" applyAlignment="1">
      <alignment horizontal="center"/>
    </xf>
    <xf numFmtId="38" fontId="39" fillId="17" borderId="61" xfId="53" applyNumberFormat="1" applyFont="1" applyFill="1" applyBorder="1" applyAlignment="1">
      <alignment horizontal="center"/>
    </xf>
    <xf numFmtId="38" fontId="39" fillId="17" borderId="62" xfId="53" applyNumberFormat="1" applyFont="1" applyFill="1" applyBorder="1" applyAlignment="1">
      <alignment horizontal="center"/>
    </xf>
    <xf numFmtId="38" fontId="39" fillId="17" borderId="63" xfId="53" applyNumberFormat="1" applyFont="1" applyFill="1" applyBorder="1" applyAlignment="1">
      <alignment horizontal="center"/>
    </xf>
    <xf numFmtId="38" fontId="35" fillId="17" borderId="45" xfId="53" applyNumberFormat="1" applyFont="1" applyFill="1" applyBorder="1" applyAlignment="1">
      <alignment horizontal="center"/>
    </xf>
    <xf numFmtId="38" fontId="35" fillId="17" borderId="34" xfId="53" applyNumberFormat="1" applyFont="1" applyFill="1" applyBorder="1" applyAlignment="1">
      <alignment horizontal="center"/>
    </xf>
    <xf numFmtId="38" fontId="35" fillId="17" borderId="0" xfId="53" applyNumberFormat="1" applyFont="1" applyFill="1" applyBorder="1" applyAlignment="1">
      <alignment horizontal="center"/>
    </xf>
    <xf numFmtId="38" fontId="35" fillId="17" borderId="62" xfId="53" applyNumberFormat="1" applyFont="1" applyFill="1" applyBorder="1" applyAlignment="1">
      <alignment horizontal="center"/>
    </xf>
    <xf numFmtId="165" fontId="35" fillId="17" borderId="45" xfId="53" applyNumberFormat="1" applyFont="1" applyFill="1" applyBorder="1"/>
    <xf numFmtId="165" fontId="35" fillId="17" borderId="45" xfId="53" applyNumberFormat="1" applyFont="1" applyFill="1" applyBorder="1" applyAlignment="1">
      <alignment horizontal="center"/>
    </xf>
    <xf numFmtId="165" fontId="35" fillId="17" borderId="61" xfId="53" applyNumberFormat="1" applyFont="1" applyFill="1" applyBorder="1" applyAlignment="1">
      <alignment horizontal="center"/>
    </xf>
    <xf numFmtId="165" fontId="35" fillId="17" borderId="62" xfId="53" applyNumberFormat="1" applyFont="1" applyFill="1" applyBorder="1" applyAlignment="1">
      <alignment horizontal="center"/>
    </xf>
    <xf numFmtId="165" fontId="35" fillId="17" borderId="63" xfId="53" applyNumberFormat="1" applyFont="1" applyFill="1" applyBorder="1" applyAlignment="1">
      <alignment horizontal="center"/>
    </xf>
    <xf numFmtId="165" fontId="35" fillId="17" borderId="34" xfId="53" applyNumberFormat="1" applyFont="1" applyFill="1" applyBorder="1" applyAlignment="1">
      <alignment horizontal="center"/>
    </xf>
    <xf numFmtId="165" fontId="35" fillId="17" borderId="0" xfId="53" applyNumberFormat="1" applyFont="1" applyFill="1" applyBorder="1" applyAlignment="1">
      <alignment horizontal="center"/>
    </xf>
    <xf numFmtId="165" fontId="35" fillId="17" borderId="0" xfId="53" applyNumberFormat="1" applyFont="1" applyFill="1" applyBorder="1"/>
    <xf numFmtId="165" fontId="38" fillId="17" borderId="45" xfId="53" applyNumberFormat="1" applyFont="1" applyFill="1" applyBorder="1" applyAlignment="1">
      <alignment horizontal="center"/>
    </xf>
    <xf numFmtId="165" fontId="39" fillId="17" borderId="62" xfId="53" applyNumberFormat="1" applyFont="1" applyFill="1" applyBorder="1" applyAlignment="1">
      <alignment horizontal="center"/>
    </xf>
    <xf numFmtId="0" fontId="34" fillId="17" borderId="0" xfId="51" applyFont="1" applyFill="1" applyBorder="1"/>
    <xf numFmtId="165" fontId="39" fillId="17" borderId="0" xfId="60" applyNumberFormat="1" applyFont="1" applyFill="1" applyBorder="1" applyAlignment="1">
      <alignment horizontal="right"/>
    </xf>
    <xf numFmtId="37" fontId="40" fillId="17" borderId="21" xfId="52" applyNumberFormat="1" applyFont="1" applyFill="1" applyBorder="1" applyAlignment="1">
      <alignment horizontal="right"/>
    </xf>
    <xf numFmtId="7" fontId="40" fillId="17" borderId="0" xfId="52" applyNumberFormat="1" applyFont="1" applyFill="1" applyBorder="1" applyAlignment="1">
      <alignment horizontal="right"/>
    </xf>
    <xf numFmtId="0" fontId="39" fillId="17" borderId="5" xfId="52" applyFont="1" applyFill="1" applyBorder="1"/>
    <xf numFmtId="0" fontId="39" fillId="17" borderId="0" xfId="52" applyFont="1" applyFill="1" applyBorder="1"/>
    <xf numFmtId="0" fontId="39" fillId="20" borderId="17" xfId="52" applyFont="1" applyFill="1" applyBorder="1"/>
    <xf numFmtId="0" fontId="39" fillId="20" borderId="0" xfId="52" applyFont="1" applyFill="1" applyBorder="1"/>
    <xf numFmtId="41" fontId="39" fillId="20" borderId="0" xfId="52" applyNumberFormat="1" applyFont="1" applyFill="1" applyBorder="1" applyAlignment="1">
      <alignment horizontal="right"/>
    </xf>
    <xf numFmtId="9" fontId="39" fillId="20" borderId="0" xfId="60" applyFont="1" applyFill="1" applyBorder="1" applyAlignment="1">
      <alignment horizontal="right"/>
    </xf>
    <xf numFmtId="165" fontId="39" fillId="20" borderId="0" xfId="60" applyNumberFormat="1" applyFont="1" applyFill="1" applyBorder="1" applyAlignment="1">
      <alignment horizontal="right"/>
    </xf>
    <xf numFmtId="37" fontId="40" fillId="17" borderId="45" xfId="52" applyNumberFormat="1" applyFont="1" applyFill="1" applyBorder="1" applyAlignment="1">
      <alignment horizontal="right"/>
    </xf>
    <xf numFmtId="37" fontId="39" fillId="17" borderId="69" xfId="52" applyNumberFormat="1" applyFont="1" applyFill="1" applyBorder="1" applyAlignment="1">
      <alignment horizontal="right"/>
    </xf>
    <xf numFmtId="37" fontId="39" fillId="17" borderId="45" xfId="52" applyNumberFormat="1" applyFont="1" applyFill="1" applyBorder="1" applyAlignment="1">
      <alignment horizontal="right"/>
    </xf>
    <xf numFmtId="37" fontId="39" fillId="20" borderId="45" xfId="52" applyNumberFormat="1" applyFont="1" applyFill="1" applyBorder="1" applyAlignment="1">
      <alignment horizontal="right"/>
    </xf>
    <xf numFmtId="0" fontId="35" fillId="0" borderId="0" xfId="0" applyFont="1" applyBorder="1"/>
    <xf numFmtId="0" fontId="35" fillId="17" borderId="0" xfId="0" applyFont="1" applyFill="1" applyBorder="1"/>
    <xf numFmtId="37" fontId="48" fillId="16" borderId="0" xfId="55" applyFont="1" applyFill="1"/>
    <xf numFmtId="37" fontId="49" fillId="16" borderId="0" xfId="55" applyFont="1" applyFill="1"/>
    <xf numFmtId="0" fontId="48" fillId="16" borderId="0" xfId="0" applyFont="1" applyFill="1" applyBorder="1" applyAlignment="1">
      <alignment horizontal="right"/>
    </xf>
    <xf numFmtId="0" fontId="49" fillId="16" borderId="0" xfId="0" applyFont="1" applyFill="1" applyBorder="1" applyAlignment="1">
      <alignment horizontal="right"/>
    </xf>
    <xf numFmtId="41" fontId="48" fillId="16" borderId="0" xfId="0" applyNumberFormat="1" applyFont="1" applyFill="1"/>
    <xf numFmtId="0" fontId="48" fillId="16" borderId="1" xfId="0" applyNumberFormat="1" applyFont="1" applyFill="1" applyBorder="1" applyAlignment="1">
      <alignment horizontal="right"/>
    </xf>
    <xf numFmtId="0" fontId="48" fillId="16" borderId="0" xfId="0" applyNumberFormat="1" applyFont="1" applyFill="1" applyBorder="1" applyAlignment="1">
      <alignment horizontal="right"/>
    </xf>
    <xf numFmtId="0" fontId="48" fillId="16" borderId="22" xfId="0" applyNumberFormat="1" applyFont="1" applyFill="1" applyBorder="1" applyAlignment="1">
      <alignment horizontal="right"/>
    </xf>
    <xf numFmtId="0" fontId="48" fillId="16" borderId="6" xfId="0" applyFont="1" applyFill="1" applyBorder="1" applyAlignment="1">
      <alignment horizontal="right"/>
    </xf>
    <xf numFmtId="0" fontId="48" fillId="16" borderId="21" xfId="0" applyFont="1" applyFill="1" applyBorder="1" applyAlignment="1">
      <alignment horizontal="right"/>
    </xf>
    <xf numFmtId="0" fontId="48" fillId="16" borderId="20" xfId="0" applyFont="1" applyFill="1" applyBorder="1" applyAlignment="1">
      <alignment horizontal="right"/>
    </xf>
    <xf numFmtId="0" fontId="49" fillId="16" borderId="1" xfId="0" applyFont="1" applyFill="1" applyBorder="1" applyAlignment="1">
      <alignment horizontal="right"/>
    </xf>
    <xf numFmtId="0" fontId="49" fillId="16" borderId="22" xfId="0" applyFont="1" applyFill="1" applyBorder="1" applyAlignment="1">
      <alignment horizontal="right"/>
    </xf>
    <xf numFmtId="41" fontId="48" fillId="16" borderId="0" xfId="0" applyNumberFormat="1" applyFont="1" applyFill="1" applyBorder="1"/>
    <xf numFmtId="0" fontId="36" fillId="17" borderId="0" xfId="0" applyFont="1" applyFill="1"/>
    <xf numFmtId="165" fontId="41" fillId="17" borderId="0" xfId="59" applyNumberFormat="1" applyFont="1" applyFill="1" applyBorder="1" applyAlignment="1" applyProtection="1">
      <alignment horizontal="center"/>
      <protection locked="0"/>
    </xf>
    <xf numFmtId="0" fontId="35" fillId="17" borderId="0" xfId="54" applyFont="1" applyFill="1" applyBorder="1" applyProtection="1">
      <protection locked="0"/>
    </xf>
    <xf numFmtId="164" fontId="41" fillId="17" borderId="0" xfId="54" applyNumberFormat="1" applyFont="1" applyFill="1" applyBorder="1" applyAlignment="1" applyProtection="1">
      <alignment horizontal="right"/>
      <protection locked="0"/>
    </xf>
    <xf numFmtId="2" fontId="35" fillId="0" borderId="0" xfId="54" applyNumberFormat="1" applyFont="1" applyFill="1" applyBorder="1" applyProtection="1">
      <protection locked="0"/>
    </xf>
    <xf numFmtId="0" fontId="41" fillId="0" borderId="0" xfId="0" applyFont="1" applyFill="1" applyBorder="1"/>
    <xf numFmtId="164" fontId="35" fillId="0" borderId="1" xfId="54" applyNumberFormat="1" applyFont="1" applyFill="1" applyBorder="1" applyAlignment="1" applyProtection="1">
      <alignment horizontal="center"/>
      <protection locked="0"/>
    </xf>
    <xf numFmtId="164" fontId="35" fillId="0" borderId="0" xfId="54" applyNumberFormat="1" applyFont="1" applyFill="1" applyBorder="1" applyAlignment="1" applyProtection="1">
      <alignment horizontal="center"/>
      <protection locked="0"/>
    </xf>
    <xf numFmtId="164" fontId="35" fillId="0" borderId="22" xfId="54" applyNumberFormat="1" applyFont="1" applyFill="1" applyBorder="1" applyAlignment="1" applyProtection="1">
      <alignment horizontal="center"/>
      <protection locked="0"/>
    </xf>
    <xf numFmtId="0" fontId="35" fillId="0" borderId="0" xfId="54" applyFont="1" applyFill="1" applyBorder="1" applyAlignment="1" applyProtection="1">
      <alignment horizontal="right"/>
      <protection locked="0"/>
    </xf>
    <xf numFmtId="0" fontId="35" fillId="0" borderId="22" xfId="54" applyFont="1" applyFill="1" applyBorder="1" applyAlignment="1" applyProtection="1">
      <alignment horizontal="right"/>
      <protection locked="0"/>
    </xf>
    <xf numFmtId="0" fontId="34" fillId="0" borderId="0" xfId="54" applyFont="1" applyFill="1" applyBorder="1" applyProtection="1">
      <protection locked="0"/>
    </xf>
    <xf numFmtId="0" fontId="35" fillId="0" borderId="0" xfId="0" applyFont="1" applyFill="1" applyBorder="1" applyProtection="1">
      <protection locked="0"/>
    </xf>
    <xf numFmtId="0" fontId="36" fillId="17" borderId="0" xfId="0" applyFont="1" applyFill="1" applyBorder="1"/>
    <xf numFmtId="164" fontId="50" fillId="0" borderId="0" xfId="54" quotePrefix="1" applyNumberFormat="1" applyFont="1" applyFill="1" applyBorder="1" applyAlignment="1" applyProtection="1">
      <alignment horizontal="center"/>
      <protection locked="0"/>
    </xf>
    <xf numFmtId="0" fontId="51" fillId="0" borderId="1" xfId="54" applyFont="1" applyFill="1" applyBorder="1" applyAlignment="1" applyProtection="1">
      <alignment horizontal="right"/>
      <protection locked="0"/>
    </xf>
    <xf numFmtId="0" fontId="51" fillId="0" borderId="0" xfId="54" applyFont="1" applyFill="1" applyBorder="1" applyAlignment="1" applyProtection="1">
      <alignment horizontal="right"/>
      <protection locked="0"/>
    </xf>
    <xf numFmtId="0" fontId="51" fillId="0" borderId="22" xfId="54" applyFont="1" applyFill="1" applyBorder="1" applyAlignment="1" applyProtection="1">
      <alignment horizontal="right"/>
      <protection locked="0"/>
    </xf>
    <xf numFmtId="8" fontId="35" fillId="0" borderId="22" xfId="54" applyNumberFormat="1" applyFont="1" applyFill="1" applyBorder="1" applyProtection="1">
      <protection locked="0"/>
    </xf>
    <xf numFmtId="0" fontId="34" fillId="0" borderId="0" xfId="54" applyNumberFormat="1" applyFont="1" applyFill="1" applyBorder="1" applyAlignment="1" applyProtection="1">
      <alignment horizontal="right"/>
      <protection locked="0"/>
    </xf>
    <xf numFmtId="0" fontId="34" fillId="0" borderId="0" xfId="54" applyFont="1" applyFill="1" applyBorder="1" applyAlignment="1" applyProtection="1">
      <alignment horizontal="right"/>
      <protection locked="0"/>
    </xf>
    <xf numFmtId="8" fontId="35" fillId="0" borderId="0" xfId="54" applyNumberFormat="1" applyFont="1" applyFill="1" applyBorder="1" applyProtection="1">
      <protection locked="0"/>
    </xf>
    <xf numFmtId="0" fontId="34" fillId="0" borderId="0" xfId="54" applyNumberFormat="1" applyFont="1" applyFill="1" applyBorder="1" applyAlignment="1" applyProtection="1">
      <alignment horizontal="center"/>
      <protection locked="0"/>
    </xf>
    <xf numFmtId="37" fontId="34" fillId="0" borderId="0" xfId="54" applyNumberFormat="1" applyFont="1" applyFill="1" applyBorder="1" applyAlignment="1" applyProtection="1">
      <alignment horizontal="center"/>
      <protection locked="0"/>
    </xf>
    <xf numFmtId="3" fontId="34" fillId="0" borderId="0" xfId="59" applyNumberFormat="1" applyFont="1" applyFill="1" applyBorder="1" applyAlignment="1" applyProtection="1">
      <alignment horizontal="center"/>
      <protection locked="0"/>
    </xf>
    <xf numFmtId="168" fontId="34" fillId="0" borderId="0" xfId="38" applyNumberFormat="1" applyFont="1" applyFill="1" applyBorder="1" applyAlignment="1" applyProtection="1">
      <alignment horizontal="center"/>
      <protection locked="0"/>
    </xf>
    <xf numFmtId="37" fontId="36" fillId="17" borderId="0" xfId="0" applyNumberFormat="1" applyFont="1" applyFill="1"/>
    <xf numFmtId="37" fontId="35" fillId="0" borderId="0" xfId="39" applyNumberFormat="1" applyFont="1" applyFill="1" applyBorder="1" applyProtection="1">
      <protection locked="0"/>
    </xf>
    <xf numFmtId="37" fontId="52" fillId="0" borderId="1" xfId="39" applyNumberFormat="1" applyFont="1" applyFill="1" applyBorder="1" applyProtection="1">
      <protection locked="0"/>
    </xf>
    <xf numFmtId="37" fontId="52" fillId="0" borderId="0" xfId="39" applyNumberFormat="1" applyFont="1" applyFill="1" applyBorder="1" applyProtection="1">
      <protection locked="0"/>
    </xf>
    <xf numFmtId="37" fontId="52" fillId="0" borderId="22" xfId="39" applyNumberFormat="1" applyFont="1" applyFill="1" applyBorder="1" applyProtection="1">
      <protection locked="0"/>
    </xf>
    <xf numFmtId="37" fontId="35" fillId="0" borderId="22" xfId="39" applyNumberFormat="1" applyFont="1" applyFill="1" applyBorder="1" applyAlignment="1" applyProtection="1">
      <alignment horizontal="right"/>
      <protection locked="0"/>
    </xf>
    <xf numFmtId="37" fontId="35" fillId="17" borderId="0" xfId="54" applyNumberFormat="1" applyFont="1" applyFill="1" applyBorder="1" applyProtection="1">
      <protection locked="0"/>
    </xf>
    <xf numFmtId="37" fontId="35" fillId="0" borderId="0" xfId="39" applyNumberFormat="1" applyFont="1" applyFill="1" applyBorder="1" applyAlignment="1" applyProtection="1">
      <alignment horizontal="right"/>
      <protection locked="0"/>
    </xf>
    <xf numFmtId="37" fontId="53" fillId="0" borderId="0" xfId="39" applyNumberFormat="1" applyFont="1" applyFill="1" applyBorder="1" applyProtection="1">
      <protection locked="0"/>
    </xf>
    <xf numFmtId="37" fontId="35" fillId="0" borderId="0" xfId="59" applyNumberFormat="1" applyFont="1" applyFill="1" applyBorder="1" applyAlignment="1" applyProtection="1">
      <alignment horizontal="center"/>
      <protection locked="0"/>
    </xf>
    <xf numFmtId="37" fontId="35" fillId="0" borderId="0" xfId="0" applyNumberFormat="1" applyFont="1"/>
    <xf numFmtId="165" fontId="54" fillId="17" borderId="0" xfId="0" applyNumberFormat="1" applyFont="1" applyFill="1"/>
    <xf numFmtId="165" fontId="45" fillId="0" borderId="0" xfId="54" applyNumberFormat="1" applyFont="1" applyFill="1" applyBorder="1" applyAlignment="1" applyProtection="1">
      <alignment horizontal="left" indent="1"/>
      <protection locked="0"/>
    </xf>
    <xf numFmtId="165" fontId="45" fillId="0" borderId="1" xfId="39" applyNumberFormat="1" applyFont="1" applyFill="1" applyBorder="1" applyProtection="1">
      <protection locked="0"/>
    </xf>
    <xf numFmtId="165" fontId="45" fillId="0" borderId="0" xfId="39" applyNumberFormat="1" applyFont="1" applyFill="1" applyBorder="1" applyProtection="1">
      <protection locked="0"/>
    </xf>
    <xf numFmtId="165" fontId="45" fillId="0" borderId="22" xfId="39" applyNumberFormat="1" applyFont="1" applyFill="1" applyBorder="1" applyProtection="1">
      <protection locked="0"/>
    </xf>
    <xf numFmtId="165" fontId="45" fillId="17" borderId="0" xfId="54" applyNumberFormat="1" applyFont="1" applyFill="1" applyBorder="1" applyProtection="1">
      <protection locked="0"/>
    </xf>
    <xf numFmtId="165" fontId="45" fillId="0" borderId="0" xfId="54" applyNumberFormat="1" applyFont="1" applyFill="1" applyBorder="1" applyProtection="1">
      <protection locked="0"/>
    </xf>
    <xf numFmtId="165" fontId="45" fillId="0" borderId="0" xfId="0" applyNumberFormat="1" applyFont="1"/>
    <xf numFmtId="37" fontId="35" fillId="0" borderId="2" xfId="39" applyNumberFormat="1" applyFont="1" applyFill="1" applyBorder="1" applyProtection="1">
      <protection locked="0"/>
    </xf>
    <xf numFmtId="37" fontId="52" fillId="0" borderId="2" xfId="39" applyNumberFormat="1" applyFont="1" applyFill="1" applyBorder="1" applyProtection="1">
      <protection locked="0"/>
    </xf>
    <xf numFmtId="37" fontId="35" fillId="0" borderId="2" xfId="39" applyNumberFormat="1" applyFont="1" applyFill="1" applyBorder="1" applyAlignment="1" applyProtection="1">
      <alignment horizontal="right"/>
      <protection locked="0"/>
    </xf>
    <xf numFmtId="37" fontId="53" fillId="0" borderId="2" xfId="39" applyNumberFormat="1" applyFont="1" applyFill="1" applyBorder="1" applyProtection="1">
      <protection locked="0"/>
    </xf>
    <xf numFmtId="37" fontId="35" fillId="0" borderId="0" xfId="39" applyNumberFormat="1" applyFont="1" applyFill="1" applyBorder="1" applyAlignment="1" applyProtection="1">
      <alignment horizontal="center"/>
      <protection locked="0"/>
    </xf>
    <xf numFmtId="37" fontId="34" fillId="0" borderId="0" xfId="39" applyNumberFormat="1" applyFont="1" applyFill="1" applyBorder="1" applyProtection="1">
      <protection locked="0"/>
    </xf>
    <xf numFmtId="37" fontId="51" fillId="0" borderId="0" xfId="39" applyNumberFormat="1" applyFont="1" applyFill="1" applyBorder="1" applyProtection="1">
      <protection locked="0"/>
    </xf>
    <xf numFmtId="37" fontId="34" fillId="0" borderId="0" xfId="39" applyNumberFormat="1" applyFont="1" applyFill="1" applyBorder="1" applyAlignment="1" applyProtection="1">
      <alignment horizontal="center"/>
      <protection locked="0"/>
    </xf>
    <xf numFmtId="165" fontId="55" fillId="0" borderId="0" xfId="54" applyNumberFormat="1" applyFont="1" applyFill="1" applyBorder="1" applyProtection="1">
      <protection locked="0"/>
    </xf>
    <xf numFmtId="166" fontId="35" fillId="0" borderId="0" xfId="39" applyNumberFormat="1" applyFont="1" applyFill="1" applyBorder="1" applyProtection="1">
      <protection locked="0"/>
    </xf>
    <xf numFmtId="166" fontId="35" fillId="0" borderId="1" xfId="39" applyNumberFormat="1" applyFont="1" applyFill="1" applyBorder="1" applyProtection="1">
      <protection locked="0"/>
    </xf>
    <xf numFmtId="166" fontId="35" fillId="0" borderId="22" xfId="39" applyNumberFormat="1" applyFont="1" applyFill="1" applyBorder="1" applyProtection="1">
      <protection locked="0"/>
    </xf>
    <xf numFmtId="166" fontId="35" fillId="0" borderId="0" xfId="39" applyNumberFormat="1" applyFont="1" applyFill="1" applyBorder="1" applyAlignment="1" applyProtection="1">
      <alignment horizontal="center"/>
      <protection locked="0"/>
    </xf>
    <xf numFmtId="37" fontId="52" fillId="0" borderId="1" xfId="38" applyNumberFormat="1" applyFont="1" applyFill="1" applyBorder="1" applyProtection="1">
      <protection locked="0"/>
    </xf>
    <xf numFmtId="37" fontId="52" fillId="0" borderId="0" xfId="38" applyNumberFormat="1" applyFont="1" applyFill="1" applyBorder="1" applyProtection="1">
      <protection locked="0"/>
    </xf>
    <xf numFmtId="37" fontId="52" fillId="0" borderId="22" xfId="38" applyNumberFormat="1" applyFont="1" applyFill="1" applyBorder="1" applyProtection="1">
      <protection locked="0"/>
    </xf>
    <xf numFmtId="37" fontId="35" fillId="0" borderId="22" xfId="38" applyNumberFormat="1" applyFont="1" applyFill="1" applyBorder="1" applyAlignment="1" applyProtection="1">
      <alignment horizontal="right"/>
      <protection locked="0"/>
    </xf>
    <xf numFmtId="37" fontId="35" fillId="0" borderId="0" xfId="38" applyNumberFormat="1" applyFont="1" applyFill="1" applyBorder="1" applyAlignment="1" applyProtection="1">
      <alignment horizontal="right"/>
      <protection locked="0"/>
    </xf>
    <xf numFmtId="37" fontId="53" fillId="0" borderId="0" xfId="38" applyNumberFormat="1" applyFont="1" applyFill="1" applyBorder="1" applyProtection="1">
      <protection locked="0"/>
    </xf>
    <xf numFmtId="165" fontId="55" fillId="0" borderId="0" xfId="59" applyNumberFormat="1" applyFont="1" applyFill="1" applyBorder="1" applyProtection="1">
      <protection locked="0"/>
    </xf>
    <xf numFmtId="37" fontId="52" fillId="0" borderId="23" xfId="38" applyNumberFormat="1" applyFont="1" applyFill="1" applyBorder="1" applyProtection="1">
      <protection locked="0"/>
    </xf>
    <xf numFmtId="37" fontId="52" fillId="0" borderId="2" xfId="38" applyNumberFormat="1" applyFont="1" applyFill="1" applyBorder="1" applyProtection="1">
      <protection locked="0"/>
    </xf>
    <xf numFmtId="37" fontId="52" fillId="0" borderId="24" xfId="38" applyNumberFormat="1" applyFont="1" applyFill="1" applyBorder="1" applyProtection="1">
      <protection locked="0"/>
    </xf>
    <xf numFmtId="37" fontId="39" fillId="0" borderId="22" xfId="38" applyNumberFormat="1" applyFont="1" applyFill="1" applyBorder="1" applyAlignment="1" applyProtection="1">
      <alignment horizontal="right"/>
      <protection locked="0"/>
    </xf>
    <xf numFmtId="37" fontId="35" fillId="0" borderId="2" xfId="38" applyNumberFormat="1" applyFont="1" applyFill="1" applyBorder="1" applyAlignment="1" applyProtection="1">
      <alignment horizontal="right"/>
      <protection locked="0"/>
    </xf>
    <xf numFmtId="37" fontId="53" fillId="0" borderId="2" xfId="38" applyNumberFormat="1" applyFont="1" applyFill="1" applyBorder="1" applyProtection="1">
      <protection locked="0"/>
    </xf>
    <xf numFmtId="164" fontId="57" fillId="0" borderId="0" xfId="54" applyNumberFormat="1" applyFont="1" applyFill="1" applyBorder="1" applyAlignment="1" applyProtection="1">
      <alignment horizontal="left"/>
      <protection locked="0"/>
    </xf>
    <xf numFmtId="171" fontId="57" fillId="0" borderId="1" xfId="39" applyNumberFormat="1" applyFont="1" applyFill="1" applyBorder="1" applyProtection="1">
      <protection locked="0"/>
    </xf>
    <xf numFmtId="171" fontId="57" fillId="0" borderId="0" xfId="39" applyNumberFormat="1" applyFont="1" applyFill="1" applyBorder="1" applyProtection="1">
      <protection locked="0"/>
    </xf>
    <xf numFmtId="171" fontId="57" fillId="0" borderId="22" xfId="39" applyNumberFormat="1" applyFont="1" applyFill="1" applyBorder="1" applyProtection="1">
      <protection locked="0"/>
    </xf>
    <xf numFmtId="171" fontId="50" fillId="0" borderId="0" xfId="39" applyNumberFormat="1" applyFont="1" applyFill="1" applyBorder="1" applyProtection="1">
      <protection locked="0"/>
    </xf>
    <xf numFmtId="164" fontId="58" fillId="0" borderId="0" xfId="54" applyNumberFormat="1" applyFont="1" applyFill="1" applyBorder="1" applyProtection="1">
      <protection locked="0"/>
    </xf>
    <xf numFmtId="37" fontId="39" fillId="0" borderId="22" xfId="39" applyNumberFormat="1" applyFont="1" applyFill="1" applyBorder="1" applyAlignment="1" applyProtection="1">
      <alignment horizontal="right"/>
      <protection locked="0"/>
    </xf>
    <xf numFmtId="37" fontId="35" fillId="0" borderId="0" xfId="38" applyNumberFormat="1" applyFont="1" applyFill="1" applyBorder="1" applyProtection="1">
      <protection locked="0"/>
    </xf>
    <xf numFmtId="165" fontId="45" fillId="0" borderId="2" xfId="54" applyNumberFormat="1" applyFont="1" applyFill="1" applyBorder="1" applyAlignment="1" applyProtection="1">
      <alignment horizontal="left" indent="1"/>
      <protection locked="0"/>
    </xf>
    <xf numFmtId="165" fontId="45" fillId="0" borderId="23" xfId="39" applyNumberFormat="1" applyFont="1" applyFill="1" applyBorder="1" applyProtection="1">
      <protection locked="0"/>
    </xf>
    <xf numFmtId="165" fontId="45" fillId="0" borderId="2" xfId="39" applyNumberFormat="1" applyFont="1" applyFill="1" applyBorder="1" applyProtection="1">
      <protection locked="0"/>
    </xf>
    <xf numFmtId="165" fontId="45" fillId="0" borderId="24" xfId="39" applyNumberFormat="1" applyFont="1" applyFill="1" applyBorder="1" applyProtection="1">
      <protection locked="0"/>
    </xf>
    <xf numFmtId="164" fontId="59" fillId="0" borderId="1" xfId="39" applyNumberFormat="1" applyFont="1" applyFill="1" applyBorder="1" applyProtection="1">
      <protection locked="0"/>
    </xf>
    <xf numFmtId="164" fontId="59" fillId="0" borderId="0" xfId="39" applyNumberFormat="1" applyFont="1" applyFill="1" applyBorder="1" applyProtection="1">
      <protection locked="0"/>
    </xf>
    <xf numFmtId="164" fontId="59" fillId="0" borderId="22" xfId="39" applyNumberFormat="1" applyFont="1" applyFill="1" applyBorder="1" applyProtection="1">
      <protection locked="0"/>
    </xf>
    <xf numFmtId="164" fontId="35" fillId="0" borderId="22" xfId="39" applyNumberFormat="1" applyFont="1" applyFill="1" applyBorder="1" applyProtection="1">
      <protection locked="0"/>
    </xf>
    <xf numFmtId="164" fontId="53" fillId="0" borderId="22" xfId="39" applyNumberFormat="1" applyFont="1" applyFill="1" applyBorder="1" applyProtection="1">
      <protection locked="0"/>
    </xf>
    <xf numFmtId="164" fontId="53" fillId="0" borderId="0" xfId="39" applyNumberFormat="1" applyFont="1" applyFill="1" applyBorder="1" applyProtection="1">
      <protection locked="0"/>
    </xf>
    <xf numFmtId="164" fontId="35" fillId="0" borderId="0" xfId="39" applyNumberFormat="1" applyFont="1" applyFill="1" applyBorder="1" applyProtection="1">
      <protection locked="0"/>
    </xf>
    <xf numFmtId="37" fontId="53" fillId="0" borderId="22" xfId="39" applyNumberFormat="1" applyFont="1" applyFill="1" applyBorder="1" applyProtection="1">
      <protection locked="0"/>
    </xf>
    <xf numFmtId="39" fontId="35" fillId="0" borderId="0" xfId="54" applyNumberFormat="1" applyFont="1" applyFill="1" applyBorder="1" applyAlignment="1" applyProtection="1">
      <alignment horizontal="center"/>
      <protection locked="0"/>
    </xf>
    <xf numFmtId="7" fontId="36" fillId="17" borderId="0" xfId="0" applyNumberFormat="1" applyFont="1" applyFill="1"/>
    <xf numFmtId="7" fontId="35" fillId="0" borderId="0" xfId="54" applyNumberFormat="1" applyFont="1" applyFill="1" applyBorder="1" applyAlignment="1" applyProtection="1">
      <alignment horizontal="left"/>
      <protection locked="0"/>
    </xf>
    <xf numFmtId="7" fontId="35" fillId="0" borderId="1" xfId="40" applyNumberFormat="1" applyFont="1" applyFill="1" applyBorder="1" applyProtection="1">
      <protection locked="0"/>
    </xf>
    <xf numFmtId="7" fontId="35" fillId="0" borderId="0" xfId="40" applyNumberFormat="1" applyFont="1" applyFill="1" applyBorder="1" applyProtection="1">
      <protection locked="0"/>
    </xf>
    <xf numFmtId="7" fontId="35" fillId="0" borderId="22" xfId="40" applyNumberFormat="1" applyFont="1" applyFill="1" applyBorder="1" applyProtection="1">
      <protection locked="0"/>
    </xf>
    <xf numFmtId="7" fontId="35" fillId="17" borderId="0" xfId="54" applyNumberFormat="1" applyFont="1" applyFill="1" applyBorder="1" applyProtection="1">
      <protection locked="0"/>
    </xf>
    <xf numFmtId="7" fontId="35" fillId="0" borderId="0" xfId="54" applyNumberFormat="1" applyFont="1" applyFill="1" applyBorder="1" applyAlignment="1" applyProtection="1">
      <alignment horizontal="right"/>
      <protection locked="0"/>
    </xf>
    <xf numFmtId="7" fontId="35" fillId="0" borderId="0" xfId="54" applyNumberFormat="1" applyFont="1" applyFill="1" applyBorder="1" applyAlignment="1" applyProtection="1">
      <alignment horizontal="center"/>
      <protection locked="0"/>
    </xf>
    <xf numFmtId="7" fontId="35" fillId="0" borderId="0" xfId="0" applyNumberFormat="1" applyFont="1"/>
    <xf numFmtId="7" fontId="35" fillId="0" borderId="0" xfId="59" applyNumberFormat="1" applyFont="1" applyFill="1" applyBorder="1" applyAlignment="1" applyProtection="1">
      <alignment horizontal="center"/>
      <protection locked="0"/>
    </xf>
    <xf numFmtId="7" fontId="34" fillId="17" borderId="25" xfId="54" applyNumberFormat="1" applyFont="1" applyFill="1" applyBorder="1" applyAlignment="1" applyProtection="1">
      <alignment horizontal="left"/>
      <protection locked="0"/>
    </xf>
    <xf numFmtId="7" fontId="34" fillId="17" borderId="37" xfId="40" applyNumberFormat="1" applyFont="1" applyFill="1" applyBorder="1" applyProtection="1">
      <protection locked="0"/>
    </xf>
    <xf numFmtId="7" fontId="34" fillId="17" borderId="7" xfId="40" applyNumberFormat="1" applyFont="1" applyFill="1" applyBorder="1" applyProtection="1">
      <protection locked="0"/>
    </xf>
    <xf numFmtId="7" fontId="34" fillId="17" borderId="38" xfId="40" applyNumberFormat="1" applyFont="1" applyFill="1" applyBorder="1" applyProtection="1">
      <protection locked="0"/>
    </xf>
    <xf numFmtId="7" fontId="34" fillId="0" borderId="0" xfId="59" applyNumberFormat="1" applyFont="1" applyFill="1" applyBorder="1" applyAlignment="1" applyProtection="1">
      <alignment horizontal="center"/>
      <protection locked="0"/>
    </xf>
    <xf numFmtId="164" fontId="34" fillId="0" borderId="0" xfId="54" applyNumberFormat="1" applyFont="1" applyFill="1" applyBorder="1" applyAlignment="1" applyProtection="1">
      <alignment horizontal="left"/>
      <protection locked="0"/>
    </xf>
    <xf numFmtId="7" fontId="34" fillId="0" borderId="1" xfId="40" applyNumberFormat="1" applyFont="1" applyFill="1" applyBorder="1" applyProtection="1">
      <protection locked="0"/>
    </xf>
    <xf numFmtId="7" fontId="34" fillId="0" borderId="0" xfId="40" applyNumberFormat="1" applyFont="1" applyFill="1" applyBorder="1" applyProtection="1">
      <protection locked="0"/>
    </xf>
    <xf numFmtId="7" fontId="34" fillId="0" borderId="22" xfId="40" applyNumberFormat="1" applyFont="1" applyFill="1" applyBorder="1" applyProtection="1">
      <protection locked="0"/>
    </xf>
    <xf numFmtId="7" fontId="34" fillId="0" borderId="0" xfId="54" applyNumberFormat="1" applyFont="1" applyFill="1" applyBorder="1" applyAlignment="1" applyProtection="1">
      <alignment horizontal="center"/>
      <protection locked="0"/>
    </xf>
    <xf numFmtId="37" fontId="35" fillId="0" borderId="1" xfId="39" applyNumberFormat="1" applyFont="1" applyFill="1" applyBorder="1" applyProtection="1">
      <protection locked="0"/>
    </xf>
    <xf numFmtId="37" fontId="35" fillId="0" borderId="22" xfId="39" applyNumberFormat="1" applyFont="1" applyFill="1" applyBorder="1" applyProtection="1">
      <protection locked="0"/>
    </xf>
    <xf numFmtId="165" fontId="35" fillId="0" borderId="0" xfId="59" applyNumberFormat="1" applyFont="1" applyFill="1" applyBorder="1" applyProtection="1">
      <protection locked="0"/>
    </xf>
    <xf numFmtId="10" fontId="35" fillId="0" borderId="1" xfId="54" applyNumberFormat="1" applyFont="1" applyFill="1" applyBorder="1" applyAlignment="1" applyProtection="1">
      <alignment horizontal="center"/>
      <protection locked="0"/>
    </xf>
    <xf numFmtId="10" fontId="35" fillId="0" borderId="0" xfId="54" applyNumberFormat="1" applyFont="1" applyFill="1" applyBorder="1" applyAlignment="1" applyProtection="1">
      <alignment horizontal="center"/>
      <protection locked="0"/>
    </xf>
    <xf numFmtId="10" fontId="35" fillId="0" borderId="22" xfId="54" applyNumberFormat="1" applyFont="1" applyFill="1" applyBorder="1" applyAlignment="1" applyProtection="1">
      <alignment horizontal="center"/>
      <protection locked="0"/>
    </xf>
    <xf numFmtId="165" fontId="35" fillId="0" borderId="22" xfId="59" applyNumberFormat="1" applyFont="1" applyFill="1" applyBorder="1" applyProtection="1">
      <protection locked="0"/>
    </xf>
    <xf numFmtId="0" fontId="35" fillId="0" borderId="0" xfId="54" applyFont="1" applyFill="1" applyBorder="1" applyProtection="1">
      <protection locked="0"/>
    </xf>
    <xf numFmtId="0" fontId="36" fillId="0" borderId="0" xfId="0" applyFont="1" applyFill="1" applyBorder="1" applyAlignment="1" applyProtection="1">
      <alignment horizontal="left"/>
      <protection locked="0"/>
    </xf>
    <xf numFmtId="0" fontId="36" fillId="0" borderId="1" xfId="0" applyFont="1" applyFill="1" applyBorder="1" applyAlignment="1" applyProtection="1">
      <alignment horizontal="right"/>
      <protection locked="0"/>
    </xf>
    <xf numFmtId="0" fontId="36" fillId="0" borderId="0" xfId="0" applyFont="1" applyFill="1" applyBorder="1" applyAlignment="1" applyProtection="1">
      <alignment horizontal="right"/>
      <protection locked="0"/>
    </xf>
    <xf numFmtId="0" fontId="36" fillId="0" borderId="22" xfId="0" applyFont="1" applyFill="1" applyBorder="1" applyAlignment="1" applyProtection="1">
      <alignment horizontal="right"/>
      <protection locked="0"/>
    </xf>
    <xf numFmtId="164" fontId="35" fillId="0" borderId="0" xfId="54" applyNumberFormat="1" applyFont="1" applyFill="1" applyBorder="1" applyProtection="1">
      <protection locked="0"/>
    </xf>
    <xf numFmtId="37" fontId="34" fillId="0" borderId="0" xfId="54" applyNumberFormat="1" applyFont="1" applyFill="1" applyBorder="1" applyProtection="1">
      <protection locked="0"/>
    </xf>
    <xf numFmtId="37" fontId="35" fillId="0" borderId="1" xfId="54" applyNumberFormat="1" applyFont="1" applyFill="1" applyBorder="1" applyProtection="1">
      <protection locked="0"/>
    </xf>
    <xf numFmtId="37" fontId="35" fillId="0" borderId="0" xfId="54" applyNumberFormat="1" applyFont="1" applyFill="1" applyBorder="1" applyProtection="1">
      <protection locked="0"/>
    </xf>
    <xf numFmtId="37" fontId="35" fillId="0" borderId="0" xfId="54" applyNumberFormat="1" applyFont="1" applyFill="1" applyBorder="1" applyAlignment="1" applyProtection="1">
      <alignment horizontal="right"/>
      <protection locked="0"/>
    </xf>
    <xf numFmtId="171" fontId="53" fillId="0" borderId="1" xfId="39" applyNumberFormat="1" applyFont="1" applyFill="1" applyBorder="1" applyProtection="1">
      <protection locked="0"/>
    </xf>
    <xf numFmtId="171" fontId="53" fillId="0" borderId="0" xfId="39" applyNumberFormat="1" applyFont="1" applyFill="1" applyBorder="1" applyProtection="1">
      <protection locked="0"/>
    </xf>
    <xf numFmtId="171" fontId="53" fillId="0" borderId="22" xfId="39" applyNumberFormat="1" applyFont="1" applyFill="1" applyBorder="1" applyProtection="1">
      <protection locked="0"/>
    </xf>
    <xf numFmtId="169" fontId="53" fillId="0" borderId="0" xfId="39" applyNumberFormat="1" applyFont="1" applyFill="1" applyBorder="1" applyProtection="1">
      <protection locked="0"/>
    </xf>
    <xf numFmtId="169" fontId="53" fillId="0" borderId="1" xfId="39" applyNumberFormat="1" applyFont="1" applyFill="1" applyBorder="1" applyProtection="1">
      <protection locked="0"/>
    </xf>
    <xf numFmtId="169" fontId="53" fillId="0" borderId="22" xfId="39" applyNumberFormat="1" applyFont="1" applyFill="1" applyBorder="1" applyProtection="1">
      <protection locked="0"/>
    </xf>
    <xf numFmtId="37" fontId="62" fillId="0" borderId="0" xfId="39" applyNumberFormat="1" applyFont="1" applyFill="1" applyBorder="1" applyProtection="1">
      <protection locked="0"/>
    </xf>
    <xf numFmtId="37" fontId="62" fillId="0" borderId="0" xfId="38" applyNumberFormat="1" applyFont="1" applyFill="1" applyBorder="1" applyProtection="1">
      <protection locked="0"/>
    </xf>
    <xf numFmtId="37" fontId="62" fillId="0" borderId="22" xfId="38" applyNumberFormat="1" applyFont="1" applyFill="1" applyBorder="1" applyProtection="1">
      <protection locked="0"/>
    </xf>
    <xf numFmtId="37" fontId="35" fillId="0" borderId="0" xfId="38" applyNumberFormat="1" applyFont="1" applyFill="1" applyBorder="1" applyAlignment="1" applyProtection="1">
      <alignment horizontal="center"/>
      <protection locked="0"/>
    </xf>
    <xf numFmtId="37" fontId="56" fillId="0" borderId="22" xfId="38" applyNumberFormat="1" applyFont="1" applyFill="1" applyBorder="1" applyProtection="1">
      <protection locked="0"/>
    </xf>
    <xf numFmtId="37" fontId="35" fillId="0" borderId="22" xfId="38" applyNumberFormat="1" applyFont="1" applyFill="1" applyBorder="1" applyProtection="1">
      <protection locked="0"/>
    </xf>
    <xf numFmtId="37" fontId="35" fillId="0" borderId="2" xfId="38" applyNumberFormat="1" applyFont="1" applyFill="1" applyBorder="1" applyProtection="1">
      <protection locked="0"/>
    </xf>
    <xf numFmtId="37" fontId="53" fillId="0" borderId="1" xfId="38" applyNumberFormat="1" applyFont="1" applyFill="1" applyBorder="1" applyProtection="1">
      <protection locked="0"/>
    </xf>
    <xf numFmtId="37" fontId="53" fillId="0" borderId="22" xfId="38" applyNumberFormat="1" applyFont="1" applyFill="1" applyBorder="1" applyProtection="1">
      <protection locked="0"/>
    </xf>
    <xf numFmtId="37" fontId="53" fillId="0" borderId="20" xfId="38" applyNumberFormat="1" applyFont="1" applyFill="1" applyBorder="1" applyProtection="1">
      <protection locked="0"/>
    </xf>
    <xf numFmtId="37" fontId="53" fillId="0" borderId="21" xfId="38" applyNumberFormat="1" applyFont="1" applyFill="1" applyBorder="1" applyProtection="1">
      <protection locked="0"/>
    </xf>
    <xf numFmtId="37" fontId="34" fillId="0" borderId="0" xfId="38" applyNumberFormat="1" applyFont="1" applyFill="1" applyBorder="1" applyProtection="1">
      <protection locked="0"/>
    </xf>
    <xf numFmtId="37" fontId="51" fillId="0" borderId="1" xfId="38" applyNumberFormat="1" applyFont="1" applyFill="1" applyBorder="1" applyProtection="1">
      <protection locked="0"/>
    </xf>
    <xf numFmtId="37" fontId="51" fillId="0" borderId="0" xfId="38" applyNumberFormat="1" applyFont="1" applyFill="1" applyBorder="1" applyProtection="1">
      <protection locked="0"/>
    </xf>
    <xf numFmtId="37" fontId="51" fillId="0" borderId="22" xfId="38" applyNumberFormat="1" applyFont="1" applyFill="1" applyBorder="1" applyProtection="1">
      <protection locked="0"/>
    </xf>
    <xf numFmtId="37" fontId="34" fillId="0" borderId="22" xfId="38" applyNumberFormat="1" applyFont="1" applyFill="1" applyBorder="1" applyProtection="1">
      <protection locked="0"/>
    </xf>
    <xf numFmtId="37" fontId="35" fillId="0" borderId="1" xfId="38" applyNumberFormat="1" applyFont="1" applyFill="1" applyBorder="1" applyProtection="1">
      <protection locked="0"/>
    </xf>
    <xf numFmtId="37" fontId="63" fillId="0" borderId="1" xfId="38" applyNumberFormat="1" applyFont="1" applyFill="1" applyBorder="1" applyProtection="1">
      <protection locked="0"/>
    </xf>
    <xf numFmtId="37" fontId="63" fillId="0" borderId="0" xfId="38" applyNumberFormat="1" applyFont="1" applyFill="1" applyBorder="1" applyProtection="1">
      <protection locked="0"/>
    </xf>
    <xf numFmtId="37" fontId="63" fillId="0" borderId="22" xfId="38" applyNumberFormat="1" applyFont="1" applyFill="1" applyBorder="1" applyProtection="1">
      <protection locked="0"/>
    </xf>
    <xf numFmtId="37" fontId="63" fillId="0" borderId="0" xfId="38" applyNumberFormat="1" applyFont="1" applyFill="1" applyBorder="1" applyAlignment="1" applyProtection="1">
      <alignment horizontal="right"/>
      <protection locked="0"/>
    </xf>
    <xf numFmtId="37" fontId="62" fillId="0" borderId="1" xfId="38" applyNumberFormat="1" applyFont="1" applyFill="1" applyBorder="1" applyProtection="1">
      <protection locked="0"/>
    </xf>
    <xf numFmtId="37" fontId="62" fillId="0" borderId="0" xfId="38" applyNumberFormat="1" applyFont="1" applyFill="1" applyBorder="1" applyAlignment="1" applyProtection="1">
      <alignment horizontal="right"/>
      <protection locked="0"/>
    </xf>
    <xf numFmtId="37" fontId="53" fillId="0" borderId="1" xfId="39" applyNumberFormat="1" applyFont="1" applyFill="1" applyBorder="1" applyProtection="1">
      <protection locked="0"/>
    </xf>
    <xf numFmtId="37" fontId="64" fillId="0" borderId="0" xfId="39" applyNumberFormat="1" applyFont="1" applyFill="1" applyBorder="1" applyProtection="1">
      <protection locked="0"/>
    </xf>
    <xf numFmtId="37" fontId="60" fillId="0" borderId="1" xfId="39" applyNumberFormat="1" applyFont="1" applyFill="1" applyBorder="1" applyProtection="1">
      <protection locked="0"/>
    </xf>
    <xf numFmtId="37" fontId="60" fillId="0" borderId="0" xfId="39" applyNumberFormat="1" applyFont="1" applyFill="1" applyBorder="1" applyProtection="1">
      <protection locked="0"/>
    </xf>
    <xf numFmtId="37" fontId="60" fillId="0" borderId="22" xfId="39" applyNumberFormat="1" applyFont="1" applyFill="1" applyBorder="1" applyProtection="1">
      <protection locked="0"/>
    </xf>
    <xf numFmtId="37" fontId="34" fillId="17" borderId="0" xfId="54" applyNumberFormat="1" applyFont="1" applyFill="1" applyBorder="1" applyProtection="1">
      <protection locked="0"/>
    </xf>
    <xf numFmtId="37" fontId="36" fillId="17" borderId="0" xfId="0" applyNumberFormat="1" applyFont="1" applyFill="1" applyBorder="1"/>
    <xf numFmtId="37" fontId="34" fillId="0" borderId="22" xfId="39" applyNumberFormat="1" applyFont="1" applyFill="1" applyBorder="1" applyProtection="1">
      <protection locked="0"/>
    </xf>
    <xf numFmtId="183" fontId="36" fillId="17" borderId="0" xfId="0" applyNumberFormat="1" applyFont="1" applyFill="1"/>
    <xf numFmtId="183" fontId="35" fillId="0" borderId="0" xfId="54" applyNumberFormat="1" applyFont="1" applyFill="1" applyBorder="1" applyProtection="1">
      <protection locked="0"/>
    </xf>
    <xf numFmtId="183" fontId="53" fillId="0" borderId="1" xfId="39" applyNumberFormat="1" applyFont="1" applyFill="1" applyBorder="1" applyProtection="1">
      <protection locked="0"/>
    </xf>
    <xf numFmtId="183" fontId="53" fillId="0" borderId="0" xfId="39" applyNumberFormat="1" applyFont="1" applyFill="1" applyBorder="1" applyProtection="1">
      <protection locked="0"/>
    </xf>
    <xf numFmtId="183" fontId="53" fillId="0" borderId="22" xfId="39" applyNumberFormat="1" applyFont="1" applyFill="1" applyBorder="1" applyProtection="1">
      <protection locked="0"/>
    </xf>
    <xf numFmtId="183" fontId="35" fillId="17" borderId="0" xfId="54" applyNumberFormat="1" applyFont="1" applyFill="1" applyBorder="1" applyProtection="1">
      <protection locked="0"/>
    </xf>
    <xf numFmtId="183" fontId="35" fillId="0" borderId="0" xfId="0" applyNumberFormat="1" applyFont="1"/>
    <xf numFmtId="172" fontId="35" fillId="0" borderId="0" xfId="54" applyNumberFormat="1" applyFont="1" applyFill="1" applyBorder="1" applyProtection="1">
      <protection locked="0"/>
    </xf>
    <xf numFmtId="0" fontId="58" fillId="0" borderId="0" xfId="0" applyFont="1" applyFill="1" applyBorder="1"/>
    <xf numFmtId="38" fontId="35" fillId="0" borderId="1" xfId="39" applyNumberFormat="1" applyFont="1" applyFill="1" applyBorder="1" applyProtection="1">
      <protection locked="0"/>
    </xf>
    <xf numFmtId="38" fontId="35" fillId="0" borderId="0" xfId="39" applyNumberFormat="1" applyFont="1" applyFill="1" applyBorder="1" applyProtection="1">
      <protection locked="0"/>
    </xf>
    <xf numFmtId="38" fontId="35" fillId="0" borderId="22" xfId="39" applyNumberFormat="1" applyFont="1" applyFill="1" applyBorder="1" applyProtection="1">
      <protection locked="0"/>
    </xf>
    <xf numFmtId="38" fontId="35" fillId="0" borderId="0" xfId="39" applyNumberFormat="1" applyFont="1" applyFill="1" applyBorder="1" applyAlignment="1" applyProtection="1">
      <alignment horizontal="right"/>
      <protection locked="0"/>
    </xf>
    <xf numFmtId="172" fontId="35" fillId="0" borderId="0" xfId="39" applyNumberFormat="1" applyFont="1" applyFill="1" applyBorder="1" applyProtection="1">
      <protection locked="0"/>
    </xf>
    <xf numFmtId="37" fontId="35" fillId="0" borderId="0" xfId="39" quotePrefix="1" applyNumberFormat="1" applyFont="1" applyFill="1" applyBorder="1" applyAlignment="1" applyProtection="1">
      <alignment horizontal="left"/>
      <protection locked="0"/>
    </xf>
    <xf numFmtId="37" fontId="59" fillId="0" borderId="1" xfId="38" applyNumberFormat="1" applyFont="1" applyFill="1" applyBorder="1" applyProtection="1">
      <protection locked="0"/>
    </xf>
    <xf numFmtId="37" fontId="59" fillId="0" borderId="0" xfId="38" applyNumberFormat="1" applyFont="1" applyFill="1" applyBorder="1" applyProtection="1">
      <protection locked="0"/>
    </xf>
    <xf numFmtId="37" fontId="59" fillId="0" borderId="22" xfId="38" applyNumberFormat="1" applyFont="1" applyFill="1" applyBorder="1" applyProtection="1">
      <protection locked="0"/>
    </xf>
    <xf numFmtId="37" fontId="34" fillId="0" borderId="0" xfId="38" applyNumberFormat="1" applyFont="1" applyFill="1" applyBorder="1" applyAlignment="1" applyProtection="1">
      <alignment horizontal="right"/>
      <protection locked="0"/>
    </xf>
    <xf numFmtId="37" fontId="52" fillId="0" borderId="0" xfId="38" applyNumberFormat="1" applyFont="1" applyFill="1" applyBorder="1" applyAlignment="1" applyProtection="1">
      <alignment horizontal="right"/>
      <protection locked="0"/>
    </xf>
    <xf numFmtId="37" fontId="65" fillId="0" borderId="0" xfId="38" applyNumberFormat="1" applyFont="1" applyFill="1" applyBorder="1" applyProtection="1">
      <protection locked="0"/>
    </xf>
    <xf numFmtId="37" fontId="66" fillId="0" borderId="0" xfId="38" applyNumberFormat="1" applyFont="1" applyFill="1" applyBorder="1" applyProtection="1">
      <protection locked="0"/>
    </xf>
    <xf numFmtId="37" fontId="35" fillId="0" borderId="0" xfId="39" applyNumberFormat="1" applyFont="1" applyFill="1" applyBorder="1" applyAlignment="1" applyProtection="1">
      <alignment horizontal="left" indent="1"/>
      <protection locked="0"/>
    </xf>
    <xf numFmtId="37" fontId="35" fillId="0" borderId="2" xfId="39" applyNumberFormat="1" applyFont="1" applyFill="1" applyBorder="1" applyAlignment="1" applyProtection="1">
      <alignment horizontal="left" indent="1"/>
      <protection locked="0"/>
    </xf>
    <xf numFmtId="37" fontId="39" fillId="0" borderId="0" xfId="38" applyNumberFormat="1" applyFont="1" applyFill="1" applyBorder="1" applyProtection="1">
      <protection locked="0"/>
    </xf>
    <xf numFmtId="37" fontId="34" fillId="0" borderId="0" xfId="39" quotePrefix="1" applyNumberFormat="1" applyFont="1" applyFill="1" applyBorder="1" applyAlignment="1" applyProtection="1">
      <alignment horizontal="left"/>
      <protection locked="0"/>
    </xf>
    <xf numFmtId="37" fontId="67" fillId="0" borderId="0" xfId="38" applyNumberFormat="1" applyFont="1" applyFill="1" applyBorder="1" applyProtection="1">
      <protection locked="0"/>
    </xf>
    <xf numFmtId="37" fontId="57" fillId="0" borderId="0" xfId="0" applyNumberFormat="1" applyFont="1" applyFill="1" applyBorder="1"/>
    <xf numFmtId="37" fontId="57" fillId="0" borderId="0" xfId="38" applyNumberFormat="1" applyFont="1" applyFill="1" applyBorder="1" applyProtection="1">
      <protection locked="0"/>
    </xf>
    <xf numFmtId="37" fontId="57" fillId="0" borderId="22" xfId="38" applyNumberFormat="1" applyFont="1" applyFill="1" applyBorder="1" applyProtection="1">
      <protection locked="0"/>
    </xf>
    <xf numFmtId="37" fontId="57" fillId="0" borderId="0" xfId="38" applyNumberFormat="1" applyFont="1" applyFill="1" applyBorder="1" applyAlignment="1" applyProtection="1">
      <alignment horizontal="right"/>
      <protection locked="0"/>
    </xf>
    <xf numFmtId="37" fontId="52" fillId="0" borderId="2" xfId="38" applyNumberFormat="1" applyFont="1" applyFill="1" applyBorder="1" applyAlignment="1" applyProtection="1">
      <alignment horizontal="right"/>
      <protection locked="0"/>
    </xf>
    <xf numFmtId="37" fontId="39" fillId="0" borderId="22" xfId="38" applyNumberFormat="1" applyFont="1" applyFill="1" applyBorder="1" applyProtection="1">
      <protection locked="0"/>
    </xf>
    <xf numFmtId="37" fontId="34" fillId="0" borderId="0" xfId="0" applyNumberFormat="1" applyFont="1" applyFill="1" applyBorder="1"/>
    <xf numFmtId="37" fontId="35" fillId="0" borderId="0" xfId="0" applyNumberFormat="1" applyFont="1" applyFill="1" applyBorder="1"/>
    <xf numFmtId="37" fontId="35" fillId="0" borderId="24" xfId="38" applyNumberFormat="1" applyFont="1" applyFill="1" applyBorder="1" applyProtection="1">
      <protection locked="0"/>
    </xf>
    <xf numFmtId="37" fontId="34" fillId="0" borderId="1" xfId="38" applyNumberFormat="1" applyFont="1" applyFill="1" applyBorder="1" applyProtection="1">
      <protection locked="0"/>
    </xf>
    <xf numFmtId="37" fontId="34" fillId="0" borderId="0" xfId="38" applyNumberFormat="1" applyFont="1" applyFill="1" applyBorder="1" applyAlignment="1" applyProtection="1">
      <alignment horizontal="center"/>
      <protection locked="0"/>
    </xf>
    <xf numFmtId="37" fontId="34" fillId="0" borderId="1" xfId="39" applyNumberFormat="1" applyFont="1" applyFill="1" applyBorder="1" applyProtection="1">
      <protection locked="0"/>
    </xf>
    <xf numFmtId="169" fontId="69" fillId="0" borderId="1" xfId="39" applyNumberFormat="1" applyFont="1" applyFill="1" applyBorder="1" applyProtection="1">
      <protection locked="0"/>
    </xf>
    <xf numFmtId="169" fontId="69" fillId="0" borderId="0" xfId="39" applyNumberFormat="1" applyFont="1" applyFill="1" applyBorder="1" applyProtection="1">
      <protection locked="0"/>
    </xf>
    <xf numFmtId="169" fontId="69" fillId="0" borderId="22" xfId="39" applyNumberFormat="1" applyFont="1" applyFill="1" applyBorder="1" applyProtection="1">
      <protection locked="0"/>
    </xf>
    <xf numFmtId="43" fontId="64" fillId="0" borderId="0" xfId="39" applyNumberFormat="1" applyFont="1" applyFill="1" applyBorder="1" applyProtection="1">
      <protection locked="0"/>
    </xf>
    <xf numFmtId="43" fontId="64" fillId="0" borderId="22" xfId="39" applyNumberFormat="1" applyFont="1" applyFill="1" applyBorder="1" applyProtection="1">
      <protection locked="0"/>
    </xf>
    <xf numFmtId="169" fontId="64" fillId="0" borderId="0" xfId="39" applyNumberFormat="1" applyFont="1" applyFill="1" applyBorder="1" applyProtection="1">
      <protection locked="0"/>
    </xf>
    <xf numFmtId="166" fontId="57" fillId="0" borderId="0" xfId="39" applyNumberFormat="1" applyFont="1" applyFill="1" applyBorder="1" applyAlignment="1" applyProtection="1">
      <alignment horizontal="center"/>
      <protection locked="0"/>
    </xf>
    <xf numFmtId="164" fontId="36" fillId="17" borderId="0" xfId="0" applyNumberFormat="1" applyFont="1" applyFill="1"/>
    <xf numFmtId="164" fontId="53" fillId="0" borderId="1" xfId="39" applyNumberFormat="1" applyFont="1" applyFill="1" applyBorder="1" applyProtection="1">
      <protection locked="0"/>
    </xf>
    <xf numFmtId="164" fontId="35" fillId="17" borderId="0" xfId="54" applyNumberFormat="1" applyFont="1" applyFill="1" applyBorder="1" applyProtection="1">
      <protection locked="0"/>
    </xf>
    <xf numFmtId="164" fontId="35" fillId="0" borderId="0" xfId="59" applyNumberFormat="1" applyFont="1" applyFill="1" applyBorder="1" applyProtection="1">
      <protection locked="0"/>
    </xf>
    <xf numFmtId="164" fontId="35" fillId="0" borderId="0" xfId="0" applyNumberFormat="1" applyFont="1"/>
    <xf numFmtId="171" fontId="70" fillId="0" borderId="0" xfId="39" applyNumberFormat="1" applyFont="1" applyFill="1" applyBorder="1" applyProtection="1">
      <protection locked="0"/>
    </xf>
    <xf numFmtId="171" fontId="70" fillId="0" borderId="22" xfId="39" applyNumberFormat="1" applyFont="1" applyFill="1" applyBorder="1" applyProtection="1">
      <protection locked="0"/>
    </xf>
    <xf numFmtId="165" fontId="34" fillId="17" borderId="0" xfId="0" applyNumberFormat="1" applyFont="1" applyFill="1"/>
    <xf numFmtId="165" fontId="35" fillId="0" borderId="0" xfId="54" applyNumberFormat="1" applyFont="1" applyFill="1" applyBorder="1" applyProtection="1">
      <protection locked="0"/>
    </xf>
    <xf numFmtId="165" fontId="35" fillId="0" borderId="1" xfId="39" applyNumberFormat="1" applyFont="1" applyFill="1" applyBorder="1" applyProtection="1">
      <protection locked="0"/>
    </xf>
    <xf numFmtId="165" fontId="35" fillId="0" borderId="0" xfId="39" applyNumberFormat="1" applyFont="1" applyFill="1" applyBorder="1" applyProtection="1">
      <protection locked="0"/>
    </xf>
    <xf numFmtId="165" fontId="35" fillId="0" borderId="22" xfId="39" applyNumberFormat="1" applyFont="1" applyFill="1" applyBorder="1" applyProtection="1">
      <protection locked="0"/>
    </xf>
    <xf numFmtId="165" fontId="35" fillId="17" borderId="0" xfId="54" applyNumberFormat="1" applyFont="1" applyFill="1" applyBorder="1" applyProtection="1">
      <protection locked="0"/>
    </xf>
    <xf numFmtId="165" fontId="35" fillId="0" borderId="0" xfId="0" applyNumberFormat="1" applyFont="1"/>
    <xf numFmtId="7" fontId="35" fillId="0" borderId="0" xfId="54" applyNumberFormat="1" applyFont="1" applyFill="1" applyBorder="1" applyProtection="1">
      <protection locked="0"/>
    </xf>
    <xf numFmtId="37" fontId="34" fillId="0" borderId="0" xfId="39" applyNumberFormat="1" applyFont="1" applyFill="1" applyBorder="1" applyAlignment="1" applyProtection="1">
      <protection locked="0"/>
    </xf>
    <xf numFmtId="37" fontId="34" fillId="0" borderId="1" xfId="39" applyNumberFormat="1" applyFont="1" applyFill="1" applyBorder="1" applyAlignment="1" applyProtection="1">
      <protection locked="0"/>
    </xf>
    <xf numFmtId="37" fontId="34" fillId="0" borderId="22" xfId="39" applyNumberFormat="1" applyFont="1" applyFill="1" applyBorder="1" applyAlignment="1" applyProtection="1">
      <protection locked="0"/>
    </xf>
    <xf numFmtId="37" fontId="61" fillId="0" borderId="0" xfId="39" applyNumberFormat="1" applyFont="1" applyFill="1" applyBorder="1" applyAlignment="1" applyProtection="1">
      <protection locked="0"/>
    </xf>
    <xf numFmtId="37" fontId="35" fillId="0" borderId="0" xfId="39" applyNumberFormat="1" applyFont="1" applyFill="1" applyBorder="1" applyAlignment="1" applyProtection="1">
      <protection locked="0"/>
    </xf>
    <xf numFmtId="37" fontId="35" fillId="0" borderId="1" xfId="39" applyNumberFormat="1" applyFont="1" applyFill="1" applyBorder="1" applyAlignment="1" applyProtection="1">
      <protection locked="0"/>
    </xf>
    <xf numFmtId="37" fontId="35" fillId="0" borderId="22" xfId="39" applyNumberFormat="1" applyFont="1" applyFill="1" applyBorder="1" applyAlignment="1" applyProtection="1">
      <protection locked="0"/>
    </xf>
    <xf numFmtId="37" fontId="53" fillId="0" borderId="0" xfId="39" applyNumberFormat="1" applyFont="1" applyFill="1" applyBorder="1" applyAlignment="1" applyProtection="1">
      <protection locked="0"/>
    </xf>
    <xf numFmtId="37" fontId="53" fillId="0" borderId="22" xfId="39" applyNumberFormat="1" applyFont="1" applyFill="1" applyBorder="1" applyAlignment="1" applyProtection="1">
      <protection locked="0"/>
    </xf>
    <xf numFmtId="37" fontId="68" fillId="0" borderId="0" xfId="39" applyNumberFormat="1" applyFont="1" applyFill="1" applyBorder="1" applyProtection="1">
      <protection locked="0"/>
    </xf>
    <xf numFmtId="37" fontId="62" fillId="0" borderId="0" xfId="39" applyNumberFormat="1" applyFont="1" applyFill="1" applyBorder="1" applyAlignment="1" applyProtection="1">
      <alignment horizontal="right"/>
      <protection locked="0"/>
    </xf>
    <xf numFmtId="165" fontId="35" fillId="0" borderId="0" xfId="54" applyNumberFormat="1" applyFont="1" applyFill="1" applyBorder="1" applyAlignment="1" applyProtection="1">
      <protection locked="0"/>
    </xf>
    <xf numFmtId="165" fontId="35" fillId="0" borderId="1" xfId="54" applyNumberFormat="1" applyFont="1" applyFill="1" applyBorder="1" applyProtection="1">
      <protection locked="0"/>
    </xf>
    <xf numFmtId="165" fontId="35" fillId="0" borderId="22" xfId="54" applyNumberFormat="1" applyFont="1" applyFill="1" applyBorder="1" applyProtection="1">
      <protection locked="0"/>
    </xf>
    <xf numFmtId="9" fontId="35" fillId="0" borderId="0" xfId="54" applyNumberFormat="1" applyFont="1" applyFill="1" applyBorder="1" applyAlignment="1" applyProtection="1">
      <protection locked="0"/>
    </xf>
    <xf numFmtId="165" fontId="70" fillId="0" borderId="0" xfId="39" applyNumberFormat="1" applyFont="1" applyFill="1" applyBorder="1" applyProtection="1">
      <protection locked="0"/>
    </xf>
    <xf numFmtId="165" fontId="70" fillId="0" borderId="22" xfId="39" applyNumberFormat="1" applyFont="1" applyFill="1" applyBorder="1" applyProtection="1">
      <protection locked="0"/>
    </xf>
    <xf numFmtId="165" fontId="53" fillId="0" borderId="0" xfId="39" applyNumberFormat="1" applyFont="1" applyFill="1" applyBorder="1" applyProtection="1">
      <protection locked="0"/>
    </xf>
    <xf numFmtId="165" fontId="62" fillId="0" borderId="0" xfId="54" applyNumberFormat="1" applyFont="1" applyFill="1" applyBorder="1" applyProtection="1">
      <protection locked="0"/>
    </xf>
    <xf numFmtId="9" fontId="35" fillId="0" borderId="0" xfId="54" applyNumberFormat="1" applyFont="1" applyFill="1" applyBorder="1" applyProtection="1">
      <protection locked="0"/>
    </xf>
    <xf numFmtId="0" fontId="35" fillId="0" borderId="23" xfId="0" applyFont="1" applyBorder="1"/>
    <xf numFmtId="0" fontId="35" fillId="0" borderId="2" xfId="0" applyFont="1" applyBorder="1"/>
    <xf numFmtId="0" fontId="35" fillId="0" borderId="24" xfId="0" applyFont="1" applyBorder="1"/>
    <xf numFmtId="0" fontId="35" fillId="0" borderId="24" xfId="0" applyFont="1" applyFill="1" applyBorder="1"/>
    <xf numFmtId="0" fontId="35" fillId="0" borderId="0" xfId="0" applyFont="1" applyFill="1" applyBorder="1"/>
    <xf numFmtId="37" fontId="41" fillId="17" borderId="0" xfId="0" applyNumberFormat="1" applyFont="1" applyFill="1"/>
    <xf numFmtId="37" fontId="53" fillId="0" borderId="20" xfId="39" applyNumberFormat="1" applyFont="1" applyFill="1" applyBorder="1" applyProtection="1">
      <protection locked="0"/>
    </xf>
    <xf numFmtId="37" fontId="53" fillId="0" borderId="21" xfId="39" applyNumberFormat="1" applyFont="1" applyFill="1" applyBorder="1" applyProtection="1">
      <protection locked="0"/>
    </xf>
    <xf numFmtId="37" fontId="39" fillId="0" borderId="1" xfId="39" applyNumberFormat="1" applyFont="1" applyFill="1" applyBorder="1" applyProtection="1">
      <protection locked="0"/>
    </xf>
    <xf numFmtId="37" fontId="39" fillId="0" borderId="0" xfId="39" applyNumberFormat="1" applyFont="1" applyFill="1" applyBorder="1" applyProtection="1">
      <protection locked="0"/>
    </xf>
    <xf numFmtId="37" fontId="39" fillId="0" borderId="22" xfId="39" applyNumberFormat="1" applyFont="1" applyFill="1" applyBorder="1" applyProtection="1">
      <protection locked="0"/>
    </xf>
    <xf numFmtId="37" fontId="39" fillId="0" borderId="0" xfId="39" applyNumberFormat="1" applyFont="1" applyFill="1" applyBorder="1" applyAlignment="1" applyProtection="1">
      <alignment horizontal="right"/>
      <protection locked="0"/>
    </xf>
    <xf numFmtId="37" fontId="39" fillId="0" borderId="23" xfId="39" applyNumberFormat="1" applyFont="1" applyFill="1" applyBorder="1" applyProtection="1">
      <protection locked="0"/>
    </xf>
    <xf numFmtId="37" fontId="39" fillId="0" borderId="2" xfId="39" applyNumberFormat="1" applyFont="1" applyFill="1" applyBorder="1" applyProtection="1">
      <protection locked="0"/>
    </xf>
    <xf numFmtId="37" fontId="39" fillId="0" borderId="24" xfId="39" applyNumberFormat="1" applyFont="1" applyFill="1" applyBorder="1" applyProtection="1">
      <protection locked="0"/>
    </xf>
    <xf numFmtId="37" fontId="39" fillId="0" borderId="1" xfId="38" applyNumberFormat="1" applyFont="1" applyFill="1" applyBorder="1" applyProtection="1">
      <protection locked="0"/>
    </xf>
    <xf numFmtId="37" fontId="39" fillId="0" borderId="0" xfId="38" applyNumberFormat="1" applyFont="1" applyFill="1" applyBorder="1" applyAlignment="1" applyProtection="1">
      <alignment horizontal="right"/>
      <protection locked="0"/>
    </xf>
    <xf numFmtId="37" fontId="39" fillId="0" borderId="23" xfId="38" applyNumberFormat="1" applyFont="1" applyFill="1" applyBorder="1" applyProtection="1">
      <protection locked="0"/>
    </xf>
    <xf numFmtId="37" fontId="39" fillId="0" borderId="2" xfId="38" applyNumberFormat="1" applyFont="1" applyFill="1" applyBorder="1" applyProtection="1">
      <protection locked="0"/>
    </xf>
    <xf numFmtId="37" fontId="39" fillId="0" borderId="24" xfId="38" applyNumberFormat="1" applyFont="1" applyFill="1" applyBorder="1" applyProtection="1">
      <protection locked="0"/>
    </xf>
    <xf numFmtId="37" fontId="39" fillId="0" borderId="2" xfId="38" applyNumberFormat="1" applyFont="1" applyFill="1" applyBorder="1" applyAlignment="1" applyProtection="1">
      <alignment horizontal="right"/>
      <protection locked="0"/>
    </xf>
    <xf numFmtId="165" fontId="39" fillId="0" borderId="0" xfId="39" applyNumberFormat="1" applyFont="1" applyFill="1" applyBorder="1" applyProtection="1">
      <protection locked="0"/>
    </xf>
    <xf numFmtId="165" fontId="39" fillId="0" borderId="22" xfId="39" applyNumberFormat="1" applyFont="1" applyFill="1" applyBorder="1" applyProtection="1">
      <protection locked="0"/>
    </xf>
    <xf numFmtId="165" fontId="39" fillId="0" borderId="2" xfId="39" applyNumberFormat="1" applyFont="1" applyFill="1" applyBorder="1" applyProtection="1">
      <protection locked="0"/>
    </xf>
    <xf numFmtId="37" fontId="54" fillId="17" borderId="0" xfId="0" applyNumberFormat="1" applyFont="1" applyFill="1"/>
    <xf numFmtId="37" fontId="45" fillId="0" borderId="0" xfId="38" applyNumberFormat="1" applyFont="1" applyFill="1" applyBorder="1" applyProtection="1">
      <protection locked="0"/>
    </xf>
    <xf numFmtId="37" fontId="45" fillId="0" borderId="22" xfId="38" applyNumberFormat="1" applyFont="1" applyFill="1" applyBorder="1" applyProtection="1">
      <protection locked="0"/>
    </xf>
    <xf numFmtId="37" fontId="45" fillId="17" borderId="0" xfId="54" applyNumberFormat="1" applyFont="1" applyFill="1" applyBorder="1" applyProtection="1">
      <protection locked="0"/>
    </xf>
    <xf numFmtId="37" fontId="45" fillId="0" borderId="0" xfId="0" applyNumberFormat="1" applyFont="1"/>
    <xf numFmtId="37" fontId="45" fillId="0" borderId="0" xfId="39" applyNumberFormat="1" applyFont="1" applyFill="1" applyBorder="1" applyAlignment="1" applyProtection="1">
      <alignment horizontal="right"/>
      <protection locked="0"/>
    </xf>
    <xf numFmtId="37" fontId="45" fillId="0" borderId="0" xfId="39" applyNumberFormat="1" applyFont="1" applyFill="1" applyBorder="1" applyProtection="1">
      <protection locked="0"/>
    </xf>
    <xf numFmtId="37" fontId="45" fillId="0" borderId="1" xfId="39" applyNumberFormat="1" applyFont="1" applyFill="1" applyBorder="1" applyProtection="1">
      <protection locked="0"/>
    </xf>
    <xf numFmtId="37" fontId="45" fillId="0" borderId="22" xfId="39" applyNumberFormat="1" applyFont="1" applyFill="1" applyBorder="1" applyProtection="1">
      <protection locked="0"/>
    </xf>
    <xf numFmtId="37" fontId="40" fillId="0" borderId="0" xfId="38" applyNumberFormat="1" applyFont="1" applyFill="1" applyBorder="1" applyProtection="1">
      <protection locked="0"/>
    </xf>
    <xf numFmtId="37" fontId="45" fillId="0" borderId="0" xfId="39" applyNumberFormat="1" applyFont="1" applyFill="1" applyBorder="1" applyAlignment="1" applyProtection="1">
      <alignment horizontal="center"/>
      <protection locked="0"/>
    </xf>
    <xf numFmtId="37" fontId="35" fillId="0" borderId="21" xfId="38" applyNumberFormat="1" applyFont="1" applyFill="1" applyBorder="1" applyProtection="1">
      <protection locked="0"/>
    </xf>
    <xf numFmtId="37" fontId="53" fillId="0" borderId="6" xfId="38" applyNumberFormat="1" applyFont="1" applyFill="1" applyBorder="1" applyProtection="1">
      <protection locked="0"/>
    </xf>
    <xf numFmtId="37" fontId="36" fillId="17" borderId="22" xfId="0" applyNumberFormat="1" applyFont="1" applyFill="1" applyBorder="1"/>
    <xf numFmtId="37" fontId="39" fillId="0" borderId="24" xfId="38" applyNumberFormat="1" applyFont="1" applyFill="1" applyBorder="1" applyAlignment="1" applyProtection="1">
      <alignment horizontal="right"/>
      <protection locked="0"/>
    </xf>
    <xf numFmtId="164" fontId="39" fillId="17" borderId="0" xfId="54" applyNumberFormat="1" applyFont="1" applyFill="1" applyBorder="1" applyProtection="1">
      <protection locked="0"/>
    </xf>
    <xf numFmtId="164" fontId="39" fillId="0" borderId="0" xfId="39" applyNumberFormat="1" applyFont="1" applyFill="1" applyBorder="1" applyProtection="1">
      <protection locked="0"/>
    </xf>
    <xf numFmtId="37" fontId="35" fillId="0" borderId="0" xfId="54" applyNumberFormat="1" applyFont="1" applyFill="1" applyBorder="1" applyAlignment="1" applyProtection="1">
      <alignment horizontal="left" indent="1"/>
      <protection locked="0"/>
    </xf>
    <xf numFmtId="37" fontId="41" fillId="17" borderId="0" xfId="0" applyNumberFormat="1" applyFont="1" applyFill="1" applyBorder="1"/>
    <xf numFmtId="37" fontId="53" fillId="17" borderId="1" xfId="39" applyNumberFormat="1" applyFont="1" applyFill="1" applyBorder="1" applyProtection="1">
      <protection locked="0"/>
    </xf>
    <xf numFmtId="37" fontId="53" fillId="17" borderId="0" xfId="39" applyNumberFormat="1" applyFont="1" applyFill="1" applyBorder="1" applyProtection="1">
      <protection locked="0"/>
    </xf>
    <xf numFmtId="37" fontId="53" fillId="17" borderId="22" xfId="39" applyNumberFormat="1" applyFont="1" applyFill="1" applyBorder="1" applyProtection="1">
      <protection locked="0"/>
    </xf>
    <xf numFmtId="37" fontId="35" fillId="17" borderId="0" xfId="54" applyNumberFormat="1" applyFont="1" applyFill="1" applyBorder="1" applyAlignment="1" applyProtection="1">
      <alignment horizontal="left" indent="1"/>
      <protection locked="0"/>
    </xf>
    <xf numFmtId="183" fontId="35" fillId="0" borderId="0" xfId="54" applyNumberFormat="1" applyFont="1" applyFill="1" applyBorder="1" applyAlignment="1" applyProtection="1">
      <alignment horizontal="left" indent="1"/>
      <protection locked="0"/>
    </xf>
    <xf numFmtId="164" fontId="39" fillId="0" borderId="22" xfId="39" applyNumberFormat="1" applyFont="1" applyFill="1" applyBorder="1" applyProtection="1">
      <protection locked="0"/>
    </xf>
    <xf numFmtId="164" fontId="35" fillId="17" borderId="0" xfId="0" applyNumberFormat="1" applyFont="1" applyFill="1" applyBorder="1" applyAlignment="1">
      <alignment horizontal="left" indent="1"/>
    </xf>
    <xf numFmtId="37" fontId="51" fillId="0" borderId="20" xfId="38" applyNumberFormat="1" applyFont="1" applyFill="1" applyBorder="1" applyProtection="1">
      <protection locked="0"/>
    </xf>
    <xf numFmtId="37" fontId="51" fillId="0" borderId="21" xfId="38" applyNumberFormat="1" applyFont="1" applyFill="1" applyBorder="1" applyProtection="1">
      <protection locked="0"/>
    </xf>
    <xf numFmtId="37" fontId="34" fillId="0" borderId="0" xfId="0" applyNumberFormat="1" applyFont="1"/>
    <xf numFmtId="37" fontId="35" fillId="0" borderId="0" xfId="0" applyNumberFormat="1" applyFont="1" applyBorder="1"/>
    <xf numFmtId="7" fontId="34" fillId="0" borderId="0" xfId="54" applyNumberFormat="1" applyFont="1" applyFill="1" applyBorder="1" applyProtection="1">
      <protection locked="0"/>
    </xf>
    <xf numFmtId="37" fontId="34" fillId="17" borderId="26" xfId="54" applyNumberFormat="1" applyFont="1" applyFill="1" applyBorder="1" applyProtection="1">
      <protection locked="0"/>
    </xf>
    <xf numFmtId="37" fontId="51" fillId="17" borderId="73" xfId="39" applyNumberFormat="1" applyFont="1" applyFill="1" applyBorder="1" applyProtection="1">
      <protection locked="0"/>
    </xf>
    <xf numFmtId="37" fontId="51" fillId="17" borderId="17" xfId="39" applyNumberFormat="1" applyFont="1" applyFill="1" applyBorder="1" applyProtection="1">
      <protection locked="0"/>
    </xf>
    <xf numFmtId="37" fontId="51" fillId="17" borderId="74" xfId="39" applyNumberFormat="1" applyFont="1" applyFill="1" applyBorder="1" applyProtection="1">
      <protection locked="0"/>
    </xf>
    <xf numFmtId="37" fontId="51" fillId="17" borderId="17" xfId="38" applyNumberFormat="1" applyFont="1" applyFill="1" applyBorder="1" applyProtection="1">
      <protection locked="0"/>
    </xf>
    <xf numFmtId="37" fontId="51" fillId="17" borderId="74" xfId="38" applyNumberFormat="1" applyFont="1" applyFill="1" applyBorder="1" applyProtection="1">
      <protection locked="0"/>
    </xf>
    <xf numFmtId="37" fontId="34" fillId="17" borderId="17" xfId="38" applyNumberFormat="1" applyFont="1" applyFill="1" applyBorder="1" applyProtection="1">
      <protection locked="0"/>
    </xf>
    <xf numFmtId="37" fontId="34" fillId="17" borderId="74" xfId="38" applyNumberFormat="1" applyFont="1" applyFill="1" applyBorder="1" applyProtection="1">
      <protection locked="0"/>
    </xf>
    <xf numFmtId="37" fontId="34" fillId="17" borderId="18" xfId="38" applyNumberFormat="1" applyFont="1" applyFill="1" applyBorder="1" applyProtection="1">
      <protection locked="0"/>
    </xf>
    <xf numFmtId="7" fontId="51" fillId="17" borderId="75" xfId="39" applyNumberFormat="1" applyFont="1" applyFill="1" applyBorder="1" applyProtection="1">
      <protection locked="0"/>
    </xf>
    <xf numFmtId="7" fontId="51" fillId="17" borderId="5" xfId="39" applyNumberFormat="1" applyFont="1" applyFill="1" applyBorder="1" applyProtection="1">
      <protection locked="0"/>
    </xf>
    <xf numFmtId="7" fontId="51" fillId="17" borderId="76" xfId="39" applyNumberFormat="1" applyFont="1" applyFill="1" applyBorder="1" applyProtection="1">
      <protection locked="0"/>
    </xf>
    <xf numFmtId="7" fontId="51" fillId="17" borderId="5" xfId="38" applyNumberFormat="1" applyFont="1" applyFill="1" applyBorder="1" applyProtection="1">
      <protection locked="0"/>
    </xf>
    <xf numFmtId="7" fontId="51" fillId="17" borderId="76" xfId="38" applyNumberFormat="1" applyFont="1" applyFill="1" applyBorder="1" applyProtection="1">
      <protection locked="0"/>
    </xf>
    <xf numFmtId="7" fontId="34" fillId="17" borderId="5" xfId="38" applyNumberFormat="1" applyFont="1" applyFill="1" applyBorder="1" applyProtection="1">
      <protection locked="0"/>
    </xf>
    <xf numFmtId="7" fontId="34" fillId="17" borderId="76" xfId="38" applyNumberFormat="1" applyFont="1" applyFill="1" applyBorder="1" applyProtection="1">
      <protection locked="0"/>
    </xf>
    <xf numFmtId="7" fontId="34" fillId="17" borderId="19" xfId="38" applyNumberFormat="1" applyFont="1" applyFill="1" applyBorder="1" applyProtection="1">
      <protection locked="0"/>
    </xf>
    <xf numFmtId="7" fontId="34" fillId="17" borderId="33" xfId="54" applyNumberFormat="1" applyFont="1" applyFill="1" applyBorder="1" applyAlignment="1" applyProtection="1">
      <alignment horizontal="left" indent="1"/>
      <protection locked="0"/>
    </xf>
    <xf numFmtId="165" fontId="36" fillId="17" borderId="0" xfId="0" applyNumberFormat="1" applyFont="1" applyFill="1"/>
    <xf numFmtId="165" fontId="53" fillId="0" borderId="1" xfId="39" applyNumberFormat="1" applyFont="1" applyFill="1" applyBorder="1" applyProtection="1">
      <protection locked="0"/>
    </xf>
    <xf numFmtId="165" fontId="53" fillId="0" borderId="22" xfId="39" applyNumberFormat="1" applyFont="1" applyFill="1" applyBorder="1" applyProtection="1">
      <protection locked="0"/>
    </xf>
    <xf numFmtId="165" fontId="35" fillId="0" borderId="0" xfId="54" applyNumberFormat="1" applyFont="1" applyFill="1" applyBorder="1" applyAlignment="1" applyProtection="1">
      <alignment horizontal="left" indent="1"/>
      <protection locked="0"/>
    </xf>
    <xf numFmtId="166" fontId="34" fillId="0" borderId="0" xfId="39" applyNumberFormat="1" applyFont="1" applyFill="1" applyBorder="1" applyProtection="1">
      <protection locked="0"/>
    </xf>
    <xf numFmtId="7" fontId="39" fillId="0" borderId="0" xfId="40" applyNumberFormat="1" applyFont="1" applyFill="1" applyBorder="1" applyProtection="1">
      <protection locked="0"/>
    </xf>
    <xf numFmtId="37" fontId="35" fillId="0" borderId="0" xfId="39" quotePrefix="1" applyNumberFormat="1" applyFont="1" applyFill="1" applyBorder="1" applyAlignment="1" applyProtection="1">
      <protection locked="0"/>
    </xf>
    <xf numFmtId="37" fontId="45" fillId="0" borderId="0" xfId="39" applyNumberFormat="1" applyFont="1" applyFill="1" applyBorder="1" applyAlignment="1" applyProtection="1">
      <protection locked="0"/>
    </xf>
    <xf numFmtId="165" fontId="35" fillId="0" borderId="0" xfId="39" quotePrefix="1" applyNumberFormat="1" applyFont="1" applyFill="1" applyBorder="1" applyAlignment="1" applyProtection="1">
      <protection locked="0"/>
    </xf>
    <xf numFmtId="165" fontId="35" fillId="0" borderId="0" xfId="39" applyNumberFormat="1" applyFont="1" applyFill="1" applyBorder="1" applyAlignment="1" applyProtection="1">
      <protection locked="0"/>
    </xf>
    <xf numFmtId="165" fontId="53" fillId="0" borderId="0" xfId="39" applyNumberFormat="1" applyFont="1" applyFill="1" applyBorder="1" applyAlignment="1" applyProtection="1">
      <protection locked="0"/>
    </xf>
    <xf numFmtId="165" fontId="53" fillId="0" borderId="22" xfId="39" applyNumberFormat="1" applyFont="1" applyFill="1" applyBorder="1" applyAlignment="1" applyProtection="1">
      <protection locked="0"/>
    </xf>
    <xf numFmtId="7" fontId="35" fillId="17" borderId="45" xfId="53" applyNumberFormat="1" applyFont="1" applyFill="1" applyBorder="1"/>
    <xf numFmtId="7" fontId="38" fillId="17" borderId="45" xfId="53" applyNumberFormat="1" applyFont="1" applyFill="1" applyBorder="1" applyAlignment="1">
      <alignment horizontal="center"/>
    </xf>
    <xf numFmtId="7" fontId="39" fillId="17" borderId="61" xfId="53" applyNumberFormat="1" applyFont="1" applyFill="1" applyBorder="1" applyAlignment="1">
      <alignment horizontal="center"/>
    </xf>
    <xf numFmtId="7" fontId="39" fillId="17" borderId="63" xfId="53" applyNumberFormat="1" applyFont="1" applyFill="1" applyBorder="1" applyAlignment="1">
      <alignment horizontal="center"/>
    </xf>
    <xf numFmtId="7" fontId="35" fillId="17" borderId="62" xfId="53" applyNumberFormat="1" applyFont="1" applyFill="1" applyBorder="1" applyAlignment="1">
      <alignment horizontal="center"/>
    </xf>
    <xf numFmtId="7" fontId="35" fillId="17" borderId="0" xfId="53" applyNumberFormat="1" applyFont="1" applyFill="1" applyBorder="1"/>
    <xf numFmtId="7" fontId="35" fillId="17" borderId="34" xfId="53" applyNumberFormat="1" applyFont="1" applyFill="1" applyBorder="1" applyAlignment="1">
      <alignment horizontal="center"/>
    </xf>
    <xf numFmtId="7" fontId="35" fillId="17" borderId="0" xfId="53" applyNumberFormat="1" applyFont="1" applyFill="1" applyBorder="1" applyAlignment="1">
      <alignment horizontal="center"/>
    </xf>
    <xf numFmtId="7" fontId="38" fillId="17" borderId="64" xfId="53" applyNumberFormat="1" applyFont="1" applyFill="1" applyBorder="1" applyAlignment="1">
      <alignment horizontal="center"/>
    </xf>
    <xf numFmtId="7" fontId="39" fillId="17" borderId="65" xfId="53" applyNumberFormat="1" applyFont="1" applyFill="1" applyBorder="1" applyAlignment="1">
      <alignment horizontal="center"/>
    </xf>
    <xf numFmtId="7" fontId="39" fillId="17" borderId="67" xfId="53" applyNumberFormat="1" applyFont="1" applyFill="1" applyBorder="1" applyAlignment="1">
      <alignment horizontal="center"/>
    </xf>
    <xf numFmtId="7" fontId="35" fillId="17" borderId="36" xfId="53" applyNumberFormat="1" applyFont="1" applyFill="1" applyBorder="1" applyAlignment="1">
      <alignment horizontal="center"/>
    </xf>
    <xf numFmtId="7" fontId="35" fillId="17" borderId="68" xfId="53" applyNumberFormat="1" applyFont="1" applyFill="1" applyBorder="1" applyAlignment="1">
      <alignment horizontal="center"/>
    </xf>
    <xf numFmtId="0" fontId="47" fillId="16" borderId="0" xfId="0" applyFont="1" applyFill="1"/>
    <xf numFmtId="0" fontId="47" fillId="16" borderId="0" xfId="0" applyFont="1" applyFill="1" applyAlignment="1">
      <alignment horizontal="center"/>
    </xf>
    <xf numFmtId="0" fontId="35" fillId="17" borderId="0" xfId="0" applyFont="1" applyFill="1" applyAlignment="1">
      <alignment horizontal="center"/>
    </xf>
    <xf numFmtId="0" fontId="34" fillId="17" borderId="39" xfId="0" applyFont="1" applyFill="1" applyBorder="1"/>
    <xf numFmtId="0" fontId="34" fillId="19" borderId="51" xfId="0" applyFont="1" applyFill="1" applyBorder="1" applyAlignment="1">
      <alignment horizontal="center"/>
    </xf>
    <xf numFmtId="0" fontId="34" fillId="19" borderId="53" xfId="0" applyFont="1" applyFill="1" applyBorder="1" applyAlignment="1">
      <alignment horizontal="center"/>
    </xf>
    <xf numFmtId="38" fontId="35" fillId="17" borderId="56" xfId="0" applyNumberFormat="1" applyFont="1" applyFill="1" applyBorder="1"/>
    <xf numFmtId="38" fontId="39" fillId="17" borderId="79" xfId="0" applyNumberFormat="1" applyFont="1" applyFill="1" applyBorder="1" applyAlignment="1">
      <alignment horizontal="center"/>
    </xf>
    <xf numFmtId="38" fontId="35" fillId="17" borderId="58" xfId="0" applyNumberFormat="1" applyFont="1" applyFill="1" applyBorder="1" applyAlignment="1">
      <alignment horizontal="center"/>
    </xf>
    <xf numFmtId="38" fontId="35" fillId="17" borderId="82" xfId="0" applyNumberFormat="1" applyFont="1" applyFill="1" applyBorder="1" applyAlignment="1">
      <alignment horizontal="center"/>
    </xf>
    <xf numFmtId="38" fontId="39" fillId="17" borderId="80" xfId="0" applyNumberFormat="1" applyFont="1" applyFill="1" applyBorder="1" applyAlignment="1">
      <alignment horizontal="center"/>
    </xf>
    <xf numFmtId="38" fontId="39" fillId="17" borderId="81" xfId="0" applyNumberFormat="1" applyFont="1" applyFill="1" applyBorder="1" applyAlignment="1">
      <alignment horizontal="center"/>
    </xf>
    <xf numFmtId="165" fontId="35" fillId="17" borderId="45" xfId="0" applyNumberFormat="1" applyFont="1" applyFill="1" applyBorder="1"/>
    <xf numFmtId="165" fontId="39" fillId="17" borderId="27" xfId="0" applyNumberFormat="1" applyFont="1" applyFill="1" applyBorder="1" applyAlignment="1">
      <alignment horizontal="center"/>
    </xf>
    <xf numFmtId="165" fontId="35" fillId="17" borderId="62" xfId="0" applyNumberFormat="1" applyFont="1" applyFill="1" applyBorder="1" applyAlignment="1">
      <alignment horizontal="center"/>
    </xf>
    <xf numFmtId="165" fontId="35" fillId="17" borderId="28" xfId="0" applyNumberFormat="1" applyFont="1" applyFill="1" applyBorder="1" applyAlignment="1">
      <alignment horizontal="center"/>
    </xf>
    <xf numFmtId="165" fontId="39" fillId="17" borderId="83" xfId="0" applyNumberFormat="1" applyFont="1" applyFill="1" applyBorder="1" applyAlignment="1">
      <alignment horizontal="center"/>
    </xf>
    <xf numFmtId="165" fontId="39" fillId="17" borderId="84" xfId="0" applyNumberFormat="1" applyFont="1" applyFill="1" applyBorder="1" applyAlignment="1">
      <alignment horizontal="center"/>
    </xf>
    <xf numFmtId="165" fontId="35" fillId="17" borderId="27" xfId="0" applyNumberFormat="1" applyFont="1" applyFill="1" applyBorder="1" applyAlignment="1">
      <alignment horizontal="center"/>
    </xf>
    <xf numFmtId="8" fontId="35" fillId="17" borderId="64" xfId="0" applyNumberFormat="1" applyFont="1" applyFill="1" applyBorder="1"/>
    <xf numFmtId="8" fontId="39" fillId="17" borderId="33" xfId="0" applyNumberFormat="1" applyFont="1" applyFill="1" applyBorder="1" applyAlignment="1">
      <alignment horizontal="center"/>
    </xf>
    <xf numFmtId="8" fontId="35" fillId="17" borderId="66" xfId="0" applyNumberFormat="1" applyFont="1" applyFill="1" applyBorder="1" applyAlignment="1">
      <alignment horizontal="center"/>
    </xf>
    <xf numFmtId="8" fontId="35" fillId="17" borderId="19" xfId="0" applyNumberFormat="1" applyFont="1" applyFill="1" applyBorder="1" applyAlignment="1">
      <alignment horizontal="center"/>
    </xf>
    <xf numFmtId="8" fontId="39" fillId="17" borderId="85" xfId="0" applyNumberFormat="1" applyFont="1" applyFill="1" applyBorder="1" applyAlignment="1">
      <alignment horizontal="center"/>
    </xf>
    <xf numFmtId="8" fontId="39" fillId="17" borderId="86" xfId="0" applyNumberFormat="1" applyFont="1" applyFill="1" applyBorder="1" applyAlignment="1">
      <alignment horizontal="center"/>
    </xf>
    <xf numFmtId="38" fontId="38" fillId="17" borderId="79" xfId="0" applyNumberFormat="1" applyFont="1" applyFill="1" applyBorder="1" applyAlignment="1">
      <alignment horizontal="center"/>
    </xf>
    <xf numFmtId="165" fontId="39" fillId="0" borderId="0" xfId="54" applyNumberFormat="1" applyFont="1" applyFill="1" applyBorder="1" applyProtection="1">
      <protection locked="0"/>
    </xf>
    <xf numFmtId="165" fontId="39" fillId="0" borderId="22" xfId="54" applyNumberFormat="1" applyFont="1" applyFill="1" applyBorder="1" applyProtection="1">
      <protection locked="0"/>
    </xf>
    <xf numFmtId="165" fontId="39" fillId="0" borderId="0" xfId="39" applyNumberFormat="1" applyFont="1" applyFill="1" applyBorder="1" applyAlignment="1" applyProtection="1">
      <protection locked="0"/>
    </xf>
    <xf numFmtId="37" fontId="39" fillId="0" borderId="0" xfId="39" applyNumberFormat="1" applyFont="1" applyFill="1" applyBorder="1" applyAlignment="1" applyProtection="1">
      <protection locked="0"/>
    </xf>
    <xf numFmtId="184" fontId="35" fillId="17" borderId="64" xfId="53" applyNumberFormat="1" applyFont="1" applyFill="1" applyBorder="1"/>
    <xf numFmtId="184" fontId="38" fillId="17" borderId="64" xfId="53" applyNumberFormat="1" applyFont="1" applyFill="1" applyBorder="1" applyAlignment="1">
      <alignment horizontal="center"/>
    </xf>
    <xf numFmtId="184" fontId="39" fillId="17" borderId="65" xfId="53" applyNumberFormat="1" applyFont="1" applyFill="1" applyBorder="1" applyAlignment="1">
      <alignment horizontal="center"/>
    </xf>
    <xf numFmtId="184" fontId="39" fillId="17" borderId="66" xfId="53" applyNumberFormat="1" applyFont="1" applyFill="1" applyBorder="1" applyAlignment="1">
      <alignment horizontal="center"/>
    </xf>
    <xf numFmtId="184" fontId="39" fillId="17" borderId="67" xfId="53" applyNumberFormat="1" applyFont="1" applyFill="1" applyBorder="1" applyAlignment="1">
      <alignment horizontal="center"/>
    </xf>
    <xf numFmtId="184" fontId="35" fillId="17" borderId="0" xfId="53" applyNumberFormat="1" applyFont="1" applyFill="1" applyBorder="1"/>
    <xf numFmtId="184" fontId="35" fillId="17" borderId="36" xfId="53" applyNumberFormat="1" applyFont="1" applyFill="1" applyBorder="1" applyAlignment="1">
      <alignment horizontal="center"/>
    </xf>
    <xf numFmtId="184" fontId="35" fillId="17" borderId="39" xfId="53" applyNumberFormat="1" applyFont="1" applyFill="1" applyBorder="1" applyAlignment="1">
      <alignment horizontal="center"/>
    </xf>
    <xf numFmtId="184" fontId="35" fillId="17" borderId="68" xfId="53" applyNumberFormat="1" applyFont="1" applyFill="1" applyBorder="1" applyAlignment="1">
      <alignment horizontal="center"/>
    </xf>
    <xf numFmtId="165" fontId="39" fillId="17" borderId="61" xfId="53" applyNumberFormat="1" applyFont="1" applyFill="1" applyBorder="1" applyAlignment="1">
      <alignment horizontal="center"/>
    </xf>
    <xf numFmtId="165" fontId="39" fillId="17" borderId="63" xfId="53" applyNumberFormat="1" applyFont="1" applyFill="1" applyBorder="1" applyAlignment="1">
      <alignment horizontal="center"/>
    </xf>
    <xf numFmtId="37" fontId="35" fillId="0" borderId="0" xfId="54" applyNumberFormat="1" applyFont="1" applyFill="1" applyBorder="1" applyAlignment="1" applyProtection="1">
      <alignment horizontal="left"/>
      <protection locked="0"/>
    </xf>
    <xf numFmtId="37" fontId="35" fillId="0" borderId="1" xfId="40" applyNumberFormat="1" applyFont="1" applyFill="1" applyBorder="1" applyProtection="1">
      <protection locked="0"/>
    </xf>
    <xf numFmtId="37" fontId="35" fillId="0" borderId="0" xfId="40" applyNumberFormat="1" applyFont="1" applyFill="1" applyBorder="1" applyProtection="1">
      <protection locked="0"/>
    </xf>
    <xf numFmtId="37" fontId="35" fillId="0" borderId="22" xfId="40" applyNumberFormat="1" applyFont="1" applyFill="1" applyBorder="1" applyProtection="1">
      <protection locked="0"/>
    </xf>
    <xf numFmtId="37" fontId="39" fillId="0" borderId="0" xfId="40" applyNumberFormat="1" applyFont="1" applyFill="1" applyBorder="1" applyProtection="1">
      <protection locked="0"/>
    </xf>
    <xf numFmtId="37" fontId="39" fillId="0" borderId="22" xfId="40" applyNumberFormat="1" applyFont="1" applyFill="1" applyBorder="1" applyProtection="1">
      <protection locked="0"/>
    </xf>
    <xf numFmtId="37" fontId="35" fillId="0" borderId="0" xfId="54" applyNumberFormat="1" applyFont="1" applyFill="1" applyBorder="1" applyAlignment="1" applyProtection="1">
      <alignment horizontal="center"/>
      <protection locked="0"/>
    </xf>
    <xf numFmtId="165" fontId="39" fillId="0" borderId="22" xfId="39" applyNumberFormat="1" applyFont="1" applyFill="1" applyBorder="1" applyAlignment="1" applyProtection="1">
      <protection locked="0"/>
    </xf>
    <xf numFmtId="37" fontId="39" fillId="0" borderId="22" xfId="39" applyNumberFormat="1" applyFont="1" applyFill="1" applyBorder="1" applyAlignment="1" applyProtection="1">
      <protection locked="0"/>
    </xf>
    <xf numFmtId="165" fontId="39" fillId="0" borderId="1" xfId="39" applyNumberFormat="1" applyFont="1" applyFill="1" applyBorder="1" applyAlignment="1" applyProtection="1">
      <protection locked="0"/>
    </xf>
    <xf numFmtId="37" fontId="39" fillId="0" borderId="1" xfId="39" applyNumberFormat="1" applyFont="1" applyFill="1" applyBorder="1" applyAlignment="1" applyProtection="1">
      <protection locked="0"/>
    </xf>
    <xf numFmtId="7" fontId="35" fillId="17" borderId="66" xfId="53" applyNumberFormat="1" applyFont="1" applyFill="1" applyBorder="1" applyAlignment="1">
      <alignment horizontal="center"/>
    </xf>
    <xf numFmtId="7" fontId="35" fillId="17" borderId="68" xfId="53" applyNumberFormat="1" applyFont="1" applyFill="1" applyBorder="1"/>
    <xf numFmtId="38" fontId="35" fillId="17" borderId="57" xfId="53" applyNumberFormat="1" applyFont="1" applyFill="1" applyBorder="1" applyAlignment="1">
      <alignment horizontal="center"/>
    </xf>
    <xf numFmtId="38" fontId="35" fillId="17" borderId="59" xfId="53" applyNumberFormat="1" applyFont="1" applyFill="1" applyBorder="1" applyAlignment="1">
      <alignment horizontal="center"/>
    </xf>
    <xf numFmtId="38" fontId="35" fillId="17" borderId="61" xfId="53" applyNumberFormat="1" applyFont="1" applyFill="1" applyBorder="1" applyAlignment="1">
      <alignment horizontal="center"/>
    </xf>
    <xf numFmtId="38" fontId="35" fillId="17" borderId="63" xfId="53" applyNumberFormat="1" applyFont="1" applyFill="1" applyBorder="1" applyAlignment="1">
      <alignment horizontal="center"/>
    </xf>
    <xf numFmtId="38" fontId="38" fillId="17" borderId="57" xfId="53" applyNumberFormat="1" applyFont="1" applyFill="1" applyBorder="1" applyAlignment="1">
      <alignment horizontal="center"/>
    </xf>
    <xf numFmtId="38" fontId="38" fillId="17" borderId="58" xfId="53" applyNumberFormat="1" applyFont="1" applyFill="1" applyBorder="1" applyAlignment="1">
      <alignment horizontal="center"/>
    </xf>
    <xf numFmtId="38" fontId="38" fillId="17" borderId="59" xfId="53" applyNumberFormat="1" applyFont="1" applyFill="1" applyBorder="1" applyAlignment="1">
      <alignment horizontal="center"/>
    </xf>
    <xf numFmtId="7" fontId="35" fillId="17" borderId="89" xfId="53" applyNumberFormat="1" applyFont="1" applyFill="1" applyBorder="1" applyAlignment="1">
      <alignment horizontal="center"/>
    </xf>
    <xf numFmtId="7" fontId="38" fillId="17" borderId="90" xfId="53" applyNumberFormat="1" applyFont="1" applyFill="1" applyBorder="1" applyAlignment="1">
      <alignment horizontal="center"/>
    </xf>
    <xf numFmtId="7" fontId="35" fillId="17" borderId="88" xfId="53" applyNumberFormat="1" applyFont="1" applyFill="1" applyBorder="1" applyAlignment="1">
      <alignment horizontal="center"/>
    </xf>
    <xf numFmtId="38" fontId="35" fillId="17" borderId="91" xfId="53" applyNumberFormat="1" applyFont="1" applyFill="1" applyBorder="1" applyAlignment="1">
      <alignment horizontal="center"/>
    </xf>
    <xf numFmtId="38" fontId="35" fillId="17" borderId="44" xfId="53" applyNumberFormat="1" applyFont="1" applyFill="1" applyBorder="1" applyAlignment="1">
      <alignment horizontal="center"/>
    </xf>
    <xf numFmtId="165" fontId="35" fillId="17" borderId="44" xfId="53" applyNumberFormat="1" applyFont="1" applyFill="1" applyBorder="1" applyAlignment="1">
      <alignment horizontal="center"/>
    </xf>
    <xf numFmtId="7" fontId="35" fillId="17" borderId="92" xfId="53" applyNumberFormat="1" applyFont="1" applyFill="1" applyBorder="1" applyAlignment="1">
      <alignment horizontal="center"/>
    </xf>
    <xf numFmtId="8" fontId="35" fillId="17" borderId="45" xfId="53" applyNumberFormat="1" applyFont="1" applyFill="1" applyBorder="1" applyAlignment="1">
      <alignment horizontal="center"/>
    </xf>
    <xf numFmtId="185" fontId="35" fillId="17" borderId="64" xfId="53" applyNumberFormat="1" applyFont="1" applyFill="1" applyBorder="1" applyAlignment="1">
      <alignment horizontal="center"/>
    </xf>
    <xf numFmtId="8" fontId="35" fillId="17" borderId="87" xfId="53" applyNumberFormat="1" applyFont="1" applyFill="1" applyBorder="1" applyAlignment="1">
      <alignment horizontal="center"/>
    </xf>
    <xf numFmtId="38" fontId="38" fillId="21" borderId="79" xfId="0" applyNumberFormat="1" applyFont="1" applyFill="1" applyBorder="1" applyAlignment="1">
      <alignment horizontal="center"/>
    </xf>
    <xf numFmtId="8" fontId="38" fillId="21" borderId="93" xfId="0" applyNumberFormat="1" applyFont="1" applyFill="1" applyBorder="1" applyAlignment="1">
      <alignment horizontal="center"/>
    </xf>
    <xf numFmtId="7" fontId="39" fillId="0" borderId="22" xfId="40" applyNumberFormat="1" applyFont="1" applyFill="1" applyBorder="1" applyProtection="1">
      <protection locked="0"/>
    </xf>
    <xf numFmtId="38" fontId="35" fillId="0" borderId="0" xfId="59" applyNumberFormat="1" applyFont="1" applyFill="1" applyBorder="1" applyAlignment="1" applyProtection="1">
      <alignment horizontal="left" indent="1"/>
      <protection locked="0"/>
    </xf>
    <xf numFmtId="8" fontId="35" fillId="0" borderId="0" xfId="59" applyNumberFormat="1" applyFont="1" applyFill="1" applyBorder="1" applyAlignment="1" applyProtection="1">
      <alignment horizontal="left" indent="1"/>
      <protection locked="0"/>
    </xf>
    <xf numFmtId="38" fontId="36" fillId="17" borderId="0" xfId="0" applyNumberFormat="1" applyFont="1" applyFill="1" applyAlignment="1">
      <alignment horizontal="right"/>
    </xf>
    <xf numFmtId="38" fontId="35" fillId="0" borderId="0" xfId="59" applyNumberFormat="1" applyFont="1" applyFill="1" applyBorder="1" applyAlignment="1" applyProtection="1">
      <alignment horizontal="right"/>
      <protection locked="0"/>
    </xf>
    <xf numFmtId="38" fontId="35" fillId="0" borderId="1" xfId="54" applyNumberFormat="1" applyFont="1" applyFill="1" applyBorder="1" applyAlignment="1" applyProtection="1">
      <alignment horizontal="right"/>
      <protection locked="0"/>
    </xf>
    <xf numFmtId="38" fontId="35" fillId="0" borderId="0" xfId="54" applyNumberFormat="1" applyFont="1" applyFill="1" applyBorder="1" applyAlignment="1" applyProtection="1">
      <alignment horizontal="right"/>
      <protection locked="0"/>
    </xf>
    <xf numFmtId="38" fontId="35" fillId="0" borderId="22" xfId="54" applyNumberFormat="1" applyFont="1" applyFill="1" applyBorder="1" applyAlignment="1" applyProtection="1">
      <alignment horizontal="right"/>
      <protection locked="0"/>
    </xf>
    <xf numFmtId="38" fontId="39" fillId="0" borderId="0" xfId="54" applyNumberFormat="1" applyFont="1" applyFill="1" applyBorder="1" applyAlignment="1" applyProtection="1">
      <alignment horizontal="right"/>
      <protection locked="0"/>
    </xf>
    <xf numFmtId="38" fontId="35" fillId="0" borderId="22" xfId="59" applyNumberFormat="1" applyFont="1" applyFill="1" applyBorder="1" applyAlignment="1" applyProtection="1">
      <alignment horizontal="right"/>
      <protection locked="0"/>
    </xf>
    <xf numFmtId="38" fontId="35" fillId="17" borderId="0" xfId="54" applyNumberFormat="1" applyFont="1" applyFill="1" applyBorder="1" applyAlignment="1" applyProtection="1">
      <alignment horizontal="right"/>
      <protection locked="0"/>
    </xf>
    <xf numFmtId="38" fontId="35" fillId="0" borderId="0" xfId="0" applyNumberFormat="1" applyFont="1" applyAlignment="1">
      <alignment horizontal="right"/>
    </xf>
    <xf numFmtId="38" fontId="35" fillId="0" borderId="0" xfId="59" applyNumberFormat="1" applyFont="1" applyFill="1" applyBorder="1" applyAlignment="1" applyProtection="1">
      <alignment horizontal="left"/>
      <protection locked="0"/>
    </xf>
    <xf numFmtId="8" fontId="36" fillId="17" borderId="0" xfId="0" applyNumberFormat="1" applyFont="1" applyFill="1" applyAlignment="1">
      <alignment horizontal="right"/>
    </xf>
    <xf numFmtId="8" fontId="35" fillId="0" borderId="1" xfId="54" applyNumberFormat="1" applyFont="1" applyFill="1" applyBorder="1" applyAlignment="1" applyProtection="1">
      <alignment horizontal="right"/>
      <protection locked="0"/>
    </xf>
    <xf numFmtId="8" fontId="35" fillId="0" borderId="0" xfId="54" applyNumberFormat="1" applyFont="1" applyFill="1" applyBorder="1" applyAlignment="1" applyProtection="1">
      <alignment horizontal="right"/>
      <protection locked="0"/>
    </xf>
    <xf numFmtId="8" fontId="35" fillId="0" borderId="22" xfId="54" applyNumberFormat="1" applyFont="1" applyFill="1" applyBorder="1" applyAlignment="1" applyProtection="1">
      <alignment horizontal="right"/>
      <protection locked="0"/>
    </xf>
    <xf numFmtId="8" fontId="35" fillId="0" borderId="0" xfId="59" applyNumberFormat="1" applyFont="1" applyFill="1" applyBorder="1" applyAlignment="1" applyProtection="1">
      <alignment horizontal="right"/>
      <protection locked="0"/>
    </xf>
    <xf numFmtId="8" fontId="35" fillId="17" borderId="0" xfId="54" applyNumberFormat="1" applyFont="1" applyFill="1" applyBorder="1" applyAlignment="1" applyProtection="1">
      <alignment horizontal="right"/>
      <protection locked="0"/>
    </xf>
    <xf numFmtId="8" fontId="35" fillId="0" borderId="0" xfId="0" applyNumberFormat="1" applyFont="1" applyAlignment="1">
      <alignment horizontal="right"/>
    </xf>
    <xf numFmtId="38" fontId="39" fillId="0" borderId="0" xfId="59" applyNumberFormat="1" applyFont="1" applyFill="1" applyBorder="1" applyAlignment="1" applyProtection="1">
      <alignment horizontal="right"/>
      <protection locked="0"/>
    </xf>
    <xf numFmtId="38" fontId="39" fillId="0" borderId="22" xfId="54" applyNumberFormat="1" applyFont="1" applyFill="1" applyBorder="1" applyAlignment="1" applyProtection="1">
      <alignment horizontal="right"/>
      <protection locked="0"/>
    </xf>
    <xf numFmtId="8" fontId="39" fillId="0" borderId="0" xfId="54" applyNumberFormat="1" applyFont="1" applyFill="1" applyBorder="1" applyAlignment="1" applyProtection="1">
      <alignment horizontal="right"/>
      <protection locked="0"/>
    </xf>
    <xf numFmtId="8" fontId="39" fillId="0" borderId="22" xfId="54" applyNumberFormat="1" applyFont="1" applyFill="1" applyBorder="1" applyAlignment="1" applyProtection="1">
      <alignment horizontal="right"/>
      <protection locked="0"/>
    </xf>
    <xf numFmtId="0" fontId="34" fillId="17" borderId="0" xfId="51" applyFont="1" applyFill="1"/>
    <xf numFmtId="0" fontId="35" fillId="17" borderId="0" xfId="51" applyFont="1" applyFill="1"/>
    <xf numFmtId="0" fontId="35" fillId="17" borderId="0" xfId="51" applyFont="1" applyFill="1" applyAlignment="1">
      <alignment horizontal="right"/>
    </xf>
    <xf numFmtId="0" fontId="42" fillId="16" borderId="0" xfId="51" applyFont="1" applyFill="1"/>
    <xf numFmtId="0" fontId="43" fillId="16" borderId="0" xfId="51" applyFont="1" applyFill="1"/>
    <xf numFmtId="0" fontId="43" fillId="16" borderId="0" xfId="51" applyFont="1" applyFill="1" applyAlignment="1">
      <alignment horizontal="right"/>
    </xf>
    <xf numFmtId="186" fontId="34" fillId="22" borderId="0" xfId="51" applyNumberFormat="1" applyFont="1" applyFill="1" applyAlignment="1">
      <alignment horizontal="center"/>
    </xf>
    <xf numFmtId="0" fontId="34" fillId="23" borderId="1" xfId="51" applyFont="1" applyFill="1" applyBorder="1" applyAlignment="1">
      <alignment horizontal="left"/>
    </xf>
    <xf numFmtId="0" fontId="34" fillId="23" borderId="0" xfId="51" applyFont="1" applyFill="1" applyBorder="1" applyAlignment="1">
      <alignment horizontal="right"/>
    </xf>
    <xf numFmtId="5" fontId="34" fillId="23" borderId="22" xfId="51" applyNumberFormat="1" applyFont="1" applyFill="1" applyBorder="1" applyAlignment="1">
      <alignment horizontal="right"/>
    </xf>
    <xf numFmtId="9" fontId="35" fillId="17" borderId="0" xfId="60" applyFont="1" applyFill="1"/>
    <xf numFmtId="37" fontId="34" fillId="17" borderId="0" xfId="51" applyNumberFormat="1" applyFont="1" applyFill="1"/>
    <xf numFmtId="9" fontId="34" fillId="17" borderId="0" xfId="60" applyFont="1" applyFill="1"/>
    <xf numFmtId="165" fontId="45" fillId="17" borderId="0" xfId="51" applyNumberFormat="1" applyFont="1" applyFill="1"/>
    <xf numFmtId="9" fontId="45" fillId="17" borderId="0" xfId="60" applyFont="1" applyFill="1"/>
    <xf numFmtId="38" fontId="34" fillId="17" borderId="0" xfId="51" applyNumberFormat="1" applyFont="1" applyFill="1"/>
    <xf numFmtId="38" fontId="35" fillId="17" borderId="0" xfId="51" applyNumberFormat="1" applyFont="1" applyFill="1"/>
    <xf numFmtId="37" fontId="35" fillId="17" borderId="0" xfId="51" applyNumberFormat="1" applyFont="1" applyFill="1"/>
    <xf numFmtId="0" fontId="35" fillId="17" borderId="0" xfId="51" applyFont="1" applyFill="1" applyBorder="1"/>
    <xf numFmtId="181" fontId="53" fillId="17" borderId="0" xfId="51" applyNumberFormat="1" applyFont="1" applyFill="1" applyBorder="1"/>
    <xf numFmtId="0" fontId="36" fillId="17" borderId="0" xfId="51" applyFont="1" applyFill="1"/>
    <xf numFmtId="0" fontId="41" fillId="17" borderId="0" xfId="51" applyFont="1" applyFill="1"/>
    <xf numFmtId="165" fontId="34" fillId="17" borderId="22" xfId="51" applyNumberFormat="1" applyFont="1" applyFill="1" applyBorder="1"/>
    <xf numFmtId="0" fontId="35" fillId="17" borderId="1" xfId="51" applyFont="1" applyFill="1" applyBorder="1"/>
    <xf numFmtId="9" fontId="35" fillId="17" borderId="22" xfId="51" applyNumberFormat="1" applyFont="1" applyFill="1" applyBorder="1"/>
    <xf numFmtId="165" fontId="35" fillId="17" borderId="22" xfId="51" applyNumberFormat="1" applyFont="1" applyFill="1" applyBorder="1"/>
    <xf numFmtId="0" fontId="35" fillId="17" borderId="71" xfId="51" applyFont="1" applyFill="1" applyBorder="1" applyAlignment="1">
      <alignment horizontal="right"/>
    </xf>
    <xf numFmtId="0" fontId="35" fillId="17" borderId="70" xfId="51" applyFont="1" applyFill="1" applyBorder="1" applyAlignment="1">
      <alignment horizontal="right"/>
    </xf>
    <xf numFmtId="0" fontId="35" fillId="17" borderId="72" xfId="51" applyFont="1" applyFill="1" applyBorder="1" applyAlignment="1">
      <alignment horizontal="right"/>
    </xf>
    <xf numFmtId="165" fontId="40" fillId="17" borderId="22" xfId="51" applyNumberFormat="1" applyFont="1" applyFill="1" applyBorder="1"/>
    <xf numFmtId="0" fontId="35" fillId="17" borderId="70" xfId="51" applyFont="1" applyFill="1" applyBorder="1"/>
    <xf numFmtId="180" fontId="52" fillId="17" borderId="0" xfId="51" applyNumberFormat="1" applyFont="1" applyFill="1" applyBorder="1"/>
    <xf numFmtId="0" fontId="35" fillId="17" borderId="0" xfId="51" applyFont="1" applyFill="1" applyAlignment="1">
      <alignment horizontal="center"/>
    </xf>
    <xf numFmtId="37" fontId="34" fillId="17" borderId="0" xfId="51" applyNumberFormat="1" applyFont="1" applyFill="1" applyBorder="1"/>
    <xf numFmtId="37" fontId="51" fillId="17" borderId="0" xfId="51" applyNumberFormat="1" applyFont="1" applyFill="1" applyBorder="1"/>
    <xf numFmtId="37" fontId="34" fillId="17" borderId="0" xfId="51" applyNumberFormat="1" applyFont="1" applyFill="1" applyAlignment="1">
      <alignment horizontal="right"/>
    </xf>
    <xf numFmtId="37" fontId="46" fillId="17" borderId="0" xfId="51" applyNumberFormat="1" applyFont="1" applyFill="1" applyAlignment="1">
      <alignment horizontal="center"/>
    </xf>
    <xf numFmtId="37" fontId="34" fillId="17" borderId="0" xfId="51" applyNumberFormat="1" applyFont="1" applyFill="1" applyAlignment="1">
      <alignment horizontal="center"/>
    </xf>
    <xf numFmtId="165" fontId="45" fillId="17" borderId="0" xfId="51" applyNumberFormat="1" applyFont="1" applyFill="1" applyBorder="1" applyAlignment="1">
      <alignment horizontal="left" indent="1"/>
    </xf>
    <xf numFmtId="165" fontId="45" fillId="17" borderId="0" xfId="60" applyNumberFormat="1" applyFont="1" applyFill="1" applyBorder="1"/>
    <xf numFmtId="165" fontId="45" fillId="17" borderId="0" xfId="51" applyNumberFormat="1" applyFont="1" applyFill="1" applyAlignment="1">
      <alignment horizontal="right"/>
    </xf>
    <xf numFmtId="165" fontId="38" fillId="17" borderId="0" xfId="51" applyNumberFormat="1" applyFont="1" applyFill="1" applyAlignment="1">
      <alignment horizontal="center"/>
    </xf>
    <xf numFmtId="165" fontId="45" fillId="17" borderId="0" xfId="51" applyNumberFormat="1" applyFont="1" applyFill="1" applyAlignment="1">
      <alignment horizontal="center"/>
    </xf>
    <xf numFmtId="165" fontId="39" fillId="17" borderId="0" xfId="51" applyNumberFormat="1" applyFont="1" applyFill="1" applyAlignment="1">
      <alignment horizontal="center"/>
    </xf>
    <xf numFmtId="180" fontId="53" fillId="17" borderId="0" xfId="51" applyNumberFormat="1" applyFont="1" applyFill="1" applyBorder="1"/>
    <xf numFmtId="37" fontId="34" fillId="17" borderId="0" xfId="60" applyNumberFormat="1" applyFont="1" applyFill="1" applyBorder="1"/>
    <xf numFmtId="180" fontId="53" fillId="17" borderId="0" xfId="51" applyNumberFormat="1" applyFont="1" applyFill="1"/>
    <xf numFmtId="180" fontId="71" fillId="17" borderId="0" xfId="51" applyNumberFormat="1" applyFont="1" applyFill="1" applyBorder="1"/>
    <xf numFmtId="180" fontId="71" fillId="17" borderId="0" xfId="51" applyNumberFormat="1" applyFont="1" applyFill="1"/>
    <xf numFmtId="180" fontId="52" fillId="17" borderId="0" xfId="51" applyNumberFormat="1" applyFont="1" applyFill="1"/>
    <xf numFmtId="37" fontId="38" fillId="17" borderId="0" xfId="51" applyNumberFormat="1" applyFont="1" applyFill="1" applyAlignment="1">
      <alignment horizontal="center"/>
    </xf>
    <xf numFmtId="37" fontId="39" fillId="17" borderId="0" xfId="51" applyNumberFormat="1" applyFont="1" applyFill="1" applyAlignment="1">
      <alignment horizontal="center"/>
    </xf>
    <xf numFmtId="37" fontId="35" fillId="17" borderId="0" xfId="51" applyNumberFormat="1" applyFont="1" applyFill="1" applyAlignment="1">
      <alignment horizontal="center"/>
    </xf>
    <xf numFmtId="39" fontId="39" fillId="17" borderId="0" xfId="51" applyNumberFormat="1" applyFont="1" applyFill="1" applyAlignment="1">
      <alignment horizontal="center"/>
    </xf>
    <xf numFmtId="39" fontId="35" fillId="17" borderId="0" xfId="51" applyNumberFormat="1" applyFont="1" applyFill="1" applyAlignment="1">
      <alignment horizontal="center"/>
    </xf>
    <xf numFmtId="180" fontId="52" fillId="17" borderId="70" xfId="51" applyNumberFormat="1" applyFont="1" applyFill="1" applyBorder="1"/>
    <xf numFmtId="39" fontId="35" fillId="17" borderId="70" xfId="51" applyNumberFormat="1" applyFont="1" applyFill="1" applyBorder="1" applyAlignment="1">
      <alignment horizontal="center"/>
    </xf>
    <xf numFmtId="0" fontId="35" fillId="17" borderId="6" xfId="51" applyFont="1" applyFill="1" applyBorder="1" applyAlignment="1">
      <alignment horizontal="right"/>
    </xf>
    <xf numFmtId="0" fontId="35" fillId="17" borderId="21" xfId="51" applyFont="1" applyFill="1" applyBorder="1" applyAlignment="1">
      <alignment horizontal="right"/>
    </xf>
    <xf numFmtId="0" fontId="35" fillId="17" borderId="20" xfId="51" applyFont="1" applyFill="1" applyBorder="1" applyAlignment="1">
      <alignment horizontal="right"/>
    </xf>
    <xf numFmtId="0" fontId="35" fillId="17" borderId="1" xfId="51" applyFont="1" applyFill="1" applyBorder="1" applyAlignment="1">
      <alignment horizontal="left"/>
    </xf>
    <xf numFmtId="0" fontId="35" fillId="17" borderId="0" xfId="51" applyFont="1" applyFill="1" applyBorder="1" applyAlignment="1">
      <alignment horizontal="right"/>
    </xf>
    <xf numFmtId="37" fontId="35" fillId="17" borderId="22" xfId="51" applyNumberFormat="1" applyFont="1" applyFill="1" applyBorder="1" applyAlignment="1">
      <alignment horizontal="right"/>
    </xf>
    <xf numFmtId="165" fontId="39" fillId="17" borderId="22" xfId="51" applyNumberFormat="1" applyFont="1" applyFill="1" applyBorder="1"/>
    <xf numFmtId="0" fontId="35" fillId="17" borderId="1" xfId="51" quotePrefix="1" applyFont="1" applyFill="1" applyBorder="1" applyAlignment="1">
      <alignment horizontal="left"/>
    </xf>
    <xf numFmtId="37" fontId="38" fillId="17" borderId="22" xfId="51" applyNumberFormat="1" applyFont="1" applyFill="1" applyBorder="1" applyAlignment="1">
      <alignment horizontal="right"/>
    </xf>
    <xf numFmtId="165" fontId="38" fillId="17" borderId="22" xfId="51" applyNumberFormat="1" applyFont="1" applyFill="1" applyBorder="1"/>
    <xf numFmtId="9" fontId="38" fillId="17" borderId="22" xfId="51" applyNumberFormat="1" applyFont="1" applyFill="1" applyBorder="1"/>
    <xf numFmtId="165" fontId="34" fillId="17" borderId="6" xfId="51" applyNumberFormat="1" applyFont="1" applyFill="1" applyBorder="1"/>
    <xf numFmtId="165" fontId="35" fillId="17" borderId="21" xfId="51" applyNumberFormat="1" applyFont="1" applyFill="1" applyBorder="1"/>
    <xf numFmtId="165" fontId="35" fillId="17" borderId="20" xfId="51" applyNumberFormat="1" applyFont="1" applyFill="1" applyBorder="1"/>
    <xf numFmtId="165" fontId="35" fillId="17" borderId="1" xfId="51" applyNumberFormat="1" applyFont="1" applyFill="1" applyBorder="1"/>
    <xf numFmtId="165" fontId="35" fillId="17" borderId="0" xfId="51" applyNumberFormat="1" applyFont="1" applyFill="1" applyBorder="1"/>
    <xf numFmtId="165" fontId="34" fillId="17" borderId="1" xfId="51" applyNumberFormat="1" applyFont="1" applyFill="1" applyBorder="1"/>
    <xf numFmtId="165" fontId="35" fillId="17" borderId="71" xfId="51" applyNumberFormat="1" applyFont="1" applyFill="1" applyBorder="1"/>
    <xf numFmtId="165" fontId="35" fillId="17" borderId="70" xfId="51" applyNumberFormat="1" applyFont="1" applyFill="1" applyBorder="1"/>
    <xf numFmtId="165" fontId="53" fillId="17" borderId="72" xfId="51" applyNumberFormat="1" applyFont="1" applyFill="1" applyBorder="1"/>
    <xf numFmtId="37" fontId="48" fillId="16" borderId="22" xfId="55" applyFont="1" applyFill="1" applyBorder="1"/>
    <xf numFmtId="37" fontId="49" fillId="16" borderId="22" xfId="55" applyFont="1" applyFill="1" applyBorder="1"/>
    <xf numFmtId="0" fontId="41" fillId="0" borderId="22" xfId="0" applyFont="1" applyFill="1" applyBorder="1"/>
    <xf numFmtId="41" fontId="48" fillId="16" borderId="22" xfId="0" applyNumberFormat="1" applyFont="1" applyFill="1" applyBorder="1"/>
    <xf numFmtId="164" fontId="50" fillId="0" borderId="22" xfId="54" quotePrefix="1" applyNumberFormat="1" applyFont="1" applyFill="1" applyBorder="1" applyAlignment="1" applyProtection="1">
      <alignment horizontal="center"/>
      <protection locked="0"/>
    </xf>
    <xf numFmtId="165" fontId="54" fillId="17" borderId="22" xfId="0" applyNumberFormat="1" applyFont="1" applyFill="1" applyBorder="1"/>
    <xf numFmtId="37" fontId="36" fillId="17" borderId="72" xfId="0" applyNumberFormat="1" applyFont="1" applyFill="1" applyBorder="1"/>
    <xf numFmtId="37" fontId="41" fillId="17" borderId="22" xfId="0" applyNumberFormat="1" applyFont="1" applyFill="1" applyBorder="1"/>
    <xf numFmtId="0" fontId="36" fillId="17" borderId="22" xfId="0" applyFont="1" applyFill="1" applyBorder="1"/>
    <xf numFmtId="165" fontId="54" fillId="17" borderId="72" xfId="0" applyNumberFormat="1" applyFont="1" applyFill="1" applyBorder="1"/>
    <xf numFmtId="7" fontId="36" fillId="17" borderId="22" xfId="0" applyNumberFormat="1" applyFont="1" applyFill="1" applyBorder="1"/>
    <xf numFmtId="7" fontId="36" fillId="17" borderId="38" xfId="0" applyNumberFormat="1" applyFont="1" applyFill="1" applyBorder="1"/>
    <xf numFmtId="38" fontId="36" fillId="17" borderId="22" xfId="0" applyNumberFormat="1" applyFont="1" applyFill="1" applyBorder="1" applyAlignment="1">
      <alignment horizontal="right"/>
    </xf>
    <xf numFmtId="8" fontId="36" fillId="17" borderId="22" xfId="0" applyNumberFormat="1" applyFont="1" applyFill="1" applyBorder="1" applyAlignment="1">
      <alignment horizontal="right"/>
    </xf>
    <xf numFmtId="0" fontId="36" fillId="0" borderId="22" xfId="0" applyFont="1" applyFill="1" applyBorder="1" applyAlignment="1" applyProtection="1">
      <alignment horizontal="left"/>
      <protection locked="0"/>
    </xf>
    <xf numFmtId="37" fontId="54" fillId="17" borderId="22" xfId="0" applyNumberFormat="1" applyFont="1" applyFill="1" applyBorder="1"/>
    <xf numFmtId="37" fontId="36" fillId="17" borderId="20" xfId="0" applyNumberFormat="1" applyFont="1" applyFill="1" applyBorder="1"/>
    <xf numFmtId="164" fontId="36" fillId="17" borderId="22" xfId="0" applyNumberFormat="1" applyFont="1" applyFill="1" applyBorder="1"/>
    <xf numFmtId="183" fontId="36" fillId="17" borderId="22" xfId="0" applyNumberFormat="1" applyFont="1" applyFill="1" applyBorder="1"/>
    <xf numFmtId="0" fontId="58" fillId="0" borderId="22" xfId="0" applyFont="1" applyFill="1" applyBorder="1"/>
    <xf numFmtId="37" fontId="36" fillId="17" borderId="74" xfId="0" applyNumberFormat="1" applyFont="1" applyFill="1" applyBorder="1"/>
    <xf numFmtId="7" fontId="36" fillId="17" borderId="76" xfId="0" applyNumberFormat="1" applyFont="1" applyFill="1" applyBorder="1"/>
    <xf numFmtId="165" fontId="34" fillId="17" borderId="22" xfId="0" applyNumberFormat="1" applyFont="1" applyFill="1" applyBorder="1"/>
    <xf numFmtId="165" fontId="36" fillId="17" borderId="22" xfId="0" applyNumberFormat="1" applyFont="1" applyFill="1" applyBorder="1"/>
    <xf numFmtId="37" fontId="61" fillId="0" borderId="22" xfId="39" applyNumberFormat="1" applyFont="1" applyFill="1" applyBorder="1" applyAlignment="1" applyProtection="1">
      <protection locked="0"/>
    </xf>
    <xf numFmtId="0" fontId="35" fillId="0" borderId="22" xfId="0" applyFont="1" applyBorder="1"/>
    <xf numFmtId="37" fontId="35" fillId="17" borderId="22" xfId="38" applyNumberFormat="1" applyFont="1" applyFill="1" applyBorder="1" applyProtection="1">
      <protection locked="0"/>
    </xf>
    <xf numFmtId="37" fontId="39" fillId="17" borderId="22" xfId="38" applyNumberFormat="1" applyFont="1" applyFill="1" applyBorder="1" applyProtection="1">
      <protection locked="0"/>
    </xf>
    <xf numFmtId="37" fontId="53" fillId="17" borderId="20" xfId="38" applyNumberFormat="1" applyFont="1" applyFill="1" applyBorder="1" applyProtection="1">
      <protection locked="0"/>
    </xf>
    <xf numFmtId="37" fontId="34" fillId="17" borderId="22" xfId="38" applyNumberFormat="1" applyFont="1" applyFill="1" applyBorder="1" applyProtection="1">
      <protection locked="0"/>
    </xf>
    <xf numFmtId="37" fontId="51" fillId="17" borderId="20" xfId="38" applyNumberFormat="1" applyFont="1" applyFill="1" applyBorder="1" applyProtection="1">
      <protection locked="0"/>
    </xf>
    <xf numFmtId="37" fontId="53" fillId="17" borderId="22" xfId="38" applyNumberFormat="1" applyFont="1" applyFill="1" applyBorder="1" applyProtection="1">
      <protection locked="0"/>
    </xf>
    <xf numFmtId="37" fontId="51" fillId="17" borderId="22" xfId="38" applyNumberFormat="1" applyFont="1" applyFill="1" applyBorder="1" applyProtection="1">
      <protection locked="0"/>
    </xf>
    <xf numFmtId="37" fontId="35" fillId="17" borderId="22" xfId="39" applyNumberFormat="1" applyFont="1" applyFill="1" applyBorder="1" applyProtection="1">
      <protection locked="0"/>
    </xf>
    <xf numFmtId="37" fontId="45" fillId="17" borderId="22" xfId="38" applyNumberFormat="1" applyFont="1" applyFill="1" applyBorder="1" applyProtection="1">
      <protection locked="0"/>
    </xf>
    <xf numFmtId="37" fontId="39" fillId="17" borderId="22" xfId="38" applyNumberFormat="1" applyFont="1" applyFill="1" applyBorder="1" applyAlignment="1" applyProtection="1">
      <alignment horizontal="right"/>
      <protection locked="0"/>
    </xf>
    <xf numFmtId="37" fontId="57" fillId="17" borderId="22" xfId="38" applyNumberFormat="1" applyFont="1" applyFill="1" applyBorder="1" applyProtection="1">
      <protection locked="0"/>
    </xf>
    <xf numFmtId="37" fontId="45" fillId="17" borderId="22" xfId="39" applyNumberFormat="1" applyFont="1" applyFill="1" applyBorder="1" applyProtection="1">
      <protection locked="0"/>
    </xf>
    <xf numFmtId="37" fontId="34" fillId="17" borderId="22" xfId="39" applyNumberFormat="1" applyFont="1" applyFill="1" applyBorder="1" applyProtection="1">
      <protection locked="0"/>
    </xf>
    <xf numFmtId="37" fontId="35" fillId="17" borderId="0" xfId="38" applyNumberFormat="1" applyFont="1" applyFill="1" applyBorder="1" applyProtection="1">
      <protection locked="0"/>
    </xf>
    <xf numFmtId="37" fontId="39" fillId="17" borderId="0" xfId="38" applyNumberFormat="1" applyFont="1" applyFill="1" applyBorder="1" applyProtection="1">
      <protection locked="0"/>
    </xf>
    <xf numFmtId="37" fontId="53" fillId="17" borderId="0" xfId="38" applyNumberFormat="1" applyFont="1" applyFill="1" applyBorder="1" applyProtection="1">
      <protection locked="0"/>
    </xf>
    <xf numFmtId="37" fontId="34" fillId="17" borderId="0" xfId="38" applyNumberFormat="1" applyFont="1" applyFill="1" applyBorder="1" applyProtection="1">
      <protection locked="0"/>
    </xf>
    <xf numFmtId="37" fontId="51" fillId="17" borderId="0" xfId="38" applyNumberFormat="1" applyFont="1" applyFill="1" applyBorder="1" applyProtection="1">
      <protection locked="0"/>
    </xf>
    <xf numFmtId="37" fontId="35" fillId="17" borderId="0" xfId="39" applyNumberFormat="1" applyFont="1" applyFill="1" applyBorder="1" applyProtection="1">
      <protection locked="0"/>
    </xf>
    <xf numFmtId="37" fontId="45" fillId="17" borderId="0" xfId="38" applyNumberFormat="1" applyFont="1" applyFill="1" applyBorder="1" applyProtection="1">
      <protection locked="0"/>
    </xf>
    <xf numFmtId="37" fontId="39" fillId="17" borderId="0" xfId="38" applyNumberFormat="1" applyFont="1" applyFill="1" applyBorder="1" applyAlignment="1" applyProtection="1">
      <alignment horizontal="right"/>
      <protection locked="0"/>
    </xf>
    <xf numFmtId="37" fontId="57" fillId="17" borderId="0" xfId="38" applyNumberFormat="1" applyFont="1" applyFill="1" applyBorder="1" applyProtection="1">
      <protection locked="0"/>
    </xf>
    <xf numFmtId="37" fontId="45" fillId="17" borderId="0" xfId="39" applyNumberFormat="1" applyFont="1" applyFill="1" applyBorder="1" applyProtection="1">
      <protection locked="0"/>
    </xf>
    <xf numFmtId="37" fontId="34" fillId="17" borderId="0" xfId="39" applyNumberFormat="1" applyFont="1" applyFill="1" applyBorder="1" applyProtection="1">
      <protection locked="0"/>
    </xf>
    <xf numFmtId="37" fontId="53" fillId="17" borderId="21" xfId="38" applyNumberFormat="1" applyFont="1" applyFill="1" applyBorder="1" applyProtection="1">
      <protection locked="0"/>
    </xf>
    <xf numFmtId="37" fontId="51" fillId="17" borderId="21" xfId="38" applyNumberFormat="1" applyFont="1" applyFill="1" applyBorder="1" applyProtection="1">
      <protection locked="0"/>
    </xf>
    <xf numFmtId="37" fontId="39" fillId="17" borderId="70" xfId="38" applyNumberFormat="1" applyFont="1" applyFill="1" applyBorder="1" applyAlignment="1" applyProtection="1">
      <alignment horizontal="right"/>
      <protection locked="0"/>
    </xf>
    <xf numFmtId="37" fontId="39" fillId="17" borderId="72" xfId="38" applyNumberFormat="1" applyFont="1" applyFill="1" applyBorder="1" applyAlignment="1" applyProtection="1">
      <alignment horizontal="right"/>
      <protection locked="0"/>
    </xf>
    <xf numFmtId="0" fontId="35" fillId="0" borderId="70" xfId="0" applyFont="1" applyBorder="1"/>
    <xf numFmtId="0" fontId="35" fillId="0" borderId="72" xfId="0" applyFont="1" applyBorder="1"/>
    <xf numFmtId="0" fontId="39" fillId="0" borderId="0" xfId="52" applyFont="1" applyFill="1" applyBorder="1"/>
    <xf numFmtId="164" fontId="72" fillId="17" borderId="0" xfId="0" applyNumberFormat="1" applyFont="1" applyFill="1" applyBorder="1" applyAlignment="1" applyProtection="1">
      <alignment horizontal="right"/>
      <protection locked="0"/>
    </xf>
    <xf numFmtId="9" fontId="36" fillId="17" borderId="0" xfId="0" applyNumberFormat="1" applyFont="1" applyFill="1"/>
    <xf numFmtId="9" fontId="35" fillId="0" borderId="0" xfId="39" applyNumberFormat="1" applyFont="1" applyFill="1" applyBorder="1" applyAlignment="1" applyProtection="1">
      <alignment horizontal="left" indent="1"/>
      <protection locked="0"/>
    </xf>
    <xf numFmtId="9" fontId="36" fillId="17" borderId="22" xfId="0" applyNumberFormat="1" applyFont="1" applyFill="1" applyBorder="1"/>
    <xf numFmtId="9" fontId="53" fillId="0" borderId="1" xfId="39" applyNumberFormat="1" applyFont="1" applyFill="1" applyBorder="1" applyProtection="1">
      <protection locked="0"/>
    </xf>
    <xf numFmtId="9" fontId="53" fillId="0" borderId="0" xfId="39" applyNumberFormat="1" applyFont="1" applyFill="1" applyBorder="1" applyProtection="1">
      <protection locked="0"/>
    </xf>
    <xf numFmtId="9" fontId="53" fillId="0" borderId="22" xfId="39" applyNumberFormat="1" applyFont="1" applyFill="1" applyBorder="1" applyProtection="1">
      <protection locked="0"/>
    </xf>
    <xf numFmtId="9" fontId="35" fillId="17" borderId="0" xfId="54" applyNumberFormat="1" applyFont="1" applyFill="1" applyBorder="1" applyProtection="1">
      <protection locked="0"/>
    </xf>
    <xf numFmtId="9" fontId="60" fillId="0" borderId="0" xfId="39" applyNumberFormat="1" applyFont="1" applyFill="1" applyBorder="1" applyProtection="1">
      <protection locked="0"/>
    </xf>
    <xf numFmtId="9" fontId="35" fillId="0" borderId="0" xfId="39" applyNumberFormat="1" applyFont="1" applyFill="1" applyBorder="1" applyAlignment="1" applyProtection="1">
      <alignment horizontal="right"/>
      <protection locked="0"/>
    </xf>
    <xf numFmtId="9" fontId="35" fillId="0" borderId="0" xfId="0" applyNumberFormat="1" applyFont="1"/>
    <xf numFmtId="179" fontId="34" fillId="17" borderId="18" xfId="50" applyNumberFormat="1" applyFont="1" applyFill="1" applyBorder="1"/>
    <xf numFmtId="179" fontId="34" fillId="17" borderId="28" xfId="50" applyNumberFormat="1" applyFont="1" applyFill="1" applyBorder="1"/>
    <xf numFmtId="179" fontId="34" fillId="17" borderId="19" xfId="50" applyNumberFormat="1" applyFont="1" applyFill="1" applyBorder="1"/>
    <xf numFmtId="0" fontId="33" fillId="17" borderId="0" xfId="0" applyFont="1" applyFill="1" applyBorder="1"/>
    <xf numFmtId="37" fontId="73" fillId="17" borderId="0" xfId="0" applyNumberFormat="1" applyFont="1" applyFill="1" applyBorder="1" applyAlignment="1">
      <alignment horizontal="center"/>
    </xf>
    <xf numFmtId="0" fontId="33" fillId="17" borderId="70" xfId="0" applyFont="1" applyFill="1" applyBorder="1"/>
    <xf numFmtId="37" fontId="73" fillId="17" borderId="70" xfId="0" applyNumberFormat="1" applyFont="1" applyFill="1" applyBorder="1" applyAlignment="1">
      <alignment horizontal="center"/>
    </xf>
    <xf numFmtId="43" fontId="34" fillId="17" borderId="0" xfId="38" applyFont="1" applyFill="1"/>
    <xf numFmtId="0" fontId="33" fillId="17" borderId="1" xfId="0" quotePrefix="1" applyFont="1" applyFill="1" applyBorder="1" applyAlignment="1">
      <alignment horizontal="left"/>
    </xf>
    <xf numFmtId="8" fontId="38" fillId="0" borderId="22" xfId="59" applyNumberFormat="1" applyFont="1" applyFill="1" applyBorder="1" applyAlignment="1" applyProtection="1">
      <alignment horizontal="right"/>
      <protection locked="0"/>
    </xf>
    <xf numFmtId="8" fontId="38" fillId="0" borderId="0" xfId="59" applyNumberFormat="1" applyFont="1" applyFill="1" applyBorder="1" applyAlignment="1" applyProtection="1">
      <alignment horizontal="right"/>
      <protection locked="0"/>
    </xf>
    <xf numFmtId="38" fontId="39" fillId="0" borderId="22" xfId="59" applyNumberFormat="1" applyFont="1" applyFill="1" applyBorder="1" applyAlignment="1" applyProtection="1">
      <alignment horizontal="right"/>
      <protection locked="0"/>
    </xf>
    <xf numFmtId="8" fontId="38" fillId="0" borderId="0" xfId="54" applyNumberFormat="1" applyFont="1" applyFill="1" applyBorder="1" applyAlignment="1" applyProtection="1">
      <alignment horizontal="right"/>
      <protection locked="0"/>
    </xf>
    <xf numFmtId="0" fontId="0" fillId="17" borderId="0" xfId="0" applyFill="1"/>
    <xf numFmtId="0" fontId="36" fillId="17" borderId="0" xfId="0" applyFont="1" applyFill="1" applyBorder="1" applyAlignment="1" applyProtection="1">
      <alignment horizontal="left"/>
      <protection locked="0"/>
    </xf>
    <xf numFmtId="0" fontId="36" fillId="17" borderId="22" xfId="0" applyFont="1" applyFill="1" applyBorder="1" applyAlignment="1" applyProtection="1">
      <alignment horizontal="left"/>
      <protection locked="0"/>
    </xf>
    <xf numFmtId="0" fontId="36" fillId="17" borderId="1" xfId="0" applyFont="1" applyFill="1" applyBorder="1" applyAlignment="1" applyProtection="1">
      <alignment horizontal="right"/>
      <protection locked="0"/>
    </xf>
    <xf numFmtId="0" fontId="36" fillId="17" borderId="0" xfId="0" applyFont="1" applyFill="1" applyBorder="1" applyAlignment="1" applyProtection="1">
      <alignment horizontal="right"/>
      <protection locked="0"/>
    </xf>
    <xf numFmtId="0" fontId="36" fillId="17" borderId="22" xfId="0" applyFont="1" applyFill="1" applyBorder="1" applyAlignment="1" applyProtection="1">
      <alignment horizontal="right"/>
      <protection locked="0"/>
    </xf>
    <xf numFmtId="164" fontId="35" fillId="17" borderId="22" xfId="54" applyNumberFormat="1" applyFont="1" applyFill="1" applyBorder="1" applyProtection="1">
      <protection locked="0"/>
    </xf>
    <xf numFmtId="164" fontId="35" fillId="17" borderId="0" xfId="0" applyNumberFormat="1" applyFont="1" applyFill="1" applyBorder="1" applyAlignment="1" applyProtection="1">
      <alignment horizontal="left"/>
      <protection locked="0"/>
    </xf>
    <xf numFmtId="164" fontId="39" fillId="17" borderId="22" xfId="0" applyNumberFormat="1" applyFont="1" applyFill="1" applyBorder="1" applyAlignment="1" applyProtection="1">
      <alignment horizontal="left"/>
      <protection locked="0"/>
    </xf>
    <xf numFmtId="164" fontId="39" fillId="17" borderId="1" xfId="0" applyNumberFormat="1" applyFont="1" applyFill="1" applyBorder="1" applyAlignment="1" applyProtection="1">
      <alignment horizontal="right"/>
      <protection locked="0"/>
    </xf>
    <xf numFmtId="164" fontId="39" fillId="17" borderId="0" xfId="0" applyNumberFormat="1" applyFont="1" applyFill="1" applyBorder="1" applyAlignment="1" applyProtection="1">
      <alignment horizontal="right"/>
      <protection locked="0"/>
    </xf>
    <xf numFmtId="164" fontId="39" fillId="17" borderId="22" xfId="0" applyNumberFormat="1" applyFont="1" applyFill="1" applyBorder="1" applyAlignment="1" applyProtection="1">
      <alignment horizontal="right"/>
      <protection locked="0"/>
    </xf>
    <xf numFmtId="164" fontId="39" fillId="17" borderId="22" xfId="54" applyNumberFormat="1" applyFont="1" applyFill="1" applyBorder="1" applyProtection="1">
      <protection locked="0"/>
    </xf>
    <xf numFmtId="164" fontId="35" fillId="17" borderId="0" xfId="39" applyNumberFormat="1" applyFont="1" applyFill="1" applyBorder="1" applyAlignment="1" applyProtection="1">
      <alignment horizontal="right"/>
      <protection locked="0"/>
    </xf>
    <xf numFmtId="164" fontId="53" fillId="17" borderId="0" xfId="39" applyNumberFormat="1" applyFont="1" applyFill="1" applyBorder="1" applyProtection="1">
      <protection locked="0"/>
    </xf>
    <xf numFmtId="165" fontId="45" fillId="17" borderId="0" xfId="54" applyNumberFormat="1" applyFont="1" applyFill="1" applyBorder="1" applyAlignment="1" applyProtection="1">
      <alignment horizontal="left" indent="1"/>
      <protection locked="0"/>
    </xf>
    <xf numFmtId="165" fontId="45" fillId="17" borderId="1" xfId="39" applyNumberFormat="1" applyFont="1" applyFill="1" applyBorder="1" applyProtection="1">
      <protection locked="0"/>
    </xf>
    <xf numFmtId="165" fontId="45" fillId="17" borderId="0" xfId="39" applyNumberFormat="1" applyFont="1" applyFill="1" applyBorder="1" applyProtection="1">
      <protection locked="0"/>
    </xf>
    <xf numFmtId="165" fontId="45" fillId="17" borderId="22" xfId="39" applyNumberFormat="1" applyFont="1" applyFill="1" applyBorder="1" applyProtection="1">
      <protection locked="0"/>
    </xf>
    <xf numFmtId="37" fontId="34" fillId="17" borderId="0" xfId="0" applyNumberFormat="1" applyFont="1" applyFill="1" applyBorder="1" applyAlignment="1" applyProtection="1">
      <alignment horizontal="left"/>
      <protection locked="0"/>
    </xf>
    <xf numFmtId="37" fontId="34" fillId="17" borderId="22" xfId="0" applyNumberFormat="1" applyFont="1" applyFill="1" applyBorder="1" applyAlignment="1" applyProtection="1">
      <alignment horizontal="left"/>
      <protection locked="0"/>
    </xf>
    <xf numFmtId="37" fontId="34" fillId="17" borderId="1" xfId="0" applyNumberFormat="1" applyFont="1" applyFill="1" applyBorder="1" applyAlignment="1" applyProtection="1">
      <alignment horizontal="right"/>
      <protection locked="0"/>
    </xf>
    <xf numFmtId="37" fontId="34" fillId="17" borderId="0" xfId="0" applyNumberFormat="1" applyFont="1" applyFill="1" applyBorder="1" applyAlignment="1" applyProtection="1">
      <alignment horizontal="right"/>
      <protection locked="0"/>
    </xf>
    <xf numFmtId="37" fontId="34" fillId="17" borderId="22" xfId="0" applyNumberFormat="1" applyFont="1" applyFill="1" applyBorder="1" applyAlignment="1" applyProtection="1">
      <alignment horizontal="right"/>
      <protection locked="0"/>
    </xf>
    <xf numFmtId="37" fontId="34" fillId="17" borderId="22" xfId="54" applyNumberFormat="1" applyFont="1" applyFill="1" applyBorder="1" applyProtection="1">
      <protection locked="0"/>
    </xf>
    <xf numFmtId="37" fontId="40" fillId="17" borderId="0" xfId="39" applyNumberFormat="1" applyFont="1" applyFill="1" applyBorder="1" applyProtection="1">
      <protection locked="0"/>
    </xf>
    <xf numFmtId="37" fontId="40" fillId="17" borderId="0" xfId="0" applyNumberFormat="1" applyFont="1" applyFill="1" applyBorder="1" applyAlignment="1" applyProtection="1">
      <alignment horizontal="right"/>
      <protection locked="0"/>
    </xf>
    <xf numFmtId="37" fontId="40" fillId="17" borderId="22" xfId="54" applyNumberFormat="1" applyFont="1" applyFill="1" applyBorder="1" applyProtection="1">
      <protection locked="0"/>
    </xf>
    <xf numFmtId="37" fontId="40" fillId="17" borderId="0" xfId="54" applyNumberFormat="1" applyFont="1" applyFill="1" applyBorder="1" applyProtection="1">
      <protection locked="0"/>
    </xf>
    <xf numFmtId="37" fontId="52" fillId="17" borderId="1" xfId="39" applyNumberFormat="1" applyFont="1" applyFill="1" applyBorder="1" applyProtection="1">
      <protection locked="0"/>
    </xf>
    <xf numFmtId="37" fontId="52" fillId="17" borderId="0" xfId="39" applyNumberFormat="1" applyFont="1" applyFill="1" applyBorder="1" applyProtection="1">
      <protection locked="0"/>
    </xf>
    <xf numFmtId="37" fontId="52" fillId="17" borderId="22" xfId="39" applyNumberFormat="1" applyFont="1" applyFill="1" applyBorder="1" applyProtection="1">
      <protection locked="0"/>
    </xf>
    <xf numFmtId="37" fontId="39" fillId="17" borderId="0" xfId="39" applyNumberFormat="1" applyFont="1" applyFill="1" applyBorder="1" applyProtection="1">
      <protection locked="0"/>
    </xf>
    <xf numFmtId="37" fontId="39" fillId="17" borderId="22" xfId="39" applyNumberFormat="1" applyFont="1" applyFill="1" applyBorder="1" applyProtection="1">
      <protection locked="0"/>
    </xf>
    <xf numFmtId="37" fontId="35" fillId="17" borderId="0" xfId="39" applyNumberFormat="1" applyFont="1" applyFill="1" applyBorder="1" applyAlignment="1" applyProtection="1">
      <alignment horizontal="right"/>
      <protection locked="0"/>
    </xf>
    <xf numFmtId="37" fontId="45" fillId="17" borderId="0" xfId="54" applyNumberFormat="1" applyFont="1" applyFill="1" applyBorder="1" applyAlignment="1" applyProtection="1">
      <alignment horizontal="left" indent="1"/>
      <protection locked="0"/>
    </xf>
    <xf numFmtId="37" fontId="45" fillId="17" borderId="1" xfId="39" applyNumberFormat="1" applyFont="1" applyFill="1" applyBorder="1" applyProtection="1">
      <protection locked="0"/>
    </xf>
    <xf numFmtId="165" fontId="39" fillId="17" borderId="0" xfId="39" applyNumberFormat="1" applyFont="1" applyFill="1" applyBorder="1" applyProtection="1">
      <protection locked="0"/>
    </xf>
    <xf numFmtId="165" fontId="39" fillId="17" borderId="22" xfId="39" applyNumberFormat="1" applyFont="1" applyFill="1" applyBorder="1" applyProtection="1">
      <protection locked="0"/>
    </xf>
    <xf numFmtId="165" fontId="45" fillId="17" borderId="0" xfId="54" applyNumberFormat="1" applyFont="1" applyFill="1" applyBorder="1" applyAlignment="1" applyProtection="1">
      <alignment horizontal="left" indent="2"/>
      <protection locked="0"/>
    </xf>
    <xf numFmtId="165" fontId="45" fillId="17" borderId="2" xfId="54" applyNumberFormat="1" applyFont="1" applyFill="1" applyBorder="1" applyAlignment="1" applyProtection="1">
      <alignment horizontal="left" indent="1"/>
      <protection locked="0"/>
    </xf>
    <xf numFmtId="165" fontId="45" fillId="17" borderId="23" xfId="39" applyNumberFormat="1" applyFont="1" applyFill="1" applyBorder="1" applyProtection="1">
      <protection locked="0"/>
    </xf>
    <xf numFmtId="165" fontId="45" fillId="17" borderId="2" xfId="39" applyNumberFormat="1" applyFont="1" applyFill="1" applyBorder="1" applyProtection="1">
      <protection locked="0"/>
    </xf>
    <xf numFmtId="165" fontId="45" fillId="17" borderId="24" xfId="39" applyNumberFormat="1" applyFont="1" applyFill="1" applyBorder="1" applyProtection="1">
      <protection locked="0"/>
    </xf>
    <xf numFmtId="165" fontId="39" fillId="17" borderId="2" xfId="39" applyNumberFormat="1" applyFont="1" applyFill="1" applyBorder="1" applyProtection="1">
      <protection locked="0"/>
    </xf>
    <xf numFmtId="165" fontId="45" fillId="17" borderId="1" xfId="59" applyNumberFormat="1" applyFont="1" applyFill="1" applyBorder="1" applyAlignment="1" applyProtection="1">
      <alignment horizontal="center"/>
      <protection locked="0"/>
    </xf>
    <xf numFmtId="165" fontId="45" fillId="17" borderId="0" xfId="59" applyNumberFormat="1" applyFont="1" applyFill="1" applyBorder="1" applyAlignment="1" applyProtection="1">
      <alignment horizontal="center"/>
      <protection locked="0"/>
    </xf>
    <xf numFmtId="165" fontId="45" fillId="17" borderId="22" xfId="59" applyNumberFormat="1" applyFont="1" applyFill="1" applyBorder="1" applyAlignment="1" applyProtection="1">
      <alignment horizontal="center"/>
      <protection locked="0"/>
    </xf>
    <xf numFmtId="165" fontId="45" fillId="17" borderId="0" xfId="59" applyNumberFormat="1" applyFont="1" applyFill="1" applyBorder="1" applyAlignment="1" applyProtection="1">
      <alignment horizontal="right"/>
      <protection locked="0"/>
    </xf>
    <xf numFmtId="165" fontId="45" fillId="17" borderId="22" xfId="59" applyNumberFormat="1" applyFont="1" applyFill="1" applyBorder="1" applyAlignment="1" applyProtection="1">
      <alignment horizontal="right"/>
      <protection locked="0"/>
    </xf>
    <xf numFmtId="164" fontId="35" fillId="17" borderId="1" xfId="54" applyNumberFormat="1" applyFont="1" applyFill="1" applyBorder="1" applyProtection="1">
      <protection locked="0"/>
    </xf>
    <xf numFmtId="164" fontId="35" fillId="17" borderId="0" xfId="54" applyNumberFormat="1" applyFont="1" applyFill="1" applyBorder="1" applyAlignment="1" applyProtection="1">
      <alignment horizontal="right"/>
      <protection locked="0"/>
    </xf>
    <xf numFmtId="9" fontId="35" fillId="17" borderId="0" xfId="59" applyFont="1" applyFill="1" applyBorder="1" applyProtection="1">
      <protection locked="0"/>
    </xf>
    <xf numFmtId="37" fontId="39" fillId="17" borderId="0" xfId="39" applyNumberFormat="1" applyFont="1" applyFill="1" applyBorder="1" applyAlignment="1" applyProtection="1">
      <alignment horizontal="right"/>
      <protection locked="0"/>
    </xf>
    <xf numFmtId="37" fontId="35" fillId="17" borderId="0" xfId="39" applyNumberFormat="1" applyFont="1" applyFill="1" applyBorder="1" applyAlignment="1" applyProtection="1">
      <alignment horizontal="left"/>
      <protection locked="0"/>
    </xf>
    <xf numFmtId="165" fontId="45" fillId="17" borderId="70" xfId="54" applyNumberFormat="1" applyFont="1" applyFill="1" applyBorder="1" applyAlignment="1" applyProtection="1">
      <alignment horizontal="left" indent="1"/>
      <protection locked="0"/>
    </xf>
    <xf numFmtId="165" fontId="45" fillId="17" borderId="71" xfId="39" applyNumberFormat="1" applyFont="1" applyFill="1" applyBorder="1" applyProtection="1">
      <protection locked="0"/>
    </xf>
    <xf numFmtId="165" fontId="45" fillId="17" borderId="70" xfId="39" applyNumberFormat="1" applyFont="1" applyFill="1" applyBorder="1" applyProtection="1">
      <protection locked="0"/>
    </xf>
    <xf numFmtId="165" fontId="45" fillId="17" borderId="72" xfId="39" applyNumberFormat="1" applyFont="1" applyFill="1" applyBorder="1" applyProtection="1">
      <protection locked="0"/>
    </xf>
    <xf numFmtId="165" fontId="39" fillId="17" borderId="72" xfId="39" applyNumberFormat="1" applyFont="1" applyFill="1" applyBorder="1" applyProtection="1">
      <protection locked="0"/>
    </xf>
    <xf numFmtId="165" fontId="39" fillId="17" borderId="70" xfId="39" applyNumberFormat="1" applyFont="1" applyFill="1" applyBorder="1" applyProtection="1">
      <protection locked="0"/>
    </xf>
    <xf numFmtId="43" fontId="57" fillId="17" borderId="0" xfId="38" applyFont="1" applyFill="1" applyBorder="1" applyProtection="1">
      <protection locked="0"/>
    </xf>
    <xf numFmtId="43" fontId="60" fillId="17" borderId="0" xfId="38" applyFont="1" applyFill="1" applyBorder="1" applyProtection="1">
      <protection locked="0"/>
    </xf>
    <xf numFmtId="43" fontId="60" fillId="17" borderId="0" xfId="38" applyFont="1" applyFill="1" applyBorder="1" applyAlignment="1" applyProtection="1">
      <alignment horizontal="right"/>
      <protection locked="0"/>
    </xf>
    <xf numFmtId="169" fontId="60" fillId="17" borderId="0" xfId="38" applyNumberFormat="1" applyFont="1" applyFill="1" applyBorder="1" applyProtection="1">
      <protection locked="0"/>
    </xf>
    <xf numFmtId="43" fontId="60" fillId="17" borderId="71" xfId="38" applyFont="1" applyFill="1" applyBorder="1" applyProtection="1">
      <protection locked="0"/>
    </xf>
    <xf numFmtId="43" fontId="60" fillId="17" borderId="70" xfId="38" applyFont="1" applyFill="1" applyBorder="1" applyProtection="1">
      <protection locked="0"/>
    </xf>
    <xf numFmtId="43" fontId="60" fillId="17" borderId="72" xfId="38" applyFont="1" applyFill="1" applyBorder="1" applyProtection="1">
      <protection locked="0"/>
    </xf>
    <xf numFmtId="165" fontId="60" fillId="17" borderId="72" xfId="59" applyNumberFormat="1" applyFont="1" applyFill="1" applyBorder="1" applyProtection="1">
      <protection locked="0"/>
    </xf>
    <xf numFmtId="165" fontId="60" fillId="17" borderId="70" xfId="59" applyNumberFormat="1" applyFont="1" applyFill="1" applyBorder="1" applyProtection="1">
      <protection locked="0"/>
    </xf>
    <xf numFmtId="0" fontId="0" fillId="17" borderId="0" xfId="0" applyFill="1" applyBorder="1"/>
    <xf numFmtId="37" fontId="38" fillId="0" borderId="22" xfId="39" applyNumberFormat="1" applyFont="1" applyFill="1" applyBorder="1" applyAlignment="1" applyProtection="1">
      <alignment horizontal="right"/>
      <protection locked="0"/>
    </xf>
    <xf numFmtId="37" fontId="38" fillId="0" borderId="0" xfId="39" applyNumberFormat="1" applyFont="1" applyFill="1" applyBorder="1" applyAlignment="1" applyProtection="1">
      <alignment horizontal="right"/>
      <protection locked="0"/>
    </xf>
    <xf numFmtId="37" fontId="38" fillId="0" borderId="20" xfId="39" applyNumberFormat="1" applyFont="1" applyFill="1" applyBorder="1" applyProtection="1">
      <protection locked="0"/>
    </xf>
    <xf numFmtId="37" fontId="38" fillId="0" borderId="21" xfId="39" applyNumberFormat="1" applyFont="1" applyFill="1" applyBorder="1" applyProtection="1">
      <protection locked="0"/>
    </xf>
    <xf numFmtId="37" fontId="38" fillId="0" borderId="0" xfId="39" applyNumberFormat="1" applyFont="1" applyFill="1" applyBorder="1" applyProtection="1">
      <protection locked="0"/>
    </xf>
    <xf numFmtId="0" fontId="48" fillId="16" borderId="6" xfId="0" applyNumberFormat="1" applyFont="1" applyFill="1" applyBorder="1" applyAlignment="1">
      <alignment horizontal="right"/>
    </xf>
    <xf numFmtId="0" fontId="48" fillId="16" borderId="21" xfId="0" applyNumberFormat="1" applyFont="1" applyFill="1" applyBorder="1" applyAlignment="1">
      <alignment horizontal="right"/>
    </xf>
    <xf numFmtId="0" fontId="48" fillId="16" borderId="20" xfId="0" applyNumberFormat="1" applyFont="1" applyFill="1" applyBorder="1" applyAlignment="1">
      <alignment horizontal="right"/>
    </xf>
    <xf numFmtId="164" fontId="34" fillId="18" borderId="0" xfId="0" applyNumberFormat="1" applyFont="1" applyFill="1" applyBorder="1" applyAlignment="1" applyProtection="1">
      <alignment horizontal="left"/>
      <protection locked="0"/>
    </xf>
    <xf numFmtId="164" fontId="40" fillId="18" borderId="22" xfId="0" applyNumberFormat="1" applyFont="1" applyFill="1" applyBorder="1" applyAlignment="1" applyProtection="1">
      <alignment horizontal="left"/>
      <protection locked="0"/>
    </xf>
    <xf numFmtId="164" fontId="40" fillId="18" borderId="1" xfId="0" applyNumberFormat="1" applyFont="1" applyFill="1" applyBorder="1" applyAlignment="1" applyProtection="1">
      <alignment horizontal="right"/>
      <protection locked="0"/>
    </xf>
    <xf numFmtId="164" fontId="40" fillId="18" borderId="0" xfId="0" applyNumberFormat="1" applyFont="1" applyFill="1" applyBorder="1" applyAlignment="1" applyProtection="1">
      <alignment horizontal="right"/>
      <protection locked="0"/>
    </xf>
    <xf numFmtId="164" fontId="40" fillId="18" borderId="22" xfId="0" applyNumberFormat="1" applyFont="1" applyFill="1" applyBorder="1" applyAlignment="1" applyProtection="1">
      <alignment horizontal="right"/>
      <protection locked="0"/>
    </xf>
    <xf numFmtId="164" fontId="34" fillId="18" borderId="0" xfId="0" applyNumberFormat="1" applyFont="1" applyFill="1" applyBorder="1" applyAlignment="1" applyProtection="1">
      <alignment horizontal="right"/>
      <protection locked="0"/>
    </xf>
    <xf numFmtId="164" fontId="34" fillId="18" borderId="22" xfId="0" applyNumberFormat="1" applyFont="1" applyFill="1" applyBorder="1" applyAlignment="1" applyProtection="1">
      <alignment horizontal="right"/>
      <protection locked="0"/>
    </xf>
    <xf numFmtId="164" fontId="34" fillId="18" borderId="22" xfId="54" applyNumberFormat="1" applyFont="1" applyFill="1" applyBorder="1" applyProtection="1">
      <protection locked="0"/>
    </xf>
    <xf numFmtId="164" fontId="34" fillId="18" borderId="0" xfId="54" applyNumberFormat="1" applyFont="1" applyFill="1" applyBorder="1" applyProtection="1">
      <protection locked="0"/>
    </xf>
    <xf numFmtId="164" fontId="34" fillId="18" borderId="0" xfId="39" applyNumberFormat="1" applyFont="1" applyFill="1" applyBorder="1" applyProtection="1">
      <protection locked="0"/>
    </xf>
    <xf numFmtId="37" fontId="34" fillId="18" borderId="0" xfId="54" applyNumberFormat="1" applyFont="1" applyFill="1" applyBorder="1" applyProtection="1">
      <protection locked="0"/>
    </xf>
    <xf numFmtId="37" fontId="36" fillId="18" borderId="22" xfId="0" applyNumberFormat="1" applyFont="1" applyFill="1" applyBorder="1"/>
    <xf numFmtId="37" fontId="34" fillId="18" borderId="1" xfId="54" applyNumberFormat="1" applyFont="1" applyFill="1" applyBorder="1" applyProtection="1">
      <protection locked="0"/>
    </xf>
    <xf numFmtId="37" fontId="34" fillId="18" borderId="22" xfId="54" applyNumberFormat="1" applyFont="1" applyFill="1" applyBorder="1" applyProtection="1">
      <protection locked="0"/>
    </xf>
    <xf numFmtId="37" fontId="34" fillId="18" borderId="20" xfId="54" applyNumberFormat="1" applyFont="1" applyFill="1" applyBorder="1" applyProtection="1">
      <protection locked="0"/>
    </xf>
    <xf numFmtId="37" fontId="34" fillId="18" borderId="21" xfId="54" applyNumberFormat="1" applyFont="1" applyFill="1" applyBorder="1" applyProtection="1">
      <protection locked="0"/>
    </xf>
    <xf numFmtId="37" fontId="34" fillId="18" borderId="0" xfId="54" applyNumberFormat="1" applyFont="1" applyFill="1" applyBorder="1" applyAlignment="1" applyProtection="1">
      <alignment horizontal="right"/>
      <protection locked="0"/>
    </xf>
    <xf numFmtId="37" fontId="34" fillId="18" borderId="0" xfId="39" applyNumberFormat="1" applyFont="1" applyFill="1" applyBorder="1" applyAlignment="1" applyProtection="1">
      <alignment horizontal="left"/>
      <protection locked="0"/>
    </xf>
    <xf numFmtId="37" fontId="51" fillId="18" borderId="1" xfId="39" applyNumberFormat="1" applyFont="1" applyFill="1" applyBorder="1" applyProtection="1">
      <protection locked="0"/>
    </xf>
    <xf numFmtId="37" fontId="51" fillId="18" borderId="0" xfId="39" applyNumberFormat="1" applyFont="1" applyFill="1" applyBorder="1" applyProtection="1">
      <protection locked="0"/>
    </xf>
    <xf numFmtId="37" fontId="51" fillId="18" borderId="22" xfId="39" applyNumberFormat="1" applyFont="1" applyFill="1" applyBorder="1" applyProtection="1">
      <protection locked="0"/>
    </xf>
    <xf numFmtId="37" fontId="34" fillId="18" borderId="0" xfId="39" applyNumberFormat="1" applyFont="1" applyFill="1" applyBorder="1" applyAlignment="1" applyProtection="1">
      <alignment horizontal="right"/>
      <protection locked="0"/>
    </xf>
    <xf numFmtId="165" fontId="45" fillId="17" borderId="0" xfId="0" applyNumberFormat="1" applyFont="1" applyFill="1"/>
    <xf numFmtId="165" fontId="45" fillId="17" borderId="22" xfId="0" applyNumberFormat="1" applyFont="1" applyFill="1" applyBorder="1"/>
    <xf numFmtId="165" fontId="45" fillId="17" borderId="0" xfId="38" applyNumberFormat="1" applyFont="1" applyFill="1" applyBorder="1" applyProtection="1">
      <protection locked="0"/>
    </xf>
    <xf numFmtId="165" fontId="45" fillId="17" borderId="22" xfId="38" applyNumberFormat="1" applyFont="1" applyFill="1" applyBorder="1" applyProtection="1">
      <protection locked="0"/>
    </xf>
    <xf numFmtId="165" fontId="45" fillId="17" borderId="28" xfId="38" applyNumberFormat="1" applyFont="1" applyFill="1" applyBorder="1" applyProtection="1">
      <protection locked="0"/>
    </xf>
    <xf numFmtId="165" fontId="45" fillId="17" borderId="27" xfId="54" applyNumberFormat="1" applyFont="1" applyFill="1" applyBorder="1" applyAlignment="1" applyProtection="1">
      <alignment horizontal="left" indent="1"/>
      <protection locked="0"/>
    </xf>
    <xf numFmtId="165" fontId="34" fillId="0" borderId="0" xfId="59" applyNumberFormat="1" applyFont="1" applyFill="1" applyBorder="1" applyProtection="1">
      <protection locked="0"/>
    </xf>
    <xf numFmtId="7" fontId="35" fillId="17" borderId="1" xfId="54" applyNumberFormat="1" applyFont="1" applyFill="1" applyBorder="1" applyProtection="1">
      <protection locked="0"/>
    </xf>
    <xf numFmtId="7" fontId="35" fillId="17" borderId="22" xfId="54" applyNumberFormat="1" applyFont="1" applyFill="1" applyBorder="1" applyProtection="1">
      <protection locked="0"/>
    </xf>
    <xf numFmtId="7" fontId="35" fillId="17" borderId="0" xfId="54" applyNumberFormat="1" applyFont="1" applyFill="1" applyBorder="1" applyAlignment="1" applyProtection="1">
      <alignment horizontal="right"/>
      <protection locked="0"/>
    </xf>
    <xf numFmtId="7" fontId="35" fillId="17" borderId="0" xfId="59" applyNumberFormat="1" applyFont="1" applyFill="1" applyBorder="1" applyProtection="1">
      <protection locked="0"/>
    </xf>
    <xf numFmtId="7" fontId="0" fillId="17" borderId="0" xfId="0" applyNumberFormat="1" applyFill="1"/>
    <xf numFmtId="7" fontId="39" fillId="17" borderId="0" xfId="54" applyNumberFormat="1" applyFont="1" applyFill="1" applyBorder="1" applyProtection="1">
      <protection locked="0"/>
    </xf>
    <xf numFmtId="7" fontId="39" fillId="17" borderId="22" xfId="54" applyNumberFormat="1" applyFont="1" applyFill="1" applyBorder="1" applyProtection="1">
      <protection locked="0"/>
    </xf>
    <xf numFmtId="7" fontId="39" fillId="17" borderId="0" xfId="39" applyNumberFormat="1" applyFont="1" applyFill="1" applyBorder="1" applyProtection="1">
      <protection locked="0"/>
    </xf>
    <xf numFmtId="7" fontId="39" fillId="17" borderId="22" xfId="39" applyNumberFormat="1" applyFont="1" applyFill="1" applyBorder="1" applyProtection="1">
      <protection locked="0"/>
    </xf>
    <xf numFmtId="37" fontId="45" fillId="17" borderId="1" xfId="59" applyNumberFormat="1" applyFont="1" applyFill="1" applyBorder="1" applyAlignment="1" applyProtection="1">
      <alignment horizontal="center"/>
      <protection locked="0"/>
    </xf>
    <xf numFmtId="37" fontId="45" fillId="17" borderId="0" xfId="59" applyNumberFormat="1" applyFont="1" applyFill="1" applyBorder="1" applyAlignment="1" applyProtection="1">
      <alignment horizontal="center"/>
      <protection locked="0"/>
    </xf>
    <xf numFmtId="37" fontId="45" fillId="17" borderId="22" xfId="59" applyNumberFormat="1" applyFont="1" applyFill="1" applyBorder="1" applyAlignment="1" applyProtection="1">
      <alignment horizontal="center"/>
      <protection locked="0"/>
    </xf>
    <xf numFmtId="37" fontId="45" fillId="17" borderId="0" xfId="59" applyNumberFormat="1" applyFont="1" applyFill="1" applyBorder="1" applyAlignment="1" applyProtection="1">
      <alignment horizontal="right"/>
      <protection locked="0"/>
    </xf>
    <xf numFmtId="37" fontId="45" fillId="17" borderId="22" xfId="59" applyNumberFormat="1" applyFont="1" applyFill="1" applyBorder="1" applyAlignment="1" applyProtection="1">
      <alignment horizontal="right"/>
      <protection locked="0"/>
    </xf>
    <xf numFmtId="37" fontId="0" fillId="17" borderId="0" xfId="0" applyNumberFormat="1" applyFill="1"/>
    <xf numFmtId="165" fontId="39" fillId="17" borderId="0" xfId="59" applyNumberFormat="1" applyFont="1" applyFill="1" applyBorder="1" applyAlignment="1" applyProtection="1">
      <alignment horizontal="right"/>
      <protection locked="0"/>
    </xf>
    <xf numFmtId="165" fontId="39" fillId="17" borderId="22" xfId="59" applyNumberFormat="1" applyFont="1" applyFill="1" applyBorder="1" applyAlignment="1" applyProtection="1">
      <alignment horizontal="right"/>
      <protection locked="0"/>
    </xf>
    <xf numFmtId="0" fontId="34" fillId="17" borderId="0" xfId="52" applyFont="1" applyFill="1" applyBorder="1" applyAlignment="1">
      <alignment horizontal="center"/>
    </xf>
    <xf numFmtId="187" fontId="35" fillId="17" borderId="0" xfId="52" applyNumberFormat="1" applyFont="1" applyFill="1" applyAlignment="1">
      <alignment horizontal="center"/>
    </xf>
    <xf numFmtId="37" fontId="35" fillId="17" borderId="0" xfId="52" applyNumberFormat="1" applyFont="1" applyFill="1" applyAlignment="1">
      <alignment horizontal="center"/>
    </xf>
    <xf numFmtId="0" fontId="35" fillId="17" borderId="0" xfId="52" applyFont="1" applyFill="1" applyAlignment="1">
      <alignment horizontal="center"/>
    </xf>
    <xf numFmtId="0" fontId="34" fillId="17" borderId="0" xfId="52" applyFont="1" applyFill="1"/>
    <xf numFmtId="0" fontId="34" fillId="17" borderId="5" xfId="52" applyFont="1" applyFill="1" applyBorder="1" applyAlignment="1">
      <alignment horizontal="center"/>
    </xf>
    <xf numFmtId="187" fontId="34" fillId="17" borderId="5" xfId="52" applyNumberFormat="1" applyFont="1" applyFill="1" applyBorder="1" applyAlignment="1">
      <alignment horizontal="center"/>
    </xf>
    <xf numFmtId="37" fontId="34" fillId="17" borderId="5" xfId="52" applyNumberFormat="1" applyFont="1" applyFill="1" applyBorder="1" applyAlignment="1">
      <alignment horizontal="center"/>
    </xf>
    <xf numFmtId="16" fontId="35" fillId="17" borderId="0" xfId="52" applyNumberFormat="1" applyFont="1" applyFill="1" applyAlignment="1">
      <alignment horizontal="center"/>
    </xf>
    <xf numFmtId="187" fontId="39" fillId="17" borderId="0" xfId="52" applyNumberFormat="1" applyFont="1" applyFill="1" applyAlignment="1">
      <alignment horizontal="center"/>
    </xf>
    <xf numFmtId="37" fontId="39" fillId="17" borderId="0" xfId="52" applyNumberFormat="1" applyFont="1" applyFill="1" applyAlignment="1">
      <alignment horizontal="center"/>
    </xf>
    <xf numFmtId="0" fontId="34" fillId="17" borderId="16" xfId="52" applyFont="1" applyFill="1" applyBorder="1"/>
    <xf numFmtId="0" fontId="34" fillId="17" borderId="16" xfId="52" applyFont="1" applyFill="1" applyBorder="1" applyAlignment="1">
      <alignment horizontal="center"/>
    </xf>
    <xf numFmtId="187" fontId="34" fillId="17" borderId="16" xfId="52" applyNumberFormat="1" applyFont="1" applyFill="1" applyBorder="1" applyAlignment="1">
      <alignment horizontal="center"/>
    </xf>
    <xf numFmtId="37" fontId="34" fillId="17" borderId="16" xfId="52" applyNumberFormat="1" applyFont="1" applyFill="1" applyBorder="1" applyAlignment="1">
      <alignment horizontal="center"/>
    </xf>
    <xf numFmtId="37" fontId="38" fillId="17" borderId="22" xfId="38" applyNumberFormat="1" applyFont="1" applyFill="1" applyBorder="1" applyAlignment="1" applyProtection="1">
      <alignment horizontal="right"/>
      <protection locked="0"/>
    </xf>
    <xf numFmtId="37" fontId="38" fillId="17" borderId="0" xfId="38" applyNumberFormat="1" applyFont="1" applyFill="1" applyBorder="1" applyAlignment="1" applyProtection="1">
      <alignment horizontal="right"/>
      <protection locked="0"/>
    </xf>
    <xf numFmtId="0" fontId="35" fillId="17" borderId="1" xfId="52" applyFont="1" applyFill="1" applyBorder="1"/>
    <xf numFmtId="165" fontId="39" fillId="17" borderId="22" xfId="52" applyNumberFormat="1" applyFont="1" applyFill="1" applyBorder="1"/>
    <xf numFmtId="0" fontId="1" fillId="17" borderId="0" xfId="0" applyFont="1" applyFill="1"/>
    <xf numFmtId="0" fontId="34" fillId="17" borderId="0" xfId="0" applyFont="1" applyFill="1" applyBorder="1" applyAlignment="1" applyProtection="1">
      <alignment horizontal="left"/>
      <protection locked="0"/>
    </xf>
    <xf numFmtId="0" fontId="34" fillId="17" borderId="22" xfId="0" applyFont="1" applyFill="1" applyBorder="1" applyAlignment="1" applyProtection="1">
      <alignment horizontal="left"/>
      <protection locked="0"/>
    </xf>
    <xf numFmtId="0" fontId="34" fillId="17" borderId="1" xfId="0" applyFont="1" applyFill="1" applyBorder="1" applyAlignment="1" applyProtection="1">
      <alignment horizontal="right"/>
      <protection locked="0"/>
    </xf>
    <xf numFmtId="0" fontId="34" fillId="17" borderId="0" xfId="0" applyFont="1" applyFill="1" applyBorder="1" applyAlignment="1" applyProtection="1">
      <alignment horizontal="right"/>
      <protection locked="0"/>
    </xf>
    <xf numFmtId="0" fontId="34" fillId="17" borderId="22" xfId="0" applyFont="1" applyFill="1" applyBorder="1" applyAlignment="1" applyProtection="1">
      <alignment horizontal="right"/>
      <protection locked="0"/>
    </xf>
    <xf numFmtId="183" fontId="38" fillId="17" borderId="22" xfId="51" applyNumberFormat="1" applyFont="1" applyFill="1" applyBorder="1"/>
    <xf numFmtId="41" fontId="36" fillId="16" borderId="0" xfId="52" applyNumberFormat="1" applyFont="1" applyFill="1" applyBorder="1" applyAlignment="1">
      <alignment horizontal="center" vertical="center"/>
    </xf>
    <xf numFmtId="37" fontId="39" fillId="17" borderId="70" xfId="52" applyNumberFormat="1" applyFont="1" applyFill="1" applyBorder="1" applyAlignment="1">
      <alignment horizontal="right"/>
    </xf>
    <xf numFmtId="37" fontId="35" fillId="17" borderId="70" xfId="52" applyNumberFormat="1" applyFont="1" applyFill="1" applyBorder="1"/>
    <xf numFmtId="164" fontId="38" fillId="17" borderId="0" xfId="54" applyNumberFormat="1" applyFont="1" applyFill="1" applyBorder="1" applyProtection="1">
      <protection locked="0"/>
    </xf>
    <xf numFmtId="164" fontId="38" fillId="17" borderId="22" xfId="54" applyNumberFormat="1" applyFont="1" applyFill="1" applyBorder="1" applyProtection="1">
      <protection locked="0"/>
    </xf>
    <xf numFmtId="164" fontId="38" fillId="17" borderId="0" xfId="39" applyNumberFormat="1" applyFont="1" applyFill="1" applyBorder="1" applyProtection="1">
      <protection locked="0"/>
    </xf>
    <xf numFmtId="41" fontId="36" fillId="16" borderId="0" xfId="52" applyNumberFormat="1" applyFont="1" applyFill="1" applyBorder="1" applyAlignment="1">
      <alignment horizontal="center" vertical="center"/>
    </xf>
    <xf numFmtId="41" fontId="36" fillId="16" borderId="27" xfId="52" applyNumberFormat="1" applyFont="1" applyFill="1" applyBorder="1" applyAlignment="1">
      <alignment horizontal="center" vertical="center"/>
    </xf>
    <xf numFmtId="0" fontId="39" fillId="0" borderId="27" xfId="52" applyFont="1" applyFill="1" applyBorder="1"/>
    <xf numFmtId="165" fontId="35" fillId="0" borderId="27" xfId="52" applyNumberFormat="1" applyFont="1" applyFill="1" applyBorder="1" applyAlignment="1">
      <alignment horizontal="right"/>
    </xf>
    <xf numFmtId="38" fontId="35" fillId="0" borderId="27" xfId="52" applyNumberFormat="1" applyFont="1" applyFill="1" applyBorder="1" applyAlignment="1">
      <alignment horizontal="right"/>
    </xf>
    <xf numFmtId="8" fontId="35" fillId="0" borderId="27" xfId="52" applyNumberFormat="1" applyFont="1" applyFill="1" applyBorder="1" applyAlignment="1">
      <alignment horizontal="right"/>
    </xf>
    <xf numFmtId="165" fontId="35" fillId="0" borderId="0" xfId="52" applyNumberFormat="1" applyFont="1" applyFill="1" applyBorder="1"/>
    <xf numFmtId="165" fontId="35" fillId="0" borderId="0" xfId="59" applyNumberFormat="1" applyFont="1" applyFill="1"/>
    <xf numFmtId="38" fontId="38" fillId="21" borderId="94" xfId="0" applyNumberFormat="1" applyFont="1" applyFill="1" applyBorder="1" applyAlignment="1">
      <alignment horizontal="center"/>
    </xf>
    <xf numFmtId="8" fontId="38" fillId="21" borderId="95" xfId="0" applyNumberFormat="1" applyFont="1" applyFill="1" applyBorder="1" applyAlignment="1">
      <alignment horizontal="center"/>
    </xf>
    <xf numFmtId="165" fontId="0" fillId="17" borderId="0" xfId="0" applyNumberFormat="1" applyFill="1"/>
    <xf numFmtId="43" fontId="38" fillId="17" borderId="0" xfId="38" applyFont="1" applyFill="1" applyBorder="1" applyAlignment="1" applyProtection="1">
      <alignment horizontal="center"/>
      <protection locked="0"/>
    </xf>
    <xf numFmtId="41" fontId="36" fillId="16" borderId="0" xfId="52" applyNumberFormat="1" applyFont="1" applyFill="1" applyBorder="1" applyAlignment="1">
      <alignment horizontal="center" vertical="center"/>
    </xf>
    <xf numFmtId="41" fontId="36" fillId="16" borderId="27" xfId="52" applyNumberFormat="1" applyFont="1" applyFill="1" applyBorder="1" applyAlignment="1">
      <alignment horizontal="center" vertical="center"/>
    </xf>
    <xf numFmtId="41" fontId="36" fillId="16" borderId="28" xfId="52" applyNumberFormat="1" applyFont="1" applyFill="1" applyBorder="1" applyAlignment="1">
      <alignment horizontal="center" vertical="center"/>
    </xf>
    <xf numFmtId="41" fontId="36" fillId="16" borderId="0" xfId="52" applyNumberFormat="1" applyFont="1" applyFill="1" applyBorder="1" applyAlignment="1">
      <alignment horizontal="center" vertical="center"/>
    </xf>
    <xf numFmtId="41" fontId="36" fillId="16" borderId="27" xfId="52" applyNumberFormat="1" applyFont="1" applyFill="1" applyBorder="1" applyAlignment="1">
      <alignment horizontal="center" vertical="center"/>
    </xf>
    <xf numFmtId="0" fontId="39" fillId="0" borderId="34" xfId="52" applyFont="1" applyFill="1" applyBorder="1"/>
    <xf numFmtId="165" fontId="35" fillId="0" borderId="34" xfId="52" applyNumberFormat="1" applyFont="1" applyFill="1" applyBorder="1" applyAlignment="1">
      <alignment horizontal="right"/>
    </xf>
    <xf numFmtId="37" fontId="35" fillId="0" borderId="34" xfId="52" applyNumberFormat="1" applyFont="1" applyFill="1" applyBorder="1" applyAlignment="1">
      <alignment horizontal="right"/>
    </xf>
    <xf numFmtId="0" fontId="35" fillId="0" borderId="34" xfId="52" applyFont="1" applyFill="1" applyBorder="1"/>
    <xf numFmtId="38" fontId="35" fillId="0" borderId="34" xfId="52" applyNumberFormat="1" applyFont="1" applyFill="1" applyBorder="1" applyAlignment="1">
      <alignment horizontal="right"/>
    </xf>
    <xf numFmtId="8" fontId="35" fillId="0" borderId="34" xfId="52" applyNumberFormat="1" applyFont="1" applyFill="1" applyBorder="1" applyAlignment="1">
      <alignment horizontal="right"/>
    </xf>
    <xf numFmtId="0" fontId="39" fillId="0" borderId="28" xfId="52" applyFont="1" applyFill="1" applyBorder="1"/>
    <xf numFmtId="37" fontId="39" fillId="0" borderId="27" xfId="52" applyNumberFormat="1" applyFont="1" applyFill="1" applyBorder="1" applyAlignment="1">
      <alignment horizontal="right"/>
    </xf>
    <xf numFmtId="38" fontId="35" fillId="0" borderId="28" xfId="52" applyNumberFormat="1" applyFont="1" applyFill="1" applyBorder="1" applyAlignment="1">
      <alignment horizontal="right"/>
    </xf>
    <xf numFmtId="37" fontId="35" fillId="0" borderId="27" xfId="52" applyNumberFormat="1" applyFont="1" applyFill="1" applyBorder="1" applyAlignment="1">
      <alignment horizontal="right"/>
    </xf>
    <xf numFmtId="165" fontId="39" fillId="0" borderId="27" xfId="52" applyNumberFormat="1" applyFont="1" applyFill="1" applyBorder="1" applyAlignment="1">
      <alignment horizontal="right"/>
    </xf>
    <xf numFmtId="7" fontId="40" fillId="0" borderId="28" xfId="51" applyNumberFormat="1" applyFont="1" applyFill="1" applyBorder="1" applyAlignment="1">
      <alignment horizontal="right"/>
    </xf>
    <xf numFmtId="37" fontId="35" fillId="0" borderId="30" xfId="51" applyNumberFormat="1" applyFont="1" applyFill="1" applyBorder="1" applyAlignment="1">
      <alignment horizontal="right"/>
    </xf>
    <xf numFmtId="37" fontId="39" fillId="0" borderId="72" xfId="39" applyNumberFormat="1" applyFont="1" applyFill="1" applyBorder="1" applyProtection="1">
      <protection locked="0"/>
    </xf>
    <xf numFmtId="37" fontId="39" fillId="0" borderId="72" xfId="38" applyNumberFormat="1" applyFont="1" applyFill="1" applyBorder="1" applyProtection="1">
      <protection locked="0"/>
    </xf>
    <xf numFmtId="165" fontId="45" fillId="0" borderId="72" xfId="39" applyNumberFormat="1" applyFont="1" applyFill="1" applyBorder="1" applyProtection="1">
      <protection locked="0"/>
    </xf>
    <xf numFmtId="37" fontId="65" fillId="0" borderId="22" xfId="38" applyNumberFormat="1" applyFont="1" applyFill="1" applyBorder="1" applyProtection="1">
      <protection locked="0"/>
    </xf>
    <xf numFmtId="37" fontId="39" fillId="0" borderId="72" xfId="38" applyNumberFormat="1" applyFont="1" applyFill="1" applyBorder="1" applyAlignment="1" applyProtection="1">
      <alignment horizontal="right"/>
      <protection locked="0"/>
    </xf>
    <xf numFmtId="165" fontId="35" fillId="17" borderId="70" xfId="52" applyNumberFormat="1" applyFont="1" applyFill="1" applyBorder="1" applyAlignment="1">
      <alignment horizontal="right"/>
    </xf>
    <xf numFmtId="8" fontId="35" fillId="17" borderId="0" xfId="60" applyNumberFormat="1" applyFont="1" applyFill="1" applyBorder="1" applyAlignment="1">
      <alignment horizontal="right"/>
    </xf>
    <xf numFmtId="8" fontId="35" fillId="17" borderId="70" xfId="52" applyNumberFormat="1" applyFont="1" applyFill="1" applyBorder="1" applyAlignment="1">
      <alignment horizontal="right"/>
    </xf>
    <xf numFmtId="37" fontId="40" fillId="17" borderId="22" xfId="0" applyNumberFormat="1" applyFont="1" applyFill="1" applyBorder="1" applyAlignment="1" applyProtection="1">
      <alignment horizontal="right"/>
      <protection locked="0"/>
    </xf>
    <xf numFmtId="164" fontId="73" fillId="17" borderId="22" xfId="54" applyNumberFormat="1" applyFont="1" applyFill="1" applyBorder="1" applyProtection="1">
      <protection locked="0"/>
    </xf>
    <xf numFmtId="37" fontId="46" fillId="18" borderId="0" xfId="39" applyNumberFormat="1" applyFont="1" applyFill="1" applyBorder="1" applyProtection="1">
      <protection locked="0"/>
    </xf>
    <xf numFmtId="37" fontId="46" fillId="18" borderId="22" xfId="39" applyNumberFormat="1" applyFont="1" applyFill="1" applyBorder="1" applyProtection="1">
      <protection locked="0"/>
    </xf>
    <xf numFmtId="37" fontId="35" fillId="0" borderId="72" xfId="39" applyNumberFormat="1" applyFont="1" applyFill="1" applyBorder="1" applyProtection="1">
      <protection locked="0"/>
    </xf>
    <xf numFmtId="37" fontId="35" fillId="0" borderId="72" xfId="38" applyNumberFormat="1" applyFont="1" applyFill="1" applyBorder="1" applyProtection="1">
      <protection locked="0"/>
    </xf>
    <xf numFmtId="49" fontId="34" fillId="18" borderId="0" xfId="50" applyNumberFormat="1" applyFont="1" applyFill="1" applyAlignment="1">
      <alignment horizontal="center"/>
    </xf>
    <xf numFmtId="49" fontId="35" fillId="17" borderId="40" xfId="50" applyNumberFormat="1" applyFont="1" applyFill="1" applyBorder="1" applyAlignment="1">
      <alignment horizontal="center"/>
    </xf>
    <xf numFmtId="7" fontId="35" fillId="17" borderId="40" xfId="50" applyNumberFormat="1" applyFont="1" applyFill="1" applyBorder="1" applyAlignment="1">
      <alignment horizontal="center"/>
    </xf>
    <xf numFmtId="37" fontId="35" fillId="17" borderId="40" xfId="50" applyNumberFormat="1" applyFont="1" applyFill="1" applyBorder="1" applyAlignment="1">
      <alignment horizontal="center"/>
    </xf>
    <xf numFmtId="8" fontId="38" fillId="17" borderId="95" xfId="0" applyNumberFormat="1" applyFont="1" applyFill="1" applyBorder="1" applyAlignment="1">
      <alignment horizontal="center"/>
    </xf>
    <xf numFmtId="7" fontId="39" fillId="0" borderId="27" xfId="52" applyNumberFormat="1" applyFont="1" applyFill="1" applyBorder="1" applyAlignment="1">
      <alignment horizontal="right"/>
    </xf>
    <xf numFmtId="8" fontId="35" fillId="0" borderId="28" xfId="52" applyNumberFormat="1" applyFont="1" applyFill="1" applyBorder="1" applyAlignment="1">
      <alignment horizontal="right"/>
    </xf>
    <xf numFmtId="165" fontId="74" fillId="0" borderId="0" xfId="0" applyNumberFormat="1" applyFont="1" applyFill="1" applyBorder="1" applyAlignment="1">
      <alignment horizontal="left" indent="1"/>
    </xf>
    <xf numFmtId="165" fontId="45" fillId="0" borderId="0" xfId="59" applyNumberFormat="1" applyFont="1" applyFill="1" applyBorder="1" applyProtection="1">
      <protection locked="0"/>
    </xf>
    <xf numFmtId="9" fontId="54" fillId="17" borderId="0" xfId="0" applyNumberFormat="1" applyFont="1" applyFill="1"/>
    <xf numFmtId="9" fontId="74" fillId="0" borderId="0" xfId="0" applyNumberFormat="1" applyFont="1" applyFill="1" applyBorder="1" applyAlignment="1">
      <alignment horizontal="left" indent="1"/>
    </xf>
    <xf numFmtId="9" fontId="54" fillId="17" borderId="22" xfId="0" applyNumberFormat="1" applyFont="1" applyFill="1" applyBorder="1"/>
    <xf numFmtId="9" fontId="45" fillId="0" borderId="1" xfId="39" applyNumberFormat="1" applyFont="1" applyFill="1" applyBorder="1" applyProtection="1">
      <protection locked="0"/>
    </xf>
    <xf numFmtId="9" fontId="45" fillId="0" borderId="0" xfId="39" applyNumberFormat="1" applyFont="1" applyFill="1" applyBorder="1" applyProtection="1">
      <protection locked="0"/>
    </xf>
    <xf numFmtId="9" fontId="45" fillId="0" borderId="22" xfId="39" applyNumberFormat="1" applyFont="1" applyFill="1" applyBorder="1" applyProtection="1">
      <protection locked="0"/>
    </xf>
    <xf numFmtId="9" fontId="45" fillId="17" borderId="0" xfId="54" applyNumberFormat="1" applyFont="1" applyFill="1" applyBorder="1" applyProtection="1">
      <protection locked="0"/>
    </xf>
    <xf numFmtId="9" fontId="45" fillId="0" borderId="0" xfId="59" applyNumberFormat="1" applyFont="1" applyFill="1" applyBorder="1" applyProtection="1">
      <protection locked="0"/>
    </xf>
    <xf numFmtId="9" fontId="45" fillId="0" borderId="0" xfId="0" applyNumberFormat="1" applyFont="1"/>
    <xf numFmtId="165" fontId="35" fillId="17" borderId="0" xfId="59" applyNumberFormat="1" applyFont="1" applyFill="1" applyBorder="1" applyAlignment="1" applyProtection="1">
      <alignment horizontal="right"/>
      <protection locked="0"/>
    </xf>
    <xf numFmtId="7" fontId="39" fillId="17" borderId="0" xfId="50" applyNumberFormat="1" applyFont="1" applyFill="1" applyBorder="1" applyAlignment="1">
      <alignment horizontal="center"/>
    </xf>
    <xf numFmtId="37" fontId="33" fillId="17" borderId="0" xfId="0" applyNumberFormat="1" applyFont="1" applyFill="1" applyBorder="1" applyAlignment="1">
      <alignment horizontal="center"/>
    </xf>
    <xf numFmtId="165" fontId="35" fillId="17" borderId="0" xfId="51" applyNumberFormat="1" applyFont="1" applyFill="1" applyAlignment="1">
      <alignment horizontal="center"/>
    </xf>
    <xf numFmtId="164" fontId="75" fillId="17" borderId="0" xfId="0" applyNumberFormat="1" applyFont="1" applyFill="1" applyBorder="1" applyAlignment="1" applyProtection="1">
      <alignment horizontal="right"/>
      <protection locked="0"/>
    </xf>
    <xf numFmtId="9" fontId="35" fillId="17" borderId="60" xfId="53" applyNumberFormat="1" applyFont="1" applyFill="1" applyBorder="1" applyAlignment="1">
      <alignment horizontal="center"/>
    </xf>
    <xf numFmtId="9" fontId="35" fillId="17" borderId="41" xfId="53" applyNumberFormat="1" applyFont="1" applyFill="1" applyBorder="1" applyAlignment="1">
      <alignment horizontal="center"/>
    </xf>
    <xf numFmtId="9" fontId="35" fillId="17" borderId="58" xfId="53" applyNumberFormat="1" applyFont="1" applyFill="1" applyBorder="1" applyAlignment="1">
      <alignment horizontal="center"/>
    </xf>
    <xf numFmtId="9" fontId="35" fillId="17" borderId="34" xfId="53" applyNumberFormat="1" applyFont="1" applyFill="1" applyBorder="1" applyAlignment="1">
      <alignment horizontal="center"/>
    </xf>
    <xf numFmtId="9" fontId="35" fillId="17" borderId="0" xfId="53" applyNumberFormat="1" applyFont="1" applyFill="1" applyBorder="1" applyAlignment="1">
      <alignment horizontal="center"/>
    </xf>
    <xf numFmtId="9" fontId="35" fillId="17" borderId="62" xfId="53" applyNumberFormat="1" applyFont="1" applyFill="1" applyBorder="1" applyAlignment="1">
      <alignment horizontal="center"/>
    </xf>
    <xf numFmtId="9" fontId="35" fillId="17" borderId="36" xfId="53" applyNumberFormat="1" applyFont="1" applyFill="1" applyBorder="1" applyAlignment="1">
      <alignment horizontal="center"/>
    </xf>
    <xf numFmtId="9" fontId="35" fillId="17" borderId="89" xfId="53" applyNumberFormat="1" applyFont="1" applyFill="1" applyBorder="1" applyAlignment="1">
      <alignment horizontal="center"/>
    </xf>
    <xf numFmtId="9" fontId="35" fillId="17" borderId="68" xfId="53" applyNumberFormat="1" applyFont="1" applyFill="1" applyBorder="1" applyAlignment="1">
      <alignment horizontal="center"/>
    </xf>
    <xf numFmtId="41" fontId="36" fillId="16" borderId="0" xfId="52" applyNumberFormat="1" applyFont="1" applyFill="1" applyBorder="1" applyAlignment="1">
      <alignment horizontal="center" vertical="center"/>
    </xf>
    <xf numFmtId="39" fontId="39" fillId="17" borderId="22" xfId="51" applyNumberFormat="1" applyFont="1" applyFill="1" applyBorder="1"/>
    <xf numFmtId="41" fontId="36" fillId="16" borderId="0" xfId="52" applyNumberFormat="1" applyFont="1" applyFill="1" applyBorder="1" applyAlignment="1">
      <alignment horizontal="center" vertical="center"/>
    </xf>
    <xf numFmtId="41" fontId="36" fillId="16" borderId="27" xfId="52" applyNumberFormat="1" applyFont="1" applyFill="1" applyBorder="1" applyAlignment="1">
      <alignment horizontal="center" vertical="center"/>
    </xf>
    <xf numFmtId="0" fontId="36" fillId="16" borderId="0" xfId="52" applyFont="1" applyFill="1" applyBorder="1" applyAlignment="1">
      <alignment horizontal="center" vertical="center"/>
    </xf>
    <xf numFmtId="41" fontId="36" fillId="16" borderId="28" xfId="52" applyNumberFormat="1" applyFont="1" applyFill="1" applyBorder="1" applyAlignment="1">
      <alignment horizontal="center" vertical="center"/>
    </xf>
    <xf numFmtId="41" fontId="17" fillId="16" borderId="28" xfId="52" applyNumberFormat="1" applyFont="1" applyFill="1" applyBorder="1" applyAlignment="1">
      <alignment horizontal="center" vertical="center"/>
    </xf>
    <xf numFmtId="41" fontId="17" fillId="16" borderId="34" xfId="52" applyNumberFormat="1" applyFont="1" applyFill="1" applyBorder="1" applyAlignment="1">
      <alignment horizontal="center" vertical="center"/>
    </xf>
    <xf numFmtId="41" fontId="36" fillId="16" borderId="34" xfId="52" applyNumberFormat="1" applyFont="1" applyFill="1" applyBorder="1" applyAlignment="1">
      <alignment horizontal="center" vertical="center"/>
    </xf>
    <xf numFmtId="0" fontId="36" fillId="16" borderId="0" xfId="51" applyFont="1" applyFill="1" applyBorder="1" applyAlignment="1">
      <alignment horizontal="center" vertical="center"/>
    </xf>
    <xf numFmtId="41" fontId="36" fillId="16" borderId="27" xfId="51" applyNumberFormat="1" applyFont="1" applyFill="1" applyBorder="1" applyAlignment="1">
      <alignment horizontal="center" vertical="center"/>
    </xf>
    <xf numFmtId="41" fontId="36" fillId="16" borderId="0" xfId="51" applyNumberFormat="1" applyFont="1" applyFill="1" applyBorder="1" applyAlignment="1">
      <alignment horizontal="center" vertical="center"/>
    </xf>
    <xf numFmtId="41" fontId="36" fillId="16" borderId="28" xfId="51" applyNumberFormat="1" applyFont="1" applyFill="1" applyBorder="1" applyAlignment="1">
      <alignment horizontal="center" vertical="center"/>
    </xf>
    <xf numFmtId="0" fontId="34" fillId="19" borderId="96" xfId="0" applyFont="1" applyFill="1" applyBorder="1" applyAlignment="1">
      <alignment horizontal="center"/>
    </xf>
    <xf numFmtId="0" fontId="34" fillId="19" borderId="52" xfId="0" applyFont="1" applyFill="1" applyBorder="1" applyAlignment="1">
      <alignment horizontal="center"/>
    </xf>
    <xf numFmtId="0" fontId="34" fillId="19" borderId="97" xfId="0" applyFont="1" applyFill="1" applyBorder="1" applyAlignment="1">
      <alignment horizontal="center"/>
    </xf>
    <xf numFmtId="0" fontId="34" fillId="19" borderId="77" xfId="0" applyFont="1" applyFill="1" applyBorder="1" applyAlignment="1">
      <alignment horizontal="center"/>
    </xf>
    <xf numFmtId="0" fontId="34" fillId="19" borderId="49" xfId="0" applyFont="1" applyFill="1" applyBorder="1" applyAlignment="1">
      <alignment horizontal="center"/>
    </xf>
    <xf numFmtId="0" fontId="34" fillId="19" borderId="78" xfId="0" applyFont="1" applyFill="1" applyBorder="1" applyAlignment="1">
      <alignment horizontal="center"/>
    </xf>
    <xf numFmtId="0" fontId="34" fillId="19" borderId="48" xfId="53" applyFont="1" applyFill="1" applyBorder="1" applyAlignment="1">
      <alignment horizontal="center"/>
    </xf>
    <xf numFmtId="0" fontId="34" fillId="19" borderId="49" xfId="53" applyFont="1" applyFill="1" applyBorder="1" applyAlignment="1">
      <alignment horizontal="center"/>
    </xf>
    <xf numFmtId="0" fontId="34" fillId="19" borderId="50" xfId="53" applyFont="1" applyFill="1" applyBorder="1" applyAlignment="1">
      <alignment horizontal="center"/>
    </xf>
    <xf numFmtId="0" fontId="34" fillId="19" borderId="51" xfId="53" applyFont="1" applyFill="1" applyBorder="1" applyAlignment="1">
      <alignment horizontal="center"/>
    </xf>
    <xf numFmtId="0" fontId="34" fillId="19" borderId="52" xfId="53" applyFont="1" applyFill="1" applyBorder="1" applyAlignment="1">
      <alignment horizontal="center"/>
    </xf>
    <xf numFmtId="0" fontId="34" fillId="19" borderId="53" xfId="53" applyFont="1" applyFill="1" applyBorder="1" applyAlignment="1">
      <alignment horizontal="center"/>
    </xf>
    <xf numFmtId="0" fontId="1" fillId="24" borderId="0" xfId="69" applyFont="1" applyFill="1" applyAlignment="1">
      <alignment vertical="top"/>
    </xf>
    <xf numFmtId="0" fontId="1" fillId="24" borderId="0" xfId="1" applyFill="1" applyAlignment="1">
      <alignment vertical="top"/>
    </xf>
    <xf numFmtId="0" fontId="1" fillId="24" borderId="0" xfId="1" applyFill="1"/>
    <xf numFmtId="0" fontId="77" fillId="24" borderId="0" xfId="69" applyFont="1" applyFill="1" applyAlignment="1">
      <alignment horizontal="left" vertical="top"/>
    </xf>
    <xf numFmtId="0" fontId="1" fillId="24" borderId="0" xfId="1" applyFont="1" applyFill="1" applyAlignment="1">
      <alignment vertical="top"/>
    </xf>
    <xf numFmtId="0" fontId="78" fillId="24" borderId="0" xfId="69" applyFont="1" applyFill="1" applyAlignment="1">
      <alignment vertical="top"/>
    </xf>
    <xf numFmtId="0" fontId="0" fillId="24" borderId="0" xfId="0" applyFill="1" applyAlignment="1">
      <alignment vertical="top"/>
    </xf>
    <xf numFmtId="0" fontId="79" fillId="24" borderId="0" xfId="0" applyFont="1" applyFill="1" applyAlignment="1">
      <alignment vertical="top"/>
    </xf>
    <xf numFmtId="0" fontId="80" fillId="24" borderId="0" xfId="0" applyFont="1" applyFill="1" applyAlignment="1">
      <alignment vertical="top"/>
    </xf>
    <xf numFmtId="0" fontId="80" fillId="24" borderId="0" xfId="0" applyFont="1" applyFill="1" applyAlignment="1">
      <alignment vertical="top"/>
    </xf>
    <xf numFmtId="0" fontId="79" fillId="24" borderId="0" xfId="0" applyFont="1" applyFill="1" applyAlignment="1">
      <alignment vertical="top"/>
    </xf>
    <xf numFmtId="0" fontId="0" fillId="24" borderId="0" xfId="0" applyFill="1" applyAlignment="1">
      <alignment vertical="top"/>
    </xf>
    <xf numFmtId="0" fontId="0" fillId="24" borderId="102" xfId="0" applyFill="1" applyBorder="1" applyAlignment="1">
      <alignment vertical="top"/>
    </xf>
    <xf numFmtId="0" fontId="79" fillId="24" borderId="98" xfId="0" applyFont="1" applyFill="1" applyBorder="1" applyAlignment="1">
      <alignment vertical="top"/>
    </xf>
    <xf numFmtId="0" fontId="79" fillId="24" borderId="99" xfId="0" applyFont="1" applyFill="1" applyBorder="1" applyAlignment="1">
      <alignment vertical="top"/>
    </xf>
    <xf numFmtId="0" fontId="79" fillId="24" borderId="100" xfId="0" applyFont="1" applyFill="1" applyBorder="1" applyAlignment="1">
      <alignment vertical="top"/>
    </xf>
    <xf numFmtId="0" fontId="79" fillId="24" borderId="101" xfId="0" applyFont="1" applyFill="1" applyBorder="1" applyAlignment="1">
      <alignment vertical="top"/>
    </xf>
    <xf numFmtId="9" fontId="79" fillId="24" borderId="98" xfId="0" applyNumberFormat="1" applyFont="1" applyFill="1" applyBorder="1" applyAlignment="1">
      <alignment vertical="top"/>
    </xf>
    <xf numFmtId="3" fontId="79" fillId="24" borderId="98" xfId="0" applyNumberFormat="1" applyFont="1" applyFill="1" applyBorder="1" applyAlignment="1">
      <alignment vertical="top"/>
    </xf>
    <xf numFmtId="0" fontId="0" fillId="24" borderId="103" xfId="0" applyFill="1" applyBorder="1" applyAlignment="1">
      <alignment vertical="top"/>
    </xf>
    <xf numFmtId="2" fontId="1" fillId="0" borderId="0" xfId="1" applyNumberFormat="1" applyAlignment="1">
      <alignment horizontal="left"/>
    </xf>
    <xf numFmtId="0" fontId="1" fillId="0" borderId="0" xfId="1" applyNumberFormat="1" applyAlignment="1">
      <alignment horizontal="left"/>
    </xf>
    <xf numFmtId="1" fontId="1" fillId="0" borderId="0" xfId="1" applyNumberFormat="1" applyAlignment="1">
      <alignment horizontal="left"/>
    </xf>
    <xf numFmtId="0" fontId="1" fillId="0" borderId="0" xfId="1" applyFont="1"/>
    <xf numFmtId="193" fontId="1" fillId="0" borderId="0" xfId="1" applyNumberFormat="1" applyAlignment="1">
      <alignment horizontal="left"/>
    </xf>
    <xf numFmtId="49" fontId="1" fillId="0" borderId="0" xfId="1" applyNumberFormat="1"/>
  </cellXfs>
  <cellStyles count="70">
    <cellStyle name="_BS " xfId="2"/>
    <cellStyle name="_DCF " xfId="3"/>
    <cellStyle name="_SUMMARY " xfId="5"/>
    <cellStyle name="0_Capex &amp; Depreciation " xfId="6"/>
    <cellStyle name="0_OMV EP 2000-2015 Consolidated " xfId="7"/>
    <cellStyle name="0_Valuing BP " xfId="8"/>
    <cellStyle name="20% - Accent1" xfId="9" builtinId="30" customBuiltin="1"/>
    <cellStyle name="20% - Accent2" xfId="10" builtinId="34" customBuiltin="1"/>
    <cellStyle name="20% - Accent3" xfId="11" builtinId="38" customBuiltin="1"/>
    <cellStyle name="20% - Accent4" xfId="12" builtinId="42" customBuiltin="1"/>
    <cellStyle name="20% - Accent5" xfId="13" builtinId="46" customBuiltin="1"/>
    <cellStyle name="20% - Accent6" xfId="14" builtinId="50" customBuiltin="1"/>
    <cellStyle name="40% - Accent1" xfId="15" builtinId="31" customBuiltin="1"/>
    <cellStyle name="40% - Accent2" xfId="16" builtinId="35" customBuiltin="1"/>
    <cellStyle name="40% - Accent3" xfId="17" builtinId="39" customBuiltin="1"/>
    <cellStyle name="40% - Accent4" xfId="18" builtinId="43" customBuiltin="1"/>
    <cellStyle name="40% - Accent5" xfId="19" builtinId="47" customBuiltin="1"/>
    <cellStyle name="40% - Accent6" xfId="20" builtinId="51" customBuiltin="1"/>
    <cellStyle name="60% - Accent1" xfId="21" builtinId="32" customBuiltin="1"/>
    <cellStyle name="60% - Accent2" xfId="22" builtinId="36" customBuiltin="1"/>
    <cellStyle name="60% - Accent3" xfId="23" builtinId="40" customBuiltin="1"/>
    <cellStyle name="60% - Accent4" xfId="24" builtinId="44" customBuiltin="1"/>
    <cellStyle name="60% - Accent5" xfId="25" builtinId="48" customBuiltin="1"/>
    <cellStyle name="60% - Accent6" xfId="26" builtinId="52" customBuiltin="1"/>
    <cellStyle name="Accent1" xfId="27" builtinId="29" customBuiltin="1"/>
    <cellStyle name="Accent2" xfId="28" builtinId="33" customBuiltin="1"/>
    <cellStyle name="Accent3" xfId="29" builtinId="37" customBuiltin="1"/>
    <cellStyle name="Accent4" xfId="30" builtinId="41" customBuiltin="1"/>
    <cellStyle name="Accent5" xfId="31" builtinId="45" customBuiltin="1"/>
    <cellStyle name="Accent6" xfId="32" builtinId="49" customBuiltin="1"/>
    <cellStyle name="Bad" xfId="34" builtinId="27" customBuiltin="1"/>
    <cellStyle name="c_HardInc " xfId="35"/>
    <cellStyle name="Calculation" xfId="36" builtinId="22" customBuiltin="1"/>
    <cellStyle name="Check Cell" xfId="37" builtinId="23" customBuiltin="1"/>
    <cellStyle name="Comma" xfId="38" builtinId="3"/>
    <cellStyle name="Comma_BWA Model" xfId="39"/>
    <cellStyle name="Currency 2" xfId="33"/>
    <cellStyle name="Currency_BWA Model" xfId="40"/>
    <cellStyle name="Explanatory Text" xfId="41" builtinId="53" customBuiltin="1"/>
    <cellStyle name="Good" xfId="42" builtinId="26" customBuiltin="1"/>
    <cellStyle name="Heading 1" xfId="43" builtinId="16" customBuiltin="1"/>
    <cellStyle name="Heading 2" xfId="44" builtinId="17" customBuiltin="1"/>
    <cellStyle name="Heading 3" xfId="45" builtinId="18" customBuiltin="1"/>
    <cellStyle name="Heading 4" xfId="46" builtinId="19" customBuiltin="1"/>
    <cellStyle name="Input" xfId="47" builtinId="20" customBuiltin="1"/>
    <cellStyle name="Linked Cell" xfId="48" builtinId="24" customBuiltin="1"/>
    <cellStyle name="Neutral" xfId="49" builtinId="28" customBuiltin="1"/>
    <cellStyle name="Normal" xfId="0" builtinId="0"/>
    <cellStyle name="Normal 11" xfId="50"/>
    <cellStyle name="Normal 2" xfId="51"/>
    <cellStyle name="Normal 2 2" xfId="52"/>
    <cellStyle name="Normal 3" xfId="1"/>
    <cellStyle name="Normal 8" xfId="53"/>
    <cellStyle name="Normal_BWA Model" xfId="54"/>
    <cellStyle name="Normal_DisclaimerSheet Samples" xfId="69"/>
    <cellStyle name="Normal_Qtr Model" xfId="55"/>
    <cellStyle name="Note" xfId="56" builtinId="10" customBuiltin="1"/>
    <cellStyle name="Output" xfId="57" builtinId="21" customBuiltin="1"/>
    <cellStyle name="p " xfId="58"/>
    <cellStyle name="Percent" xfId="59" builtinId="5"/>
    <cellStyle name="Percent 2" xfId="60"/>
    <cellStyle name="RRSInstruction" xfId="4"/>
    <cellStyle name="s_HardInc " xfId="61"/>
    <cellStyle name="s_Valuation " xfId="62"/>
    <cellStyle name="ssp " xfId="63"/>
    <cellStyle name="Title" xfId="64" builtinId="15" customBuiltin="1"/>
    <cellStyle name="Total" xfId="65" builtinId="25" customBuiltin="1"/>
    <cellStyle name="Warning Text" xfId="66" builtinId="11" customBuiltin="1"/>
    <cellStyle name="콤마 [0]_#3이설 견적_준공내역총괄표 " xfId="67"/>
    <cellStyle name="콤마_#3이설 견적_준공내역총괄표 " xfId="68"/>
  </cellStyles>
  <dxfs count="62">
    <dxf>
      <font>
        <color rgb="FFFF0000"/>
      </font>
    </dxf>
    <dxf>
      <font>
        <color rgb="FFFF0000"/>
      </font>
    </dxf>
    <dxf>
      <font>
        <color rgb="FFFF0000"/>
      </font>
    </dxf>
    <dxf>
      <font>
        <color rgb="FFFF0000"/>
      </font>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74BE74"/>
      <rgbColor rgb="002270AB"/>
      <rgbColor rgb="00F8CD14"/>
      <rgbColor rgb="00F26163"/>
      <rgbColor rgb="00A8D7E2"/>
      <rgbColor rgb="00B2122B"/>
      <rgbColor rgb="00238B45"/>
      <rgbColor rgb="001B4694"/>
      <rgbColor rgb="0041A95C"/>
      <rgbColor rgb="00800080"/>
      <rgbColor rgb="00238B45"/>
      <rgbColor rgb="00C0C0C0"/>
      <rgbColor rgb="00808080"/>
      <rgbColor rgb="00137CB1"/>
      <rgbColor rgb="00EACC80"/>
      <rgbColor rgb="004AAC6B"/>
      <rgbColor rgb="00A8D7E2"/>
      <rgbColor rgb="00E58061"/>
      <rgbColor rgb="00BCE3A1"/>
      <rgbColor rgb="008E466A"/>
      <rgbColor rgb="00F3A7A9"/>
      <rgbColor rgb="001275A6"/>
      <rgbColor rgb="00E5BF61"/>
      <rgbColor rgb="004AAC6B"/>
      <rgbColor rgb="0097D0DD"/>
      <rgbColor rgb="00763A58"/>
      <rgbColor rgb="00EF8D8F"/>
      <rgbColor rgb="00E2704C"/>
      <rgbColor rgb="00A5D981"/>
      <rgbColor rgb="0069ADCA"/>
      <rgbColor rgb="00C6D9E2"/>
      <rgbColor rgb="00E3EEDE"/>
      <rgbColor rgb="00F3EEA1"/>
      <rgbColor rgb="009DC9DC"/>
      <rgbColor rgb="00EFC1D2"/>
      <rgbColor rgb="009DC9DC"/>
      <rgbColor rgb="00EFC49F"/>
      <rgbColor rgb="004091BF"/>
      <rgbColor rgb="0097D0DD"/>
      <rgbColor rgb="00A5D981"/>
      <rgbColor rgb="00F8CD14"/>
      <rgbColor rgb="00EACC80"/>
      <rgbColor rgb="00FC7114"/>
      <rgbColor rgb="004091BF"/>
      <rgbColor rgb="00969696"/>
      <rgbColor rgb="00003366"/>
      <rgbColor rgb="0041A95C"/>
      <rgbColor rgb="00125A31"/>
      <rgbColor rgb="00125A31"/>
      <rgbColor rgb="00DDDDDD"/>
      <rgbColor rgb="008E466A"/>
      <rgbColor rgb="001B4694"/>
      <rgbColor rgb="00333333"/>
    </indexed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
<Relationship Id="rId1" Target="worksheets/sheet1.xml" Type="http://schemas.openxmlformats.org/officeDocument/2006/relationships/worksheet"/>
<Relationship Id="rId10" Target="worksheets/sheet10.xml" Type="http://schemas.openxmlformats.org/officeDocument/2006/relationships/worksheet"/>
<Relationship Id="rId11" Target="worksheets/sheet11.xml" Type="http://schemas.openxmlformats.org/officeDocument/2006/relationships/worksheet"/>
<Relationship Id="rId12" Target="worksheets/sheet12.xml" Type="http://schemas.openxmlformats.org/officeDocument/2006/relationships/worksheet"/>
<Relationship Id="rId13" Target="theme/theme1.xml" Type="http://schemas.openxmlformats.org/officeDocument/2006/relationships/theme"/>
<Relationship Id="rId14" Target="styles.xml" Type="http://schemas.openxmlformats.org/officeDocument/2006/relationships/styles"/>
<Relationship Id="rId15" Target="sharedStrings.xml" Type="http://schemas.openxmlformats.org/officeDocument/2006/relationships/sharedStrings"/>
<Relationship Id="rId16" Target="calcChain.xml" Type="http://schemas.openxmlformats.org/officeDocument/2006/relationships/calcChain"/>
<Relationship Id="rId17" Target="../customXml/item1.xml" Type="http://schemas.openxmlformats.org/officeDocument/2006/relationships/customXml"/>
<Relationship Id="rId18" Target="../customXml/item2.xml" Type="http://schemas.openxmlformats.org/officeDocument/2006/relationships/customXml"/>
<Relationship Id="rId2" Target="worksheets/sheet2.xml" Type="http://schemas.openxmlformats.org/officeDocument/2006/relationships/worksheet"/>
<Relationship Id="rId3" Target="worksheets/sheet3.xml" Type="http://schemas.openxmlformats.org/officeDocument/2006/relationships/worksheet"/>
<Relationship Id="rId4" Target="worksheets/sheet4.xml" Type="http://schemas.openxmlformats.org/officeDocument/2006/relationships/worksheet"/>
<Relationship Id="rId5" Target="worksheets/sheet5.xml" Type="http://schemas.openxmlformats.org/officeDocument/2006/relationships/worksheet"/>
<Relationship Id="rId6" Target="worksheets/sheet6.xml" Type="http://schemas.openxmlformats.org/officeDocument/2006/relationships/worksheet"/>
<Relationship Id="rId7" Target="worksheets/sheet7.xml" Type="http://schemas.openxmlformats.org/officeDocument/2006/relationships/worksheet"/>
<Relationship Id="rId8" Target="worksheets/sheet8.xml" Type="http://schemas.openxmlformats.org/officeDocument/2006/relationships/worksheet"/>
<Relationship Id="rId9" Target="worksheets/sheet9.xml" Type="http://schemas.openxmlformats.org/officeDocument/2006/relationships/worksheet"/>
</Relationships>

</file>

<file path=xl/drawings/_rels/drawing1.xml.rels><?xml version="1.0" encoding="UTF-8" standalone="yes"?>
<Relationships xmlns="http://schemas.openxmlformats.org/package/2006/relationships">
<Relationship Id="rId1" Target="../media/image1.png" Type="http://schemas.openxmlformats.org/officeDocument/2006/relationships/image"/>
<Relationship Id="rId2" Target="../media/image2.jpeg" Type="http://schemas.openxmlformats.org/officeDocument/2006/relationships/image"/>
<Relationship Id="rId3" Target="../media/image3.gif" Type="http://schemas.openxmlformats.org/officeDocument/2006/relationships/image"/>
</Relationships>

</file>

<file path=xl/drawings/_rels/drawing2.xml.rels><?xml version="1.0" encoding="UTF-8" standalone="yes"?>
<Relationships xmlns="http://schemas.openxmlformats.org/package/2006/relationships">
<Relationship Id="rId1" Target="../media/image4.png" Type="http://schemas.openxmlformats.org/officeDocument/2006/relationships/image"/>
</Relationships>

</file>

<file path=xl/drawings/_rels/drawing3.xml.rels><?xml version="1.0" encoding="UTF-8" standalone="yes"?>
<Relationships xmlns="http://schemas.openxmlformats.org/package/2006/relationships">
<Relationship Id="rId1" Target="../media/image4.png" Type="http://schemas.openxmlformats.org/officeDocument/2006/relationships/image"/>
</Relationships>

</file>

<file path=xl/drawings/drawing1.xml><?xml version="1.0" encoding="utf-8"?>
<xdr:wsDr xmlns:xdr="http://schemas.openxmlformats.org/drawingml/2006/spreadsheetDrawing" xmlns:a="http://schemas.openxmlformats.org/drawingml/2006/main">
  <xdr:twoCellAnchor editAs="oneCell">
    <xdr:from>
      <xdr:col>0</xdr:col>
      <xdr:colOff>19050</xdr:colOff>
      <xdr:row>0</xdr:row>
      <xdr:rowOff>28575</xdr:rowOff>
    </xdr:from>
    <xdr:to>
      <xdr:col>0</xdr:col>
      <xdr:colOff>1581150</xdr:colOff>
      <xdr:row>0</xdr:row>
      <xdr:rowOff>323850</xdr:rowOff>
    </xdr:to>
    <xdr:pic>
      <xdr:nvPicPr>
        <xdr:cNvPr id="2" name="Picture 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050" y="28575"/>
          <a:ext cx="1562100" cy="2952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19050</xdr:colOff>
      <xdr:row>0</xdr:row>
      <xdr:rowOff>95250</xdr:rowOff>
    </xdr:from>
    <xdr:to>
      <xdr:col>1</xdr:col>
      <xdr:colOff>523875</xdr:colOff>
      <xdr:row>0</xdr:row>
      <xdr:rowOff>314325</xdr:rowOff>
    </xdr:to>
    <xdr:pic>
      <xdr:nvPicPr>
        <xdr:cNvPr id="3" name="Picture 6" descr="MSMS_logo_3" hidden="1"/>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9050" y="95250"/>
          <a:ext cx="2219325" cy="2190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174</xdr:row>
      <xdr:rowOff>0</xdr:rowOff>
    </xdr:from>
    <xdr:to>
      <xdr:col>7</xdr:col>
      <xdr:colOff>390525</xdr:colOff>
      <xdr:row>197</xdr:row>
      <xdr:rowOff>104775</xdr:rowOff>
    </xdr:to>
    <xdr:pic>
      <xdr:nvPicPr>
        <xdr:cNvPr id="30869505" name="Picture 1" descr="C:\Users\sinkevic\AppData\Local\Temp\MercuryPriceRatingHistoryChart\BWA.N_2018_04_10_18_41_12.gif"/>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0" y="26803350"/>
          <a:ext cx="6400800" cy="3829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1</xdr:col>
      <xdr:colOff>304800</xdr:colOff>
      <xdr:row>2</xdr:row>
      <xdr:rowOff>114300</xdr:rowOff>
    </xdr:to>
    <xdr:sp macro="" textlink="">
      <xdr:nvSpPr>
        <xdr:cNvPr id="49355870" name="AutoShape 2122" descr="Image result for borgwarner logo"/>
        <xdr:cNvSpPr>
          <a:spLocks noChangeAspect="1" noChangeArrowheads="1"/>
        </xdr:cNvSpPr>
      </xdr:nvSpPr>
      <xdr:spPr bwMode="auto">
        <a:xfrm>
          <a:off x="238125" y="190500"/>
          <a:ext cx="304800" cy="304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xdr:col>
      <xdr:colOff>0</xdr:colOff>
      <xdr:row>1</xdr:row>
      <xdr:rowOff>0</xdr:rowOff>
    </xdr:from>
    <xdr:to>
      <xdr:col>1</xdr:col>
      <xdr:colOff>304800</xdr:colOff>
      <xdr:row>2</xdr:row>
      <xdr:rowOff>114300</xdr:rowOff>
    </xdr:to>
    <xdr:sp macro="" textlink="">
      <xdr:nvSpPr>
        <xdr:cNvPr id="49355871" name="AutoShape 2123" descr="Image result for borgwarner logo"/>
        <xdr:cNvSpPr>
          <a:spLocks noChangeAspect="1" noChangeArrowheads="1"/>
        </xdr:cNvSpPr>
      </xdr:nvSpPr>
      <xdr:spPr bwMode="auto">
        <a:xfrm>
          <a:off x="238125" y="190500"/>
          <a:ext cx="304800" cy="304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xdr:col>
      <xdr:colOff>66675</xdr:colOff>
      <xdr:row>0</xdr:row>
      <xdr:rowOff>133350</xdr:rowOff>
    </xdr:from>
    <xdr:to>
      <xdr:col>1</xdr:col>
      <xdr:colOff>2809875</xdr:colOff>
      <xdr:row>2</xdr:row>
      <xdr:rowOff>104775</xdr:rowOff>
    </xdr:to>
    <xdr:pic>
      <xdr:nvPicPr>
        <xdr:cNvPr id="4935587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4800" y="133350"/>
          <a:ext cx="2743200" cy="3524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1</xdr:col>
      <xdr:colOff>304800</xdr:colOff>
      <xdr:row>2</xdr:row>
      <xdr:rowOff>114300</xdr:rowOff>
    </xdr:to>
    <xdr:sp macro="" textlink="">
      <xdr:nvSpPr>
        <xdr:cNvPr id="2" name="AutoShape 2122" descr="Image result for borgwarner logo"/>
        <xdr:cNvSpPr>
          <a:spLocks noChangeAspect="1" noChangeArrowheads="1"/>
        </xdr:cNvSpPr>
      </xdr:nvSpPr>
      <xdr:spPr bwMode="auto">
        <a:xfrm>
          <a:off x="238125" y="190500"/>
          <a:ext cx="304800" cy="304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xdr:col>
      <xdr:colOff>0</xdr:colOff>
      <xdr:row>1</xdr:row>
      <xdr:rowOff>0</xdr:rowOff>
    </xdr:from>
    <xdr:to>
      <xdr:col>1</xdr:col>
      <xdr:colOff>304800</xdr:colOff>
      <xdr:row>2</xdr:row>
      <xdr:rowOff>114300</xdr:rowOff>
    </xdr:to>
    <xdr:sp macro="" textlink="">
      <xdr:nvSpPr>
        <xdr:cNvPr id="3" name="AutoShape 2123" descr="Image result for borgwarner logo"/>
        <xdr:cNvSpPr>
          <a:spLocks noChangeAspect="1" noChangeArrowheads="1"/>
        </xdr:cNvSpPr>
      </xdr:nvSpPr>
      <xdr:spPr bwMode="auto">
        <a:xfrm>
          <a:off x="238125" y="190500"/>
          <a:ext cx="304800" cy="304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xdr:col>
      <xdr:colOff>66675</xdr:colOff>
      <xdr:row>0</xdr:row>
      <xdr:rowOff>133350</xdr:rowOff>
    </xdr:from>
    <xdr:to>
      <xdr:col>1</xdr:col>
      <xdr:colOff>2809875</xdr:colOff>
      <xdr:row>2</xdr:row>
      <xdr:rowOff>104775</xdr:rowOff>
    </xdr:to>
    <xdr:pic>
      <xdr:nvPicPr>
        <xdr:cNvPr id="4"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4800" y="133350"/>
          <a:ext cx="2743200" cy="3524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
<Relationship Id="rId1" Target="../printerSettings/printerSettings1.bin" Type="http://schemas.openxmlformats.org/officeDocument/2006/relationships/printerSettings"/>
</Relationships>

</file>

<file path=xl/worksheets/_rels/sheet2.xml.rels><?xml version="1.0" encoding="UTF-8" standalone="yes"?>
<Relationships xmlns="http://schemas.openxmlformats.org/package/2006/relationships">
<Relationship Id="rId1" Target="../printerSettings/printerSettings2.bin" Type="http://schemas.openxmlformats.org/officeDocument/2006/relationships/printerSettings"/>
<Relationship Id="rId2" Target="../drawings/drawing1.xml" Type="http://schemas.openxmlformats.org/officeDocument/2006/relationships/drawing"/>
</Relationships>

</file>

<file path=xl/worksheets/_rels/sheet3.xml.rels><?xml version="1.0" encoding="UTF-8" standalone="yes"?>
<Relationships xmlns="http://schemas.openxmlformats.org/package/2006/relationships">
<Relationship Id="rId1" Target="../printerSettings/printerSettings3.bin" Type="http://schemas.openxmlformats.org/officeDocument/2006/relationships/printerSettings"/>
<Relationship Id="rId2" Target="../drawings/vmlDrawing1.vml" Type="http://schemas.openxmlformats.org/officeDocument/2006/relationships/vmlDrawing"/>
<Relationship Id="rId3" Target="../comments1.xml" Type="http://schemas.openxmlformats.org/officeDocument/2006/relationships/comments"/>
</Relationships>

</file>

<file path=xl/worksheets/_rels/sheet4.xml.rels><?xml version="1.0" encoding="UTF-8" standalone="yes"?>
<Relationships xmlns="http://schemas.openxmlformats.org/package/2006/relationships">
<Relationship Id="rId1" Target="../printerSettings/printerSettings4.bin" Type="http://schemas.openxmlformats.org/officeDocument/2006/relationships/printerSettings"/>
</Relationships>

</file>

<file path=xl/worksheets/_rels/sheet5.xml.rels><?xml version="1.0" encoding="UTF-8" standalone="yes"?>
<Relationships xmlns="http://schemas.openxmlformats.org/package/2006/relationships">
<Relationship Id="rId1" Target="../printerSettings/printerSettings5.bin" Type="http://schemas.openxmlformats.org/officeDocument/2006/relationships/printerSettings"/>
<Relationship Id="rId2" Target="../drawings/drawing2.xml" Type="http://schemas.openxmlformats.org/officeDocument/2006/relationships/drawing"/>
<Relationship Id="rId3" Target="../drawings/vmlDrawing2.vml" Type="http://schemas.openxmlformats.org/officeDocument/2006/relationships/vmlDrawing"/>
<Relationship Id="rId4" Target="../comments2.xml" Type="http://schemas.openxmlformats.org/officeDocument/2006/relationships/comments"/>
</Relationships>

</file>

<file path=xl/worksheets/_rels/sheet6.xml.rels><?xml version="1.0" encoding="UTF-8" standalone="yes"?>
<Relationships xmlns="http://schemas.openxmlformats.org/package/2006/relationships">
<Relationship Id="rId1" Target="../printerSettings/printerSettings6.bin" Type="http://schemas.openxmlformats.org/officeDocument/2006/relationships/printerSettings"/>
<Relationship Id="rId2" Target="../drawings/drawing3.xml" Type="http://schemas.openxmlformats.org/officeDocument/2006/relationships/drawing"/>
<Relationship Id="rId3" Target="../drawings/vmlDrawing3.vml" Type="http://schemas.openxmlformats.org/officeDocument/2006/relationships/vmlDrawing"/>
<Relationship Id="rId4" Target="../comments3.xml" Type="http://schemas.openxmlformats.org/officeDocument/2006/relationships/comments"/>
</Relationships>

</file>

<file path=xl/worksheets/_rels/sheet7.xml.rels><?xml version="1.0" encoding="UTF-8" standalone="yes"?>
<Relationships xmlns="http://schemas.openxmlformats.org/package/2006/relationships">
<Relationship Id="rId1" Target="../printerSettings/printerSettings7.bin" Type="http://schemas.openxmlformats.org/officeDocument/2006/relationships/printerSettings"/>
</Relationships>

</file>

<file path=xl/worksheets/_rels/sheet8.xml.rels><?xml version="1.0" encoding="UTF-8" standalone="yes"?>
<Relationships xmlns="http://schemas.openxmlformats.org/package/2006/relationships">
<Relationship Id="rId1" Target="../printerSettings/printerSettings8.bin" Type="http://schemas.openxmlformats.org/officeDocument/2006/relationships/printerSettings"/>
</Relationships>

</file>

<file path=xl/worksheets/_rels/sheet9.xml.rels><?xml version="1.0" encoding="UTF-8" standalone="yes"?>
<Relationships xmlns="http://schemas.openxmlformats.org/package/2006/relationships">
<Relationship Id="rId1" Target="../printerSettings/printerSettings9.bin" Type="http://schemas.openxmlformats.org/officeDocument/2006/relationships/printerSettings"/>
<Relationship Id="rId2" Target="../drawings/vmlDrawing4.vml" Type="http://schemas.openxmlformats.org/officeDocument/2006/relationships/vmlDrawing"/>
<Relationship Id="rId3" Target="../comments4.xml" Type="http://schemas.openxmlformats.org/officeDocument/2006/relationships/comments"/>
</Relationships>

</file>

<file path=xl/worksheets/_rels/sheet10.xml.rels><?xml version="1.0" encoding="UTF-8" standalone="yes"?>
<Relationships xmlns="http://schemas.openxmlformats.org/package/2006/relationships">
<Relationship Id="rId1" Target="../printerSettings/printerSettings10.bin" Type="http://schemas.openxmlformats.org/officeDocument/2006/relationships/printerSettings"/>
<Relationship Id="rId2" Target="../drawings/vmlDrawing5.vml" Type="http://schemas.openxmlformats.org/officeDocument/2006/relationships/vmlDrawing"/>
<Relationship Id="rId3" Target="../comments5.xml" Type="http://schemas.openxmlformats.org/officeDocument/2006/relationships/comments"/>
</Relationships>

</file>

<file path=xl/worksheets/_rels/sheet11.xml.rels><?xml version="1.0" encoding="UTF-8" standalone="yes"?>
<Relationships xmlns="http://schemas.openxmlformats.org/package/2006/relationships">
<Relationship Id="rId1" Target="../printerSettings/printerSettings11.bin" Type="http://schemas.openxmlformats.org/officeDocument/2006/relationships/printerSettings"/>
</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CL2"/>
  <sheetViews>
    <sheetView workbookViewId="0"/>
  </sheetViews>
  <sheetFormatPr defaultRowHeight="12.75"/>
  <sheetData>
    <row r="1" spans="1:90">
      <c r="A1" t="s">
        <v>193</v>
      </c>
    </row>
    <row r="2" spans="1:90">
      <c r="A2" s="2" t="s">
        <v>137</v>
      </c>
      <c r="B2" s="2" t="s">
        <v>91</v>
      </c>
      <c r="C2" s="2" t="s">
        <v>180</v>
      </c>
      <c r="D2" s="2" t="s">
        <v>118</v>
      </c>
      <c r="E2" s="2" t="s">
        <v>130</v>
      </c>
      <c r="F2" s="2" t="s">
        <v>145</v>
      </c>
      <c r="G2" s="2" t="s">
        <v>189</v>
      </c>
      <c r="H2" s="2" t="s">
        <v>190</v>
      </c>
      <c r="I2" s="2" t="s">
        <v>140</v>
      </c>
      <c r="J2" s="2" t="s">
        <v>150</v>
      </c>
      <c r="K2" s="2" t="s">
        <v>127</v>
      </c>
      <c r="L2" s="2" t="s">
        <v>143</v>
      </c>
      <c r="M2" s="2" t="s">
        <v>181</v>
      </c>
      <c r="N2" s="2" t="s">
        <v>182</v>
      </c>
      <c r="O2" s="2" t="s">
        <v>126</v>
      </c>
      <c r="P2" s="2" t="s">
        <v>91</v>
      </c>
      <c r="Q2" s="2" t="s">
        <v>128</v>
      </c>
      <c r="R2" s="2" t="s">
        <v>91</v>
      </c>
      <c r="S2" s="2" t="s">
        <v>183</v>
      </c>
      <c r="T2" s="2" t="s">
        <v>179</v>
      </c>
      <c r="U2" s="2" t="s">
        <v>191</v>
      </c>
      <c r="V2" s="2" t="s">
        <v>192</v>
      </c>
      <c r="W2" s="2" t="s">
        <v>6</v>
      </c>
      <c r="X2" s="2" t="s">
        <v>91</v>
      </c>
      <c r="Y2" s="2" t="s">
        <v>135</v>
      </c>
      <c r="Z2" s="2" t="s">
        <v>148</v>
      </c>
      <c r="AA2" s="2" t="s">
        <v>131</v>
      </c>
      <c r="AB2" s="2" t="s">
        <v>146</v>
      </c>
      <c r="AC2" s="2" t="s">
        <v>184</v>
      </c>
      <c r="AD2" s="2" t="s">
        <v>91</v>
      </c>
      <c r="AE2" s="2" t="s">
        <v>133</v>
      </c>
      <c r="AF2" s="2" t="s">
        <v>147</v>
      </c>
      <c r="AG2" s="2" t="s">
        <v>139</v>
      </c>
      <c r="AH2" s="2" t="s">
        <v>91</v>
      </c>
      <c r="AI2" s="2" t="s">
        <v>136</v>
      </c>
      <c r="AJ2" s="2" t="s">
        <v>149</v>
      </c>
      <c r="AK2" s="2" t="s">
        <v>4</v>
      </c>
      <c r="AL2" s="2" t="s">
        <v>5</v>
      </c>
      <c r="AM2" s="2" t="s">
        <v>2</v>
      </c>
      <c r="AN2" s="2" t="s">
        <v>3</v>
      </c>
      <c r="AO2" s="2" t="s">
        <v>185</v>
      </c>
      <c r="AP2" s="2" t="s">
        <v>91</v>
      </c>
      <c r="AQ2" s="2" t="s">
        <v>1</v>
      </c>
      <c r="AR2" s="2" t="s">
        <v>91</v>
      </c>
      <c r="AS2" s="2" t="s">
        <v>178</v>
      </c>
      <c r="AT2" s="2" t="s">
        <v>464</v>
      </c>
      <c r="AU2" s="2" t="s">
        <v>138</v>
      </c>
      <c r="AV2" s="2" t="s">
        <v>91</v>
      </c>
      <c r="AW2" s="2" t="s">
        <v>9</v>
      </c>
      <c r="AX2" s="2" t="s">
        <v>10</v>
      </c>
      <c r="AY2" s="2" t="s">
        <v>129</v>
      </c>
      <c r="AZ2" s="2" t="s">
        <v>144</v>
      </c>
      <c r="BA2" s="2" t="s">
        <v>151</v>
      </c>
      <c r="BB2" s="2" t="s">
        <v>91</v>
      </c>
      <c r="BC2" s="2" t="s">
        <v>152</v>
      </c>
      <c r="BD2" s="2" t="s">
        <v>153</v>
      </c>
      <c r="BE2" s="2" t="s">
        <v>186</v>
      </c>
      <c r="BF2" s="2" t="s">
        <v>91</v>
      </c>
      <c r="BG2" s="2" t="s">
        <v>132</v>
      </c>
      <c r="BH2" s="2" t="s">
        <v>91</v>
      </c>
      <c r="BI2" s="2" t="s">
        <v>0</v>
      </c>
      <c r="BJ2" s="2" t="s">
        <v>91</v>
      </c>
      <c r="BK2" s="2" t="s">
        <v>168</v>
      </c>
      <c r="BL2" s="2" t="s">
        <v>169</v>
      </c>
      <c r="BM2" s="2" t="s">
        <v>134</v>
      </c>
      <c r="BN2" s="2" t="s">
        <v>91</v>
      </c>
      <c r="BO2" s="2" t="s">
        <v>154</v>
      </c>
      <c r="BP2" s="2" t="s">
        <v>155</v>
      </c>
      <c r="BQ2" s="2" t="s">
        <v>141</v>
      </c>
      <c r="BR2" s="2" t="s">
        <v>91</v>
      </c>
      <c r="BS2" s="2" t="s">
        <v>187</v>
      </c>
      <c r="BT2" s="2" t="s">
        <v>188</v>
      </c>
      <c r="BU2" s="2" t="s">
        <v>161</v>
      </c>
      <c r="BV2" s="2" t="s">
        <v>162</v>
      </c>
      <c r="BW2" s="2" t="s">
        <v>156</v>
      </c>
      <c r="BX2" s="2" t="s">
        <v>91</v>
      </c>
      <c r="BY2" s="2" t="s">
        <v>159</v>
      </c>
      <c r="BZ2" s="2" t="s">
        <v>160</v>
      </c>
      <c r="CA2" s="2" t="s">
        <v>157</v>
      </c>
      <c r="CB2" s="2" t="s">
        <v>158</v>
      </c>
      <c r="CC2" s="2" t="s">
        <v>7</v>
      </c>
      <c r="CD2" s="2" t="s">
        <v>8</v>
      </c>
      <c r="CE2" s="2" t="s">
        <v>167</v>
      </c>
      <c r="CF2" s="2" t="s">
        <v>91</v>
      </c>
      <c r="CG2" s="2" t="s">
        <v>125</v>
      </c>
      <c r="CH2" s="2" t="s">
        <v>142</v>
      </c>
      <c r="CI2" s="2" t="s">
        <v>165</v>
      </c>
      <c r="CJ2" s="2" t="s">
        <v>166</v>
      </c>
      <c r="CK2" s="2" t="s">
        <v>163</v>
      </c>
      <c r="CL2" s="2" t="s">
        <v>164</v>
      </c>
    </row>
  </sheetData>
  <phoneticPr fontId="10" type="noConversion"/>
  <pageMargins left="0.75" right="0.75" top="1" bottom="1" header="0.5" footer="0.5"/>
  <pageSetup orientation="portrait" r:id="rId1"/>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H391"/>
  <sheetViews>
    <sheetView showGridLines="0" tabSelected="1" workbookViewId="0">
      <selection activeCell="Z1" sqref="Z1"/>
    </sheetView>
  </sheetViews>
  <sheetFormatPr defaultRowHeight="12.75"/>
  <cols>
    <col min="1" max="1" width="25.7109375" style="1234" customWidth="1"/>
    <col min="2" max="5" width="9.140625" style="1234"/>
    <col min="6" max="6" width="18.7109375" style="1234" customWidth="1"/>
    <col min="7" max="256" width="9.140625" style="1234"/>
    <col min="257" max="257" width="100.7109375" style="1234" customWidth="1"/>
    <col min="258" max="512" width="9.140625" style="1234"/>
    <col min="513" max="513" width="100.7109375" style="1234" customWidth="1"/>
    <col min="514" max="768" width="9.140625" style="1234"/>
    <col min="769" max="769" width="100.7109375" style="1234" customWidth="1"/>
    <col min="770" max="1024" width="9.140625" style="1234"/>
    <col min="1025" max="1025" width="100.7109375" style="1234" customWidth="1"/>
    <col min="1026" max="1280" width="9.140625" style="1234"/>
    <col min="1281" max="1281" width="100.7109375" style="1234" customWidth="1"/>
    <col min="1282" max="1536" width="9.140625" style="1234"/>
    <col min="1537" max="1537" width="100.7109375" style="1234" customWidth="1"/>
    <col min="1538" max="1792" width="9.140625" style="1234"/>
    <col min="1793" max="1793" width="100.7109375" style="1234" customWidth="1"/>
    <col min="1794" max="2048" width="9.140625" style="1234"/>
    <col min="2049" max="2049" width="100.7109375" style="1234" customWidth="1"/>
    <col min="2050" max="2304" width="9.140625" style="1234"/>
    <col min="2305" max="2305" width="100.7109375" style="1234" customWidth="1"/>
    <col min="2306" max="2560" width="9.140625" style="1234"/>
    <col min="2561" max="2561" width="100.7109375" style="1234" customWidth="1"/>
    <col min="2562" max="2816" width="9.140625" style="1234"/>
    <col min="2817" max="2817" width="100.7109375" style="1234" customWidth="1"/>
    <col min="2818" max="3072" width="9.140625" style="1234"/>
    <col min="3073" max="3073" width="100.7109375" style="1234" customWidth="1"/>
    <col min="3074" max="3328" width="9.140625" style="1234"/>
    <col min="3329" max="3329" width="100.7109375" style="1234" customWidth="1"/>
    <col min="3330" max="3584" width="9.140625" style="1234"/>
    <col min="3585" max="3585" width="100.7109375" style="1234" customWidth="1"/>
    <col min="3586" max="3840" width="9.140625" style="1234"/>
    <col min="3841" max="3841" width="100.7109375" style="1234" customWidth="1"/>
    <col min="3842" max="4096" width="9.140625" style="1234"/>
    <col min="4097" max="4097" width="100.7109375" style="1234" customWidth="1"/>
    <col min="4098" max="4352" width="9.140625" style="1234"/>
    <col min="4353" max="4353" width="100.7109375" style="1234" customWidth="1"/>
    <col min="4354" max="4608" width="9.140625" style="1234"/>
    <col min="4609" max="4609" width="100.7109375" style="1234" customWidth="1"/>
    <col min="4610" max="4864" width="9.140625" style="1234"/>
    <col min="4865" max="4865" width="100.7109375" style="1234" customWidth="1"/>
    <col min="4866" max="5120" width="9.140625" style="1234"/>
    <col min="5121" max="5121" width="100.7109375" style="1234" customWidth="1"/>
    <col min="5122" max="5376" width="9.140625" style="1234"/>
    <col min="5377" max="5377" width="100.7109375" style="1234" customWidth="1"/>
    <col min="5378" max="5632" width="9.140625" style="1234"/>
    <col min="5633" max="5633" width="100.7109375" style="1234" customWidth="1"/>
    <col min="5634" max="5888" width="9.140625" style="1234"/>
    <col min="5889" max="5889" width="100.7109375" style="1234" customWidth="1"/>
    <col min="5890" max="6144" width="9.140625" style="1234"/>
    <col min="6145" max="6145" width="100.7109375" style="1234" customWidth="1"/>
    <col min="6146" max="6400" width="9.140625" style="1234"/>
    <col min="6401" max="6401" width="100.7109375" style="1234" customWidth="1"/>
    <col min="6402" max="6656" width="9.140625" style="1234"/>
    <col min="6657" max="6657" width="100.7109375" style="1234" customWidth="1"/>
    <col min="6658" max="6912" width="9.140625" style="1234"/>
    <col min="6913" max="6913" width="100.7109375" style="1234" customWidth="1"/>
    <col min="6914" max="7168" width="9.140625" style="1234"/>
    <col min="7169" max="7169" width="100.7109375" style="1234" customWidth="1"/>
    <col min="7170" max="7424" width="9.140625" style="1234"/>
    <col min="7425" max="7425" width="100.7109375" style="1234" customWidth="1"/>
    <col min="7426" max="7680" width="9.140625" style="1234"/>
    <col min="7681" max="7681" width="100.7109375" style="1234" customWidth="1"/>
    <col min="7682" max="7936" width="9.140625" style="1234"/>
    <col min="7937" max="7937" width="100.7109375" style="1234" customWidth="1"/>
    <col min="7938" max="8192" width="9.140625" style="1234"/>
    <col min="8193" max="8193" width="100.7109375" style="1234" customWidth="1"/>
    <col min="8194" max="8448" width="9.140625" style="1234"/>
    <col min="8449" max="8449" width="100.7109375" style="1234" customWidth="1"/>
    <col min="8450" max="8704" width="9.140625" style="1234"/>
    <col min="8705" max="8705" width="100.7109375" style="1234" customWidth="1"/>
    <col min="8706" max="8960" width="9.140625" style="1234"/>
    <col min="8961" max="8961" width="100.7109375" style="1234" customWidth="1"/>
    <col min="8962" max="9216" width="9.140625" style="1234"/>
    <col min="9217" max="9217" width="100.7109375" style="1234" customWidth="1"/>
    <col min="9218" max="9472" width="9.140625" style="1234"/>
    <col min="9473" max="9473" width="100.7109375" style="1234" customWidth="1"/>
    <col min="9474" max="9728" width="9.140625" style="1234"/>
    <col min="9729" max="9729" width="100.7109375" style="1234" customWidth="1"/>
    <col min="9730" max="9984" width="9.140625" style="1234"/>
    <col min="9985" max="9985" width="100.7109375" style="1234" customWidth="1"/>
    <col min="9986" max="10240" width="9.140625" style="1234"/>
    <col min="10241" max="10241" width="100.7109375" style="1234" customWidth="1"/>
    <col min="10242" max="10496" width="9.140625" style="1234"/>
    <col min="10497" max="10497" width="100.7109375" style="1234" customWidth="1"/>
    <col min="10498" max="10752" width="9.140625" style="1234"/>
    <col min="10753" max="10753" width="100.7109375" style="1234" customWidth="1"/>
    <col min="10754" max="11008" width="9.140625" style="1234"/>
    <col min="11009" max="11009" width="100.7109375" style="1234" customWidth="1"/>
    <col min="11010" max="11264" width="9.140625" style="1234"/>
    <col min="11265" max="11265" width="100.7109375" style="1234" customWidth="1"/>
    <col min="11266" max="11520" width="9.140625" style="1234"/>
    <col min="11521" max="11521" width="100.7109375" style="1234" customWidth="1"/>
    <col min="11522" max="11776" width="9.140625" style="1234"/>
    <col min="11777" max="11777" width="100.7109375" style="1234" customWidth="1"/>
    <col min="11778" max="12032" width="9.140625" style="1234"/>
    <col min="12033" max="12033" width="100.7109375" style="1234" customWidth="1"/>
    <col min="12034" max="12288" width="9.140625" style="1234"/>
    <col min="12289" max="12289" width="100.7109375" style="1234" customWidth="1"/>
    <col min="12290" max="12544" width="9.140625" style="1234"/>
    <col min="12545" max="12545" width="100.7109375" style="1234" customWidth="1"/>
    <col min="12546" max="12800" width="9.140625" style="1234"/>
    <col min="12801" max="12801" width="100.7109375" style="1234" customWidth="1"/>
    <col min="12802" max="13056" width="9.140625" style="1234"/>
    <col min="13057" max="13057" width="100.7109375" style="1234" customWidth="1"/>
    <col min="13058" max="13312" width="9.140625" style="1234"/>
    <col min="13313" max="13313" width="100.7109375" style="1234" customWidth="1"/>
    <col min="13314" max="13568" width="9.140625" style="1234"/>
    <col min="13569" max="13569" width="100.7109375" style="1234" customWidth="1"/>
    <col min="13570" max="13824" width="9.140625" style="1234"/>
    <col min="13825" max="13825" width="100.7109375" style="1234" customWidth="1"/>
    <col min="13826" max="14080" width="9.140625" style="1234"/>
    <col min="14081" max="14081" width="100.7109375" style="1234" customWidth="1"/>
    <col min="14082" max="14336" width="9.140625" style="1234"/>
    <col min="14337" max="14337" width="100.7109375" style="1234" customWidth="1"/>
    <col min="14338" max="14592" width="9.140625" style="1234"/>
    <col min="14593" max="14593" width="100.7109375" style="1234" customWidth="1"/>
    <col min="14594" max="14848" width="9.140625" style="1234"/>
    <col min="14849" max="14849" width="100.7109375" style="1234" customWidth="1"/>
    <col min="14850" max="15104" width="9.140625" style="1234"/>
    <col min="15105" max="15105" width="100.7109375" style="1234" customWidth="1"/>
    <col min="15106" max="15360" width="9.140625" style="1234"/>
    <col min="15361" max="15361" width="100.7109375" style="1234" customWidth="1"/>
    <col min="15362" max="15616" width="9.140625" style="1234"/>
    <col min="15617" max="15617" width="100.7109375" style="1234" customWidth="1"/>
    <col min="15618" max="15872" width="9.140625" style="1234"/>
    <col min="15873" max="15873" width="100.7109375" style="1234" customWidth="1"/>
    <col min="15874" max="16128" width="9.140625" style="1234"/>
    <col min="16129" max="16129" width="100.7109375" style="1234" customWidth="1"/>
    <col min="16130" max="16384" width="9.140625" style="1234"/>
  </cols>
  <sheetData>
    <row r="1" spans="1:8" ht="30" customHeight="1">
      <c r="A1" s="1232"/>
      <c r="B1" s="1233"/>
      <c r="C1" s="1233"/>
      <c r="D1" s="1233"/>
      <c r="E1" s="1233"/>
      <c r="F1" s="1233"/>
      <c r="G1" s="1233"/>
      <c r="H1" s="1233"/>
    </row>
    <row r="2" spans="1:8" ht="14.25">
      <c r="A2" s="1235" t="s">
        <v>480</v>
      </c>
      <c r="B2" s="1233"/>
      <c r="C2" s="1233"/>
      <c r="D2" s="1233"/>
      <c r="E2" s="1233"/>
      <c r="F2" s="1233"/>
      <c r="G2" s="1233"/>
      <c r="H2" s="1233"/>
    </row>
    <row r="3" spans="1:8" ht="14.25">
      <c r="A3" s="1235" t="s">
        <v>481</v>
      </c>
      <c r="B3" s="1233"/>
      <c r="C3" s="1233"/>
      <c r="D3" s="1233"/>
      <c r="E3" s="1233"/>
      <c r="F3" s="1233"/>
      <c r="G3" s="1233"/>
      <c r="H3" s="1233"/>
    </row>
    <row r="4" spans="1:8" ht="14.25">
      <c r="A4" s="1235" t="s">
        <v>482</v>
      </c>
      <c r="B4" s="1233"/>
      <c r="C4" s="1233"/>
      <c r="D4" s="1233"/>
      <c r="E4" s="1233"/>
      <c r="F4" s="1233"/>
      <c r="G4" s="1233"/>
      <c r="H4" s="1233"/>
    </row>
    <row r="5" spans="1:8" ht="14.25">
      <c r="A5" s="1235" t="s">
        <v>483</v>
      </c>
      <c r="B5" s="1233"/>
      <c r="C5" s="1233"/>
      <c r="D5" s="1233"/>
      <c r="E5" s="1233"/>
      <c r="F5" s="1233"/>
      <c r="G5" s="1233"/>
      <c r="H5" s="1233"/>
    </row>
    <row r="6" spans="1:8" ht="14.25">
      <c r="A6" s="1235"/>
      <c r="B6" s="1233"/>
      <c r="C6" s="1233"/>
      <c r="D6" s="1233"/>
      <c r="E6" s="1233"/>
      <c r="F6" s="1233"/>
      <c r="G6" s="1233"/>
      <c r="H6" s="1233"/>
    </row>
    <row r="7" spans="1:8">
      <c r="A7" s="1232" t="s">
        <v>484</v>
      </c>
      <c r="B7" s="1233"/>
      <c r="C7" s="1233"/>
      <c r="D7" s="1233"/>
      <c r="E7" s="1233"/>
      <c r="F7" s="1233"/>
      <c r="G7" s="1233"/>
      <c r="H7" s="1233"/>
    </row>
    <row r="8" spans="1:8">
      <c r="A8" s="1232" t="s">
        <v>485</v>
      </c>
      <c r="B8" s="1233"/>
      <c r="C8" s="1233"/>
      <c r="D8" s="1233"/>
      <c r="E8" s="1233"/>
      <c r="F8" s="1233"/>
      <c r="G8" s="1233"/>
      <c r="H8" s="1233"/>
    </row>
    <row r="9" spans="1:8">
      <c r="A9" s="1232"/>
      <c r="B9" s="1233"/>
      <c r="C9" s="1233"/>
      <c r="D9" s="1233"/>
      <c r="E9" s="1233"/>
      <c r="F9" s="1233"/>
      <c r="G9" s="1233"/>
      <c r="H9" s="1233"/>
    </row>
    <row r="10" spans="1:8">
      <c r="A10" s="1236" t="s">
        <v>486</v>
      </c>
      <c r="B10" s="1233"/>
      <c r="C10" s="1233"/>
      <c r="D10" s="1233"/>
      <c r="E10" s="1233"/>
      <c r="F10" s="1233"/>
      <c r="G10" s="1233"/>
      <c r="H10" s="1233"/>
    </row>
    <row r="11" spans="1:8">
      <c r="A11" s="1236" t="s">
        <v>487</v>
      </c>
      <c r="B11" s="1233"/>
      <c r="C11" s="1233"/>
      <c r="D11" s="1233"/>
      <c r="E11" s="1233"/>
      <c r="F11" s="1233"/>
      <c r="G11" s="1233"/>
      <c r="H11" s="1233"/>
    </row>
    <row r="12" spans="1:8">
      <c r="A12" s="1236" t="s">
        <v>488</v>
      </c>
      <c r="B12" s="1233"/>
      <c r="C12" s="1233"/>
      <c r="D12" s="1233"/>
      <c r="E12" s="1233"/>
      <c r="F12" s="1233"/>
      <c r="G12" s="1233"/>
      <c r="H12" s="1233"/>
    </row>
    <row r="13" spans="1:8">
      <c r="A13" s="1236" t="s">
        <v>489</v>
      </c>
      <c r="B13" s="1233"/>
      <c r="C13" s="1233"/>
      <c r="D13" s="1233"/>
      <c r="E13" s="1233"/>
      <c r="F13" s="1233"/>
      <c r="G13" s="1233"/>
      <c r="H13" s="1233"/>
    </row>
    <row r="14" spans="1:8">
      <c r="A14" s="1236" t="s">
        <v>490</v>
      </c>
      <c r="B14" s="1233"/>
      <c r="C14" s="1233"/>
      <c r="D14" s="1233"/>
      <c r="E14" s="1233"/>
      <c r="F14" s="1233"/>
      <c r="G14" s="1233"/>
      <c r="H14" s="1233"/>
    </row>
    <row r="15" spans="1:8">
      <c r="A15" s="1236" t="s">
        <v>491</v>
      </c>
      <c r="B15" s="1233"/>
      <c r="C15" s="1233"/>
      <c r="D15" s="1233"/>
      <c r="E15" s="1233"/>
      <c r="F15" s="1233"/>
      <c r="G15" s="1233"/>
      <c r="H15" s="1233"/>
    </row>
    <row r="16" spans="1:8">
      <c r="A16" s="1236"/>
      <c r="B16" s="1233"/>
      <c r="C16" s="1233"/>
      <c r="D16" s="1233"/>
      <c r="E16" s="1233"/>
      <c r="F16" s="1233"/>
      <c r="G16" s="1233"/>
      <c r="H16" s="1233"/>
    </row>
    <row r="17" spans="1:8">
      <c r="A17" s="1236" t="s">
        <v>477</v>
      </c>
      <c r="B17" s="1233"/>
      <c r="C17" s="1233"/>
      <c r="D17" s="1233"/>
      <c r="E17" s="1233"/>
      <c r="F17" s="1233"/>
      <c r="G17" s="1233"/>
      <c r="H17" s="1233"/>
    </row>
    <row r="18" spans="1:8">
      <c r="A18" s="1236"/>
      <c r="B18" s="1233"/>
      <c r="C18" s="1233"/>
      <c r="D18" s="1233"/>
      <c r="E18" s="1233"/>
      <c r="F18" s="1233"/>
      <c r="G18" s="1233"/>
      <c r="H18" s="1233"/>
    </row>
    <row r="19" spans="1:8">
      <c r="A19" s="1236" t="s">
        <v>478</v>
      </c>
      <c r="B19" s="1233"/>
      <c r="C19" s="1233"/>
      <c r="D19" s="1233"/>
      <c r="E19" s="1233"/>
      <c r="F19" s="1233"/>
      <c r="G19" s="1233"/>
      <c r="H19" s="1233"/>
    </row>
    <row r="20" spans="1:8">
      <c r="A20" s="1232"/>
      <c r="B20" s="1233"/>
      <c r="C20" s="1233"/>
      <c r="D20" s="1233"/>
      <c r="E20" s="1233"/>
      <c r="F20" s="1233"/>
      <c r="G20" s="1233"/>
      <c r="H20" s="1233"/>
    </row>
    <row r="21" spans="1:8">
      <c r="A21" s="1237" t="s">
        <v>479</v>
      </c>
      <c r="B21" s="1233"/>
      <c r="C21" s="1233"/>
      <c r="D21" s="1233"/>
      <c r="E21" s="1233"/>
      <c r="F21" s="1233"/>
      <c r="G21" s="1233"/>
      <c r="H21" s="1233"/>
    </row>
    <row r="22" spans="1:8">
      <c r="A22" s="1238"/>
      <c r="B22" s="1238"/>
      <c r="C22" s="1238"/>
      <c r="D22" s="1238"/>
      <c r="E22" s="1238"/>
      <c r="F22" s="1238"/>
      <c r="G22" s="1238"/>
      <c r="H22" s="1238"/>
    </row>
    <row r="23" spans="1:8">
      <c r="A23" s="1239" t="s">
        <v>770</v>
      </c>
      <c r="B23" s="1238"/>
      <c r="C23" s="1238"/>
      <c r="D23" s="1238"/>
      <c r="E23" s="1238"/>
      <c r="F23" s="1238"/>
      <c r="G23" s="1238"/>
      <c r="H23" s="1238"/>
    </row>
    <row r="24" spans="1:8">
      <c r="A24" s="1239" t="s">
        <v>771</v>
      </c>
      <c r="B24" s="1238"/>
      <c r="C24" s="1238"/>
      <c r="D24" s="1238"/>
      <c r="E24" s="1238"/>
      <c r="F24" s="1238"/>
      <c r="G24" s="1238"/>
      <c r="H24" s="1238"/>
    </row>
    <row r="25" spans="1:8">
      <c r="A25" s="1239" t="s">
        <v>772</v>
      </c>
      <c r="B25" s="1238"/>
      <c r="C25" s="1238"/>
      <c r="D25" s="1238"/>
      <c r="E25" s="1238"/>
      <c r="F25" s="1238"/>
      <c r="G25" s="1238"/>
      <c r="H25" s="1238"/>
    </row>
    <row r="26" spans="1:8">
      <c r="A26" s="1239" t="s">
        <v>773</v>
      </c>
      <c r="B26" s="1238"/>
      <c r="C26" s="1238"/>
      <c r="D26" s="1238"/>
      <c r="E26" s="1238"/>
      <c r="F26" s="1238"/>
      <c r="G26" s="1238"/>
      <c r="H26" s="1238"/>
    </row>
    <row r="27" spans="1:8">
      <c r="A27" s="1238"/>
      <c r="B27" s="1238"/>
      <c r="C27" s="1238"/>
      <c r="D27" s="1238"/>
      <c r="E27" s="1238"/>
      <c r="F27" s="1238"/>
      <c r="G27" s="1238"/>
      <c r="H27" s="1238"/>
    </row>
    <row r="28" spans="1:8">
      <c r="A28" s="1238"/>
      <c r="B28" s="1238"/>
      <c r="C28" s="1238"/>
      <c r="D28" s="1238"/>
      <c r="E28" s="1238"/>
      <c r="F28" s="1238"/>
      <c r="G28" s="1238"/>
      <c r="H28" s="1238"/>
    </row>
    <row r="29" spans="1:8">
      <c r="A29" s="1239" t="s">
        <v>765</v>
      </c>
      <c r="B29" s="1238"/>
      <c r="C29" s="1238"/>
      <c r="D29" s="1238"/>
      <c r="E29" s="1238"/>
      <c r="F29" s="1238"/>
      <c r="G29" s="1238"/>
      <c r="H29" s="1238"/>
    </row>
    <row r="30" spans="1:8">
      <c r="A30" s="1239" t="s">
        <v>766</v>
      </c>
      <c r="B30" s="1238"/>
      <c r="C30" s="1238"/>
      <c r="D30" s="1238"/>
      <c r="E30" s="1238"/>
      <c r="F30" s="1238"/>
      <c r="G30" s="1238"/>
      <c r="H30" s="1238"/>
    </row>
    <row r="31" spans="1:8">
      <c r="A31" s="1239" t="s">
        <v>767</v>
      </c>
      <c r="B31" s="1238"/>
      <c r="C31" s="1238"/>
      <c r="D31" s="1238"/>
      <c r="E31" s="1238"/>
      <c r="F31" s="1238"/>
      <c r="G31" s="1238"/>
      <c r="H31" s="1238"/>
    </row>
    <row r="32" spans="1:8">
      <c r="A32" s="1239" t="s">
        <v>768</v>
      </c>
      <c r="B32" s="1238"/>
      <c r="C32" s="1238"/>
      <c r="D32" s="1238"/>
      <c r="E32" s="1238"/>
      <c r="F32" s="1238"/>
      <c r="G32" s="1238"/>
      <c r="H32" s="1238"/>
    </row>
    <row r="33" spans="1:8">
      <c r="A33" s="1239" t="s">
        <v>769</v>
      </c>
      <c r="B33" s="1238"/>
      <c r="C33" s="1238"/>
      <c r="D33" s="1238"/>
      <c r="E33" s="1238"/>
      <c r="F33" s="1238"/>
      <c r="G33" s="1238"/>
      <c r="H33" s="1238"/>
    </row>
    <row r="34" spans="1:8">
      <c r="A34" s="1238"/>
      <c r="B34" s="1238"/>
      <c r="C34" s="1238"/>
      <c r="D34" s="1238"/>
      <c r="E34" s="1238"/>
      <c r="F34" s="1238"/>
      <c r="G34" s="1238"/>
      <c r="H34" s="1238"/>
    </row>
    <row r="35" spans="1:8">
      <c r="A35" s="1239" t="s">
        <v>761</v>
      </c>
      <c r="B35" s="1238"/>
      <c r="C35" s="1238"/>
      <c r="D35" s="1238"/>
      <c r="E35" s="1238"/>
      <c r="F35" s="1238"/>
      <c r="G35" s="1238"/>
      <c r="H35" s="1238"/>
    </row>
    <row r="36" spans="1:8">
      <c r="A36" s="1239" t="s">
        <v>762</v>
      </c>
      <c r="B36" s="1238"/>
      <c r="C36" s="1238"/>
      <c r="D36" s="1238"/>
      <c r="E36" s="1238"/>
      <c r="F36" s="1238"/>
      <c r="G36" s="1238"/>
      <c r="H36" s="1238"/>
    </row>
    <row r="37" spans="1:8">
      <c r="A37" s="1239" t="s">
        <v>763</v>
      </c>
      <c r="B37" s="1238"/>
      <c r="C37" s="1238"/>
      <c r="D37" s="1238"/>
      <c r="E37" s="1238"/>
      <c r="F37" s="1238"/>
      <c r="G37" s="1238"/>
      <c r="H37" s="1238"/>
    </row>
    <row r="38" spans="1:8">
      <c r="A38" s="1239" t="s">
        <v>764</v>
      </c>
      <c r="B38" s="1238"/>
      <c r="C38" s="1238"/>
      <c r="D38" s="1238"/>
      <c r="E38" s="1238"/>
      <c r="F38" s="1238"/>
      <c r="G38" s="1238"/>
      <c r="H38" s="1238"/>
    </row>
    <row r="39" spans="1:8">
      <c r="A39" s="1238"/>
      <c r="B39" s="1238"/>
      <c r="C39" s="1238"/>
      <c r="D39" s="1238"/>
      <c r="E39" s="1238"/>
      <c r="F39" s="1238"/>
      <c r="G39" s="1238"/>
      <c r="H39" s="1238"/>
    </row>
    <row r="40" spans="1:8">
      <c r="A40" s="1239" t="s">
        <v>755</v>
      </c>
      <c r="B40" s="1238"/>
      <c r="C40" s="1238"/>
      <c r="D40" s="1238"/>
      <c r="E40" s="1238"/>
      <c r="F40" s="1238"/>
      <c r="G40" s="1238"/>
      <c r="H40" s="1238"/>
    </row>
    <row r="41" spans="1:8">
      <c r="A41" s="1239" t="s">
        <v>756</v>
      </c>
      <c r="B41" s="1238"/>
      <c r="C41" s="1238"/>
      <c r="D41" s="1238"/>
      <c r="E41" s="1238"/>
      <c r="F41" s="1238"/>
      <c r="G41" s="1238"/>
      <c r="H41" s="1238"/>
    </row>
    <row r="42" spans="1:8">
      <c r="A42" s="1239" t="s">
        <v>757</v>
      </c>
      <c r="B42" s="1238"/>
      <c r="C42" s="1238"/>
      <c r="D42" s="1238"/>
      <c r="E42" s="1238"/>
      <c r="F42" s="1238"/>
      <c r="G42" s="1238"/>
      <c r="H42" s="1238"/>
    </row>
    <row r="43" spans="1:8">
      <c r="A43" s="1239" t="s">
        <v>758</v>
      </c>
      <c r="B43" s="1238"/>
      <c r="C43" s="1238"/>
      <c r="D43" s="1238"/>
      <c r="E43" s="1238"/>
      <c r="F43" s="1238"/>
      <c r="G43" s="1238"/>
      <c r="H43" s="1238"/>
    </row>
    <row r="44" spans="1:8">
      <c r="A44" s="1239" t="s">
        <v>759</v>
      </c>
      <c r="B44" s="1238"/>
      <c r="C44" s="1238"/>
      <c r="D44" s="1238"/>
      <c r="E44" s="1238"/>
      <c r="F44" s="1238"/>
      <c r="G44" s="1238"/>
      <c r="H44" s="1238"/>
    </row>
    <row r="45" spans="1:8">
      <c r="A45" s="1239" t="s">
        <v>760</v>
      </c>
      <c r="B45" s="1238"/>
      <c r="C45" s="1238"/>
      <c r="D45" s="1238"/>
      <c r="E45" s="1238"/>
      <c r="F45" s="1238"/>
      <c r="G45" s="1238"/>
      <c r="H45" s="1238"/>
    </row>
    <row r="46" spans="1:8">
      <c r="A46" s="1238"/>
      <c r="B46" s="1238"/>
      <c r="C46" s="1238"/>
      <c r="D46" s="1238"/>
      <c r="E46" s="1238"/>
      <c r="F46" s="1238"/>
      <c r="G46" s="1238"/>
      <c r="H46" s="1238"/>
    </row>
    <row r="47" spans="1:8" ht="15.75">
      <c r="A47" s="1240" t="s">
        <v>492</v>
      </c>
      <c r="B47" s="1238"/>
      <c r="C47" s="1238"/>
      <c r="D47" s="1238"/>
      <c r="E47" s="1238"/>
      <c r="F47" s="1238"/>
      <c r="G47" s="1238"/>
      <c r="H47" s="1238"/>
    </row>
    <row r="48" spans="1:8">
      <c r="A48" s="1238"/>
      <c r="B48" s="1238"/>
      <c r="C48" s="1238"/>
      <c r="D48" s="1238"/>
      <c r="E48" s="1238"/>
      <c r="F48" s="1238"/>
      <c r="G48" s="1238"/>
      <c r="H48" s="1238"/>
    </row>
    <row r="49" spans="1:8">
      <c r="A49" s="1239" t="s">
        <v>751</v>
      </c>
      <c r="B49" s="1238"/>
      <c r="C49" s="1238"/>
      <c r="D49" s="1238"/>
      <c r="E49" s="1238"/>
      <c r="F49" s="1238"/>
      <c r="G49" s="1238"/>
      <c r="H49" s="1238"/>
    </row>
    <row r="50" spans="1:8">
      <c r="A50" s="1239" t="s">
        <v>752</v>
      </c>
      <c r="B50" s="1238"/>
      <c r="C50" s="1238"/>
      <c r="D50" s="1238"/>
      <c r="E50" s="1238"/>
      <c r="F50" s="1238"/>
      <c r="G50" s="1238"/>
      <c r="H50" s="1238"/>
    </row>
    <row r="51" spans="1:8">
      <c r="A51" s="1239" t="s">
        <v>753</v>
      </c>
      <c r="B51" s="1238"/>
      <c r="C51" s="1238"/>
      <c r="D51" s="1238"/>
      <c r="E51" s="1238"/>
      <c r="F51" s="1238"/>
      <c r="G51" s="1238"/>
      <c r="H51" s="1238"/>
    </row>
    <row r="52" spans="1:8">
      <c r="A52" s="1239" t="s">
        <v>754</v>
      </c>
      <c r="B52" s="1238"/>
      <c r="C52" s="1238"/>
      <c r="D52" s="1238"/>
      <c r="E52" s="1238"/>
      <c r="F52" s="1238"/>
      <c r="G52" s="1238"/>
      <c r="H52" s="1238"/>
    </row>
    <row r="53" spans="1:8">
      <c r="A53" s="1238"/>
      <c r="B53" s="1238"/>
      <c r="C53" s="1238"/>
      <c r="D53" s="1238"/>
      <c r="E53" s="1238"/>
      <c r="F53" s="1238"/>
      <c r="G53" s="1238"/>
      <c r="H53" s="1238"/>
    </row>
    <row r="54" spans="1:8">
      <c r="A54" s="1239" t="s">
        <v>493</v>
      </c>
      <c r="B54" s="1238"/>
      <c r="C54" s="1238"/>
      <c r="D54" s="1238"/>
      <c r="E54" s="1238"/>
      <c r="F54" s="1238"/>
      <c r="G54" s="1238"/>
      <c r="H54" s="1238"/>
    </row>
    <row r="55" spans="1:8">
      <c r="A55" s="1238"/>
      <c r="B55" s="1238"/>
      <c r="C55" s="1238"/>
      <c r="D55" s="1238"/>
      <c r="E55" s="1238"/>
      <c r="F55" s="1238"/>
      <c r="G55" s="1238"/>
      <c r="H55" s="1238"/>
    </row>
    <row r="56" spans="1:8" ht="15.75">
      <c r="A56" s="1240" t="s">
        <v>494</v>
      </c>
      <c r="B56" s="1238"/>
      <c r="C56" s="1238"/>
      <c r="D56" s="1238"/>
      <c r="E56" s="1238"/>
      <c r="F56" s="1238"/>
      <c r="G56" s="1238"/>
      <c r="H56" s="1238"/>
    </row>
    <row r="57" spans="1:8">
      <c r="A57" s="1238"/>
      <c r="B57" s="1238"/>
      <c r="C57" s="1238"/>
      <c r="D57" s="1238"/>
      <c r="E57" s="1238"/>
      <c r="F57" s="1238"/>
      <c r="G57" s="1238"/>
      <c r="H57" s="1238"/>
    </row>
    <row r="58" spans="1:8">
      <c r="A58" s="1239" t="s">
        <v>749</v>
      </c>
      <c r="B58" s="1238"/>
      <c r="C58" s="1238"/>
      <c r="D58" s="1238"/>
      <c r="E58" s="1238"/>
      <c r="F58" s="1238"/>
      <c r="G58" s="1238"/>
      <c r="H58" s="1238"/>
    </row>
    <row r="59" spans="1:8">
      <c r="A59" s="1239" t="s">
        <v>750</v>
      </c>
      <c r="B59" s="1238"/>
      <c r="C59" s="1238"/>
      <c r="D59" s="1238"/>
      <c r="E59" s="1238"/>
      <c r="F59" s="1238"/>
      <c r="G59" s="1238"/>
      <c r="H59" s="1238"/>
    </row>
    <row r="60" spans="1:8">
      <c r="A60" s="1238"/>
      <c r="B60" s="1238"/>
      <c r="C60" s="1238"/>
      <c r="D60" s="1238"/>
      <c r="E60" s="1238"/>
      <c r="F60" s="1238"/>
      <c r="G60" s="1238"/>
      <c r="H60" s="1238"/>
    </row>
    <row r="61" spans="1:8" ht="15.75">
      <c r="A61" s="1240" t="s">
        <v>495</v>
      </c>
      <c r="B61" s="1238"/>
      <c r="C61" s="1238"/>
      <c r="D61" s="1238"/>
      <c r="E61" s="1238"/>
      <c r="F61" s="1238"/>
      <c r="G61" s="1238"/>
      <c r="H61" s="1238"/>
    </row>
    <row r="62" spans="1:8">
      <c r="A62" s="1238"/>
      <c r="B62" s="1238"/>
      <c r="C62" s="1238"/>
      <c r="D62" s="1238"/>
      <c r="E62" s="1238"/>
      <c r="F62" s="1238"/>
      <c r="G62" s="1238"/>
      <c r="H62" s="1238"/>
    </row>
    <row r="63" spans="1:8">
      <c r="A63" s="1239" t="s">
        <v>747</v>
      </c>
      <c r="B63" s="1238"/>
      <c r="C63" s="1238"/>
      <c r="D63" s="1238"/>
      <c r="E63" s="1238"/>
      <c r="F63" s="1238"/>
      <c r="G63" s="1238"/>
      <c r="H63" s="1238"/>
    </row>
    <row r="64" spans="1:8">
      <c r="A64" s="1239" t="s">
        <v>748</v>
      </c>
      <c r="B64" s="1238"/>
      <c r="C64" s="1238"/>
      <c r="D64" s="1238"/>
      <c r="E64" s="1238"/>
      <c r="F64" s="1238"/>
      <c r="G64" s="1238"/>
      <c r="H64" s="1238"/>
    </row>
    <row r="65" spans="1:8">
      <c r="A65" s="1238"/>
      <c r="B65" s="1238"/>
      <c r="C65" s="1238"/>
      <c r="D65" s="1238"/>
      <c r="E65" s="1238"/>
      <c r="F65" s="1238"/>
      <c r="G65" s="1238"/>
      <c r="H65" s="1238"/>
    </row>
    <row r="66" spans="1:8">
      <c r="A66" s="1239" t="s">
        <v>745</v>
      </c>
      <c r="B66" s="1238"/>
      <c r="C66" s="1238"/>
      <c r="D66" s="1238"/>
      <c r="E66" s="1238"/>
      <c r="F66" s="1238"/>
      <c r="G66" s="1238"/>
      <c r="H66" s="1238"/>
    </row>
    <row r="67" spans="1:8">
      <c r="A67" s="1239" t="s">
        <v>746</v>
      </c>
      <c r="B67" s="1238"/>
      <c r="C67" s="1238"/>
      <c r="D67" s="1238"/>
      <c r="E67" s="1238"/>
      <c r="F67" s="1238"/>
      <c r="G67" s="1238"/>
      <c r="H67" s="1238"/>
    </row>
    <row r="68" spans="1:8">
      <c r="A68" s="1238"/>
      <c r="B68" s="1238"/>
      <c r="C68" s="1238"/>
      <c r="D68" s="1238"/>
      <c r="E68" s="1238"/>
      <c r="F68" s="1238"/>
      <c r="G68" s="1238"/>
      <c r="H68" s="1238"/>
    </row>
    <row r="69" spans="1:8">
      <c r="A69" s="1239" t="s">
        <v>743</v>
      </c>
      <c r="B69" s="1238"/>
      <c r="C69" s="1238"/>
      <c r="D69" s="1238"/>
      <c r="E69" s="1238"/>
      <c r="F69" s="1238"/>
      <c r="G69" s="1238"/>
      <c r="H69" s="1238"/>
    </row>
    <row r="70" spans="1:8">
      <c r="A70" s="1239" t="s">
        <v>744</v>
      </c>
      <c r="B70" s="1238"/>
      <c r="C70" s="1238"/>
      <c r="D70" s="1238"/>
      <c r="E70" s="1238"/>
      <c r="F70" s="1238"/>
      <c r="G70" s="1238"/>
      <c r="H70" s="1238"/>
    </row>
    <row r="71" spans="1:8">
      <c r="A71" s="1238"/>
      <c r="B71" s="1238"/>
      <c r="C71" s="1238"/>
      <c r="D71" s="1238"/>
      <c r="E71" s="1238"/>
      <c r="F71" s="1238"/>
      <c r="G71" s="1238"/>
      <c r="H71" s="1238"/>
    </row>
    <row r="72" spans="1:8">
      <c r="A72" s="1239" t="s">
        <v>740</v>
      </c>
      <c r="B72" s="1238"/>
      <c r="C72" s="1238"/>
      <c r="D72" s="1238"/>
      <c r="E72" s="1238"/>
      <c r="F72" s="1238"/>
      <c r="G72" s="1238"/>
      <c r="H72" s="1238"/>
    </row>
    <row r="73" spans="1:8">
      <c r="A73" s="1239" t="s">
        <v>741</v>
      </c>
      <c r="B73" s="1238"/>
      <c r="C73" s="1238"/>
      <c r="D73" s="1238"/>
      <c r="E73" s="1238"/>
      <c r="F73" s="1238"/>
      <c r="G73" s="1238"/>
      <c r="H73" s="1238"/>
    </row>
    <row r="74" spans="1:8">
      <c r="A74" s="1239" t="s">
        <v>742</v>
      </c>
      <c r="B74" s="1238"/>
      <c r="C74" s="1238"/>
      <c r="D74" s="1238"/>
      <c r="E74" s="1238"/>
      <c r="F74" s="1238"/>
      <c r="G74" s="1238"/>
      <c r="H74" s="1238"/>
    </row>
    <row r="75" spans="1:8">
      <c r="A75" s="1238"/>
      <c r="B75" s="1238"/>
      <c r="C75" s="1238"/>
      <c r="D75" s="1238"/>
      <c r="E75" s="1238"/>
      <c r="F75" s="1238"/>
      <c r="G75" s="1238"/>
      <c r="H75" s="1238"/>
    </row>
    <row r="76" spans="1:8">
      <c r="A76" s="1239" t="s">
        <v>496</v>
      </c>
      <c r="B76" s="1238"/>
      <c r="C76" s="1238"/>
      <c r="D76" s="1238"/>
      <c r="E76" s="1238"/>
      <c r="F76" s="1238"/>
      <c r="G76" s="1238"/>
      <c r="H76" s="1238"/>
    </row>
    <row r="77" spans="1:8">
      <c r="A77" s="1238"/>
      <c r="B77" s="1238"/>
      <c r="C77" s="1238"/>
      <c r="D77" s="1238"/>
      <c r="E77" s="1238"/>
      <c r="F77" s="1238"/>
      <c r="G77" s="1238"/>
      <c r="H77" s="1238"/>
    </row>
    <row r="78" spans="1:8">
      <c r="A78" s="1239" t="s">
        <v>735</v>
      </c>
      <c r="B78" s="1238"/>
      <c r="C78" s="1238"/>
      <c r="D78" s="1238"/>
      <c r="E78" s="1238"/>
      <c r="F78" s="1238"/>
      <c r="G78" s="1238"/>
      <c r="H78" s="1238"/>
    </row>
    <row r="79" spans="1:8">
      <c r="A79" s="1239" t="s">
        <v>736</v>
      </c>
      <c r="B79" s="1238"/>
      <c r="C79" s="1238"/>
      <c r="D79" s="1238"/>
      <c r="E79" s="1238"/>
      <c r="F79" s="1238"/>
      <c r="G79" s="1238"/>
      <c r="H79" s="1238"/>
    </row>
    <row r="80" spans="1:8">
      <c r="A80" s="1239" t="s">
        <v>737</v>
      </c>
      <c r="B80" s="1238"/>
      <c r="C80" s="1238"/>
      <c r="D80" s="1238"/>
      <c r="E80" s="1238"/>
      <c r="F80" s="1238"/>
      <c r="G80" s="1238"/>
      <c r="H80" s="1238"/>
    </row>
    <row r="81" spans="1:8">
      <c r="A81" s="1239" t="s">
        <v>738</v>
      </c>
      <c r="B81" s="1238"/>
      <c r="C81" s="1238"/>
      <c r="D81" s="1238"/>
      <c r="E81" s="1238"/>
      <c r="F81" s="1238"/>
      <c r="G81" s="1238"/>
      <c r="H81" s="1238"/>
    </row>
    <row r="82" spans="1:8">
      <c r="A82" s="1239" t="s">
        <v>739</v>
      </c>
      <c r="B82" s="1238"/>
      <c r="C82" s="1238"/>
      <c r="D82" s="1238"/>
      <c r="E82" s="1238"/>
      <c r="F82" s="1238"/>
      <c r="G82" s="1238"/>
      <c r="H82" s="1238"/>
    </row>
    <row r="83" spans="1:8">
      <c r="A83" s="1239" t="s">
        <v>622</v>
      </c>
      <c r="B83" s="1238"/>
      <c r="C83" s="1238"/>
      <c r="D83" s="1238"/>
      <c r="E83" s="1238"/>
      <c r="F83" s="1238"/>
      <c r="G83" s="1238"/>
      <c r="H83" s="1238"/>
    </row>
    <row r="84" spans="1:8">
      <c r="A84" s="1238"/>
      <c r="B84" s="1238"/>
      <c r="C84" s="1238"/>
      <c r="D84" s="1238"/>
      <c r="E84" s="1238"/>
      <c r="F84" s="1238"/>
      <c r="G84" s="1238"/>
      <c r="H84" s="1238"/>
    </row>
    <row r="85" spans="1:8">
      <c r="A85" s="1239" t="s">
        <v>728</v>
      </c>
      <c r="B85" s="1238"/>
      <c r="C85" s="1238"/>
      <c r="D85" s="1238"/>
      <c r="E85" s="1238"/>
      <c r="F85" s="1238"/>
      <c r="G85" s="1238"/>
      <c r="H85" s="1238"/>
    </row>
    <row r="86" spans="1:8">
      <c r="A86" s="1239" t="s">
        <v>729</v>
      </c>
      <c r="B86" s="1238"/>
      <c r="C86" s="1238"/>
      <c r="D86" s="1238"/>
      <c r="E86" s="1238"/>
      <c r="F86" s="1238"/>
      <c r="G86" s="1238"/>
      <c r="H86" s="1238"/>
    </row>
    <row r="87" spans="1:8">
      <c r="A87" s="1239" t="s">
        <v>730</v>
      </c>
      <c r="B87" s="1238"/>
      <c r="C87" s="1238"/>
      <c r="D87" s="1238"/>
      <c r="E87" s="1238"/>
      <c r="F87" s="1238"/>
      <c r="G87" s="1238"/>
      <c r="H87" s="1238"/>
    </row>
    <row r="88" spans="1:8">
      <c r="A88" s="1239" t="s">
        <v>731</v>
      </c>
      <c r="B88" s="1238"/>
      <c r="C88" s="1238"/>
      <c r="D88" s="1238"/>
      <c r="E88" s="1238"/>
      <c r="F88" s="1238"/>
      <c r="G88" s="1238"/>
      <c r="H88" s="1238"/>
    </row>
    <row r="89" spans="1:8">
      <c r="A89" s="1239" t="s">
        <v>732</v>
      </c>
      <c r="B89" s="1238"/>
      <c r="C89" s="1238"/>
      <c r="D89" s="1238"/>
      <c r="E89" s="1238"/>
      <c r="F89" s="1238"/>
      <c r="G89" s="1238"/>
      <c r="H89" s="1238"/>
    </row>
    <row r="90" spans="1:8">
      <c r="A90" s="1239" t="s">
        <v>733</v>
      </c>
      <c r="B90" s="1238"/>
      <c r="C90" s="1238"/>
      <c r="D90" s="1238"/>
      <c r="E90" s="1238"/>
      <c r="F90" s="1238"/>
      <c r="G90" s="1238"/>
      <c r="H90" s="1238"/>
    </row>
    <row r="91" spans="1:8">
      <c r="A91" s="1239" t="s">
        <v>734</v>
      </c>
      <c r="B91" s="1238"/>
      <c r="C91" s="1238"/>
      <c r="D91" s="1238"/>
      <c r="E91" s="1238"/>
      <c r="F91" s="1238"/>
      <c r="G91" s="1238"/>
      <c r="H91" s="1238"/>
    </row>
    <row r="92" spans="1:8">
      <c r="A92" s="1238"/>
      <c r="B92" s="1238"/>
      <c r="C92" s="1238"/>
      <c r="D92" s="1238"/>
      <c r="E92" s="1238"/>
      <c r="F92" s="1238"/>
      <c r="G92" s="1238"/>
      <c r="H92" s="1238"/>
    </row>
    <row r="93" spans="1:8">
      <c r="A93" s="1239" t="s">
        <v>726</v>
      </c>
      <c r="B93" s="1238"/>
      <c r="C93" s="1238"/>
      <c r="D93" s="1238"/>
      <c r="E93" s="1238"/>
      <c r="F93" s="1238"/>
      <c r="G93" s="1238"/>
      <c r="H93" s="1238"/>
    </row>
    <row r="94" spans="1:8">
      <c r="A94" s="1239" t="s">
        <v>727</v>
      </c>
      <c r="B94" s="1238"/>
      <c r="C94" s="1238"/>
      <c r="D94" s="1238"/>
      <c r="E94" s="1238"/>
      <c r="F94" s="1238"/>
      <c r="G94" s="1238"/>
      <c r="H94" s="1238"/>
    </row>
    <row r="95" spans="1:8">
      <c r="A95" s="1238"/>
      <c r="B95" s="1238"/>
      <c r="C95" s="1238"/>
      <c r="D95" s="1238"/>
      <c r="E95" s="1238"/>
      <c r="F95" s="1238"/>
      <c r="G95" s="1238"/>
      <c r="H95" s="1238"/>
    </row>
    <row r="96" spans="1:8" ht="15.75">
      <c r="A96" s="1240" t="s">
        <v>497</v>
      </c>
      <c r="B96" s="1238"/>
      <c r="C96" s="1238"/>
      <c r="D96" s="1238"/>
      <c r="E96" s="1238"/>
      <c r="F96" s="1238"/>
      <c r="G96" s="1238"/>
      <c r="H96" s="1238"/>
    </row>
    <row r="97" spans="1:8">
      <c r="A97" s="1238"/>
      <c r="B97" s="1238"/>
      <c r="C97" s="1238"/>
      <c r="D97" s="1238"/>
      <c r="E97" s="1238"/>
      <c r="F97" s="1238"/>
      <c r="G97" s="1238"/>
      <c r="H97" s="1238"/>
    </row>
    <row r="98" spans="1:8">
      <c r="A98" s="1239" t="s">
        <v>717</v>
      </c>
      <c r="B98" s="1238"/>
      <c r="C98" s="1238"/>
      <c r="D98" s="1238"/>
      <c r="E98" s="1238"/>
      <c r="F98" s="1238"/>
      <c r="G98" s="1238"/>
      <c r="H98" s="1238"/>
    </row>
    <row r="99" spans="1:8">
      <c r="A99" s="1239" t="s">
        <v>718</v>
      </c>
      <c r="B99" s="1238"/>
      <c r="C99" s="1238"/>
      <c r="D99" s="1238"/>
      <c r="E99" s="1238"/>
      <c r="F99" s="1238"/>
      <c r="G99" s="1238"/>
      <c r="H99" s="1238"/>
    </row>
    <row r="100" spans="1:8">
      <c r="A100" s="1239" t="s">
        <v>719</v>
      </c>
      <c r="B100" s="1238"/>
      <c r="C100" s="1238"/>
      <c r="D100" s="1238"/>
      <c r="E100" s="1238"/>
      <c r="F100" s="1238"/>
      <c r="G100" s="1238"/>
      <c r="H100" s="1238"/>
    </row>
    <row r="101" spans="1:8">
      <c r="A101" s="1239" t="s">
        <v>720</v>
      </c>
      <c r="B101" s="1238"/>
      <c r="C101" s="1238"/>
      <c r="D101" s="1238"/>
      <c r="E101" s="1238"/>
      <c r="F101" s="1238"/>
      <c r="G101" s="1238"/>
      <c r="H101" s="1238"/>
    </row>
    <row r="102" spans="1:8">
      <c r="A102" s="1239" t="s">
        <v>721</v>
      </c>
      <c r="B102" s="1238"/>
      <c r="C102" s="1238"/>
      <c r="D102" s="1238"/>
      <c r="E102" s="1238"/>
      <c r="F102" s="1238"/>
      <c r="G102" s="1238"/>
      <c r="H102" s="1238"/>
    </row>
    <row r="103" spans="1:8">
      <c r="A103" s="1239" t="s">
        <v>722</v>
      </c>
      <c r="B103" s="1238"/>
      <c r="C103" s="1238"/>
      <c r="D103" s="1238"/>
      <c r="E103" s="1238"/>
      <c r="F103" s="1238"/>
      <c r="G103" s="1238"/>
      <c r="H103" s="1238"/>
    </row>
    <row r="104" spans="1:8">
      <c r="A104" s="1239" t="s">
        <v>723</v>
      </c>
      <c r="B104" s="1238"/>
      <c r="C104" s="1238"/>
      <c r="D104" s="1238"/>
      <c r="E104" s="1238"/>
      <c r="F104" s="1238"/>
      <c r="G104" s="1238"/>
      <c r="H104" s="1238"/>
    </row>
    <row r="105" spans="1:8">
      <c r="A105" s="1239" t="s">
        <v>724</v>
      </c>
      <c r="B105" s="1238"/>
      <c r="C105" s="1238"/>
      <c r="D105" s="1238"/>
      <c r="E105" s="1238"/>
      <c r="F105" s="1238"/>
      <c r="G105" s="1238"/>
      <c r="H105" s="1238"/>
    </row>
    <row r="106" spans="1:8">
      <c r="A106" s="1239" t="s">
        <v>725</v>
      </c>
      <c r="B106" s="1238"/>
      <c r="C106" s="1238"/>
      <c r="D106" s="1238"/>
      <c r="E106" s="1238"/>
      <c r="F106" s="1238"/>
      <c r="G106" s="1238"/>
      <c r="H106" s="1238"/>
    </row>
    <row r="107" spans="1:8">
      <c r="A107" s="1238"/>
      <c r="B107" s="1238"/>
      <c r="C107" s="1238"/>
      <c r="D107" s="1238"/>
      <c r="E107" s="1238"/>
      <c r="F107" s="1238"/>
      <c r="G107" s="1238"/>
      <c r="H107" s="1238"/>
    </row>
    <row r="108" spans="1:8" ht="15.75">
      <c r="A108" s="1241" t="s">
        <v>498</v>
      </c>
      <c r="B108" s="1241"/>
      <c r="C108" s="1241"/>
      <c r="D108" s="1241"/>
      <c r="E108" s="1241"/>
      <c r="F108" s="1241"/>
      <c r="G108" s="1241"/>
      <c r="H108" s="1241"/>
    </row>
    <row r="109" spans="1:8">
      <c r="A109" s="1242" t="s">
        <v>499</v>
      </c>
      <c r="B109" s="1242"/>
      <c r="C109" s="1242"/>
      <c r="D109" s="1242"/>
      <c r="E109" s="1242"/>
      <c r="F109" s="1242"/>
      <c r="G109" s="1242"/>
      <c r="H109" s="1242"/>
    </row>
    <row r="110" spans="1:8">
      <c r="A110" s="1243"/>
      <c r="B110" s="1243"/>
      <c r="C110" s="1243"/>
      <c r="D110" s="1243"/>
      <c r="E110" s="1243"/>
      <c r="F110" s="1243"/>
      <c r="G110" s="1243"/>
      <c r="H110" s="1243"/>
    </row>
    <row r="111" spans="1:8">
      <c r="A111" s="1242" t="s">
        <v>715</v>
      </c>
      <c r="B111" s="1242"/>
      <c r="C111" s="1242"/>
      <c r="D111" s="1242"/>
      <c r="E111" s="1242"/>
      <c r="F111" s="1242"/>
      <c r="G111" s="1242"/>
      <c r="H111" s="1242"/>
    </row>
    <row r="112" spans="1:8">
      <c r="A112" s="1239" t="s">
        <v>716</v>
      </c>
      <c r="B112" s="1239"/>
      <c r="C112" s="1239"/>
      <c r="D112" s="1239"/>
      <c r="E112" s="1239"/>
      <c r="F112" s="1239"/>
      <c r="G112" s="1239"/>
      <c r="H112" s="1239"/>
    </row>
    <row r="113" spans="1:8">
      <c r="A113" s="1243"/>
      <c r="B113" s="1243"/>
      <c r="C113" s="1243"/>
      <c r="D113" s="1243"/>
      <c r="E113" s="1243"/>
      <c r="F113" s="1243"/>
      <c r="G113" s="1243"/>
      <c r="H113" s="1243"/>
    </row>
    <row r="114" spans="1:8">
      <c r="A114" s="1242" t="s">
        <v>708</v>
      </c>
      <c r="B114" s="1242"/>
      <c r="C114" s="1242"/>
      <c r="D114" s="1242"/>
      <c r="E114" s="1242"/>
      <c r="F114" s="1242"/>
      <c r="G114" s="1242"/>
      <c r="H114" s="1242"/>
    </row>
    <row r="115" spans="1:8">
      <c r="A115" s="1239" t="s">
        <v>709</v>
      </c>
      <c r="B115" s="1239"/>
      <c r="C115" s="1239"/>
      <c r="D115" s="1239"/>
      <c r="E115" s="1239"/>
      <c r="F115" s="1239"/>
      <c r="G115" s="1239"/>
      <c r="H115" s="1239"/>
    </row>
    <row r="116" spans="1:8">
      <c r="A116" s="1239" t="s">
        <v>710</v>
      </c>
      <c r="B116" s="1239"/>
      <c r="C116" s="1239"/>
      <c r="D116" s="1239"/>
      <c r="E116" s="1239"/>
      <c r="F116" s="1239"/>
      <c r="G116" s="1239"/>
      <c r="H116" s="1239"/>
    </row>
    <row r="117" spans="1:8">
      <c r="A117" s="1239" t="s">
        <v>711</v>
      </c>
      <c r="B117" s="1239"/>
      <c r="C117" s="1239"/>
      <c r="D117" s="1239"/>
      <c r="E117" s="1239"/>
      <c r="F117" s="1239"/>
      <c r="G117" s="1239"/>
      <c r="H117" s="1239"/>
    </row>
    <row r="118" spans="1:8">
      <c r="A118" s="1239" t="s">
        <v>712</v>
      </c>
      <c r="B118" s="1239"/>
      <c r="C118" s="1239"/>
      <c r="D118" s="1239"/>
      <c r="E118" s="1239"/>
      <c r="F118" s="1239"/>
      <c r="G118" s="1239"/>
      <c r="H118" s="1239"/>
    </row>
    <row r="119" spans="1:8">
      <c r="A119" s="1239" t="s">
        <v>713</v>
      </c>
      <c r="B119" s="1239"/>
      <c r="C119" s="1239"/>
      <c r="D119" s="1239"/>
      <c r="E119" s="1239"/>
      <c r="F119" s="1239"/>
      <c r="G119" s="1239"/>
      <c r="H119" s="1239"/>
    </row>
    <row r="120" spans="1:8">
      <c r="A120" s="1239" t="s">
        <v>714</v>
      </c>
      <c r="B120" s="1239"/>
      <c r="C120" s="1239"/>
      <c r="D120" s="1239"/>
      <c r="E120" s="1239"/>
      <c r="F120" s="1239"/>
      <c r="G120" s="1239"/>
      <c r="H120" s="1239"/>
    </row>
    <row r="121" spans="1:8">
      <c r="A121" s="1244"/>
      <c r="B121" s="1244"/>
      <c r="C121" s="1244"/>
      <c r="D121" s="1244"/>
      <c r="E121" s="1244"/>
      <c r="F121" s="1244"/>
      <c r="G121" s="1244"/>
      <c r="H121" s="1244"/>
    </row>
    <row r="122" spans="1:8">
      <c r="A122" s="1245"/>
      <c r="B122" s="1246" t="s">
        <v>500</v>
      </c>
      <c r="C122" s="1247"/>
      <c r="D122" s="1246" t="s">
        <v>501</v>
      </c>
      <c r="E122" s="1248"/>
      <c r="F122" s="1247"/>
      <c r="G122" s="1246" t="s">
        <v>502</v>
      </c>
      <c r="H122" s="1247"/>
    </row>
    <row r="123" spans="1:8">
      <c r="A123" s="1245" t="s">
        <v>503</v>
      </c>
      <c r="B123" s="1245" t="s">
        <v>176</v>
      </c>
      <c r="C123" s="1245" t="s">
        <v>504</v>
      </c>
      <c r="D123" s="1245" t="s">
        <v>176</v>
      </c>
      <c r="E123" s="1245" t="s">
        <v>505</v>
      </c>
      <c r="F123" s="1245" t="s">
        <v>506</v>
      </c>
      <c r="G123" s="1245" t="s">
        <v>176</v>
      </c>
      <c r="H123" s="1245" t="s">
        <v>507</v>
      </c>
    </row>
    <row r="124" spans="1:8">
      <c r="A124" s="1245" t="s">
        <v>508</v>
      </c>
      <c r="B124" s="1245">
        <v>1189</v>
      </c>
      <c r="C124" s="1249">
        <v>0.38</v>
      </c>
      <c r="D124" s="1245">
        <v>315</v>
      </c>
      <c r="E124" s="1249">
        <v>0.41</v>
      </c>
      <c r="F124" s="1249">
        <v>0.26</v>
      </c>
      <c r="G124" s="1245">
        <v>555</v>
      </c>
      <c r="H124" s="1249">
        <v>0.39</v>
      </c>
    </row>
    <row r="125" spans="1:8">
      <c r="A125" s="1245" t="s">
        <v>509</v>
      </c>
      <c r="B125" s="1245">
        <v>1355</v>
      </c>
      <c r="C125" s="1249">
        <v>0.43</v>
      </c>
      <c r="D125" s="1245">
        <v>364</v>
      </c>
      <c r="E125" s="1249">
        <v>0.47</v>
      </c>
      <c r="F125" s="1249">
        <v>0.27</v>
      </c>
      <c r="G125" s="1245">
        <v>644</v>
      </c>
      <c r="H125" s="1249">
        <v>0.45</v>
      </c>
    </row>
    <row r="126" spans="1:8">
      <c r="A126" s="1245" t="s">
        <v>510</v>
      </c>
      <c r="B126" s="1245">
        <v>53</v>
      </c>
      <c r="C126" s="1249">
        <v>0.02</v>
      </c>
      <c r="D126" s="1245">
        <v>4</v>
      </c>
      <c r="E126" s="1249">
        <v>0.01</v>
      </c>
      <c r="F126" s="1249">
        <v>0.08</v>
      </c>
      <c r="G126" s="1245">
        <v>7</v>
      </c>
      <c r="H126" s="1249">
        <v>0</v>
      </c>
    </row>
    <row r="127" spans="1:8">
      <c r="A127" s="1245" t="s">
        <v>511</v>
      </c>
      <c r="B127" s="1245">
        <v>545</v>
      </c>
      <c r="C127" s="1249">
        <v>0.17</v>
      </c>
      <c r="D127" s="1245">
        <v>84</v>
      </c>
      <c r="E127" s="1249">
        <v>0.11</v>
      </c>
      <c r="F127" s="1249">
        <v>0.15</v>
      </c>
      <c r="G127" s="1245">
        <v>214</v>
      </c>
      <c r="H127" s="1249">
        <v>0.15</v>
      </c>
    </row>
    <row r="128" spans="1:8">
      <c r="A128" s="1245" t="s">
        <v>447</v>
      </c>
      <c r="B128" s="1250">
        <v>3142</v>
      </c>
      <c r="C128" s="1245"/>
      <c r="D128" s="1245">
        <v>767</v>
      </c>
      <c r="E128" s="1245"/>
      <c r="F128" s="1245"/>
      <c r="G128" s="1245">
        <v>1420</v>
      </c>
      <c r="H128" s="1245"/>
    </row>
    <row r="129" spans="1:8">
      <c r="A129" s="1251"/>
      <c r="B129" s="1251"/>
      <c r="C129" s="1251"/>
      <c r="D129" s="1251"/>
      <c r="E129" s="1251"/>
      <c r="F129" s="1251"/>
      <c r="G129" s="1251"/>
      <c r="H129" s="1251"/>
    </row>
    <row r="130" spans="1:8">
      <c r="A130" s="1242" t="s">
        <v>704</v>
      </c>
      <c r="B130" s="1242"/>
      <c r="C130" s="1242"/>
      <c r="D130" s="1242"/>
      <c r="E130" s="1242"/>
      <c r="F130" s="1242"/>
      <c r="G130" s="1242"/>
      <c r="H130" s="1242"/>
    </row>
    <row r="131" spans="1:8">
      <c r="A131" s="1239" t="s">
        <v>705</v>
      </c>
      <c r="B131" s="1239"/>
      <c r="C131" s="1239"/>
      <c r="D131" s="1239"/>
      <c r="E131" s="1239"/>
      <c r="F131" s="1239"/>
      <c r="G131" s="1239"/>
      <c r="H131" s="1239"/>
    </row>
    <row r="132" spans="1:8">
      <c r="A132" s="1239" t="s">
        <v>706</v>
      </c>
      <c r="B132" s="1239"/>
      <c r="C132" s="1239"/>
      <c r="D132" s="1239"/>
      <c r="E132" s="1239"/>
      <c r="F132" s="1239"/>
      <c r="G132" s="1239"/>
      <c r="H132" s="1239"/>
    </row>
    <row r="133" spans="1:8">
      <c r="A133" s="1239" t="s">
        <v>707</v>
      </c>
      <c r="B133" s="1239"/>
      <c r="C133" s="1239"/>
      <c r="D133" s="1239"/>
      <c r="E133" s="1239"/>
      <c r="F133" s="1239"/>
      <c r="G133" s="1239"/>
      <c r="H133" s="1239"/>
    </row>
    <row r="134" spans="1:8">
      <c r="A134" s="1238"/>
      <c r="B134" s="1238"/>
      <c r="C134" s="1238"/>
      <c r="D134" s="1238"/>
      <c r="E134" s="1238"/>
      <c r="F134" s="1238"/>
      <c r="G134" s="1238"/>
      <c r="H134" s="1238"/>
    </row>
    <row r="135" spans="1:8" ht="15.75">
      <c r="A135" s="1240" t="s">
        <v>512</v>
      </c>
      <c r="B135" s="1238"/>
      <c r="C135" s="1238"/>
      <c r="D135" s="1238"/>
      <c r="E135" s="1238"/>
      <c r="F135" s="1238"/>
      <c r="G135" s="1238"/>
      <c r="H135" s="1238"/>
    </row>
    <row r="136" spans="1:8">
      <c r="A136" s="1238"/>
      <c r="B136" s="1238"/>
      <c r="C136" s="1238"/>
      <c r="D136" s="1238"/>
      <c r="E136" s="1238"/>
      <c r="F136" s="1238"/>
      <c r="G136" s="1238"/>
      <c r="H136" s="1238"/>
    </row>
    <row r="137" spans="1:8">
      <c r="A137" s="1239" t="s">
        <v>702</v>
      </c>
      <c r="B137" s="1238"/>
      <c r="C137" s="1238"/>
      <c r="D137" s="1238"/>
      <c r="E137" s="1238"/>
      <c r="F137" s="1238"/>
      <c r="G137" s="1238"/>
      <c r="H137" s="1238"/>
    </row>
    <row r="138" spans="1:8">
      <c r="A138" s="1239" t="s">
        <v>703</v>
      </c>
      <c r="B138" s="1238"/>
      <c r="C138" s="1238"/>
      <c r="D138" s="1238"/>
      <c r="E138" s="1238"/>
      <c r="F138" s="1238"/>
      <c r="G138" s="1238"/>
      <c r="H138" s="1238"/>
    </row>
    <row r="139" spans="1:8">
      <c r="A139" s="1238"/>
      <c r="B139" s="1238"/>
      <c r="C139" s="1238"/>
      <c r="D139" s="1238"/>
      <c r="E139" s="1238"/>
      <c r="F139" s="1238"/>
      <c r="G139" s="1238"/>
      <c r="H139" s="1238"/>
    </row>
    <row r="140" spans="1:8">
      <c r="A140" s="1239" t="s">
        <v>699</v>
      </c>
      <c r="B140" s="1238"/>
      <c r="C140" s="1238"/>
      <c r="D140" s="1238"/>
      <c r="E140" s="1238"/>
      <c r="F140" s="1238"/>
      <c r="G140" s="1238"/>
      <c r="H140" s="1238"/>
    </row>
    <row r="141" spans="1:8">
      <c r="A141" s="1239" t="s">
        <v>700</v>
      </c>
      <c r="B141" s="1238"/>
      <c r="C141" s="1238"/>
      <c r="D141" s="1238"/>
      <c r="E141" s="1238"/>
      <c r="F141" s="1238"/>
      <c r="G141" s="1238"/>
      <c r="H141" s="1238"/>
    </row>
    <row r="142" spans="1:8">
      <c r="A142" s="1239" t="s">
        <v>701</v>
      </c>
      <c r="B142" s="1238"/>
      <c r="C142" s="1238"/>
      <c r="D142" s="1238"/>
      <c r="E142" s="1238"/>
      <c r="F142" s="1238"/>
      <c r="G142" s="1238"/>
      <c r="H142" s="1238"/>
    </row>
    <row r="143" spans="1:8">
      <c r="A143" s="1238"/>
      <c r="B143" s="1238"/>
      <c r="C143" s="1238"/>
      <c r="D143" s="1238"/>
      <c r="E143" s="1238"/>
      <c r="F143" s="1238"/>
      <c r="G143" s="1238"/>
      <c r="H143" s="1238"/>
    </row>
    <row r="144" spans="1:8">
      <c r="A144" s="1239" t="s">
        <v>696</v>
      </c>
      <c r="B144" s="1238"/>
      <c r="C144" s="1238"/>
      <c r="D144" s="1238"/>
      <c r="E144" s="1238"/>
      <c r="F144" s="1238"/>
      <c r="G144" s="1238"/>
      <c r="H144" s="1238"/>
    </row>
    <row r="145" spans="1:8">
      <c r="A145" s="1239" t="s">
        <v>697</v>
      </c>
      <c r="B145" s="1238"/>
      <c r="C145" s="1238"/>
      <c r="D145" s="1238"/>
      <c r="E145" s="1238"/>
      <c r="F145" s="1238"/>
      <c r="G145" s="1238"/>
      <c r="H145" s="1238"/>
    </row>
    <row r="146" spans="1:8">
      <c r="A146" s="1239" t="s">
        <v>698</v>
      </c>
      <c r="B146" s="1238"/>
      <c r="C146" s="1238"/>
      <c r="D146" s="1238"/>
      <c r="E146" s="1238"/>
      <c r="F146" s="1238"/>
      <c r="G146" s="1238"/>
      <c r="H146" s="1238"/>
    </row>
    <row r="147" spans="1:8">
      <c r="A147" s="1238"/>
      <c r="B147" s="1238"/>
      <c r="C147" s="1238"/>
      <c r="D147" s="1238"/>
      <c r="E147" s="1238"/>
      <c r="F147" s="1238"/>
      <c r="G147" s="1238"/>
      <c r="H147" s="1238"/>
    </row>
    <row r="148" spans="1:8">
      <c r="A148" s="1239" t="s">
        <v>693</v>
      </c>
      <c r="B148" s="1238"/>
      <c r="C148" s="1238"/>
      <c r="D148" s="1238"/>
      <c r="E148" s="1238"/>
      <c r="F148" s="1238"/>
      <c r="G148" s="1238"/>
      <c r="H148" s="1238"/>
    </row>
    <row r="149" spans="1:8">
      <c r="A149" s="1239" t="s">
        <v>694</v>
      </c>
      <c r="B149" s="1238"/>
      <c r="C149" s="1238"/>
      <c r="D149" s="1238"/>
      <c r="E149" s="1238"/>
      <c r="F149" s="1238"/>
      <c r="G149" s="1238"/>
      <c r="H149" s="1238"/>
    </row>
    <row r="150" spans="1:8">
      <c r="A150" s="1239" t="s">
        <v>695</v>
      </c>
      <c r="B150" s="1238"/>
      <c r="C150" s="1238"/>
      <c r="D150" s="1238"/>
      <c r="E150" s="1238"/>
      <c r="F150" s="1238"/>
      <c r="G150" s="1238"/>
      <c r="H150" s="1238"/>
    </row>
    <row r="151" spans="1:8">
      <c r="A151" s="1238"/>
      <c r="B151" s="1238"/>
      <c r="C151" s="1238"/>
      <c r="D151" s="1238"/>
      <c r="E151" s="1238"/>
      <c r="F151" s="1238"/>
      <c r="G151" s="1238"/>
      <c r="H151" s="1238"/>
    </row>
    <row r="152" spans="1:8">
      <c r="A152" s="1239" t="s">
        <v>691</v>
      </c>
      <c r="B152" s="1238"/>
      <c r="C152" s="1238"/>
      <c r="D152" s="1238"/>
      <c r="E152" s="1238"/>
      <c r="F152" s="1238"/>
      <c r="G152" s="1238"/>
      <c r="H152" s="1238"/>
    </row>
    <row r="153" spans="1:8">
      <c r="A153" s="1239" t="s">
        <v>692</v>
      </c>
      <c r="B153" s="1238"/>
      <c r="C153" s="1238"/>
      <c r="D153" s="1238"/>
      <c r="E153" s="1238"/>
      <c r="F153" s="1238"/>
      <c r="G153" s="1238"/>
      <c r="H153" s="1238"/>
    </row>
    <row r="154" spans="1:8">
      <c r="A154" s="1238"/>
      <c r="B154" s="1238"/>
      <c r="C154" s="1238"/>
      <c r="D154" s="1238"/>
      <c r="E154" s="1238"/>
      <c r="F154" s="1238"/>
      <c r="G154" s="1238"/>
      <c r="H154" s="1238"/>
    </row>
    <row r="155" spans="1:8" ht="15.75">
      <c r="A155" s="1240" t="s">
        <v>513</v>
      </c>
      <c r="B155" s="1238"/>
      <c r="C155" s="1238"/>
      <c r="D155" s="1238"/>
      <c r="E155" s="1238"/>
      <c r="F155" s="1238"/>
      <c r="G155" s="1238"/>
      <c r="H155" s="1238"/>
    </row>
    <row r="156" spans="1:8">
      <c r="A156" s="1238"/>
      <c r="B156" s="1238"/>
      <c r="C156" s="1238"/>
      <c r="D156" s="1238"/>
      <c r="E156" s="1238"/>
      <c r="F156" s="1238"/>
      <c r="G156" s="1238"/>
      <c r="H156" s="1238"/>
    </row>
    <row r="157" spans="1:8">
      <c r="A157" s="1239" t="s">
        <v>689</v>
      </c>
      <c r="B157" s="1238"/>
      <c r="C157" s="1238"/>
      <c r="D157" s="1238"/>
      <c r="E157" s="1238"/>
      <c r="F157" s="1238"/>
      <c r="G157" s="1238"/>
      <c r="H157" s="1238"/>
    </row>
    <row r="158" spans="1:8">
      <c r="A158" s="1239" t="s">
        <v>690</v>
      </c>
      <c r="B158" s="1238"/>
      <c r="C158" s="1238"/>
      <c r="D158" s="1238"/>
      <c r="E158" s="1238"/>
      <c r="F158" s="1238"/>
      <c r="G158" s="1238"/>
      <c r="H158" s="1238"/>
    </row>
    <row r="159" spans="1:8">
      <c r="A159" s="1238"/>
      <c r="B159" s="1238"/>
      <c r="C159" s="1238"/>
      <c r="D159" s="1238"/>
      <c r="E159" s="1238"/>
      <c r="F159" s="1238"/>
      <c r="G159" s="1238"/>
      <c r="H159" s="1238"/>
    </row>
    <row r="160" spans="1:8">
      <c r="A160" s="1239" t="s">
        <v>687</v>
      </c>
      <c r="B160" s="1238"/>
      <c r="C160" s="1238"/>
      <c r="D160" s="1238"/>
      <c r="E160" s="1238"/>
      <c r="F160" s="1238"/>
      <c r="G160" s="1238"/>
      <c r="H160" s="1238"/>
    </row>
    <row r="161" spans="1:8">
      <c r="A161" s="1239" t="s">
        <v>688</v>
      </c>
      <c r="B161" s="1238"/>
      <c r="C161" s="1238"/>
      <c r="D161" s="1238"/>
      <c r="E161" s="1238"/>
      <c r="F161" s="1238"/>
      <c r="G161" s="1238"/>
      <c r="H161" s="1238"/>
    </row>
    <row r="162" spans="1:8">
      <c r="A162" s="1238"/>
      <c r="B162" s="1238"/>
      <c r="C162" s="1238"/>
      <c r="D162" s="1238"/>
      <c r="E162" s="1238"/>
      <c r="F162" s="1238"/>
      <c r="G162" s="1238"/>
      <c r="H162" s="1238"/>
    </row>
    <row r="163" spans="1:8">
      <c r="A163" s="1239" t="s">
        <v>685</v>
      </c>
      <c r="B163" s="1238"/>
      <c r="C163" s="1238"/>
      <c r="D163" s="1238"/>
      <c r="E163" s="1238"/>
      <c r="F163" s="1238"/>
      <c r="G163" s="1238"/>
      <c r="H163" s="1238"/>
    </row>
    <row r="164" spans="1:8">
      <c r="A164" s="1239" t="s">
        <v>686</v>
      </c>
      <c r="B164" s="1238"/>
      <c r="C164" s="1238"/>
      <c r="D164" s="1238"/>
      <c r="E164" s="1238"/>
      <c r="F164" s="1238"/>
      <c r="G164" s="1238"/>
      <c r="H164" s="1238"/>
    </row>
    <row r="165" spans="1:8">
      <c r="A165" s="1238"/>
      <c r="B165" s="1238"/>
      <c r="C165" s="1238"/>
      <c r="D165" s="1238"/>
      <c r="E165" s="1238"/>
      <c r="F165" s="1238"/>
      <c r="G165" s="1238"/>
      <c r="H165" s="1238"/>
    </row>
    <row r="166" spans="1:8">
      <c r="A166" s="1239" t="s">
        <v>682</v>
      </c>
      <c r="B166" s="1238"/>
      <c r="C166" s="1238"/>
      <c r="D166" s="1238"/>
      <c r="E166" s="1238"/>
      <c r="F166" s="1238"/>
      <c r="G166" s="1238"/>
      <c r="H166" s="1238"/>
    </row>
    <row r="167" spans="1:8">
      <c r="A167" s="1239" t="s">
        <v>683</v>
      </c>
      <c r="B167" s="1238"/>
      <c r="C167" s="1238"/>
      <c r="D167" s="1238"/>
      <c r="E167" s="1238"/>
      <c r="F167" s="1238"/>
      <c r="G167" s="1238"/>
      <c r="H167" s="1238"/>
    </row>
    <row r="168" spans="1:8">
      <c r="A168" s="1239" t="s">
        <v>684</v>
      </c>
      <c r="B168" s="1238"/>
      <c r="C168" s="1238"/>
      <c r="D168" s="1238"/>
      <c r="E168" s="1238"/>
      <c r="F168" s="1238"/>
      <c r="G168" s="1238"/>
      <c r="H168" s="1238"/>
    </row>
    <row r="169" spans="1:8">
      <c r="A169" s="1238"/>
      <c r="B169" s="1238"/>
      <c r="C169" s="1238"/>
      <c r="D169" s="1238"/>
      <c r="E169" s="1238"/>
      <c r="F169" s="1238"/>
      <c r="G169" s="1238"/>
      <c r="H169" s="1238"/>
    </row>
    <row r="170" spans="1:8">
      <c r="A170" s="1238"/>
      <c r="B170" s="1238"/>
      <c r="C170" s="1238"/>
      <c r="D170" s="1238"/>
      <c r="E170" s="1238"/>
      <c r="F170" s="1238"/>
      <c r="G170" s="1238"/>
      <c r="H170" s="1238"/>
    </row>
    <row r="171" spans="1:8">
      <c r="A171" s="1239" t="s">
        <v>514</v>
      </c>
      <c r="B171" s="1238"/>
      <c r="C171" s="1238"/>
      <c r="D171" s="1238"/>
      <c r="E171" s="1238"/>
      <c r="F171" s="1238"/>
      <c r="G171" s="1238"/>
      <c r="H171" s="1238"/>
    </row>
    <row r="172" spans="1:8">
      <c r="A172" s="1238"/>
      <c r="B172" s="1238"/>
      <c r="C172" s="1238"/>
      <c r="D172" s="1238"/>
      <c r="E172" s="1238"/>
      <c r="F172" s="1238"/>
      <c r="G172" s="1238"/>
      <c r="H172" s="1238"/>
    </row>
    <row r="173" spans="1:8" ht="15.75">
      <c r="A173" s="1240" t="s">
        <v>515</v>
      </c>
      <c r="B173" s="1238"/>
      <c r="C173" s="1238"/>
      <c r="D173" s="1238"/>
      <c r="E173" s="1238"/>
      <c r="F173" s="1238"/>
      <c r="G173" s="1238"/>
      <c r="H173" s="1238"/>
    </row>
    <row r="174" spans="1:8">
      <c r="A174" s="1238"/>
      <c r="B174" s="1238"/>
      <c r="C174" s="1238"/>
      <c r="D174" s="1238"/>
      <c r="E174" s="1238"/>
      <c r="F174" s="1238"/>
      <c r="G174" s="1238"/>
      <c r="H174" s="1238"/>
    </row>
    <row r="175" spans="1:8">
      <c r="A175" s="1238"/>
      <c r="B175" s="1238"/>
      <c r="C175" s="1238"/>
      <c r="D175" s="1238"/>
      <c r="E175" s="1238"/>
      <c r="F175" s="1238"/>
      <c r="G175" s="1238"/>
      <c r="H175" s="1238"/>
    </row>
    <row r="176" spans="1:8">
      <c r="A176" s="1238"/>
      <c r="B176" s="1238"/>
      <c r="C176" s="1238"/>
      <c r="D176" s="1238"/>
      <c r="E176" s="1238"/>
      <c r="F176" s="1238"/>
      <c r="G176" s="1238"/>
      <c r="H176" s="1238"/>
    </row>
    <row r="177" spans="1:8">
      <c r="A177" s="1238"/>
      <c r="B177" s="1238"/>
      <c r="C177" s="1238"/>
      <c r="D177" s="1238"/>
      <c r="E177" s="1238"/>
      <c r="F177" s="1238"/>
      <c r="G177" s="1238"/>
      <c r="H177" s="1238"/>
    </row>
    <row r="178" spans="1:8">
      <c r="A178" s="1238"/>
      <c r="B178" s="1238"/>
      <c r="C178" s="1238"/>
      <c r="D178" s="1238"/>
      <c r="E178" s="1238"/>
      <c r="F178" s="1238"/>
      <c r="G178" s="1238"/>
      <c r="H178" s="1238"/>
    </row>
    <row r="179" spans="1:8">
      <c r="A179" s="1238"/>
      <c r="B179" s="1238"/>
      <c r="C179" s="1238"/>
      <c r="D179" s="1238"/>
      <c r="E179" s="1238"/>
      <c r="F179" s="1238"/>
      <c r="G179" s="1238"/>
      <c r="H179" s="1238"/>
    </row>
    <row r="180" spans="1:8">
      <c r="A180" s="1238"/>
      <c r="B180" s="1238"/>
      <c r="C180" s="1238"/>
      <c r="D180" s="1238"/>
      <c r="E180" s="1238"/>
      <c r="F180" s="1238"/>
      <c r="G180" s="1238"/>
      <c r="H180" s="1238"/>
    </row>
    <row r="181" spans="1:8">
      <c r="A181" s="1238"/>
      <c r="B181" s="1238"/>
      <c r="C181" s="1238"/>
      <c r="D181" s="1238"/>
      <c r="E181" s="1238"/>
      <c r="F181" s="1238"/>
      <c r="G181" s="1238"/>
      <c r="H181" s="1238"/>
    </row>
    <row r="182" spans="1:8">
      <c r="A182" s="1238"/>
      <c r="B182" s="1238"/>
      <c r="C182" s="1238"/>
      <c r="D182" s="1238"/>
      <c r="E182" s="1238"/>
      <c r="F182" s="1238"/>
      <c r="G182" s="1238"/>
      <c r="H182" s="1238"/>
    </row>
    <row r="183" spans="1:8">
      <c r="A183" s="1238"/>
      <c r="B183" s="1238"/>
      <c r="C183" s="1238"/>
      <c r="D183" s="1238"/>
      <c r="E183" s="1238"/>
      <c r="F183" s="1238"/>
      <c r="G183" s="1238"/>
      <c r="H183" s="1238"/>
    </row>
    <row r="184" spans="1:8">
      <c r="A184" s="1238"/>
      <c r="B184" s="1238"/>
      <c r="C184" s="1238"/>
      <c r="D184" s="1238"/>
      <c r="E184" s="1238"/>
      <c r="F184" s="1238"/>
      <c r="G184" s="1238"/>
      <c r="H184" s="1238"/>
    </row>
    <row r="185" spans="1:8">
      <c r="A185" s="1238"/>
      <c r="B185" s="1238"/>
      <c r="C185" s="1238"/>
      <c r="D185" s="1238"/>
      <c r="E185" s="1238"/>
      <c r="F185" s="1238"/>
      <c r="G185" s="1238"/>
      <c r="H185" s="1238"/>
    </row>
    <row r="186" spans="1:8">
      <c r="A186" s="1238"/>
      <c r="B186" s="1238"/>
      <c r="C186" s="1238"/>
      <c r="D186" s="1238"/>
      <c r="E186" s="1238"/>
      <c r="F186" s="1238"/>
      <c r="G186" s="1238"/>
      <c r="H186" s="1238"/>
    </row>
    <row r="187" spans="1:8">
      <c r="A187" s="1238"/>
      <c r="B187" s="1238"/>
      <c r="C187" s="1238"/>
      <c r="D187" s="1238"/>
      <c r="E187" s="1238"/>
      <c r="F187" s="1238"/>
      <c r="G187" s="1238"/>
      <c r="H187" s="1238"/>
    </row>
    <row r="188" spans="1:8">
      <c r="A188" s="1238"/>
      <c r="B188" s="1238"/>
      <c r="C188" s="1238"/>
      <c r="D188" s="1238"/>
      <c r="E188" s="1238"/>
      <c r="F188" s="1238"/>
      <c r="G188" s="1238"/>
      <c r="H188" s="1238"/>
    </row>
    <row r="189" spans="1:8">
      <c r="A189" s="1238"/>
      <c r="B189" s="1238"/>
      <c r="C189" s="1238"/>
      <c r="D189" s="1238"/>
      <c r="E189" s="1238"/>
      <c r="F189" s="1238"/>
      <c r="G189" s="1238"/>
      <c r="H189" s="1238"/>
    </row>
    <row r="190" spans="1:8">
      <c r="A190" s="1238"/>
      <c r="B190" s="1238"/>
      <c r="C190" s="1238"/>
      <c r="D190" s="1238"/>
      <c r="E190" s="1238"/>
      <c r="F190" s="1238"/>
      <c r="G190" s="1238"/>
      <c r="H190" s="1238"/>
    </row>
    <row r="191" spans="1:8">
      <c r="A191" s="1238"/>
      <c r="B191" s="1238"/>
      <c r="C191" s="1238"/>
      <c r="D191" s="1238"/>
      <c r="E191" s="1238"/>
      <c r="F191" s="1238"/>
      <c r="G191" s="1238"/>
      <c r="H191" s="1238"/>
    </row>
    <row r="192" spans="1:8">
      <c r="A192" s="1238"/>
      <c r="B192" s="1238"/>
      <c r="C192" s="1238"/>
      <c r="D192" s="1238"/>
      <c r="E192" s="1238"/>
      <c r="F192" s="1238"/>
      <c r="G192" s="1238"/>
      <c r="H192" s="1238"/>
    </row>
    <row r="193" spans="1:8">
      <c r="A193" s="1238"/>
      <c r="B193" s="1238"/>
      <c r="C193" s="1238"/>
      <c r="D193" s="1238"/>
      <c r="E193" s="1238"/>
      <c r="F193" s="1238"/>
      <c r="G193" s="1238"/>
      <c r="H193" s="1238"/>
    </row>
    <row r="194" spans="1:8">
      <c r="A194" s="1238"/>
      <c r="B194" s="1238"/>
      <c r="C194" s="1238"/>
      <c r="D194" s="1238"/>
      <c r="E194" s="1238"/>
      <c r="F194" s="1238"/>
      <c r="G194" s="1238"/>
      <c r="H194" s="1238"/>
    </row>
    <row r="195" spans="1:8">
      <c r="A195" s="1238"/>
      <c r="B195" s="1238"/>
      <c r="C195" s="1238"/>
      <c r="D195" s="1238"/>
      <c r="E195" s="1238"/>
      <c r="F195" s="1238"/>
      <c r="G195" s="1238"/>
      <c r="H195" s="1238"/>
    </row>
    <row r="196" spans="1:8">
      <c r="A196" s="1238"/>
      <c r="B196" s="1238"/>
      <c r="C196" s="1238"/>
      <c r="D196" s="1238"/>
      <c r="E196" s="1238"/>
      <c r="F196" s="1238"/>
      <c r="G196" s="1238"/>
      <c r="H196" s="1238"/>
    </row>
    <row r="197" spans="1:8">
      <c r="A197" s="1238"/>
      <c r="B197" s="1238"/>
      <c r="C197" s="1238"/>
      <c r="D197" s="1238"/>
      <c r="E197" s="1238"/>
      <c r="F197" s="1238"/>
      <c r="G197" s="1238"/>
      <c r="H197" s="1238"/>
    </row>
    <row r="198" spans="1:8">
      <c r="A198" s="1238"/>
      <c r="B198" s="1238"/>
      <c r="C198" s="1238"/>
      <c r="D198" s="1238"/>
      <c r="E198" s="1238"/>
      <c r="F198" s="1238"/>
      <c r="G198" s="1238"/>
      <c r="H198" s="1238"/>
    </row>
    <row r="199" spans="1:8">
      <c r="A199" s="1238"/>
      <c r="B199" s="1238"/>
      <c r="C199" s="1238"/>
      <c r="D199" s="1238"/>
      <c r="E199" s="1238"/>
      <c r="F199" s="1238"/>
      <c r="G199" s="1238"/>
      <c r="H199" s="1238"/>
    </row>
    <row r="200" spans="1:8" ht="15.75">
      <c r="A200" s="1240" t="s">
        <v>516</v>
      </c>
      <c r="B200" s="1238"/>
      <c r="C200" s="1238"/>
      <c r="D200" s="1238"/>
      <c r="E200" s="1238"/>
      <c r="F200" s="1238"/>
      <c r="G200" s="1238"/>
      <c r="H200" s="1238"/>
    </row>
    <row r="201" spans="1:8">
      <c r="A201" s="1238"/>
      <c r="B201" s="1238"/>
      <c r="C201" s="1238"/>
      <c r="D201" s="1238"/>
      <c r="E201" s="1238"/>
      <c r="F201" s="1238"/>
      <c r="G201" s="1238"/>
      <c r="H201" s="1238"/>
    </row>
    <row r="202" spans="1:8">
      <c r="A202" s="1239" t="s">
        <v>677</v>
      </c>
      <c r="B202" s="1238"/>
      <c r="C202" s="1238"/>
      <c r="D202" s="1238"/>
      <c r="E202" s="1238"/>
      <c r="F202" s="1238"/>
      <c r="G202" s="1238"/>
      <c r="H202" s="1238"/>
    </row>
    <row r="203" spans="1:8">
      <c r="A203" s="1239" t="s">
        <v>678</v>
      </c>
      <c r="B203" s="1238"/>
      <c r="C203" s="1238"/>
      <c r="D203" s="1238"/>
      <c r="E203" s="1238"/>
      <c r="F203" s="1238"/>
      <c r="G203" s="1238"/>
      <c r="H203" s="1238"/>
    </row>
    <row r="204" spans="1:8">
      <c r="A204" s="1239" t="s">
        <v>679</v>
      </c>
      <c r="B204" s="1238"/>
      <c r="C204" s="1238"/>
      <c r="D204" s="1238"/>
      <c r="E204" s="1238"/>
      <c r="F204" s="1238"/>
      <c r="G204" s="1238"/>
      <c r="H204" s="1238"/>
    </row>
    <row r="205" spans="1:8">
      <c r="A205" s="1239" t="s">
        <v>680</v>
      </c>
      <c r="B205" s="1238"/>
      <c r="C205" s="1238"/>
      <c r="D205" s="1238"/>
      <c r="E205" s="1238"/>
      <c r="F205" s="1238"/>
      <c r="G205" s="1238"/>
      <c r="H205" s="1238"/>
    </row>
    <row r="206" spans="1:8">
      <c r="A206" s="1239" t="s">
        <v>681</v>
      </c>
      <c r="B206" s="1238"/>
      <c r="C206" s="1238"/>
      <c r="D206" s="1238"/>
      <c r="E206" s="1238"/>
      <c r="F206" s="1238"/>
      <c r="G206" s="1238"/>
      <c r="H206" s="1238"/>
    </row>
    <row r="207" spans="1:8">
      <c r="A207" s="1238"/>
      <c r="B207" s="1238"/>
      <c r="C207" s="1238"/>
      <c r="D207" s="1238"/>
      <c r="E207" s="1238"/>
      <c r="F207" s="1238"/>
      <c r="G207" s="1238"/>
      <c r="H207" s="1238"/>
    </row>
    <row r="208" spans="1:8">
      <c r="A208" s="1239" t="s">
        <v>674</v>
      </c>
      <c r="B208" s="1238"/>
      <c r="C208" s="1238"/>
      <c r="D208" s="1238"/>
      <c r="E208" s="1238"/>
      <c r="F208" s="1238"/>
      <c r="G208" s="1238"/>
      <c r="H208" s="1238"/>
    </row>
    <row r="209" spans="1:8">
      <c r="A209" s="1239" t="s">
        <v>675</v>
      </c>
      <c r="B209" s="1238"/>
      <c r="C209" s="1238"/>
      <c r="D209" s="1238"/>
      <c r="E209" s="1238"/>
      <c r="F209" s="1238"/>
      <c r="G209" s="1238"/>
      <c r="H209" s="1238"/>
    </row>
    <row r="210" spans="1:8">
      <c r="A210" s="1239" t="s">
        <v>676</v>
      </c>
      <c r="B210" s="1238"/>
      <c r="C210" s="1238"/>
      <c r="D210" s="1238"/>
      <c r="E210" s="1238"/>
      <c r="F210" s="1238"/>
      <c r="G210" s="1238"/>
      <c r="H210" s="1238"/>
    </row>
    <row r="211" spans="1:8" ht="15.75">
      <c r="A211" s="1240" t="s">
        <v>517</v>
      </c>
      <c r="B211" s="1238"/>
      <c r="C211" s="1238"/>
      <c r="D211" s="1238"/>
      <c r="E211" s="1238"/>
      <c r="F211" s="1238"/>
      <c r="G211" s="1238"/>
      <c r="H211" s="1238"/>
    </row>
    <row r="212" spans="1:8">
      <c r="A212" s="1238"/>
      <c r="B212" s="1238"/>
      <c r="C212" s="1238"/>
      <c r="D212" s="1238"/>
      <c r="E212" s="1238"/>
      <c r="F212" s="1238"/>
      <c r="G212" s="1238"/>
      <c r="H212" s="1238"/>
    </row>
    <row r="213" spans="1:8">
      <c r="A213" s="1239" t="s">
        <v>672</v>
      </c>
      <c r="B213" s="1238"/>
      <c r="C213" s="1238"/>
      <c r="D213" s="1238"/>
      <c r="E213" s="1238"/>
      <c r="F213" s="1238"/>
      <c r="G213" s="1238"/>
      <c r="H213" s="1238"/>
    </row>
    <row r="214" spans="1:8">
      <c r="A214" s="1239" t="s">
        <v>673</v>
      </c>
      <c r="B214" s="1238"/>
      <c r="C214" s="1238"/>
      <c r="D214" s="1238"/>
      <c r="E214" s="1238"/>
      <c r="F214" s="1238"/>
      <c r="G214" s="1238"/>
      <c r="H214" s="1238"/>
    </row>
    <row r="215" spans="1:8">
      <c r="A215" s="1238"/>
      <c r="B215" s="1238"/>
      <c r="C215" s="1238"/>
      <c r="D215" s="1238"/>
      <c r="E215" s="1238"/>
      <c r="F215" s="1238"/>
      <c r="G215" s="1238"/>
      <c r="H215" s="1238"/>
    </row>
    <row r="216" spans="1:8">
      <c r="A216" s="1239" t="s">
        <v>665</v>
      </c>
      <c r="B216" s="1238"/>
      <c r="C216" s="1238"/>
      <c r="D216" s="1238"/>
      <c r="E216" s="1238"/>
      <c r="F216" s="1238"/>
      <c r="G216" s="1238"/>
      <c r="H216" s="1238"/>
    </row>
    <row r="217" spans="1:8">
      <c r="A217" s="1239" t="s">
        <v>666</v>
      </c>
      <c r="B217" s="1238"/>
      <c r="C217" s="1238"/>
      <c r="D217" s="1238"/>
      <c r="E217" s="1238"/>
      <c r="F217" s="1238"/>
      <c r="G217" s="1238"/>
      <c r="H217" s="1238"/>
    </row>
    <row r="218" spans="1:8">
      <c r="A218" s="1239" t="s">
        <v>667</v>
      </c>
      <c r="B218" s="1238"/>
      <c r="C218" s="1238"/>
      <c r="D218" s="1238"/>
      <c r="E218" s="1238"/>
      <c r="F218" s="1238"/>
      <c r="G218" s="1238"/>
      <c r="H218" s="1238"/>
    </row>
    <row r="219" spans="1:8">
      <c r="A219" s="1239" t="s">
        <v>668</v>
      </c>
      <c r="B219" s="1238"/>
      <c r="C219" s="1238"/>
      <c r="D219" s="1238"/>
      <c r="E219" s="1238"/>
      <c r="F219" s="1238"/>
      <c r="G219" s="1238"/>
      <c r="H219" s="1238"/>
    </row>
    <row r="220" spans="1:8">
      <c r="A220" s="1239" t="s">
        <v>669</v>
      </c>
      <c r="B220" s="1238"/>
      <c r="C220" s="1238"/>
      <c r="D220" s="1238"/>
      <c r="E220" s="1238"/>
      <c r="F220" s="1238"/>
      <c r="G220" s="1238"/>
      <c r="H220" s="1238"/>
    </row>
    <row r="221" spans="1:8">
      <c r="A221" s="1239" t="s">
        <v>670</v>
      </c>
      <c r="B221" s="1238"/>
      <c r="C221" s="1238"/>
      <c r="D221" s="1238"/>
      <c r="E221" s="1238"/>
      <c r="F221" s="1238"/>
      <c r="G221" s="1238"/>
      <c r="H221" s="1238"/>
    </row>
    <row r="222" spans="1:8">
      <c r="A222" s="1239" t="s">
        <v>671</v>
      </c>
      <c r="B222" s="1238"/>
      <c r="C222" s="1238"/>
      <c r="D222" s="1238"/>
      <c r="E222" s="1238"/>
      <c r="F222" s="1238"/>
      <c r="G222" s="1238"/>
      <c r="H222" s="1238"/>
    </row>
    <row r="223" spans="1:8">
      <c r="A223" s="1238"/>
      <c r="B223" s="1238"/>
      <c r="C223" s="1238"/>
      <c r="D223" s="1238"/>
      <c r="E223" s="1238"/>
      <c r="F223" s="1238"/>
      <c r="G223" s="1238"/>
      <c r="H223" s="1238"/>
    </row>
    <row r="224" spans="1:8">
      <c r="A224" s="1239" t="s">
        <v>662</v>
      </c>
      <c r="B224" s="1238"/>
      <c r="C224" s="1238"/>
      <c r="D224" s="1238"/>
      <c r="E224" s="1238"/>
      <c r="F224" s="1238"/>
      <c r="G224" s="1238"/>
      <c r="H224" s="1238"/>
    </row>
    <row r="225" spans="1:8">
      <c r="A225" s="1239" t="s">
        <v>663</v>
      </c>
      <c r="B225" s="1238"/>
      <c r="C225" s="1238"/>
      <c r="D225" s="1238"/>
      <c r="E225" s="1238"/>
      <c r="F225" s="1238"/>
      <c r="G225" s="1238"/>
      <c r="H225" s="1238"/>
    </row>
    <row r="226" spans="1:8">
      <c r="A226" s="1239" t="s">
        <v>664</v>
      </c>
      <c r="B226" s="1238"/>
      <c r="C226" s="1238"/>
      <c r="D226" s="1238"/>
      <c r="E226" s="1238"/>
      <c r="F226" s="1238"/>
      <c r="G226" s="1238"/>
      <c r="H226" s="1238"/>
    </row>
    <row r="227" spans="1:8">
      <c r="A227" s="1238"/>
      <c r="B227" s="1238"/>
      <c r="C227" s="1238"/>
      <c r="D227" s="1238"/>
      <c r="E227" s="1238"/>
      <c r="F227" s="1238"/>
      <c r="G227" s="1238"/>
      <c r="H227" s="1238"/>
    </row>
    <row r="228" spans="1:8">
      <c r="A228" s="1239" t="s">
        <v>657</v>
      </c>
      <c r="B228" s="1238"/>
      <c r="C228" s="1238"/>
      <c r="D228" s="1238"/>
      <c r="E228" s="1238"/>
      <c r="F228" s="1238"/>
      <c r="G228" s="1238"/>
      <c r="H228" s="1238"/>
    </row>
    <row r="229" spans="1:8">
      <c r="A229" s="1239" t="s">
        <v>658</v>
      </c>
      <c r="B229" s="1238"/>
      <c r="C229" s="1238"/>
      <c r="D229" s="1238"/>
      <c r="E229" s="1238"/>
      <c r="F229" s="1238"/>
      <c r="G229" s="1238"/>
      <c r="H229" s="1238"/>
    </row>
    <row r="230" spans="1:8">
      <c r="A230" s="1239" t="s">
        <v>659</v>
      </c>
      <c r="B230" s="1238"/>
      <c r="C230" s="1238"/>
      <c r="D230" s="1238"/>
      <c r="E230" s="1238"/>
      <c r="F230" s="1238"/>
      <c r="G230" s="1238"/>
      <c r="H230" s="1238"/>
    </row>
    <row r="231" spans="1:8">
      <c r="A231" s="1239" t="s">
        <v>660</v>
      </c>
      <c r="B231" s="1238"/>
      <c r="C231" s="1238"/>
      <c r="D231" s="1238"/>
      <c r="E231" s="1238"/>
      <c r="F231" s="1238"/>
      <c r="G231" s="1238"/>
      <c r="H231" s="1238"/>
    </row>
    <row r="232" spans="1:8">
      <c r="A232" s="1239" t="s">
        <v>661</v>
      </c>
      <c r="B232" s="1238"/>
      <c r="C232" s="1238"/>
      <c r="D232" s="1238"/>
      <c r="E232" s="1238"/>
      <c r="F232" s="1238"/>
      <c r="G232" s="1238"/>
      <c r="H232" s="1238"/>
    </row>
    <row r="233" spans="1:8">
      <c r="A233" s="1238"/>
      <c r="B233" s="1238"/>
      <c r="C233" s="1238"/>
      <c r="D233" s="1238"/>
      <c r="E233" s="1238"/>
      <c r="F233" s="1238"/>
      <c r="G233" s="1238"/>
      <c r="H233" s="1238"/>
    </row>
    <row r="234" spans="1:8">
      <c r="A234" s="1239" t="s">
        <v>651</v>
      </c>
      <c r="B234" s="1238"/>
      <c r="C234" s="1238"/>
      <c r="D234" s="1238"/>
      <c r="E234" s="1238"/>
      <c r="F234" s="1238"/>
      <c r="G234" s="1238"/>
      <c r="H234" s="1238"/>
    </row>
    <row r="235" spans="1:8">
      <c r="A235" s="1239" t="s">
        <v>652</v>
      </c>
      <c r="B235" s="1238"/>
      <c r="C235" s="1238"/>
      <c r="D235" s="1238"/>
      <c r="E235" s="1238"/>
      <c r="F235" s="1238"/>
      <c r="G235" s="1238"/>
      <c r="H235" s="1238"/>
    </row>
    <row r="236" spans="1:8">
      <c r="A236" s="1239" t="s">
        <v>653</v>
      </c>
      <c r="B236" s="1238"/>
      <c r="C236" s="1238"/>
      <c r="D236" s="1238"/>
      <c r="E236" s="1238"/>
      <c r="F236" s="1238"/>
      <c r="G236" s="1238"/>
      <c r="H236" s="1238"/>
    </row>
    <row r="237" spans="1:8">
      <c r="A237" s="1239" t="s">
        <v>654</v>
      </c>
      <c r="B237" s="1238"/>
      <c r="C237" s="1238"/>
      <c r="D237" s="1238"/>
      <c r="E237" s="1238"/>
      <c r="F237" s="1238"/>
      <c r="G237" s="1238"/>
      <c r="H237" s="1238"/>
    </row>
    <row r="238" spans="1:8">
      <c r="A238" s="1239" t="s">
        <v>655</v>
      </c>
      <c r="B238" s="1238"/>
      <c r="C238" s="1238"/>
      <c r="D238" s="1238"/>
      <c r="E238" s="1238"/>
      <c r="F238" s="1238"/>
      <c r="G238" s="1238"/>
      <c r="H238" s="1238"/>
    </row>
    <row r="239" spans="1:8">
      <c r="A239" s="1239" t="s">
        <v>656</v>
      </c>
      <c r="B239" s="1238"/>
      <c r="C239" s="1238"/>
      <c r="D239" s="1238"/>
      <c r="E239" s="1238"/>
      <c r="F239" s="1238"/>
      <c r="G239" s="1238"/>
      <c r="H239" s="1238"/>
    </row>
    <row r="240" spans="1:8">
      <c r="A240" s="1238"/>
      <c r="B240" s="1238"/>
      <c r="C240" s="1238"/>
      <c r="D240" s="1238"/>
      <c r="E240" s="1238"/>
      <c r="F240" s="1238"/>
      <c r="G240" s="1238"/>
      <c r="H240" s="1238"/>
    </row>
    <row r="241" spans="1:8">
      <c r="A241" s="1239" t="s">
        <v>641</v>
      </c>
      <c r="B241" s="1238"/>
      <c r="C241" s="1238"/>
      <c r="D241" s="1238"/>
      <c r="E241" s="1238"/>
      <c r="F241" s="1238"/>
      <c r="G241" s="1238"/>
      <c r="H241" s="1238"/>
    </row>
    <row r="242" spans="1:8">
      <c r="A242" s="1239" t="s">
        <v>642</v>
      </c>
      <c r="B242" s="1238"/>
      <c r="C242" s="1238"/>
      <c r="D242" s="1238"/>
      <c r="E242" s="1238"/>
      <c r="F242" s="1238"/>
      <c r="G242" s="1238"/>
      <c r="H242" s="1238"/>
    </row>
    <row r="243" spans="1:8">
      <c r="A243" s="1239" t="s">
        <v>643</v>
      </c>
      <c r="B243" s="1238"/>
      <c r="C243" s="1238"/>
      <c r="D243" s="1238"/>
      <c r="E243" s="1238"/>
      <c r="F243" s="1238"/>
      <c r="G243" s="1238"/>
      <c r="H243" s="1238"/>
    </row>
    <row r="244" spans="1:8">
      <c r="A244" s="1239" t="s">
        <v>644</v>
      </c>
      <c r="B244" s="1238"/>
      <c r="C244" s="1238"/>
      <c r="D244" s="1238"/>
      <c r="E244" s="1238"/>
      <c r="F244" s="1238"/>
      <c r="G244" s="1238"/>
      <c r="H244" s="1238"/>
    </row>
    <row r="245" spans="1:8">
      <c r="A245" s="1239" t="s">
        <v>645</v>
      </c>
      <c r="B245" s="1238"/>
      <c r="C245" s="1238"/>
      <c r="D245" s="1238"/>
      <c r="E245" s="1238"/>
      <c r="F245" s="1238"/>
      <c r="G245" s="1238"/>
      <c r="H245" s="1238"/>
    </row>
    <row r="246" spans="1:8">
      <c r="A246" s="1239" t="s">
        <v>646</v>
      </c>
      <c r="B246" s="1238"/>
      <c r="C246" s="1238"/>
      <c r="D246" s="1238"/>
      <c r="E246" s="1238"/>
      <c r="F246" s="1238"/>
      <c r="G246" s="1238"/>
      <c r="H246" s="1238"/>
    </row>
    <row r="247" spans="1:8">
      <c r="A247" s="1239" t="s">
        <v>647</v>
      </c>
      <c r="B247" s="1238"/>
      <c r="C247" s="1238"/>
      <c r="D247" s="1238"/>
      <c r="E247" s="1238"/>
      <c r="F247" s="1238"/>
      <c r="G247" s="1238"/>
      <c r="H247" s="1238"/>
    </row>
    <row r="248" spans="1:8">
      <c r="A248" s="1239" t="s">
        <v>648</v>
      </c>
      <c r="B248" s="1238"/>
      <c r="C248" s="1238"/>
      <c r="D248" s="1238"/>
      <c r="E248" s="1238"/>
      <c r="F248" s="1238"/>
      <c r="G248" s="1238"/>
      <c r="H248" s="1238"/>
    </row>
    <row r="249" spans="1:8">
      <c r="A249" s="1239" t="s">
        <v>649</v>
      </c>
      <c r="B249" s="1238"/>
      <c r="C249" s="1238"/>
      <c r="D249" s="1238"/>
      <c r="E249" s="1238"/>
      <c r="F249" s="1238"/>
      <c r="G249" s="1238"/>
      <c r="H249" s="1238"/>
    </row>
    <row r="250" spans="1:8">
      <c r="A250" s="1239" t="s">
        <v>650</v>
      </c>
      <c r="B250" s="1238"/>
      <c r="C250" s="1238"/>
      <c r="D250" s="1238"/>
      <c r="E250" s="1238"/>
      <c r="F250" s="1238"/>
      <c r="G250" s="1238"/>
      <c r="H250" s="1238"/>
    </row>
    <row r="251" spans="1:8">
      <c r="A251" s="1238"/>
      <c r="B251" s="1238"/>
      <c r="C251" s="1238"/>
      <c r="D251" s="1238"/>
      <c r="E251" s="1238"/>
      <c r="F251" s="1238"/>
      <c r="G251" s="1238"/>
      <c r="H251" s="1238"/>
    </row>
    <row r="252" spans="1:8">
      <c r="A252" s="1239" t="s">
        <v>639</v>
      </c>
      <c r="B252" s="1238"/>
      <c r="C252" s="1238"/>
      <c r="D252" s="1238"/>
      <c r="E252" s="1238"/>
      <c r="F252" s="1238"/>
      <c r="G252" s="1238"/>
      <c r="H252" s="1238"/>
    </row>
    <row r="253" spans="1:8">
      <c r="A253" s="1239" t="s">
        <v>640</v>
      </c>
      <c r="B253" s="1238"/>
      <c r="C253" s="1238"/>
      <c r="D253" s="1238"/>
      <c r="E253" s="1238"/>
      <c r="F253" s="1238"/>
      <c r="G253" s="1238"/>
      <c r="H253" s="1238"/>
    </row>
    <row r="254" spans="1:8">
      <c r="A254" s="1238"/>
      <c r="B254" s="1238"/>
      <c r="C254" s="1238"/>
      <c r="D254" s="1238"/>
      <c r="E254" s="1238"/>
      <c r="F254" s="1238"/>
      <c r="G254" s="1238"/>
      <c r="H254" s="1238"/>
    </row>
    <row r="255" spans="1:8">
      <c r="A255" s="1239" t="s">
        <v>623</v>
      </c>
      <c r="B255" s="1238"/>
      <c r="C255" s="1238"/>
      <c r="D255" s="1238"/>
      <c r="E255" s="1238"/>
      <c r="F255" s="1238"/>
      <c r="G255" s="1238"/>
      <c r="H255" s="1238"/>
    </row>
    <row r="256" spans="1:8">
      <c r="A256" s="1239" t="s">
        <v>624</v>
      </c>
      <c r="B256" s="1238"/>
      <c r="C256" s="1238"/>
      <c r="D256" s="1238"/>
      <c r="E256" s="1238"/>
      <c r="F256" s="1238"/>
      <c r="G256" s="1238"/>
      <c r="H256" s="1238"/>
    </row>
    <row r="257" spans="1:8">
      <c r="A257" s="1239" t="s">
        <v>625</v>
      </c>
      <c r="B257" s="1238"/>
      <c r="C257" s="1238"/>
      <c r="D257" s="1238"/>
      <c r="E257" s="1238"/>
      <c r="F257" s="1238"/>
      <c r="G257" s="1238"/>
      <c r="H257" s="1238"/>
    </row>
    <row r="258" spans="1:8">
      <c r="A258" s="1239" t="s">
        <v>626</v>
      </c>
      <c r="B258" s="1238"/>
      <c r="C258" s="1238"/>
      <c r="D258" s="1238"/>
      <c r="E258" s="1238"/>
      <c r="F258" s="1238"/>
      <c r="G258" s="1238"/>
      <c r="H258" s="1238"/>
    </row>
    <row r="259" spans="1:8">
      <c r="A259" s="1239" t="s">
        <v>627</v>
      </c>
      <c r="B259" s="1238"/>
      <c r="C259" s="1238"/>
      <c r="D259" s="1238"/>
      <c r="E259" s="1238"/>
      <c r="F259" s="1238"/>
      <c r="G259" s="1238"/>
      <c r="H259" s="1238"/>
    </row>
    <row r="260" spans="1:8">
      <c r="A260" s="1239" t="s">
        <v>628</v>
      </c>
      <c r="B260" s="1238"/>
      <c r="C260" s="1238"/>
      <c r="D260" s="1238"/>
      <c r="E260" s="1238"/>
      <c r="F260" s="1238"/>
      <c r="G260" s="1238"/>
      <c r="H260" s="1238"/>
    </row>
    <row r="261" spans="1:8">
      <c r="A261" s="1239" t="s">
        <v>629</v>
      </c>
      <c r="B261" s="1238"/>
      <c r="C261" s="1238"/>
      <c r="D261" s="1238"/>
      <c r="E261" s="1238"/>
      <c r="F261" s="1238"/>
      <c r="G261" s="1238"/>
      <c r="H261" s="1238"/>
    </row>
    <row r="262" spans="1:8">
      <c r="A262" s="1239" t="s">
        <v>630</v>
      </c>
      <c r="B262" s="1238"/>
      <c r="C262" s="1238"/>
      <c r="D262" s="1238"/>
      <c r="E262" s="1238"/>
      <c r="F262" s="1238"/>
      <c r="G262" s="1238"/>
      <c r="H262" s="1238"/>
    </row>
    <row r="263" spans="1:8">
      <c r="A263" s="1239" t="s">
        <v>631</v>
      </c>
      <c r="B263" s="1238"/>
      <c r="C263" s="1238"/>
      <c r="D263" s="1238"/>
      <c r="E263" s="1238"/>
      <c r="F263" s="1238"/>
      <c r="G263" s="1238"/>
      <c r="H263" s="1238"/>
    </row>
    <row r="264" spans="1:8">
      <c r="A264" s="1239" t="s">
        <v>632</v>
      </c>
      <c r="B264" s="1238"/>
      <c r="C264" s="1238"/>
      <c r="D264" s="1238"/>
      <c r="E264" s="1238"/>
      <c r="F264" s="1238"/>
      <c r="G264" s="1238"/>
      <c r="H264" s="1238"/>
    </row>
    <row r="265" spans="1:8">
      <c r="A265" s="1239" t="s">
        <v>633</v>
      </c>
      <c r="B265" s="1238"/>
      <c r="C265" s="1238"/>
      <c r="D265" s="1238"/>
      <c r="E265" s="1238"/>
      <c r="F265" s="1238"/>
      <c r="G265" s="1238"/>
      <c r="H265" s="1238"/>
    </row>
    <row r="266" spans="1:8">
      <c r="A266" s="1239" t="s">
        <v>634</v>
      </c>
      <c r="B266" s="1238"/>
      <c r="C266" s="1238"/>
      <c r="D266" s="1238"/>
      <c r="E266" s="1238"/>
      <c r="F266" s="1238"/>
      <c r="G266" s="1238"/>
      <c r="H266" s="1238"/>
    </row>
    <row r="267" spans="1:8">
      <c r="A267" s="1239" t="s">
        <v>635</v>
      </c>
      <c r="B267" s="1238"/>
      <c r="C267" s="1238"/>
      <c r="D267" s="1238"/>
      <c r="E267" s="1238"/>
      <c r="F267" s="1238"/>
      <c r="G267" s="1238"/>
      <c r="H267" s="1238"/>
    </row>
    <row r="268" spans="1:8">
      <c r="A268" s="1239" t="s">
        <v>636</v>
      </c>
      <c r="B268" s="1238"/>
      <c r="C268" s="1238"/>
      <c r="D268" s="1238"/>
      <c r="E268" s="1238"/>
      <c r="F268" s="1238"/>
      <c r="G268" s="1238"/>
      <c r="H268" s="1238"/>
    </row>
    <row r="269" spans="1:8">
      <c r="A269" s="1239" t="s">
        <v>637</v>
      </c>
      <c r="B269" s="1238"/>
      <c r="C269" s="1238"/>
      <c r="D269" s="1238"/>
      <c r="E269" s="1238"/>
      <c r="F269" s="1238"/>
      <c r="G269" s="1238"/>
      <c r="H269" s="1238"/>
    </row>
    <row r="270" spans="1:8">
      <c r="A270" s="1239" t="s">
        <v>638</v>
      </c>
      <c r="B270" s="1238"/>
      <c r="C270" s="1238"/>
      <c r="D270" s="1238"/>
      <c r="E270" s="1238"/>
      <c r="F270" s="1238"/>
      <c r="G270" s="1238"/>
      <c r="H270" s="1238"/>
    </row>
    <row r="271" spans="1:8">
      <c r="A271" s="1238"/>
      <c r="B271" s="1238"/>
      <c r="C271" s="1238"/>
      <c r="D271" s="1238"/>
      <c r="E271" s="1238"/>
      <c r="F271" s="1238"/>
      <c r="G271" s="1238"/>
      <c r="H271" s="1238"/>
    </row>
    <row r="272" spans="1:8">
      <c r="A272" s="1239" t="s">
        <v>616</v>
      </c>
      <c r="B272" s="1238"/>
      <c r="C272" s="1238"/>
      <c r="D272" s="1238"/>
      <c r="E272" s="1238"/>
      <c r="F272" s="1238"/>
      <c r="G272" s="1238"/>
      <c r="H272" s="1238"/>
    </row>
    <row r="273" spans="1:8">
      <c r="A273" s="1239" t="s">
        <v>617</v>
      </c>
      <c r="B273" s="1238"/>
      <c r="C273" s="1238"/>
      <c r="D273" s="1238"/>
      <c r="E273" s="1238"/>
      <c r="F273" s="1238"/>
      <c r="G273" s="1238"/>
      <c r="H273" s="1238"/>
    </row>
    <row r="274" spans="1:8">
      <c r="A274" s="1239" t="s">
        <v>618</v>
      </c>
      <c r="B274" s="1238"/>
      <c r="C274" s="1238"/>
      <c r="D274" s="1238"/>
      <c r="E274" s="1238"/>
      <c r="F274" s="1238"/>
      <c r="G274" s="1238"/>
      <c r="H274" s="1238"/>
    </row>
    <row r="275" spans="1:8">
      <c r="A275" s="1239" t="s">
        <v>619</v>
      </c>
      <c r="B275" s="1238"/>
      <c r="C275" s="1238"/>
      <c r="D275" s="1238"/>
      <c r="E275" s="1238"/>
      <c r="F275" s="1238"/>
      <c r="G275" s="1238"/>
      <c r="H275" s="1238"/>
    </row>
    <row r="276" spans="1:8">
      <c r="A276" s="1239" t="s">
        <v>620</v>
      </c>
      <c r="B276" s="1238"/>
      <c r="C276" s="1238"/>
      <c r="D276" s="1238"/>
      <c r="E276" s="1238"/>
      <c r="F276" s="1238"/>
      <c r="G276" s="1238"/>
      <c r="H276" s="1238"/>
    </row>
    <row r="277" spans="1:8">
      <c r="A277" s="1239" t="s">
        <v>621</v>
      </c>
      <c r="B277" s="1238"/>
      <c r="C277" s="1238"/>
      <c r="D277" s="1238"/>
      <c r="E277" s="1238"/>
      <c r="F277" s="1238"/>
      <c r="G277" s="1238"/>
      <c r="H277" s="1238"/>
    </row>
    <row r="278" spans="1:8">
      <c r="A278" s="1239" t="s">
        <v>622</v>
      </c>
      <c r="B278" s="1238"/>
      <c r="C278" s="1238"/>
      <c r="D278" s="1238"/>
      <c r="E278" s="1238"/>
      <c r="F278" s="1238"/>
      <c r="G278" s="1238"/>
      <c r="H278" s="1238"/>
    </row>
    <row r="279" spans="1:8">
      <c r="A279" s="1238"/>
      <c r="B279" s="1238"/>
      <c r="C279" s="1238"/>
      <c r="D279" s="1238"/>
      <c r="E279" s="1238"/>
      <c r="F279" s="1238"/>
      <c r="G279" s="1238"/>
      <c r="H279" s="1238"/>
    </row>
    <row r="280" spans="1:8">
      <c r="A280" s="1239" t="s">
        <v>607</v>
      </c>
      <c r="B280" s="1238"/>
      <c r="C280" s="1238"/>
      <c r="D280" s="1238"/>
      <c r="E280" s="1238"/>
      <c r="F280" s="1238"/>
      <c r="G280" s="1238"/>
      <c r="H280" s="1238"/>
    </row>
    <row r="281" spans="1:8">
      <c r="A281" s="1239" t="s">
        <v>608</v>
      </c>
      <c r="B281" s="1238"/>
      <c r="C281" s="1238"/>
      <c r="D281" s="1238"/>
      <c r="E281" s="1238"/>
      <c r="F281" s="1238"/>
      <c r="G281" s="1238"/>
      <c r="H281" s="1238"/>
    </row>
    <row r="282" spans="1:8">
      <c r="A282" s="1239" t="s">
        <v>609</v>
      </c>
      <c r="B282" s="1238"/>
      <c r="C282" s="1238"/>
      <c r="D282" s="1238"/>
      <c r="E282" s="1238"/>
      <c r="F282" s="1238"/>
      <c r="G282" s="1238"/>
      <c r="H282" s="1238"/>
    </row>
    <row r="283" spans="1:8">
      <c r="A283" s="1239" t="s">
        <v>610</v>
      </c>
      <c r="B283" s="1238"/>
      <c r="C283" s="1238"/>
      <c r="D283" s="1238"/>
      <c r="E283" s="1238"/>
      <c r="F283" s="1238"/>
      <c r="G283" s="1238"/>
      <c r="H283" s="1238"/>
    </row>
    <row r="284" spans="1:8">
      <c r="A284" s="1239" t="s">
        <v>611</v>
      </c>
      <c r="B284" s="1238"/>
      <c r="C284" s="1238"/>
      <c r="D284" s="1238"/>
      <c r="E284" s="1238"/>
      <c r="F284" s="1238"/>
      <c r="G284" s="1238"/>
      <c r="H284" s="1238"/>
    </row>
    <row r="285" spans="1:8">
      <c r="A285" s="1239" t="s">
        <v>612</v>
      </c>
      <c r="B285" s="1238"/>
      <c r="C285" s="1238"/>
      <c r="D285" s="1238"/>
      <c r="E285" s="1238"/>
      <c r="F285" s="1238"/>
      <c r="G285" s="1238"/>
      <c r="H285" s="1238"/>
    </row>
    <row r="286" spans="1:8">
      <c r="A286" s="1239" t="s">
        <v>613</v>
      </c>
      <c r="B286" s="1238"/>
      <c r="C286" s="1238"/>
      <c r="D286" s="1238"/>
      <c r="E286" s="1238"/>
      <c r="F286" s="1238"/>
      <c r="G286" s="1238"/>
      <c r="H286" s="1238"/>
    </row>
    <row r="287" spans="1:8">
      <c r="A287" s="1239" t="s">
        <v>614</v>
      </c>
      <c r="B287" s="1238"/>
      <c r="C287" s="1238"/>
      <c r="D287" s="1238"/>
      <c r="E287" s="1238"/>
      <c r="F287" s="1238"/>
      <c r="G287" s="1238"/>
      <c r="H287" s="1238"/>
    </row>
    <row r="288" spans="1:8">
      <c r="A288" s="1239" t="s">
        <v>615</v>
      </c>
      <c r="B288" s="1238"/>
      <c r="C288" s="1238"/>
      <c r="D288" s="1238"/>
      <c r="E288" s="1238"/>
      <c r="F288" s="1238"/>
      <c r="G288" s="1238"/>
      <c r="H288" s="1238"/>
    </row>
    <row r="289" spans="1:8">
      <c r="A289" s="1238"/>
      <c r="B289" s="1238"/>
      <c r="C289" s="1238"/>
      <c r="D289" s="1238"/>
      <c r="E289" s="1238"/>
      <c r="F289" s="1238"/>
      <c r="G289" s="1238"/>
      <c r="H289" s="1238"/>
    </row>
    <row r="290" spans="1:8">
      <c r="A290" s="1239" t="s">
        <v>600</v>
      </c>
      <c r="B290" s="1238"/>
      <c r="C290" s="1238"/>
      <c r="D290" s="1238"/>
      <c r="E290" s="1238"/>
      <c r="F290" s="1238"/>
      <c r="G290" s="1238"/>
      <c r="H290" s="1238"/>
    </row>
    <row r="291" spans="1:8">
      <c r="A291" s="1239" t="s">
        <v>601</v>
      </c>
      <c r="B291" s="1238"/>
      <c r="C291" s="1238"/>
      <c r="D291" s="1238"/>
      <c r="E291" s="1238"/>
      <c r="F291" s="1238"/>
      <c r="G291" s="1238"/>
      <c r="H291" s="1238"/>
    </row>
    <row r="292" spans="1:8">
      <c r="A292" s="1239" t="s">
        <v>602</v>
      </c>
      <c r="B292" s="1238"/>
      <c r="C292" s="1238"/>
      <c r="D292" s="1238"/>
      <c r="E292" s="1238"/>
      <c r="F292" s="1238"/>
      <c r="G292" s="1238"/>
      <c r="H292" s="1238"/>
    </row>
    <row r="293" spans="1:8">
      <c r="A293" s="1239" t="s">
        <v>603</v>
      </c>
      <c r="B293" s="1238"/>
      <c r="C293" s="1238"/>
      <c r="D293" s="1238"/>
      <c r="E293" s="1238"/>
      <c r="F293" s="1238"/>
      <c r="G293" s="1238"/>
      <c r="H293" s="1238"/>
    </row>
    <row r="294" spans="1:8">
      <c r="A294" s="1239" t="s">
        <v>604</v>
      </c>
      <c r="B294" s="1238"/>
      <c r="C294" s="1238"/>
      <c r="D294" s="1238"/>
      <c r="E294" s="1238"/>
      <c r="F294" s="1238"/>
      <c r="G294" s="1238"/>
      <c r="H294" s="1238"/>
    </row>
    <row r="295" spans="1:8">
      <c r="A295" s="1239" t="s">
        <v>605</v>
      </c>
      <c r="B295" s="1238"/>
      <c r="C295" s="1238"/>
      <c r="D295" s="1238"/>
      <c r="E295" s="1238"/>
      <c r="F295" s="1238"/>
      <c r="G295" s="1238"/>
      <c r="H295" s="1238"/>
    </row>
    <row r="296" spans="1:8">
      <c r="A296" s="1239" t="s">
        <v>606</v>
      </c>
      <c r="B296" s="1238"/>
      <c r="C296" s="1238"/>
      <c r="D296" s="1238"/>
      <c r="E296" s="1238"/>
      <c r="F296" s="1238"/>
      <c r="G296" s="1238"/>
      <c r="H296" s="1238"/>
    </row>
    <row r="297" spans="1:8">
      <c r="A297" s="1238"/>
      <c r="B297" s="1238"/>
      <c r="C297" s="1238"/>
      <c r="D297" s="1238"/>
      <c r="E297" s="1238"/>
      <c r="F297" s="1238"/>
      <c r="G297" s="1238"/>
      <c r="H297" s="1238"/>
    </row>
    <row r="298" spans="1:8">
      <c r="A298" s="1239" t="s">
        <v>597</v>
      </c>
      <c r="B298" s="1238"/>
      <c r="C298" s="1238"/>
      <c r="D298" s="1238"/>
      <c r="E298" s="1238"/>
      <c r="F298" s="1238"/>
      <c r="G298" s="1238"/>
      <c r="H298" s="1238"/>
    </row>
    <row r="299" spans="1:8">
      <c r="A299" s="1239" t="s">
        <v>598</v>
      </c>
      <c r="B299" s="1238"/>
      <c r="C299" s="1238"/>
      <c r="D299" s="1238"/>
      <c r="E299" s="1238"/>
      <c r="F299" s="1238"/>
      <c r="G299" s="1238"/>
      <c r="H299" s="1238"/>
    </row>
    <row r="300" spans="1:8">
      <c r="A300" s="1239" t="s">
        <v>599</v>
      </c>
      <c r="B300" s="1238"/>
      <c r="C300" s="1238"/>
      <c r="D300" s="1238"/>
      <c r="E300" s="1238"/>
      <c r="F300" s="1238"/>
      <c r="G300" s="1238"/>
      <c r="H300" s="1238"/>
    </row>
    <row r="301" spans="1:8">
      <c r="A301" s="1238"/>
      <c r="B301" s="1238"/>
      <c r="C301" s="1238"/>
      <c r="D301" s="1238"/>
      <c r="E301" s="1238"/>
      <c r="F301" s="1238"/>
      <c r="G301" s="1238"/>
      <c r="H301" s="1238"/>
    </row>
    <row r="302" spans="1:8">
      <c r="A302" s="1239" t="s">
        <v>595</v>
      </c>
      <c r="B302" s="1238"/>
      <c r="C302" s="1238"/>
      <c r="D302" s="1238"/>
      <c r="E302" s="1238"/>
      <c r="F302" s="1238"/>
      <c r="G302" s="1238"/>
      <c r="H302" s="1238"/>
    </row>
    <row r="303" spans="1:8">
      <c r="A303" s="1239" t="s">
        <v>596</v>
      </c>
      <c r="B303" s="1238"/>
      <c r="C303" s="1238"/>
      <c r="D303" s="1238"/>
      <c r="E303" s="1238"/>
      <c r="F303" s="1238"/>
      <c r="G303" s="1238"/>
      <c r="H303" s="1238"/>
    </row>
    <row r="304" spans="1:8">
      <c r="A304" s="1238"/>
      <c r="B304" s="1238"/>
      <c r="C304" s="1238"/>
      <c r="D304" s="1238"/>
      <c r="E304" s="1238"/>
      <c r="F304" s="1238"/>
      <c r="G304" s="1238"/>
      <c r="H304" s="1238"/>
    </row>
    <row r="305" spans="1:8">
      <c r="A305" s="1239" t="s">
        <v>582</v>
      </c>
      <c r="B305" s="1238"/>
      <c r="C305" s="1238"/>
      <c r="D305" s="1238"/>
      <c r="E305" s="1238"/>
      <c r="F305" s="1238"/>
      <c r="G305" s="1238"/>
      <c r="H305" s="1238"/>
    </row>
    <row r="306" spans="1:8">
      <c r="A306" s="1239" t="s">
        <v>583</v>
      </c>
      <c r="B306" s="1238"/>
      <c r="C306" s="1238"/>
      <c r="D306" s="1238"/>
      <c r="E306" s="1238"/>
      <c r="F306" s="1238"/>
      <c r="G306" s="1238"/>
      <c r="H306" s="1238"/>
    </row>
    <row r="307" spans="1:8">
      <c r="A307" s="1239" t="s">
        <v>584</v>
      </c>
      <c r="B307" s="1238"/>
      <c r="C307" s="1238"/>
      <c r="D307" s="1238"/>
      <c r="E307" s="1238"/>
      <c r="F307" s="1238"/>
      <c r="G307" s="1238"/>
      <c r="H307" s="1238"/>
    </row>
    <row r="308" spans="1:8">
      <c r="A308" s="1239" t="s">
        <v>585</v>
      </c>
      <c r="B308" s="1238"/>
      <c r="C308" s="1238"/>
      <c r="D308" s="1238"/>
      <c r="E308" s="1238"/>
      <c r="F308" s="1238"/>
      <c r="G308" s="1238"/>
      <c r="H308" s="1238"/>
    </row>
    <row r="309" spans="1:8">
      <c r="A309" s="1239" t="s">
        <v>586</v>
      </c>
      <c r="B309" s="1238"/>
      <c r="C309" s="1238"/>
      <c r="D309" s="1238"/>
      <c r="E309" s="1238"/>
      <c r="F309" s="1238"/>
      <c r="G309" s="1238"/>
      <c r="H309" s="1238"/>
    </row>
    <row r="310" spans="1:8">
      <c r="A310" s="1239" t="s">
        <v>587</v>
      </c>
      <c r="B310" s="1238"/>
      <c r="C310" s="1238"/>
      <c r="D310" s="1238"/>
      <c r="E310" s="1238"/>
      <c r="F310" s="1238"/>
      <c r="G310" s="1238"/>
      <c r="H310" s="1238"/>
    </row>
    <row r="311" spans="1:8">
      <c r="A311" s="1239" t="s">
        <v>588</v>
      </c>
      <c r="B311" s="1238"/>
      <c r="C311" s="1238"/>
      <c r="D311" s="1238"/>
      <c r="E311" s="1238"/>
      <c r="F311" s="1238"/>
      <c r="G311" s="1238"/>
      <c r="H311" s="1238"/>
    </row>
    <row r="312" spans="1:8">
      <c r="A312" s="1239" t="s">
        <v>589</v>
      </c>
      <c r="B312" s="1238"/>
      <c r="C312" s="1238"/>
      <c r="D312" s="1238"/>
      <c r="E312" s="1238"/>
      <c r="F312" s="1238"/>
      <c r="G312" s="1238"/>
      <c r="H312" s="1238"/>
    </row>
    <row r="313" spans="1:8">
      <c r="A313" s="1239" t="s">
        <v>590</v>
      </c>
      <c r="B313" s="1238"/>
      <c r="C313" s="1238"/>
      <c r="D313" s="1238"/>
      <c r="E313" s="1238"/>
      <c r="F313" s="1238"/>
      <c r="G313" s="1238"/>
      <c r="H313" s="1238"/>
    </row>
    <row r="314" spans="1:8">
      <c r="A314" s="1239" t="s">
        <v>591</v>
      </c>
      <c r="B314" s="1238"/>
      <c r="C314" s="1238"/>
      <c r="D314" s="1238"/>
      <c r="E314" s="1238"/>
      <c r="F314" s="1238"/>
      <c r="G314" s="1238"/>
      <c r="H314" s="1238"/>
    </row>
    <row r="315" spans="1:8">
      <c r="A315" s="1239" t="s">
        <v>592</v>
      </c>
      <c r="B315" s="1238"/>
      <c r="C315" s="1238"/>
      <c r="D315" s="1238"/>
      <c r="E315" s="1238"/>
      <c r="F315" s="1238"/>
      <c r="G315" s="1238"/>
      <c r="H315" s="1238"/>
    </row>
    <row r="316" spans="1:8">
      <c r="A316" s="1239" t="s">
        <v>593</v>
      </c>
      <c r="B316" s="1238"/>
      <c r="C316" s="1238"/>
      <c r="D316" s="1238"/>
      <c r="E316" s="1238"/>
      <c r="F316" s="1238"/>
      <c r="G316" s="1238"/>
      <c r="H316" s="1238"/>
    </row>
    <row r="317" spans="1:8">
      <c r="A317" s="1239" t="s">
        <v>594</v>
      </c>
      <c r="B317" s="1238"/>
      <c r="C317" s="1238"/>
      <c r="D317" s="1238"/>
      <c r="E317" s="1238"/>
      <c r="F317" s="1238"/>
      <c r="G317" s="1238"/>
      <c r="H317" s="1238"/>
    </row>
    <row r="318" spans="1:8">
      <c r="A318" s="1238"/>
      <c r="B318" s="1238"/>
      <c r="C318" s="1238"/>
      <c r="D318" s="1238"/>
      <c r="E318" s="1238"/>
      <c r="F318" s="1238"/>
      <c r="G318" s="1238"/>
      <c r="H318" s="1238"/>
    </row>
    <row r="319" spans="1:8">
      <c r="A319" s="1239" t="s">
        <v>574</v>
      </c>
      <c r="B319" s="1238"/>
      <c r="C319" s="1238"/>
      <c r="D319" s="1238"/>
      <c r="E319" s="1238"/>
      <c r="F319" s="1238"/>
      <c r="G319" s="1238"/>
      <c r="H319" s="1238"/>
    </row>
    <row r="320" spans="1:8">
      <c r="A320" s="1239" t="s">
        <v>575</v>
      </c>
      <c r="B320" s="1238"/>
      <c r="C320" s="1238"/>
      <c r="D320" s="1238"/>
      <c r="E320" s="1238"/>
      <c r="F320" s="1238"/>
      <c r="G320" s="1238"/>
      <c r="H320" s="1238"/>
    </row>
    <row r="321" spans="1:8">
      <c r="A321" s="1239" t="s">
        <v>576</v>
      </c>
      <c r="B321" s="1238"/>
      <c r="C321" s="1238"/>
      <c r="D321" s="1238"/>
      <c r="E321" s="1238"/>
      <c r="F321" s="1238"/>
      <c r="G321" s="1238"/>
      <c r="H321" s="1238"/>
    </row>
    <row r="322" spans="1:8">
      <c r="A322" s="1239" t="s">
        <v>577</v>
      </c>
      <c r="B322" s="1238"/>
      <c r="C322" s="1238"/>
      <c r="D322" s="1238"/>
      <c r="E322" s="1238"/>
      <c r="F322" s="1238"/>
      <c r="G322" s="1238"/>
      <c r="H322" s="1238"/>
    </row>
    <row r="323" spans="1:8">
      <c r="A323" s="1239" t="s">
        <v>578</v>
      </c>
      <c r="B323" s="1238"/>
      <c r="C323" s="1238"/>
      <c r="D323" s="1238"/>
      <c r="E323" s="1238"/>
      <c r="F323" s="1238"/>
      <c r="G323" s="1238"/>
      <c r="H323" s="1238"/>
    </row>
    <row r="324" spans="1:8">
      <c r="A324" s="1239" t="s">
        <v>579</v>
      </c>
      <c r="B324" s="1238"/>
      <c r="C324" s="1238"/>
      <c r="D324" s="1238"/>
      <c r="E324" s="1238"/>
      <c r="F324" s="1238"/>
      <c r="G324" s="1238"/>
      <c r="H324" s="1238"/>
    </row>
    <row r="325" spans="1:8">
      <c r="A325" s="1239" t="s">
        <v>580</v>
      </c>
      <c r="B325" s="1238"/>
      <c r="C325" s="1238"/>
      <c r="D325" s="1238"/>
      <c r="E325" s="1238"/>
      <c r="F325" s="1238"/>
      <c r="G325" s="1238"/>
      <c r="H325" s="1238"/>
    </row>
    <row r="326" spans="1:8">
      <c r="A326" s="1239" t="s">
        <v>581</v>
      </c>
      <c r="B326" s="1238"/>
      <c r="C326" s="1238"/>
      <c r="D326" s="1238"/>
      <c r="E326" s="1238"/>
      <c r="F326" s="1238"/>
      <c r="G326" s="1238"/>
      <c r="H326" s="1238"/>
    </row>
    <row r="327" spans="1:8">
      <c r="A327" s="1238"/>
      <c r="B327" s="1238"/>
      <c r="C327" s="1238"/>
      <c r="D327" s="1238"/>
      <c r="E327" s="1238"/>
      <c r="F327" s="1238"/>
      <c r="G327" s="1238"/>
      <c r="H327" s="1238"/>
    </row>
    <row r="328" spans="1:8">
      <c r="A328" s="1239" t="s">
        <v>539</v>
      </c>
      <c r="B328" s="1238"/>
      <c r="C328" s="1238"/>
      <c r="D328" s="1238"/>
      <c r="E328" s="1238"/>
      <c r="F328" s="1238"/>
      <c r="G328" s="1238"/>
      <c r="H328" s="1238"/>
    </row>
    <row r="329" spans="1:8">
      <c r="A329" s="1239" t="s">
        <v>540</v>
      </c>
      <c r="B329" s="1238"/>
      <c r="C329" s="1238"/>
      <c r="D329" s="1238"/>
      <c r="E329" s="1238"/>
      <c r="F329" s="1238"/>
      <c r="G329" s="1238"/>
      <c r="H329" s="1238"/>
    </row>
    <row r="330" spans="1:8">
      <c r="A330" s="1239" t="s">
        <v>541</v>
      </c>
      <c r="B330" s="1238"/>
      <c r="C330" s="1238"/>
      <c r="D330" s="1238"/>
      <c r="E330" s="1238"/>
      <c r="F330" s="1238"/>
      <c r="G330" s="1238"/>
      <c r="H330" s="1238"/>
    </row>
    <row r="331" spans="1:8">
      <c r="A331" s="1239" t="s">
        <v>542</v>
      </c>
      <c r="B331" s="1238"/>
      <c r="C331" s="1238"/>
      <c r="D331" s="1238"/>
      <c r="E331" s="1238"/>
      <c r="F331" s="1238"/>
      <c r="G331" s="1238"/>
      <c r="H331" s="1238"/>
    </row>
    <row r="332" spans="1:8">
      <c r="A332" s="1239" t="s">
        <v>543</v>
      </c>
      <c r="B332" s="1238"/>
      <c r="C332" s="1238"/>
      <c r="D332" s="1238"/>
      <c r="E332" s="1238"/>
      <c r="F332" s="1238"/>
      <c r="G332" s="1238"/>
      <c r="H332" s="1238"/>
    </row>
    <row r="333" spans="1:8">
      <c r="A333" s="1239" t="s">
        <v>544</v>
      </c>
      <c r="B333" s="1238"/>
      <c r="C333" s="1238"/>
      <c r="D333" s="1238"/>
      <c r="E333" s="1238"/>
      <c r="F333" s="1238"/>
      <c r="G333" s="1238"/>
      <c r="H333" s="1238"/>
    </row>
    <row r="334" spans="1:8">
      <c r="A334" s="1239" t="s">
        <v>545</v>
      </c>
      <c r="B334" s="1238"/>
      <c r="C334" s="1238"/>
      <c r="D334" s="1238"/>
      <c r="E334" s="1238"/>
      <c r="F334" s="1238"/>
      <c r="G334" s="1238"/>
      <c r="H334" s="1238"/>
    </row>
    <row r="335" spans="1:8">
      <c r="A335" s="1239" t="s">
        <v>546</v>
      </c>
      <c r="B335" s="1238"/>
      <c r="C335" s="1238"/>
      <c r="D335" s="1238"/>
      <c r="E335" s="1238"/>
      <c r="F335" s="1238"/>
      <c r="G335" s="1238"/>
      <c r="H335" s="1238"/>
    </row>
    <row r="336" spans="1:8">
      <c r="A336" s="1239" t="s">
        <v>547</v>
      </c>
      <c r="B336" s="1238"/>
      <c r="C336" s="1238"/>
      <c r="D336" s="1238"/>
      <c r="E336" s="1238"/>
      <c r="F336" s="1238"/>
      <c r="G336" s="1238"/>
      <c r="H336" s="1238"/>
    </row>
    <row r="337" spans="1:8">
      <c r="A337" s="1239" t="s">
        <v>548</v>
      </c>
      <c r="B337" s="1238"/>
      <c r="C337" s="1238"/>
      <c r="D337" s="1238"/>
      <c r="E337" s="1238"/>
      <c r="F337" s="1238"/>
      <c r="G337" s="1238"/>
      <c r="H337" s="1238"/>
    </row>
    <row r="338" spans="1:8">
      <c r="A338" s="1239" t="s">
        <v>549</v>
      </c>
      <c r="B338" s="1238"/>
      <c r="C338" s="1238"/>
      <c r="D338" s="1238"/>
      <c r="E338" s="1238"/>
      <c r="F338" s="1238"/>
      <c r="G338" s="1238"/>
      <c r="H338" s="1238"/>
    </row>
    <row r="339" spans="1:8">
      <c r="A339" s="1239" t="s">
        <v>550</v>
      </c>
      <c r="B339" s="1238"/>
      <c r="C339" s="1238"/>
      <c r="D339" s="1238"/>
      <c r="E339" s="1238"/>
      <c r="F339" s="1238"/>
      <c r="G339" s="1238"/>
      <c r="H339" s="1238"/>
    </row>
    <row r="340" spans="1:8">
      <c r="A340" s="1239" t="s">
        <v>551</v>
      </c>
      <c r="B340" s="1238"/>
      <c r="C340" s="1238"/>
      <c r="D340" s="1238"/>
      <c r="E340" s="1238"/>
      <c r="F340" s="1238"/>
      <c r="G340" s="1238"/>
      <c r="H340" s="1238"/>
    </row>
    <row r="341" spans="1:8">
      <c r="A341" s="1239" t="s">
        <v>552</v>
      </c>
      <c r="B341" s="1238"/>
      <c r="C341" s="1238"/>
      <c r="D341" s="1238"/>
      <c r="E341" s="1238"/>
      <c r="F341" s="1238"/>
      <c r="G341" s="1238"/>
      <c r="H341" s="1238"/>
    </row>
    <row r="342" spans="1:8">
      <c r="A342" s="1239" t="s">
        <v>553</v>
      </c>
      <c r="B342" s="1238"/>
      <c r="C342" s="1238"/>
      <c r="D342" s="1238"/>
      <c r="E342" s="1238"/>
      <c r="F342" s="1238"/>
      <c r="G342" s="1238"/>
      <c r="H342" s="1238"/>
    </row>
    <row r="343" spans="1:8">
      <c r="A343" s="1239" t="s">
        <v>554</v>
      </c>
      <c r="B343" s="1238"/>
      <c r="C343" s="1238"/>
      <c r="D343" s="1238"/>
      <c r="E343" s="1238"/>
      <c r="F343" s="1238"/>
      <c r="G343" s="1238"/>
      <c r="H343" s="1238"/>
    </row>
    <row r="344" spans="1:8">
      <c r="A344" s="1239" t="s">
        <v>555</v>
      </c>
      <c r="B344" s="1238"/>
      <c r="C344" s="1238"/>
      <c r="D344" s="1238"/>
      <c r="E344" s="1238"/>
      <c r="F344" s="1238"/>
      <c r="G344" s="1238"/>
      <c r="H344" s="1238"/>
    </row>
    <row r="345" spans="1:8">
      <c r="A345" s="1239" t="s">
        <v>556</v>
      </c>
      <c r="B345" s="1238"/>
      <c r="C345" s="1238"/>
      <c r="D345" s="1238"/>
      <c r="E345" s="1238"/>
      <c r="F345" s="1238"/>
      <c r="G345" s="1238"/>
      <c r="H345" s="1238"/>
    </row>
    <row r="346" spans="1:8">
      <c r="A346" s="1239" t="s">
        <v>557</v>
      </c>
      <c r="B346" s="1238"/>
      <c r="C346" s="1238"/>
      <c r="D346" s="1238"/>
      <c r="E346" s="1238"/>
      <c r="F346" s="1238"/>
      <c r="G346" s="1238"/>
      <c r="H346" s="1238"/>
    </row>
    <row r="347" spans="1:8">
      <c r="A347" s="1239" t="s">
        <v>558</v>
      </c>
      <c r="B347" s="1238"/>
      <c r="C347" s="1238"/>
      <c r="D347" s="1238"/>
      <c r="E347" s="1238"/>
      <c r="F347" s="1238"/>
      <c r="G347" s="1238"/>
      <c r="H347" s="1238"/>
    </row>
    <row r="348" spans="1:8">
      <c r="A348" s="1239" t="s">
        <v>559</v>
      </c>
      <c r="B348" s="1238"/>
      <c r="C348" s="1238"/>
      <c r="D348" s="1238"/>
      <c r="E348" s="1238"/>
      <c r="F348" s="1238"/>
      <c r="G348" s="1238"/>
      <c r="H348" s="1238"/>
    </row>
    <row r="349" spans="1:8">
      <c r="A349" s="1239" t="s">
        <v>560</v>
      </c>
      <c r="B349" s="1238"/>
      <c r="C349" s="1238"/>
      <c r="D349" s="1238"/>
      <c r="E349" s="1238"/>
      <c r="F349" s="1238"/>
      <c r="G349" s="1238"/>
      <c r="H349" s="1238"/>
    </row>
    <row r="350" spans="1:8">
      <c r="A350" s="1239" t="s">
        <v>561</v>
      </c>
      <c r="B350" s="1238"/>
      <c r="C350" s="1238"/>
      <c r="D350" s="1238"/>
      <c r="E350" s="1238"/>
      <c r="F350" s="1238"/>
      <c r="G350" s="1238"/>
      <c r="H350" s="1238"/>
    </row>
    <row r="351" spans="1:8">
      <c r="A351" s="1239" t="s">
        <v>562</v>
      </c>
      <c r="B351" s="1238"/>
      <c r="C351" s="1238"/>
      <c r="D351" s="1238"/>
      <c r="E351" s="1238"/>
      <c r="F351" s="1238"/>
      <c r="G351" s="1238"/>
      <c r="H351" s="1238"/>
    </row>
    <row r="352" spans="1:8">
      <c r="A352" s="1239" t="s">
        <v>563</v>
      </c>
      <c r="B352" s="1238"/>
      <c r="C352" s="1238"/>
      <c r="D352" s="1238"/>
      <c r="E352" s="1238"/>
      <c r="F352" s="1238"/>
      <c r="G352" s="1238"/>
      <c r="H352" s="1238"/>
    </row>
    <row r="353" spans="1:8">
      <c r="A353" s="1239" t="s">
        <v>564</v>
      </c>
      <c r="B353" s="1238"/>
      <c r="C353" s="1238"/>
      <c r="D353" s="1238"/>
      <c r="E353" s="1238"/>
      <c r="F353" s="1238"/>
      <c r="G353" s="1238"/>
      <c r="H353" s="1238"/>
    </row>
    <row r="354" spans="1:8">
      <c r="A354" s="1239" t="s">
        <v>565</v>
      </c>
      <c r="B354" s="1238"/>
      <c r="C354" s="1238"/>
      <c r="D354" s="1238"/>
      <c r="E354" s="1238"/>
      <c r="F354" s="1238"/>
      <c r="G354" s="1238"/>
      <c r="H354" s="1238"/>
    </row>
    <row r="355" spans="1:8">
      <c r="A355" s="1239" t="s">
        <v>566</v>
      </c>
      <c r="B355" s="1238"/>
      <c r="C355" s="1238"/>
      <c r="D355" s="1238"/>
      <c r="E355" s="1238"/>
      <c r="F355" s="1238"/>
      <c r="G355" s="1238"/>
      <c r="H355" s="1238"/>
    </row>
    <row r="356" spans="1:8">
      <c r="A356" s="1239" t="s">
        <v>567</v>
      </c>
      <c r="B356" s="1238"/>
      <c r="C356" s="1238"/>
      <c r="D356" s="1238"/>
      <c r="E356" s="1238"/>
      <c r="F356" s="1238"/>
      <c r="G356" s="1238"/>
      <c r="H356" s="1238"/>
    </row>
    <row r="357" spans="1:8">
      <c r="A357" s="1239" t="s">
        <v>568</v>
      </c>
      <c r="B357" s="1238"/>
      <c r="C357" s="1238"/>
      <c r="D357" s="1238"/>
      <c r="E357" s="1238"/>
      <c r="F357" s="1238"/>
      <c r="G357" s="1238"/>
      <c r="H357" s="1238"/>
    </row>
    <row r="358" spans="1:8">
      <c r="A358" s="1239" t="s">
        <v>569</v>
      </c>
      <c r="B358" s="1238"/>
      <c r="C358" s="1238"/>
      <c r="D358" s="1238"/>
      <c r="E358" s="1238"/>
      <c r="F358" s="1238"/>
      <c r="G358" s="1238"/>
      <c r="H358" s="1238"/>
    </row>
    <row r="359" spans="1:8">
      <c r="A359" s="1239" t="s">
        <v>570</v>
      </c>
      <c r="B359" s="1238"/>
      <c r="C359" s="1238"/>
      <c r="D359" s="1238"/>
      <c r="E359" s="1238"/>
      <c r="F359" s="1238"/>
      <c r="G359" s="1238"/>
      <c r="H359" s="1238"/>
    </row>
    <row r="360" spans="1:8">
      <c r="A360" s="1239" t="s">
        <v>571</v>
      </c>
      <c r="B360" s="1238"/>
      <c r="C360" s="1238"/>
      <c r="D360" s="1238"/>
      <c r="E360" s="1238"/>
      <c r="F360" s="1238"/>
      <c r="G360" s="1238"/>
      <c r="H360" s="1238"/>
    </row>
    <row r="361" spans="1:8">
      <c r="A361" s="1239" t="s">
        <v>572</v>
      </c>
      <c r="B361" s="1238"/>
      <c r="C361" s="1238"/>
      <c r="D361" s="1238"/>
      <c r="E361" s="1238"/>
      <c r="F361" s="1238"/>
      <c r="G361" s="1238"/>
      <c r="H361" s="1238"/>
    </row>
    <row r="362" spans="1:8">
      <c r="A362" s="1239" t="s">
        <v>573</v>
      </c>
      <c r="B362" s="1238"/>
      <c r="C362" s="1238"/>
      <c r="D362" s="1238"/>
      <c r="E362" s="1238"/>
      <c r="F362" s="1238"/>
      <c r="G362" s="1238"/>
      <c r="H362" s="1238"/>
    </row>
    <row r="363" spans="1:8">
      <c r="A363" s="1238"/>
      <c r="B363" s="1238"/>
      <c r="C363" s="1238"/>
      <c r="D363" s="1238"/>
      <c r="E363" s="1238"/>
      <c r="F363" s="1238"/>
      <c r="G363" s="1238"/>
      <c r="H363" s="1238"/>
    </row>
    <row r="364" spans="1:8">
      <c r="A364" s="1239" t="s">
        <v>531</v>
      </c>
      <c r="B364" s="1238"/>
      <c r="C364" s="1238"/>
      <c r="D364" s="1238"/>
      <c r="E364" s="1238"/>
      <c r="F364" s="1238"/>
      <c r="G364" s="1238"/>
      <c r="H364" s="1238"/>
    </row>
    <row r="365" spans="1:8">
      <c r="A365" s="1239" t="s">
        <v>535</v>
      </c>
      <c r="B365" s="1238"/>
      <c r="C365" s="1238"/>
      <c r="D365" s="1238"/>
      <c r="E365" s="1238"/>
      <c r="F365" s="1238"/>
      <c r="G365" s="1238"/>
      <c r="H365" s="1238"/>
    </row>
    <row r="366" spans="1:8">
      <c r="A366" s="1239" t="s">
        <v>536</v>
      </c>
      <c r="B366" s="1238"/>
      <c r="C366" s="1238"/>
      <c r="D366" s="1238"/>
      <c r="E366" s="1238"/>
      <c r="F366" s="1238"/>
      <c r="G366" s="1238"/>
      <c r="H366" s="1238"/>
    </row>
    <row r="367" spans="1:8">
      <c r="A367" s="1239" t="s">
        <v>537</v>
      </c>
      <c r="B367" s="1238"/>
      <c r="C367" s="1238"/>
      <c r="D367" s="1238"/>
      <c r="E367" s="1238"/>
      <c r="F367" s="1238"/>
      <c r="G367" s="1238"/>
      <c r="H367" s="1238"/>
    </row>
    <row r="368" spans="1:8">
      <c r="A368" s="1239" t="s">
        <v>538</v>
      </c>
      <c r="B368" s="1238"/>
      <c r="C368" s="1238"/>
      <c r="D368" s="1238"/>
      <c r="E368" s="1238"/>
      <c r="F368" s="1238"/>
      <c r="G368" s="1238"/>
      <c r="H368" s="1238"/>
    </row>
    <row r="369" spans="1:8">
      <c r="A369" s="1238"/>
      <c r="B369" s="1238"/>
      <c r="C369" s="1238"/>
      <c r="D369" s="1238"/>
      <c r="E369" s="1238"/>
      <c r="F369" s="1238"/>
      <c r="G369" s="1238"/>
      <c r="H369" s="1238"/>
    </row>
    <row r="370" spans="1:8">
      <c r="A370" s="1239" t="s">
        <v>531</v>
      </c>
      <c r="B370" s="1238"/>
      <c r="C370" s="1238"/>
      <c r="D370" s="1238"/>
      <c r="E370" s="1238"/>
      <c r="F370" s="1238"/>
      <c r="G370" s="1238"/>
      <c r="H370" s="1238"/>
    </row>
    <row r="371" spans="1:8">
      <c r="A371" s="1239" t="s">
        <v>532</v>
      </c>
      <c r="B371" s="1238"/>
      <c r="C371" s="1238"/>
      <c r="D371" s="1238"/>
      <c r="E371" s="1238"/>
      <c r="F371" s="1238"/>
      <c r="G371" s="1238"/>
      <c r="H371" s="1238"/>
    </row>
    <row r="372" spans="1:8">
      <c r="A372" s="1239" t="s">
        <v>533</v>
      </c>
      <c r="B372" s="1238"/>
      <c r="C372" s="1238"/>
      <c r="D372" s="1238"/>
      <c r="E372" s="1238"/>
      <c r="F372" s="1238"/>
      <c r="G372" s="1238"/>
      <c r="H372" s="1238"/>
    </row>
    <row r="373" spans="1:8">
      <c r="A373" s="1239" t="s">
        <v>534</v>
      </c>
      <c r="B373" s="1238"/>
      <c r="C373" s="1238"/>
      <c r="D373" s="1238"/>
      <c r="E373" s="1238"/>
      <c r="F373" s="1238"/>
      <c r="G373" s="1238"/>
      <c r="H373" s="1238"/>
    </row>
    <row r="374" spans="1:8">
      <c r="A374" s="1238"/>
      <c r="B374" s="1238"/>
      <c r="C374" s="1238"/>
      <c r="D374" s="1238"/>
      <c r="E374" s="1238"/>
      <c r="F374" s="1238"/>
      <c r="G374" s="1238"/>
      <c r="H374" s="1238"/>
    </row>
    <row r="375" spans="1:8">
      <c r="A375" s="1239" t="s">
        <v>525</v>
      </c>
      <c r="B375" s="1238"/>
      <c r="C375" s="1238"/>
      <c r="D375" s="1238"/>
      <c r="E375" s="1238"/>
      <c r="F375" s="1238"/>
      <c r="G375" s="1238"/>
      <c r="H375" s="1238"/>
    </row>
    <row r="376" spans="1:8">
      <c r="A376" s="1239" t="s">
        <v>526</v>
      </c>
      <c r="B376" s="1238"/>
      <c r="C376" s="1238"/>
      <c r="D376" s="1238"/>
      <c r="E376" s="1238"/>
      <c r="F376" s="1238"/>
      <c r="G376" s="1238"/>
      <c r="H376" s="1238"/>
    </row>
    <row r="377" spans="1:8">
      <c r="A377" s="1239" t="s">
        <v>527</v>
      </c>
      <c r="B377" s="1238"/>
      <c r="C377" s="1238"/>
      <c r="D377" s="1238"/>
      <c r="E377" s="1238"/>
      <c r="F377" s="1238"/>
      <c r="G377" s="1238"/>
      <c r="H377" s="1238"/>
    </row>
    <row r="378" spans="1:8">
      <c r="A378" s="1239" t="s">
        <v>528</v>
      </c>
      <c r="B378" s="1238"/>
      <c r="C378" s="1238"/>
      <c r="D378" s="1238"/>
      <c r="E378" s="1238"/>
      <c r="F378" s="1238"/>
      <c r="G378" s="1238"/>
      <c r="H378" s="1238"/>
    </row>
    <row r="379" spans="1:8">
      <c r="A379" s="1239" t="s">
        <v>529</v>
      </c>
      <c r="B379" s="1238"/>
      <c r="C379" s="1238"/>
      <c r="D379" s="1238"/>
      <c r="E379" s="1238"/>
      <c r="F379" s="1238"/>
      <c r="G379" s="1238"/>
      <c r="H379" s="1238"/>
    </row>
    <row r="380" spans="1:8">
      <c r="A380" s="1239" t="s">
        <v>530</v>
      </c>
      <c r="B380" s="1238"/>
      <c r="C380" s="1238"/>
      <c r="D380" s="1238"/>
      <c r="E380" s="1238"/>
      <c r="F380" s="1238"/>
      <c r="G380" s="1238"/>
      <c r="H380" s="1238"/>
    </row>
    <row r="381" spans="1:8">
      <c r="A381" s="1238"/>
      <c r="B381" s="1238"/>
      <c r="C381" s="1238"/>
      <c r="D381" s="1238"/>
      <c r="E381" s="1238"/>
      <c r="F381" s="1238"/>
      <c r="G381" s="1238"/>
      <c r="H381" s="1238"/>
    </row>
    <row r="382" spans="1:8">
      <c r="A382" s="1239" t="s">
        <v>520</v>
      </c>
      <c r="B382" s="1238"/>
      <c r="C382" s="1238"/>
      <c r="D382" s="1238"/>
      <c r="E382" s="1238"/>
      <c r="F382" s="1238"/>
      <c r="G382" s="1238"/>
      <c r="H382" s="1238"/>
    </row>
    <row r="383" spans="1:8">
      <c r="A383" s="1239" t="s">
        <v>521</v>
      </c>
      <c r="B383" s="1238"/>
      <c r="C383" s="1238"/>
      <c r="D383" s="1238"/>
      <c r="E383" s="1238"/>
      <c r="F383" s="1238"/>
      <c r="G383" s="1238"/>
      <c r="H383" s="1238"/>
    </row>
    <row r="384" spans="1:8">
      <c r="A384" s="1239" t="s">
        <v>522</v>
      </c>
      <c r="B384" s="1238"/>
      <c r="C384" s="1238"/>
      <c r="D384" s="1238"/>
      <c r="E384" s="1238"/>
      <c r="F384" s="1238"/>
      <c r="G384" s="1238"/>
      <c r="H384" s="1238"/>
    </row>
    <row r="385" spans="1:8">
      <c r="A385" s="1239" t="s">
        <v>523</v>
      </c>
      <c r="B385" s="1238"/>
      <c r="C385" s="1238"/>
      <c r="D385" s="1238"/>
      <c r="E385" s="1238"/>
      <c r="F385" s="1238"/>
      <c r="G385" s="1238"/>
      <c r="H385" s="1238"/>
    </row>
    <row r="386" spans="1:8">
      <c r="A386" s="1239" t="s">
        <v>524</v>
      </c>
      <c r="B386" s="1238"/>
      <c r="C386" s="1238"/>
      <c r="D386" s="1238"/>
      <c r="E386" s="1238"/>
      <c r="F386" s="1238"/>
      <c r="G386" s="1238"/>
      <c r="H386" s="1238"/>
    </row>
    <row r="387" spans="1:8">
      <c r="A387" s="1238"/>
      <c r="B387" s="1238"/>
      <c r="C387" s="1238"/>
      <c r="D387" s="1238"/>
      <c r="E387" s="1238"/>
      <c r="F387" s="1238"/>
      <c r="G387" s="1238"/>
      <c r="H387" s="1238"/>
    </row>
    <row r="388" spans="1:8">
      <c r="A388" s="1239" t="s">
        <v>518</v>
      </c>
      <c r="B388" s="1238"/>
      <c r="C388" s="1238"/>
      <c r="D388" s="1238"/>
      <c r="E388" s="1238"/>
      <c r="F388" s="1238"/>
      <c r="G388" s="1238"/>
      <c r="H388" s="1238"/>
    </row>
    <row r="389" spans="1:8">
      <c r="A389" s="1239" t="s">
        <v>519</v>
      </c>
      <c r="B389" s="1238"/>
      <c r="C389" s="1238"/>
      <c r="D389" s="1238"/>
      <c r="E389" s="1238"/>
      <c r="F389" s="1238"/>
      <c r="G389" s="1238"/>
      <c r="H389" s="1238"/>
    </row>
    <row r="391" spans="1:8">
      <c r="A391" s="1234" t="s">
        <v>774</v>
      </c>
    </row>
  </sheetData>
  <mergeCells count="12">
    <mergeCell ref="A129:H129"/>
    <mergeCell ref="A130:H130"/>
    <mergeCell ref="B122:C122"/>
    <mergeCell ref="D122:F122"/>
    <mergeCell ref="G122:H122"/>
    <mergeCell ref="A108:H108"/>
    <mergeCell ref="A109:H109"/>
    <mergeCell ref="A110:H110"/>
    <mergeCell ref="A111:H111"/>
    <mergeCell ref="A113:H113"/>
    <mergeCell ref="A114:H114"/>
    <mergeCell ref="A121:H121"/>
  </mergeCells>
  <pageMargins left="0.5" right="0.5" top="0.5" bottom="0.5" header="0.5" footer="0.5"/>
  <pageSetup orientation="portrait" horizontalDpi="300" verticalDpi="0" r:id="rId1"/>
  <headerFooter alignWithMargins="0"/>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A2:IV62"/>
  <sheetViews>
    <sheetView zoomScale="85" zoomScaleNormal="85" workbookViewId="0">
      <selection activeCell="E13" sqref="E13"/>
    </sheetView>
  </sheetViews>
  <sheetFormatPr defaultColWidth="10.5703125" defaultRowHeight="15"/>
  <cols>
    <col min="1" max="1" width="2.7109375" style="129" customWidth="1"/>
    <col min="2" max="15" width="10.5703125" style="129" customWidth="1"/>
    <col min="16" max="16" width="3.5703125" style="129" customWidth="1"/>
    <col min="17" max="21" width="9.140625" style="129" customWidth="1"/>
    <col min="22" max="22" width="9.140625" style="131" customWidth="1"/>
    <col min="23" max="242" width="9.140625" style="129" customWidth="1"/>
    <col min="243" max="243" width="2.7109375" style="129" customWidth="1"/>
    <col min="244" max="16384" width="10.5703125" style="129"/>
  </cols>
  <sheetData>
    <row r="2" spans="1:256">
      <c r="A2" s="128"/>
      <c r="B2" s="3" t="s">
        <v>244</v>
      </c>
      <c r="D2" s="130"/>
      <c r="E2" s="130"/>
      <c r="F2" s="130"/>
      <c r="G2" s="130"/>
      <c r="H2" s="130"/>
      <c r="I2" s="130"/>
      <c r="J2" s="130"/>
      <c r="K2" s="130"/>
      <c r="L2" s="130"/>
      <c r="M2" s="130"/>
      <c r="N2" s="130"/>
      <c r="O2" s="130"/>
    </row>
    <row r="3" spans="1:256">
      <c r="A3" s="128"/>
      <c r="B3" s="132" t="s">
        <v>265</v>
      </c>
      <c r="D3" s="130"/>
      <c r="E3" s="130"/>
      <c r="F3" s="130"/>
      <c r="G3" s="130"/>
      <c r="H3" s="130"/>
      <c r="I3" s="130"/>
      <c r="J3" s="130"/>
      <c r="K3" s="130"/>
      <c r="L3" s="130"/>
      <c r="M3" s="130"/>
      <c r="N3" s="130"/>
      <c r="O3" s="130"/>
    </row>
    <row r="4" spans="1:256" ht="15.75" thickBot="1">
      <c r="A4" s="133"/>
      <c r="B4" s="133"/>
      <c r="C4" s="133"/>
      <c r="D4" s="130"/>
      <c r="E4" s="130"/>
      <c r="F4" s="130"/>
      <c r="G4" s="130"/>
      <c r="H4" s="130"/>
      <c r="I4" s="130"/>
      <c r="J4" s="130"/>
      <c r="K4" s="130"/>
      <c r="L4" s="130"/>
      <c r="M4" s="130"/>
      <c r="N4" s="130"/>
      <c r="O4" s="130"/>
    </row>
    <row r="5" spans="1:256" ht="15.75" thickBot="1">
      <c r="A5" s="133"/>
      <c r="B5" s="134" t="s">
        <v>171</v>
      </c>
      <c r="C5" s="135"/>
      <c r="D5" s="136"/>
      <c r="E5" s="137">
        <v>39</v>
      </c>
      <c r="F5" s="138"/>
      <c r="G5" s="134" t="s">
        <v>172</v>
      </c>
      <c r="H5" s="135"/>
      <c r="I5" s="136"/>
      <c r="J5" s="137">
        <v>61</v>
      </c>
      <c r="K5" s="138"/>
      <c r="L5" s="134" t="s">
        <v>170</v>
      </c>
      <c r="M5" s="135"/>
      <c r="N5" s="136"/>
      <c r="O5" s="137">
        <v>67</v>
      </c>
    </row>
    <row r="6" spans="1:256">
      <c r="A6" s="139"/>
      <c r="B6" s="140" t="s">
        <v>266</v>
      </c>
      <c r="C6" s="139"/>
      <c r="D6" s="141"/>
      <c r="E6" s="141">
        <f>E5/$E$12-1</f>
        <v>-0.26415094339622647</v>
      </c>
      <c r="F6" s="141"/>
      <c r="G6" s="140" t="s">
        <v>266</v>
      </c>
      <c r="H6" s="139"/>
      <c r="I6" s="141"/>
      <c r="J6" s="141">
        <f>J5/$E$12-1</f>
        <v>0.15094339622641506</v>
      </c>
      <c r="K6" s="141"/>
      <c r="L6" s="140" t="s">
        <v>266</v>
      </c>
      <c r="M6" s="139"/>
      <c r="N6" s="141"/>
      <c r="O6" s="141">
        <f>O5/$E$12-1</f>
        <v>0.26415094339622636</v>
      </c>
      <c r="P6" s="140"/>
      <c r="Q6" s="140"/>
      <c r="R6" s="140"/>
      <c r="S6" s="140"/>
      <c r="T6" s="140"/>
      <c r="U6" s="140"/>
      <c r="W6" s="140"/>
      <c r="X6" s="140"/>
      <c r="Y6" s="140"/>
      <c r="Z6" s="140"/>
      <c r="AA6" s="140"/>
      <c r="AB6" s="140"/>
      <c r="AC6" s="140"/>
      <c r="AD6" s="140"/>
      <c r="AE6" s="140"/>
      <c r="AF6" s="140"/>
      <c r="AG6" s="140"/>
      <c r="AH6" s="140"/>
      <c r="AI6" s="140"/>
      <c r="AJ6" s="140"/>
      <c r="AK6" s="140"/>
      <c r="AL6" s="140"/>
      <c r="AM6" s="140"/>
      <c r="AN6" s="140"/>
      <c r="AO6" s="140"/>
      <c r="AP6" s="140"/>
      <c r="AQ6" s="140"/>
      <c r="AR6" s="140"/>
      <c r="AS6" s="140"/>
      <c r="AT6" s="140"/>
      <c r="AU6" s="140"/>
      <c r="AV6" s="140"/>
      <c r="AW6" s="140"/>
      <c r="AX6" s="140"/>
      <c r="AY6" s="140"/>
      <c r="AZ6" s="140"/>
      <c r="BA6" s="140"/>
      <c r="BB6" s="140"/>
      <c r="BC6" s="140"/>
      <c r="BD6" s="140"/>
      <c r="BE6" s="140"/>
      <c r="BF6" s="140"/>
      <c r="BG6" s="140"/>
      <c r="BH6" s="140"/>
      <c r="BI6" s="140"/>
      <c r="BJ6" s="140"/>
      <c r="BK6" s="140"/>
      <c r="BL6" s="140"/>
      <c r="BM6" s="140"/>
      <c r="BN6" s="140"/>
      <c r="BO6" s="140"/>
      <c r="BP6" s="140"/>
      <c r="BQ6" s="140"/>
      <c r="BR6" s="140"/>
      <c r="BS6" s="140"/>
      <c r="BT6" s="140"/>
      <c r="BU6" s="140"/>
      <c r="BV6" s="140"/>
      <c r="BW6" s="140"/>
      <c r="BX6" s="140"/>
      <c r="BY6" s="140"/>
      <c r="BZ6" s="140"/>
      <c r="CA6" s="140"/>
      <c r="CB6" s="140"/>
      <c r="CC6" s="140"/>
      <c r="CD6" s="140"/>
      <c r="CE6" s="140"/>
      <c r="CF6" s="140"/>
      <c r="CG6" s="140"/>
      <c r="CH6" s="140"/>
      <c r="CI6" s="140"/>
      <c r="CJ6" s="140"/>
      <c r="CK6" s="140"/>
      <c r="CL6" s="140"/>
      <c r="CM6" s="140"/>
      <c r="CN6" s="140"/>
      <c r="CO6" s="140"/>
      <c r="CP6" s="140"/>
      <c r="CQ6" s="140"/>
      <c r="CR6" s="140"/>
      <c r="CS6" s="140"/>
      <c r="CT6" s="140"/>
      <c r="CU6" s="140"/>
      <c r="CV6" s="140"/>
      <c r="CW6" s="140"/>
      <c r="CX6" s="140"/>
      <c r="CY6" s="140"/>
      <c r="CZ6" s="140"/>
      <c r="DA6" s="140"/>
      <c r="DB6" s="140"/>
      <c r="DC6" s="140"/>
      <c r="DD6" s="140"/>
      <c r="DE6" s="140"/>
      <c r="DF6" s="140"/>
      <c r="DG6" s="140"/>
      <c r="DH6" s="140"/>
      <c r="DI6" s="140"/>
      <c r="DJ6" s="140"/>
      <c r="DK6" s="140"/>
      <c r="DL6" s="140"/>
      <c r="DM6" s="140"/>
      <c r="DN6" s="140"/>
      <c r="DO6" s="140"/>
      <c r="DP6" s="140"/>
      <c r="DQ6" s="140"/>
      <c r="DR6" s="140"/>
      <c r="DS6" s="140"/>
      <c r="DT6" s="140"/>
      <c r="DU6" s="140"/>
      <c r="DV6" s="140"/>
      <c r="DW6" s="140"/>
      <c r="DX6" s="140"/>
      <c r="DY6" s="140"/>
      <c r="DZ6" s="140"/>
      <c r="EA6" s="140"/>
      <c r="EB6" s="140"/>
      <c r="EC6" s="140"/>
      <c r="ED6" s="140"/>
      <c r="EE6" s="140"/>
      <c r="EF6" s="140"/>
      <c r="EG6" s="140"/>
      <c r="EH6" s="140"/>
      <c r="EI6" s="140"/>
      <c r="EJ6" s="140"/>
      <c r="EK6" s="140"/>
      <c r="EL6" s="140"/>
      <c r="EM6" s="140"/>
      <c r="EN6" s="140"/>
      <c r="EO6" s="140"/>
      <c r="EP6" s="140"/>
      <c r="EQ6" s="140"/>
      <c r="ER6" s="140"/>
      <c r="ES6" s="140"/>
      <c r="ET6" s="140"/>
      <c r="EU6" s="140"/>
      <c r="EV6" s="140"/>
      <c r="EW6" s="140"/>
      <c r="EX6" s="140"/>
      <c r="EY6" s="140"/>
      <c r="EZ6" s="140"/>
      <c r="FA6" s="140"/>
      <c r="FB6" s="140"/>
      <c r="FC6" s="140"/>
      <c r="FD6" s="140"/>
      <c r="FE6" s="140"/>
      <c r="FF6" s="140"/>
      <c r="FG6" s="140"/>
      <c r="FH6" s="140"/>
      <c r="FI6" s="140"/>
      <c r="FJ6" s="140"/>
      <c r="FK6" s="140"/>
      <c r="FL6" s="140"/>
      <c r="FM6" s="140"/>
      <c r="FN6" s="140"/>
      <c r="FO6" s="140"/>
      <c r="FP6" s="140"/>
      <c r="FQ6" s="140"/>
      <c r="FR6" s="140"/>
      <c r="FS6" s="140"/>
      <c r="FT6" s="140"/>
      <c r="FU6" s="140"/>
      <c r="FV6" s="140"/>
      <c r="FW6" s="140"/>
      <c r="FX6" s="140"/>
      <c r="FY6" s="140"/>
      <c r="FZ6" s="140"/>
      <c r="GA6" s="140"/>
      <c r="GB6" s="140"/>
      <c r="GC6" s="140"/>
      <c r="GD6" s="140"/>
      <c r="GE6" s="140"/>
      <c r="GF6" s="140"/>
      <c r="GG6" s="140"/>
      <c r="GH6" s="140"/>
      <c r="GI6" s="140"/>
      <c r="GJ6" s="140"/>
      <c r="GK6" s="140"/>
      <c r="GL6" s="140"/>
      <c r="GM6" s="140"/>
      <c r="GN6" s="140"/>
      <c r="GO6" s="140"/>
      <c r="GP6" s="140"/>
      <c r="GQ6" s="140"/>
      <c r="GR6" s="140"/>
      <c r="GS6" s="140"/>
      <c r="GT6" s="140"/>
      <c r="GU6" s="140"/>
      <c r="GV6" s="140"/>
      <c r="GW6" s="140"/>
      <c r="GX6" s="140"/>
      <c r="GY6" s="140"/>
      <c r="GZ6" s="140"/>
      <c r="HA6" s="140"/>
      <c r="HB6" s="140"/>
      <c r="HC6" s="140"/>
      <c r="HD6" s="140"/>
      <c r="HE6" s="140"/>
      <c r="HF6" s="140"/>
      <c r="HG6" s="140"/>
      <c r="HH6" s="140"/>
      <c r="HI6" s="140"/>
      <c r="HJ6" s="140"/>
      <c r="HK6" s="140"/>
      <c r="HL6" s="140"/>
      <c r="HM6" s="140"/>
      <c r="HN6" s="140"/>
      <c r="HO6" s="140"/>
      <c r="HP6" s="140"/>
      <c r="HQ6" s="140"/>
      <c r="HR6" s="140"/>
      <c r="HS6" s="140"/>
      <c r="HT6" s="140"/>
      <c r="HU6" s="140"/>
      <c r="HV6" s="140"/>
      <c r="HW6" s="140"/>
      <c r="HX6" s="140"/>
      <c r="HY6" s="140"/>
      <c r="HZ6" s="140"/>
      <c r="IA6" s="140"/>
      <c r="IB6" s="140"/>
      <c r="IC6" s="140"/>
      <c r="ID6" s="140"/>
      <c r="IE6" s="140"/>
      <c r="IF6" s="140"/>
      <c r="IG6" s="140"/>
      <c r="IH6" s="140"/>
      <c r="II6" s="140"/>
      <c r="IJ6" s="140"/>
      <c r="IK6" s="140"/>
      <c r="IL6" s="140"/>
      <c r="IM6" s="140"/>
      <c r="IN6" s="140"/>
      <c r="IO6" s="140"/>
      <c r="IP6" s="140"/>
      <c r="IQ6" s="140"/>
      <c r="IR6" s="140"/>
      <c r="IS6" s="140"/>
      <c r="IT6" s="140"/>
      <c r="IU6" s="140"/>
      <c r="IV6" s="140"/>
    </row>
    <row r="7" spans="1:256">
      <c r="A7" s="133"/>
      <c r="B7" s="133"/>
      <c r="C7" s="133"/>
      <c r="D7" s="130"/>
      <c r="E7" s="130"/>
      <c r="F7" s="130"/>
      <c r="G7" s="130"/>
      <c r="H7" s="130"/>
      <c r="I7" s="130"/>
      <c r="J7" s="130"/>
      <c r="K7" s="130"/>
      <c r="L7" s="130"/>
      <c r="M7" s="130"/>
      <c r="N7" s="130"/>
      <c r="O7" s="130"/>
    </row>
    <row r="8" spans="1:256">
      <c r="A8" s="133"/>
      <c r="B8" s="142" t="s">
        <v>267</v>
      </c>
      <c r="C8" s="143"/>
      <c r="D8" s="144"/>
      <c r="E8" s="144"/>
      <c r="F8" s="144"/>
      <c r="G8" s="144"/>
      <c r="H8" s="144"/>
      <c r="I8" s="144"/>
      <c r="J8" s="144"/>
      <c r="K8" s="144"/>
      <c r="L8" s="144"/>
      <c r="M8" s="144"/>
      <c r="N8" s="144"/>
      <c r="O8" s="144"/>
    </row>
    <row r="9" spans="1:256">
      <c r="M9" s="145"/>
    </row>
    <row r="10" spans="1:256">
      <c r="E10" s="146" t="s">
        <v>260</v>
      </c>
      <c r="F10" s="146">
        <v>2017</v>
      </c>
      <c r="G10" s="146" t="s">
        <v>268</v>
      </c>
      <c r="H10" s="147"/>
      <c r="I10" s="147"/>
      <c r="J10" s="148"/>
      <c r="K10" s="149" t="s">
        <v>269</v>
      </c>
      <c r="L10" s="146"/>
      <c r="M10" s="1175" t="s">
        <v>466</v>
      </c>
      <c r="N10" s="150" t="str">
        <f>B41</f>
        <v>2018e</v>
      </c>
      <c r="O10" s="150" t="str">
        <f>B42</f>
        <v>2019e</v>
      </c>
    </row>
    <row r="11" spans="1:256">
      <c r="H11" s="151"/>
      <c r="I11" s="151"/>
    </row>
    <row r="12" spans="1:256" ht="15.75" thickBot="1">
      <c r="A12" s="152"/>
      <c r="B12" s="129" t="s">
        <v>175</v>
      </c>
      <c r="E12" s="153">
        <v>53</v>
      </c>
      <c r="F12" s="154">
        <f>E12</f>
        <v>53</v>
      </c>
      <c r="G12" s="154">
        <f>F12</f>
        <v>53</v>
      </c>
      <c r="H12" s="155"/>
      <c r="I12" s="155"/>
      <c r="K12" s="152" t="s">
        <v>270</v>
      </c>
      <c r="L12" s="152"/>
      <c r="M12" s="152"/>
      <c r="N12" s="152"/>
      <c r="O12" s="152"/>
      <c r="P12" s="152"/>
      <c r="Q12" s="152"/>
      <c r="R12" s="152"/>
      <c r="S12" s="152"/>
      <c r="T12" s="152"/>
      <c r="U12" s="152"/>
      <c r="V12" s="156"/>
      <c r="W12" s="152"/>
      <c r="X12" s="152"/>
      <c r="Y12" s="152"/>
      <c r="Z12" s="152"/>
      <c r="AA12" s="152"/>
      <c r="AB12" s="152"/>
      <c r="AC12" s="152"/>
      <c r="AD12" s="152"/>
      <c r="AE12" s="152"/>
      <c r="AF12" s="152"/>
      <c r="AG12" s="152"/>
      <c r="AH12" s="152"/>
      <c r="AI12" s="152"/>
      <c r="AJ12" s="152"/>
      <c r="AK12" s="152"/>
      <c r="AL12" s="152"/>
      <c r="AM12" s="152"/>
      <c r="AN12" s="152"/>
      <c r="AO12" s="152"/>
      <c r="AP12" s="152"/>
      <c r="AQ12" s="152"/>
      <c r="AR12" s="152"/>
      <c r="AS12" s="152"/>
      <c r="AT12" s="152"/>
      <c r="AU12" s="152"/>
      <c r="AV12" s="152"/>
      <c r="AW12" s="152"/>
      <c r="AX12" s="152"/>
      <c r="AY12" s="152"/>
      <c r="AZ12" s="152"/>
      <c r="BA12" s="152"/>
      <c r="BB12" s="152"/>
      <c r="BC12" s="152"/>
      <c r="BD12" s="152"/>
      <c r="BE12" s="152"/>
      <c r="BF12" s="152"/>
      <c r="BG12" s="152"/>
      <c r="BH12" s="152"/>
      <c r="BI12" s="152"/>
      <c r="BJ12" s="152"/>
      <c r="BK12" s="152"/>
      <c r="BL12" s="152"/>
      <c r="BM12" s="152"/>
      <c r="BN12" s="152"/>
      <c r="BO12" s="152"/>
      <c r="BP12" s="152"/>
      <c r="BQ12" s="152"/>
      <c r="BR12" s="152"/>
      <c r="BS12" s="152"/>
      <c r="BT12" s="152"/>
      <c r="BU12" s="152"/>
      <c r="BV12" s="152"/>
      <c r="BW12" s="152"/>
      <c r="BX12" s="152"/>
      <c r="BY12" s="152"/>
      <c r="BZ12" s="152"/>
      <c r="CA12" s="152"/>
      <c r="CB12" s="152"/>
      <c r="CC12" s="152"/>
      <c r="CD12" s="152"/>
      <c r="CE12" s="152"/>
      <c r="CF12" s="152"/>
      <c r="CG12" s="152"/>
      <c r="CH12" s="152"/>
      <c r="CI12" s="152"/>
      <c r="CJ12" s="152"/>
      <c r="CK12" s="152"/>
      <c r="CL12" s="152"/>
      <c r="CM12" s="152"/>
      <c r="CN12" s="152"/>
      <c r="CO12" s="152"/>
      <c r="CP12" s="152"/>
      <c r="CQ12" s="152"/>
      <c r="CR12" s="152"/>
      <c r="CS12" s="152"/>
      <c r="CT12" s="152"/>
      <c r="CU12" s="152"/>
      <c r="CV12" s="152"/>
      <c r="CW12" s="152"/>
      <c r="CX12" s="152"/>
      <c r="CY12" s="152"/>
      <c r="CZ12" s="152"/>
      <c r="DA12" s="152"/>
      <c r="DB12" s="152"/>
      <c r="DC12" s="152"/>
      <c r="DD12" s="152"/>
      <c r="DE12" s="152"/>
      <c r="DF12" s="152"/>
      <c r="DG12" s="152"/>
      <c r="DH12" s="152"/>
      <c r="DI12" s="152"/>
      <c r="DJ12" s="152"/>
      <c r="DK12" s="152"/>
      <c r="DL12" s="152"/>
      <c r="DM12" s="152"/>
      <c r="DN12" s="152"/>
      <c r="DO12" s="152"/>
      <c r="DP12" s="152"/>
      <c r="DQ12" s="152"/>
      <c r="DR12" s="152"/>
      <c r="DS12" s="152"/>
      <c r="DT12" s="152"/>
      <c r="DU12" s="152"/>
      <c r="DV12" s="152"/>
      <c r="DW12" s="152"/>
      <c r="DX12" s="152"/>
      <c r="DY12" s="152"/>
      <c r="DZ12" s="152"/>
      <c r="EA12" s="152"/>
      <c r="EB12" s="152"/>
      <c r="EC12" s="152"/>
      <c r="ED12" s="152"/>
      <c r="EE12" s="152"/>
      <c r="EF12" s="152"/>
      <c r="EG12" s="152"/>
      <c r="EH12" s="152"/>
      <c r="EI12" s="152"/>
      <c r="EJ12" s="152"/>
      <c r="EK12" s="152"/>
      <c r="EL12" s="152"/>
      <c r="EM12" s="152"/>
      <c r="EN12" s="152"/>
      <c r="EO12" s="152"/>
      <c r="EP12" s="152"/>
      <c r="EQ12" s="152"/>
      <c r="ER12" s="152"/>
      <c r="ES12" s="152"/>
      <c r="ET12" s="152"/>
      <c r="EU12" s="152"/>
      <c r="EV12" s="152"/>
      <c r="EW12" s="152"/>
      <c r="EX12" s="152"/>
      <c r="EY12" s="152"/>
      <c r="EZ12" s="152"/>
      <c r="FA12" s="152"/>
      <c r="FB12" s="152"/>
      <c r="FC12" s="152"/>
      <c r="FD12" s="152"/>
      <c r="FE12" s="152"/>
      <c r="FF12" s="152"/>
      <c r="FG12" s="152"/>
      <c r="FH12" s="152"/>
      <c r="FI12" s="152"/>
      <c r="FJ12" s="152"/>
      <c r="FK12" s="152"/>
      <c r="FL12" s="152"/>
      <c r="FM12" s="152"/>
      <c r="FN12" s="152"/>
      <c r="FO12" s="152"/>
      <c r="FP12" s="152"/>
      <c r="FQ12" s="152"/>
      <c r="FR12" s="152"/>
      <c r="FS12" s="152"/>
      <c r="FT12" s="152"/>
      <c r="FU12" s="152"/>
      <c r="FV12" s="152"/>
      <c r="FW12" s="152"/>
      <c r="FX12" s="152"/>
      <c r="FY12" s="152"/>
      <c r="FZ12" s="152"/>
      <c r="GA12" s="152"/>
      <c r="GB12" s="152"/>
      <c r="GC12" s="152"/>
      <c r="GD12" s="152"/>
      <c r="GE12" s="152"/>
      <c r="GF12" s="152"/>
      <c r="GG12" s="152"/>
      <c r="GH12" s="152"/>
      <c r="GI12" s="152"/>
      <c r="GJ12" s="152"/>
      <c r="GK12" s="152"/>
      <c r="GL12" s="152"/>
      <c r="GM12" s="152"/>
      <c r="GN12" s="152"/>
      <c r="GO12" s="152"/>
      <c r="GP12" s="152"/>
      <c r="GQ12" s="152"/>
      <c r="GR12" s="152"/>
      <c r="GS12" s="152"/>
      <c r="GT12" s="152"/>
      <c r="GU12" s="152"/>
      <c r="GV12" s="152"/>
      <c r="GW12" s="152"/>
      <c r="GX12" s="152"/>
      <c r="GY12" s="152"/>
      <c r="GZ12" s="152"/>
      <c r="HA12" s="152"/>
      <c r="HB12" s="152"/>
      <c r="HC12" s="152"/>
      <c r="HD12" s="152"/>
      <c r="HE12" s="152"/>
      <c r="HF12" s="152"/>
      <c r="HG12" s="152"/>
      <c r="HH12" s="152"/>
      <c r="HI12" s="152"/>
      <c r="HJ12" s="152"/>
      <c r="HK12" s="152"/>
      <c r="HL12" s="152"/>
      <c r="HM12" s="152"/>
      <c r="HN12" s="152"/>
      <c r="HO12" s="152"/>
      <c r="HP12" s="152"/>
      <c r="HQ12" s="152"/>
      <c r="HR12" s="152"/>
      <c r="HS12" s="152"/>
      <c r="HT12" s="152"/>
      <c r="HU12" s="152"/>
      <c r="HV12" s="152"/>
      <c r="HW12" s="152"/>
      <c r="HX12" s="152"/>
      <c r="HY12" s="152"/>
      <c r="HZ12" s="152"/>
      <c r="IA12" s="152"/>
      <c r="IB12" s="152"/>
      <c r="IC12" s="152"/>
      <c r="ID12" s="152"/>
      <c r="IE12" s="152"/>
      <c r="IF12" s="152"/>
      <c r="IG12" s="152"/>
      <c r="IH12" s="152"/>
      <c r="II12" s="152"/>
      <c r="IJ12" s="152"/>
      <c r="IK12" s="152"/>
      <c r="IL12" s="152"/>
      <c r="IM12" s="152"/>
      <c r="IN12" s="152"/>
      <c r="IO12" s="152"/>
      <c r="IP12" s="152"/>
      <c r="IQ12" s="152"/>
      <c r="IR12" s="152"/>
      <c r="IS12" s="152"/>
      <c r="IT12" s="152"/>
      <c r="IU12" s="152"/>
      <c r="IV12" s="152"/>
    </row>
    <row r="13" spans="1:256">
      <c r="A13" s="157"/>
      <c r="B13" s="129" t="s">
        <v>271</v>
      </c>
      <c r="E13" s="158">
        <f>Financials!CQ40</f>
        <v>209.7</v>
      </c>
      <c r="F13" s="158">
        <f>Financials!DT40</f>
        <v>211.10674999999998</v>
      </c>
      <c r="G13" s="158">
        <f>Financials!DU40</f>
        <v>208.79490393395531</v>
      </c>
      <c r="H13" s="159"/>
      <c r="I13" s="159"/>
      <c r="K13" s="160" t="s">
        <v>273</v>
      </c>
      <c r="L13" s="161"/>
      <c r="M13" s="162">
        <f>E20/C26</f>
        <v>8.02422778973256</v>
      </c>
      <c r="N13" s="162">
        <f>F20/C27</f>
        <v>7.0506722678264211</v>
      </c>
      <c r="O13" s="961">
        <f>G20/C28</f>
        <v>6.4708396131680654</v>
      </c>
      <c r="P13" s="157"/>
      <c r="Q13" s="157"/>
      <c r="R13" s="157"/>
      <c r="S13" s="157"/>
      <c r="T13" s="157"/>
      <c r="U13" s="157"/>
      <c r="V13" s="163"/>
      <c r="W13" s="157"/>
      <c r="X13" s="157"/>
      <c r="Y13" s="157"/>
      <c r="Z13" s="157"/>
      <c r="AA13" s="157"/>
      <c r="AB13" s="157"/>
      <c r="AC13" s="157"/>
      <c r="AD13" s="157"/>
      <c r="AE13" s="157"/>
      <c r="AF13" s="157"/>
      <c r="AG13" s="157"/>
      <c r="AH13" s="157"/>
      <c r="AI13" s="157"/>
      <c r="AJ13" s="157"/>
      <c r="AK13" s="157"/>
      <c r="AL13" s="157"/>
      <c r="AM13" s="157"/>
      <c r="AN13" s="157"/>
      <c r="AO13" s="157"/>
      <c r="AP13" s="157"/>
      <c r="AQ13" s="157"/>
      <c r="AR13" s="157"/>
      <c r="AS13" s="157"/>
      <c r="AT13" s="157"/>
      <c r="AU13" s="157"/>
      <c r="AV13" s="157"/>
      <c r="AW13" s="157"/>
      <c r="AX13" s="157"/>
      <c r="AY13" s="157"/>
      <c r="AZ13" s="157"/>
      <c r="BA13" s="157"/>
      <c r="BB13" s="157"/>
      <c r="BC13" s="157"/>
      <c r="BD13" s="157"/>
      <c r="BE13" s="157"/>
      <c r="BF13" s="157"/>
      <c r="BG13" s="157"/>
      <c r="BH13" s="157"/>
      <c r="BI13" s="157"/>
      <c r="BJ13" s="157"/>
      <c r="BK13" s="157"/>
      <c r="BL13" s="157"/>
      <c r="BM13" s="157"/>
      <c r="BN13" s="157"/>
      <c r="BO13" s="157"/>
      <c r="BP13" s="157"/>
      <c r="BQ13" s="157"/>
      <c r="BR13" s="157"/>
      <c r="BS13" s="157"/>
      <c r="BT13" s="157"/>
      <c r="BU13" s="157"/>
      <c r="BV13" s="157"/>
      <c r="BW13" s="157"/>
      <c r="BX13" s="157"/>
      <c r="BY13" s="157"/>
      <c r="BZ13" s="157"/>
      <c r="CA13" s="157"/>
      <c r="CB13" s="157"/>
      <c r="CC13" s="157"/>
      <c r="CD13" s="157"/>
      <c r="CE13" s="157"/>
      <c r="CF13" s="157"/>
      <c r="CG13" s="157"/>
      <c r="CH13" s="157"/>
      <c r="CI13" s="157"/>
      <c r="CJ13" s="157"/>
      <c r="CK13" s="157"/>
      <c r="CL13" s="157"/>
      <c r="CM13" s="157"/>
      <c r="CN13" s="157"/>
      <c r="CO13" s="157"/>
      <c r="CP13" s="157"/>
      <c r="CQ13" s="157"/>
      <c r="CR13" s="157"/>
      <c r="CS13" s="157"/>
      <c r="CT13" s="157"/>
      <c r="CU13" s="157"/>
      <c r="CV13" s="157"/>
      <c r="CW13" s="157"/>
      <c r="CX13" s="157"/>
      <c r="CY13" s="157"/>
      <c r="CZ13" s="157"/>
      <c r="DA13" s="157"/>
      <c r="DB13" s="157"/>
      <c r="DC13" s="157"/>
      <c r="DD13" s="157"/>
      <c r="DE13" s="157"/>
      <c r="DF13" s="157"/>
      <c r="DG13" s="157"/>
      <c r="DH13" s="157"/>
      <c r="DI13" s="157"/>
      <c r="DJ13" s="157"/>
      <c r="DK13" s="157"/>
      <c r="DL13" s="157"/>
      <c r="DM13" s="157"/>
      <c r="DN13" s="157"/>
      <c r="DO13" s="157"/>
      <c r="DP13" s="157"/>
      <c r="DQ13" s="157"/>
      <c r="DR13" s="157"/>
      <c r="DS13" s="157"/>
      <c r="DT13" s="157"/>
      <c r="DU13" s="157"/>
      <c r="DV13" s="157"/>
      <c r="DW13" s="157"/>
      <c r="DX13" s="157"/>
      <c r="DY13" s="157"/>
      <c r="DZ13" s="157"/>
      <c r="EA13" s="157"/>
      <c r="EB13" s="157"/>
      <c r="EC13" s="157"/>
      <c r="ED13" s="157"/>
      <c r="EE13" s="157"/>
      <c r="EF13" s="157"/>
      <c r="EG13" s="157"/>
      <c r="EH13" s="157"/>
      <c r="EI13" s="157"/>
      <c r="EJ13" s="157"/>
      <c r="EK13" s="157"/>
      <c r="EL13" s="157"/>
      <c r="EM13" s="157"/>
      <c r="EN13" s="157"/>
      <c r="EO13" s="157"/>
      <c r="EP13" s="157"/>
      <c r="EQ13" s="157"/>
      <c r="ER13" s="157"/>
      <c r="ES13" s="157"/>
      <c r="ET13" s="157"/>
      <c r="EU13" s="157"/>
      <c r="EV13" s="157"/>
      <c r="EW13" s="157"/>
      <c r="EX13" s="157"/>
      <c r="EY13" s="157"/>
      <c r="EZ13" s="157"/>
      <c r="FA13" s="157"/>
      <c r="FB13" s="157"/>
      <c r="FC13" s="157"/>
      <c r="FD13" s="157"/>
      <c r="FE13" s="157"/>
      <c r="FF13" s="157"/>
      <c r="FG13" s="157"/>
      <c r="FH13" s="157"/>
      <c r="FI13" s="157"/>
      <c r="FJ13" s="157"/>
      <c r="FK13" s="157"/>
      <c r="FL13" s="157"/>
      <c r="FM13" s="157"/>
      <c r="FN13" s="157"/>
      <c r="FO13" s="157"/>
      <c r="FP13" s="157"/>
      <c r="FQ13" s="157"/>
      <c r="FR13" s="157"/>
      <c r="FS13" s="157"/>
      <c r="FT13" s="157"/>
      <c r="FU13" s="157"/>
      <c r="FV13" s="157"/>
      <c r="FW13" s="157"/>
      <c r="FX13" s="157"/>
      <c r="FY13" s="157"/>
      <c r="FZ13" s="157"/>
      <c r="GA13" s="157"/>
      <c r="GB13" s="157"/>
      <c r="GC13" s="157"/>
      <c r="GD13" s="157"/>
      <c r="GE13" s="157"/>
      <c r="GF13" s="157"/>
      <c r="GG13" s="157"/>
      <c r="GH13" s="157"/>
      <c r="GI13" s="157"/>
      <c r="GJ13" s="157"/>
      <c r="GK13" s="157"/>
      <c r="GL13" s="157"/>
      <c r="GM13" s="157"/>
      <c r="GN13" s="157"/>
      <c r="GO13" s="157"/>
      <c r="GP13" s="157"/>
      <c r="GQ13" s="157"/>
      <c r="GR13" s="157"/>
      <c r="GS13" s="157"/>
      <c r="GT13" s="157"/>
      <c r="GU13" s="157"/>
      <c r="GV13" s="157"/>
      <c r="GW13" s="157"/>
      <c r="GX13" s="157"/>
      <c r="GY13" s="157"/>
      <c r="GZ13" s="157"/>
      <c r="HA13" s="157"/>
      <c r="HB13" s="157"/>
      <c r="HC13" s="157"/>
      <c r="HD13" s="157"/>
      <c r="HE13" s="157"/>
      <c r="HF13" s="157"/>
      <c r="HG13" s="157"/>
      <c r="HH13" s="157"/>
      <c r="HI13" s="157"/>
      <c r="HJ13" s="157"/>
      <c r="HK13" s="157"/>
      <c r="HL13" s="157"/>
      <c r="HM13" s="157"/>
      <c r="HN13" s="157"/>
      <c r="HO13" s="157"/>
      <c r="HP13" s="157"/>
      <c r="HQ13" s="157"/>
      <c r="HR13" s="157"/>
      <c r="HS13" s="157"/>
      <c r="HT13" s="157"/>
      <c r="HU13" s="157"/>
      <c r="HV13" s="157"/>
      <c r="HW13" s="157"/>
      <c r="HX13" s="157"/>
      <c r="HY13" s="157"/>
      <c r="HZ13" s="157"/>
      <c r="IA13" s="157"/>
      <c r="IB13" s="157"/>
      <c r="IC13" s="157"/>
      <c r="ID13" s="157"/>
      <c r="IE13" s="157"/>
      <c r="IF13" s="157"/>
      <c r="IG13" s="157"/>
      <c r="IH13" s="157"/>
      <c r="II13" s="157"/>
      <c r="IJ13" s="157"/>
      <c r="IK13" s="157"/>
      <c r="IL13" s="157"/>
      <c r="IM13" s="157"/>
      <c r="IN13" s="157"/>
      <c r="IO13" s="157"/>
      <c r="IP13" s="157"/>
      <c r="IQ13" s="157"/>
      <c r="IR13" s="157"/>
      <c r="IS13" s="157"/>
      <c r="IT13" s="157"/>
      <c r="IU13" s="157"/>
      <c r="IV13" s="157"/>
    </row>
    <row r="14" spans="1:256" ht="15.75" thickBot="1">
      <c r="B14" s="164" t="s">
        <v>199</v>
      </c>
      <c r="C14" s="164"/>
      <c r="D14" s="164"/>
      <c r="E14" s="165">
        <f>E12*E13</f>
        <v>11114.099999999999</v>
      </c>
      <c r="F14" s="165">
        <f>F12*F13</f>
        <v>11188.657749999998</v>
      </c>
      <c r="G14" s="165">
        <f>G12*G13</f>
        <v>11066.129908499632</v>
      </c>
      <c r="H14" s="166"/>
      <c r="I14" s="166"/>
      <c r="K14" s="167" t="s">
        <v>274</v>
      </c>
      <c r="L14" s="151"/>
      <c r="M14" s="168">
        <f>E12/C40</f>
        <v>13.601656822193281</v>
      </c>
      <c r="N14" s="168">
        <f>F12/C41</f>
        <v>12.015489335786761</v>
      </c>
      <c r="O14" s="962">
        <f>G12/C42</f>
        <v>11.665675897717065</v>
      </c>
    </row>
    <row r="15" spans="1:256" ht="15.75" thickBot="1">
      <c r="A15" s="152"/>
      <c r="B15" s="170" t="s">
        <v>432</v>
      </c>
      <c r="C15" s="151"/>
      <c r="D15" s="151"/>
      <c r="E15" s="159">
        <f>Financials!CQ120</f>
        <v>2188.2999999999997</v>
      </c>
      <c r="F15" s="159">
        <f>Financials!DT120</f>
        <v>2188.2999999999997</v>
      </c>
      <c r="G15" s="159">
        <f>Financials!DU120</f>
        <v>2188.2999999999997</v>
      </c>
      <c r="H15" s="159"/>
      <c r="I15" s="159"/>
      <c r="K15" s="171" t="s">
        <v>272</v>
      </c>
      <c r="L15" s="172"/>
      <c r="M15" s="173">
        <f>E12/C54</f>
        <v>18.03749435756891</v>
      </c>
      <c r="N15" s="173">
        <f>F12/C55</f>
        <v>18.618148683313848</v>
      </c>
      <c r="O15" s="963">
        <f>G12/C56</f>
        <v>13.432031619002181</v>
      </c>
      <c r="P15" s="152"/>
      <c r="Q15" s="152"/>
      <c r="R15" s="152"/>
      <c r="S15" s="152"/>
      <c r="T15" s="152"/>
      <c r="U15" s="152"/>
      <c r="V15" s="156"/>
      <c r="W15" s="152"/>
      <c r="X15" s="152"/>
      <c r="Y15" s="152"/>
      <c r="Z15" s="152"/>
      <c r="AA15" s="152"/>
      <c r="AB15" s="152"/>
      <c r="AC15" s="152"/>
      <c r="AD15" s="152"/>
      <c r="AE15" s="152"/>
      <c r="AF15" s="152"/>
      <c r="AG15" s="152"/>
      <c r="AH15" s="152"/>
      <c r="AI15" s="152"/>
      <c r="AJ15" s="152"/>
      <c r="AK15" s="152"/>
      <c r="AL15" s="152"/>
      <c r="AM15" s="152"/>
      <c r="AN15" s="152"/>
      <c r="AO15" s="152"/>
      <c r="AP15" s="152"/>
      <c r="AQ15" s="152"/>
      <c r="AR15" s="152"/>
      <c r="AS15" s="152"/>
      <c r="AT15" s="152"/>
      <c r="AU15" s="152"/>
      <c r="AV15" s="152"/>
      <c r="AW15" s="152"/>
      <c r="AX15" s="152"/>
      <c r="AY15" s="152"/>
      <c r="AZ15" s="152"/>
      <c r="BA15" s="152"/>
      <c r="BB15" s="152"/>
      <c r="BC15" s="152"/>
      <c r="BD15" s="152"/>
      <c r="BE15" s="152"/>
      <c r="BF15" s="152"/>
      <c r="BG15" s="152"/>
      <c r="BH15" s="152"/>
      <c r="BI15" s="152"/>
      <c r="BJ15" s="152"/>
      <c r="BK15" s="152"/>
      <c r="BL15" s="152"/>
      <c r="BM15" s="152"/>
      <c r="BN15" s="152"/>
      <c r="BO15" s="152"/>
      <c r="BP15" s="152"/>
      <c r="BQ15" s="152"/>
      <c r="BR15" s="152"/>
      <c r="BS15" s="152"/>
      <c r="BT15" s="152"/>
      <c r="BU15" s="152"/>
      <c r="BV15" s="152"/>
      <c r="BW15" s="152"/>
      <c r="BX15" s="152"/>
      <c r="BY15" s="152"/>
      <c r="BZ15" s="152"/>
      <c r="CA15" s="152"/>
      <c r="CB15" s="152"/>
      <c r="CC15" s="152"/>
      <c r="CD15" s="152"/>
      <c r="CE15" s="152"/>
      <c r="CF15" s="152"/>
      <c r="CG15" s="152"/>
      <c r="CH15" s="152"/>
      <c r="CI15" s="152"/>
      <c r="CJ15" s="152"/>
      <c r="CK15" s="152"/>
      <c r="CL15" s="152"/>
      <c r="CM15" s="152"/>
      <c r="CN15" s="152"/>
      <c r="CO15" s="152"/>
      <c r="CP15" s="152"/>
      <c r="CQ15" s="152"/>
      <c r="CR15" s="152"/>
      <c r="CS15" s="152"/>
      <c r="CT15" s="152"/>
      <c r="CU15" s="152"/>
      <c r="CV15" s="152"/>
      <c r="CW15" s="152"/>
      <c r="CX15" s="152"/>
      <c r="CY15" s="152"/>
      <c r="CZ15" s="152"/>
      <c r="DA15" s="152"/>
      <c r="DB15" s="152"/>
      <c r="DC15" s="152"/>
      <c r="DD15" s="152"/>
      <c r="DE15" s="152"/>
      <c r="DF15" s="152"/>
      <c r="DG15" s="152"/>
      <c r="DH15" s="152"/>
      <c r="DI15" s="152"/>
      <c r="DJ15" s="152"/>
      <c r="DK15" s="152"/>
      <c r="DL15" s="152"/>
      <c r="DM15" s="152"/>
      <c r="DN15" s="152"/>
      <c r="DO15" s="152"/>
      <c r="DP15" s="152"/>
      <c r="DQ15" s="152"/>
      <c r="DR15" s="152"/>
      <c r="DS15" s="152"/>
      <c r="DT15" s="152"/>
      <c r="DU15" s="152"/>
      <c r="DV15" s="152"/>
      <c r="DW15" s="152"/>
      <c r="DX15" s="152"/>
      <c r="DY15" s="152"/>
      <c r="DZ15" s="152"/>
      <c r="EA15" s="152"/>
      <c r="EB15" s="152"/>
      <c r="EC15" s="152"/>
      <c r="ED15" s="152"/>
      <c r="EE15" s="152"/>
      <c r="EF15" s="152"/>
      <c r="EG15" s="152"/>
      <c r="EH15" s="152"/>
      <c r="EI15" s="152"/>
      <c r="EJ15" s="152"/>
      <c r="EK15" s="152"/>
      <c r="EL15" s="152"/>
      <c r="EM15" s="152"/>
      <c r="EN15" s="152"/>
      <c r="EO15" s="152"/>
      <c r="EP15" s="152"/>
      <c r="EQ15" s="152"/>
      <c r="ER15" s="152"/>
      <c r="ES15" s="152"/>
      <c r="ET15" s="152"/>
      <c r="EU15" s="152"/>
      <c r="EV15" s="152"/>
      <c r="EW15" s="152"/>
      <c r="EX15" s="152"/>
      <c r="EY15" s="152"/>
      <c r="EZ15" s="152"/>
      <c r="FA15" s="152"/>
      <c r="FB15" s="152"/>
      <c r="FC15" s="152"/>
      <c r="FD15" s="152"/>
      <c r="FE15" s="152"/>
      <c r="FF15" s="152"/>
      <c r="FG15" s="152"/>
      <c r="FH15" s="152"/>
      <c r="FI15" s="152"/>
      <c r="FJ15" s="152"/>
      <c r="FK15" s="152"/>
      <c r="FL15" s="152"/>
      <c r="FM15" s="152"/>
      <c r="FN15" s="152"/>
      <c r="FO15" s="152"/>
      <c r="FP15" s="152"/>
      <c r="FQ15" s="152"/>
      <c r="FR15" s="152"/>
      <c r="FS15" s="152"/>
      <c r="FT15" s="152"/>
      <c r="FU15" s="152"/>
      <c r="FV15" s="152"/>
      <c r="FW15" s="152"/>
      <c r="FX15" s="152"/>
      <c r="FY15" s="152"/>
      <c r="FZ15" s="152"/>
      <c r="GA15" s="152"/>
      <c r="GB15" s="152"/>
      <c r="GC15" s="152"/>
      <c r="GD15" s="152"/>
      <c r="GE15" s="152"/>
      <c r="GF15" s="152"/>
      <c r="GG15" s="152"/>
      <c r="GH15" s="152"/>
      <c r="GI15" s="152"/>
      <c r="GJ15" s="152"/>
      <c r="GK15" s="152"/>
      <c r="GL15" s="152"/>
      <c r="GM15" s="152"/>
      <c r="GN15" s="152"/>
      <c r="GO15" s="152"/>
      <c r="GP15" s="152"/>
      <c r="GQ15" s="152"/>
      <c r="GR15" s="152"/>
      <c r="GS15" s="152"/>
      <c r="GT15" s="152"/>
      <c r="GU15" s="152"/>
      <c r="GV15" s="152"/>
      <c r="GW15" s="152"/>
      <c r="GX15" s="152"/>
      <c r="GY15" s="152"/>
      <c r="GZ15" s="152"/>
      <c r="HA15" s="152"/>
      <c r="HB15" s="152"/>
      <c r="HC15" s="152"/>
      <c r="HD15" s="152"/>
      <c r="HE15" s="152"/>
      <c r="HF15" s="152"/>
      <c r="HG15" s="152"/>
      <c r="HH15" s="152"/>
      <c r="HI15" s="152"/>
      <c r="HJ15" s="152"/>
      <c r="HK15" s="152"/>
      <c r="HL15" s="152"/>
      <c r="HM15" s="152"/>
      <c r="HN15" s="152"/>
      <c r="HO15" s="152"/>
      <c r="HP15" s="152"/>
      <c r="HQ15" s="152"/>
      <c r="HR15" s="152"/>
      <c r="HS15" s="152"/>
      <c r="HT15" s="152"/>
      <c r="HU15" s="152"/>
      <c r="HV15" s="152"/>
      <c r="HW15" s="152"/>
      <c r="HX15" s="152"/>
      <c r="HY15" s="152"/>
      <c r="HZ15" s="152"/>
      <c r="IA15" s="152"/>
      <c r="IB15" s="152"/>
      <c r="IC15" s="152"/>
      <c r="ID15" s="152"/>
      <c r="IE15" s="152"/>
      <c r="IF15" s="152"/>
      <c r="IG15" s="152"/>
      <c r="IH15" s="152"/>
      <c r="II15" s="152"/>
      <c r="IJ15" s="152"/>
      <c r="IK15" s="152"/>
      <c r="IL15" s="152"/>
      <c r="IM15" s="152"/>
      <c r="IN15" s="152"/>
      <c r="IO15" s="152"/>
      <c r="IP15" s="152"/>
      <c r="IQ15" s="152"/>
      <c r="IR15" s="152"/>
      <c r="IS15" s="152"/>
      <c r="IT15" s="152"/>
      <c r="IU15" s="152"/>
      <c r="IV15" s="152"/>
    </row>
    <row r="16" spans="1:256">
      <c r="A16" s="157"/>
      <c r="B16" s="170" t="s">
        <v>429</v>
      </c>
      <c r="E16" s="159">
        <f>Financials!CQ66</f>
        <v>545.29999999999995</v>
      </c>
      <c r="F16" s="159">
        <f>Financials!DT66</f>
        <v>545.29999999999995</v>
      </c>
      <c r="G16" s="159">
        <f>Financials!DU66</f>
        <v>979.54812348826397</v>
      </c>
      <c r="H16" s="159"/>
      <c r="I16" s="159"/>
      <c r="P16" s="157"/>
      <c r="Q16" s="152"/>
      <c r="R16" s="152"/>
      <c r="T16" s="152"/>
      <c r="V16" s="156"/>
    </row>
    <row r="17" spans="1:256" ht="15.75" thickBot="1">
      <c r="A17" s="157"/>
      <c r="B17" s="151" t="s">
        <v>275</v>
      </c>
      <c r="C17" s="151"/>
      <c r="D17" s="151"/>
      <c r="E17" s="159">
        <f>Financials!CQ92</f>
        <v>109.1</v>
      </c>
      <c r="F17" s="159">
        <f>Financials!DT92</f>
        <v>109.1</v>
      </c>
      <c r="G17" s="159">
        <f>Financials!DU92</f>
        <v>165.89999999999998</v>
      </c>
      <c r="H17" s="166"/>
      <c r="I17" s="166"/>
      <c r="K17" s="152" t="s">
        <v>278</v>
      </c>
      <c r="L17" s="152"/>
      <c r="M17" s="152"/>
      <c r="N17" s="180"/>
      <c r="O17" s="152"/>
      <c r="P17" s="157"/>
      <c r="Q17" s="174"/>
      <c r="R17" s="132"/>
      <c r="S17" s="132"/>
      <c r="T17" s="152"/>
      <c r="U17" s="132"/>
      <c r="V17" s="156"/>
      <c r="W17" s="132"/>
      <c r="X17" s="132"/>
      <c r="Y17" s="132"/>
      <c r="Z17" s="132"/>
      <c r="AA17" s="132"/>
      <c r="AB17" s="132"/>
      <c r="AC17" s="132"/>
      <c r="AD17" s="132"/>
      <c r="AE17" s="132"/>
      <c r="AF17" s="132"/>
      <c r="AG17" s="132"/>
      <c r="AH17" s="132"/>
      <c r="AI17" s="132"/>
      <c r="AJ17" s="132"/>
      <c r="AK17" s="132"/>
      <c r="AL17" s="132"/>
      <c r="AM17" s="132"/>
      <c r="AN17" s="132"/>
      <c r="AO17" s="132"/>
      <c r="AP17" s="132"/>
      <c r="AQ17" s="132"/>
      <c r="AR17" s="132"/>
      <c r="AS17" s="132"/>
      <c r="AT17" s="132"/>
      <c r="AU17" s="132"/>
      <c r="AV17" s="132"/>
      <c r="AW17" s="132"/>
      <c r="AX17" s="132"/>
      <c r="AY17" s="132"/>
      <c r="AZ17" s="132"/>
      <c r="BA17" s="132"/>
      <c r="BB17" s="132"/>
      <c r="BC17" s="132"/>
      <c r="BD17" s="132"/>
      <c r="BE17" s="132"/>
      <c r="BF17" s="132"/>
      <c r="BG17" s="132"/>
      <c r="BH17" s="132"/>
      <c r="BI17" s="132"/>
      <c r="BJ17" s="132"/>
      <c r="BK17" s="132"/>
      <c r="BL17" s="132"/>
      <c r="BM17" s="132"/>
      <c r="BN17" s="132"/>
      <c r="BO17" s="132"/>
      <c r="BP17" s="132"/>
      <c r="BQ17" s="132"/>
      <c r="BR17" s="132"/>
      <c r="BS17" s="132"/>
      <c r="BT17" s="132"/>
      <c r="BU17" s="132"/>
      <c r="BV17" s="132"/>
      <c r="BW17" s="132"/>
      <c r="BX17" s="132"/>
      <c r="BY17" s="132"/>
      <c r="BZ17" s="132"/>
      <c r="CA17" s="132"/>
      <c r="CB17" s="132"/>
      <c r="CC17" s="132"/>
      <c r="CD17" s="132"/>
      <c r="CE17" s="132"/>
      <c r="CF17" s="132"/>
      <c r="CG17" s="132"/>
      <c r="CH17" s="132"/>
      <c r="CI17" s="132"/>
      <c r="CJ17" s="132"/>
      <c r="CK17" s="132"/>
      <c r="CL17" s="132"/>
      <c r="CM17" s="132"/>
      <c r="CN17" s="132"/>
      <c r="CO17" s="132"/>
      <c r="CP17" s="132"/>
      <c r="CQ17" s="132"/>
      <c r="CR17" s="132"/>
      <c r="CS17" s="132"/>
      <c r="CT17" s="132"/>
      <c r="CU17" s="132"/>
      <c r="CV17" s="132"/>
      <c r="CW17" s="132"/>
      <c r="CX17" s="132"/>
      <c r="CY17" s="132"/>
      <c r="CZ17" s="132"/>
      <c r="DA17" s="132"/>
      <c r="DB17" s="132"/>
      <c r="DC17" s="132"/>
      <c r="DD17" s="132"/>
      <c r="DE17" s="132"/>
      <c r="DF17" s="132"/>
      <c r="DG17" s="132"/>
      <c r="DH17" s="132"/>
      <c r="DI17" s="132"/>
      <c r="DJ17" s="132"/>
      <c r="DK17" s="132"/>
      <c r="DL17" s="132"/>
      <c r="DM17" s="132"/>
      <c r="DN17" s="132"/>
      <c r="DO17" s="132"/>
      <c r="DP17" s="132"/>
      <c r="DQ17" s="132"/>
      <c r="DR17" s="132"/>
      <c r="DS17" s="132"/>
      <c r="DT17" s="132"/>
      <c r="DU17" s="132"/>
      <c r="DV17" s="132"/>
      <c r="DW17" s="132"/>
      <c r="DX17" s="132"/>
      <c r="DY17" s="132"/>
      <c r="DZ17" s="132"/>
      <c r="EA17" s="132"/>
      <c r="EB17" s="132"/>
      <c r="EC17" s="132"/>
      <c r="ED17" s="132"/>
      <c r="EE17" s="132"/>
      <c r="EF17" s="132"/>
      <c r="EG17" s="132"/>
      <c r="EH17" s="132"/>
      <c r="EI17" s="132"/>
      <c r="EJ17" s="132"/>
      <c r="EK17" s="132"/>
      <c r="EL17" s="132"/>
      <c r="EM17" s="132"/>
      <c r="EN17" s="132"/>
      <c r="EO17" s="132"/>
      <c r="EP17" s="132"/>
      <c r="EQ17" s="132"/>
      <c r="ER17" s="132"/>
      <c r="ES17" s="132"/>
      <c r="ET17" s="132"/>
      <c r="EU17" s="132"/>
      <c r="EV17" s="132"/>
      <c r="EW17" s="132"/>
      <c r="EX17" s="132"/>
      <c r="EY17" s="132"/>
      <c r="EZ17" s="132"/>
      <c r="FA17" s="132"/>
      <c r="FB17" s="132"/>
      <c r="FC17" s="132"/>
      <c r="FD17" s="132"/>
      <c r="FE17" s="132"/>
      <c r="FF17" s="132"/>
      <c r="FG17" s="132"/>
      <c r="FH17" s="132"/>
      <c r="FI17" s="132"/>
      <c r="FJ17" s="132"/>
      <c r="FK17" s="132"/>
      <c r="FL17" s="132"/>
      <c r="FM17" s="132"/>
      <c r="FN17" s="132"/>
      <c r="FO17" s="132"/>
      <c r="FP17" s="132"/>
      <c r="FQ17" s="132"/>
      <c r="FR17" s="132"/>
      <c r="FS17" s="132"/>
      <c r="FT17" s="132"/>
      <c r="FU17" s="132"/>
      <c r="FV17" s="132"/>
      <c r="FW17" s="132"/>
      <c r="FX17" s="132"/>
      <c r="FY17" s="132"/>
      <c r="FZ17" s="132"/>
      <c r="GA17" s="132"/>
      <c r="GB17" s="132"/>
      <c r="GC17" s="132"/>
      <c r="GD17" s="132"/>
      <c r="GE17" s="132"/>
      <c r="GF17" s="132"/>
      <c r="GG17" s="132"/>
      <c r="GH17" s="132"/>
      <c r="GI17" s="132"/>
      <c r="GJ17" s="132"/>
      <c r="GK17" s="132"/>
      <c r="GL17" s="132"/>
      <c r="GM17" s="132"/>
      <c r="GN17" s="132"/>
      <c r="GO17" s="132"/>
      <c r="GP17" s="132"/>
      <c r="GQ17" s="132"/>
      <c r="GR17" s="132"/>
      <c r="GS17" s="132"/>
      <c r="GT17" s="132"/>
      <c r="GU17" s="132"/>
      <c r="GV17" s="132"/>
      <c r="GW17" s="132"/>
      <c r="GX17" s="132"/>
      <c r="GY17" s="132"/>
      <c r="GZ17" s="132"/>
      <c r="HA17" s="132"/>
      <c r="HB17" s="132"/>
      <c r="HC17" s="132"/>
      <c r="HD17" s="132"/>
      <c r="HE17" s="132"/>
      <c r="HF17" s="132"/>
      <c r="HG17" s="132"/>
      <c r="HH17" s="132"/>
      <c r="HI17" s="132"/>
      <c r="HJ17" s="132"/>
      <c r="HK17" s="132"/>
      <c r="HL17" s="132"/>
      <c r="HM17" s="132"/>
      <c r="HN17" s="132"/>
      <c r="HO17" s="132"/>
      <c r="HP17" s="132"/>
      <c r="HQ17" s="132"/>
      <c r="HR17" s="132"/>
      <c r="HS17" s="132"/>
      <c r="HT17" s="132"/>
      <c r="HU17" s="132"/>
      <c r="HV17" s="132"/>
      <c r="HW17" s="132"/>
      <c r="HX17" s="132"/>
      <c r="HY17" s="132"/>
      <c r="HZ17" s="132"/>
      <c r="IA17" s="132"/>
      <c r="IB17" s="132"/>
      <c r="IC17" s="132"/>
      <c r="ID17" s="132"/>
      <c r="IE17" s="132"/>
      <c r="IF17" s="132"/>
      <c r="IG17" s="132"/>
      <c r="IH17" s="132"/>
      <c r="II17" s="132"/>
      <c r="IJ17" s="132"/>
      <c r="IK17" s="132"/>
      <c r="IL17" s="132"/>
      <c r="IM17" s="132"/>
      <c r="IN17" s="132"/>
      <c r="IO17" s="132"/>
      <c r="IP17" s="132"/>
      <c r="IQ17" s="132"/>
      <c r="IR17" s="132"/>
      <c r="IS17" s="132"/>
      <c r="IT17" s="132"/>
      <c r="IU17" s="132"/>
      <c r="IV17" s="132"/>
    </row>
    <row r="18" spans="1:256">
      <c r="A18" s="157"/>
      <c r="B18" s="964" t="s">
        <v>433</v>
      </c>
      <c r="C18" s="964"/>
      <c r="D18" s="964"/>
      <c r="E18" s="965">
        <f>(43.2+145.4)*(1-AVERAGE(0.23,0.24))</f>
        <v>144.27900000000002</v>
      </c>
      <c r="F18" s="1195">
        <f>E18</f>
        <v>144.27900000000002</v>
      </c>
      <c r="G18" s="1195">
        <f t="shared" ref="G18:G19" si="0">F18</f>
        <v>144.27900000000002</v>
      </c>
      <c r="K18" s="160" t="s">
        <v>273</v>
      </c>
      <c r="L18" s="161"/>
      <c r="M18" s="162">
        <f>E20/C32</f>
        <v>8.02422778973256</v>
      </c>
      <c r="N18" s="162">
        <f>F20/C33</f>
        <v>7.3454815875595427</v>
      </c>
      <c r="O18" s="961">
        <f>G20/C34</f>
        <v>6.6661113953396134</v>
      </c>
      <c r="P18" s="157"/>
      <c r="Q18" s="174"/>
      <c r="R18" s="132"/>
      <c r="S18" s="157"/>
      <c r="T18" s="152"/>
      <c r="U18" s="157"/>
      <c r="V18" s="156"/>
      <c r="W18" s="157"/>
      <c r="X18" s="157"/>
      <c r="Y18" s="157"/>
      <c r="Z18" s="157"/>
      <c r="AA18" s="157"/>
      <c r="AB18" s="157"/>
      <c r="AC18" s="157"/>
      <c r="AD18" s="157"/>
      <c r="AE18" s="157"/>
      <c r="AF18" s="157"/>
      <c r="AG18" s="157"/>
      <c r="AH18" s="157"/>
      <c r="AI18" s="157"/>
      <c r="AJ18" s="157"/>
      <c r="AK18" s="157"/>
      <c r="AL18" s="157"/>
      <c r="AM18" s="157"/>
      <c r="AN18" s="157"/>
      <c r="AO18" s="157"/>
      <c r="AP18" s="157"/>
      <c r="AQ18" s="157"/>
      <c r="AR18" s="157"/>
      <c r="AS18" s="157"/>
      <c r="AT18" s="157"/>
      <c r="AU18" s="157"/>
      <c r="AV18" s="157"/>
      <c r="AW18" s="157"/>
      <c r="AX18" s="157"/>
      <c r="AY18" s="157"/>
      <c r="AZ18" s="157"/>
      <c r="BA18" s="157"/>
      <c r="BB18" s="157"/>
      <c r="BC18" s="157"/>
      <c r="BD18" s="157"/>
      <c r="BE18" s="157"/>
      <c r="BF18" s="157"/>
      <c r="BG18" s="157"/>
      <c r="BH18" s="157"/>
      <c r="BI18" s="157"/>
      <c r="BJ18" s="157"/>
      <c r="BK18" s="157"/>
      <c r="BL18" s="157"/>
      <c r="BM18" s="157"/>
      <c r="BN18" s="157"/>
      <c r="BO18" s="157"/>
      <c r="BP18" s="157"/>
      <c r="BQ18" s="157"/>
      <c r="BR18" s="157"/>
      <c r="BS18" s="157"/>
      <c r="BT18" s="157"/>
      <c r="BU18" s="157"/>
      <c r="BV18" s="157"/>
      <c r="BW18" s="157"/>
      <c r="BX18" s="157"/>
      <c r="BY18" s="157"/>
      <c r="BZ18" s="157"/>
      <c r="CA18" s="157"/>
      <c r="CB18" s="157"/>
      <c r="CC18" s="157"/>
      <c r="CD18" s="157"/>
      <c r="CE18" s="157"/>
      <c r="CF18" s="157"/>
      <c r="CG18" s="157"/>
      <c r="CH18" s="157"/>
      <c r="CI18" s="157"/>
      <c r="CJ18" s="157"/>
      <c r="CK18" s="157"/>
      <c r="CL18" s="157"/>
      <c r="CM18" s="157"/>
      <c r="CN18" s="157"/>
      <c r="CO18" s="157"/>
      <c r="CP18" s="157"/>
      <c r="CQ18" s="157"/>
      <c r="CR18" s="157"/>
      <c r="CS18" s="157"/>
      <c r="CT18" s="157"/>
      <c r="CU18" s="157"/>
      <c r="CV18" s="157"/>
      <c r="CW18" s="157"/>
      <c r="CX18" s="157"/>
      <c r="CY18" s="157"/>
      <c r="CZ18" s="157"/>
      <c r="DA18" s="157"/>
      <c r="DB18" s="157"/>
      <c r="DC18" s="157"/>
      <c r="DD18" s="157"/>
      <c r="DE18" s="157"/>
      <c r="DF18" s="157"/>
      <c r="DG18" s="157"/>
      <c r="DH18" s="157"/>
      <c r="DI18" s="157"/>
      <c r="DJ18" s="157"/>
      <c r="DK18" s="157"/>
      <c r="DL18" s="157"/>
      <c r="DM18" s="157"/>
      <c r="DN18" s="157"/>
      <c r="DO18" s="157"/>
      <c r="DP18" s="157"/>
      <c r="DQ18" s="157"/>
      <c r="DR18" s="157"/>
      <c r="DS18" s="157"/>
      <c r="DT18" s="157"/>
      <c r="DU18" s="157"/>
      <c r="DV18" s="157"/>
      <c r="DW18" s="157"/>
      <c r="DX18" s="157"/>
      <c r="DY18" s="157"/>
      <c r="DZ18" s="157"/>
      <c r="EA18" s="157"/>
      <c r="EB18" s="157"/>
      <c r="EC18" s="157"/>
      <c r="ED18" s="157"/>
      <c r="EE18" s="157"/>
      <c r="EF18" s="157"/>
      <c r="EG18" s="157"/>
      <c r="EH18" s="157"/>
      <c r="EI18" s="157"/>
      <c r="EJ18" s="157"/>
      <c r="EK18" s="157"/>
      <c r="EL18" s="157"/>
      <c r="EM18" s="157"/>
      <c r="EN18" s="157"/>
      <c r="EO18" s="157"/>
      <c r="EP18" s="157"/>
      <c r="EQ18" s="157"/>
      <c r="ER18" s="157"/>
      <c r="ES18" s="157"/>
      <c r="ET18" s="157"/>
      <c r="EU18" s="157"/>
      <c r="EV18" s="157"/>
      <c r="EW18" s="157"/>
      <c r="EX18" s="157"/>
      <c r="EY18" s="157"/>
      <c r="EZ18" s="157"/>
      <c r="FA18" s="157"/>
      <c r="FB18" s="157"/>
      <c r="FC18" s="157"/>
      <c r="FD18" s="157"/>
      <c r="FE18" s="157"/>
      <c r="FF18" s="157"/>
      <c r="FG18" s="157"/>
      <c r="FH18" s="157"/>
      <c r="FI18" s="157"/>
      <c r="FJ18" s="157"/>
      <c r="FK18" s="157"/>
      <c r="FL18" s="157"/>
      <c r="FM18" s="157"/>
      <c r="FN18" s="157"/>
      <c r="FO18" s="157"/>
      <c r="FP18" s="157"/>
      <c r="FQ18" s="157"/>
      <c r="FR18" s="157"/>
      <c r="FS18" s="157"/>
      <c r="FT18" s="157"/>
      <c r="FU18" s="157"/>
      <c r="FV18" s="157"/>
      <c r="FW18" s="157"/>
      <c r="FX18" s="157"/>
      <c r="FY18" s="157"/>
      <c r="FZ18" s="157"/>
      <c r="GA18" s="157"/>
      <c r="GB18" s="157"/>
      <c r="GC18" s="157"/>
      <c r="GD18" s="157"/>
      <c r="GE18" s="157"/>
      <c r="GF18" s="157"/>
      <c r="GG18" s="157"/>
      <c r="GH18" s="157"/>
      <c r="GI18" s="157"/>
      <c r="GJ18" s="157"/>
      <c r="GK18" s="157"/>
      <c r="GL18" s="157"/>
      <c r="GM18" s="157"/>
      <c r="GN18" s="157"/>
      <c r="GO18" s="157"/>
      <c r="GP18" s="157"/>
      <c r="GQ18" s="157"/>
      <c r="GR18" s="157"/>
      <c r="GS18" s="157"/>
      <c r="GT18" s="157"/>
      <c r="GU18" s="157"/>
      <c r="GV18" s="157"/>
      <c r="GW18" s="157"/>
      <c r="GX18" s="157"/>
      <c r="GY18" s="157"/>
      <c r="GZ18" s="157"/>
      <c r="HA18" s="157"/>
      <c r="HB18" s="157"/>
      <c r="HC18" s="157"/>
      <c r="HD18" s="157"/>
      <c r="HE18" s="157"/>
      <c r="HF18" s="157"/>
      <c r="HG18" s="157"/>
      <c r="HH18" s="157"/>
      <c r="HI18" s="157"/>
      <c r="HJ18" s="157"/>
      <c r="HK18" s="157"/>
      <c r="HL18" s="157"/>
      <c r="HM18" s="157"/>
      <c r="HN18" s="157"/>
      <c r="HO18" s="157"/>
      <c r="HP18" s="157"/>
      <c r="HQ18" s="157"/>
      <c r="HR18" s="157"/>
      <c r="HS18" s="157"/>
      <c r="HT18" s="157"/>
      <c r="HU18" s="157"/>
      <c r="HV18" s="157"/>
      <c r="HW18" s="157"/>
      <c r="HX18" s="157"/>
      <c r="HY18" s="157"/>
      <c r="HZ18" s="157"/>
      <c r="IA18" s="157"/>
      <c r="IB18" s="157"/>
      <c r="IC18" s="157"/>
      <c r="ID18" s="157"/>
      <c r="IE18" s="157"/>
      <c r="IF18" s="157"/>
      <c r="IG18" s="157"/>
      <c r="IH18" s="157"/>
      <c r="II18" s="157"/>
      <c r="IJ18" s="157"/>
      <c r="IK18" s="157"/>
      <c r="IL18" s="157"/>
      <c r="IM18" s="157"/>
      <c r="IN18" s="157"/>
      <c r="IO18" s="157"/>
      <c r="IP18" s="157"/>
      <c r="IQ18" s="157"/>
      <c r="IR18" s="157"/>
      <c r="IS18" s="157"/>
      <c r="IT18" s="157"/>
      <c r="IU18" s="157"/>
      <c r="IV18" s="157"/>
    </row>
    <row r="19" spans="1:256" ht="15.75" thickBot="1">
      <c r="A19" s="157"/>
      <c r="B19" s="966" t="s">
        <v>434</v>
      </c>
      <c r="C19" s="966"/>
      <c r="D19" s="966"/>
      <c r="E19" s="967">
        <f>107*(1-AVERAGE(0.23,0.24))*0.5</f>
        <v>40.927500000000002</v>
      </c>
      <c r="F19" s="1195">
        <f t="shared" ref="F19" si="1">E19</f>
        <v>40.927500000000002</v>
      </c>
      <c r="G19" s="1195">
        <f t="shared" si="0"/>
        <v>40.927500000000002</v>
      </c>
      <c r="K19" s="171" t="s">
        <v>274</v>
      </c>
      <c r="L19" s="172"/>
      <c r="M19" s="173">
        <f>E12/C46</f>
        <v>13.601656822193281</v>
      </c>
      <c r="N19" s="173">
        <f>F12/C47</f>
        <v>12.144821264894592</v>
      </c>
      <c r="O19" s="963">
        <f>G12/C48</f>
        <v>11.164946281862228</v>
      </c>
      <c r="P19" s="157"/>
      <c r="Q19" s="174"/>
      <c r="R19" s="132"/>
      <c r="S19" s="157"/>
      <c r="T19" s="152"/>
      <c r="U19" s="157"/>
      <c r="V19" s="156"/>
      <c r="W19" s="157"/>
      <c r="X19" s="157"/>
      <c r="Y19" s="157"/>
      <c r="Z19" s="157"/>
      <c r="AA19" s="157"/>
      <c r="AB19" s="157"/>
      <c r="AC19" s="157"/>
      <c r="AD19" s="157"/>
      <c r="AE19" s="157"/>
      <c r="AF19" s="157"/>
      <c r="AG19" s="157"/>
      <c r="AH19" s="157"/>
      <c r="AI19" s="157"/>
      <c r="AJ19" s="157"/>
      <c r="AK19" s="157"/>
      <c r="AL19" s="157"/>
      <c r="AM19" s="157"/>
      <c r="AN19" s="157"/>
      <c r="AO19" s="157"/>
      <c r="AP19" s="157"/>
      <c r="AQ19" s="157"/>
      <c r="AR19" s="157"/>
      <c r="AS19" s="157"/>
      <c r="AT19" s="157"/>
      <c r="AU19" s="157"/>
      <c r="AV19" s="157"/>
      <c r="AW19" s="157"/>
      <c r="AX19" s="157"/>
      <c r="AY19" s="157"/>
      <c r="AZ19" s="157"/>
      <c r="BA19" s="157"/>
      <c r="BB19" s="157"/>
      <c r="BC19" s="157"/>
      <c r="BD19" s="157"/>
      <c r="BE19" s="157"/>
      <c r="BF19" s="157"/>
      <c r="BG19" s="157"/>
      <c r="BH19" s="157"/>
      <c r="BI19" s="157"/>
      <c r="BJ19" s="157"/>
      <c r="BK19" s="157"/>
      <c r="BL19" s="157"/>
      <c r="BM19" s="157"/>
      <c r="BN19" s="157"/>
      <c r="BO19" s="157"/>
      <c r="BP19" s="157"/>
      <c r="BQ19" s="157"/>
      <c r="BR19" s="157"/>
      <c r="BS19" s="157"/>
      <c r="BT19" s="157"/>
      <c r="BU19" s="157"/>
      <c r="BV19" s="157"/>
      <c r="BW19" s="157"/>
      <c r="BX19" s="157"/>
      <c r="BY19" s="157"/>
      <c r="BZ19" s="157"/>
      <c r="CA19" s="157"/>
      <c r="CB19" s="157"/>
      <c r="CC19" s="157"/>
      <c r="CD19" s="157"/>
      <c r="CE19" s="157"/>
      <c r="CF19" s="157"/>
      <c r="CG19" s="157"/>
      <c r="CH19" s="157"/>
      <c r="CI19" s="157"/>
      <c r="CJ19" s="157"/>
      <c r="CK19" s="157"/>
      <c r="CL19" s="157"/>
      <c r="CM19" s="157"/>
      <c r="CN19" s="157"/>
      <c r="CO19" s="157"/>
      <c r="CP19" s="157"/>
      <c r="CQ19" s="157"/>
      <c r="CR19" s="157"/>
      <c r="CS19" s="157"/>
      <c r="CT19" s="157"/>
      <c r="CU19" s="157"/>
      <c r="CV19" s="157"/>
      <c r="CW19" s="157"/>
      <c r="CX19" s="157"/>
      <c r="CY19" s="157"/>
      <c r="CZ19" s="157"/>
      <c r="DA19" s="157"/>
      <c r="DB19" s="157"/>
      <c r="DC19" s="157"/>
      <c r="DD19" s="157"/>
      <c r="DE19" s="157"/>
      <c r="DF19" s="157"/>
      <c r="DG19" s="157"/>
      <c r="DH19" s="157"/>
      <c r="DI19" s="157"/>
      <c r="DJ19" s="157"/>
      <c r="DK19" s="157"/>
      <c r="DL19" s="157"/>
      <c r="DM19" s="157"/>
      <c r="DN19" s="157"/>
      <c r="DO19" s="157"/>
      <c r="DP19" s="157"/>
      <c r="DQ19" s="157"/>
      <c r="DR19" s="157"/>
      <c r="DS19" s="157"/>
      <c r="DT19" s="157"/>
      <c r="DU19" s="157"/>
      <c r="DV19" s="157"/>
      <c r="DW19" s="157"/>
      <c r="DX19" s="157"/>
      <c r="DY19" s="157"/>
      <c r="DZ19" s="157"/>
      <c r="EA19" s="157"/>
      <c r="EB19" s="157"/>
      <c r="EC19" s="157"/>
      <c r="ED19" s="157"/>
      <c r="EE19" s="157"/>
      <c r="EF19" s="157"/>
      <c r="EG19" s="157"/>
      <c r="EH19" s="157"/>
      <c r="EI19" s="157"/>
      <c r="EJ19" s="157"/>
      <c r="EK19" s="157"/>
      <c r="EL19" s="157"/>
      <c r="EM19" s="157"/>
      <c r="EN19" s="157"/>
      <c r="EO19" s="157"/>
      <c r="EP19" s="157"/>
      <c r="EQ19" s="157"/>
      <c r="ER19" s="157"/>
      <c r="ES19" s="157"/>
      <c r="ET19" s="157"/>
      <c r="EU19" s="157"/>
      <c r="EV19" s="157"/>
      <c r="EW19" s="157"/>
      <c r="EX19" s="157"/>
      <c r="EY19" s="157"/>
      <c r="EZ19" s="157"/>
      <c r="FA19" s="157"/>
      <c r="FB19" s="157"/>
      <c r="FC19" s="157"/>
      <c r="FD19" s="157"/>
      <c r="FE19" s="157"/>
      <c r="FF19" s="157"/>
      <c r="FG19" s="157"/>
      <c r="FH19" s="157"/>
      <c r="FI19" s="157"/>
      <c r="FJ19" s="157"/>
      <c r="FK19" s="157"/>
      <c r="FL19" s="157"/>
      <c r="FM19" s="157"/>
      <c r="FN19" s="157"/>
      <c r="FO19" s="157"/>
      <c r="FP19" s="157"/>
      <c r="FQ19" s="157"/>
      <c r="FR19" s="157"/>
      <c r="FS19" s="157"/>
      <c r="FT19" s="157"/>
      <c r="FU19" s="157"/>
      <c r="FV19" s="157"/>
      <c r="FW19" s="157"/>
      <c r="FX19" s="157"/>
      <c r="FY19" s="157"/>
      <c r="FZ19" s="157"/>
      <c r="GA19" s="157"/>
      <c r="GB19" s="157"/>
      <c r="GC19" s="157"/>
      <c r="GD19" s="157"/>
      <c r="GE19" s="157"/>
      <c r="GF19" s="157"/>
      <c r="GG19" s="157"/>
      <c r="GH19" s="157"/>
      <c r="GI19" s="157"/>
      <c r="GJ19" s="157"/>
      <c r="GK19" s="157"/>
      <c r="GL19" s="157"/>
      <c r="GM19" s="157"/>
      <c r="GN19" s="157"/>
      <c r="GO19" s="157"/>
      <c r="GP19" s="157"/>
      <c r="GQ19" s="157"/>
      <c r="GR19" s="157"/>
      <c r="GS19" s="157"/>
      <c r="GT19" s="157"/>
      <c r="GU19" s="157"/>
      <c r="GV19" s="157"/>
      <c r="GW19" s="157"/>
      <c r="GX19" s="157"/>
      <c r="GY19" s="157"/>
      <c r="GZ19" s="157"/>
      <c r="HA19" s="157"/>
      <c r="HB19" s="157"/>
      <c r="HC19" s="157"/>
      <c r="HD19" s="157"/>
      <c r="HE19" s="157"/>
      <c r="HF19" s="157"/>
      <c r="HG19" s="157"/>
      <c r="HH19" s="157"/>
      <c r="HI19" s="157"/>
      <c r="HJ19" s="157"/>
      <c r="HK19" s="157"/>
      <c r="HL19" s="157"/>
      <c r="HM19" s="157"/>
      <c r="HN19" s="157"/>
      <c r="HO19" s="157"/>
      <c r="HP19" s="157"/>
      <c r="HQ19" s="157"/>
      <c r="HR19" s="157"/>
      <c r="HS19" s="157"/>
      <c r="HT19" s="157"/>
      <c r="HU19" s="157"/>
      <c r="HV19" s="157"/>
      <c r="HW19" s="157"/>
      <c r="HX19" s="157"/>
      <c r="HY19" s="157"/>
      <c r="HZ19" s="157"/>
      <c r="IA19" s="157"/>
      <c r="IB19" s="157"/>
      <c r="IC19" s="157"/>
      <c r="ID19" s="157"/>
      <c r="IE19" s="157"/>
      <c r="IF19" s="157"/>
      <c r="IG19" s="157"/>
      <c r="IH19" s="157"/>
      <c r="II19" s="157"/>
      <c r="IJ19" s="157"/>
      <c r="IK19" s="157"/>
      <c r="IL19" s="157"/>
      <c r="IM19" s="157"/>
      <c r="IN19" s="157"/>
      <c r="IO19" s="157"/>
      <c r="IP19" s="157"/>
      <c r="IQ19" s="157"/>
      <c r="IR19" s="157"/>
      <c r="IS19" s="157"/>
      <c r="IT19" s="157"/>
      <c r="IU19" s="157"/>
      <c r="IV19" s="157"/>
    </row>
    <row r="20" spans="1:256" ht="15.75" thickBot="1">
      <c r="A20" s="157"/>
      <c r="B20" s="164" t="s">
        <v>205</v>
      </c>
      <c r="C20" s="164"/>
      <c r="D20" s="164"/>
      <c r="E20" s="165">
        <f>E14+E15-E16+E17+E18+E19</f>
        <v>13051.406499999999</v>
      </c>
      <c r="F20" s="165">
        <f t="shared" ref="F20:G20" si="2">F14+F15-F16+F17+F18+F19</f>
        <v>13125.964249999999</v>
      </c>
      <c r="G20" s="165">
        <f t="shared" si="2"/>
        <v>12625.988285011366</v>
      </c>
      <c r="P20" s="157"/>
      <c r="Q20" s="174"/>
      <c r="R20" s="132"/>
      <c r="S20" s="157"/>
      <c r="T20" s="152"/>
      <c r="U20" s="157"/>
      <c r="V20" s="156"/>
      <c r="W20" s="157"/>
      <c r="X20" s="157"/>
      <c r="Y20" s="157"/>
      <c r="Z20" s="157"/>
      <c r="AA20" s="157"/>
      <c r="AB20" s="157"/>
      <c r="AC20" s="157"/>
      <c r="AD20" s="157"/>
      <c r="AE20" s="157"/>
      <c r="AF20" s="157"/>
      <c r="AG20" s="157"/>
      <c r="AH20" s="157"/>
      <c r="AI20" s="157"/>
      <c r="AJ20" s="157"/>
      <c r="AK20" s="157"/>
      <c r="AL20" s="157"/>
      <c r="AM20" s="157"/>
      <c r="AN20" s="157"/>
      <c r="AO20" s="157"/>
      <c r="AP20" s="157"/>
      <c r="AQ20" s="157"/>
      <c r="AR20" s="157"/>
      <c r="AS20" s="157"/>
      <c r="AT20" s="157"/>
      <c r="AU20" s="157"/>
      <c r="AV20" s="157"/>
      <c r="AW20" s="157"/>
      <c r="AX20" s="157"/>
      <c r="AY20" s="157"/>
      <c r="AZ20" s="157"/>
      <c r="BA20" s="157"/>
      <c r="BB20" s="157"/>
      <c r="BC20" s="157"/>
      <c r="BD20" s="157"/>
      <c r="BE20" s="157"/>
      <c r="BF20" s="157"/>
      <c r="BG20" s="157"/>
      <c r="BH20" s="157"/>
      <c r="BI20" s="157"/>
      <c r="BJ20" s="157"/>
      <c r="BK20" s="157"/>
      <c r="BL20" s="157"/>
      <c r="BM20" s="157"/>
      <c r="BN20" s="157"/>
      <c r="BO20" s="157"/>
      <c r="BP20" s="157"/>
      <c r="BQ20" s="157"/>
      <c r="BR20" s="157"/>
      <c r="BS20" s="157"/>
      <c r="BT20" s="157"/>
      <c r="BU20" s="157"/>
      <c r="BV20" s="157"/>
      <c r="BW20" s="157"/>
      <c r="BX20" s="157"/>
      <c r="BY20" s="157"/>
      <c r="BZ20" s="157"/>
      <c r="CA20" s="157"/>
      <c r="CB20" s="157"/>
      <c r="CC20" s="157"/>
      <c r="CD20" s="157"/>
      <c r="CE20" s="157"/>
      <c r="CF20" s="157"/>
      <c r="CG20" s="157"/>
      <c r="CH20" s="157"/>
      <c r="CI20" s="157"/>
      <c r="CJ20" s="157"/>
      <c r="CK20" s="157"/>
      <c r="CL20" s="157"/>
      <c r="CM20" s="157"/>
      <c r="CN20" s="157"/>
      <c r="CO20" s="157"/>
      <c r="CP20" s="157"/>
      <c r="CQ20" s="157"/>
      <c r="CR20" s="157"/>
      <c r="CS20" s="157"/>
      <c r="CT20" s="157"/>
      <c r="CU20" s="157"/>
      <c r="CV20" s="157"/>
      <c r="CW20" s="157"/>
      <c r="CX20" s="157"/>
      <c r="CY20" s="157"/>
      <c r="CZ20" s="157"/>
      <c r="DA20" s="157"/>
      <c r="DB20" s="157"/>
      <c r="DC20" s="157"/>
      <c r="DD20" s="157"/>
      <c r="DE20" s="157"/>
      <c r="DF20" s="157"/>
      <c r="DG20" s="157"/>
      <c r="DH20" s="157"/>
      <c r="DI20" s="157"/>
      <c r="DJ20" s="157"/>
      <c r="DK20" s="157"/>
      <c r="DL20" s="157"/>
      <c r="DM20" s="157"/>
      <c r="DN20" s="157"/>
      <c r="DO20" s="157"/>
      <c r="DP20" s="157"/>
      <c r="DQ20" s="157"/>
      <c r="DR20" s="157"/>
      <c r="DS20" s="157"/>
      <c r="DT20" s="157"/>
      <c r="DU20" s="157"/>
      <c r="DV20" s="157"/>
      <c r="DW20" s="157"/>
      <c r="DX20" s="157"/>
      <c r="DY20" s="157"/>
      <c r="DZ20" s="157"/>
      <c r="EA20" s="157"/>
      <c r="EB20" s="157"/>
      <c r="EC20" s="157"/>
      <c r="ED20" s="157"/>
      <c r="EE20" s="157"/>
      <c r="EF20" s="157"/>
      <c r="EG20" s="157"/>
      <c r="EH20" s="157"/>
      <c r="EI20" s="157"/>
      <c r="EJ20" s="157"/>
      <c r="EK20" s="157"/>
      <c r="EL20" s="157"/>
      <c r="EM20" s="157"/>
      <c r="EN20" s="157"/>
      <c r="EO20" s="157"/>
      <c r="EP20" s="157"/>
      <c r="EQ20" s="157"/>
      <c r="ER20" s="157"/>
      <c r="ES20" s="157"/>
      <c r="ET20" s="157"/>
      <c r="EU20" s="157"/>
      <c r="EV20" s="157"/>
      <c r="EW20" s="157"/>
      <c r="EX20" s="157"/>
      <c r="EY20" s="157"/>
      <c r="EZ20" s="157"/>
      <c r="FA20" s="157"/>
      <c r="FB20" s="157"/>
      <c r="FC20" s="157"/>
      <c r="FD20" s="157"/>
      <c r="FE20" s="157"/>
      <c r="FF20" s="157"/>
      <c r="FG20" s="157"/>
      <c r="FH20" s="157"/>
      <c r="FI20" s="157"/>
      <c r="FJ20" s="157"/>
      <c r="FK20" s="157"/>
      <c r="FL20" s="157"/>
      <c r="FM20" s="157"/>
      <c r="FN20" s="157"/>
      <c r="FO20" s="157"/>
      <c r="FP20" s="157"/>
      <c r="FQ20" s="157"/>
      <c r="FR20" s="157"/>
      <c r="FS20" s="157"/>
      <c r="FT20" s="157"/>
      <c r="FU20" s="157"/>
      <c r="FV20" s="157"/>
      <c r="FW20" s="157"/>
      <c r="FX20" s="157"/>
      <c r="FY20" s="157"/>
      <c r="FZ20" s="157"/>
      <c r="GA20" s="157"/>
      <c r="GB20" s="157"/>
      <c r="GC20" s="157"/>
      <c r="GD20" s="157"/>
      <c r="GE20" s="157"/>
      <c r="GF20" s="157"/>
      <c r="GG20" s="157"/>
      <c r="GH20" s="157"/>
      <c r="GI20" s="157"/>
      <c r="GJ20" s="157"/>
      <c r="GK20" s="157"/>
      <c r="GL20" s="157"/>
      <c r="GM20" s="157"/>
      <c r="GN20" s="157"/>
      <c r="GO20" s="157"/>
      <c r="GP20" s="157"/>
      <c r="GQ20" s="157"/>
      <c r="GR20" s="157"/>
      <c r="GS20" s="157"/>
      <c r="GT20" s="157"/>
      <c r="GU20" s="157"/>
      <c r="GV20" s="157"/>
      <c r="GW20" s="157"/>
      <c r="GX20" s="157"/>
      <c r="GY20" s="157"/>
      <c r="GZ20" s="157"/>
      <c r="HA20" s="157"/>
      <c r="HB20" s="157"/>
      <c r="HC20" s="157"/>
      <c r="HD20" s="157"/>
      <c r="HE20" s="157"/>
      <c r="HF20" s="157"/>
      <c r="HG20" s="157"/>
      <c r="HH20" s="157"/>
      <c r="HI20" s="157"/>
      <c r="HJ20" s="157"/>
      <c r="HK20" s="157"/>
      <c r="HL20" s="157"/>
      <c r="HM20" s="157"/>
      <c r="HN20" s="157"/>
      <c r="HO20" s="157"/>
      <c r="HP20" s="157"/>
      <c r="HQ20" s="157"/>
      <c r="HR20" s="157"/>
      <c r="HS20" s="157"/>
      <c r="HT20" s="157"/>
      <c r="HU20" s="157"/>
      <c r="HV20" s="157"/>
      <c r="HW20" s="157"/>
      <c r="HX20" s="157"/>
      <c r="HY20" s="157"/>
      <c r="HZ20" s="157"/>
      <c r="IA20" s="157"/>
      <c r="IB20" s="157"/>
      <c r="IC20" s="157"/>
      <c r="ID20" s="157"/>
      <c r="IE20" s="157"/>
      <c r="IF20" s="157"/>
      <c r="IG20" s="157"/>
      <c r="IH20" s="157"/>
      <c r="II20" s="157"/>
      <c r="IJ20" s="157"/>
      <c r="IK20" s="157"/>
      <c r="IL20" s="157"/>
      <c r="IM20" s="157"/>
      <c r="IN20" s="157"/>
      <c r="IO20" s="157"/>
      <c r="IP20" s="157"/>
      <c r="IQ20" s="157"/>
      <c r="IR20" s="157"/>
      <c r="IS20" s="157"/>
      <c r="IT20" s="157"/>
      <c r="IU20" s="157"/>
      <c r="IV20" s="157"/>
    </row>
    <row r="21" spans="1:256">
      <c r="A21" s="157"/>
      <c r="B21" s="151"/>
      <c r="C21" s="151"/>
      <c r="D21" s="151"/>
      <c r="E21" s="166"/>
      <c r="F21" s="166"/>
      <c r="G21" s="166"/>
      <c r="K21" s="151"/>
      <c r="L21" s="151"/>
      <c r="M21" s="168"/>
      <c r="N21" s="169"/>
      <c r="O21" s="168"/>
      <c r="P21" s="157"/>
      <c r="Q21" s="174"/>
      <c r="R21" s="132"/>
      <c r="S21" s="157"/>
      <c r="T21" s="152"/>
      <c r="U21" s="157"/>
      <c r="V21" s="156"/>
      <c r="W21" s="157"/>
      <c r="X21" s="157"/>
      <c r="Y21" s="157"/>
      <c r="Z21" s="157"/>
      <c r="AA21" s="157"/>
      <c r="AB21" s="157"/>
      <c r="AC21" s="157"/>
      <c r="AD21" s="157"/>
      <c r="AE21" s="157"/>
      <c r="AF21" s="157"/>
      <c r="AG21" s="157"/>
      <c r="AH21" s="157"/>
      <c r="AI21" s="157"/>
      <c r="AJ21" s="157"/>
      <c r="AK21" s="157"/>
      <c r="AL21" s="157"/>
      <c r="AM21" s="157"/>
      <c r="AN21" s="157"/>
      <c r="AO21" s="157"/>
      <c r="AP21" s="157"/>
      <c r="AQ21" s="157"/>
      <c r="AR21" s="157"/>
      <c r="AS21" s="157"/>
      <c r="AT21" s="157"/>
      <c r="AU21" s="157"/>
      <c r="AV21" s="157"/>
      <c r="AW21" s="157"/>
      <c r="AX21" s="157"/>
      <c r="AY21" s="157"/>
      <c r="AZ21" s="157"/>
      <c r="BA21" s="157"/>
      <c r="BB21" s="157"/>
      <c r="BC21" s="157"/>
      <c r="BD21" s="157"/>
      <c r="BE21" s="157"/>
      <c r="BF21" s="157"/>
      <c r="BG21" s="157"/>
      <c r="BH21" s="157"/>
      <c r="BI21" s="157"/>
      <c r="BJ21" s="157"/>
      <c r="BK21" s="157"/>
      <c r="BL21" s="157"/>
      <c r="BM21" s="157"/>
      <c r="BN21" s="157"/>
      <c r="BO21" s="157"/>
      <c r="BP21" s="157"/>
      <c r="BQ21" s="157"/>
      <c r="BR21" s="157"/>
      <c r="BS21" s="157"/>
      <c r="BT21" s="157"/>
      <c r="BU21" s="157"/>
      <c r="BV21" s="157"/>
      <c r="BW21" s="157"/>
      <c r="BX21" s="157"/>
      <c r="BY21" s="157"/>
      <c r="BZ21" s="157"/>
      <c r="CA21" s="157"/>
      <c r="CB21" s="157"/>
      <c r="CC21" s="157"/>
      <c r="CD21" s="157"/>
      <c r="CE21" s="157"/>
      <c r="CF21" s="157"/>
      <c r="CG21" s="157"/>
      <c r="CH21" s="157"/>
      <c r="CI21" s="157"/>
      <c r="CJ21" s="157"/>
      <c r="CK21" s="157"/>
      <c r="CL21" s="157"/>
      <c r="CM21" s="157"/>
      <c r="CN21" s="157"/>
      <c r="CO21" s="157"/>
      <c r="CP21" s="157"/>
      <c r="CQ21" s="157"/>
      <c r="CR21" s="157"/>
      <c r="CS21" s="157"/>
      <c r="CT21" s="157"/>
      <c r="CU21" s="157"/>
      <c r="CV21" s="157"/>
      <c r="CW21" s="157"/>
      <c r="CX21" s="157"/>
      <c r="CY21" s="157"/>
      <c r="CZ21" s="157"/>
      <c r="DA21" s="157"/>
      <c r="DB21" s="157"/>
      <c r="DC21" s="157"/>
      <c r="DD21" s="157"/>
      <c r="DE21" s="157"/>
      <c r="DF21" s="157"/>
      <c r="DG21" s="157"/>
      <c r="DH21" s="157"/>
      <c r="DI21" s="157"/>
      <c r="DJ21" s="157"/>
      <c r="DK21" s="157"/>
      <c r="DL21" s="157"/>
      <c r="DM21" s="157"/>
      <c r="DN21" s="157"/>
      <c r="DO21" s="157"/>
      <c r="DP21" s="157"/>
      <c r="DQ21" s="157"/>
      <c r="DR21" s="157"/>
      <c r="DS21" s="157"/>
      <c r="DT21" s="157"/>
      <c r="DU21" s="157"/>
      <c r="DV21" s="157"/>
      <c r="DW21" s="157"/>
      <c r="DX21" s="157"/>
      <c r="DY21" s="157"/>
      <c r="DZ21" s="157"/>
      <c r="EA21" s="157"/>
      <c r="EB21" s="157"/>
      <c r="EC21" s="157"/>
      <c r="ED21" s="157"/>
      <c r="EE21" s="157"/>
      <c r="EF21" s="157"/>
      <c r="EG21" s="157"/>
      <c r="EH21" s="157"/>
      <c r="EI21" s="157"/>
      <c r="EJ21" s="157"/>
      <c r="EK21" s="157"/>
      <c r="EL21" s="157"/>
      <c r="EM21" s="157"/>
      <c r="EN21" s="157"/>
      <c r="EO21" s="157"/>
      <c r="EP21" s="157"/>
      <c r="EQ21" s="157"/>
      <c r="ER21" s="157"/>
      <c r="ES21" s="157"/>
      <c r="ET21" s="157"/>
      <c r="EU21" s="157"/>
      <c r="EV21" s="157"/>
      <c r="EW21" s="157"/>
      <c r="EX21" s="157"/>
      <c r="EY21" s="157"/>
      <c r="EZ21" s="157"/>
      <c r="FA21" s="157"/>
      <c r="FB21" s="157"/>
      <c r="FC21" s="157"/>
      <c r="FD21" s="157"/>
      <c r="FE21" s="157"/>
      <c r="FF21" s="157"/>
      <c r="FG21" s="157"/>
      <c r="FH21" s="157"/>
      <c r="FI21" s="157"/>
      <c r="FJ21" s="157"/>
      <c r="FK21" s="157"/>
      <c r="FL21" s="157"/>
      <c r="FM21" s="157"/>
      <c r="FN21" s="157"/>
      <c r="FO21" s="157"/>
      <c r="FP21" s="157"/>
      <c r="FQ21" s="157"/>
      <c r="FR21" s="157"/>
      <c r="FS21" s="157"/>
      <c r="FT21" s="157"/>
      <c r="FU21" s="157"/>
      <c r="FV21" s="157"/>
      <c r="FW21" s="157"/>
      <c r="FX21" s="157"/>
      <c r="FY21" s="157"/>
      <c r="FZ21" s="157"/>
      <c r="GA21" s="157"/>
      <c r="GB21" s="157"/>
      <c r="GC21" s="157"/>
      <c r="GD21" s="157"/>
      <c r="GE21" s="157"/>
      <c r="GF21" s="157"/>
      <c r="GG21" s="157"/>
      <c r="GH21" s="157"/>
      <c r="GI21" s="157"/>
      <c r="GJ21" s="157"/>
      <c r="GK21" s="157"/>
      <c r="GL21" s="157"/>
      <c r="GM21" s="157"/>
      <c r="GN21" s="157"/>
      <c r="GO21" s="157"/>
      <c r="GP21" s="157"/>
      <c r="GQ21" s="157"/>
      <c r="GR21" s="157"/>
      <c r="GS21" s="157"/>
      <c r="GT21" s="157"/>
      <c r="GU21" s="157"/>
      <c r="GV21" s="157"/>
      <c r="GW21" s="157"/>
      <c r="GX21" s="157"/>
      <c r="GY21" s="157"/>
      <c r="GZ21" s="157"/>
      <c r="HA21" s="157"/>
      <c r="HB21" s="157"/>
      <c r="HC21" s="157"/>
      <c r="HD21" s="157"/>
      <c r="HE21" s="157"/>
      <c r="HF21" s="157"/>
      <c r="HG21" s="157"/>
      <c r="HH21" s="157"/>
      <c r="HI21" s="157"/>
      <c r="HJ21" s="157"/>
      <c r="HK21" s="157"/>
      <c r="HL21" s="157"/>
      <c r="HM21" s="157"/>
      <c r="HN21" s="157"/>
      <c r="HO21" s="157"/>
      <c r="HP21" s="157"/>
      <c r="HQ21" s="157"/>
      <c r="HR21" s="157"/>
      <c r="HS21" s="157"/>
      <c r="HT21" s="157"/>
      <c r="HU21" s="157"/>
      <c r="HV21" s="157"/>
      <c r="HW21" s="157"/>
      <c r="HX21" s="157"/>
      <c r="HY21" s="157"/>
      <c r="HZ21" s="157"/>
      <c r="IA21" s="157"/>
      <c r="IB21" s="157"/>
      <c r="IC21" s="157"/>
      <c r="ID21" s="157"/>
      <c r="IE21" s="157"/>
      <c r="IF21" s="157"/>
      <c r="IG21" s="157"/>
      <c r="IH21" s="157"/>
      <c r="II21" s="157"/>
      <c r="IJ21" s="157"/>
      <c r="IK21" s="157"/>
      <c r="IL21" s="157"/>
      <c r="IM21" s="157"/>
      <c r="IN21" s="157"/>
      <c r="IO21" s="157"/>
      <c r="IP21" s="157"/>
      <c r="IQ21" s="157"/>
      <c r="IR21" s="157"/>
      <c r="IS21" s="157"/>
      <c r="IT21" s="157"/>
      <c r="IU21" s="157"/>
      <c r="IV21" s="157"/>
    </row>
    <row r="22" spans="1:256">
      <c r="B22" s="175" t="s">
        <v>273</v>
      </c>
      <c r="C22" s="176"/>
      <c r="D22" s="177"/>
      <c r="E22" s="177"/>
      <c r="F22" s="177"/>
      <c r="G22" s="177"/>
      <c r="H22" s="177"/>
      <c r="I22" s="177"/>
      <c r="J22" s="177"/>
      <c r="K22" s="177"/>
      <c r="L22" s="177"/>
      <c r="M22" s="177"/>
      <c r="N22" s="178" t="s">
        <v>276</v>
      </c>
      <c r="O22" s="179">
        <f>(Financials!DW58/Financials!DT58)^(1/3)-1</f>
        <v>7.2307635771827972E-2</v>
      </c>
      <c r="V22" s="968"/>
      <c r="W22" s="968"/>
      <c r="X22" s="968"/>
    </row>
    <row r="23" spans="1:256">
      <c r="A23" s="181"/>
      <c r="B23" s="183"/>
      <c r="C23" s="183"/>
      <c r="D23" s="184"/>
      <c r="E23" s="184"/>
      <c r="F23" s="184"/>
      <c r="G23" s="184"/>
      <c r="H23" s="184"/>
      <c r="I23" s="184"/>
      <c r="J23" s="184"/>
      <c r="K23" s="184"/>
      <c r="L23" s="184"/>
      <c r="M23" s="184"/>
      <c r="N23" s="184"/>
      <c r="O23" s="184"/>
      <c r="P23" s="181"/>
      <c r="Q23" s="151"/>
      <c r="R23" s="151"/>
      <c r="S23" s="151"/>
      <c r="T23" s="151"/>
      <c r="U23" s="151"/>
      <c r="V23" s="185"/>
      <c r="W23" s="151"/>
      <c r="X23" s="151"/>
      <c r="Y23" s="151"/>
      <c r="Z23" s="151"/>
      <c r="AA23" s="151"/>
      <c r="AB23" s="151"/>
      <c r="AC23" s="151"/>
      <c r="AD23" s="151"/>
      <c r="AE23" s="151"/>
      <c r="AF23" s="151"/>
      <c r="AG23" s="151"/>
      <c r="AH23" s="151"/>
      <c r="AI23" s="151"/>
      <c r="AJ23" s="151"/>
      <c r="AK23" s="151"/>
      <c r="AL23" s="151"/>
      <c r="AM23" s="151"/>
      <c r="AN23" s="151"/>
      <c r="AO23" s="151"/>
      <c r="AP23" s="151"/>
      <c r="AQ23" s="151"/>
      <c r="AR23" s="151"/>
      <c r="AS23" s="151"/>
      <c r="AT23" s="151"/>
      <c r="AU23" s="151"/>
      <c r="AV23" s="151"/>
      <c r="AW23" s="151"/>
      <c r="AX23" s="151"/>
      <c r="AY23" s="151"/>
      <c r="AZ23" s="151"/>
      <c r="BA23" s="151"/>
      <c r="BB23" s="151"/>
      <c r="BC23" s="151"/>
      <c r="BD23" s="151"/>
      <c r="BE23" s="151"/>
      <c r="BF23" s="151"/>
      <c r="BG23" s="151"/>
      <c r="BH23" s="151"/>
      <c r="BI23" s="151"/>
      <c r="BJ23" s="151"/>
      <c r="BK23" s="151"/>
      <c r="BL23" s="151"/>
      <c r="BM23" s="151"/>
      <c r="BN23" s="151"/>
      <c r="BO23" s="151"/>
      <c r="BP23" s="151"/>
      <c r="BQ23" s="151"/>
      <c r="BR23" s="151"/>
      <c r="BS23" s="151"/>
      <c r="BT23" s="151"/>
      <c r="BU23" s="151"/>
      <c r="BV23" s="151"/>
      <c r="BW23" s="151"/>
      <c r="BX23" s="151"/>
      <c r="BY23" s="151"/>
      <c r="BZ23" s="151"/>
      <c r="CA23" s="151"/>
      <c r="CB23" s="151"/>
      <c r="CC23" s="151"/>
      <c r="CD23" s="151"/>
      <c r="CE23" s="151"/>
      <c r="CF23" s="151"/>
      <c r="CG23" s="151"/>
      <c r="CH23" s="151"/>
      <c r="CI23" s="151"/>
      <c r="CJ23" s="151"/>
      <c r="CK23" s="151"/>
      <c r="CL23" s="151"/>
      <c r="CM23" s="151"/>
      <c r="CN23" s="151"/>
      <c r="CO23" s="151"/>
      <c r="CP23" s="151"/>
      <c r="CQ23" s="151"/>
      <c r="CR23" s="151"/>
      <c r="CS23" s="151"/>
      <c r="CT23" s="151"/>
      <c r="CU23" s="151"/>
      <c r="CV23" s="151"/>
      <c r="CW23" s="151"/>
      <c r="CX23" s="151"/>
      <c r="CY23" s="151"/>
      <c r="CZ23" s="151"/>
      <c r="DA23" s="151"/>
      <c r="DB23" s="151"/>
      <c r="DC23" s="151"/>
      <c r="DD23" s="151"/>
      <c r="DE23" s="151"/>
      <c r="DF23" s="151"/>
      <c r="DG23" s="151"/>
      <c r="DH23" s="151"/>
      <c r="DI23" s="151"/>
      <c r="DJ23" s="151"/>
      <c r="DK23" s="151"/>
      <c r="DL23" s="151"/>
      <c r="DM23" s="151"/>
      <c r="DN23" s="151"/>
      <c r="DO23" s="151"/>
      <c r="DP23" s="151"/>
      <c r="DQ23" s="151"/>
      <c r="DR23" s="151"/>
      <c r="DS23" s="151"/>
      <c r="DT23" s="151"/>
      <c r="DU23" s="151"/>
      <c r="DV23" s="151"/>
      <c r="DW23" s="151"/>
      <c r="DX23" s="151"/>
      <c r="DY23" s="151"/>
      <c r="DZ23" s="151"/>
      <c r="EA23" s="151"/>
      <c r="EB23" s="151"/>
      <c r="EC23" s="151"/>
      <c r="ED23" s="151"/>
      <c r="EE23" s="151"/>
      <c r="EF23" s="151"/>
      <c r="EG23" s="151"/>
      <c r="EH23" s="151"/>
      <c r="EI23" s="151"/>
      <c r="EJ23" s="151"/>
      <c r="EK23" s="151"/>
      <c r="EL23" s="151"/>
      <c r="EM23" s="151"/>
      <c r="EN23" s="151"/>
      <c r="EO23" s="151"/>
      <c r="EP23" s="151"/>
      <c r="EQ23" s="151"/>
      <c r="ER23" s="151"/>
      <c r="ES23" s="151"/>
      <c r="ET23" s="151"/>
      <c r="EU23" s="151"/>
      <c r="EV23" s="151"/>
      <c r="EW23" s="151"/>
      <c r="EX23" s="151"/>
      <c r="EY23" s="151"/>
      <c r="EZ23" s="151"/>
      <c r="FA23" s="151"/>
      <c r="FB23" s="151"/>
      <c r="FC23" s="151"/>
      <c r="FD23" s="151"/>
      <c r="FE23" s="151"/>
      <c r="FF23" s="151"/>
      <c r="FG23" s="151"/>
      <c r="FH23" s="151"/>
      <c r="FI23" s="151"/>
      <c r="FJ23" s="151"/>
      <c r="FK23" s="151"/>
      <c r="FL23" s="151"/>
      <c r="FM23" s="151"/>
      <c r="FN23" s="151"/>
      <c r="FO23" s="151"/>
      <c r="FP23" s="151"/>
      <c r="FQ23" s="151"/>
      <c r="FR23" s="151"/>
      <c r="FS23" s="151"/>
      <c r="FT23" s="151"/>
      <c r="FU23" s="151"/>
      <c r="FV23" s="151"/>
      <c r="FW23" s="151"/>
      <c r="FX23" s="151"/>
      <c r="FY23" s="151"/>
      <c r="FZ23" s="151"/>
      <c r="GA23" s="151"/>
      <c r="GB23" s="151"/>
      <c r="GC23" s="151"/>
      <c r="GD23" s="151"/>
      <c r="GE23" s="151"/>
      <c r="GF23" s="151"/>
      <c r="GG23" s="151"/>
      <c r="GH23" s="151"/>
      <c r="GI23" s="151"/>
      <c r="GJ23" s="151"/>
      <c r="GK23" s="151"/>
      <c r="GL23" s="151"/>
      <c r="GM23" s="151"/>
      <c r="GN23" s="151"/>
      <c r="GO23" s="151"/>
      <c r="GP23" s="151"/>
      <c r="GQ23" s="151"/>
      <c r="GR23" s="151"/>
      <c r="GS23" s="151"/>
      <c r="GT23" s="151"/>
      <c r="GU23" s="151"/>
      <c r="GV23" s="151"/>
      <c r="GW23" s="151"/>
      <c r="GX23" s="151"/>
      <c r="GY23" s="151"/>
      <c r="GZ23" s="151"/>
      <c r="HA23" s="151"/>
      <c r="HB23" s="151"/>
      <c r="HC23" s="151"/>
      <c r="HD23" s="151"/>
      <c r="HE23" s="151"/>
      <c r="HF23" s="151"/>
      <c r="HG23" s="151"/>
      <c r="HH23" s="151"/>
      <c r="HI23" s="151"/>
      <c r="HJ23" s="151"/>
      <c r="HK23" s="151"/>
      <c r="HL23" s="151"/>
      <c r="HM23" s="151"/>
      <c r="HN23" s="151"/>
      <c r="HO23" s="151"/>
      <c r="HP23" s="151"/>
      <c r="HQ23" s="151"/>
      <c r="HR23" s="151"/>
      <c r="HS23" s="151"/>
      <c r="HT23" s="151"/>
      <c r="HU23" s="151"/>
      <c r="HV23" s="151"/>
      <c r="HW23" s="151"/>
      <c r="HX23" s="151"/>
      <c r="HY23" s="151"/>
      <c r="HZ23" s="151"/>
      <c r="IA23" s="151"/>
      <c r="IB23" s="151"/>
      <c r="IC23" s="151"/>
      <c r="ID23" s="151"/>
      <c r="IE23" s="151"/>
      <c r="IF23" s="151"/>
      <c r="IG23" s="151"/>
      <c r="IH23" s="151"/>
      <c r="II23" s="151"/>
      <c r="IJ23" s="151"/>
      <c r="IK23" s="151"/>
      <c r="IL23" s="151"/>
      <c r="IM23" s="151"/>
      <c r="IN23" s="151"/>
      <c r="IO23" s="151"/>
      <c r="IP23" s="151"/>
      <c r="IQ23" s="151"/>
      <c r="IR23" s="151"/>
      <c r="IS23" s="151"/>
      <c r="IT23" s="151"/>
      <c r="IU23" s="151"/>
      <c r="IV23" s="151"/>
    </row>
    <row r="24" spans="1:256">
      <c r="A24" s="181"/>
      <c r="B24" s="186" t="s">
        <v>270</v>
      </c>
      <c r="C24" s="183"/>
      <c r="D24" s="184"/>
      <c r="E24" s="184"/>
      <c r="F24" s="184"/>
      <c r="G24" s="184"/>
      <c r="H24" s="184"/>
      <c r="I24" s="184"/>
      <c r="J24" s="184"/>
      <c r="K24" s="157"/>
      <c r="Q24" s="131"/>
      <c r="V24" s="129"/>
    </row>
    <row r="25" spans="1:256">
      <c r="B25" s="199"/>
      <c r="C25" s="195"/>
      <c r="D25" s="189">
        <v>5.5</v>
      </c>
      <c r="E25" s="188">
        <f t="shared" ref="E25:J25" si="3">D25+0.5</f>
        <v>6</v>
      </c>
      <c r="F25" s="188">
        <f t="shared" si="3"/>
        <v>6.5</v>
      </c>
      <c r="G25" s="188">
        <f t="shared" si="3"/>
        <v>7</v>
      </c>
      <c r="H25" s="188">
        <f t="shared" si="3"/>
        <v>7.5</v>
      </c>
      <c r="I25" s="188">
        <f t="shared" si="3"/>
        <v>8</v>
      </c>
      <c r="J25" s="188">
        <f t="shared" si="3"/>
        <v>8.5</v>
      </c>
      <c r="K25" s="189">
        <v>9</v>
      </c>
      <c r="Q25" s="131"/>
      <c r="V25" s="129"/>
    </row>
    <row r="26" spans="1:256">
      <c r="B26" s="1176">
        <v>2017</v>
      </c>
      <c r="C26" s="200">
        <f>Financials!$DT$58</f>
        <v>1626.4999999999989</v>
      </c>
      <c r="D26" s="192">
        <f t="shared" ref="D26:K26" si="4">($C26*D$25-$E$15+$E$16-$E$17-$E$18-$E$19)/$E$13</f>
        <v>33.42128516928944</v>
      </c>
      <c r="E26" s="192">
        <f t="shared" si="4"/>
        <v>37.299444444444411</v>
      </c>
      <c r="F26" s="192">
        <f t="shared" si="4"/>
        <v>41.177603719599389</v>
      </c>
      <c r="G26" s="192">
        <f t="shared" si="4"/>
        <v>45.055762994754375</v>
      </c>
      <c r="H26" s="192">
        <f t="shared" si="4"/>
        <v>48.933922269909353</v>
      </c>
      <c r="I26" s="192">
        <f t="shared" si="4"/>
        <v>52.812081545064338</v>
      </c>
      <c r="J26" s="192">
        <f t="shared" si="4"/>
        <v>56.690240820219316</v>
      </c>
      <c r="K26" s="192">
        <f t="shared" si="4"/>
        <v>60.568400095374294</v>
      </c>
      <c r="Q26" s="131"/>
      <c r="V26" s="129"/>
    </row>
    <row r="27" spans="1:256">
      <c r="B27" s="190" t="s">
        <v>268</v>
      </c>
      <c r="C27" s="200">
        <f>Financials!$DU$58</f>
        <v>1861.6613780073581</v>
      </c>
      <c r="D27" s="192">
        <f t="shared" ref="D27:K27" si="5">($C27*D$25-$F$15+$F$16-$F$17-$F$18-$F$19)/$F$13</f>
        <v>39.325275383380536</v>
      </c>
      <c r="E27" s="192">
        <f t="shared" si="5"/>
        <v>43.734564470554105</v>
      </c>
      <c r="F27" s="192">
        <f t="shared" si="5"/>
        <v>48.143853557727681</v>
      </c>
      <c r="G27" s="192">
        <f t="shared" si="5"/>
        <v>52.55314264490125</v>
      </c>
      <c r="H27" s="192">
        <f t="shared" si="5"/>
        <v>56.962431732074826</v>
      </c>
      <c r="I27" s="192">
        <f t="shared" si="5"/>
        <v>61.371720819248388</v>
      </c>
      <c r="J27" s="192">
        <f t="shared" si="5"/>
        <v>65.781009906421957</v>
      </c>
      <c r="K27" s="192">
        <f t="shared" si="5"/>
        <v>70.190298993595519</v>
      </c>
      <c r="Q27" s="131"/>
      <c r="V27" s="129"/>
    </row>
    <row r="28" spans="1:256">
      <c r="B28" s="190" t="s">
        <v>277</v>
      </c>
      <c r="C28" s="200">
        <f>Financials!$DV$58</f>
        <v>1951.2132953067885</v>
      </c>
      <c r="D28" s="192">
        <f>($C28*D$25-$G$15+$G$16-$G$17-$G$18-$G$19)/$G$13</f>
        <v>43.927387952805461</v>
      </c>
      <c r="E28" s="192">
        <f>($C28*E$25-$G$15+$G$16-$G$17-$G$18-$G$19)/$G$13</f>
        <v>48.599947623907354</v>
      </c>
      <c r="F28" s="192">
        <f>($C28*F$25-$G$15+$G$16-$G$17-$G$18-$G$19)/$G$13</f>
        <v>53.272507295009255</v>
      </c>
      <c r="G28" s="192">
        <f>($C28*G$25-$G$15+$G$16-$G$17-$G$18-$G$19)/$G$13</f>
        <v>57.945066966111149</v>
      </c>
      <c r="H28" s="193">
        <f>($C28*H$25-$G$15+$G$16-$G$17-$G$18-$G$19)/$G$13</f>
        <v>62.617626637213043</v>
      </c>
      <c r="I28" s="193">
        <f>($C28*I$25-$F$15+$F$16-$F$17-$F$18-$F$19)/$F$13</f>
        <v>64.765337263987576</v>
      </c>
      <c r="J28" s="192">
        <f>($C28*J$25-$G$15+$G$16-$G$17-$G$18-$G$19)/$G$13</f>
        <v>71.962745979416852</v>
      </c>
      <c r="K28" s="192">
        <f>($C28*K$25-$G$15+$G$16-$G$17-$G$18-$G$19)/$G$13</f>
        <v>76.635305650518731</v>
      </c>
      <c r="Q28" s="131"/>
      <c r="V28" s="129"/>
    </row>
    <row r="29" spans="1:256">
      <c r="A29" s="181"/>
      <c r="B29" s="194"/>
      <c r="C29" s="159"/>
      <c r="D29" s="184"/>
      <c r="E29" s="184"/>
      <c r="F29" s="184"/>
      <c r="G29" s="184"/>
      <c r="H29" s="184"/>
      <c r="I29" s="184"/>
      <c r="J29" s="184"/>
      <c r="K29" s="184"/>
      <c r="Q29" s="131"/>
      <c r="V29" s="129"/>
    </row>
    <row r="30" spans="1:256">
      <c r="A30" s="181"/>
      <c r="B30" s="186" t="s">
        <v>278</v>
      </c>
      <c r="C30" s="183"/>
      <c r="D30" s="184"/>
      <c r="E30" s="184"/>
      <c r="F30" s="184"/>
      <c r="G30" s="184"/>
      <c r="H30" s="184"/>
      <c r="I30" s="184"/>
      <c r="J30" s="184"/>
      <c r="K30" s="184"/>
      <c r="Q30" s="131"/>
      <c r="V30" s="129"/>
    </row>
    <row r="31" spans="1:256">
      <c r="B31" s="195"/>
      <c r="C31" s="195"/>
      <c r="D31" s="188">
        <f t="shared" ref="D31:K31" si="6">D25</f>
        <v>5.5</v>
      </c>
      <c r="E31" s="188">
        <f t="shared" si="6"/>
        <v>6</v>
      </c>
      <c r="F31" s="188">
        <f t="shared" si="6"/>
        <v>6.5</v>
      </c>
      <c r="G31" s="188">
        <f t="shared" si="6"/>
        <v>7</v>
      </c>
      <c r="H31" s="188">
        <f t="shared" si="6"/>
        <v>7.5</v>
      </c>
      <c r="I31" s="188">
        <f t="shared" si="6"/>
        <v>8</v>
      </c>
      <c r="J31" s="188">
        <f t="shared" si="6"/>
        <v>8.5</v>
      </c>
      <c r="K31" s="188">
        <f t="shared" si="6"/>
        <v>9</v>
      </c>
      <c r="Q31" s="131"/>
      <c r="V31" s="129"/>
    </row>
    <row r="32" spans="1:256">
      <c r="B32" s="1176">
        <v>2017</v>
      </c>
      <c r="C32" s="1178">
        <f>C26</f>
        <v>1626.4999999999989</v>
      </c>
      <c r="D32" s="192">
        <f t="shared" ref="D32:K32" si="7">($C32*D$31-$E$15+$E$16-$E$17-$E$18-$E$19)/$E$13</f>
        <v>33.42128516928944</v>
      </c>
      <c r="E32" s="192">
        <f t="shared" si="7"/>
        <v>37.299444444444411</v>
      </c>
      <c r="F32" s="192">
        <f t="shared" si="7"/>
        <v>41.177603719599389</v>
      </c>
      <c r="G32" s="192">
        <f t="shared" si="7"/>
        <v>45.055762994754375</v>
      </c>
      <c r="H32" s="192">
        <f t="shared" si="7"/>
        <v>48.933922269909353</v>
      </c>
      <c r="I32" s="192">
        <f t="shared" si="7"/>
        <v>52.812081545064338</v>
      </c>
      <c r="J32" s="192">
        <f t="shared" si="7"/>
        <v>56.690240820219316</v>
      </c>
      <c r="K32" s="192">
        <f t="shared" si="7"/>
        <v>60.568400095374294</v>
      </c>
      <c r="Q32" s="131"/>
      <c r="V32" s="129"/>
    </row>
    <row r="33" spans="1:256">
      <c r="B33" s="190" t="s">
        <v>268</v>
      </c>
      <c r="C33" s="201">
        <v>1786.944</v>
      </c>
      <c r="D33" s="192">
        <f t="shared" ref="D33:K33" si="8">($C33*D$31-$F$15+$F$16-$F$17-$F$18-$F$19)/$F$13</f>
        <v>37.378650848445162</v>
      </c>
      <c r="E33" s="192">
        <f t="shared" si="8"/>
        <v>41.610974068806428</v>
      </c>
      <c r="F33" s="192">
        <f t="shared" si="8"/>
        <v>45.843297289167687</v>
      </c>
      <c r="G33" s="192">
        <f t="shared" si="8"/>
        <v>50.075620509528953</v>
      </c>
      <c r="H33" s="192">
        <f t="shared" si="8"/>
        <v>54.307943729890212</v>
      </c>
      <c r="I33" s="192">
        <f t="shared" si="8"/>
        <v>58.540266950251471</v>
      </c>
      <c r="J33" s="192">
        <f t="shared" si="8"/>
        <v>62.772590170612737</v>
      </c>
      <c r="K33" s="192">
        <f t="shared" si="8"/>
        <v>67.004913390973996</v>
      </c>
      <c r="Q33" s="131"/>
      <c r="V33" s="129"/>
    </row>
    <row r="34" spans="1:256">
      <c r="B34" s="190" t="s">
        <v>277</v>
      </c>
      <c r="C34" s="201">
        <v>1894.056</v>
      </c>
      <c r="D34" s="192">
        <f t="shared" ref="D34:K34" si="9">($C34*D$31-$G$15+$G$16-$G$17-$G$18-$G$19)/$G$13</f>
        <v>42.421771109365771</v>
      </c>
      <c r="E34" s="192">
        <f t="shared" si="9"/>
        <v>46.957456521973135</v>
      </c>
      <c r="F34" s="192">
        <f t="shared" si="9"/>
        <v>51.493141934580521</v>
      </c>
      <c r="G34" s="192">
        <f t="shared" si="9"/>
        <v>56.028827347187899</v>
      </c>
      <c r="H34" s="193">
        <f t="shared" si="9"/>
        <v>60.564512759795278</v>
      </c>
      <c r="I34" s="193">
        <f t="shared" si="9"/>
        <v>65.100198172402656</v>
      </c>
      <c r="J34" s="192">
        <f t="shared" si="9"/>
        <v>69.635883585010035</v>
      </c>
      <c r="K34" s="192">
        <f t="shared" si="9"/>
        <v>74.171568997617413</v>
      </c>
      <c r="Q34" s="131"/>
      <c r="V34" s="129"/>
    </row>
    <row r="35" spans="1:256">
      <c r="A35" s="157"/>
      <c r="B35" s="151"/>
      <c r="C35" s="151"/>
      <c r="D35" s="151"/>
      <c r="E35" s="166"/>
      <c r="F35" s="166"/>
      <c r="G35" s="166"/>
      <c r="P35" s="157"/>
      <c r="Q35" s="174"/>
      <c r="R35" s="132"/>
      <c r="S35" s="157"/>
      <c r="T35" s="152"/>
      <c r="U35" s="157"/>
      <c r="V35" s="156"/>
      <c r="W35" s="157"/>
      <c r="X35" s="157"/>
      <c r="Y35" s="157"/>
      <c r="Z35" s="157"/>
      <c r="AA35" s="157"/>
      <c r="AB35" s="157"/>
      <c r="AC35" s="157"/>
      <c r="AD35" s="157"/>
      <c r="AE35" s="157"/>
      <c r="AF35" s="157"/>
      <c r="AG35" s="157"/>
      <c r="AH35" s="157"/>
      <c r="AI35" s="157"/>
      <c r="AJ35" s="157"/>
      <c r="AK35" s="157"/>
      <c r="AL35" s="157"/>
      <c r="AM35" s="157"/>
      <c r="AN35" s="157"/>
      <c r="AO35" s="157"/>
      <c r="AP35" s="157"/>
      <c r="AQ35" s="157"/>
      <c r="AR35" s="157"/>
      <c r="AS35" s="157"/>
      <c r="AT35" s="157"/>
      <c r="AU35" s="157"/>
      <c r="AV35" s="157"/>
      <c r="AW35" s="157"/>
      <c r="AX35" s="157"/>
      <c r="AY35" s="157"/>
      <c r="AZ35" s="157"/>
      <c r="BA35" s="157"/>
      <c r="BB35" s="157"/>
      <c r="BC35" s="157"/>
      <c r="BD35" s="157"/>
      <c r="BE35" s="157"/>
      <c r="BF35" s="157"/>
      <c r="BG35" s="157"/>
      <c r="BH35" s="157"/>
      <c r="BI35" s="157"/>
      <c r="BJ35" s="157"/>
      <c r="BK35" s="157"/>
      <c r="BL35" s="157"/>
      <c r="BM35" s="157"/>
      <c r="BN35" s="157"/>
      <c r="BO35" s="157"/>
      <c r="BP35" s="157"/>
      <c r="BQ35" s="157"/>
      <c r="BR35" s="157"/>
      <c r="BS35" s="157"/>
      <c r="BT35" s="157"/>
      <c r="BU35" s="157"/>
      <c r="BV35" s="157"/>
      <c r="BW35" s="157"/>
      <c r="BX35" s="157"/>
      <c r="BY35" s="157"/>
      <c r="BZ35" s="157"/>
      <c r="CA35" s="157"/>
      <c r="CB35" s="157"/>
      <c r="CC35" s="157"/>
      <c r="CD35" s="157"/>
      <c r="CE35" s="157"/>
      <c r="CF35" s="157"/>
      <c r="CG35" s="157"/>
      <c r="CH35" s="157"/>
      <c r="CI35" s="157"/>
      <c r="CJ35" s="157"/>
      <c r="CK35" s="157"/>
      <c r="CL35" s="157"/>
      <c r="CM35" s="157"/>
      <c r="CN35" s="157"/>
      <c r="CO35" s="157"/>
      <c r="CP35" s="157"/>
      <c r="CQ35" s="157"/>
      <c r="CR35" s="157"/>
      <c r="CS35" s="157"/>
      <c r="CT35" s="157"/>
      <c r="CU35" s="157"/>
      <c r="CV35" s="157"/>
      <c r="CW35" s="157"/>
      <c r="CX35" s="157"/>
      <c r="CY35" s="157"/>
      <c r="CZ35" s="157"/>
      <c r="DA35" s="157"/>
      <c r="DB35" s="157"/>
      <c r="DC35" s="157"/>
      <c r="DD35" s="157"/>
      <c r="DE35" s="157"/>
      <c r="DF35" s="157"/>
      <c r="DG35" s="157"/>
      <c r="DH35" s="157"/>
      <c r="DI35" s="157"/>
      <c r="DJ35" s="157"/>
      <c r="DK35" s="157"/>
      <c r="DL35" s="157"/>
      <c r="DM35" s="157"/>
      <c r="DN35" s="157"/>
      <c r="DO35" s="157"/>
      <c r="DP35" s="157"/>
      <c r="DQ35" s="157"/>
      <c r="DR35" s="157"/>
      <c r="DS35" s="157"/>
      <c r="DT35" s="157"/>
      <c r="DU35" s="157"/>
      <c r="DV35" s="157"/>
      <c r="DW35" s="157"/>
      <c r="DX35" s="157"/>
      <c r="DY35" s="157"/>
      <c r="DZ35" s="157"/>
      <c r="EA35" s="157"/>
      <c r="EB35" s="157"/>
      <c r="EC35" s="157"/>
      <c r="ED35" s="157"/>
      <c r="EE35" s="157"/>
      <c r="EF35" s="157"/>
      <c r="EG35" s="157"/>
      <c r="EH35" s="157"/>
      <c r="EI35" s="157"/>
      <c r="EJ35" s="157"/>
      <c r="EK35" s="157"/>
      <c r="EL35" s="157"/>
      <c r="EM35" s="157"/>
      <c r="EN35" s="157"/>
      <c r="EO35" s="157"/>
      <c r="EP35" s="157"/>
      <c r="EQ35" s="157"/>
      <c r="ER35" s="157"/>
      <c r="ES35" s="157"/>
      <c r="ET35" s="157"/>
      <c r="EU35" s="157"/>
      <c r="EV35" s="157"/>
      <c r="EW35" s="157"/>
      <c r="EX35" s="157"/>
      <c r="EY35" s="157"/>
      <c r="EZ35" s="157"/>
      <c r="FA35" s="157"/>
      <c r="FB35" s="157"/>
      <c r="FC35" s="157"/>
      <c r="FD35" s="157"/>
      <c r="FE35" s="157"/>
      <c r="FF35" s="157"/>
      <c r="FG35" s="157"/>
      <c r="FH35" s="157"/>
      <c r="FI35" s="157"/>
      <c r="FJ35" s="157"/>
      <c r="FK35" s="157"/>
      <c r="FL35" s="157"/>
      <c r="FM35" s="157"/>
      <c r="FN35" s="157"/>
      <c r="FO35" s="157"/>
      <c r="FP35" s="157"/>
      <c r="FQ35" s="157"/>
      <c r="FR35" s="157"/>
      <c r="FS35" s="157"/>
      <c r="FT35" s="157"/>
      <c r="FU35" s="157"/>
      <c r="FV35" s="157"/>
      <c r="FW35" s="157"/>
      <c r="FX35" s="157"/>
      <c r="FY35" s="157"/>
      <c r="FZ35" s="157"/>
      <c r="GA35" s="157"/>
      <c r="GB35" s="157"/>
      <c r="GC35" s="157"/>
      <c r="GD35" s="157"/>
      <c r="GE35" s="157"/>
      <c r="GF35" s="157"/>
      <c r="GG35" s="157"/>
      <c r="GH35" s="157"/>
      <c r="GI35" s="157"/>
      <c r="GJ35" s="157"/>
      <c r="GK35" s="157"/>
      <c r="GL35" s="157"/>
      <c r="GM35" s="157"/>
      <c r="GN35" s="157"/>
      <c r="GO35" s="157"/>
      <c r="GP35" s="157"/>
      <c r="GQ35" s="157"/>
      <c r="GR35" s="157"/>
      <c r="GS35" s="157"/>
      <c r="GT35" s="157"/>
      <c r="GU35" s="157"/>
      <c r="GV35" s="157"/>
      <c r="GW35" s="157"/>
      <c r="GX35" s="157"/>
      <c r="GY35" s="157"/>
      <c r="GZ35" s="157"/>
      <c r="HA35" s="157"/>
      <c r="HB35" s="157"/>
      <c r="HC35" s="157"/>
      <c r="HD35" s="157"/>
      <c r="HE35" s="157"/>
      <c r="HF35" s="157"/>
      <c r="HG35" s="157"/>
      <c r="HH35" s="157"/>
      <c r="HI35" s="157"/>
      <c r="HJ35" s="157"/>
      <c r="HK35" s="157"/>
      <c r="HL35" s="157"/>
      <c r="HM35" s="157"/>
      <c r="HN35" s="157"/>
      <c r="HO35" s="157"/>
      <c r="HP35" s="157"/>
      <c r="HQ35" s="157"/>
      <c r="HR35" s="157"/>
      <c r="HS35" s="157"/>
      <c r="HT35" s="157"/>
      <c r="HU35" s="157"/>
      <c r="HV35" s="157"/>
      <c r="HW35" s="157"/>
      <c r="HX35" s="157"/>
      <c r="HY35" s="157"/>
      <c r="HZ35" s="157"/>
      <c r="IA35" s="157"/>
      <c r="IB35" s="157"/>
      <c r="IC35" s="157"/>
      <c r="ID35" s="157"/>
      <c r="IE35" s="157"/>
      <c r="IF35" s="157"/>
      <c r="IG35" s="157"/>
      <c r="IH35" s="157"/>
      <c r="II35" s="157"/>
      <c r="IJ35" s="157"/>
      <c r="IK35" s="157"/>
      <c r="IL35" s="157"/>
      <c r="IM35" s="157"/>
      <c r="IN35" s="157"/>
      <c r="IO35" s="157"/>
      <c r="IP35" s="157"/>
      <c r="IQ35" s="157"/>
      <c r="IR35" s="157"/>
      <c r="IS35" s="157"/>
      <c r="IT35" s="157"/>
      <c r="IU35" s="157"/>
      <c r="IV35" s="157"/>
    </row>
    <row r="36" spans="1:256">
      <c r="A36" s="132"/>
      <c r="B36" s="175" t="s">
        <v>274</v>
      </c>
      <c r="C36" s="176"/>
      <c r="D36" s="177"/>
      <c r="E36" s="177"/>
      <c r="F36" s="177"/>
      <c r="G36" s="177"/>
      <c r="H36" s="177"/>
      <c r="I36" s="177"/>
      <c r="J36" s="177"/>
      <c r="K36" s="177"/>
      <c r="L36" s="177"/>
      <c r="M36" s="177"/>
      <c r="N36" s="178" t="s">
        <v>276</v>
      </c>
      <c r="O36" s="179">
        <f>(Financials!DW44/Financials!DT44)^(1/3)-1</f>
        <v>5.9589629305935254E-2</v>
      </c>
      <c r="P36" s="132"/>
      <c r="Q36" s="180"/>
      <c r="T36" s="180"/>
      <c r="V36" s="156"/>
    </row>
    <row r="37" spans="1:256">
      <c r="A37" s="181"/>
      <c r="B37" s="182"/>
      <c r="C37" s="183"/>
      <c r="D37" s="184"/>
      <c r="E37" s="184"/>
      <c r="F37" s="184"/>
      <c r="G37" s="184"/>
      <c r="H37" s="184"/>
      <c r="I37" s="184"/>
      <c r="J37" s="184"/>
      <c r="K37" s="184"/>
      <c r="L37" s="184"/>
      <c r="M37" s="184"/>
      <c r="N37" s="184"/>
      <c r="O37" s="184"/>
      <c r="P37" s="181"/>
      <c r="Q37" s="151"/>
      <c r="R37" s="151"/>
      <c r="S37" s="151"/>
      <c r="T37" s="151"/>
      <c r="U37" s="151"/>
      <c r="V37" s="185"/>
      <c r="W37" s="151"/>
      <c r="X37" s="151"/>
      <c r="Y37" s="151"/>
      <c r="Z37" s="151"/>
      <c r="AA37" s="151"/>
      <c r="AB37" s="151"/>
      <c r="AC37" s="151"/>
      <c r="AD37" s="151"/>
      <c r="AE37" s="151"/>
      <c r="AF37" s="151"/>
      <c r="AG37" s="151"/>
      <c r="AH37" s="151"/>
      <c r="AI37" s="151"/>
      <c r="AJ37" s="151"/>
      <c r="AK37" s="151"/>
      <c r="AL37" s="151"/>
      <c r="AM37" s="151"/>
      <c r="AN37" s="151"/>
      <c r="AO37" s="151"/>
      <c r="AP37" s="151"/>
      <c r="AQ37" s="151"/>
      <c r="AR37" s="151"/>
      <c r="AS37" s="151"/>
      <c r="AT37" s="151"/>
      <c r="AU37" s="151"/>
      <c r="AV37" s="151"/>
      <c r="AW37" s="151"/>
      <c r="AX37" s="151"/>
      <c r="AY37" s="151"/>
      <c r="AZ37" s="151"/>
      <c r="BA37" s="151"/>
      <c r="BB37" s="151"/>
      <c r="BC37" s="151"/>
      <c r="BD37" s="151"/>
      <c r="BE37" s="151"/>
      <c r="BF37" s="151"/>
      <c r="BG37" s="151"/>
      <c r="BH37" s="151"/>
      <c r="BI37" s="151"/>
      <c r="BJ37" s="151"/>
      <c r="BK37" s="151"/>
      <c r="BL37" s="151"/>
      <c r="BM37" s="151"/>
      <c r="BN37" s="151"/>
      <c r="BO37" s="151"/>
      <c r="BP37" s="151"/>
      <c r="BQ37" s="151"/>
      <c r="BR37" s="151"/>
      <c r="BS37" s="151"/>
      <c r="BT37" s="151"/>
      <c r="BU37" s="151"/>
      <c r="BV37" s="151"/>
      <c r="BW37" s="151"/>
      <c r="BX37" s="151"/>
      <c r="BY37" s="151"/>
      <c r="BZ37" s="151"/>
      <c r="CA37" s="151"/>
      <c r="CB37" s="151"/>
      <c r="CC37" s="151"/>
      <c r="CD37" s="151"/>
      <c r="CE37" s="151"/>
      <c r="CF37" s="151"/>
      <c r="CG37" s="151"/>
      <c r="CH37" s="151"/>
      <c r="CI37" s="151"/>
      <c r="CJ37" s="151"/>
      <c r="CK37" s="151"/>
      <c r="CL37" s="151"/>
      <c r="CM37" s="151"/>
      <c r="CN37" s="151"/>
      <c r="CO37" s="151"/>
      <c r="CP37" s="151"/>
      <c r="CQ37" s="151"/>
      <c r="CR37" s="151"/>
      <c r="CS37" s="151"/>
      <c r="CT37" s="151"/>
      <c r="CU37" s="151"/>
      <c r="CV37" s="151"/>
      <c r="CW37" s="151"/>
      <c r="CX37" s="151"/>
      <c r="CY37" s="151"/>
      <c r="CZ37" s="151"/>
      <c r="DA37" s="151"/>
      <c r="DB37" s="151"/>
      <c r="DC37" s="151"/>
      <c r="DD37" s="151"/>
      <c r="DE37" s="151"/>
      <c r="DF37" s="151"/>
      <c r="DG37" s="151"/>
      <c r="DH37" s="151"/>
      <c r="DI37" s="151"/>
      <c r="DJ37" s="151"/>
      <c r="DK37" s="151"/>
      <c r="DL37" s="151"/>
      <c r="DM37" s="151"/>
      <c r="DN37" s="151"/>
      <c r="DO37" s="151"/>
      <c r="DP37" s="151"/>
      <c r="DQ37" s="151"/>
      <c r="DR37" s="151"/>
      <c r="DS37" s="151"/>
      <c r="DT37" s="151"/>
      <c r="DU37" s="151"/>
      <c r="DV37" s="151"/>
      <c r="DW37" s="151"/>
      <c r="DX37" s="151"/>
      <c r="DY37" s="151"/>
      <c r="DZ37" s="151"/>
      <c r="EA37" s="151"/>
      <c r="EB37" s="151"/>
      <c r="EC37" s="151"/>
      <c r="ED37" s="151"/>
      <c r="EE37" s="151"/>
      <c r="EF37" s="151"/>
      <c r="EG37" s="151"/>
      <c r="EH37" s="151"/>
      <c r="EI37" s="151"/>
      <c r="EJ37" s="151"/>
      <c r="EK37" s="151"/>
      <c r="EL37" s="151"/>
      <c r="EM37" s="151"/>
      <c r="EN37" s="151"/>
      <c r="EO37" s="151"/>
      <c r="EP37" s="151"/>
      <c r="EQ37" s="151"/>
      <c r="ER37" s="151"/>
      <c r="ES37" s="151"/>
      <c r="ET37" s="151"/>
      <c r="EU37" s="151"/>
      <c r="EV37" s="151"/>
      <c r="EW37" s="151"/>
      <c r="EX37" s="151"/>
      <c r="EY37" s="151"/>
      <c r="EZ37" s="151"/>
      <c r="FA37" s="151"/>
      <c r="FB37" s="151"/>
      <c r="FC37" s="151"/>
      <c r="FD37" s="151"/>
      <c r="FE37" s="151"/>
      <c r="FF37" s="151"/>
      <c r="FG37" s="151"/>
      <c r="FH37" s="151"/>
      <c r="FI37" s="151"/>
      <c r="FJ37" s="151"/>
      <c r="FK37" s="151"/>
      <c r="FL37" s="151"/>
      <c r="FM37" s="151"/>
      <c r="FN37" s="151"/>
      <c r="FO37" s="151"/>
      <c r="FP37" s="151"/>
      <c r="FQ37" s="151"/>
      <c r="FR37" s="151"/>
      <c r="FS37" s="151"/>
      <c r="FT37" s="151"/>
      <c r="FU37" s="151"/>
      <c r="FV37" s="151"/>
      <c r="FW37" s="151"/>
      <c r="FX37" s="151"/>
      <c r="FY37" s="151"/>
      <c r="FZ37" s="151"/>
      <c r="GA37" s="151"/>
      <c r="GB37" s="151"/>
      <c r="GC37" s="151"/>
      <c r="GD37" s="151"/>
      <c r="GE37" s="151"/>
      <c r="GF37" s="151"/>
      <c r="GG37" s="151"/>
      <c r="GH37" s="151"/>
      <c r="GI37" s="151"/>
      <c r="GJ37" s="151"/>
      <c r="GK37" s="151"/>
      <c r="GL37" s="151"/>
      <c r="GM37" s="151"/>
      <c r="GN37" s="151"/>
      <c r="GO37" s="151"/>
      <c r="GP37" s="151"/>
      <c r="GQ37" s="151"/>
      <c r="GR37" s="151"/>
      <c r="GS37" s="151"/>
      <c r="GT37" s="151"/>
      <c r="GU37" s="151"/>
      <c r="GV37" s="151"/>
      <c r="GW37" s="151"/>
      <c r="GX37" s="151"/>
      <c r="GY37" s="151"/>
      <c r="GZ37" s="151"/>
      <c r="HA37" s="151"/>
      <c r="HB37" s="151"/>
      <c r="HC37" s="151"/>
      <c r="HD37" s="151"/>
      <c r="HE37" s="151"/>
      <c r="HF37" s="151"/>
      <c r="HG37" s="151"/>
      <c r="HH37" s="151"/>
      <c r="HI37" s="151"/>
      <c r="HJ37" s="151"/>
      <c r="HK37" s="151"/>
      <c r="HL37" s="151"/>
      <c r="HM37" s="151"/>
      <c r="HN37" s="151"/>
      <c r="HO37" s="151"/>
      <c r="HP37" s="151"/>
      <c r="HQ37" s="151"/>
      <c r="HR37" s="151"/>
      <c r="HS37" s="151"/>
      <c r="HT37" s="151"/>
      <c r="HU37" s="151"/>
      <c r="HV37" s="151"/>
      <c r="HW37" s="151"/>
      <c r="HX37" s="151"/>
      <c r="HY37" s="151"/>
      <c r="HZ37" s="151"/>
      <c r="IA37" s="151"/>
      <c r="IB37" s="151"/>
      <c r="IC37" s="151"/>
      <c r="ID37" s="151"/>
      <c r="IE37" s="151"/>
      <c r="IF37" s="151"/>
      <c r="IG37" s="151"/>
      <c r="IH37" s="151"/>
      <c r="II37" s="151"/>
      <c r="IJ37" s="151"/>
      <c r="IK37" s="151"/>
      <c r="IL37" s="151"/>
      <c r="IM37" s="151"/>
      <c r="IN37" s="151"/>
      <c r="IO37" s="151"/>
      <c r="IP37" s="151"/>
      <c r="IQ37" s="151"/>
      <c r="IR37" s="151"/>
      <c r="IS37" s="151"/>
      <c r="IT37" s="151"/>
      <c r="IU37" s="151"/>
      <c r="IV37" s="151"/>
    </row>
    <row r="38" spans="1:256">
      <c r="A38" s="181"/>
      <c r="B38" s="186" t="s">
        <v>270</v>
      </c>
      <c r="C38" s="183"/>
      <c r="D38" s="184"/>
      <c r="E38" s="184"/>
      <c r="F38" s="184"/>
      <c r="G38" s="184"/>
      <c r="H38" s="184"/>
      <c r="I38" s="184"/>
      <c r="J38" s="184"/>
      <c r="K38" s="157"/>
      <c r="Q38" s="131"/>
      <c r="V38" s="129"/>
    </row>
    <row r="39" spans="1:256">
      <c r="B39" s="195"/>
      <c r="C39" s="195"/>
      <c r="D39" s="189">
        <v>10</v>
      </c>
      <c r="E39" s="188">
        <f>D39+1</f>
        <v>11</v>
      </c>
      <c r="F39" s="188">
        <f>E39+1</f>
        <v>12</v>
      </c>
      <c r="G39" s="188">
        <f t="shared" ref="G39:K39" si="10">F39+1</f>
        <v>13</v>
      </c>
      <c r="H39" s="188">
        <f t="shared" si="10"/>
        <v>14</v>
      </c>
      <c r="I39" s="188">
        <f t="shared" si="10"/>
        <v>15</v>
      </c>
      <c r="J39" s="188">
        <f t="shared" si="10"/>
        <v>16</v>
      </c>
      <c r="K39" s="188">
        <f t="shared" si="10"/>
        <v>17</v>
      </c>
      <c r="L39" s="189">
        <v>18</v>
      </c>
      <c r="M39" s="180"/>
      <c r="O39" s="156"/>
      <c r="V39" s="129"/>
    </row>
    <row r="40" spans="1:256">
      <c r="B40" s="1176">
        <v>2017</v>
      </c>
      <c r="C40" s="191">
        <f>Financials!$DT$44</f>
        <v>3.8965841215404002</v>
      </c>
      <c r="D40" s="192">
        <f t="shared" ref="D40:L42" si="11">$C40*D$39</f>
        <v>38.965841215404005</v>
      </c>
      <c r="E40" s="192">
        <f t="shared" si="11"/>
        <v>42.862425336944405</v>
      </c>
      <c r="F40" s="192">
        <f t="shared" si="11"/>
        <v>46.759009458484805</v>
      </c>
      <c r="G40" s="192">
        <f t="shared" si="11"/>
        <v>50.655593580025204</v>
      </c>
      <c r="H40" s="192">
        <f t="shared" si="11"/>
        <v>54.552177701565604</v>
      </c>
      <c r="I40" s="192">
        <f t="shared" si="11"/>
        <v>58.448761823106004</v>
      </c>
      <c r="J40" s="192">
        <f t="shared" si="11"/>
        <v>62.345345944646404</v>
      </c>
      <c r="K40" s="192">
        <f t="shared" si="11"/>
        <v>66.241930066186811</v>
      </c>
      <c r="L40" s="192">
        <f t="shared" si="11"/>
        <v>70.13851418772721</v>
      </c>
      <c r="M40" s="180"/>
      <c r="O40" s="156"/>
      <c r="V40" s="129"/>
    </row>
    <row r="41" spans="1:256">
      <c r="B41" s="190" t="s">
        <v>268</v>
      </c>
      <c r="C41" s="191">
        <f>Financials!$DU$44</f>
        <v>4.4109730797351352</v>
      </c>
      <c r="D41" s="192">
        <f t="shared" si="11"/>
        <v>44.109730797351354</v>
      </c>
      <c r="E41" s="192">
        <f t="shared" si="11"/>
        <v>48.52070387708649</v>
      </c>
      <c r="F41" s="192">
        <f t="shared" si="11"/>
        <v>52.931676956821619</v>
      </c>
      <c r="G41" s="192">
        <f t="shared" si="11"/>
        <v>57.342650036556755</v>
      </c>
      <c r="H41" s="192">
        <f t="shared" si="11"/>
        <v>61.753623116291891</v>
      </c>
      <c r="I41" s="192">
        <f t="shared" si="11"/>
        <v>66.164596196027034</v>
      </c>
      <c r="J41" s="192">
        <f t="shared" si="11"/>
        <v>70.575569275762163</v>
      </c>
      <c r="K41" s="192">
        <f t="shared" si="11"/>
        <v>74.986542355497292</v>
      </c>
      <c r="L41" s="192">
        <f t="shared" si="11"/>
        <v>79.397515435232435</v>
      </c>
      <c r="M41" s="157"/>
      <c r="N41" s="157"/>
      <c r="O41" s="163"/>
      <c r="P41" s="157"/>
      <c r="Q41" s="157"/>
      <c r="R41" s="157"/>
      <c r="S41" s="157"/>
      <c r="T41" s="157"/>
      <c r="U41" s="157"/>
      <c r="V41" s="157"/>
      <c r="W41" s="157"/>
      <c r="X41" s="157"/>
      <c r="Y41" s="157"/>
      <c r="Z41" s="157"/>
      <c r="AA41" s="157"/>
      <c r="AB41" s="157"/>
      <c r="AC41" s="157"/>
      <c r="AD41" s="157"/>
      <c r="AE41" s="157"/>
      <c r="AF41" s="157"/>
      <c r="AG41" s="157"/>
      <c r="AH41" s="157"/>
      <c r="AI41" s="157"/>
      <c r="AJ41" s="157"/>
      <c r="AK41" s="157"/>
      <c r="AL41" s="157"/>
      <c r="AM41" s="157"/>
      <c r="AN41" s="157"/>
      <c r="AO41" s="157"/>
      <c r="AP41" s="157"/>
      <c r="AQ41" s="157"/>
      <c r="AR41" s="157"/>
      <c r="AS41" s="157"/>
      <c r="AT41" s="157"/>
      <c r="AU41" s="157"/>
      <c r="AV41" s="157"/>
      <c r="AW41" s="157"/>
      <c r="AX41" s="157"/>
      <c r="AY41" s="157"/>
      <c r="AZ41" s="157"/>
      <c r="BA41" s="157"/>
      <c r="BB41" s="157"/>
      <c r="BC41" s="157"/>
      <c r="BD41" s="157"/>
      <c r="BE41" s="157"/>
      <c r="BF41" s="157"/>
      <c r="BG41" s="157"/>
      <c r="BH41" s="157"/>
      <c r="BI41" s="157"/>
      <c r="BJ41" s="157"/>
      <c r="BK41" s="157"/>
      <c r="BL41" s="157"/>
      <c r="BM41" s="157"/>
      <c r="BN41" s="157"/>
      <c r="BO41" s="157"/>
      <c r="BP41" s="157"/>
      <c r="BQ41" s="157"/>
      <c r="BR41" s="157"/>
      <c r="BS41" s="157"/>
      <c r="BT41" s="157"/>
      <c r="BU41" s="157"/>
      <c r="BV41" s="157"/>
      <c r="BW41" s="157"/>
      <c r="BX41" s="157"/>
      <c r="BY41" s="157"/>
      <c r="BZ41" s="157"/>
      <c r="CA41" s="157"/>
      <c r="CB41" s="157"/>
      <c r="CC41" s="157"/>
      <c r="CD41" s="157"/>
      <c r="CE41" s="157"/>
      <c r="CF41" s="157"/>
      <c r="CG41" s="157"/>
      <c r="CH41" s="157"/>
      <c r="CI41" s="157"/>
      <c r="CJ41" s="157"/>
      <c r="CK41" s="157"/>
      <c r="CL41" s="157"/>
      <c r="CM41" s="157"/>
      <c r="CN41" s="157"/>
      <c r="CO41" s="157"/>
      <c r="CP41" s="157"/>
      <c r="CQ41" s="157"/>
      <c r="CR41" s="157"/>
      <c r="CS41" s="157"/>
      <c r="CT41" s="157"/>
      <c r="CU41" s="157"/>
      <c r="CV41" s="157"/>
      <c r="CW41" s="157"/>
      <c r="CX41" s="157"/>
      <c r="CY41" s="157"/>
      <c r="CZ41" s="157"/>
      <c r="DA41" s="157"/>
      <c r="DB41" s="157"/>
      <c r="DC41" s="157"/>
      <c r="DD41" s="157"/>
      <c r="DE41" s="157"/>
      <c r="DF41" s="157"/>
      <c r="DG41" s="157"/>
      <c r="DH41" s="157"/>
      <c r="DI41" s="157"/>
      <c r="DJ41" s="157"/>
      <c r="DK41" s="157"/>
      <c r="DL41" s="157"/>
      <c r="DM41" s="157"/>
      <c r="DN41" s="157"/>
      <c r="DO41" s="157"/>
      <c r="DP41" s="157"/>
      <c r="DQ41" s="157"/>
      <c r="DR41" s="157"/>
      <c r="DS41" s="157"/>
      <c r="DT41" s="157"/>
      <c r="DU41" s="157"/>
      <c r="DV41" s="157"/>
      <c r="DW41" s="157"/>
      <c r="DX41" s="157"/>
      <c r="DY41" s="157"/>
      <c r="DZ41" s="157"/>
      <c r="EA41" s="157"/>
      <c r="EB41" s="157"/>
      <c r="EC41" s="157"/>
      <c r="ED41" s="157"/>
      <c r="EE41" s="157"/>
      <c r="EF41" s="157"/>
      <c r="EG41" s="157"/>
      <c r="EH41" s="157"/>
      <c r="EI41" s="157"/>
      <c r="EJ41" s="157"/>
      <c r="EK41" s="157"/>
      <c r="EL41" s="157"/>
      <c r="EM41" s="157"/>
      <c r="EN41" s="157"/>
      <c r="EO41" s="157"/>
      <c r="EP41" s="157"/>
      <c r="EQ41" s="157"/>
      <c r="ER41" s="157"/>
      <c r="ES41" s="157"/>
      <c r="ET41" s="157"/>
      <c r="EU41" s="157"/>
      <c r="EV41" s="157"/>
      <c r="EW41" s="157"/>
      <c r="EX41" s="157"/>
      <c r="EY41" s="157"/>
      <c r="EZ41" s="157"/>
      <c r="FA41" s="157"/>
      <c r="FB41" s="157"/>
      <c r="FC41" s="157"/>
      <c r="FD41" s="157"/>
      <c r="FE41" s="157"/>
      <c r="FF41" s="157"/>
      <c r="FG41" s="157"/>
      <c r="FH41" s="157"/>
      <c r="FI41" s="157"/>
      <c r="FJ41" s="157"/>
      <c r="FK41" s="157"/>
      <c r="FL41" s="157"/>
      <c r="FM41" s="157"/>
      <c r="FN41" s="157"/>
      <c r="FO41" s="157"/>
      <c r="FP41" s="157"/>
      <c r="FQ41" s="157"/>
      <c r="FR41" s="157"/>
      <c r="FS41" s="157"/>
      <c r="FT41" s="157"/>
      <c r="FU41" s="157"/>
      <c r="FV41" s="157"/>
      <c r="FW41" s="157"/>
      <c r="FX41" s="157"/>
      <c r="FY41" s="157"/>
      <c r="FZ41" s="157"/>
      <c r="GA41" s="157"/>
      <c r="GB41" s="157"/>
      <c r="GC41" s="157"/>
      <c r="GD41" s="157"/>
      <c r="GE41" s="157"/>
      <c r="GF41" s="157"/>
      <c r="GG41" s="157"/>
      <c r="GH41" s="157"/>
      <c r="GI41" s="157"/>
      <c r="GJ41" s="157"/>
      <c r="GK41" s="157"/>
      <c r="GL41" s="157"/>
      <c r="GM41" s="157"/>
      <c r="GN41" s="157"/>
      <c r="GO41" s="157"/>
      <c r="GP41" s="157"/>
      <c r="GQ41" s="157"/>
      <c r="GR41" s="157"/>
      <c r="GS41" s="157"/>
      <c r="GT41" s="157"/>
      <c r="GU41" s="157"/>
      <c r="GV41" s="157"/>
      <c r="GW41" s="157"/>
      <c r="GX41" s="157"/>
      <c r="GY41" s="157"/>
      <c r="GZ41" s="157"/>
      <c r="HA41" s="157"/>
      <c r="HB41" s="157"/>
      <c r="HC41" s="157"/>
      <c r="HD41" s="157"/>
      <c r="HE41" s="157"/>
      <c r="HF41" s="157"/>
      <c r="HG41" s="157"/>
      <c r="HH41" s="157"/>
      <c r="HI41" s="157"/>
      <c r="HJ41" s="157"/>
      <c r="HK41" s="157"/>
      <c r="HL41" s="157"/>
      <c r="HM41" s="157"/>
      <c r="HN41" s="157"/>
      <c r="HO41" s="157"/>
      <c r="HP41" s="157"/>
      <c r="HQ41" s="157"/>
      <c r="HR41" s="157"/>
      <c r="HS41" s="157"/>
      <c r="HT41" s="157"/>
      <c r="HU41" s="157"/>
      <c r="HV41" s="157"/>
      <c r="HW41" s="157"/>
      <c r="HX41" s="157"/>
      <c r="HY41" s="157"/>
      <c r="HZ41" s="157"/>
      <c r="IA41" s="157"/>
      <c r="IB41" s="157"/>
      <c r="IC41" s="157"/>
      <c r="ID41" s="157"/>
      <c r="IE41" s="157"/>
      <c r="IF41" s="157"/>
      <c r="IG41" s="157"/>
      <c r="IH41" s="157"/>
      <c r="II41" s="157"/>
      <c r="IJ41" s="157"/>
      <c r="IK41" s="157"/>
      <c r="IL41" s="157"/>
      <c r="IM41" s="157"/>
      <c r="IN41" s="157"/>
      <c r="IO41" s="157"/>
    </row>
    <row r="42" spans="1:256">
      <c r="A42" s="157"/>
      <c r="B42" s="190" t="s">
        <v>277</v>
      </c>
      <c r="C42" s="191">
        <f>Financials!$DV$44</f>
        <v>4.5432429689197802</v>
      </c>
      <c r="D42" s="192">
        <f t="shared" si="11"/>
        <v>45.432429689197804</v>
      </c>
      <c r="E42" s="192">
        <f t="shared" si="11"/>
        <v>49.975672658117581</v>
      </c>
      <c r="F42" s="192">
        <f t="shared" si="11"/>
        <v>54.518915627037359</v>
      </c>
      <c r="G42" s="193">
        <f t="shared" si="11"/>
        <v>59.062158595957143</v>
      </c>
      <c r="H42" s="193">
        <f t="shared" si="11"/>
        <v>63.605401564876921</v>
      </c>
      <c r="I42" s="192">
        <f t="shared" si="11"/>
        <v>68.148644533796698</v>
      </c>
      <c r="J42" s="192">
        <f t="shared" si="11"/>
        <v>72.691887502716483</v>
      </c>
      <c r="K42" s="192">
        <f t="shared" si="11"/>
        <v>77.235130471636268</v>
      </c>
      <c r="L42" s="192">
        <f t="shared" si="11"/>
        <v>81.778373440556038</v>
      </c>
      <c r="O42" s="131"/>
      <c r="V42" s="129"/>
    </row>
    <row r="43" spans="1:256">
      <c r="A43" s="181"/>
      <c r="B43" s="194"/>
      <c r="C43" s="183"/>
      <c r="D43" s="184"/>
      <c r="E43" s="184"/>
      <c r="F43" s="184"/>
      <c r="G43" s="184"/>
      <c r="H43" s="184"/>
      <c r="I43" s="184"/>
      <c r="J43" s="184"/>
      <c r="K43" s="184"/>
      <c r="L43" s="184"/>
      <c r="O43" s="131"/>
      <c r="V43" s="129"/>
    </row>
    <row r="44" spans="1:256">
      <c r="A44" s="181"/>
      <c r="B44" s="186" t="s">
        <v>278</v>
      </c>
      <c r="C44" s="183"/>
      <c r="D44" s="184"/>
      <c r="E44" s="184"/>
      <c r="F44" s="184"/>
      <c r="G44" s="184"/>
      <c r="H44" s="184"/>
      <c r="I44" s="184"/>
      <c r="J44" s="184"/>
      <c r="K44" s="184"/>
      <c r="L44" s="184"/>
      <c r="O44" s="131"/>
      <c r="V44" s="129"/>
    </row>
    <row r="45" spans="1:256">
      <c r="B45" s="195"/>
      <c r="C45" s="195"/>
      <c r="D45" s="188">
        <f>D39</f>
        <v>10</v>
      </c>
      <c r="E45" s="188">
        <f>E39</f>
        <v>11</v>
      </c>
      <c r="F45" s="188">
        <f t="shared" ref="F45:J45" si="12">F39</f>
        <v>12</v>
      </c>
      <c r="G45" s="188">
        <f t="shared" si="12"/>
        <v>13</v>
      </c>
      <c r="H45" s="188">
        <f t="shared" si="12"/>
        <v>14</v>
      </c>
      <c r="I45" s="188">
        <f t="shared" si="12"/>
        <v>15</v>
      </c>
      <c r="J45" s="188">
        <f t="shared" si="12"/>
        <v>16</v>
      </c>
      <c r="K45" s="188">
        <f t="shared" ref="K45:L45" si="13">K39</f>
        <v>17</v>
      </c>
      <c r="L45" s="188">
        <f t="shared" si="13"/>
        <v>18</v>
      </c>
      <c r="M45" s="157"/>
      <c r="N45" s="157"/>
      <c r="O45" s="163"/>
      <c r="P45" s="157"/>
      <c r="Q45" s="157"/>
      <c r="R45" s="157"/>
      <c r="S45" s="157"/>
      <c r="T45" s="157"/>
      <c r="U45" s="157"/>
      <c r="V45" s="157"/>
      <c r="W45" s="157"/>
      <c r="X45" s="157"/>
      <c r="Y45" s="157"/>
      <c r="Z45" s="157"/>
      <c r="AA45" s="157"/>
      <c r="AB45" s="157"/>
      <c r="AC45" s="157"/>
      <c r="AD45" s="157"/>
      <c r="AE45" s="157"/>
      <c r="AF45" s="157"/>
      <c r="AG45" s="157"/>
      <c r="AH45" s="157"/>
      <c r="AI45" s="157"/>
      <c r="AJ45" s="157"/>
      <c r="AK45" s="157"/>
      <c r="AL45" s="157"/>
      <c r="AM45" s="157"/>
      <c r="AN45" s="157"/>
      <c r="AO45" s="157"/>
      <c r="AP45" s="157"/>
      <c r="AQ45" s="157"/>
      <c r="AR45" s="157"/>
      <c r="AS45" s="157"/>
      <c r="AT45" s="157"/>
      <c r="AU45" s="157"/>
      <c r="AV45" s="157"/>
      <c r="AW45" s="157"/>
      <c r="AX45" s="157"/>
      <c r="AY45" s="157"/>
      <c r="AZ45" s="157"/>
      <c r="BA45" s="157"/>
      <c r="BB45" s="157"/>
      <c r="BC45" s="157"/>
      <c r="BD45" s="157"/>
      <c r="BE45" s="157"/>
      <c r="BF45" s="157"/>
      <c r="BG45" s="157"/>
      <c r="BH45" s="157"/>
      <c r="BI45" s="157"/>
      <c r="BJ45" s="157"/>
      <c r="BK45" s="157"/>
      <c r="BL45" s="157"/>
      <c r="BM45" s="157"/>
      <c r="BN45" s="157"/>
      <c r="BO45" s="157"/>
      <c r="BP45" s="157"/>
      <c r="BQ45" s="157"/>
      <c r="BR45" s="157"/>
      <c r="BS45" s="157"/>
      <c r="BT45" s="157"/>
      <c r="BU45" s="157"/>
      <c r="BV45" s="157"/>
      <c r="BW45" s="157"/>
      <c r="BX45" s="157"/>
      <c r="BY45" s="157"/>
      <c r="BZ45" s="157"/>
      <c r="CA45" s="157"/>
      <c r="CB45" s="157"/>
      <c r="CC45" s="157"/>
      <c r="CD45" s="157"/>
      <c r="CE45" s="157"/>
      <c r="CF45" s="157"/>
      <c r="CG45" s="157"/>
      <c r="CH45" s="157"/>
      <c r="CI45" s="157"/>
      <c r="CJ45" s="157"/>
      <c r="CK45" s="157"/>
      <c r="CL45" s="157"/>
      <c r="CM45" s="157"/>
      <c r="CN45" s="157"/>
      <c r="CO45" s="157"/>
      <c r="CP45" s="157"/>
      <c r="CQ45" s="157"/>
      <c r="CR45" s="157"/>
      <c r="CS45" s="157"/>
      <c r="CT45" s="157"/>
      <c r="CU45" s="157"/>
      <c r="CV45" s="157"/>
      <c r="CW45" s="157"/>
      <c r="CX45" s="157"/>
      <c r="CY45" s="157"/>
      <c r="CZ45" s="157"/>
      <c r="DA45" s="157"/>
      <c r="DB45" s="157"/>
      <c r="DC45" s="157"/>
      <c r="DD45" s="157"/>
      <c r="DE45" s="157"/>
      <c r="DF45" s="157"/>
      <c r="DG45" s="157"/>
      <c r="DH45" s="157"/>
      <c r="DI45" s="157"/>
      <c r="DJ45" s="157"/>
      <c r="DK45" s="157"/>
      <c r="DL45" s="157"/>
      <c r="DM45" s="157"/>
      <c r="DN45" s="157"/>
      <c r="DO45" s="157"/>
      <c r="DP45" s="157"/>
      <c r="DQ45" s="157"/>
      <c r="DR45" s="157"/>
      <c r="DS45" s="157"/>
      <c r="DT45" s="157"/>
      <c r="DU45" s="157"/>
      <c r="DV45" s="157"/>
      <c r="DW45" s="157"/>
      <c r="DX45" s="157"/>
      <c r="DY45" s="157"/>
      <c r="DZ45" s="157"/>
      <c r="EA45" s="157"/>
      <c r="EB45" s="157"/>
      <c r="EC45" s="157"/>
      <c r="ED45" s="157"/>
      <c r="EE45" s="157"/>
      <c r="EF45" s="157"/>
      <c r="EG45" s="157"/>
      <c r="EH45" s="157"/>
      <c r="EI45" s="157"/>
      <c r="EJ45" s="157"/>
      <c r="EK45" s="157"/>
      <c r="EL45" s="157"/>
      <c r="EM45" s="157"/>
      <c r="EN45" s="157"/>
      <c r="EO45" s="157"/>
      <c r="EP45" s="157"/>
      <c r="EQ45" s="157"/>
      <c r="ER45" s="157"/>
      <c r="ES45" s="157"/>
      <c r="ET45" s="157"/>
      <c r="EU45" s="157"/>
      <c r="EV45" s="157"/>
      <c r="EW45" s="157"/>
      <c r="EX45" s="157"/>
      <c r="EY45" s="157"/>
      <c r="EZ45" s="157"/>
      <c r="FA45" s="157"/>
      <c r="FB45" s="157"/>
      <c r="FC45" s="157"/>
      <c r="FD45" s="157"/>
      <c r="FE45" s="157"/>
      <c r="FF45" s="157"/>
      <c r="FG45" s="157"/>
      <c r="FH45" s="157"/>
      <c r="FI45" s="157"/>
      <c r="FJ45" s="157"/>
      <c r="FK45" s="157"/>
      <c r="FL45" s="157"/>
      <c r="FM45" s="157"/>
      <c r="FN45" s="157"/>
      <c r="FO45" s="157"/>
      <c r="FP45" s="157"/>
      <c r="FQ45" s="157"/>
      <c r="FR45" s="157"/>
      <c r="FS45" s="157"/>
      <c r="FT45" s="157"/>
      <c r="FU45" s="157"/>
      <c r="FV45" s="157"/>
      <c r="FW45" s="157"/>
      <c r="FX45" s="157"/>
      <c r="FY45" s="157"/>
      <c r="FZ45" s="157"/>
      <c r="GA45" s="157"/>
      <c r="GB45" s="157"/>
      <c r="GC45" s="157"/>
      <c r="GD45" s="157"/>
      <c r="GE45" s="157"/>
      <c r="GF45" s="157"/>
      <c r="GG45" s="157"/>
      <c r="GH45" s="157"/>
      <c r="GI45" s="157"/>
      <c r="GJ45" s="157"/>
      <c r="GK45" s="157"/>
      <c r="GL45" s="157"/>
      <c r="GM45" s="157"/>
      <c r="GN45" s="157"/>
      <c r="GO45" s="157"/>
      <c r="GP45" s="157"/>
      <c r="GQ45" s="157"/>
      <c r="GR45" s="157"/>
      <c r="GS45" s="157"/>
      <c r="GT45" s="157"/>
      <c r="GU45" s="157"/>
      <c r="GV45" s="157"/>
      <c r="GW45" s="157"/>
      <c r="GX45" s="157"/>
      <c r="GY45" s="157"/>
      <c r="GZ45" s="157"/>
      <c r="HA45" s="157"/>
      <c r="HB45" s="157"/>
      <c r="HC45" s="157"/>
      <c r="HD45" s="157"/>
      <c r="HE45" s="157"/>
      <c r="HF45" s="157"/>
      <c r="HG45" s="157"/>
      <c r="HH45" s="157"/>
      <c r="HI45" s="157"/>
      <c r="HJ45" s="157"/>
      <c r="HK45" s="157"/>
      <c r="HL45" s="157"/>
      <c r="HM45" s="157"/>
      <c r="HN45" s="157"/>
      <c r="HO45" s="157"/>
      <c r="HP45" s="157"/>
      <c r="HQ45" s="157"/>
      <c r="HR45" s="157"/>
      <c r="HS45" s="157"/>
      <c r="HT45" s="157"/>
      <c r="HU45" s="157"/>
      <c r="HV45" s="157"/>
      <c r="HW45" s="157"/>
      <c r="HX45" s="157"/>
      <c r="HY45" s="157"/>
      <c r="HZ45" s="157"/>
      <c r="IA45" s="157"/>
      <c r="IB45" s="157"/>
      <c r="IC45" s="157"/>
      <c r="ID45" s="157"/>
      <c r="IE45" s="157"/>
      <c r="IF45" s="157"/>
      <c r="IG45" s="157"/>
      <c r="IH45" s="157"/>
      <c r="II45" s="157"/>
      <c r="IJ45" s="157"/>
      <c r="IK45" s="157"/>
      <c r="IL45" s="157"/>
      <c r="IM45" s="157"/>
      <c r="IN45" s="157"/>
      <c r="IO45" s="157"/>
    </row>
    <row r="46" spans="1:256">
      <c r="A46" s="196"/>
      <c r="B46" s="1176">
        <v>2017</v>
      </c>
      <c r="C46" s="1177">
        <f>C40</f>
        <v>3.8965841215404002</v>
      </c>
      <c r="D46" s="192">
        <f t="shared" ref="D46:L48" si="14">$C46*D$45</f>
        <v>38.965841215404005</v>
      </c>
      <c r="E46" s="192">
        <f t="shared" si="14"/>
        <v>42.862425336944405</v>
      </c>
      <c r="F46" s="192">
        <f t="shared" si="14"/>
        <v>46.759009458484805</v>
      </c>
      <c r="G46" s="192">
        <f t="shared" si="14"/>
        <v>50.655593580025204</v>
      </c>
      <c r="H46" s="192">
        <f t="shared" si="14"/>
        <v>54.552177701565604</v>
      </c>
      <c r="I46" s="192">
        <f t="shared" si="14"/>
        <v>58.448761823106004</v>
      </c>
      <c r="J46" s="192">
        <f t="shared" si="14"/>
        <v>62.345345944646404</v>
      </c>
      <c r="K46" s="192">
        <f t="shared" si="14"/>
        <v>66.241930066186811</v>
      </c>
      <c r="L46" s="192">
        <f t="shared" si="14"/>
        <v>70.13851418772721</v>
      </c>
      <c r="O46" s="131"/>
      <c r="V46" s="129"/>
    </row>
    <row r="47" spans="1:256">
      <c r="A47" s="198"/>
      <c r="B47" s="190" t="s">
        <v>268</v>
      </c>
      <c r="C47" s="197">
        <v>4.3639999999999999</v>
      </c>
      <c r="D47" s="192">
        <f t="shared" si="14"/>
        <v>43.64</v>
      </c>
      <c r="E47" s="192">
        <f t="shared" si="14"/>
        <v>48.003999999999998</v>
      </c>
      <c r="F47" s="192">
        <f t="shared" si="14"/>
        <v>52.367999999999995</v>
      </c>
      <c r="G47" s="192">
        <f t="shared" si="14"/>
        <v>56.731999999999999</v>
      </c>
      <c r="H47" s="192">
        <f t="shared" si="14"/>
        <v>61.095999999999997</v>
      </c>
      <c r="I47" s="192">
        <f t="shared" si="14"/>
        <v>65.459999999999994</v>
      </c>
      <c r="J47" s="192">
        <f t="shared" si="14"/>
        <v>69.823999999999998</v>
      </c>
      <c r="K47" s="192">
        <f t="shared" si="14"/>
        <v>74.188000000000002</v>
      </c>
      <c r="L47" s="192">
        <f t="shared" si="14"/>
        <v>78.551999999999992</v>
      </c>
      <c r="O47" s="131"/>
      <c r="V47" s="129"/>
    </row>
    <row r="48" spans="1:256">
      <c r="A48" s="198"/>
      <c r="B48" s="190" t="s">
        <v>277</v>
      </c>
      <c r="C48" s="197">
        <v>4.7469999999999999</v>
      </c>
      <c r="D48" s="192">
        <f t="shared" si="14"/>
        <v>47.47</v>
      </c>
      <c r="E48" s="192">
        <f t="shared" si="14"/>
        <v>52.216999999999999</v>
      </c>
      <c r="F48" s="192">
        <f t="shared" si="14"/>
        <v>56.963999999999999</v>
      </c>
      <c r="G48" s="193">
        <f t="shared" si="14"/>
        <v>61.710999999999999</v>
      </c>
      <c r="H48" s="193">
        <f t="shared" si="14"/>
        <v>66.457999999999998</v>
      </c>
      <c r="I48" s="192">
        <f t="shared" si="14"/>
        <v>71.204999999999998</v>
      </c>
      <c r="J48" s="192">
        <f t="shared" si="14"/>
        <v>75.951999999999998</v>
      </c>
      <c r="K48" s="192">
        <f t="shared" si="14"/>
        <v>80.698999999999998</v>
      </c>
      <c r="L48" s="192">
        <f t="shared" si="14"/>
        <v>85.445999999999998</v>
      </c>
      <c r="O48" s="131"/>
      <c r="V48" s="129"/>
    </row>
    <row r="49" spans="1:256">
      <c r="A49" s="181"/>
      <c r="B49" s="182"/>
      <c r="C49" s="183"/>
      <c r="D49" s="184"/>
      <c r="E49" s="184"/>
      <c r="F49" s="184"/>
      <c r="G49" s="184"/>
      <c r="H49" s="184"/>
      <c r="I49" s="184"/>
      <c r="J49" s="184"/>
      <c r="K49" s="184"/>
      <c r="L49" s="184"/>
      <c r="M49" s="184"/>
      <c r="N49" s="184"/>
      <c r="O49" s="184"/>
      <c r="P49" s="181"/>
      <c r="Q49" s="151"/>
      <c r="R49" s="151"/>
      <c r="S49" s="151"/>
      <c r="T49" s="151"/>
      <c r="U49" s="151"/>
      <c r="V49" s="359"/>
      <c r="W49" s="151"/>
      <c r="X49" s="151"/>
      <c r="Y49" s="151"/>
      <c r="Z49" s="151"/>
      <c r="AA49" s="151"/>
      <c r="AB49" s="151"/>
      <c r="AC49" s="151"/>
      <c r="AD49" s="151"/>
      <c r="AE49" s="151"/>
      <c r="AF49" s="151"/>
      <c r="AG49" s="151"/>
      <c r="AH49" s="151"/>
      <c r="AI49" s="151"/>
      <c r="AJ49" s="151"/>
      <c r="AK49" s="151"/>
      <c r="AL49" s="151"/>
      <c r="AM49" s="151"/>
      <c r="AN49" s="151"/>
      <c r="AO49" s="151"/>
      <c r="AP49" s="151"/>
      <c r="AQ49" s="151"/>
      <c r="AR49" s="151"/>
      <c r="AS49" s="151"/>
      <c r="AT49" s="151"/>
      <c r="AU49" s="151"/>
      <c r="AV49" s="151"/>
      <c r="AW49" s="151"/>
      <c r="AX49" s="151"/>
      <c r="AY49" s="151"/>
      <c r="AZ49" s="151"/>
      <c r="BA49" s="151"/>
      <c r="BB49" s="151"/>
      <c r="BC49" s="151"/>
      <c r="BD49" s="151"/>
      <c r="BE49" s="151"/>
      <c r="BF49" s="151"/>
      <c r="BG49" s="151"/>
      <c r="BH49" s="151"/>
      <c r="BI49" s="151"/>
      <c r="BJ49" s="151"/>
      <c r="BK49" s="151"/>
      <c r="BL49" s="151"/>
      <c r="BM49" s="151"/>
      <c r="BN49" s="151"/>
      <c r="BO49" s="151"/>
      <c r="BP49" s="151"/>
      <c r="BQ49" s="151"/>
      <c r="BR49" s="151"/>
      <c r="BS49" s="151"/>
      <c r="BT49" s="151"/>
      <c r="BU49" s="151"/>
      <c r="BV49" s="151"/>
      <c r="BW49" s="151"/>
      <c r="BX49" s="151"/>
      <c r="BY49" s="151"/>
      <c r="BZ49" s="151"/>
      <c r="CA49" s="151"/>
      <c r="CB49" s="151"/>
      <c r="CC49" s="151"/>
      <c r="CD49" s="151"/>
      <c r="CE49" s="151"/>
      <c r="CF49" s="151"/>
      <c r="CG49" s="151"/>
      <c r="CH49" s="151"/>
      <c r="CI49" s="151"/>
      <c r="CJ49" s="151"/>
      <c r="CK49" s="151"/>
      <c r="CL49" s="151"/>
      <c r="CM49" s="151"/>
      <c r="CN49" s="151"/>
      <c r="CO49" s="151"/>
      <c r="CP49" s="151"/>
      <c r="CQ49" s="151"/>
      <c r="CR49" s="151"/>
      <c r="CS49" s="151"/>
      <c r="CT49" s="151"/>
      <c r="CU49" s="151"/>
      <c r="CV49" s="151"/>
      <c r="CW49" s="151"/>
      <c r="CX49" s="151"/>
      <c r="CY49" s="151"/>
      <c r="CZ49" s="151"/>
      <c r="DA49" s="151"/>
      <c r="DB49" s="151"/>
      <c r="DC49" s="151"/>
      <c r="DD49" s="151"/>
      <c r="DE49" s="151"/>
      <c r="DF49" s="151"/>
      <c r="DG49" s="151"/>
      <c r="DH49" s="151"/>
      <c r="DI49" s="151"/>
      <c r="DJ49" s="151"/>
      <c r="DK49" s="151"/>
      <c r="DL49" s="151"/>
      <c r="DM49" s="151"/>
      <c r="DN49" s="151"/>
      <c r="DO49" s="151"/>
      <c r="DP49" s="151"/>
      <c r="DQ49" s="151"/>
      <c r="DR49" s="151"/>
      <c r="DS49" s="151"/>
      <c r="DT49" s="151"/>
      <c r="DU49" s="151"/>
      <c r="DV49" s="151"/>
      <c r="DW49" s="151"/>
      <c r="DX49" s="151"/>
      <c r="DY49" s="151"/>
      <c r="DZ49" s="151"/>
      <c r="EA49" s="151"/>
      <c r="EB49" s="151"/>
      <c r="EC49" s="151"/>
      <c r="ED49" s="151"/>
      <c r="EE49" s="151"/>
      <c r="EF49" s="151"/>
      <c r="EG49" s="151"/>
      <c r="EH49" s="151"/>
      <c r="EI49" s="151"/>
      <c r="EJ49" s="151"/>
      <c r="EK49" s="151"/>
      <c r="EL49" s="151"/>
      <c r="EM49" s="151"/>
      <c r="EN49" s="151"/>
      <c r="EO49" s="151"/>
      <c r="EP49" s="151"/>
      <c r="EQ49" s="151"/>
      <c r="ER49" s="151"/>
      <c r="ES49" s="151"/>
      <c r="ET49" s="151"/>
      <c r="EU49" s="151"/>
      <c r="EV49" s="151"/>
      <c r="EW49" s="151"/>
      <c r="EX49" s="151"/>
      <c r="EY49" s="151"/>
      <c r="EZ49" s="151"/>
      <c r="FA49" s="151"/>
      <c r="FB49" s="151"/>
      <c r="FC49" s="151"/>
      <c r="FD49" s="151"/>
      <c r="FE49" s="151"/>
      <c r="FF49" s="151"/>
      <c r="FG49" s="151"/>
      <c r="FH49" s="151"/>
      <c r="FI49" s="151"/>
      <c r="FJ49" s="151"/>
      <c r="FK49" s="151"/>
      <c r="FL49" s="151"/>
      <c r="FM49" s="151"/>
      <c r="FN49" s="151"/>
      <c r="FO49" s="151"/>
      <c r="FP49" s="151"/>
      <c r="FQ49" s="151"/>
      <c r="FR49" s="151"/>
      <c r="FS49" s="151"/>
      <c r="FT49" s="151"/>
      <c r="FU49" s="151"/>
      <c r="FV49" s="151"/>
      <c r="FW49" s="151"/>
      <c r="FX49" s="151"/>
      <c r="FY49" s="151"/>
      <c r="FZ49" s="151"/>
      <c r="GA49" s="151"/>
      <c r="GB49" s="151"/>
      <c r="GC49" s="151"/>
      <c r="GD49" s="151"/>
      <c r="GE49" s="151"/>
      <c r="GF49" s="151"/>
      <c r="GG49" s="151"/>
      <c r="GH49" s="151"/>
      <c r="GI49" s="151"/>
      <c r="GJ49" s="151"/>
      <c r="GK49" s="151"/>
      <c r="GL49" s="151"/>
      <c r="GM49" s="151"/>
      <c r="GN49" s="151"/>
      <c r="GO49" s="151"/>
      <c r="GP49" s="151"/>
      <c r="GQ49" s="151"/>
      <c r="GR49" s="151"/>
      <c r="GS49" s="151"/>
      <c r="GT49" s="151"/>
      <c r="GU49" s="151"/>
      <c r="GV49" s="151"/>
      <c r="GW49" s="151"/>
      <c r="GX49" s="151"/>
      <c r="GY49" s="151"/>
      <c r="GZ49" s="151"/>
      <c r="HA49" s="151"/>
      <c r="HB49" s="151"/>
      <c r="HC49" s="151"/>
      <c r="HD49" s="151"/>
      <c r="HE49" s="151"/>
      <c r="HF49" s="151"/>
      <c r="HG49" s="151"/>
      <c r="HH49" s="151"/>
      <c r="HI49" s="151"/>
      <c r="HJ49" s="151"/>
      <c r="HK49" s="151"/>
      <c r="HL49" s="151"/>
      <c r="HM49" s="151"/>
      <c r="HN49" s="151"/>
      <c r="HO49" s="151"/>
      <c r="HP49" s="151"/>
      <c r="HQ49" s="151"/>
      <c r="HR49" s="151"/>
      <c r="HS49" s="151"/>
      <c r="HT49" s="151"/>
      <c r="HU49" s="151"/>
      <c r="HV49" s="151"/>
      <c r="HW49" s="151"/>
      <c r="HX49" s="151"/>
      <c r="HY49" s="151"/>
      <c r="HZ49" s="151"/>
      <c r="IA49" s="151"/>
      <c r="IB49" s="151"/>
      <c r="IC49" s="151"/>
      <c r="ID49" s="151"/>
      <c r="IE49" s="151"/>
      <c r="IF49" s="151"/>
      <c r="IG49" s="151"/>
      <c r="IH49" s="151"/>
      <c r="II49" s="151"/>
      <c r="IJ49" s="151"/>
      <c r="IK49" s="151"/>
      <c r="IL49" s="151"/>
      <c r="IM49" s="151"/>
      <c r="IN49" s="151"/>
      <c r="IO49" s="151"/>
      <c r="IP49" s="151"/>
      <c r="IQ49" s="151"/>
      <c r="IR49" s="151"/>
      <c r="IS49" s="151"/>
      <c r="IT49" s="151"/>
      <c r="IU49" s="151"/>
      <c r="IV49" s="151"/>
    </row>
    <row r="50" spans="1:256">
      <c r="A50" s="132"/>
      <c r="B50" s="175" t="s">
        <v>272</v>
      </c>
      <c r="C50" s="176"/>
      <c r="D50" s="177"/>
      <c r="E50" s="177"/>
      <c r="F50" s="177"/>
      <c r="G50" s="177"/>
      <c r="H50" s="177"/>
      <c r="I50" s="177"/>
      <c r="J50" s="177"/>
      <c r="K50" s="177"/>
      <c r="L50" s="177"/>
      <c r="M50" s="177"/>
      <c r="N50" s="178" t="s">
        <v>276</v>
      </c>
      <c r="O50" s="179">
        <f>(Financials!DW176/Financials!DT176)^(1/3)-1</f>
        <v>0.10700358027200418</v>
      </c>
      <c r="P50" s="132"/>
      <c r="Q50" s="180"/>
      <c r="T50" s="180"/>
      <c r="V50" s="156"/>
    </row>
    <row r="51" spans="1:256">
      <c r="A51" s="181"/>
      <c r="B51" s="182"/>
      <c r="C51" s="183"/>
      <c r="D51" s="184"/>
      <c r="E51" s="184"/>
      <c r="F51" s="184"/>
      <c r="G51" s="184"/>
      <c r="H51" s="184"/>
      <c r="I51" s="184"/>
      <c r="J51" s="184"/>
      <c r="K51" s="184"/>
      <c r="L51" s="184"/>
      <c r="M51" s="184"/>
      <c r="N51" s="184"/>
      <c r="O51" s="184"/>
      <c r="P51" s="181"/>
      <c r="Q51" s="151"/>
      <c r="R51" s="151"/>
      <c r="S51" s="151"/>
      <c r="T51" s="151"/>
      <c r="U51" s="151"/>
      <c r="V51" s="185"/>
      <c r="W51" s="151"/>
      <c r="X51" s="151"/>
      <c r="Y51" s="151"/>
      <c r="Z51" s="151"/>
      <c r="AA51" s="151"/>
      <c r="AB51" s="151"/>
      <c r="AC51" s="151"/>
      <c r="AD51" s="151"/>
      <c r="AE51" s="151"/>
      <c r="AF51" s="151"/>
      <c r="AG51" s="151"/>
      <c r="AH51" s="151"/>
      <c r="AI51" s="151"/>
      <c r="AJ51" s="151"/>
      <c r="AK51" s="151"/>
      <c r="AL51" s="151"/>
      <c r="AM51" s="151"/>
      <c r="AN51" s="151"/>
      <c r="AO51" s="151"/>
      <c r="AP51" s="151"/>
      <c r="AQ51" s="151"/>
      <c r="AR51" s="151"/>
      <c r="AS51" s="151"/>
      <c r="AT51" s="151"/>
      <c r="AU51" s="151"/>
      <c r="AV51" s="151"/>
      <c r="AW51" s="151"/>
      <c r="AX51" s="151"/>
      <c r="AY51" s="151"/>
      <c r="AZ51" s="151"/>
      <c r="BA51" s="151"/>
      <c r="BB51" s="151"/>
      <c r="BC51" s="151"/>
      <c r="BD51" s="151"/>
      <c r="BE51" s="151"/>
      <c r="BF51" s="151"/>
      <c r="BG51" s="151"/>
      <c r="BH51" s="151"/>
      <c r="BI51" s="151"/>
      <c r="BJ51" s="151"/>
      <c r="BK51" s="151"/>
      <c r="BL51" s="151"/>
      <c r="BM51" s="151"/>
      <c r="BN51" s="151"/>
      <c r="BO51" s="151"/>
      <c r="BP51" s="151"/>
      <c r="BQ51" s="151"/>
      <c r="BR51" s="151"/>
      <c r="BS51" s="151"/>
      <c r="BT51" s="151"/>
      <c r="BU51" s="151"/>
      <c r="BV51" s="151"/>
      <c r="BW51" s="151"/>
      <c r="BX51" s="151"/>
      <c r="BY51" s="151"/>
      <c r="BZ51" s="151"/>
      <c r="CA51" s="151"/>
      <c r="CB51" s="151"/>
      <c r="CC51" s="151"/>
      <c r="CD51" s="151"/>
      <c r="CE51" s="151"/>
      <c r="CF51" s="151"/>
      <c r="CG51" s="151"/>
      <c r="CH51" s="151"/>
      <c r="CI51" s="151"/>
      <c r="CJ51" s="151"/>
      <c r="CK51" s="151"/>
      <c r="CL51" s="151"/>
      <c r="CM51" s="151"/>
      <c r="CN51" s="151"/>
      <c r="CO51" s="151"/>
      <c r="CP51" s="151"/>
      <c r="CQ51" s="151"/>
      <c r="CR51" s="151"/>
      <c r="CS51" s="151"/>
      <c r="CT51" s="151"/>
      <c r="CU51" s="151"/>
      <c r="CV51" s="151"/>
      <c r="CW51" s="151"/>
      <c r="CX51" s="151"/>
      <c r="CY51" s="151"/>
      <c r="CZ51" s="151"/>
      <c r="DA51" s="151"/>
      <c r="DB51" s="151"/>
      <c r="DC51" s="151"/>
      <c r="DD51" s="151"/>
      <c r="DE51" s="151"/>
      <c r="DF51" s="151"/>
      <c r="DG51" s="151"/>
      <c r="DH51" s="151"/>
      <c r="DI51" s="151"/>
      <c r="DJ51" s="151"/>
      <c r="DK51" s="151"/>
      <c r="DL51" s="151"/>
      <c r="DM51" s="151"/>
      <c r="DN51" s="151"/>
      <c r="DO51" s="151"/>
      <c r="DP51" s="151"/>
      <c r="DQ51" s="151"/>
      <c r="DR51" s="151"/>
      <c r="DS51" s="151"/>
      <c r="DT51" s="151"/>
      <c r="DU51" s="151"/>
      <c r="DV51" s="151"/>
      <c r="DW51" s="151"/>
      <c r="DX51" s="151"/>
      <c r="DY51" s="151"/>
      <c r="DZ51" s="151"/>
      <c r="EA51" s="151"/>
      <c r="EB51" s="151"/>
      <c r="EC51" s="151"/>
      <c r="ED51" s="151"/>
      <c r="EE51" s="151"/>
      <c r="EF51" s="151"/>
      <c r="EG51" s="151"/>
      <c r="EH51" s="151"/>
      <c r="EI51" s="151"/>
      <c r="EJ51" s="151"/>
      <c r="EK51" s="151"/>
      <c r="EL51" s="151"/>
      <c r="EM51" s="151"/>
      <c r="EN51" s="151"/>
      <c r="EO51" s="151"/>
      <c r="EP51" s="151"/>
      <c r="EQ51" s="151"/>
      <c r="ER51" s="151"/>
      <c r="ES51" s="151"/>
      <c r="ET51" s="151"/>
      <c r="EU51" s="151"/>
      <c r="EV51" s="151"/>
      <c r="EW51" s="151"/>
      <c r="EX51" s="151"/>
      <c r="EY51" s="151"/>
      <c r="EZ51" s="151"/>
      <c r="FA51" s="151"/>
      <c r="FB51" s="151"/>
      <c r="FC51" s="151"/>
      <c r="FD51" s="151"/>
      <c r="FE51" s="151"/>
      <c r="FF51" s="151"/>
      <c r="FG51" s="151"/>
      <c r="FH51" s="151"/>
      <c r="FI51" s="151"/>
      <c r="FJ51" s="151"/>
      <c r="FK51" s="151"/>
      <c r="FL51" s="151"/>
      <c r="FM51" s="151"/>
      <c r="FN51" s="151"/>
      <c r="FO51" s="151"/>
      <c r="FP51" s="151"/>
      <c r="FQ51" s="151"/>
      <c r="FR51" s="151"/>
      <c r="FS51" s="151"/>
      <c r="FT51" s="151"/>
      <c r="FU51" s="151"/>
      <c r="FV51" s="151"/>
      <c r="FW51" s="151"/>
      <c r="FX51" s="151"/>
      <c r="FY51" s="151"/>
      <c r="FZ51" s="151"/>
      <c r="GA51" s="151"/>
      <c r="GB51" s="151"/>
      <c r="GC51" s="151"/>
      <c r="GD51" s="151"/>
      <c r="GE51" s="151"/>
      <c r="GF51" s="151"/>
      <c r="GG51" s="151"/>
      <c r="GH51" s="151"/>
      <c r="GI51" s="151"/>
      <c r="GJ51" s="151"/>
      <c r="GK51" s="151"/>
      <c r="GL51" s="151"/>
      <c r="GM51" s="151"/>
      <c r="GN51" s="151"/>
      <c r="GO51" s="151"/>
      <c r="GP51" s="151"/>
      <c r="GQ51" s="151"/>
      <c r="GR51" s="151"/>
      <c r="GS51" s="151"/>
      <c r="GT51" s="151"/>
      <c r="GU51" s="151"/>
      <c r="GV51" s="151"/>
      <c r="GW51" s="151"/>
      <c r="GX51" s="151"/>
      <c r="GY51" s="151"/>
      <c r="GZ51" s="151"/>
      <c r="HA51" s="151"/>
      <c r="HB51" s="151"/>
      <c r="HC51" s="151"/>
      <c r="HD51" s="151"/>
      <c r="HE51" s="151"/>
      <c r="HF51" s="151"/>
      <c r="HG51" s="151"/>
      <c r="HH51" s="151"/>
      <c r="HI51" s="151"/>
      <c r="HJ51" s="151"/>
      <c r="HK51" s="151"/>
      <c r="HL51" s="151"/>
      <c r="HM51" s="151"/>
      <c r="HN51" s="151"/>
      <c r="HO51" s="151"/>
      <c r="HP51" s="151"/>
      <c r="HQ51" s="151"/>
      <c r="HR51" s="151"/>
      <c r="HS51" s="151"/>
      <c r="HT51" s="151"/>
      <c r="HU51" s="151"/>
      <c r="HV51" s="151"/>
      <c r="HW51" s="151"/>
      <c r="HX51" s="151"/>
      <c r="HY51" s="151"/>
      <c r="HZ51" s="151"/>
      <c r="IA51" s="151"/>
      <c r="IB51" s="151"/>
      <c r="IC51" s="151"/>
      <c r="ID51" s="151"/>
      <c r="IE51" s="151"/>
      <c r="IF51" s="151"/>
      <c r="IG51" s="151"/>
      <c r="IH51" s="151"/>
      <c r="II51" s="151"/>
      <c r="IJ51" s="151"/>
      <c r="IK51" s="151"/>
      <c r="IL51" s="151"/>
      <c r="IM51" s="151"/>
      <c r="IN51" s="151"/>
      <c r="IO51" s="151"/>
      <c r="IP51" s="151"/>
      <c r="IQ51" s="151"/>
      <c r="IR51" s="151"/>
      <c r="IS51" s="151"/>
      <c r="IT51" s="151"/>
      <c r="IU51" s="151"/>
      <c r="IV51" s="151"/>
    </row>
    <row r="52" spans="1:256">
      <c r="A52" s="181"/>
      <c r="B52" s="186" t="s">
        <v>270</v>
      </c>
      <c r="C52" s="183"/>
      <c r="D52" s="184"/>
      <c r="E52" s="184"/>
      <c r="F52" s="184"/>
      <c r="G52" s="184"/>
      <c r="H52" s="184"/>
      <c r="I52" s="184"/>
      <c r="J52" s="184"/>
      <c r="K52" s="184"/>
      <c r="L52" s="184"/>
      <c r="M52" s="184"/>
      <c r="N52" s="184"/>
      <c r="O52" s="184"/>
      <c r="P52" s="157"/>
    </row>
    <row r="53" spans="1:256">
      <c r="B53" s="187"/>
      <c r="C53" s="188"/>
      <c r="D53" s="189">
        <v>15</v>
      </c>
      <c r="E53" s="188">
        <f>D53+1</f>
        <v>16</v>
      </c>
      <c r="F53" s="188">
        <f>E53+1</f>
        <v>17</v>
      </c>
      <c r="G53" s="188">
        <f t="shared" ref="G53:L53" si="15">F53+1</f>
        <v>18</v>
      </c>
      <c r="H53" s="188">
        <f t="shared" si="15"/>
        <v>19</v>
      </c>
      <c r="I53" s="188">
        <f t="shared" si="15"/>
        <v>20</v>
      </c>
      <c r="J53" s="188">
        <f t="shared" si="15"/>
        <v>21</v>
      </c>
      <c r="K53" s="188">
        <f t="shared" si="15"/>
        <v>22</v>
      </c>
      <c r="L53" s="188">
        <f t="shared" si="15"/>
        <v>23</v>
      </c>
      <c r="M53" s="188">
        <f t="shared" ref="M53" si="16">L53+1</f>
        <v>24</v>
      </c>
      <c r="N53" s="189">
        <v>25</v>
      </c>
      <c r="O53" s="184"/>
      <c r="Q53" s="180"/>
      <c r="T53" s="180"/>
      <c r="V53" s="156"/>
    </row>
    <row r="54" spans="1:256">
      <c r="B54" s="1176">
        <v>2017</v>
      </c>
      <c r="C54" s="191">
        <f>Financials!$DT$176/Financials!$DT$40</f>
        <v>2.9383238574796886</v>
      </c>
      <c r="D54" s="192">
        <f t="shared" ref="D54:N56" si="17">$C54*D$53</f>
        <v>44.07485786219533</v>
      </c>
      <c r="E54" s="192">
        <f t="shared" si="17"/>
        <v>47.013181719675018</v>
      </c>
      <c r="F54" s="192">
        <f t="shared" si="17"/>
        <v>49.951505577154705</v>
      </c>
      <c r="G54" s="192">
        <f t="shared" si="17"/>
        <v>52.889829434634393</v>
      </c>
      <c r="H54" s="192">
        <f t="shared" si="17"/>
        <v>55.828153292114081</v>
      </c>
      <c r="I54" s="192">
        <f t="shared" si="17"/>
        <v>58.766477149593769</v>
      </c>
      <c r="J54" s="192">
        <f t="shared" si="17"/>
        <v>61.704801007073463</v>
      </c>
      <c r="K54" s="192">
        <f t="shared" si="17"/>
        <v>64.643124864553144</v>
      </c>
      <c r="L54" s="192">
        <f t="shared" si="17"/>
        <v>67.581448722032832</v>
      </c>
      <c r="M54" s="192">
        <f t="shared" si="17"/>
        <v>70.519772579512534</v>
      </c>
      <c r="N54" s="192">
        <f t="shared" si="17"/>
        <v>73.458096436992221</v>
      </c>
      <c r="O54" s="184"/>
      <c r="Q54" s="180"/>
      <c r="T54" s="180"/>
      <c r="V54" s="156"/>
    </row>
    <row r="55" spans="1:256">
      <c r="B55" s="190" t="s">
        <v>268</v>
      </c>
      <c r="C55" s="191">
        <f>Financials!$DU$176/Financials!$DU$40</f>
        <v>2.8466847537585847</v>
      </c>
      <c r="D55" s="192">
        <f t="shared" si="17"/>
        <v>42.700271306378767</v>
      </c>
      <c r="E55" s="192">
        <f t="shared" si="17"/>
        <v>45.546956060137354</v>
      </c>
      <c r="F55" s="192">
        <f t="shared" si="17"/>
        <v>48.393640813895942</v>
      </c>
      <c r="G55" s="192">
        <f t="shared" si="17"/>
        <v>51.240325567654523</v>
      </c>
      <c r="H55" s="192">
        <f t="shared" si="17"/>
        <v>54.087010321413111</v>
      </c>
      <c r="I55" s="192">
        <f t="shared" si="17"/>
        <v>56.933695075171691</v>
      </c>
      <c r="J55" s="192">
        <f t="shared" si="17"/>
        <v>59.780379828930279</v>
      </c>
      <c r="K55" s="192">
        <f t="shared" si="17"/>
        <v>62.62706458268886</v>
      </c>
      <c r="L55" s="192">
        <f t="shared" si="17"/>
        <v>65.47374933644744</v>
      </c>
      <c r="M55" s="192">
        <f t="shared" si="17"/>
        <v>68.320434090206035</v>
      </c>
      <c r="N55" s="192">
        <f t="shared" si="17"/>
        <v>71.167118843964616</v>
      </c>
      <c r="O55" s="184"/>
      <c r="Q55" s="157"/>
      <c r="R55" s="157"/>
      <c r="S55" s="157"/>
      <c r="T55" s="157"/>
      <c r="U55" s="157"/>
      <c r="V55" s="163"/>
      <c r="W55" s="157"/>
      <c r="X55" s="157"/>
      <c r="Y55" s="157"/>
      <c r="Z55" s="157"/>
      <c r="AA55" s="157"/>
      <c r="AB55" s="157"/>
      <c r="AC55" s="157"/>
      <c r="AD55" s="157"/>
      <c r="AE55" s="157"/>
      <c r="AF55" s="157"/>
      <c r="AG55" s="157"/>
      <c r="AH55" s="157"/>
      <c r="AI55" s="157"/>
      <c r="AJ55" s="157"/>
      <c r="AK55" s="157"/>
      <c r="AL55" s="157"/>
      <c r="AM55" s="157"/>
      <c r="AN55" s="157"/>
      <c r="AO55" s="157"/>
      <c r="AP55" s="157"/>
      <c r="AQ55" s="157"/>
      <c r="AR55" s="157"/>
      <c r="AS55" s="157"/>
      <c r="AT55" s="157"/>
      <c r="AU55" s="157"/>
      <c r="AV55" s="157"/>
      <c r="AW55" s="157"/>
      <c r="AX55" s="157"/>
      <c r="AY55" s="157"/>
      <c r="AZ55" s="157"/>
      <c r="BA55" s="157"/>
      <c r="BB55" s="157"/>
      <c r="BC55" s="157"/>
      <c r="BD55" s="157"/>
      <c r="BE55" s="157"/>
      <c r="BF55" s="157"/>
      <c r="BG55" s="157"/>
      <c r="BH55" s="157"/>
      <c r="BI55" s="157"/>
      <c r="BJ55" s="157"/>
      <c r="BK55" s="157"/>
      <c r="BL55" s="157"/>
      <c r="BM55" s="157"/>
      <c r="BN55" s="157"/>
      <c r="BO55" s="157"/>
      <c r="BP55" s="157"/>
      <c r="BQ55" s="157"/>
      <c r="BR55" s="157"/>
      <c r="BS55" s="157"/>
      <c r="BT55" s="157"/>
      <c r="BU55" s="157"/>
      <c r="BV55" s="157"/>
      <c r="BW55" s="157"/>
      <c r="BX55" s="157"/>
      <c r="BY55" s="157"/>
      <c r="BZ55" s="157"/>
      <c r="CA55" s="157"/>
      <c r="CB55" s="157"/>
      <c r="CC55" s="157"/>
      <c r="CD55" s="157"/>
      <c r="CE55" s="157"/>
      <c r="CF55" s="157"/>
      <c r="CG55" s="157"/>
      <c r="CH55" s="157"/>
      <c r="CI55" s="157"/>
      <c r="CJ55" s="157"/>
      <c r="CK55" s="157"/>
      <c r="CL55" s="157"/>
      <c r="CM55" s="157"/>
      <c r="CN55" s="157"/>
      <c r="CO55" s="157"/>
      <c r="CP55" s="157"/>
      <c r="CQ55" s="157"/>
      <c r="CR55" s="157"/>
      <c r="CS55" s="157"/>
      <c r="CT55" s="157"/>
      <c r="CU55" s="157"/>
      <c r="CV55" s="157"/>
      <c r="CW55" s="157"/>
      <c r="CX55" s="157"/>
      <c r="CY55" s="157"/>
      <c r="CZ55" s="157"/>
      <c r="DA55" s="157"/>
      <c r="DB55" s="157"/>
      <c r="DC55" s="157"/>
      <c r="DD55" s="157"/>
      <c r="DE55" s="157"/>
      <c r="DF55" s="157"/>
      <c r="DG55" s="157"/>
      <c r="DH55" s="157"/>
      <c r="DI55" s="157"/>
      <c r="DJ55" s="157"/>
      <c r="DK55" s="157"/>
      <c r="DL55" s="157"/>
      <c r="DM55" s="157"/>
      <c r="DN55" s="157"/>
      <c r="DO55" s="157"/>
      <c r="DP55" s="157"/>
      <c r="DQ55" s="157"/>
      <c r="DR55" s="157"/>
      <c r="DS55" s="157"/>
      <c r="DT55" s="157"/>
      <c r="DU55" s="157"/>
      <c r="DV55" s="157"/>
      <c r="DW55" s="157"/>
      <c r="DX55" s="157"/>
      <c r="DY55" s="157"/>
      <c r="DZ55" s="157"/>
      <c r="EA55" s="157"/>
      <c r="EB55" s="157"/>
      <c r="EC55" s="157"/>
      <c r="ED55" s="157"/>
      <c r="EE55" s="157"/>
      <c r="EF55" s="157"/>
      <c r="EG55" s="157"/>
      <c r="EH55" s="157"/>
      <c r="EI55" s="157"/>
      <c r="EJ55" s="157"/>
      <c r="EK55" s="157"/>
      <c r="EL55" s="157"/>
      <c r="EM55" s="157"/>
      <c r="EN55" s="157"/>
      <c r="EO55" s="157"/>
      <c r="EP55" s="157"/>
      <c r="EQ55" s="157"/>
      <c r="ER55" s="157"/>
      <c r="ES55" s="157"/>
      <c r="ET55" s="157"/>
      <c r="EU55" s="157"/>
      <c r="EV55" s="157"/>
      <c r="EW55" s="157"/>
      <c r="EX55" s="157"/>
      <c r="EY55" s="157"/>
      <c r="EZ55" s="157"/>
      <c r="FA55" s="157"/>
      <c r="FB55" s="157"/>
      <c r="FC55" s="157"/>
      <c r="FD55" s="157"/>
      <c r="FE55" s="157"/>
      <c r="FF55" s="157"/>
      <c r="FG55" s="157"/>
      <c r="FH55" s="157"/>
      <c r="FI55" s="157"/>
      <c r="FJ55" s="157"/>
      <c r="FK55" s="157"/>
      <c r="FL55" s="157"/>
      <c r="FM55" s="157"/>
      <c r="FN55" s="157"/>
      <c r="FO55" s="157"/>
      <c r="FP55" s="157"/>
      <c r="FQ55" s="157"/>
      <c r="FR55" s="157"/>
      <c r="FS55" s="157"/>
      <c r="FT55" s="157"/>
      <c r="FU55" s="157"/>
      <c r="FV55" s="157"/>
      <c r="FW55" s="157"/>
      <c r="FX55" s="157"/>
      <c r="FY55" s="157"/>
      <c r="FZ55" s="157"/>
      <c r="GA55" s="157"/>
      <c r="GB55" s="157"/>
      <c r="GC55" s="157"/>
      <c r="GD55" s="157"/>
      <c r="GE55" s="157"/>
      <c r="GF55" s="157"/>
      <c r="GG55" s="157"/>
      <c r="GH55" s="157"/>
      <c r="GI55" s="157"/>
      <c r="GJ55" s="157"/>
      <c r="GK55" s="157"/>
      <c r="GL55" s="157"/>
      <c r="GM55" s="157"/>
      <c r="GN55" s="157"/>
      <c r="GO55" s="157"/>
      <c r="GP55" s="157"/>
      <c r="GQ55" s="157"/>
      <c r="GR55" s="157"/>
      <c r="GS55" s="157"/>
      <c r="GT55" s="157"/>
      <c r="GU55" s="157"/>
      <c r="GV55" s="157"/>
      <c r="GW55" s="157"/>
      <c r="GX55" s="157"/>
      <c r="GY55" s="157"/>
      <c r="GZ55" s="157"/>
      <c r="HA55" s="157"/>
      <c r="HB55" s="157"/>
      <c r="HC55" s="157"/>
      <c r="HD55" s="157"/>
      <c r="HE55" s="157"/>
      <c r="HF55" s="157"/>
      <c r="HG55" s="157"/>
      <c r="HH55" s="157"/>
      <c r="HI55" s="157"/>
      <c r="HJ55" s="157"/>
      <c r="HK55" s="157"/>
      <c r="HL55" s="157"/>
      <c r="HM55" s="157"/>
      <c r="HN55" s="157"/>
      <c r="HO55" s="157"/>
      <c r="HP55" s="157"/>
      <c r="HQ55" s="157"/>
      <c r="HR55" s="157"/>
      <c r="HS55" s="157"/>
      <c r="HT55" s="157"/>
      <c r="HU55" s="157"/>
      <c r="HV55" s="157"/>
      <c r="HW55" s="157"/>
      <c r="HX55" s="157"/>
      <c r="HY55" s="157"/>
      <c r="HZ55" s="157"/>
      <c r="IA55" s="157"/>
      <c r="IB55" s="157"/>
      <c r="IC55" s="157"/>
      <c r="ID55" s="157"/>
      <c r="IE55" s="157"/>
      <c r="IF55" s="157"/>
      <c r="IG55" s="157"/>
      <c r="IH55" s="157"/>
      <c r="II55" s="157"/>
      <c r="IJ55" s="157"/>
      <c r="IK55" s="157"/>
      <c r="IL55" s="157"/>
      <c r="IM55" s="157"/>
      <c r="IN55" s="157"/>
      <c r="IO55" s="157"/>
      <c r="IP55" s="157"/>
      <c r="IQ55" s="157"/>
      <c r="IR55" s="157"/>
      <c r="IS55" s="157"/>
      <c r="IT55" s="157"/>
      <c r="IU55" s="157"/>
      <c r="IV55" s="157"/>
    </row>
    <row r="56" spans="1:256">
      <c r="A56" s="157"/>
      <c r="B56" s="190" t="s">
        <v>277</v>
      </c>
      <c r="C56" s="191">
        <f>Financials!$DV$176/Financials!$DV$40</f>
        <v>3.9457917836510559</v>
      </c>
      <c r="D56" s="192">
        <f t="shared" si="17"/>
        <v>59.186876754765841</v>
      </c>
      <c r="E56" s="192">
        <f t="shared" si="17"/>
        <v>63.132668538416894</v>
      </c>
      <c r="F56" s="192">
        <f t="shared" si="17"/>
        <v>67.078460322067954</v>
      </c>
      <c r="G56" s="192">
        <f t="shared" si="17"/>
        <v>71.024252105719</v>
      </c>
      <c r="H56" s="192">
        <f t="shared" si="17"/>
        <v>74.970043889370061</v>
      </c>
      <c r="I56" s="193">
        <f t="shared" si="17"/>
        <v>78.915835673021121</v>
      </c>
      <c r="J56" s="193">
        <f t="shared" si="17"/>
        <v>82.861627456672167</v>
      </c>
      <c r="K56" s="192">
        <f t="shared" si="17"/>
        <v>86.807419240323227</v>
      </c>
      <c r="L56" s="192">
        <f t="shared" si="17"/>
        <v>90.753211023974288</v>
      </c>
      <c r="M56" s="192">
        <f t="shared" si="17"/>
        <v>94.699002807625334</v>
      </c>
      <c r="N56" s="192">
        <f t="shared" si="17"/>
        <v>98.644794591276394</v>
      </c>
      <c r="O56" s="184"/>
      <c r="P56" s="157"/>
    </row>
    <row r="57" spans="1:256">
      <c r="A57" s="198"/>
      <c r="B57" s="182"/>
      <c r="C57" s="1194"/>
      <c r="D57" s="184"/>
      <c r="E57" s="184"/>
      <c r="F57" s="184"/>
      <c r="G57" s="184"/>
      <c r="H57" s="184"/>
      <c r="I57" s="184"/>
      <c r="J57" s="184"/>
      <c r="K57" s="184"/>
      <c r="L57" s="184"/>
      <c r="O57" s="131"/>
      <c r="V57" s="129"/>
    </row>
    <row r="58" spans="1:256">
      <c r="A58" s="198"/>
      <c r="B58" s="182"/>
      <c r="C58" s="1194"/>
      <c r="D58" s="184"/>
      <c r="E58" s="184"/>
      <c r="F58" s="184"/>
      <c r="G58" s="184"/>
      <c r="H58" s="184"/>
      <c r="I58" s="184"/>
      <c r="J58" s="184"/>
      <c r="K58" s="184"/>
      <c r="L58" s="184"/>
      <c r="O58" s="131"/>
      <c r="V58" s="129"/>
    </row>
    <row r="59" spans="1:256">
      <c r="A59" s="198"/>
      <c r="B59" s="182"/>
      <c r="C59" s="1194"/>
      <c r="D59" s="184"/>
      <c r="E59" s="184"/>
      <c r="F59" s="184"/>
      <c r="G59" s="184"/>
      <c r="H59" s="184"/>
      <c r="I59" s="184"/>
      <c r="J59" s="184"/>
      <c r="K59" s="184"/>
      <c r="L59" s="184"/>
      <c r="O59" s="131"/>
      <c r="V59" s="129"/>
    </row>
    <row r="60" spans="1:256">
      <c r="A60" s="157"/>
      <c r="K60" s="157"/>
      <c r="Q60" s="131"/>
      <c r="V60" s="129"/>
    </row>
    <row r="61" spans="1:256">
      <c r="Q61" s="131"/>
      <c r="V61" s="129"/>
    </row>
    <row r="62" spans="1:256">
      <c r="Q62" s="131"/>
      <c r="V62" s="129"/>
    </row>
  </sheetData>
  <pageMargins left="0.7" right="0.7" top="0.75" bottom="0.75" header="0.3" footer="0.3"/>
  <pageSetup scale="59" orientation="portrait" r:id="rId1"/>
  <ignoredErrors>
    <ignoredError sqref="I28" formula="1"/>
  </ignoredErrors>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pageSetUpPr fitToPage="1"/>
  </sheetPr>
  <dimension ref="A2:AK47"/>
  <sheetViews>
    <sheetView zoomScale="85" zoomScaleNormal="85" workbookViewId="0">
      <selection activeCell="E32" sqref="E32"/>
    </sheetView>
  </sheetViews>
  <sheetFormatPr defaultRowHeight="15"/>
  <cols>
    <col min="1" max="1" width="3.5703125" style="817" customWidth="1"/>
    <col min="2" max="16" width="10.5703125" style="817" customWidth="1"/>
    <col min="17" max="17" width="3.5703125" style="817" customWidth="1"/>
    <col min="18" max="30" width="10.5703125" style="817" customWidth="1"/>
    <col min="31" max="31" width="3.5703125" style="817" customWidth="1"/>
    <col min="32" max="36" width="9.140625" style="817"/>
    <col min="37" max="37" width="9.140625" style="826"/>
    <col min="38" max="257" width="9.140625" style="817"/>
    <col min="258" max="258" width="3.5703125" style="817" customWidth="1"/>
    <col min="259" max="272" width="10.5703125" style="817" customWidth="1"/>
    <col min="273" max="273" width="3.5703125" style="817" customWidth="1"/>
    <col min="274" max="286" width="10.5703125" style="817" customWidth="1"/>
    <col min="287" max="287" width="3.5703125" style="817" customWidth="1"/>
    <col min="288" max="513" width="9.140625" style="817"/>
    <col min="514" max="514" width="3.5703125" style="817" customWidth="1"/>
    <col min="515" max="528" width="10.5703125" style="817" customWidth="1"/>
    <col min="529" max="529" width="3.5703125" style="817" customWidth="1"/>
    <col min="530" max="542" width="10.5703125" style="817" customWidth="1"/>
    <col min="543" max="543" width="3.5703125" style="817" customWidth="1"/>
    <col min="544" max="769" width="9.140625" style="817"/>
    <col min="770" max="770" width="3.5703125" style="817" customWidth="1"/>
    <col min="771" max="784" width="10.5703125" style="817" customWidth="1"/>
    <col min="785" max="785" width="3.5703125" style="817" customWidth="1"/>
    <col min="786" max="798" width="10.5703125" style="817" customWidth="1"/>
    <col min="799" max="799" width="3.5703125" style="817" customWidth="1"/>
    <col min="800" max="1025" width="9.140625" style="817"/>
    <col min="1026" max="1026" width="3.5703125" style="817" customWidth="1"/>
    <col min="1027" max="1040" width="10.5703125" style="817" customWidth="1"/>
    <col min="1041" max="1041" width="3.5703125" style="817" customWidth="1"/>
    <col min="1042" max="1054" width="10.5703125" style="817" customWidth="1"/>
    <col min="1055" max="1055" width="3.5703125" style="817" customWidth="1"/>
    <col min="1056" max="1281" width="9.140625" style="817"/>
    <col min="1282" max="1282" width="3.5703125" style="817" customWidth="1"/>
    <col min="1283" max="1296" width="10.5703125" style="817" customWidth="1"/>
    <col min="1297" max="1297" width="3.5703125" style="817" customWidth="1"/>
    <col min="1298" max="1310" width="10.5703125" style="817" customWidth="1"/>
    <col min="1311" max="1311" width="3.5703125" style="817" customWidth="1"/>
    <col min="1312" max="1537" width="9.140625" style="817"/>
    <col min="1538" max="1538" width="3.5703125" style="817" customWidth="1"/>
    <col min="1539" max="1552" width="10.5703125" style="817" customWidth="1"/>
    <col min="1553" max="1553" width="3.5703125" style="817" customWidth="1"/>
    <col min="1554" max="1566" width="10.5703125" style="817" customWidth="1"/>
    <col min="1567" max="1567" width="3.5703125" style="817" customWidth="1"/>
    <col min="1568" max="1793" width="9.140625" style="817"/>
    <col min="1794" max="1794" width="3.5703125" style="817" customWidth="1"/>
    <col min="1795" max="1808" width="10.5703125" style="817" customWidth="1"/>
    <col min="1809" max="1809" width="3.5703125" style="817" customWidth="1"/>
    <col min="1810" max="1822" width="10.5703125" style="817" customWidth="1"/>
    <col min="1823" max="1823" width="3.5703125" style="817" customWidth="1"/>
    <col min="1824" max="2049" width="9.140625" style="817"/>
    <col min="2050" max="2050" width="3.5703125" style="817" customWidth="1"/>
    <col min="2051" max="2064" width="10.5703125" style="817" customWidth="1"/>
    <col min="2065" max="2065" width="3.5703125" style="817" customWidth="1"/>
    <col min="2066" max="2078" width="10.5703125" style="817" customWidth="1"/>
    <col min="2079" max="2079" width="3.5703125" style="817" customWidth="1"/>
    <col min="2080" max="2305" width="9.140625" style="817"/>
    <col min="2306" max="2306" width="3.5703125" style="817" customWidth="1"/>
    <col min="2307" max="2320" width="10.5703125" style="817" customWidth="1"/>
    <col min="2321" max="2321" width="3.5703125" style="817" customWidth="1"/>
    <col min="2322" max="2334" width="10.5703125" style="817" customWidth="1"/>
    <col min="2335" max="2335" width="3.5703125" style="817" customWidth="1"/>
    <col min="2336" max="2561" width="9.140625" style="817"/>
    <col min="2562" max="2562" width="3.5703125" style="817" customWidth="1"/>
    <col min="2563" max="2576" width="10.5703125" style="817" customWidth="1"/>
    <col min="2577" max="2577" width="3.5703125" style="817" customWidth="1"/>
    <col min="2578" max="2590" width="10.5703125" style="817" customWidth="1"/>
    <col min="2591" max="2591" width="3.5703125" style="817" customWidth="1"/>
    <col min="2592" max="2817" width="9.140625" style="817"/>
    <col min="2818" max="2818" width="3.5703125" style="817" customWidth="1"/>
    <col min="2819" max="2832" width="10.5703125" style="817" customWidth="1"/>
    <col min="2833" max="2833" width="3.5703125" style="817" customWidth="1"/>
    <col min="2834" max="2846" width="10.5703125" style="817" customWidth="1"/>
    <col min="2847" max="2847" width="3.5703125" style="817" customWidth="1"/>
    <col min="2848" max="3073" width="9.140625" style="817"/>
    <col min="3074" max="3074" width="3.5703125" style="817" customWidth="1"/>
    <col min="3075" max="3088" width="10.5703125" style="817" customWidth="1"/>
    <col min="3089" max="3089" width="3.5703125" style="817" customWidth="1"/>
    <col min="3090" max="3102" width="10.5703125" style="817" customWidth="1"/>
    <col min="3103" max="3103" width="3.5703125" style="817" customWidth="1"/>
    <col min="3104" max="3329" width="9.140625" style="817"/>
    <col min="3330" max="3330" width="3.5703125" style="817" customWidth="1"/>
    <col min="3331" max="3344" width="10.5703125" style="817" customWidth="1"/>
    <col min="3345" max="3345" width="3.5703125" style="817" customWidth="1"/>
    <col min="3346" max="3358" width="10.5703125" style="817" customWidth="1"/>
    <col min="3359" max="3359" width="3.5703125" style="817" customWidth="1"/>
    <col min="3360" max="3585" width="9.140625" style="817"/>
    <col min="3586" max="3586" width="3.5703125" style="817" customWidth="1"/>
    <col min="3587" max="3600" width="10.5703125" style="817" customWidth="1"/>
    <col min="3601" max="3601" width="3.5703125" style="817" customWidth="1"/>
    <col min="3602" max="3614" width="10.5703125" style="817" customWidth="1"/>
    <col min="3615" max="3615" width="3.5703125" style="817" customWidth="1"/>
    <col min="3616" max="3841" width="9.140625" style="817"/>
    <col min="3842" max="3842" width="3.5703125" style="817" customWidth="1"/>
    <col min="3843" max="3856" width="10.5703125" style="817" customWidth="1"/>
    <col min="3857" max="3857" width="3.5703125" style="817" customWidth="1"/>
    <col min="3858" max="3870" width="10.5703125" style="817" customWidth="1"/>
    <col min="3871" max="3871" width="3.5703125" style="817" customWidth="1"/>
    <col min="3872" max="4097" width="9.140625" style="817"/>
    <col min="4098" max="4098" width="3.5703125" style="817" customWidth="1"/>
    <col min="4099" max="4112" width="10.5703125" style="817" customWidth="1"/>
    <col min="4113" max="4113" width="3.5703125" style="817" customWidth="1"/>
    <col min="4114" max="4126" width="10.5703125" style="817" customWidth="1"/>
    <col min="4127" max="4127" width="3.5703125" style="817" customWidth="1"/>
    <col min="4128" max="4353" width="9.140625" style="817"/>
    <col min="4354" max="4354" width="3.5703125" style="817" customWidth="1"/>
    <col min="4355" max="4368" width="10.5703125" style="817" customWidth="1"/>
    <col min="4369" max="4369" width="3.5703125" style="817" customWidth="1"/>
    <col min="4370" max="4382" width="10.5703125" style="817" customWidth="1"/>
    <col min="4383" max="4383" width="3.5703125" style="817" customWidth="1"/>
    <col min="4384" max="4609" width="9.140625" style="817"/>
    <col min="4610" max="4610" width="3.5703125" style="817" customWidth="1"/>
    <col min="4611" max="4624" width="10.5703125" style="817" customWidth="1"/>
    <col min="4625" max="4625" width="3.5703125" style="817" customWidth="1"/>
    <col min="4626" max="4638" width="10.5703125" style="817" customWidth="1"/>
    <col min="4639" max="4639" width="3.5703125" style="817" customWidth="1"/>
    <col min="4640" max="4865" width="9.140625" style="817"/>
    <col min="4866" max="4866" width="3.5703125" style="817" customWidth="1"/>
    <col min="4867" max="4880" width="10.5703125" style="817" customWidth="1"/>
    <col min="4881" max="4881" width="3.5703125" style="817" customWidth="1"/>
    <col min="4882" max="4894" width="10.5703125" style="817" customWidth="1"/>
    <col min="4895" max="4895" width="3.5703125" style="817" customWidth="1"/>
    <col min="4896" max="5121" width="9.140625" style="817"/>
    <col min="5122" max="5122" width="3.5703125" style="817" customWidth="1"/>
    <col min="5123" max="5136" width="10.5703125" style="817" customWidth="1"/>
    <col min="5137" max="5137" width="3.5703125" style="817" customWidth="1"/>
    <col min="5138" max="5150" width="10.5703125" style="817" customWidth="1"/>
    <col min="5151" max="5151" width="3.5703125" style="817" customWidth="1"/>
    <col min="5152" max="5377" width="9.140625" style="817"/>
    <col min="5378" max="5378" width="3.5703125" style="817" customWidth="1"/>
    <col min="5379" max="5392" width="10.5703125" style="817" customWidth="1"/>
    <col min="5393" max="5393" width="3.5703125" style="817" customWidth="1"/>
    <col min="5394" max="5406" width="10.5703125" style="817" customWidth="1"/>
    <col min="5407" max="5407" width="3.5703125" style="817" customWidth="1"/>
    <col min="5408" max="5633" width="9.140625" style="817"/>
    <col min="5634" max="5634" width="3.5703125" style="817" customWidth="1"/>
    <col min="5635" max="5648" width="10.5703125" style="817" customWidth="1"/>
    <col min="5649" max="5649" width="3.5703125" style="817" customWidth="1"/>
    <col min="5650" max="5662" width="10.5703125" style="817" customWidth="1"/>
    <col min="5663" max="5663" width="3.5703125" style="817" customWidth="1"/>
    <col min="5664" max="5889" width="9.140625" style="817"/>
    <col min="5890" max="5890" width="3.5703125" style="817" customWidth="1"/>
    <col min="5891" max="5904" width="10.5703125" style="817" customWidth="1"/>
    <col min="5905" max="5905" width="3.5703125" style="817" customWidth="1"/>
    <col min="5906" max="5918" width="10.5703125" style="817" customWidth="1"/>
    <col min="5919" max="5919" width="3.5703125" style="817" customWidth="1"/>
    <col min="5920" max="6145" width="9.140625" style="817"/>
    <col min="6146" max="6146" width="3.5703125" style="817" customWidth="1"/>
    <col min="6147" max="6160" width="10.5703125" style="817" customWidth="1"/>
    <col min="6161" max="6161" width="3.5703125" style="817" customWidth="1"/>
    <col min="6162" max="6174" width="10.5703125" style="817" customWidth="1"/>
    <col min="6175" max="6175" width="3.5703125" style="817" customWidth="1"/>
    <col min="6176" max="6401" width="9.140625" style="817"/>
    <col min="6402" max="6402" width="3.5703125" style="817" customWidth="1"/>
    <col min="6403" max="6416" width="10.5703125" style="817" customWidth="1"/>
    <col min="6417" max="6417" width="3.5703125" style="817" customWidth="1"/>
    <col min="6418" max="6430" width="10.5703125" style="817" customWidth="1"/>
    <col min="6431" max="6431" width="3.5703125" style="817" customWidth="1"/>
    <col min="6432" max="6657" width="9.140625" style="817"/>
    <col min="6658" max="6658" width="3.5703125" style="817" customWidth="1"/>
    <col min="6659" max="6672" width="10.5703125" style="817" customWidth="1"/>
    <col min="6673" max="6673" width="3.5703125" style="817" customWidth="1"/>
    <col min="6674" max="6686" width="10.5703125" style="817" customWidth="1"/>
    <col min="6687" max="6687" width="3.5703125" style="817" customWidth="1"/>
    <col min="6688" max="6913" width="9.140625" style="817"/>
    <col min="6914" max="6914" width="3.5703125" style="817" customWidth="1"/>
    <col min="6915" max="6928" width="10.5703125" style="817" customWidth="1"/>
    <col min="6929" max="6929" width="3.5703125" style="817" customWidth="1"/>
    <col min="6930" max="6942" width="10.5703125" style="817" customWidth="1"/>
    <col min="6943" max="6943" width="3.5703125" style="817" customWidth="1"/>
    <col min="6944" max="7169" width="9.140625" style="817"/>
    <col min="7170" max="7170" width="3.5703125" style="817" customWidth="1"/>
    <col min="7171" max="7184" width="10.5703125" style="817" customWidth="1"/>
    <col min="7185" max="7185" width="3.5703125" style="817" customWidth="1"/>
    <col min="7186" max="7198" width="10.5703125" style="817" customWidth="1"/>
    <col min="7199" max="7199" width="3.5703125" style="817" customWidth="1"/>
    <col min="7200" max="7425" width="9.140625" style="817"/>
    <col min="7426" max="7426" width="3.5703125" style="817" customWidth="1"/>
    <col min="7427" max="7440" width="10.5703125" style="817" customWidth="1"/>
    <col min="7441" max="7441" width="3.5703125" style="817" customWidth="1"/>
    <col min="7442" max="7454" width="10.5703125" style="817" customWidth="1"/>
    <col min="7455" max="7455" width="3.5703125" style="817" customWidth="1"/>
    <col min="7456" max="7681" width="9.140625" style="817"/>
    <col min="7682" max="7682" width="3.5703125" style="817" customWidth="1"/>
    <col min="7683" max="7696" width="10.5703125" style="817" customWidth="1"/>
    <col min="7697" max="7697" width="3.5703125" style="817" customWidth="1"/>
    <col min="7698" max="7710" width="10.5703125" style="817" customWidth="1"/>
    <col min="7711" max="7711" width="3.5703125" style="817" customWidth="1"/>
    <col min="7712" max="7937" width="9.140625" style="817"/>
    <col min="7938" max="7938" width="3.5703125" style="817" customWidth="1"/>
    <col min="7939" max="7952" width="10.5703125" style="817" customWidth="1"/>
    <col min="7953" max="7953" width="3.5703125" style="817" customWidth="1"/>
    <col min="7954" max="7966" width="10.5703125" style="817" customWidth="1"/>
    <col min="7967" max="7967" width="3.5703125" style="817" customWidth="1"/>
    <col min="7968" max="8193" width="9.140625" style="817"/>
    <col min="8194" max="8194" width="3.5703125" style="817" customWidth="1"/>
    <col min="8195" max="8208" width="10.5703125" style="817" customWidth="1"/>
    <col min="8209" max="8209" width="3.5703125" style="817" customWidth="1"/>
    <col min="8210" max="8222" width="10.5703125" style="817" customWidth="1"/>
    <col min="8223" max="8223" width="3.5703125" style="817" customWidth="1"/>
    <col min="8224" max="8449" width="9.140625" style="817"/>
    <col min="8450" max="8450" width="3.5703125" style="817" customWidth="1"/>
    <col min="8451" max="8464" width="10.5703125" style="817" customWidth="1"/>
    <col min="8465" max="8465" width="3.5703125" style="817" customWidth="1"/>
    <col min="8466" max="8478" width="10.5703125" style="817" customWidth="1"/>
    <col min="8479" max="8479" width="3.5703125" style="817" customWidth="1"/>
    <col min="8480" max="8705" width="9.140625" style="817"/>
    <col min="8706" max="8706" width="3.5703125" style="817" customWidth="1"/>
    <col min="8707" max="8720" width="10.5703125" style="817" customWidth="1"/>
    <col min="8721" max="8721" width="3.5703125" style="817" customWidth="1"/>
    <col min="8722" max="8734" width="10.5703125" style="817" customWidth="1"/>
    <col min="8735" max="8735" width="3.5703125" style="817" customWidth="1"/>
    <col min="8736" max="8961" width="9.140625" style="817"/>
    <col min="8962" max="8962" width="3.5703125" style="817" customWidth="1"/>
    <col min="8963" max="8976" width="10.5703125" style="817" customWidth="1"/>
    <col min="8977" max="8977" width="3.5703125" style="817" customWidth="1"/>
    <col min="8978" max="8990" width="10.5703125" style="817" customWidth="1"/>
    <col min="8991" max="8991" width="3.5703125" style="817" customWidth="1"/>
    <col min="8992" max="9217" width="9.140625" style="817"/>
    <col min="9218" max="9218" width="3.5703125" style="817" customWidth="1"/>
    <col min="9219" max="9232" width="10.5703125" style="817" customWidth="1"/>
    <col min="9233" max="9233" width="3.5703125" style="817" customWidth="1"/>
    <col min="9234" max="9246" width="10.5703125" style="817" customWidth="1"/>
    <col min="9247" max="9247" width="3.5703125" style="817" customWidth="1"/>
    <col min="9248" max="9473" width="9.140625" style="817"/>
    <col min="9474" max="9474" width="3.5703125" style="817" customWidth="1"/>
    <col min="9475" max="9488" width="10.5703125" style="817" customWidth="1"/>
    <col min="9489" max="9489" width="3.5703125" style="817" customWidth="1"/>
    <col min="9490" max="9502" width="10.5703125" style="817" customWidth="1"/>
    <col min="9503" max="9503" width="3.5703125" style="817" customWidth="1"/>
    <col min="9504" max="9729" width="9.140625" style="817"/>
    <col min="9730" max="9730" width="3.5703125" style="817" customWidth="1"/>
    <col min="9731" max="9744" width="10.5703125" style="817" customWidth="1"/>
    <col min="9745" max="9745" width="3.5703125" style="817" customWidth="1"/>
    <col min="9746" max="9758" width="10.5703125" style="817" customWidth="1"/>
    <col min="9759" max="9759" width="3.5703125" style="817" customWidth="1"/>
    <col min="9760" max="9985" width="9.140625" style="817"/>
    <col min="9986" max="9986" width="3.5703125" style="817" customWidth="1"/>
    <col min="9987" max="10000" width="10.5703125" style="817" customWidth="1"/>
    <col min="10001" max="10001" width="3.5703125" style="817" customWidth="1"/>
    <col min="10002" max="10014" width="10.5703125" style="817" customWidth="1"/>
    <col min="10015" max="10015" width="3.5703125" style="817" customWidth="1"/>
    <col min="10016" max="10241" width="9.140625" style="817"/>
    <col min="10242" max="10242" width="3.5703125" style="817" customWidth="1"/>
    <col min="10243" max="10256" width="10.5703125" style="817" customWidth="1"/>
    <col min="10257" max="10257" width="3.5703125" style="817" customWidth="1"/>
    <col min="10258" max="10270" width="10.5703125" style="817" customWidth="1"/>
    <col min="10271" max="10271" width="3.5703125" style="817" customWidth="1"/>
    <col min="10272" max="10497" width="9.140625" style="817"/>
    <col min="10498" max="10498" width="3.5703125" style="817" customWidth="1"/>
    <col min="10499" max="10512" width="10.5703125" style="817" customWidth="1"/>
    <col min="10513" max="10513" width="3.5703125" style="817" customWidth="1"/>
    <col min="10514" max="10526" width="10.5703125" style="817" customWidth="1"/>
    <col min="10527" max="10527" width="3.5703125" style="817" customWidth="1"/>
    <col min="10528" max="10753" width="9.140625" style="817"/>
    <col min="10754" max="10754" width="3.5703125" style="817" customWidth="1"/>
    <col min="10755" max="10768" width="10.5703125" style="817" customWidth="1"/>
    <col min="10769" max="10769" width="3.5703125" style="817" customWidth="1"/>
    <col min="10770" max="10782" width="10.5703125" style="817" customWidth="1"/>
    <col min="10783" max="10783" width="3.5703125" style="817" customWidth="1"/>
    <col min="10784" max="11009" width="9.140625" style="817"/>
    <col min="11010" max="11010" width="3.5703125" style="817" customWidth="1"/>
    <col min="11011" max="11024" width="10.5703125" style="817" customWidth="1"/>
    <col min="11025" max="11025" width="3.5703125" style="817" customWidth="1"/>
    <col min="11026" max="11038" width="10.5703125" style="817" customWidth="1"/>
    <col min="11039" max="11039" width="3.5703125" style="817" customWidth="1"/>
    <col min="11040" max="11265" width="9.140625" style="817"/>
    <col min="11266" max="11266" width="3.5703125" style="817" customWidth="1"/>
    <col min="11267" max="11280" width="10.5703125" style="817" customWidth="1"/>
    <col min="11281" max="11281" width="3.5703125" style="817" customWidth="1"/>
    <col min="11282" max="11294" width="10.5703125" style="817" customWidth="1"/>
    <col min="11295" max="11295" width="3.5703125" style="817" customWidth="1"/>
    <col min="11296" max="11521" width="9.140625" style="817"/>
    <col min="11522" max="11522" width="3.5703125" style="817" customWidth="1"/>
    <col min="11523" max="11536" width="10.5703125" style="817" customWidth="1"/>
    <col min="11537" max="11537" width="3.5703125" style="817" customWidth="1"/>
    <col min="11538" max="11550" width="10.5703125" style="817" customWidth="1"/>
    <col min="11551" max="11551" width="3.5703125" style="817" customWidth="1"/>
    <col min="11552" max="11777" width="9.140625" style="817"/>
    <col min="11778" max="11778" width="3.5703125" style="817" customWidth="1"/>
    <col min="11779" max="11792" width="10.5703125" style="817" customWidth="1"/>
    <col min="11793" max="11793" width="3.5703125" style="817" customWidth="1"/>
    <col min="11794" max="11806" width="10.5703125" style="817" customWidth="1"/>
    <col min="11807" max="11807" width="3.5703125" style="817" customWidth="1"/>
    <col min="11808" max="12033" width="9.140625" style="817"/>
    <col min="12034" max="12034" width="3.5703125" style="817" customWidth="1"/>
    <col min="12035" max="12048" width="10.5703125" style="817" customWidth="1"/>
    <col min="12049" max="12049" width="3.5703125" style="817" customWidth="1"/>
    <col min="12050" max="12062" width="10.5703125" style="817" customWidth="1"/>
    <col min="12063" max="12063" width="3.5703125" style="817" customWidth="1"/>
    <col min="12064" max="12289" width="9.140625" style="817"/>
    <col min="12290" max="12290" width="3.5703125" style="817" customWidth="1"/>
    <col min="12291" max="12304" width="10.5703125" style="817" customWidth="1"/>
    <col min="12305" max="12305" width="3.5703125" style="817" customWidth="1"/>
    <col min="12306" max="12318" width="10.5703125" style="817" customWidth="1"/>
    <col min="12319" max="12319" width="3.5703125" style="817" customWidth="1"/>
    <col min="12320" max="12545" width="9.140625" style="817"/>
    <col min="12546" max="12546" width="3.5703125" style="817" customWidth="1"/>
    <col min="12547" max="12560" width="10.5703125" style="817" customWidth="1"/>
    <col min="12561" max="12561" width="3.5703125" style="817" customWidth="1"/>
    <col min="12562" max="12574" width="10.5703125" style="817" customWidth="1"/>
    <col min="12575" max="12575" width="3.5703125" style="817" customWidth="1"/>
    <col min="12576" max="12801" width="9.140625" style="817"/>
    <col min="12802" max="12802" width="3.5703125" style="817" customWidth="1"/>
    <col min="12803" max="12816" width="10.5703125" style="817" customWidth="1"/>
    <col min="12817" max="12817" width="3.5703125" style="817" customWidth="1"/>
    <col min="12818" max="12830" width="10.5703125" style="817" customWidth="1"/>
    <col min="12831" max="12831" width="3.5703125" style="817" customWidth="1"/>
    <col min="12832" max="13057" width="9.140625" style="817"/>
    <col min="13058" max="13058" width="3.5703125" style="817" customWidth="1"/>
    <col min="13059" max="13072" width="10.5703125" style="817" customWidth="1"/>
    <col min="13073" max="13073" width="3.5703125" style="817" customWidth="1"/>
    <col min="13074" max="13086" width="10.5703125" style="817" customWidth="1"/>
    <col min="13087" max="13087" width="3.5703125" style="817" customWidth="1"/>
    <col min="13088" max="13313" width="9.140625" style="817"/>
    <col min="13314" max="13314" width="3.5703125" style="817" customWidth="1"/>
    <col min="13315" max="13328" width="10.5703125" style="817" customWidth="1"/>
    <col min="13329" max="13329" width="3.5703125" style="817" customWidth="1"/>
    <col min="13330" max="13342" width="10.5703125" style="817" customWidth="1"/>
    <col min="13343" max="13343" width="3.5703125" style="817" customWidth="1"/>
    <col min="13344" max="13569" width="9.140625" style="817"/>
    <col min="13570" max="13570" width="3.5703125" style="817" customWidth="1"/>
    <col min="13571" max="13584" width="10.5703125" style="817" customWidth="1"/>
    <col min="13585" max="13585" width="3.5703125" style="817" customWidth="1"/>
    <col min="13586" max="13598" width="10.5703125" style="817" customWidth="1"/>
    <col min="13599" max="13599" width="3.5703125" style="817" customWidth="1"/>
    <col min="13600" max="13825" width="9.140625" style="817"/>
    <col min="13826" max="13826" width="3.5703125" style="817" customWidth="1"/>
    <col min="13827" max="13840" width="10.5703125" style="817" customWidth="1"/>
    <col min="13841" max="13841" width="3.5703125" style="817" customWidth="1"/>
    <col min="13842" max="13854" width="10.5703125" style="817" customWidth="1"/>
    <col min="13855" max="13855" width="3.5703125" style="817" customWidth="1"/>
    <col min="13856" max="14081" width="9.140625" style="817"/>
    <col min="14082" max="14082" width="3.5703125" style="817" customWidth="1"/>
    <col min="14083" max="14096" width="10.5703125" style="817" customWidth="1"/>
    <col min="14097" max="14097" width="3.5703125" style="817" customWidth="1"/>
    <col min="14098" max="14110" width="10.5703125" style="817" customWidth="1"/>
    <col min="14111" max="14111" width="3.5703125" style="817" customWidth="1"/>
    <col min="14112" max="14337" width="9.140625" style="817"/>
    <col min="14338" max="14338" width="3.5703125" style="817" customWidth="1"/>
    <col min="14339" max="14352" width="10.5703125" style="817" customWidth="1"/>
    <col min="14353" max="14353" width="3.5703125" style="817" customWidth="1"/>
    <col min="14354" max="14366" width="10.5703125" style="817" customWidth="1"/>
    <col min="14367" max="14367" width="3.5703125" style="817" customWidth="1"/>
    <col min="14368" max="14593" width="9.140625" style="817"/>
    <col min="14594" max="14594" width="3.5703125" style="817" customWidth="1"/>
    <col min="14595" max="14608" width="10.5703125" style="817" customWidth="1"/>
    <col min="14609" max="14609" width="3.5703125" style="817" customWidth="1"/>
    <col min="14610" max="14622" width="10.5703125" style="817" customWidth="1"/>
    <col min="14623" max="14623" width="3.5703125" style="817" customWidth="1"/>
    <col min="14624" max="14849" width="9.140625" style="817"/>
    <col min="14850" max="14850" width="3.5703125" style="817" customWidth="1"/>
    <col min="14851" max="14864" width="10.5703125" style="817" customWidth="1"/>
    <col min="14865" max="14865" width="3.5703125" style="817" customWidth="1"/>
    <col min="14866" max="14878" width="10.5703125" style="817" customWidth="1"/>
    <col min="14879" max="14879" width="3.5703125" style="817" customWidth="1"/>
    <col min="14880" max="15105" width="9.140625" style="817"/>
    <col min="15106" max="15106" width="3.5703125" style="817" customWidth="1"/>
    <col min="15107" max="15120" width="10.5703125" style="817" customWidth="1"/>
    <col min="15121" max="15121" width="3.5703125" style="817" customWidth="1"/>
    <col min="15122" max="15134" width="10.5703125" style="817" customWidth="1"/>
    <col min="15135" max="15135" width="3.5703125" style="817" customWidth="1"/>
    <col min="15136" max="15361" width="9.140625" style="817"/>
    <col min="15362" max="15362" width="3.5703125" style="817" customWidth="1"/>
    <col min="15363" max="15376" width="10.5703125" style="817" customWidth="1"/>
    <col min="15377" max="15377" width="3.5703125" style="817" customWidth="1"/>
    <col min="15378" max="15390" width="10.5703125" style="817" customWidth="1"/>
    <col min="15391" max="15391" width="3.5703125" style="817" customWidth="1"/>
    <col min="15392" max="15617" width="9.140625" style="817"/>
    <col min="15618" max="15618" width="3.5703125" style="817" customWidth="1"/>
    <col min="15619" max="15632" width="10.5703125" style="817" customWidth="1"/>
    <col min="15633" max="15633" width="3.5703125" style="817" customWidth="1"/>
    <col min="15634" max="15646" width="10.5703125" style="817" customWidth="1"/>
    <col min="15647" max="15647" width="3.5703125" style="817" customWidth="1"/>
    <col min="15648" max="15873" width="9.140625" style="817"/>
    <col min="15874" max="15874" width="3.5703125" style="817" customWidth="1"/>
    <col min="15875" max="15888" width="10.5703125" style="817" customWidth="1"/>
    <col min="15889" max="15889" width="3.5703125" style="817" customWidth="1"/>
    <col min="15890" max="15902" width="10.5703125" style="817" customWidth="1"/>
    <col min="15903" max="15903" width="3.5703125" style="817" customWidth="1"/>
    <col min="15904" max="16129" width="9.140625" style="817"/>
    <col min="16130" max="16130" width="3.5703125" style="817" customWidth="1"/>
    <col min="16131" max="16144" width="10.5703125" style="817" customWidth="1"/>
    <col min="16145" max="16145" width="3.5703125" style="817" customWidth="1"/>
    <col min="16146" max="16158" width="10.5703125" style="817" customWidth="1"/>
    <col min="16159" max="16159" width="3.5703125" style="817" customWidth="1"/>
    <col min="16160" max="16384" width="9.140625" style="817"/>
  </cols>
  <sheetData>
    <row r="2" spans="1:37">
      <c r="A2" s="836"/>
      <c r="B2" s="3" t="s">
        <v>244</v>
      </c>
      <c r="D2" s="818"/>
      <c r="E2" s="818"/>
      <c r="F2" s="818"/>
      <c r="G2" s="818"/>
      <c r="H2" s="818"/>
      <c r="I2" s="818"/>
      <c r="J2" s="818"/>
      <c r="K2" s="818"/>
      <c r="L2" s="818"/>
      <c r="M2" s="818"/>
      <c r="N2" s="818"/>
      <c r="O2" s="818"/>
      <c r="P2" s="818"/>
    </row>
    <row r="3" spans="1:37">
      <c r="A3" s="836"/>
      <c r="B3" s="816" t="s">
        <v>413</v>
      </c>
      <c r="D3" s="818"/>
      <c r="E3" s="818"/>
      <c r="F3" s="818"/>
      <c r="G3" s="818"/>
      <c r="H3" s="818"/>
      <c r="I3" s="818"/>
      <c r="J3" s="818"/>
      <c r="K3" s="818"/>
      <c r="L3" s="818"/>
      <c r="M3" s="818"/>
      <c r="N3" s="818"/>
      <c r="O3" s="818"/>
      <c r="P3" s="818"/>
    </row>
    <row r="4" spans="1:37">
      <c r="A4" s="837"/>
      <c r="V4" s="826"/>
      <c r="AK4" s="817"/>
    </row>
    <row r="5" spans="1:37">
      <c r="A5" s="837"/>
      <c r="B5" s="819" t="s">
        <v>401</v>
      </c>
      <c r="C5" s="820"/>
      <c r="D5" s="821"/>
      <c r="E5" s="821"/>
      <c r="F5" s="821"/>
      <c r="G5" s="821"/>
      <c r="H5" s="821"/>
      <c r="I5" s="821"/>
      <c r="J5" s="821"/>
      <c r="K5" s="821"/>
      <c r="L5" s="821"/>
      <c r="M5" s="821"/>
      <c r="N5" s="821"/>
      <c r="O5" s="821"/>
      <c r="P5" s="821"/>
      <c r="V5" s="826"/>
      <c r="AK5" s="817"/>
    </row>
    <row r="6" spans="1:37">
      <c r="B6" s="834"/>
      <c r="C6" s="835"/>
      <c r="D6" s="818"/>
      <c r="V6" s="826"/>
      <c r="AK6" s="817"/>
    </row>
    <row r="7" spans="1:37">
      <c r="B7" s="834"/>
      <c r="C7" s="847"/>
      <c r="D7" s="818"/>
      <c r="E7" s="822">
        <v>2018</v>
      </c>
      <c r="F7" s="822">
        <f t="shared" ref="F7:M7" si="0">E7+1</f>
        <v>2019</v>
      </c>
      <c r="G7" s="822">
        <f t="shared" si="0"/>
        <v>2020</v>
      </c>
      <c r="H7" s="822">
        <f t="shared" si="0"/>
        <v>2021</v>
      </c>
      <c r="I7" s="822">
        <f t="shared" si="0"/>
        <v>2022</v>
      </c>
      <c r="J7" s="822">
        <f t="shared" si="0"/>
        <v>2023</v>
      </c>
      <c r="K7" s="822">
        <f t="shared" si="0"/>
        <v>2024</v>
      </c>
      <c r="L7" s="822">
        <f t="shared" si="0"/>
        <v>2025</v>
      </c>
      <c r="M7" s="822">
        <f t="shared" si="0"/>
        <v>2026</v>
      </c>
      <c r="N7" s="822">
        <f t="shared" ref="N7" si="1">M7+1</f>
        <v>2027</v>
      </c>
      <c r="O7" s="822">
        <f t="shared" ref="O7:P7" si="2">N7+1</f>
        <v>2028</v>
      </c>
      <c r="P7" s="822">
        <f t="shared" si="2"/>
        <v>2029</v>
      </c>
      <c r="V7" s="826"/>
      <c r="AK7" s="817"/>
    </row>
    <row r="8" spans="1:37">
      <c r="B8" s="834"/>
      <c r="C8" s="847"/>
      <c r="D8" s="818"/>
      <c r="E8" s="848"/>
      <c r="F8" s="848"/>
      <c r="G8" s="848"/>
      <c r="H8" s="848"/>
      <c r="I8" s="848"/>
      <c r="J8" s="848"/>
      <c r="K8" s="848"/>
      <c r="L8" s="848"/>
      <c r="M8" s="848"/>
      <c r="N8" s="848"/>
      <c r="O8" s="848"/>
      <c r="P8" s="848"/>
      <c r="V8" s="826"/>
      <c r="AK8" s="817"/>
    </row>
    <row r="9" spans="1:37" s="827" customFormat="1">
      <c r="B9" s="849" t="s">
        <v>115</v>
      </c>
      <c r="C9" s="850"/>
      <c r="D9" s="851"/>
      <c r="E9" s="852">
        <f>Financials!DU9</f>
        <v>10820.342663215657</v>
      </c>
      <c r="F9" s="852">
        <f>Financials!DV9</f>
        <v>11422.830125400336</v>
      </c>
      <c r="G9" s="852">
        <f>Financials!DW9</f>
        <v>11964.670850628036</v>
      </c>
      <c r="H9" s="852">
        <f>Financials!DX9</f>
        <v>12458.71376217756</v>
      </c>
      <c r="I9" s="852">
        <f>Financials!DY9</f>
        <v>12810.992873956444</v>
      </c>
      <c r="J9" s="852">
        <f>Financials!DZ9</f>
        <v>12987.963968631469</v>
      </c>
      <c r="K9" s="853">
        <f t="shared" ref="K9:M9" si="3">J9*(1+K10)</f>
        <v>13154.391778580031</v>
      </c>
      <c r="L9" s="853">
        <f t="shared" si="3"/>
        <v>13309.797803214824</v>
      </c>
      <c r="M9" s="853">
        <f t="shared" si="3"/>
        <v>13453.729997295919</v>
      </c>
      <c r="N9" s="853">
        <f t="shared" ref="N9" si="4">M9*(1+N10)</f>
        <v>13585.764944565963</v>
      </c>
      <c r="O9" s="853">
        <f t="shared" ref="O9:P9" si="5">N9*(1+O10)</f>
        <v>13705.509918267075</v>
      </c>
      <c r="P9" s="853">
        <f t="shared" si="5"/>
        <v>13812.604814613722</v>
      </c>
      <c r="V9" s="828"/>
    </row>
    <row r="10" spans="1:37" s="829" customFormat="1">
      <c r="B10" s="854" t="s">
        <v>293</v>
      </c>
      <c r="C10" s="855"/>
      <c r="D10" s="856"/>
      <c r="E10" s="857">
        <f>Financials!DU10</f>
        <v>0.10419546939226865</v>
      </c>
      <c r="F10" s="858">
        <f>F9/E9-1</f>
        <v>5.5680996520828252E-2</v>
      </c>
      <c r="G10" s="858">
        <f>G9/F9-1</f>
        <v>4.7434893041334636E-2</v>
      </c>
      <c r="H10" s="858">
        <f t="shared" ref="H10:J10" si="6">H9/G9-1</f>
        <v>4.1291809671771373E-2</v>
      </c>
      <c r="I10" s="858">
        <f t="shared" si="6"/>
        <v>2.8275720792971359E-2</v>
      </c>
      <c r="J10" s="858">
        <f t="shared" si="6"/>
        <v>1.3814003053174151E-2</v>
      </c>
      <c r="K10" s="859">
        <f t="shared" ref="K10:M10" si="7">J10-0.001</f>
        <v>1.281400305317415E-2</v>
      </c>
      <c r="L10" s="859">
        <f t="shared" si="7"/>
        <v>1.1814003053174149E-2</v>
      </c>
      <c r="M10" s="859">
        <f t="shared" si="7"/>
        <v>1.0814003053174148E-2</v>
      </c>
      <c r="N10" s="859">
        <f t="shared" ref="N10" si="8">M10-0.001</f>
        <v>9.8140030531741473E-3</v>
      </c>
      <c r="O10" s="859">
        <f t="shared" ref="O10:P10" si="9">N10-0.001</f>
        <v>8.8140030531741465E-3</v>
      </c>
      <c r="P10" s="859">
        <f t="shared" si="9"/>
        <v>7.8140030531741456E-3</v>
      </c>
      <c r="V10" s="830"/>
    </row>
    <row r="11" spans="1:37">
      <c r="B11" s="834"/>
      <c r="C11" s="860"/>
      <c r="D11" s="818"/>
      <c r="E11" s="848"/>
      <c r="F11" s="848"/>
      <c r="G11" s="848"/>
      <c r="H11" s="848"/>
      <c r="I11" s="848"/>
      <c r="J11" s="848"/>
      <c r="K11" s="848"/>
      <c r="L11" s="848"/>
      <c r="M11" s="848"/>
      <c r="N11" s="848"/>
      <c r="O11" s="848"/>
      <c r="P11" s="848"/>
      <c r="V11" s="826"/>
      <c r="AK11" s="817"/>
    </row>
    <row r="12" spans="1:37" s="827" customFormat="1">
      <c r="B12" s="849" t="s">
        <v>94</v>
      </c>
      <c r="C12" s="861"/>
      <c r="D12" s="851"/>
      <c r="E12" s="852">
        <f>Financials!DU58</f>
        <v>1861.6613780073581</v>
      </c>
      <c r="F12" s="852">
        <f>Financials!DV58</f>
        <v>1951.2132953067885</v>
      </c>
      <c r="G12" s="852">
        <f>Financials!DW58</f>
        <v>2005.4519611195151</v>
      </c>
      <c r="H12" s="852">
        <f>Financials!DX58</f>
        <v>2047.9963125412619</v>
      </c>
      <c r="I12" s="852">
        <f>Financials!DY58</f>
        <v>2063.6902051522625</v>
      </c>
      <c r="J12" s="852">
        <f>Financials!DZ58</f>
        <v>2048.4207611951479</v>
      </c>
      <c r="K12" s="853">
        <f t="shared" ref="K12:P12" si="10">K$9*K13</f>
        <v>2055.759927392106</v>
      </c>
      <c r="L12" s="853">
        <f t="shared" si="10"/>
        <v>2060.9139831881866</v>
      </c>
      <c r="M12" s="853">
        <f t="shared" si="10"/>
        <v>2063.8611139745612</v>
      </c>
      <c r="N12" s="853">
        <f t="shared" si="10"/>
        <v>2064.5864550415081</v>
      </c>
      <c r="O12" s="853">
        <f t="shared" si="10"/>
        <v>2063.0821959774371</v>
      </c>
      <c r="P12" s="853">
        <f t="shared" si="10"/>
        <v>2059.3476483548448</v>
      </c>
      <c r="V12" s="828"/>
    </row>
    <row r="13" spans="1:37" s="829" customFormat="1">
      <c r="B13" s="854" t="s">
        <v>240</v>
      </c>
      <c r="C13" s="855"/>
      <c r="D13" s="856"/>
      <c r="E13" s="858">
        <f>E12/E$9</f>
        <v>0.17205197986346377</v>
      </c>
      <c r="F13" s="858">
        <f>F12/F$9</f>
        <v>0.17081697564318846</v>
      </c>
      <c r="G13" s="858">
        <f>G12/G$9</f>
        <v>0.16761446981337119</v>
      </c>
      <c r="H13" s="858">
        <f t="shared" ref="H13:J13" si="11">H12/H$9</f>
        <v>0.16438264427894753</v>
      </c>
      <c r="I13" s="858">
        <f t="shared" si="11"/>
        <v>0.1610874524290426</v>
      </c>
      <c r="J13" s="858">
        <f t="shared" si="11"/>
        <v>0.15771684970350192</v>
      </c>
      <c r="K13" s="859">
        <f>K16*J13/J16</f>
        <v>0.15627935992750383</v>
      </c>
      <c r="L13" s="859">
        <f t="shared" ref="L13:P13" si="12">L16*K13/K16</f>
        <v>0.15484187015150577</v>
      </c>
      <c r="M13" s="859">
        <f t="shared" si="12"/>
        <v>0.15340438037550769</v>
      </c>
      <c r="N13" s="859">
        <f t="shared" si="12"/>
        <v>0.1519668905995096</v>
      </c>
      <c r="O13" s="859">
        <f t="shared" si="12"/>
        <v>0.15052940082351152</v>
      </c>
      <c r="P13" s="859">
        <f t="shared" si="12"/>
        <v>0.14909191104751343</v>
      </c>
      <c r="Q13" s="827"/>
      <c r="R13" s="827"/>
      <c r="T13" s="827"/>
      <c r="V13" s="828"/>
    </row>
    <row r="14" spans="1:37">
      <c r="B14" s="834"/>
      <c r="C14" s="860"/>
      <c r="D14" s="862"/>
      <c r="E14" s="848"/>
      <c r="F14" s="848"/>
      <c r="G14" s="848"/>
      <c r="H14" s="848"/>
      <c r="I14" s="848"/>
      <c r="J14" s="848"/>
      <c r="K14" s="848"/>
      <c r="L14" s="848"/>
      <c r="M14" s="848"/>
      <c r="N14" s="848"/>
      <c r="O14" s="848"/>
      <c r="P14" s="848"/>
      <c r="Q14" s="827"/>
      <c r="R14" s="827"/>
      <c r="T14" s="827"/>
      <c r="V14" s="828"/>
      <c r="AK14" s="817"/>
    </row>
    <row r="15" spans="1:37" s="816" customFormat="1">
      <c r="B15" s="343" t="s">
        <v>85</v>
      </c>
      <c r="C15" s="863"/>
      <c r="D15" s="864"/>
      <c r="E15" s="852">
        <f>Financials!DU18</f>
        <v>1363.155673168596</v>
      </c>
      <c r="F15" s="852">
        <f>Financials!DV18</f>
        <v>1402.9174492875725</v>
      </c>
      <c r="G15" s="852">
        <f>Financials!DW18</f>
        <v>1431.1477602893694</v>
      </c>
      <c r="H15" s="852">
        <f>Financials!DX18</f>
        <v>1449.9780519567391</v>
      </c>
      <c r="I15" s="852">
        <f>Financials!DY18</f>
        <v>1448.7625472023533</v>
      </c>
      <c r="J15" s="852">
        <f>Financials!DZ18</f>
        <v>1424.9984907008377</v>
      </c>
      <c r="K15" s="853">
        <f t="shared" ref="K15:P15" si="13">K$9*K16</f>
        <v>1430.104033932867</v>
      </c>
      <c r="L15" s="853">
        <f t="shared" si="13"/>
        <v>1433.6894895528917</v>
      </c>
      <c r="M15" s="853">
        <f t="shared" si="13"/>
        <v>1435.7396820729243</v>
      </c>
      <c r="N15" s="853">
        <f t="shared" si="13"/>
        <v>1436.2442707517855</v>
      </c>
      <c r="O15" s="853">
        <f t="shared" si="13"/>
        <v>1435.1978222210287</v>
      </c>
      <c r="P15" s="853">
        <f t="shared" si="13"/>
        <v>1432.5998575711587</v>
      </c>
      <c r="Q15" s="831"/>
      <c r="T15" s="827"/>
      <c r="V15" s="828"/>
    </row>
    <row r="16" spans="1:37" s="829" customFormat="1">
      <c r="B16" s="854" t="s">
        <v>240</v>
      </c>
      <c r="C16" s="855"/>
      <c r="D16" s="856"/>
      <c r="E16" s="858">
        <f>E15/E$9</f>
        <v>0.12598082293666335</v>
      </c>
      <c r="F16" s="858">
        <f>F15/F$9</f>
        <v>0.12281697564318846</v>
      </c>
      <c r="G16" s="858">
        <f>G15/G$9</f>
        <v>0.11961446981337119</v>
      </c>
      <c r="H16" s="858">
        <f t="shared" ref="H16:J16" si="14">H15/H$9</f>
        <v>0.11638264427894754</v>
      </c>
      <c r="I16" s="858">
        <f t="shared" si="14"/>
        <v>0.11308745242904261</v>
      </c>
      <c r="J16" s="858">
        <f t="shared" si="14"/>
        <v>0.10971684970350196</v>
      </c>
      <c r="K16" s="859">
        <f t="shared" ref="K16:M16" si="15">J16-0.001</f>
        <v>0.10871684970350196</v>
      </c>
      <c r="L16" s="859">
        <f t="shared" si="15"/>
        <v>0.10771684970350195</v>
      </c>
      <c r="M16" s="859">
        <f t="shared" si="15"/>
        <v>0.10671684970350195</v>
      </c>
      <c r="N16" s="859">
        <f t="shared" ref="N16" si="16">M16-0.001</f>
        <v>0.10571684970350195</v>
      </c>
      <c r="O16" s="859">
        <f t="shared" ref="O16:P16" si="17">N16-0.001</f>
        <v>0.10471684970350195</v>
      </c>
      <c r="P16" s="859">
        <f t="shared" si="17"/>
        <v>0.10371684970350195</v>
      </c>
      <c r="Q16" s="831"/>
      <c r="R16" s="816"/>
      <c r="T16" s="827"/>
      <c r="V16" s="828"/>
    </row>
    <row r="17" spans="2:37">
      <c r="C17" s="865"/>
      <c r="D17" s="865"/>
      <c r="E17" s="848"/>
      <c r="F17" s="848"/>
      <c r="G17" s="848"/>
      <c r="H17" s="848"/>
      <c r="I17" s="848"/>
      <c r="J17" s="848"/>
      <c r="K17" s="848"/>
      <c r="L17" s="848"/>
      <c r="M17" s="848"/>
      <c r="N17" s="848"/>
      <c r="O17" s="848"/>
      <c r="P17" s="848"/>
      <c r="Q17" s="832"/>
      <c r="T17" s="827"/>
      <c r="V17" s="826"/>
      <c r="AK17" s="817"/>
    </row>
    <row r="18" spans="2:37">
      <c r="B18" s="817" t="s">
        <v>114</v>
      </c>
      <c r="C18" s="865"/>
      <c r="D18" s="865"/>
      <c r="E18" s="868">
        <f t="shared" ref="E18:O18" si="18">-E15*E19</f>
        <v>-320.34158319462006</v>
      </c>
      <c r="F18" s="868">
        <f t="shared" si="18"/>
        <v>-329.68560058257953</v>
      </c>
      <c r="G18" s="868">
        <f t="shared" si="18"/>
        <v>-336.31972366800181</v>
      </c>
      <c r="H18" s="868">
        <f t="shared" si="18"/>
        <v>-340.74484220983368</v>
      </c>
      <c r="I18" s="868">
        <f t="shared" si="18"/>
        <v>-340.45919859255298</v>
      </c>
      <c r="J18" s="868">
        <f t="shared" si="18"/>
        <v>-334.87464531469686</v>
      </c>
      <c r="K18" s="868">
        <f t="shared" si="18"/>
        <v>-336.07444797422374</v>
      </c>
      <c r="L18" s="868">
        <f t="shared" si="18"/>
        <v>-336.9170300449295</v>
      </c>
      <c r="M18" s="868">
        <f t="shared" si="18"/>
        <v>-337.39882528713719</v>
      </c>
      <c r="N18" s="868">
        <f t="shared" si="18"/>
        <v>-337.51740362666959</v>
      </c>
      <c r="O18" s="868">
        <f t="shared" si="18"/>
        <v>-337.27148822194169</v>
      </c>
      <c r="P18" s="868">
        <f t="shared" ref="P18" si="19">-P15*P19</f>
        <v>-336.66096652922226</v>
      </c>
      <c r="Q18" s="833"/>
      <c r="T18" s="833"/>
      <c r="V18" s="828"/>
      <c r="AK18" s="817"/>
    </row>
    <row r="19" spans="2:37" s="829" customFormat="1">
      <c r="B19" s="854" t="s">
        <v>242</v>
      </c>
      <c r="C19" s="855"/>
      <c r="D19" s="856"/>
      <c r="E19" s="1196">
        <f>$E$38</f>
        <v>0.23499999999999999</v>
      </c>
      <c r="F19" s="1196">
        <f t="shared" ref="F19:P19" si="20">$E$38</f>
        <v>0.23499999999999999</v>
      </c>
      <c r="G19" s="1196">
        <f t="shared" si="20"/>
        <v>0.23499999999999999</v>
      </c>
      <c r="H19" s="1196">
        <f t="shared" si="20"/>
        <v>0.23499999999999999</v>
      </c>
      <c r="I19" s="1196">
        <f t="shared" si="20"/>
        <v>0.23499999999999999</v>
      </c>
      <c r="J19" s="1196">
        <f t="shared" si="20"/>
        <v>0.23499999999999999</v>
      </c>
      <c r="K19" s="1196">
        <f t="shared" si="20"/>
        <v>0.23499999999999999</v>
      </c>
      <c r="L19" s="1196">
        <f t="shared" si="20"/>
        <v>0.23499999999999999</v>
      </c>
      <c r="M19" s="1196">
        <f t="shared" si="20"/>
        <v>0.23499999999999999</v>
      </c>
      <c r="N19" s="1196">
        <f t="shared" si="20"/>
        <v>0.23499999999999999</v>
      </c>
      <c r="O19" s="1196">
        <f t="shared" si="20"/>
        <v>0.23499999999999999</v>
      </c>
      <c r="P19" s="1196">
        <f t="shared" si="20"/>
        <v>0.23499999999999999</v>
      </c>
      <c r="V19" s="830"/>
    </row>
    <row r="20" spans="2:37">
      <c r="B20" s="817" t="s">
        <v>350</v>
      </c>
      <c r="C20" s="865"/>
      <c r="D20" s="865"/>
      <c r="E20" s="866">
        <f>Financials!DU146</f>
        <v>-237.89365991575366</v>
      </c>
      <c r="F20" s="866">
        <f>Financials!DV146</f>
        <v>-50.686175031370567</v>
      </c>
      <c r="G20" s="866">
        <f>Financials!DW146</f>
        <v>-47.209942768032533</v>
      </c>
      <c r="H20" s="866">
        <f>Financials!DX146</f>
        <v>-44.528935468117879</v>
      </c>
      <c r="I20" s="866">
        <f>Financials!DY146</f>
        <v>-34.825562581798067</v>
      </c>
      <c r="J20" s="866">
        <f>Financials!DZ146</f>
        <v>-22.304007077770393</v>
      </c>
      <c r="K20" s="867">
        <f t="shared" ref="K20:P20" si="21">J20/J9*K9</f>
        <v>-22.589810692562967</v>
      </c>
      <c r="L20" s="867">
        <f t="shared" si="21"/>
        <v>-22.85668678505553</v>
      </c>
      <c r="M20" s="867">
        <f t="shared" si="21"/>
        <v>-23.103859065734564</v>
      </c>
      <c r="N20" s="867">
        <f t="shared" si="21"/>
        <v>-23.330600409145788</v>
      </c>
      <c r="O20" s="867">
        <f t="shared" si="21"/>
        <v>-23.536236392384385</v>
      </c>
      <c r="P20" s="867">
        <f t="shared" si="21"/>
        <v>-23.720148615414704</v>
      </c>
      <c r="Q20" s="833"/>
      <c r="T20" s="833"/>
      <c r="V20" s="828"/>
      <c r="AK20" s="817"/>
    </row>
    <row r="21" spans="2:37">
      <c r="B21" s="817" t="s">
        <v>106</v>
      </c>
      <c r="C21" s="865"/>
      <c r="D21" s="865"/>
      <c r="E21" s="866">
        <f>Financials!DU152</f>
        <v>-623.13213104845249</v>
      </c>
      <c r="F21" s="866">
        <f>Financials!DV152</f>
        <v>-685.36980752402019</v>
      </c>
      <c r="G21" s="866">
        <f>Financials!DW152</f>
        <v>-717.88025103768211</v>
      </c>
      <c r="H21" s="866">
        <f>Financials!DX152</f>
        <v>-747.52282573065361</v>
      </c>
      <c r="I21" s="866">
        <f>Financials!DY152</f>
        <v>-768.6595724373866</v>
      </c>
      <c r="J21" s="866">
        <f>Financials!DZ152</f>
        <v>-779.27783811788811</v>
      </c>
      <c r="K21" s="868">
        <f t="shared" ref="K21:P21" si="22">-K9*K22</f>
        <v>-789.26350671480191</v>
      </c>
      <c r="L21" s="868">
        <f t="shared" si="22"/>
        <v>-798.58786819288946</v>
      </c>
      <c r="M21" s="868">
        <f t="shared" si="22"/>
        <v>-807.22379983775511</v>
      </c>
      <c r="N21" s="868">
        <f t="shared" si="22"/>
        <v>-815.14589667395774</v>
      </c>
      <c r="O21" s="868">
        <f t="shared" si="22"/>
        <v>-822.33059509602447</v>
      </c>
      <c r="P21" s="868">
        <f t="shared" si="22"/>
        <v>-828.75628887682331</v>
      </c>
      <c r="Q21" s="833"/>
      <c r="T21" s="833"/>
      <c r="V21" s="828"/>
      <c r="AK21" s="817"/>
    </row>
    <row r="22" spans="2:37" s="829" customFormat="1">
      <c r="B22" s="854" t="s">
        <v>262</v>
      </c>
      <c r="C22" s="855"/>
      <c r="D22" s="856"/>
      <c r="E22" s="858">
        <f t="shared" ref="E22:J22" si="23">-E21/E9</f>
        <v>5.7588946158500513E-2</v>
      </c>
      <c r="F22" s="858">
        <f t="shared" si="23"/>
        <v>0.06</v>
      </c>
      <c r="G22" s="858">
        <f t="shared" si="23"/>
        <v>0.06</v>
      </c>
      <c r="H22" s="858">
        <f t="shared" si="23"/>
        <v>0.06</v>
      </c>
      <c r="I22" s="858">
        <f t="shared" si="23"/>
        <v>0.06</v>
      </c>
      <c r="J22" s="858">
        <f t="shared" si="23"/>
        <v>0.06</v>
      </c>
      <c r="K22" s="859">
        <f>J22</f>
        <v>0.06</v>
      </c>
      <c r="L22" s="859">
        <f t="shared" ref="L22:P22" si="24">K22</f>
        <v>0.06</v>
      </c>
      <c r="M22" s="859">
        <f t="shared" si="24"/>
        <v>0.06</v>
      </c>
      <c r="N22" s="859">
        <f t="shared" si="24"/>
        <v>0.06</v>
      </c>
      <c r="O22" s="859">
        <f t="shared" si="24"/>
        <v>0.06</v>
      </c>
      <c r="P22" s="859">
        <f t="shared" si="24"/>
        <v>0.06</v>
      </c>
      <c r="V22" s="830"/>
    </row>
    <row r="23" spans="2:37">
      <c r="C23" s="865"/>
      <c r="D23" s="865"/>
      <c r="E23" s="866"/>
      <c r="F23" s="866"/>
      <c r="G23" s="868"/>
      <c r="H23" s="868"/>
      <c r="I23" s="868"/>
      <c r="J23" s="868"/>
      <c r="K23" s="868"/>
      <c r="L23" s="868"/>
      <c r="M23" s="868"/>
      <c r="N23" s="868"/>
      <c r="O23" s="868"/>
      <c r="P23" s="868"/>
      <c r="V23" s="826"/>
      <c r="AK23" s="817"/>
    </row>
    <row r="24" spans="2:37" s="816" customFormat="1">
      <c r="B24" s="816" t="s">
        <v>402</v>
      </c>
      <c r="C24" s="864"/>
      <c r="D24" s="864"/>
      <c r="E24" s="853">
        <f t="shared" ref="E24:O24" si="25">E12+E18+E20+E21</f>
        <v>680.29400384853193</v>
      </c>
      <c r="F24" s="853">
        <f t="shared" si="25"/>
        <v>885.47171216881816</v>
      </c>
      <c r="G24" s="853">
        <f t="shared" si="25"/>
        <v>904.04204364579857</v>
      </c>
      <c r="H24" s="853">
        <f t="shared" si="25"/>
        <v>915.19970913265672</v>
      </c>
      <c r="I24" s="853">
        <f t="shared" si="25"/>
        <v>919.74587154052472</v>
      </c>
      <c r="J24" s="853">
        <f t="shared" si="25"/>
        <v>911.9642706847925</v>
      </c>
      <c r="K24" s="853">
        <f t="shared" si="25"/>
        <v>907.83216201051732</v>
      </c>
      <c r="L24" s="853">
        <f t="shared" si="25"/>
        <v>902.55239816531218</v>
      </c>
      <c r="M24" s="853">
        <f t="shared" si="25"/>
        <v>896.13462978393443</v>
      </c>
      <c r="N24" s="853">
        <f t="shared" si="25"/>
        <v>888.59255433173496</v>
      </c>
      <c r="O24" s="853">
        <f t="shared" si="25"/>
        <v>879.94387626708669</v>
      </c>
      <c r="P24" s="853">
        <f t="shared" ref="P24" si="26">P12+P18+P20+P21</f>
        <v>870.21024433338459</v>
      </c>
      <c r="T24" s="827"/>
      <c r="V24" s="828"/>
    </row>
    <row r="25" spans="2:37" s="829" customFormat="1">
      <c r="B25" s="854" t="s">
        <v>293</v>
      </c>
      <c r="C25" s="855"/>
      <c r="D25" s="856"/>
      <c r="E25" s="858"/>
      <c r="F25" s="858">
        <f t="shared" ref="F25:M25" si="27">F24/E24-1</f>
        <v>0.30160152398751583</v>
      </c>
      <c r="G25" s="858">
        <f t="shared" si="27"/>
        <v>2.0972247020173418E-2</v>
      </c>
      <c r="H25" s="858">
        <f t="shared" ref="H25" si="28">H24/G24-1</f>
        <v>1.2341976311037284E-2</v>
      </c>
      <c r="I25" s="858">
        <f t="shared" ref="I25" si="29">I24/H24-1</f>
        <v>4.9673993146004403E-3</v>
      </c>
      <c r="J25" s="858">
        <f t="shared" ref="J25" si="30">J24/I24-1</f>
        <v>-8.4605988420458633E-3</v>
      </c>
      <c r="K25" s="858">
        <f>K24/J24-1</f>
        <v>-4.5309984251602486E-3</v>
      </c>
      <c r="L25" s="858">
        <f t="shared" si="27"/>
        <v>-5.8157929032965905E-3</v>
      </c>
      <c r="M25" s="858">
        <f t="shared" si="27"/>
        <v>-7.1106878608085955E-3</v>
      </c>
      <c r="N25" s="858">
        <f t="shared" ref="N25" si="31">N24/M24-1</f>
        <v>-8.4162303313932707E-3</v>
      </c>
      <c r="O25" s="858">
        <f t="shared" ref="O25:P25" si="32">O24/N24-1</f>
        <v>-9.7330075775308167E-3</v>
      </c>
      <c r="P25" s="858">
        <f t="shared" si="32"/>
        <v>-1.106165085777322E-2</v>
      </c>
      <c r="V25" s="830"/>
    </row>
    <row r="26" spans="2:37">
      <c r="B26" s="817" t="s">
        <v>403</v>
      </c>
      <c r="C26" s="865"/>
      <c r="D26" s="865"/>
      <c r="E26" s="869"/>
      <c r="F26" s="869">
        <v>0</v>
      </c>
      <c r="G26" s="870">
        <f t="shared" ref="G26:M26" si="33">F26+1</f>
        <v>1</v>
      </c>
      <c r="H26" s="870">
        <f t="shared" ref="H26" si="34">G26+1</f>
        <v>2</v>
      </c>
      <c r="I26" s="870">
        <f t="shared" ref="I26" si="35">H26+1</f>
        <v>3</v>
      </c>
      <c r="J26" s="870">
        <f t="shared" ref="J26" si="36">I26+1</f>
        <v>4</v>
      </c>
      <c r="K26" s="870">
        <f t="shared" si="33"/>
        <v>5</v>
      </c>
      <c r="L26" s="870">
        <f t="shared" si="33"/>
        <v>6</v>
      </c>
      <c r="M26" s="870">
        <f t="shared" si="33"/>
        <v>7</v>
      </c>
      <c r="N26" s="870">
        <f t="shared" ref="N26" si="37">M26+1</f>
        <v>8</v>
      </c>
      <c r="O26" s="870">
        <f t="shared" ref="O26:P26" si="38">N26+1</f>
        <v>9</v>
      </c>
      <c r="P26" s="870">
        <f t="shared" si="38"/>
        <v>10</v>
      </c>
      <c r="V26" s="826"/>
      <c r="AK26" s="817"/>
    </row>
    <row r="27" spans="2:37">
      <c r="B27" s="846" t="s">
        <v>404</v>
      </c>
      <c r="C27" s="871"/>
      <c r="D27" s="871"/>
      <c r="E27" s="872"/>
      <c r="F27" s="872">
        <f t="shared" ref="F27" si="39">1/((1+$E$43)^F26)</f>
        <v>1</v>
      </c>
      <c r="G27" s="872">
        <f t="shared" ref="G27:O27" si="40">1/((1+$E$43)^G26)</f>
        <v>0.94089634418432</v>
      </c>
      <c r="H27" s="872">
        <f t="shared" si="40"/>
        <v>0.88528593049941851</v>
      </c>
      <c r="I27" s="872">
        <f t="shared" si="40"/>
        <v>0.83296229556471679</v>
      </c>
      <c r="J27" s="872">
        <f t="shared" si="40"/>
        <v>0.78373117874022125</v>
      </c>
      <c r="K27" s="872">
        <f t="shared" si="40"/>
        <v>0.73740980089994201</v>
      </c>
      <c r="L27" s="872">
        <f t="shared" si="40"/>
        <v>0.69382618583244282</v>
      </c>
      <c r="M27" s="872">
        <f t="shared" si="40"/>
        <v>0.65281852174909605</v>
      </c>
      <c r="N27" s="872">
        <f t="shared" si="40"/>
        <v>0.61423456052953651</v>
      </c>
      <c r="O27" s="872">
        <f t="shared" si="40"/>
        <v>0.57793105247390342</v>
      </c>
      <c r="P27" s="872">
        <f t="shared" ref="P27" si="41">1/((1+$E$43)^P26)</f>
        <v>0.54377321446329219</v>
      </c>
      <c r="V27" s="826"/>
      <c r="AK27" s="817"/>
    </row>
    <row r="28" spans="2:37">
      <c r="B28" s="817" t="s">
        <v>405</v>
      </c>
      <c r="C28" s="865"/>
      <c r="D28" s="865"/>
      <c r="E28" s="868"/>
      <c r="F28" s="868">
        <f t="shared" ref="F28" si="42">F24*F27</f>
        <v>885.47171216881816</v>
      </c>
      <c r="G28" s="868">
        <f t="shared" ref="G28:M28" si="43">G24*G27</f>
        <v>850.60985385525339</v>
      </c>
      <c r="H28" s="868">
        <f t="shared" ref="H28:J28" si="44">H24*H27</f>
        <v>810.21342609230112</v>
      </c>
      <c r="I28" s="868">
        <f t="shared" si="44"/>
        <v>766.11363249456656</v>
      </c>
      <c r="J28" s="868">
        <f t="shared" si="44"/>
        <v>714.73483283275857</v>
      </c>
      <c r="K28" s="868">
        <f t="shared" si="43"/>
        <v>669.44433383873945</v>
      </c>
      <c r="L28" s="868">
        <f t="shared" si="43"/>
        <v>626.21448793296281</v>
      </c>
      <c r="M28" s="868">
        <f t="shared" si="43"/>
        <v>585.01328430372155</v>
      </c>
      <c r="N28" s="868">
        <f t="shared" ref="N28:O28" si="45">N24*N27</f>
        <v>545.80425709977146</v>
      </c>
      <c r="O28" s="868">
        <f t="shared" si="45"/>
        <v>508.54689052900363</v>
      </c>
      <c r="P28" s="868">
        <f t="shared" ref="P28" si="46">P24*P27</f>
        <v>473.19702182005142</v>
      </c>
      <c r="V28" s="826"/>
      <c r="AK28" s="817"/>
    </row>
    <row r="29" spans="2:37">
      <c r="B29" s="817" t="s">
        <v>406</v>
      </c>
      <c r="C29" s="865"/>
      <c r="D29" s="865"/>
      <c r="E29" s="868"/>
      <c r="F29" s="868"/>
      <c r="G29" s="868"/>
      <c r="H29" s="868"/>
      <c r="I29" s="868"/>
      <c r="J29" s="868"/>
      <c r="K29" s="868"/>
      <c r="L29" s="868"/>
      <c r="N29" s="868"/>
      <c r="O29" s="868"/>
      <c r="P29" s="868">
        <f>P24*(1+$E45)/($E43-$E45)*P27</f>
        <v>7533.025525491712</v>
      </c>
      <c r="V29" s="826"/>
      <c r="AK29" s="817"/>
    </row>
    <row r="30" spans="2:37">
      <c r="V30" s="826"/>
      <c r="AK30" s="817"/>
    </row>
    <row r="31" spans="2:37">
      <c r="B31" s="884"/>
      <c r="C31" s="885"/>
      <c r="D31" s="885"/>
      <c r="E31" s="886"/>
      <c r="M31" s="873"/>
      <c r="N31" s="874"/>
      <c r="O31" s="874"/>
      <c r="P31" s="875"/>
      <c r="V31" s="826"/>
      <c r="AK31" s="817"/>
    </row>
    <row r="32" spans="2:37">
      <c r="B32" s="887" t="s">
        <v>407</v>
      </c>
      <c r="C32" s="888"/>
      <c r="D32" s="888"/>
      <c r="E32" s="1208">
        <v>1.3914484763252961</v>
      </c>
      <c r="M32" s="876" t="s">
        <v>205</v>
      </c>
      <c r="N32" s="877"/>
      <c r="O32" s="877"/>
      <c r="P32" s="878">
        <f>SUM(F28:P29)</f>
        <v>14968.38925845966</v>
      </c>
      <c r="V32" s="826"/>
      <c r="AK32" s="817"/>
    </row>
    <row r="33" spans="2:37">
      <c r="B33" s="1116" t="s">
        <v>455</v>
      </c>
      <c r="C33" s="888"/>
      <c r="D33" s="888"/>
      <c r="E33" s="879">
        <f>0.085-E34</f>
        <v>6.5500000000000003E-2</v>
      </c>
      <c r="M33" s="880" t="s">
        <v>431</v>
      </c>
      <c r="N33" s="877"/>
      <c r="O33" s="877"/>
      <c r="P33" s="881">
        <f>Valuation!G15</f>
        <v>2188.2999999999997</v>
      </c>
      <c r="V33" s="826"/>
      <c r="AK33" s="817"/>
    </row>
    <row r="34" spans="2:37">
      <c r="B34" s="887" t="s">
        <v>124</v>
      </c>
      <c r="C34" s="888"/>
      <c r="D34" s="888"/>
      <c r="E34" s="1117">
        <v>1.95E-2</v>
      </c>
      <c r="M34" s="880" t="s">
        <v>430</v>
      </c>
      <c r="N34" s="877"/>
      <c r="O34" s="877"/>
      <c r="P34" s="881">
        <f>Valuation!G16</f>
        <v>979.54812348826397</v>
      </c>
      <c r="V34" s="826"/>
      <c r="AK34" s="817"/>
    </row>
    <row r="35" spans="2:37">
      <c r="B35" s="889" t="s">
        <v>117</v>
      </c>
      <c r="C35" s="888"/>
      <c r="D35" s="888"/>
      <c r="E35" s="838">
        <f>E34+E32*E33</f>
        <v>0.1106398751993069</v>
      </c>
      <c r="M35" s="880" t="s">
        <v>412</v>
      </c>
      <c r="N35" s="877"/>
      <c r="O35" s="877"/>
      <c r="P35" s="881">
        <f>Valuation!G17</f>
        <v>165.89999999999998</v>
      </c>
      <c r="V35" s="826"/>
      <c r="AK35" s="817"/>
    </row>
    <row r="36" spans="2:37">
      <c r="B36" s="889"/>
      <c r="C36" s="888"/>
      <c r="D36" s="888"/>
      <c r="E36" s="838"/>
      <c r="M36" s="969" t="s">
        <v>435</v>
      </c>
      <c r="N36" s="877"/>
      <c r="O36" s="877"/>
      <c r="P36" s="881">
        <f>Valuation!G18</f>
        <v>144.27900000000002</v>
      </c>
      <c r="V36" s="826"/>
      <c r="AK36" s="817"/>
    </row>
    <row r="37" spans="2:37">
      <c r="B37" s="887" t="s">
        <v>409</v>
      </c>
      <c r="C37" s="888"/>
      <c r="D37" s="888"/>
      <c r="E37" s="882">
        <f>Financials!DU24</f>
        <v>2.5552169011732285E-2</v>
      </c>
      <c r="M37" s="969" t="s">
        <v>436</v>
      </c>
      <c r="N37" s="877"/>
      <c r="O37" s="877"/>
      <c r="P37" s="881">
        <f>Valuation!G19</f>
        <v>40.927500000000002</v>
      </c>
      <c r="V37" s="826"/>
      <c r="AK37" s="817"/>
    </row>
    <row r="38" spans="2:37">
      <c r="B38" s="887" t="s">
        <v>92</v>
      </c>
      <c r="C38" s="888"/>
      <c r="D38" s="888"/>
      <c r="E38" s="879">
        <f>AVERAGE(0.23,0.24)</f>
        <v>0.23499999999999999</v>
      </c>
      <c r="F38" s="818"/>
      <c r="G38" s="818"/>
      <c r="M38" s="876" t="s">
        <v>199</v>
      </c>
      <c r="N38" s="877"/>
      <c r="O38" s="877"/>
      <c r="P38" s="878">
        <f>P32-P33+P34-P35-P36-P37</f>
        <v>13408.530881947925</v>
      </c>
      <c r="V38" s="826"/>
      <c r="AK38" s="817"/>
    </row>
    <row r="39" spans="2:37">
      <c r="B39" s="889" t="s">
        <v>201</v>
      </c>
      <c r="C39" s="888"/>
      <c r="D39" s="888"/>
      <c r="E39" s="838">
        <f>E37*(1-E38)</f>
        <v>1.9547409293975197E-2</v>
      </c>
      <c r="F39" s="818"/>
      <c r="G39" s="818"/>
      <c r="M39" s="876" t="s">
        <v>408</v>
      </c>
      <c r="N39" s="877"/>
      <c r="O39" s="877"/>
      <c r="P39" s="881">
        <f>Valuation!G13</f>
        <v>208.79490393395531</v>
      </c>
      <c r="V39" s="826"/>
      <c r="AK39" s="817"/>
    </row>
    <row r="40" spans="2:37">
      <c r="B40" s="889"/>
      <c r="C40" s="888"/>
      <c r="D40" s="888"/>
      <c r="E40" s="838"/>
      <c r="F40" s="818"/>
      <c r="G40" s="818"/>
      <c r="M40" s="839"/>
      <c r="N40" s="834"/>
      <c r="O40" s="834"/>
      <c r="P40" s="840"/>
      <c r="V40" s="826"/>
      <c r="AK40" s="817"/>
    </row>
    <row r="41" spans="2:37">
      <c r="B41" s="887" t="s">
        <v>410</v>
      </c>
      <c r="C41" s="888"/>
      <c r="D41" s="888"/>
      <c r="E41" s="879">
        <f>AVERAGE(0.5,0.55)</f>
        <v>0.52500000000000002</v>
      </c>
      <c r="F41" s="818"/>
      <c r="G41" s="818"/>
      <c r="M41" s="823" t="s">
        <v>200</v>
      </c>
      <c r="N41" s="824"/>
      <c r="O41" s="824"/>
      <c r="P41" s="825">
        <f>P38/P39</f>
        <v>64.218669274558664</v>
      </c>
      <c r="V41" s="826"/>
      <c r="AK41" s="817"/>
    </row>
    <row r="42" spans="2:37">
      <c r="B42" s="887" t="s">
        <v>202</v>
      </c>
      <c r="C42" s="888"/>
      <c r="D42" s="888"/>
      <c r="E42" s="841">
        <f>1-E41</f>
        <v>0.47499999999999998</v>
      </c>
      <c r="F42" s="818"/>
      <c r="G42" s="818"/>
      <c r="M42" s="839" t="s">
        <v>266</v>
      </c>
      <c r="N42" s="834"/>
      <c r="O42" s="834"/>
      <c r="P42" s="883">
        <f>P41/Valuation!E12-1</f>
        <v>0.21167300518035215</v>
      </c>
      <c r="V42" s="826"/>
      <c r="AK42" s="817"/>
    </row>
    <row r="43" spans="2:37">
      <c r="B43" s="889" t="s">
        <v>411</v>
      </c>
      <c r="C43" s="888"/>
      <c r="D43" s="888"/>
      <c r="E43" s="838">
        <f>E41*E39+E42*E35</f>
        <v>6.281633059900775E-2</v>
      </c>
      <c r="F43" s="818"/>
      <c r="G43" s="818"/>
      <c r="M43" s="839"/>
      <c r="N43" s="834"/>
      <c r="O43" s="834"/>
      <c r="P43" s="840"/>
      <c r="V43" s="826"/>
      <c r="AK43" s="817"/>
    </row>
    <row r="44" spans="2:37">
      <c r="B44" s="889"/>
      <c r="C44" s="888"/>
      <c r="D44" s="888"/>
      <c r="E44" s="838"/>
      <c r="F44" s="818"/>
      <c r="G44" s="818"/>
      <c r="M44" s="839" t="s">
        <v>277</v>
      </c>
      <c r="N44" s="834" t="s">
        <v>273</v>
      </c>
      <c r="O44" s="834"/>
      <c r="P44" s="1124">
        <f>P32/Valuation!C28</f>
        <v>7.6713239369897721</v>
      </c>
      <c r="V44" s="826"/>
      <c r="AK44" s="817"/>
    </row>
    <row r="45" spans="2:37">
      <c r="B45" s="889" t="s">
        <v>203</v>
      </c>
      <c r="C45" s="888"/>
      <c r="D45" s="888"/>
      <c r="E45" s="845">
        <v>0</v>
      </c>
      <c r="F45" s="818"/>
      <c r="G45" s="818"/>
      <c r="M45" s="839" t="s">
        <v>277</v>
      </c>
      <c r="N45" s="834" t="s">
        <v>274</v>
      </c>
      <c r="O45" s="834"/>
      <c r="P45" s="1124">
        <f>P41/Valuation!C42</f>
        <v>14.134984572446838</v>
      </c>
      <c r="V45" s="826"/>
      <c r="AK45" s="817"/>
    </row>
    <row r="46" spans="2:37">
      <c r="B46" s="890"/>
      <c r="C46" s="891"/>
      <c r="D46" s="891"/>
      <c r="E46" s="892"/>
      <c r="M46" s="839" t="s">
        <v>277</v>
      </c>
      <c r="N46" s="834" t="s">
        <v>272</v>
      </c>
      <c r="O46" s="834"/>
      <c r="P46" s="1124">
        <f>P41/Valuation!C56</f>
        <v>16.275230117473885</v>
      </c>
      <c r="V46" s="826"/>
      <c r="AK46" s="817"/>
    </row>
    <row r="47" spans="2:37">
      <c r="M47" s="842"/>
      <c r="N47" s="843"/>
      <c r="O47" s="843"/>
      <c r="P47" s="844"/>
    </row>
  </sheetData>
  <pageMargins left="0.7" right="0.7" top="0.75" bottom="0.75" header="0.3" footer="0.3"/>
  <pageSetup scale="73" orientation="landscape"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enableFormatConditionsCalculation="0">
    <pageSetUpPr fitToPage="1"/>
  </sheetPr>
  <dimension ref="A1:EG65515"/>
  <sheetViews>
    <sheetView showGridLines="0" zoomScale="85" zoomScaleNormal="85" zoomScaleSheetLayoutView="100" workbookViewId="0">
      <pane xSplit="3" ySplit="5" topLeftCell="D6" activePane="bottomRight" state="frozen"/>
      <selection activeCell="E47" sqref="E47"/>
      <selection pane="topRight" activeCell="E47" sqref="E47"/>
      <selection pane="bottomLeft" activeCell="E47" sqref="E47"/>
      <selection pane="bottomRight" activeCell="DV28" sqref="DV28"/>
    </sheetView>
  </sheetViews>
  <sheetFormatPr defaultRowHeight="15" outlineLevelRow="1" outlineLevelCol="1"/>
  <cols>
    <col min="1" max="1" width="3.5703125" style="123" customWidth="1"/>
    <col min="2" max="2" width="42.7109375" style="123" customWidth="1"/>
    <col min="3" max="3" width="3.5703125" style="123" customWidth="1"/>
    <col min="4" max="86" width="10.5703125" style="358" hidden="1" customWidth="1" outlineLevel="1"/>
    <col min="87" max="87" width="10.5703125" style="625" hidden="1" customWidth="1" outlineLevel="1"/>
    <col min="88" max="88" width="10.5703125" style="358" hidden="1" customWidth="1" outlineLevel="1" collapsed="1"/>
    <col min="89" max="90" width="10.5703125" style="358" hidden="1" customWidth="1" outlineLevel="1"/>
    <col min="91" max="91" width="10.5703125" style="625" hidden="1" customWidth="1" outlineLevel="1"/>
    <col min="92" max="92" width="10.5703125" style="358" customWidth="1" collapsed="1"/>
    <col min="93" max="99" width="10.5703125" style="358" customWidth="1"/>
    <col min="100" max="100" width="3.5703125" style="123" customWidth="1"/>
    <col min="101" max="101" width="10.5703125" style="358" hidden="1" customWidth="1" outlineLevel="1"/>
    <col min="102" max="102" width="10.5703125" style="358" hidden="1" customWidth="1" outlineLevel="1" collapsed="1"/>
    <col min="103" max="107" width="10.5703125" style="358" hidden="1" customWidth="1" outlineLevel="1"/>
    <col min="108" max="117" width="10.5703125" style="358" hidden="1" customWidth="1" outlineLevel="1" collapsed="1"/>
    <col min="118" max="119" width="10.5703125" style="358" hidden="1" customWidth="1" outlineLevel="1"/>
    <col min="120" max="122" width="10.5703125" style="358" hidden="1" customWidth="1" outlineLevel="1" collapsed="1"/>
    <col min="123" max="123" width="10.5703125" style="358" customWidth="1" collapsed="1"/>
    <col min="124" max="130" width="10.5703125" style="358" customWidth="1"/>
    <col min="131" max="131" width="3.5703125" style="123" customWidth="1"/>
    <col min="132" max="132" width="33.28515625" customWidth="1"/>
    <col min="133" max="133" width="9.140625" customWidth="1"/>
    <col min="134" max="134" width="12.85546875" customWidth="1"/>
    <col min="135" max="137" width="9.140625" customWidth="1"/>
    <col min="138" max="138" width="3.5703125" style="123" customWidth="1"/>
    <col min="139" max="16384" width="9.140625" style="123"/>
  </cols>
  <sheetData>
    <row r="1" spans="1:137" s="124" customFormat="1">
      <c r="A1" s="374"/>
      <c r="B1" s="374"/>
      <c r="C1" s="374"/>
      <c r="D1" s="375"/>
      <c r="E1" s="375"/>
      <c r="F1" s="375"/>
      <c r="G1" s="375"/>
      <c r="H1" s="375"/>
      <c r="I1" s="375"/>
      <c r="J1" s="375"/>
      <c r="K1" s="375"/>
      <c r="L1" s="375"/>
      <c r="M1" s="375"/>
      <c r="N1" s="375"/>
      <c r="O1" s="375"/>
      <c r="P1" s="375"/>
      <c r="Q1" s="375"/>
      <c r="R1" s="375"/>
      <c r="S1" s="375"/>
      <c r="T1" s="375"/>
      <c r="U1" s="375"/>
      <c r="V1" s="375"/>
      <c r="W1" s="375"/>
      <c r="X1" s="375"/>
      <c r="Y1" s="375"/>
      <c r="Z1" s="375"/>
      <c r="AA1" s="375"/>
      <c r="AB1" s="375"/>
      <c r="AC1" s="375"/>
      <c r="AD1" s="375"/>
      <c r="AE1" s="375"/>
      <c r="AF1" s="375"/>
      <c r="AG1" s="375"/>
      <c r="AH1" s="375"/>
      <c r="AI1" s="375"/>
      <c r="AJ1" s="375"/>
      <c r="AK1" s="375"/>
      <c r="AL1" s="375"/>
      <c r="AM1" s="375"/>
      <c r="AN1" s="375"/>
      <c r="AO1" s="375"/>
      <c r="AP1" s="375"/>
      <c r="AQ1" s="375"/>
      <c r="AR1" s="375"/>
      <c r="AS1" s="375"/>
      <c r="AT1" s="375"/>
      <c r="AU1" s="375"/>
      <c r="AV1" s="375"/>
      <c r="AW1" s="375"/>
      <c r="AX1" s="375"/>
      <c r="AY1" s="375"/>
      <c r="AZ1" s="375"/>
      <c r="BA1" s="375"/>
      <c r="BB1" s="375"/>
      <c r="BC1" s="375"/>
      <c r="BD1" s="375"/>
      <c r="BE1" s="375"/>
      <c r="BF1" s="375"/>
      <c r="BG1" s="375"/>
      <c r="BH1" s="375"/>
      <c r="BI1" s="375"/>
      <c r="BJ1" s="375"/>
      <c r="BK1" s="375"/>
      <c r="BL1" s="375"/>
      <c r="BM1" s="375"/>
      <c r="BN1" s="375"/>
      <c r="BO1" s="375"/>
      <c r="BP1" s="375"/>
      <c r="BQ1" s="375"/>
      <c r="BR1" s="375"/>
      <c r="BS1" s="375"/>
      <c r="BT1" s="375"/>
      <c r="BU1" s="375"/>
      <c r="BV1" s="375"/>
      <c r="BW1" s="375"/>
      <c r="BX1" s="375"/>
      <c r="BY1" s="375"/>
      <c r="BZ1" s="375"/>
      <c r="CA1" s="375"/>
      <c r="CB1" s="375"/>
      <c r="CC1" s="375"/>
      <c r="CD1" s="375"/>
      <c r="CE1" s="375"/>
      <c r="CF1" s="375"/>
      <c r="CG1" s="375"/>
      <c r="CH1" s="375"/>
      <c r="CI1" s="375"/>
      <c r="CJ1" s="375"/>
      <c r="CK1" s="375"/>
      <c r="CL1" s="375"/>
      <c r="CM1" s="375"/>
      <c r="CN1" s="375"/>
      <c r="CO1" s="375"/>
      <c r="CP1" s="375"/>
      <c r="CQ1" s="375"/>
      <c r="CR1" s="375"/>
      <c r="CS1" s="375"/>
      <c r="CT1" s="375"/>
      <c r="CU1" s="375"/>
      <c r="CV1" s="376"/>
      <c r="CW1" s="377"/>
      <c r="CX1" s="377"/>
      <c r="CY1" s="377"/>
      <c r="CZ1" s="377"/>
      <c r="DA1" s="377"/>
      <c r="DB1" s="377"/>
      <c r="DC1" s="377"/>
      <c r="DD1" s="377"/>
      <c r="DE1" s="377"/>
      <c r="DF1" s="377"/>
      <c r="DG1" s="377"/>
      <c r="DH1" s="377"/>
      <c r="DI1" s="377"/>
      <c r="DJ1" s="377"/>
      <c r="DK1" s="377"/>
      <c r="DL1" s="377"/>
      <c r="DM1" s="377"/>
      <c r="DN1" s="377"/>
      <c r="DO1" s="377"/>
      <c r="DP1" s="377"/>
      <c r="DQ1" s="377"/>
      <c r="DR1" s="377"/>
      <c r="DS1" s="377"/>
      <c r="DT1" s="1025"/>
      <c r="DU1" s="408"/>
      <c r="DV1" s="408"/>
      <c r="DW1" s="408"/>
      <c r="DX1" s="408"/>
      <c r="DY1" s="408"/>
      <c r="DZ1" s="377"/>
      <c r="EA1" s="376"/>
      <c r="EB1"/>
      <c r="EC1"/>
      <c r="ED1"/>
      <c r="EE1"/>
      <c r="EF1"/>
      <c r="EG1"/>
    </row>
    <row r="2" spans="1:137" s="124" customFormat="1">
      <c r="A2" s="374"/>
      <c r="B2" s="123"/>
      <c r="C2" s="374"/>
      <c r="D2" s="375"/>
      <c r="E2" s="375"/>
      <c r="F2" s="375"/>
      <c r="G2" s="375"/>
      <c r="H2" s="375"/>
      <c r="I2" s="375"/>
      <c r="J2" s="375"/>
      <c r="K2" s="375"/>
      <c r="L2" s="375"/>
      <c r="M2" s="375"/>
      <c r="N2" s="375"/>
      <c r="O2" s="375"/>
      <c r="P2" s="375"/>
      <c r="Q2" s="375"/>
      <c r="R2" s="375"/>
      <c r="S2" s="375"/>
      <c r="T2" s="375"/>
      <c r="U2" s="375"/>
      <c r="V2" s="375"/>
      <c r="W2" s="375"/>
      <c r="X2" s="375"/>
      <c r="Y2" s="375"/>
      <c r="Z2" s="375"/>
      <c r="AA2" s="375"/>
      <c r="AB2" s="375"/>
      <c r="AC2" s="375"/>
      <c r="AD2" s="375"/>
      <c r="AE2" s="375"/>
      <c r="AF2" s="375"/>
      <c r="AG2" s="375"/>
      <c r="AH2" s="375"/>
      <c r="AI2" s="375"/>
      <c r="AJ2" s="375"/>
      <c r="AK2" s="375"/>
      <c r="AL2" s="375"/>
      <c r="AM2" s="375"/>
      <c r="AN2" s="375"/>
      <c r="AO2" s="375"/>
      <c r="AP2" s="375"/>
      <c r="AQ2" s="375"/>
      <c r="AR2" s="375"/>
      <c r="AS2" s="375"/>
      <c r="AT2" s="375"/>
      <c r="AU2" s="375"/>
      <c r="AV2" s="375"/>
      <c r="AW2" s="375"/>
      <c r="AX2" s="375"/>
      <c r="AY2" s="375"/>
      <c r="AZ2" s="375"/>
      <c r="BA2" s="375"/>
      <c r="BB2" s="375"/>
      <c r="BC2" s="375"/>
      <c r="BD2" s="375"/>
      <c r="BE2" s="375"/>
      <c r="BF2" s="375"/>
      <c r="BG2" s="375"/>
      <c r="BH2" s="375"/>
      <c r="BI2" s="375"/>
      <c r="BJ2" s="375"/>
      <c r="BK2" s="375"/>
      <c r="BL2" s="375"/>
      <c r="BM2" s="375"/>
      <c r="BN2" s="375"/>
      <c r="BO2" s="375"/>
      <c r="BP2" s="375"/>
      <c r="BQ2" s="375"/>
      <c r="BR2" s="375"/>
      <c r="BS2" s="375"/>
      <c r="BT2" s="375"/>
      <c r="BU2" s="375"/>
      <c r="BV2" s="375"/>
      <c r="BW2" s="375"/>
      <c r="BX2" s="375"/>
      <c r="BY2" s="375"/>
      <c r="BZ2" s="375"/>
      <c r="CA2" s="375"/>
      <c r="CB2" s="375"/>
      <c r="CC2" s="375"/>
      <c r="CD2" s="375"/>
      <c r="CE2" s="375"/>
      <c r="CF2" s="375"/>
      <c r="CG2" s="375"/>
      <c r="CH2" s="375"/>
      <c r="CI2" s="375"/>
      <c r="CJ2" s="375"/>
      <c r="CK2" s="375"/>
      <c r="CL2" s="375"/>
      <c r="CM2" s="375"/>
      <c r="CN2" s="375"/>
      <c r="CO2" s="375"/>
      <c r="CP2" s="375"/>
      <c r="CQ2" s="375"/>
      <c r="CR2" s="375"/>
      <c r="CS2" s="375"/>
      <c r="CT2" s="1142"/>
      <c r="CU2" s="1142"/>
      <c r="CV2" s="376"/>
      <c r="CW2" s="377"/>
      <c r="CX2" s="377"/>
      <c r="CY2" s="377"/>
      <c r="CZ2" s="377"/>
      <c r="DA2" s="377"/>
      <c r="DB2" s="377"/>
      <c r="DC2" s="377"/>
      <c r="DD2" s="377"/>
      <c r="DE2" s="377"/>
      <c r="DF2" s="377"/>
      <c r="DG2" s="377"/>
      <c r="DH2" s="377"/>
      <c r="DI2" s="377"/>
      <c r="DJ2" s="377"/>
      <c r="DK2" s="377"/>
      <c r="DL2" s="377"/>
      <c r="DM2" s="377"/>
      <c r="DN2" s="377"/>
      <c r="DO2" s="377"/>
      <c r="DP2" s="377"/>
      <c r="DQ2" s="377"/>
      <c r="DR2" s="377"/>
      <c r="DS2" s="377"/>
      <c r="DT2" s="1193"/>
      <c r="DU2" s="1193"/>
      <c r="DV2" s="1193"/>
      <c r="DW2" s="1193"/>
      <c r="DX2" s="1193"/>
      <c r="DY2" s="1193"/>
      <c r="DZ2" s="377"/>
      <c r="EA2" s="376"/>
      <c r="EB2"/>
      <c r="EC2"/>
      <c r="ED2"/>
      <c r="EE2"/>
      <c r="EF2"/>
      <c r="EG2"/>
    </row>
    <row r="3" spans="1:137" s="124" customFormat="1">
      <c r="A3" s="374"/>
      <c r="B3" s="374"/>
      <c r="C3" s="374"/>
      <c r="D3" s="375"/>
      <c r="E3" s="375"/>
      <c r="F3" s="375"/>
      <c r="G3" s="375"/>
      <c r="H3" s="375"/>
      <c r="I3" s="375"/>
      <c r="J3" s="375"/>
      <c r="K3" s="375"/>
      <c r="L3" s="375"/>
      <c r="M3" s="375"/>
      <c r="N3" s="375"/>
      <c r="O3" s="375"/>
      <c r="P3" s="375"/>
      <c r="Q3" s="375"/>
      <c r="R3" s="375"/>
      <c r="S3" s="375"/>
      <c r="T3" s="375"/>
      <c r="U3" s="375"/>
      <c r="V3" s="375"/>
      <c r="W3" s="375"/>
      <c r="X3" s="375"/>
      <c r="Y3" s="375"/>
      <c r="Z3" s="375"/>
      <c r="AA3" s="375"/>
      <c r="AB3" s="375"/>
      <c r="AC3" s="375"/>
      <c r="AD3" s="375"/>
      <c r="AE3" s="375"/>
      <c r="AF3" s="375"/>
      <c r="AG3" s="375"/>
      <c r="AH3" s="375"/>
      <c r="AI3" s="375"/>
      <c r="AJ3" s="375"/>
      <c r="AK3" s="375"/>
      <c r="AL3" s="375"/>
      <c r="AM3" s="375"/>
      <c r="AN3" s="375"/>
      <c r="AO3" s="375"/>
      <c r="AP3" s="375"/>
      <c r="AQ3" s="375"/>
      <c r="AR3" s="375"/>
      <c r="AS3" s="375"/>
      <c r="AT3" s="375"/>
      <c r="AU3" s="375"/>
      <c r="AV3" s="375"/>
      <c r="AW3" s="375"/>
      <c r="AX3" s="375"/>
      <c r="AY3" s="375"/>
      <c r="AZ3" s="375"/>
      <c r="BA3" s="375"/>
      <c r="BB3" s="375"/>
      <c r="BC3" s="375"/>
      <c r="BD3" s="375"/>
      <c r="BE3" s="375"/>
      <c r="BF3" s="375"/>
      <c r="BG3" s="375"/>
      <c r="BH3" s="375"/>
      <c r="BI3" s="375"/>
      <c r="BJ3" s="375"/>
      <c r="BK3" s="375"/>
      <c r="BL3" s="375"/>
      <c r="BM3" s="375"/>
      <c r="BN3" s="375"/>
      <c r="BO3" s="375"/>
      <c r="BP3" s="375"/>
      <c r="BQ3" s="375"/>
      <c r="BR3" s="375"/>
      <c r="BS3" s="375"/>
      <c r="BT3" s="375"/>
      <c r="BU3" s="375"/>
      <c r="BV3" s="375"/>
      <c r="BW3" s="375"/>
      <c r="BX3" s="375"/>
      <c r="BY3" s="375"/>
      <c r="BZ3" s="375"/>
      <c r="CA3" s="375"/>
      <c r="CB3" s="375"/>
      <c r="CC3" s="375"/>
      <c r="CD3" s="375"/>
      <c r="CE3" s="375"/>
      <c r="CF3" s="375"/>
      <c r="CG3" s="375"/>
      <c r="CH3" s="375"/>
      <c r="CI3" s="375"/>
      <c r="CJ3" s="375"/>
      <c r="CK3" s="375"/>
      <c r="CL3" s="375"/>
      <c r="CM3" s="375"/>
      <c r="CN3" s="375"/>
      <c r="CO3" s="375"/>
      <c r="CP3" s="375"/>
      <c r="CQ3" s="375"/>
      <c r="CR3" s="375"/>
      <c r="CS3" s="375"/>
      <c r="CT3" s="1142"/>
      <c r="CU3" s="1142"/>
      <c r="CV3" s="376"/>
      <c r="CW3" s="377"/>
      <c r="CX3" s="377"/>
      <c r="CY3" s="377"/>
      <c r="CZ3" s="377"/>
      <c r="DA3" s="377"/>
      <c r="DB3" s="377"/>
      <c r="DC3" s="377"/>
      <c r="DD3" s="377"/>
      <c r="DE3" s="377"/>
      <c r="DF3" s="377"/>
      <c r="DG3" s="377"/>
      <c r="DH3" s="377"/>
      <c r="DI3" s="377"/>
      <c r="DJ3" s="377"/>
      <c r="DK3" s="377"/>
      <c r="DL3" s="377"/>
      <c r="DM3" s="377"/>
      <c r="DN3" s="377"/>
      <c r="DO3" s="377"/>
      <c r="DP3" s="377"/>
      <c r="DQ3" s="377"/>
      <c r="DR3" s="377"/>
      <c r="DS3" s="377"/>
      <c r="DT3" s="377"/>
      <c r="DU3" s="377"/>
      <c r="DV3" s="377"/>
      <c r="DW3" s="377"/>
      <c r="DX3" s="377"/>
      <c r="DY3" s="377"/>
      <c r="DZ3" s="377"/>
      <c r="EA3" s="376"/>
      <c r="EB3"/>
      <c r="EC3"/>
      <c r="ED3"/>
      <c r="EE3"/>
      <c r="EF3"/>
      <c r="EG3"/>
    </row>
    <row r="4" spans="1:137">
      <c r="A4" s="374"/>
      <c r="B4" s="360"/>
      <c r="C4" s="893"/>
      <c r="D4" s="368" t="s">
        <v>11</v>
      </c>
      <c r="E4" s="369" t="s">
        <v>12</v>
      </c>
      <c r="F4" s="369" t="s">
        <v>13</v>
      </c>
      <c r="G4" s="370" t="s">
        <v>14</v>
      </c>
      <c r="H4" s="369" t="s">
        <v>15</v>
      </c>
      <c r="I4" s="369" t="s">
        <v>16</v>
      </c>
      <c r="J4" s="369" t="s">
        <v>17</v>
      </c>
      <c r="K4" s="370" t="s">
        <v>18</v>
      </c>
      <c r="L4" s="369" t="s">
        <v>19</v>
      </c>
      <c r="M4" s="369" t="s">
        <v>20</v>
      </c>
      <c r="N4" s="369" t="s">
        <v>21</v>
      </c>
      <c r="O4" s="370" t="s">
        <v>22</v>
      </c>
      <c r="P4" s="369" t="s">
        <v>23</v>
      </c>
      <c r="Q4" s="369" t="s">
        <v>24</v>
      </c>
      <c r="R4" s="369" t="s">
        <v>25</v>
      </c>
      <c r="S4" s="370" t="s">
        <v>26</v>
      </c>
      <c r="T4" s="369" t="s">
        <v>27</v>
      </c>
      <c r="U4" s="369" t="s">
        <v>28</v>
      </c>
      <c r="V4" s="369" t="s">
        <v>29</v>
      </c>
      <c r="W4" s="370" t="s">
        <v>30</v>
      </c>
      <c r="X4" s="369" t="s">
        <v>31</v>
      </c>
      <c r="Y4" s="369" t="s">
        <v>32</v>
      </c>
      <c r="Z4" s="369" t="s">
        <v>33</v>
      </c>
      <c r="AA4" s="370" t="s">
        <v>34</v>
      </c>
      <c r="AB4" s="369" t="s">
        <v>35</v>
      </c>
      <c r="AC4" s="369" t="s">
        <v>36</v>
      </c>
      <c r="AD4" s="369" t="s">
        <v>37</v>
      </c>
      <c r="AE4" s="370" t="s">
        <v>38</v>
      </c>
      <c r="AF4" s="369" t="s">
        <v>39</v>
      </c>
      <c r="AG4" s="369" t="s">
        <v>40</v>
      </c>
      <c r="AH4" s="369" t="s">
        <v>41</v>
      </c>
      <c r="AI4" s="370" t="s">
        <v>42</v>
      </c>
      <c r="AJ4" s="369" t="s">
        <v>43</v>
      </c>
      <c r="AK4" s="369" t="s">
        <v>44</v>
      </c>
      <c r="AL4" s="369" t="s">
        <v>45</v>
      </c>
      <c r="AM4" s="370" t="s">
        <v>46</v>
      </c>
      <c r="AN4" s="369" t="s">
        <v>47</v>
      </c>
      <c r="AO4" s="369" t="s">
        <v>48</v>
      </c>
      <c r="AP4" s="369" t="s">
        <v>49</v>
      </c>
      <c r="AQ4" s="370" t="s">
        <v>50</v>
      </c>
      <c r="AR4" s="369" t="s">
        <v>51</v>
      </c>
      <c r="AS4" s="369" t="s">
        <v>52</v>
      </c>
      <c r="AT4" s="369" t="s">
        <v>53</v>
      </c>
      <c r="AU4" s="370" t="s">
        <v>54</v>
      </c>
      <c r="AV4" s="369" t="s">
        <v>55</v>
      </c>
      <c r="AW4" s="369" t="s">
        <v>56</v>
      </c>
      <c r="AX4" s="369" t="s">
        <v>57</v>
      </c>
      <c r="AY4" s="370" t="s">
        <v>58</v>
      </c>
      <c r="AZ4" s="369" t="s">
        <v>59</v>
      </c>
      <c r="BA4" s="369" t="s">
        <v>60</v>
      </c>
      <c r="BB4" s="369" t="s">
        <v>61</v>
      </c>
      <c r="BC4" s="370" t="s">
        <v>62</v>
      </c>
      <c r="BD4" s="369" t="s">
        <v>63</v>
      </c>
      <c r="BE4" s="369" t="s">
        <v>64</v>
      </c>
      <c r="BF4" s="369" t="s">
        <v>65</v>
      </c>
      <c r="BG4" s="370" t="s">
        <v>66</v>
      </c>
      <c r="BH4" s="369" t="s">
        <v>67</v>
      </c>
      <c r="BI4" s="369" t="s">
        <v>68</v>
      </c>
      <c r="BJ4" s="369" t="s">
        <v>69</v>
      </c>
      <c r="BK4" s="370" t="s">
        <v>70</v>
      </c>
      <c r="BL4" s="369" t="s">
        <v>71</v>
      </c>
      <c r="BM4" s="369" t="s">
        <v>72</v>
      </c>
      <c r="BN4" s="369" t="s">
        <v>73</v>
      </c>
      <c r="BO4" s="370" t="s">
        <v>74</v>
      </c>
      <c r="BP4" s="369" t="s">
        <v>75</v>
      </c>
      <c r="BQ4" s="369" t="s">
        <v>76</v>
      </c>
      <c r="BR4" s="369" t="s">
        <v>77</v>
      </c>
      <c r="BS4" s="370" t="s">
        <v>78</v>
      </c>
      <c r="BT4" s="369" t="s">
        <v>207</v>
      </c>
      <c r="BU4" s="369" t="s">
        <v>208</v>
      </c>
      <c r="BV4" s="369" t="s">
        <v>209</v>
      </c>
      <c r="BW4" s="370" t="s">
        <v>211</v>
      </c>
      <c r="BX4" s="369" t="s">
        <v>212</v>
      </c>
      <c r="BY4" s="369" t="s">
        <v>213</v>
      </c>
      <c r="BZ4" s="369" t="s">
        <v>214</v>
      </c>
      <c r="CA4" s="370" t="s">
        <v>215</v>
      </c>
      <c r="CB4" s="369" t="s">
        <v>216</v>
      </c>
      <c r="CC4" s="369" t="s">
        <v>217</v>
      </c>
      <c r="CD4" s="369" t="s">
        <v>218</v>
      </c>
      <c r="CE4" s="370" t="s">
        <v>219</v>
      </c>
      <c r="CF4" s="369" t="s">
        <v>220</v>
      </c>
      <c r="CG4" s="369" t="s">
        <v>221</v>
      </c>
      <c r="CH4" s="369" t="s">
        <v>222</v>
      </c>
      <c r="CI4" s="370" t="s">
        <v>223</v>
      </c>
      <c r="CJ4" s="369" t="s">
        <v>224</v>
      </c>
      <c r="CK4" s="369" t="s">
        <v>225</v>
      </c>
      <c r="CL4" s="369" t="s">
        <v>226</v>
      </c>
      <c r="CM4" s="370" t="s">
        <v>227</v>
      </c>
      <c r="CN4" s="369" t="s">
        <v>228</v>
      </c>
      <c r="CO4" s="369" t="s">
        <v>233</v>
      </c>
      <c r="CP4" s="369" t="s">
        <v>254</v>
      </c>
      <c r="CQ4" s="370" t="s">
        <v>260</v>
      </c>
      <c r="CR4" s="369" t="s">
        <v>418</v>
      </c>
      <c r="CS4" s="369" t="s">
        <v>419</v>
      </c>
      <c r="CT4" s="369" t="s">
        <v>420</v>
      </c>
      <c r="CU4" s="370" t="s">
        <v>421</v>
      </c>
      <c r="CV4" s="376"/>
      <c r="CW4" s="362">
        <v>1994</v>
      </c>
      <c r="CX4" s="362">
        <v>1995</v>
      </c>
      <c r="CY4" s="362">
        <v>1996</v>
      </c>
      <c r="CZ4" s="362">
        <v>1997</v>
      </c>
      <c r="DA4" s="362">
        <v>1998</v>
      </c>
      <c r="DB4" s="362">
        <v>1999</v>
      </c>
      <c r="DC4" s="362">
        <v>2000</v>
      </c>
      <c r="DD4" s="362">
        <v>2001</v>
      </c>
      <c r="DE4" s="362">
        <v>2002</v>
      </c>
      <c r="DF4" s="362">
        <v>2003</v>
      </c>
      <c r="DG4" s="362">
        <v>2004</v>
      </c>
      <c r="DH4" s="362">
        <v>2005</v>
      </c>
      <c r="DI4" s="362">
        <v>2006</v>
      </c>
      <c r="DJ4" s="362">
        <v>2007</v>
      </c>
      <c r="DK4" s="362">
        <v>2008</v>
      </c>
      <c r="DL4" s="362">
        <v>2009</v>
      </c>
      <c r="DM4" s="362">
        <v>2010</v>
      </c>
      <c r="DN4" s="362">
        <v>2011</v>
      </c>
      <c r="DO4" s="362">
        <v>2012</v>
      </c>
      <c r="DP4" s="362">
        <v>2013</v>
      </c>
      <c r="DQ4" s="362">
        <v>2014</v>
      </c>
      <c r="DR4" s="362">
        <v>2015</v>
      </c>
      <c r="DS4" s="362">
        <v>2016</v>
      </c>
      <c r="DT4" s="362">
        <v>2017</v>
      </c>
      <c r="DU4" s="362" t="s">
        <v>268</v>
      </c>
      <c r="DV4" s="362" t="s">
        <v>277</v>
      </c>
      <c r="DW4" s="362" t="s">
        <v>288</v>
      </c>
      <c r="DX4" s="362" t="s">
        <v>422</v>
      </c>
      <c r="DY4" s="362" t="s">
        <v>423</v>
      </c>
      <c r="DZ4" s="362" t="s">
        <v>424</v>
      </c>
      <c r="EA4" s="378"/>
    </row>
    <row r="5" spans="1:137">
      <c r="A5" s="374"/>
      <c r="B5" s="361" t="s">
        <v>198</v>
      </c>
      <c r="C5" s="894"/>
      <c r="D5" s="371">
        <f>31+28+31</f>
        <v>90</v>
      </c>
      <c r="E5" s="363">
        <f>30+31+30</f>
        <v>91</v>
      </c>
      <c r="F5" s="363">
        <f>31+31+30</f>
        <v>92</v>
      </c>
      <c r="G5" s="372">
        <f>31+30+31</f>
        <v>92</v>
      </c>
      <c r="H5" s="363">
        <f>31+29+31</f>
        <v>91</v>
      </c>
      <c r="I5" s="363">
        <f>30+31+30</f>
        <v>91</v>
      </c>
      <c r="J5" s="363">
        <f>31+31+30</f>
        <v>92</v>
      </c>
      <c r="K5" s="372">
        <f>31+30+31</f>
        <v>92</v>
      </c>
      <c r="L5" s="363">
        <f>31+28+31</f>
        <v>90</v>
      </c>
      <c r="M5" s="363">
        <f>30+31+30</f>
        <v>91</v>
      </c>
      <c r="N5" s="363">
        <f>31+31+30</f>
        <v>92</v>
      </c>
      <c r="O5" s="372">
        <f>31+30+31</f>
        <v>92</v>
      </c>
      <c r="P5" s="363">
        <f>31+28+31</f>
        <v>90</v>
      </c>
      <c r="Q5" s="363">
        <f>30+31+30</f>
        <v>91</v>
      </c>
      <c r="R5" s="363">
        <f>31+31+30</f>
        <v>92</v>
      </c>
      <c r="S5" s="372">
        <f>31+30+31</f>
        <v>92</v>
      </c>
      <c r="T5" s="363">
        <f>31+28+31</f>
        <v>90</v>
      </c>
      <c r="U5" s="363">
        <f>30+31+30</f>
        <v>91</v>
      </c>
      <c r="V5" s="363">
        <f>31+31+30</f>
        <v>92</v>
      </c>
      <c r="W5" s="372">
        <f>31+30+31</f>
        <v>92</v>
      </c>
      <c r="X5" s="363">
        <f>31+29+31</f>
        <v>91</v>
      </c>
      <c r="Y5" s="363">
        <f>30+31+30</f>
        <v>91</v>
      </c>
      <c r="Z5" s="363">
        <f>31+31+30</f>
        <v>92</v>
      </c>
      <c r="AA5" s="372">
        <f>31+30+31</f>
        <v>92</v>
      </c>
      <c r="AB5" s="363">
        <f>31+28+31</f>
        <v>90</v>
      </c>
      <c r="AC5" s="363">
        <f>30+31+30</f>
        <v>91</v>
      </c>
      <c r="AD5" s="363">
        <f>31+31+30</f>
        <v>92</v>
      </c>
      <c r="AE5" s="372">
        <f>31+30+31</f>
        <v>92</v>
      </c>
      <c r="AF5" s="363">
        <f>31+28+31</f>
        <v>90</v>
      </c>
      <c r="AG5" s="363">
        <f>30+31+30</f>
        <v>91</v>
      </c>
      <c r="AH5" s="363">
        <f>31+31+30</f>
        <v>92</v>
      </c>
      <c r="AI5" s="372">
        <f>31+30+31</f>
        <v>92</v>
      </c>
      <c r="AJ5" s="363">
        <f>31+28+31</f>
        <v>90</v>
      </c>
      <c r="AK5" s="363">
        <f>30+31+30</f>
        <v>91</v>
      </c>
      <c r="AL5" s="363">
        <f>31+31+30</f>
        <v>92</v>
      </c>
      <c r="AM5" s="372">
        <f>31+30+31</f>
        <v>92</v>
      </c>
      <c r="AN5" s="363">
        <f>31+29+31</f>
        <v>91</v>
      </c>
      <c r="AO5" s="363">
        <f>30+31+30</f>
        <v>91</v>
      </c>
      <c r="AP5" s="363">
        <f>31+31+30</f>
        <v>92</v>
      </c>
      <c r="AQ5" s="372">
        <f>31+30+31</f>
        <v>92</v>
      </c>
      <c r="AR5" s="363">
        <f>31+28+31</f>
        <v>90</v>
      </c>
      <c r="AS5" s="363">
        <f>30+31+30</f>
        <v>91</v>
      </c>
      <c r="AT5" s="363">
        <f>31+31+30</f>
        <v>92</v>
      </c>
      <c r="AU5" s="372">
        <f>31+30+31</f>
        <v>92</v>
      </c>
      <c r="AV5" s="363">
        <f>31+28+31</f>
        <v>90</v>
      </c>
      <c r="AW5" s="363">
        <f>30+31+30</f>
        <v>91</v>
      </c>
      <c r="AX5" s="363">
        <f>31+31+30</f>
        <v>92</v>
      </c>
      <c r="AY5" s="372">
        <f>31+30+31</f>
        <v>92</v>
      </c>
      <c r="AZ5" s="363">
        <f>31+28+31</f>
        <v>90</v>
      </c>
      <c r="BA5" s="363">
        <f>30+31+30</f>
        <v>91</v>
      </c>
      <c r="BB5" s="363">
        <f>31+31+30</f>
        <v>92</v>
      </c>
      <c r="BC5" s="372">
        <f>31+30+31</f>
        <v>92</v>
      </c>
      <c r="BD5" s="363">
        <f>31+29+31</f>
        <v>91</v>
      </c>
      <c r="BE5" s="363">
        <f>30+31+30</f>
        <v>91</v>
      </c>
      <c r="BF5" s="363">
        <f>31+31+30</f>
        <v>92</v>
      </c>
      <c r="BG5" s="372">
        <f>31+30+31</f>
        <v>92</v>
      </c>
      <c r="BH5" s="363">
        <f>31+28+31</f>
        <v>90</v>
      </c>
      <c r="BI5" s="363">
        <f>30+31+30</f>
        <v>91</v>
      </c>
      <c r="BJ5" s="363">
        <f>31+31+30</f>
        <v>92</v>
      </c>
      <c r="BK5" s="372">
        <f>31+30+31</f>
        <v>92</v>
      </c>
      <c r="BL5" s="363">
        <f>31+28+31</f>
        <v>90</v>
      </c>
      <c r="BM5" s="363">
        <f>30+31+30</f>
        <v>91</v>
      </c>
      <c r="BN5" s="363">
        <f>31+31+30</f>
        <v>92</v>
      </c>
      <c r="BO5" s="372">
        <f>31+30+31</f>
        <v>92</v>
      </c>
      <c r="BP5" s="363">
        <f>31+28+31</f>
        <v>90</v>
      </c>
      <c r="BQ5" s="363">
        <f>30+31+30</f>
        <v>91</v>
      </c>
      <c r="BR5" s="363">
        <f>31+31+30</f>
        <v>92</v>
      </c>
      <c r="BS5" s="372">
        <f>31+30+31</f>
        <v>92</v>
      </c>
      <c r="BT5" s="363">
        <f>31+29+31</f>
        <v>91</v>
      </c>
      <c r="BU5" s="363">
        <f>30+31+30</f>
        <v>91</v>
      </c>
      <c r="BV5" s="363">
        <f>31+31+30</f>
        <v>92</v>
      </c>
      <c r="BW5" s="372">
        <f>31+30+31</f>
        <v>92</v>
      </c>
      <c r="BX5" s="363">
        <f>31+28+31</f>
        <v>90</v>
      </c>
      <c r="BY5" s="363">
        <f>30+31+30</f>
        <v>91</v>
      </c>
      <c r="BZ5" s="363">
        <f>31+31+30</f>
        <v>92</v>
      </c>
      <c r="CA5" s="372">
        <f>31+30+31</f>
        <v>92</v>
      </c>
      <c r="CB5" s="363">
        <f>31+28+31</f>
        <v>90</v>
      </c>
      <c r="CC5" s="363">
        <f>30+31+30</f>
        <v>91</v>
      </c>
      <c r="CD5" s="363">
        <f>31+31+30</f>
        <v>92</v>
      </c>
      <c r="CE5" s="372">
        <f>31+30+31</f>
        <v>92</v>
      </c>
      <c r="CF5" s="363">
        <f>31+28+31</f>
        <v>90</v>
      </c>
      <c r="CG5" s="363">
        <f>30+31+30</f>
        <v>91</v>
      </c>
      <c r="CH5" s="363">
        <f>31+31+30</f>
        <v>92</v>
      </c>
      <c r="CI5" s="372">
        <f>31+30+31</f>
        <v>92</v>
      </c>
      <c r="CJ5" s="363">
        <f>31+29+31</f>
        <v>91</v>
      </c>
      <c r="CK5" s="363">
        <f>30+31+30</f>
        <v>91</v>
      </c>
      <c r="CL5" s="363">
        <f>31+31+30</f>
        <v>92</v>
      </c>
      <c r="CM5" s="372">
        <f>31+30+31</f>
        <v>92</v>
      </c>
      <c r="CN5" s="363">
        <f>31+28+31</f>
        <v>90</v>
      </c>
      <c r="CO5" s="363">
        <f>30+31+30</f>
        <v>91</v>
      </c>
      <c r="CP5" s="363">
        <f>31+31+30</f>
        <v>92</v>
      </c>
      <c r="CQ5" s="372">
        <f>31+30+31</f>
        <v>92</v>
      </c>
      <c r="CR5" s="363">
        <f>31+28+31</f>
        <v>90</v>
      </c>
      <c r="CS5" s="363">
        <f>30+31+30</f>
        <v>91</v>
      </c>
      <c r="CT5" s="363">
        <f>31+31+30</f>
        <v>92</v>
      </c>
      <c r="CU5" s="372">
        <f>31+30+31</f>
        <v>92</v>
      </c>
      <c r="CV5" s="376"/>
      <c r="CW5" s="363">
        <v>365</v>
      </c>
      <c r="CX5" s="363">
        <f>SUM(D5:G5)</f>
        <v>365</v>
      </c>
      <c r="CY5" s="363">
        <f>SUM(H5:K5)</f>
        <v>366</v>
      </c>
      <c r="CZ5" s="363">
        <f>SUM(L5:O5)</f>
        <v>365</v>
      </c>
      <c r="DA5" s="363">
        <f>SUM(P5:S5)</f>
        <v>365</v>
      </c>
      <c r="DB5" s="363">
        <f>SUM(T5:W5)</f>
        <v>365</v>
      </c>
      <c r="DC5" s="363">
        <f>SUM(X5:AA5)</f>
        <v>366</v>
      </c>
      <c r="DD5" s="363">
        <f>SUM(AB5:AE5)</f>
        <v>365</v>
      </c>
      <c r="DE5" s="363">
        <f>SUM(AF5:AI5)</f>
        <v>365</v>
      </c>
      <c r="DF5" s="363">
        <f>SUM(AJ5:AM5)</f>
        <v>365</v>
      </c>
      <c r="DG5" s="363">
        <f>SUM(AN5:AQ5)</f>
        <v>366</v>
      </c>
      <c r="DH5" s="363">
        <f>SUM(AR5:AU5)</f>
        <v>365</v>
      </c>
      <c r="DI5" s="363">
        <f>SUM(AV5:AY5)</f>
        <v>365</v>
      </c>
      <c r="DJ5" s="363">
        <f>SUM(AZ5:BC5)</f>
        <v>365</v>
      </c>
      <c r="DK5" s="363">
        <f>SUM(BD5:BG5)</f>
        <v>366</v>
      </c>
      <c r="DL5" s="363">
        <f>SUM(BH5:BK5)</f>
        <v>365</v>
      </c>
      <c r="DM5" s="363">
        <f>SUM(BL5:BO5)</f>
        <v>365</v>
      </c>
      <c r="DN5" s="363">
        <f>SUM(BP5:BS5)</f>
        <v>365</v>
      </c>
      <c r="DO5" s="363">
        <f>SUM(BT5:BW5)</f>
        <v>366</v>
      </c>
      <c r="DP5" s="363">
        <f>SUM(BX5:CA5)</f>
        <v>365</v>
      </c>
      <c r="DQ5" s="363">
        <f>SUM(CB5:CE5)</f>
        <v>365</v>
      </c>
      <c r="DR5" s="363">
        <f>SUM(CF5:CI5)</f>
        <v>365</v>
      </c>
      <c r="DS5" s="363">
        <f>SUM(CJ5:CM5)</f>
        <v>366</v>
      </c>
      <c r="DT5" s="363">
        <f>SUM(CN5:CQ5)</f>
        <v>365</v>
      </c>
      <c r="DU5" s="363">
        <f>SUM(CR5:CU5)</f>
        <v>365</v>
      </c>
      <c r="DV5" s="363">
        <v>365</v>
      </c>
      <c r="DW5" s="363">
        <v>366</v>
      </c>
      <c r="DX5" s="363">
        <v>365</v>
      </c>
      <c r="DY5" s="363">
        <v>365</v>
      </c>
      <c r="DZ5" s="363">
        <v>365</v>
      </c>
      <c r="EA5" s="378"/>
    </row>
    <row r="6" spans="1:137">
      <c r="A6" s="374"/>
      <c r="B6" s="379"/>
      <c r="C6" s="895"/>
      <c r="D6" s="380"/>
      <c r="E6" s="381"/>
      <c r="F6" s="381"/>
      <c r="G6" s="382"/>
      <c r="H6" s="381"/>
      <c r="I6" s="381"/>
      <c r="J6" s="381"/>
      <c r="K6" s="382"/>
      <c r="L6" s="381"/>
      <c r="M6" s="381"/>
      <c r="N6" s="381"/>
      <c r="O6" s="382"/>
      <c r="P6" s="381"/>
      <c r="Q6" s="381"/>
      <c r="R6" s="381"/>
      <c r="S6" s="382"/>
      <c r="T6" s="381"/>
      <c r="U6" s="381"/>
      <c r="V6" s="381"/>
      <c r="W6" s="382"/>
      <c r="X6" s="381"/>
      <c r="Y6" s="381"/>
      <c r="Z6" s="381"/>
      <c r="AA6" s="382"/>
      <c r="AB6" s="381"/>
      <c r="AC6" s="381"/>
      <c r="AD6" s="381"/>
      <c r="AE6" s="382"/>
      <c r="AF6" s="381"/>
      <c r="AG6" s="381"/>
      <c r="AH6" s="381"/>
      <c r="AI6" s="382"/>
      <c r="AJ6" s="381"/>
      <c r="AK6" s="381"/>
      <c r="AL6" s="381"/>
      <c r="AM6" s="382"/>
      <c r="AN6" s="381"/>
      <c r="AO6" s="381"/>
      <c r="AP6" s="381"/>
      <c r="AQ6" s="382"/>
      <c r="AR6" s="381"/>
      <c r="AS6" s="381"/>
      <c r="AT6" s="381"/>
      <c r="AU6" s="382"/>
      <c r="AV6" s="381"/>
      <c r="AW6" s="381"/>
      <c r="AX6" s="381"/>
      <c r="AY6" s="382"/>
      <c r="AZ6" s="381"/>
      <c r="BA6" s="381"/>
      <c r="BB6" s="381"/>
      <c r="BC6" s="382"/>
      <c r="BD6" s="381"/>
      <c r="BE6" s="381"/>
      <c r="BF6" s="381"/>
      <c r="BG6" s="382"/>
      <c r="BH6" s="381"/>
      <c r="BI6" s="381"/>
      <c r="BJ6" s="381"/>
      <c r="BK6" s="382"/>
      <c r="BL6" s="381"/>
      <c r="BM6" s="381"/>
      <c r="BN6" s="381"/>
      <c r="BO6" s="382"/>
      <c r="BP6" s="381"/>
      <c r="BQ6" s="381"/>
      <c r="BR6" s="381"/>
      <c r="BS6" s="382"/>
      <c r="BT6" s="381"/>
      <c r="BU6" s="381"/>
      <c r="BV6" s="381"/>
      <c r="BW6" s="382"/>
      <c r="BX6" s="381"/>
      <c r="BY6" s="381"/>
      <c r="BZ6" s="381"/>
      <c r="CA6" s="382"/>
      <c r="CB6" s="381"/>
      <c r="CC6" s="383"/>
      <c r="CD6" s="383"/>
      <c r="CE6" s="384"/>
      <c r="CF6" s="383"/>
      <c r="CG6" s="383"/>
      <c r="CH6" s="383"/>
      <c r="CI6" s="384"/>
      <c r="CJ6" s="383"/>
      <c r="CK6" s="383"/>
      <c r="CL6" s="383"/>
      <c r="CM6" s="384"/>
      <c r="CN6" s="383"/>
      <c r="CO6" s="383"/>
      <c r="CP6" s="383"/>
      <c r="CQ6" s="384"/>
      <c r="CR6" s="381"/>
      <c r="CS6" s="381"/>
      <c r="CT6" s="381"/>
      <c r="CU6" s="382"/>
      <c r="CV6" s="376"/>
      <c r="CW6" s="385"/>
      <c r="CX6" s="381"/>
      <c r="CY6" s="381"/>
      <c r="CZ6" s="381"/>
      <c r="DA6" s="381"/>
      <c r="DB6" s="381"/>
      <c r="DC6" s="381"/>
      <c r="DD6" s="381"/>
      <c r="DE6" s="381"/>
      <c r="DF6" s="381"/>
      <c r="DG6" s="381"/>
      <c r="DH6" s="381"/>
      <c r="DI6" s="381"/>
      <c r="DJ6" s="381"/>
      <c r="DK6" s="381"/>
      <c r="DL6" s="381"/>
      <c r="DM6" s="381"/>
      <c r="DN6" s="381"/>
      <c r="DO6" s="381"/>
      <c r="DP6" s="383"/>
      <c r="DQ6" s="383"/>
      <c r="DR6" s="383"/>
      <c r="DS6" s="383"/>
      <c r="DT6" s="383"/>
      <c r="DU6" s="383"/>
      <c r="DV6" s="383"/>
      <c r="DW6" s="383"/>
      <c r="DX6" s="383"/>
      <c r="DY6" s="383"/>
      <c r="DZ6" s="383"/>
      <c r="EA6" s="378"/>
    </row>
    <row r="7" spans="1:137">
      <c r="A7" s="374"/>
      <c r="B7" s="373" t="s">
        <v>232</v>
      </c>
      <c r="C7" s="896"/>
      <c r="D7" s="365" t="str">
        <f t="shared" ref="D7:AI7" si="0">D$4</f>
        <v>1Q95</v>
      </c>
      <c r="E7" s="366" t="str">
        <f t="shared" si="0"/>
        <v>2Q95</v>
      </c>
      <c r="F7" s="366" t="str">
        <f t="shared" si="0"/>
        <v>3Q95</v>
      </c>
      <c r="G7" s="367" t="str">
        <f t="shared" si="0"/>
        <v>4Q95</v>
      </c>
      <c r="H7" s="366" t="str">
        <f t="shared" si="0"/>
        <v>1Q96</v>
      </c>
      <c r="I7" s="366" t="str">
        <f t="shared" si="0"/>
        <v>2Q96</v>
      </c>
      <c r="J7" s="366" t="str">
        <f t="shared" si="0"/>
        <v>3Q96</v>
      </c>
      <c r="K7" s="367" t="str">
        <f t="shared" si="0"/>
        <v>4Q96</v>
      </c>
      <c r="L7" s="366" t="str">
        <f t="shared" si="0"/>
        <v>1Q97</v>
      </c>
      <c r="M7" s="366" t="str">
        <f t="shared" si="0"/>
        <v>2Q97</v>
      </c>
      <c r="N7" s="366" t="str">
        <f t="shared" si="0"/>
        <v>3Q97</v>
      </c>
      <c r="O7" s="367" t="str">
        <f t="shared" si="0"/>
        <v>4Q97</v>
      </c>
      <c r="P7" s="366" t="str">
        <f t="shared" si="0"/>
        <v>1Q98</v>
      </c>
      <c r="Q7" s="366" t="str">
        <f t="shared" si="0"/>
        <v>2Q98</v>
      </c>
      <c r="R7" s="366" t="str">
        <f t="shared" si="0"/>
        <v>3Q98</v>
      </c>
      <c r="S7" s="367" t="str">
        <f t="shared" si="0"/>
        <v>4Q98</v>
      </c>
      <c r="T7" s="366" t="str">
        <f t="shared" si="0"/>
        <v>1Q99</v>
      </c>
      <c r="U7" s="366" t="str">
        <f t="shared" si="0"/>
        <v>2Q99</v>
      </c>
      <c r="V7" s="366" t="str">
        <f t="shared" si="0"/>
        <v>3Q99</v>
      </c>
      <c r="W7" s="367" t="str">
        <f t="shared" si="0"/>
        <v>4Q99</v>
      </c>
      <c r="X7" s="366" t="str">
        <f t="shared" si="0"/>
        <v>1Q00</v>
      </c>
      <c r="Y7" s="366" t="str">
        <f t="shared" si="0"/>
        <v>2Q00</v>
      </c>
      <c r="Z7" s="366" t="str">
        <f t="shared" si="0"/>
        <v>3Q00</v>
      </c>
      <c r="AA7" s="367" t="str">
        <f t="shared" si="0"/>
        <v>4Q00</v>
      </c>
      <c r="AB7" s="366" t="str">
        <f t="shared" si="0"/>
        <v>1Q01</v>
      </c>
      <c r="AC7" s="366" t="str">
        <f t="shared" si="0"/>
        <v>2Q01</v>
      </c>
      <c r="AD7" s="366" t="str">
        <f t="shared" si="0"/>
        <v>3Q01</v>
      </c>
      <c r="AE7" s="367" t="str">
        <f t="shared" si="0"/>
        <v>4Q01</v>
      </c>
      <c r="AF7" s="366" t="str">
        <f t="shared" si="0"/>
        <v>1Q02</v>
      </c>
      <c r="AG7" s="366" t="str">
        <f t="shared" si="0"/>
        <v>2Q02</v>
      </c>
      <c r="AH7" s="366" t="str">
        <f t="shared" si="0"/>
        <v>3Q02</v>
      </c>
      <c r="AI7" s="367" t="str">
        <f t="shared" si="0"/>
        <v>4Q02</v>
      </c>
      <c r="AJ7" s="366" t="str">
        <f t="shared" ref="AJ7:BO7" si="1">AJ$4</f>
        <v>1Q03</v>
      </c>
      <c r="AK7" s="366" t="str">
        <f t="shared" si="1"/>
        <v>2Q03</v>
      </c>
      <c r="AL7" s="366" t="str">
        <f t="shared" si="1"/>
        <v>3Q03</v>
      </c>
      <c r="AM7" s="367" t="str">
        <f t="shared" si="1"/>
        <v>4Q03</v>
      </c>
      <c r="AN7" s="366" t="str">
        <f t="shared" si="1"/>
        <v>1Q04</v>
      </c>
      <c r="AO7" s="366" t="str">
        <f t="shared" si="1"/>
        <v>2Q04</v>
      </c>
      <c r="AP7" s="366" t="str">
        <f t="shared" si="1"/>
        <v>3Q04</v>
      </c>
      <c r="AQ7" s="367" t="str">
        <f t="shared" si="1"/>
        <v>4Q04</v>
      </c>
      <c r="AR7" s="366" t="str">
        <f t="shared" si="1"/>
        <v>1Q05</v>
      </c>
      <c r="AS7" s="366" t="str">
        <f t="shared" si="1"/>
        <v>2Q05</v>
      </c>
      <c r="AT7" s="366" t="str">
        <f t="shared" si="1"/>
        <v>3Q05</v>
      </c>
      <c r="AU7" s="367" t="str">
        <f t="shared" si="1"/>
        <v>4Q05</v>
      </c>
      <c r="AV7" s="366" t="str">
        <f t="shared" si="1"/>
        <v>1Q06</v>
      </c>
      <c r="AW7" s="366" t="str">
        <f t="shared" si="1"/>
        <v>2Q06</v>
      </c>
      <c r="AX7" s="366" t="str">
        <f t="shared" si="1"/>
        <v>3Q06</v>
      </c>
      <c r="AY7" s="367" t="str">
        <f t="shared" si="1"/>
        <v>4Q06</v>
      </c>
      <c r="AZ7" s="366" t="str">
        <f t="shared" si="1"/>
        <v>1Q07</v>
      </c>
      <c r="BA7" s="366" t="str">
        <f t="shared" si="1"/>
        <v>2Q07</v>
      </c>
      <c r="BB7" s="366" t="str">
        <f t="shared" si="1"/>
        <v>3Q07</v>
      </c>
      <c r="BC7" s="367" t="str">
        <f t="shared" si="1"/>
        <v>4Q07</v>
      </c>
      <c r="BD7" s="366" t="str">
        <f t="shared" si="1"/>
        <v>1Q08</v>
      </c>
      <c r="BE7" s="366" t="str">
        <f t="shared" si="1"/>
        <v>2Q08</v>
      </c>
      <c r="BF7" s="366" t="str">
        <f t="shared" si="1"/>
        <v>3Q08</v>
      </c>
      <c r="BG7" s="367" t="str">
        <f t="shared" si="1"/>
        <v>4Q08</v>
      </c>
      <c r="BH7" s="366" t="str">
        <f t="shared" si="1"/>
        <v>1Q09</v>
      </c>
      <c r="BI7" s="366" t="str">
        <f t="shared" si="1"/>
        <v>2Q09</v>
      </c>
      <c r="BJ7" s="366" t="str">
        <f t="shared" si="1"/>
        <v>3Q09</v>
      </c>
      <c r="BK7" s="367" t="str">
        <f t="shared" si="1"/>
        <v>4Q09</v>
      </c>
      <c r="BL7" s="366" t="str">
        <f t="shared" si="1"/>
        <v>1Q10</v>
      </c>
      <c r="BM7" s="366" t="str">
        <f t="shared" si="1"/>
        <v>2Q10</v>
      </c>
      <c r="BN7" s="366" t="str">
        <f t="shared" si="1"/>
        <v>3Q10</v>
      </c>
      <c r="BO7" s="367" t="str">
        <f t="shared" si="1"/>
        <v>4Q10</v>
      </c>
      <c r="BP7" s="366" t="str">
        <f t="shared" ref="BP7:CU7" si="2">BP$4</f>
        <v>1Q11</v>
      </c>
      <c r="BQ7" s="366" t="str">
        <f t="shared" si="2"/>
        <v>2Q11</v>
      </c>
      <c r="BR7" s="366" t="str">
        <f t="shared" si="2"/>
        <v>3Q11</v>
      </c>
      <c r="BS7" s="367" t="str">
        <f t="shared" si="2"/>
        <v>4Q11</v>
      </c>
      <c r="BT7" s="366" t="str">
        <f t="shared" si="2"/>
        <v>1Q12</v>
      </c>
      <c r="BU7" s="366" t="str">
        <f t="shared" si="2"/>
        <v>2Q12</v>
      </c>
      <c r="BV7" s="366" t="str">
        <f t="shared" si="2"/>
        <v>3Q12</v>
      </c>
      <c r="BW7" s="367" t="str">
        <f t="shared" si="2"/>
        <v>4Q12</v>
      </c>
      <c r="BX7" s="366" t="str">
        <f t="shared" si="2"/>
        <v>1Q13</v>
      </c>
      <c r="BY7" s="366" t="str">
        <f t="shared" si="2"/>
        <v>2Q13</v>
      </c>
      <c r="BZ7" s="366" t="str">
        <f t="shared" si="2"/>
        <v>3Q13</v>
      </c>
      <c r="CA7" s="367" t="str">
        <f t="shared" si="2"/>
        <v>4Q13</v>
      </c>
      <c r="CB7" s="366" t="str">
        <f t="shared" si="2"/>
        <v>1Q14</v>
      </c>
      <c r="CC7" s="366" t="str">
        <f t="shared" si="2"/>
        <v>2Q14</v>
      </c>
      <c r="CD7" s="366" t="str">
        <f t="shared" si="2"/>
        <v>3Q14</v>
      </c>
      <c r="CE7" s="367" t="str">
        <f t="shared" si="2"/>
        <v>4Q14</v>
      </c>
      <c r="CF7" s="366" t="str">
        <f t="shared" si="2"/>
        <v>1Q15</v>
      </c>
      <c r="CG7" s="366" t="str">
        <f t="shared" si="2"/>
        <v>2Q15</v>
      </c>
      <c r="CH7" s="366" t="str">
        <f t="shared" si="2"/>
        <v>3Q15</v>
      </c>
      <c r="CI7" s="367" t="str">
        <f t="shared" si="2"/>
        <v>4Q15</v>
      </c>
      <c r="CJ7" s="366" t="str">
        <f t="shared" si="2"/>
        <v>1Q16</v>
      </c>
      <c r="CK7" s="366" t="str">
        <f t="shared" si="2"/>
        <v>2Q16</v>
      </c>
      <c r="CL7" s="366" t="str">
        <f t="shared" si="2"/>
        <v>3Q16</v>
      </c>
      <c r="CM7" s="367" t="str">
        <f t="shared" si="2"/>
        <v>4Q16</v>
      </c>
      <c r="CN7" s="366" t="str">
        <f t="shared" si="2"/>
        <v>1Q17</v>
      </c>
      <c r="CO7" s="366" t="str">
        <f t="shared" si="2"/>
        <v>2Q17</v>
      </c>
      <c r="CP7" s="366" t="str">
        <f t="shared" si="2"/>
        <v>3Q17</v>
      </c>
      <c r="CQ7" s="367" t="str">
        <f t="shared" si="2"/>
        <v>4Q17</v>
      </c>
      <c r="CR7" s="366" t="str">
        <f t="shared" si="2"/>
        <v>1Q18e</v>
      </c>
      <c r="CS7" s="366" t="str">
        <f t="shared" si="2"/>
        <v>2Q18e</v>
      </c>
      <c r="CT7" s="366" t="str">
        <f t="shared" si="2"/>
        <v>3Q18e</v>
      </c>
      <c r="CU7" s="367" t="str">
        <f t="shared" si="2"/>
        <v>4Q18e</v>
      </c>
      <c r="CV7" s="376"/>
      <c r="CW7" s="366">
        <f t="shared" ref="CW7:DZ7" si="3">CW$4</f>
        <v>1994</v>
      </c>
      <c r="CX7" s="366">
        <f t="shared" si="3"/>
        <v>1995</v>
      </c>
      <c r="CY7" s="366">
        <f t="shared" si="3"/>
        <v>1996</v>
      </c>
      <c r="CZ7" s="366">
        <f t="shared" si="3"/>
        <v>1997</v>
      </c>
      <c r="DA7" s="366">
        <f t="shared" si="3"/>
        <v>1998</v>
      </c>
      <c r="DB7" s="366">
        <f t="shared" si="3"/>
        <v>1999</v>
      </c>
      <c r="DC7" s="366">
        <f t="shared" si="3"/>
        <v>2000</v>
      </c>
      <c r="DD7" s="366">
        <f t="shared" si="3"/>
        <v>2001</v>
      </c>
      <c r="DE7" s="366">
        <f t="shared" si="3"/>
        <v>2002</v>
      </c>
      <c r="DF7" s="366">
        <f t="shared" si="3"/>
        <v>2003</v>
      </c>
      <c r="DG7" s="366">
        <f t="shared" si="3"/>
        <v>2004</v>
      </c>
      <c r="DH7" s="366">
        <f t="shared" si="3"/>
        <v>2005</v>
      </c>
      <c r="DI7" s="366">
        <f t="shared" si="3"/>
        <v>2006</v>
      </c>
      <c r="DJ7" s="366">
        <f t="shared" si="3"/>
        <v>2007</v>
      </c>
      <c r="DK7" s="366">
        <f t="shared" si="3"/>
        <v>2008</v>
      </c>
      <c r="DL7" s="366">
        <f t="shared" si="3"/>
        <v>2009</v>
      </c>
      <c r="DM7" s="366">
        <f t="shared" si="3"/>
        <v>2010</v>
      </c>
      <c r="DN7" s="366">
        <f t="shared" si="3"/>
        <v>2011</v>
      </c>
      <c r="DO7" s="366">
        <f t="shared" si="3"/>
        <v>2012</v>
      </c>
      <c r="DP7" s="366">
        <f t="shared" si="3"/>
        <v>2013</v>
      </c>
      <c r="DQ7" s="366">
        <f t="shared" si="3"/>
        <v>2014</v>
      </c>
      <c r="DR7" s="366">
        <f t="shared" si="3"/>
        <v>2015</v>
      </c>
      <c r="DS7" s="366">
        <f t="shared" si="3"/>
        <v>2016</v>
      </c>
      <c r="DT7" s="366">
        <f t="shared" si="3"/>
        <v>2017</v>
      </c>
      <c r="DU7" s="366" t="str">
        <f t="shared" si="3"/>
        <v>2018e</v>
      </c>
      <c r="DV7" s="366" t="str">
        <f t="shared" si="3"/>
        <v>2019e</v>
      </c>
      <c r="DW7" s="366" t="str">
        <f t="shared" si="3"/>
        <v>2020e</v>
      </c>
      <c r="DX7" s="366" t="str">
        <f t="shared" si="3"/>
        <v>2021e</v>
      </c>
      <c r="DY7" s="366" t="str">
        <f t="shared" si="3"/>
        <v>2022e</v>
      </c>
      <c r="DZ7" s="366" t="str">
        <f t="shared" si="3"/>
        <v>2023e</v>
      </c>
      <c r="EA7" s="386"/>
    </row>
    <row r="8" spans="1:137" s="358" customFormat="1">
      <c r="A8" s="387"/>
      <c r="B8" s="388"/>
      <c r="C8" s="897"/>
      <c r="D8" s="389"/>
      <c r="E8" s="390"/>
      <c r="F8" s="390"/>
      <c r="G8" s="391"/>
      <c r="H8" s="390"/>
      <c r="I8" s="390"/>
      <c r="J8" s="390"/>
      <c r="K8" s="391"/>
      <c r="L8" s="390"/>
      <c r="M8" s="390"/>
      <c r="N8" s="390"/>
      <c r="O8" s="391"/>
      <c r="P8" s="390"/>
      <c r="Q8" s="390"/>
      <c r="R8" s="390"/>
      <c r="S8" s="391"/>
      <c r="T8" s="390"/>
      <c r="U8" s="390"/>
      <c r="V8" s="390"/>
      <c r="W8" s="391"/>
      <c r="X8" s="390"/>
      <c r="Y8" s="390"/>
      <c r="Z8" s="390"/>
      <c r="AA8" s="391"/>
      <c r="AB8" s="390"/>
      <c r="AC8" s="390"/>
      <c r="AD8" s="390"/>
      <c r="AE8" s="391"/>
      <c r="AF8" s="390"/>
      <c r="AG8" s="390"/>
      <c r="AH8" s="390"/>
      <c r="AI8" s="391"/>
      <c r="AJ8" s="390"/>
      <c r="AK8" s="390"/>
      <c r="AL8" s="390"/>
      <c r="AM8" s="391"/>
      <c r="AN8" s="390"/>
      <c r="AO8" s="390"/>
      <c r="AP8" s="390"/>
      <c r="AQ8" s="391"/>
      <c r="AR8" s="390"/>
      <c r="AS8" s="390"/>
      <c r="AT8" s="390"/>
      <c r="AU8" s="391"/>
      <c r="AV8" s="390"/>
      <c r="AW8" s="390"/>
      <c r="AX8" s="390"/>
      <c r="AY8" s="391"/>
      <c r="AZ8" s="390"/>
      <c r="BA8" s="390"/>
      <c r="BB8" s="390"/>
      <c r="BC8" s="391"/>
      <c r="BD8" s="390"/>
      <c r="BE8" s="390"/>
      <c r="BF8" s="390"/>
      <c r="BG8" s="391"/>
      <c r="BH8" s="390"/>
      <c r="BI8" s="390"/>
      <c r="BJ8" s="390"/>
      <c r="BK8" s="391"/>
      <c r="BL8" s="390"/>
      <c r="BM8" s="390"/>
      <c r="BN8" s="390"/>
      <c r="BO8" s="391"/>
      <c r="BP8" s="390"/>
      <c r="BQ8" s="390"/>
      <c r="BR8" s="390"/>
      <c r="BS8" s="391"/>
      <c r="BT8" s="390"/>
      <c r="BU8" s="390"/>
      <c r="BV8" s="390"/>
      <c r="BW8" s="391"/>
      <c r="BX8" s="390"/>
      <c r="BY8" s="390"/>
      <c r="BZ8" s="390"/>
      <c r="CA8" s="391"/>
      <c r="CB8" s="390"/>
      <c r="CC8" s="390"/>
      <c r="CD8" s="390"/>
      <c r="CE8" s="391"/>
      <c r="CF8" s="390"/>
      <c r="CG8" s="390"/>
      <c r="CH8" s="390"/>
      <c r="CI8" s="391"/>
      <c r="CJ8" s="390"/>
      <c r="CK8" s="390"/>
      <c r="CL8" s="390"/>
      <c r="CM8" s="391"/>
      <c r="CN8" s="390"/>
      <c r="CO8" s="390"/>
      <c r="CP8" s="390"/>
      <c r="CQ8" s="391"/>
      <c r="CR8" s="395"/>
      <c r="CS8" s="395"/>
      <c r="CT8" s="395"/>
      <c r="CU8" s="392"/>
      <c r="CV8" s="376"/>
      <c r="CW8" s="393"/>
      <c r="CX8" s="390"/>
      <c r="CY8" s="390"/>
      <c r="CZ8" s="390"/>
      <c r="DA8" s="390"/>
      <c r="DB8" s="390"/>
      <c r="DC8" s="390"/>
      <c r="DD8" s="390"/>
      <c r="DE8" s="390"/>
      <c r="DF8" s="394"/>
      <c r="DG8" s="394"/>
      <c r="DH8" s="394"/>
      <c r="DI8" s="394"/>
      <c r="DJ8" s="394"/>
      <c r="DK8" s="390"/>
      <c r="DL8" s="390"/>
      <c r="DM8" s="394"/>
      <c r="DN8" s="390"/>
      <c r="DO8" s="390"/>
      <c r="DP8" s="395"/>
      <c r="DQ8" s="395"/>
      <c r="DR8" s="396"/>
      <c r="DS8" s="397"/>
      <c r="DT8" s="398"/>
      <c r="DU8" s="399"/>
      <c r="DV8" s="399"/>
      <c r="DW8" s="399"/>
      <c r="DX8" s="399"/>
      <c r="DY8" s="399"/>
      <c r="DZ8" s="399"/>
      <c r="EA8" s="397"/>
      <c r="EB8"/>
      <c r="EC8"/>
      <c r="ED8"/>
      <c r="EE8"/>
      <c r="EF8"/>
      <c r="EG8"/>
    </row>
    <row r="9" spans="1:137" s="410" customFormat="1">
      <c r="A9" s="400"/>
      <c r="B9" s="401" t="s">
        <v>115</v>
      </c>
      <c r="C9" s="658"/>
      <c r="D9" s="629">
        <v>327.8</v>
      </c>
      <c r="E9" s="630">
        <v>356</v>
      </c>
      <c r="F9" s="630">
        <v>298.5</v>
      </c>
      <c r="G9" s="631">
        <v>346.8</v>
      </c>
      <c r="H9" s="630">
        <v>348.9</v>
      </c>
      <c r="I9" s="630">
        <v>381.8</v>
      </c>
      <c r="J9" s="630">
        <v>387.7</v>
      </c>
      <c r="K9" s="631">
        <v>421.7</v>
      </c>
      <c r="L9" s="630">
        <v>443.5</v>
      </c>
      <c r="M9" s="630">
        <v>449.7</v>
      </c>
      <c r="N9" s="630">
        <v>406.8</v>
      </c>
      <c r="O9" s="631">
        <v>467</v>
      </c>
      <c r="P9" s="630">
        <v>464.7</v>
      </c>
      <c r="Q9" s="630">
        <v>451.3</v>
      </c>
      <c r="R9" s="630">
        <v>431.6</v>
      </c>
      <c r="S9" s="631">
        <v>489.2</v>
      </c>
      <c r="T9" s="630">
        <v>551.29999999999995</v>
      </c>
      <c r="U9" s="630">
        <v>640.79999999999995</v>
      </c>
      <c r="V9" s="630">
        <v>589.70000000000005</v>
      </c>
      <c r="W9" s="631">
        <v>676.8</v>
      </c>
      <c r="X9" s="630">
        <v>730.2</v>
      </c>
      <c r="Y9" s="630">
        <v>700.9</v>
      </c>
      <c r="Z9" s="630">
        <v>618.5</v>
      </c>
      <c r="AA9" s="631">
        <v>596.29999999999995</v>
      </c>
      <c r="AB9" s="630">
        <v>606.79999999999995</v>
      </c>
      <c r="AC9" s="630">
        <v>602</v>
      </c>
      <c r="AD9" s="630">
        <v>559.9</v>
      </c>
      <c r="AE9" s="631">
        <v>582.79999999999995</v>
      </c>
      <c r="AF9" s="630">
        <v>633.9</v>
      </c>
      <c r="AG9" s="630">
        <v>712.4</v>
      </c>
      <c r="AH9" s="630">
        <v>684</v>
      </c>
      <c r="AI9" s="631">
        <v>700.8</v>
      </c>
      <c r="AJ9" s="630">
        <v>775.7</v>
      </c>
      <c r="AK9" s="630">
        <v>769.5</v>
      </c>
      <c r="AL9" s="630">
        <v>725.2</v>
      </c>
      <c r="AM9" s="631">
        <v>798.8</v>
      </c>
      <c r="AN9" s="630">
        <v>903.1</v>
      </c>
      <c r="AO9" s="630">
        <v>893.2</v>
      </c>
      <c r="AP9" s="630">
        <v>839.8</v>
      </c>
      <c r="AQ9" s="631">
        <v>889.2</v>
      </c>
      <c r="AR9" s="630">
        <v>1083.5</v>
      </c>
      <c r="AS9" s="630">
        <v>1111.4000000000001</v>
      </c>
      <c r="AT9" s="630">
        <v>1050.9000000000001</v>
      </c>
      <c r="AU9" s="631">
        <v>1048</v>
      </c>
      <c r="AV9" s="630">
        <v>1155.2</v>
      </c>
      <c r="AW9" s="630">
        <v>1168.7</v>
      </c>
      <c r="AX9" s="630">
        <v>1059.8</v>
      </c>
      <c r="AY9" s="631">
        <v>1201.7</v>
      </c>
      <c r="AZ9" s="630">
        <v>1277.8</v>
      </c>
      <c r="BA9" s="630">
        <v>1364.3</v>
      </c>
      <c r="BB9" s="630">
        <v>1313.6</v>
      </c>
      <c r="BC9" s="631">
        <v>1372.9</v>
      </c>
      <c r="BD9" s="630">
        <v>1498.9</v>
      </c>
      <c r="BE9" s="630">
        <v>1516.6</v>
      </c>
      <c r="BF9" s="630">
        <v>1316.9</v>
      </c>
      <c r="BG9" s="631">
        <v>931.5</v>
      </c>
      <c r="BH9" s="630">
        <v>819.5</v>
      </c>
      <c r="BI9" s="630">
        <v>916.2</v>
      </c>
      <c r="BJ9" s="630">
        <v>1027.8</v>
      </c>
      <c r="BK9" s="631">
        <v>1198.3</v>
      </c>
      <c r="BL9" s="630">
        <v>1286.8</v>
      </c>
      <c r="BM9" s="630">
        <v>1421.7</v>
      </c>
      <c r="BN9" s="630">
        <v>1410.9</v>
      </c>
      <c r="BO9" s="631">
        <v>1533.4</v>
      </c>
      <c r="BP9" s="630">
        <v>1730.4</v>
      </c>
      <c r="BQ9" s="630">
        <v>1818.8</v>
      </c>
      <c r="BR9" s="630">
        <v>1791.8</v>
      </c>
      <c r="BS9" s="631">
        <v>1773.7</v>
      </c>
      <c r="BT9" s="630">
        <f>Segments!BT64</f>
        <v>1912.5</v>
      </c>
      <c r="BU9" s="630">
        <f>Segments!BU64</f>
        <v>1856.4</v>
      </c>
      <c r="BV9" s="630">
        <f>Segments!BV64</f>
        <v>1695.2</v>
      </c>
      <c r="BW9" s="631">
        <v>1719.1</v>
      </c>
      <c r="BX9" s="630">
        <f>Segments!BX64</f>
        <v>1851.1000000000001</v>
      </c>
      <c r="BY9" s="630">
        <v>1893.9</v>
      </c>
      <c r="BZ9" s="630">
        <v>1806.2</v>
      </c>
      <c r="CA9" s="631">
        <v>1885.4</v>
      </c>
      <c r="CB9" s="630">
        <v>2084.1</v>
      </c>
      <c r="CC9" s="630">
        <v>2197</v>
      </c>
      <c r="CD9" s="630">
        <v>2032.1</v>
      </c>
      <c r="CE9" s="631">
        <v>1991.9</v>
      </c>
      <c r="CF9" s="630">
        <v>1984.2</v>
      </c>
      <c r="CG9" s="630">
        <v>2031.9</v>
      </c>
      <c r="CH9" s="630">
        <v>1884</v>
      </c>
      <c r="CI9" s="631">
        <v>2123.1</v>
      </c>
      <c r="CJ9" s="630">
        <v>2268.6</v>
      </c>
      <c r="CK9" s="630">
        <v>2329.1999999999998</v>
      </c>
      <c r="CL9" s="630">
        <v>2214.1999999999998</v>
      </c>
      <c r="CM9" s="451">
        <v>2259</v>
      </c>
      <c r="CN9" s="632">
        <v>2407</v>
      </c>
      <c r="CO9" s="632">
        <v>2389.6999999999998</v>
      </c>
      <c r="CP9" s="630">
        <v>2416.1999999999998</v>
      </c>
      <c r="CQ9" s="631">
        <v>2586.4</v>
      </c>
      <c r="CR9" s="1046">
        <f>Segments!CR64</f>
        <v>2666.9363959079369</v>
      </c>
      <c r="CS9" s="1046">
        <f>Segments!CS64</f>
        <v>2728.0376407039539</v>
      </c>
      <c r="CT9" s="1046">
        <f>Segments!CT64</f>
        <v>2624.0401694446336</v>
      </c>
      <c r="CU9" s="1045">
        <f>Segments!CU64</f>
        <v>2801.3284571591321</v>
      </c>
      <c r="CV9" s="406"/>
      <c r="CW9" s="403"/>
      <c r="CX9" s="407">
        <f>SUM(D9:G9)</f>
        <v>1329.1</v>
      </c>
      <c r="CY9" s="407">
        <f>SUM(H9:K9)</f>
        <v>1540.1000000000001</v>
      </c>
      <c r="CZ9" s="407">
        <f>SUM(L9:O9)</f>
        <v>1767</v>
      </c>
      <c r="DA9" s="407">
        <f>SUM(P9:S9)</f>
        <v>1836.8</v>
      </c>
      <c r="DB9" s="407">
        <f>SUM(T9:W9)</f>
        <v>2458.6</v>
      </c>
      <c r="DC9" s="407">
        <f>SUM(X9:AA9)</f>
        <v>2645.8999999999996</v>
      </c>
      <c r="DD9" s="407">
        <f>SUM(AB9:AE9)</f>
        <v>2351.5</v>
      </c>
      <c r="DE9" s="407">
        <f>SUM(AF9:AI9)</f>
        <v>2731.1</v>
      </c>
      <c r="DF9" s="407">
        <f>SUM(AJ9:AM9)</f>
        <v>3069.2</v>
      </c>
      <c r="DG9" s="407">
        <f>SUM(AN9:AQ9)</f>
        <v>3525.3</v>
      </c>
      <c r="DH9" s="407">
        <f>SUM(AR9:AU9)</f>
        <v>4293.8</v>
      </c>
      <c r="DI9" s="407">
        <f>SUM(AV9:AY9)</f>
        <v>4585.3999999999996</v>
      </c>
      <c r="DJ9" s="407">
        <f>SUM(AZ9:BC9)</f>
        <v>5328.6</v>
      </c>
      <c r="DK9" s="407">
        <f>SUM(BD9:BG9)</f>
        <v>5263.9</v>
      </c>
      <c r="DL9" s="407">
        <f>SUM(BH9:BK9)</f>
        <v>3961.8</v>
      </c>
      <c r="DM9" s="407">
        <f>SUM(BL9:BO9)</f>
        <v>5652.7999999999993</v>
      </c>
      <c r="DN9" s="407">
        <f>SUM(BP9:BS9)</f>
        <v>7114.7</v>
      </c>
      <c r="DO9" s="407">
        <f>SUM(BT9:BW9)</f>
        <v>7183.2000000000007</v>
      </c>
      <c r="DP9" s="407">
        <f>SUM(BX9:CA9)</f>
        <v>7436.6</v>
      </c>
      <c r="DQ9" s="407">
        <f>SUM(CB9:CE9)</f>
        <v>8305.1</v>
      </c>
      <c r="DR9" s="407">
        <f>SUM(CF9:CI9)</f>
        <v>8023.2000000000007</v>
      </c>
      <c r="DS9" s="407">
        <f>SUM(CJ9:CM9)</f>
        <v>9071</v>
      </c>
      <c r="DT9" s="408">
        <f>SUM(CN9:CQ9)</f>
        <v>9799.2999999999993</v>
      </c>
      <c r="DU9" s="408">
        <f>SUM(CR9:CU9)</f>
        <v>10820.342663215657</v>
      </c>
      <c r="DV9" s="1049">
        <f>Segments!DV64</f>
        <v>11422.830125400336</v>
      </c>
      <c r="DW9" s="1049">
        <f>Segments!DW64</f>
        <v>11964.670850628036</v>
      </c>
      <c r="DX9" s="1049">
        <f>Segments!DX64</f>
        <v>12458.71376217756</v>
      </c>
      <c r="DY9" s="1049">
        <f>Segments!DY64</f>
        <v>12810.992873956444</v>
      </c>
      <c r="DZ9" s="1049">
        <f>Segments!DZ64</f>
        <v>12987.963968631469</v>
      </c>
      <c r="EA9" s="409"/>
      <c r="EB9"/>
      <c r="EC9"/>
      <c r="ED9"/>
      <c r="EE9"/>
      <c r="EF9"/>
      <c r="EG9"/>
    </row>
    <row r="10" spans="1:137" s="418" customFormat="1">
      <c r="A10" s="411"/>
      <c r="B10" s="412" t="s">
        <v>293</v>
      </c>
      <c r="C10" s="898"/>
      <c r="D10" s="413"/>
      <c r="E10" s="414"/>
      <c r="F10" s="414"/>
      <c r="G10" s="415"/>
      <c r="H10" s="414">
        <f t="shared" ref="H10:AM10" si="4">H9/D9-1</f>
        <v>6.4368517388651458E-2</v>
      </c>
      <c r="I10" s="414">
        <f t="shared" si="4"/>
        <v>7.247191011235965E-2</v>
      </c>
      <c r="J10" s="414">
        <f t="shared" si="4"/>
        <v>0.29882747068676707</v>
      </c>
      <c r="K10" s="415">
        <f t="shared" si="4"/>
        <v>0.2159746251441752</v>
      </c>
      <c r="L10" s="414">
        <f t="shared" si="4"/>
        <v>0.27113786185153343</v>
      </c>
      <c r="M10" s="414">
        <f t="shared" si="4"/>
        <v>0.17784180199057098</v>
      </c>
      <c r="N10" s="414">
        <f t="shared" si="4"/>
        <v>4.9264895537787012E-2</v>
      </c>
      <c r="O10" s="415">
        <f t="shared" si="4"/>
        <v>0.10742233815508651</v>
      </c>
      <c r="P10" s="414">
        <f t="shared" si="4"/>
        <v>4.7801578354002228E-2</v>
      </c>
      <c r="Q10" s="414">
        <f t="shared" si="4"/>
        <v>3.5579275072270544E-3</v>
      </c>
      <c r="R10" s="414">
        <f t="shared" si="4"/>
        <v>6.0963618485742499E-2</v>
      </c>
      <c r="S10" s="415">
        <f t="shared" si="4"/>
        <v>4.7537473233404626E-2</v>
      </c>
      <c r="T10" s="414">
        <f t="shared" si="4"/>
        <v>0.18635678932644706</v>
      </c>
      <c r="U10" s="414">
        <f t="shared" si="4"/>
        <v>0.41989807223576325</v>
      </c>
      <c r="V10" s="414">
        <f t="shared" si="4"/>
        <v>0.36631139944392954</v>
      </c>
      <c r="W10" s="415">
        <f t="shared" si="4"/>
        <v>0.38348323793949302</v>
      </c>
      <c r="X10" s="414">
        <f t="shared" si="4"/>
        <v>0.32450571376745896</v>
      </c>
      <c r="Y10" s="414">
        <f t="shared" si="4"/>
        <v>9.3789013732834103E-2</v>
      </c>
      <c r="Z10" s="414">
        <f t="shared" si="4"/>
        <v>4.8838392402916764E-2</v>
      </c>
      <c r="AA10" s="415">
        <f t="shared" si="4"/>
        <v>-0.1189420803782506</v>
      </c>
      <c r="AB10" s="414">
        <f t="shared" si="4"/>
        <v>-0.16899479594631617</v>
      </c>
      <c r="AC10" s="414">
        <f t="shared" si="4"/>
        <v>-0.14110429447852757</v>
      </c>
      <c r="AD10" s="414">
        <f t="shared" si="4"/>
        <v>-9.4745351657235299E-2</v>
      </c>
      <c r="AE10" s="415">
        <f t="shared" si="4"/>
        <v>-2.2639610934093612E-2</v>
      </c>
      <c r="AF10" s="414">
        <f t="shared" si="4"/>
        <v>4.4660514172709442E-2</v>
      </c>
      <c r="AG10" s="414">
        <f t="shared" si="4"/>
        <v>0.18338870431893683</v>
      </c>
      <c r="AH10" s="414">
        <f t="shared" si="4"/>
        <v>0.22164672262904106</v>
      </c>
      <c r="AI10" s="415">
        <f t="shared" si="4"/>
        <v>0.20247083047357584</v>
      </c>
      <c r="AJ10" s="414">
        <f t="shared" si="4"/>
        <v>0.22369458905190109</v>
      </c>
      <c r="AK10" s="414">
        <f t="shared" si="4"/>
        <v>8.0151600224593E-2</v>
      </c>
      <c r="AL10" s="414">
        <f t="shared" si="4"/>
        <v>6.0233918128655084E-2</v>
      </c>
      <c r="AM10" s="415">
        <f t="shared" si="4"/>
        <v>0.13984018264840192</v>
      </c>
      <c r="AN10" s="414">
        <f t="shared" ref="AN10:BS10" si="5">AN9/AJ9-1</f>
        <v>0.16423875209488203</v>
      </c>
      <c r="AO10" s="414">
        <f t="shared" si="5"/>
        <v>0.1607537361923328</v>
      </c>
      <c r="AP10" s="414">
        <f t="shared" si="5"/>
        <v>0.15802537231108649</v>
      </c>
      <c r="AQ10" s="415">
        <f t="shared" si="5"/>
        <v>0.11316975463194812</v>
      </c>
      <c r="AR10" s="414">
        <f t="shared" si="5"/>
        <v>0.19975639464068196</v>
      </c>
      <c r="AS10" s="414">
        <f t="shared" si="5"/>
        <v>0.24429019256605478</v>
      </c>
      <c r="AT10" s="414">
        <f t="shared" si="5"/>
        <v>0.25136937366039547</v>
      </c>
      <c r="AU10" s="415">
        <f t="shared" si="5"/>
        <v>0.17858749437696808</v>
      </c>
      <c r="AV10" s="414">
        <f t="shared" si="5"/>
        <v>6.6174434702353624E-2</v>
      </c>
      <c r="AW10" s="414">
        <f t="shared" si="5"/>
        <v>5.1556595285225715E-2</v>
      </c>
      <c r="AX10" s="414">
        <f t="shared" si="5"/>
        <v>8.46893139214E-3</v>
      </c>
      <c r="AY10" s="415">
        <f t="shared" si="5"/>
        <v>0.1466603053435116</v>
      </c>
      <c r="AZ10" s="414">
        <f t="shared" si="5"/>
        <v>0.10612880886426579</v>
      </c>
      <c r="BA10" s="414">
        <f t="shared" si="5"/>
        <v>0.16736544878925286</v>
      </c>
      <c r="BB10" s="414">
        <f t="shared" si="5"/>
        <v>0.23947914700886952</v>
      </c>
      <c r="BC10" s="415">
        <f t="shared" si="5"/>
        <v>0.14246484147457772</v>
      </c>
      <c r="BD10" s="414">
        <f t="shared" si="5"/>
        <v>0.17303177336046338</v>
      </c>
      <c r="BE10" s="414">
        <f t="shared" si="5"/>
        <v>0.1116323389283882</v>
      </c>
      <c r="BF10" s="414">
        <f t="shared" si="5"/>
        <v>2.5121802679659577E-3</v>
      </c>
      <c r="BG10" s="415">
        <f t="shared" si="5"/>
        <v>-0.32150921407240152</v>
      </c>
      <c r="BH10" s="414">
        <f t="shared" si="5"/>
        <v>-0.45326572820068056</v>
      </c>
      <c r="BI10" s="414">
        <f t="shared" si="5"/>
        <v>-0.39588553343004085</v>
      </c>
      <c r="BJ10" s="414">
        <f t="shared" si="5"/>
        <v>-0.21953071607563224</v>
      </c>
      <c r="BK10" s="415">
        <f t="shared" si="5"/>
        <v>0.28641975308641965</v>
      </c>
      <c r="BL10" s="414">
        <f t="shared" si="5"/>
        <v>0.57022574740695542</v>
      </c>
      <c r="BM10" s="414">
        <f t="shared" si="5"/>
        <v>0.55173542894564509</v>
      </c>
      <c r="BN10" s="414">
        <f t="shared" si="5"/>
        <v>0.37273788674839481</v>
      </c>
      <c r="BO10" s="415">
        <f t="shared" si="5"/>
        <v>0.27964616540098475</v>
      </c>
      <c r="BP10" s="414">
        <f t="shared" si="5"/>
        <v>0.34473111594653405</v>
      </c>
      <c r="BQ10" s="414">
        <f t="shared" si="5"/>
        <v>0.27931349792501936</v>
      </c>
      <c r="BR10" s="414">
        <f t="shared" si="5"/>
        <v>0.26996952299950383</v>
      </c>
      <c r="BS10" s="415">
        <f t="shared" si="5"/>
        <v>0.1567105778009652</v>
      </c>
      <c r="BT10" s="414">
        <f t="shared" ref="BT10:CU10" si="6">BT9/BP9-1</f>
        <v>0.10523578363384178</v>
      </c>
      <c r="BU10" s="414">
        <f t="shared" si="6"/>
        <v>2.0672971189795497E-2</v>
      </c>
      <c r="BV10" s="414">
        <f t="shared" si="6"/>
        <v>-5.3912266994084135E-2</v>
      </c>
      <c r="BW10" s="415">
        <f t="shared" si="6"/>
        <v>-3.0783108755708444E-2</v>
      </c>
      <c r="BX10" s="414">
        <f t="shared" si="6"/>
        <v>-3.2104575163398597E-2</v>
      </c>
      <c r="BY10" s="414">
        <f t="shared" si="6"/>
        <v>2.0200387847446599E-2</v>
      </c>
      <c r="BZ10" s="414">
        <f t="shared" si="6"/>
        <v>6.547899952807934E-2</v>
      </c>
      <c r="CA10" s="415">
        <f t="shared" si="6"/>
        <v>9.6736664533767724E-2</v>
      </c>
      <c r="CB10" s="414">
        <f t="shared" si="6"/>
        <v>0.12587110366808907</v>
      </c>
      <c r="CC10" s="414">
        <f t="shared" si="6"/>
        <v>0.16004012883467977</v>
      </c>
      <c r="CD10" s="414">
        <f t="shared" si="6"/>
        <v>0.12506920606798788</v>
      </c>
      <c r="CE10" s="415">
        <f t="shared" si="6"/>
        <v>5.6486687175135275E-2</v>
      </c>
      <c r="CF10" s="414">
        <f t="shared" si="6"/>
        <v>-4.7934360155462707E-2</v>
      </c>
      <c r="CG10" s="414">
        <f t="shared" si="6"/>
        <v>-7.5147928994082847E-2</v>
      </c>
      <c r="CH10" s="414">
        <f t="shared" si="6"/>
        <v>-7.2880271640175187E-2</v>
      </c>
      <c r="CI10" s="415">
        <f t="shared" si="6"/>
        <v>6.5866760379537093E-2</v>
      </c>
      <c r="CJ10" s="414">
        <f t="shared" si="6"/>
        <v>0.14333232537042639</v>
      </c>
      <c r="CK10" s="414">
        <f t="shared" si="6"/>
        <v>0.14631625572124607</v>
      </c>
      <c r="CL10" s="414">
        <f t="shared" si="6"/>
        <v>0.17526539278131614</v>
      </c>
      <c r="CM10" s="415">
        <f t="shared" si="6"/>
        <v>6.401017380245877E-2</v>
      </c>
      <c r="CN10" s="414">
        <f t="shared" si="6"/>
        <v>6.1006788327602868E-2</v>
      </c>
      <c r="CO10" s="414">
        <f t="shared" si="6"/>
        <v>2.5974583547999419E-2</v>
      </c>
      <c r="CP10" s="414">
        <f t="shared" si="6"/>
        <v>9.1229337909854546E-2</v>
      </c>
      <c r="CQ10" s="415">
        <f t="shared" si="6"/>
        <v>0.14493138556883589</v>
      </c>
      <c r="CR10" s="414">
        <f t="shared" si="6"/>
        <v>0.1079918553834387</v>
      </c>
      <c r="CS10" s="414">
        <f t="shared" si="6"/>
        <v>0.14158163815707159</v>
      </c>
      <c r="CT10" s="414">
        <f t="shared" si="6"/>
        <v>8.6019439386074703E-2</v>
      </c>
      <c r="CU10" s="415">
        <f t="shared" si="6"/>
        <v>8.3099465341452294E-2</v>
      </c>
      <c r="CV10" s="416"/>
      <c r="CW10" s="414"/>
      <c r="CX10" s="414"/>
      <c r="CY10" s="414">
        <f t="shared" ref="CY10:DU10" si="7">CY9/CX9-1</f>
        <v>0.15875404408998595</v>
      </c>
      <c r="CZ10" s="414">
        <f t="shared" si="7"/>
        <v>0.14732809557820903</v>
      </c>
      <c r="DA10" s="414">
        <f t="shared" si="7"/>
        <v>3.9501980758347432E-2</v>
      </c>
      <c r="DB10" s="414">
        <f t="shared" si="7"/>
        <v>0.338523519163763</v>
      </c>
      <c r="DC10" s="414">
        <f t="shared" si="7"/>
        <v>7.6181566745302076E-2</v>
      </c>
      <c r="DD10" s="414">
        <f t="shared" si="7"/>
        <v>-0.11126648777353632</v>
      </c>
      <c r="DE10" s="414">
        <f t="shared" si="7"/>
        <v>0.16142887518605131</v>
      </c>
      <c r="DF10" s="414">
        <f t="shared" si="7"/>
        <v>0.12379627256416836</v>
      </c>
      <c r="DG10" s="414">
        <f t="shared" si="7"/>
        <v>0.14860549980450943</v>
      </c>
      <c r="DH10" s="414">
        <f t="shared" si="7"/>
        <v>0.2179956315774545</v>
      </c>
      <c r="DI10" s="414">
        <f t="shared" si="7"/>
        <v>6.7911872933066109E-2</v>
      </c>
      <c r="DJ10" s="414">
        <f t="shared" si="7"/>
        <v>0.16207964408775699</v>
      </c>
      <c r="DK10" s="414">
        <f t="shared" si="7"/>
        <v>-1.2142026048117871E-2</v>
      </c>
      <c r="DL10" s="414">
        <f t="shared" si="7"/>
        <v>-0.24736412165884603</v>
      </c>
      <c r="DM10" s="414">
        <f t="shared" si="7"/>
        <v>0.42682619011560385</v>
      </c>
      <c r="DN10" s="414">
        <f t="shared" si="7"/>
        <v>0.25861519954712731</v>
      </c>
      <c r="DO10" s="414">
        <f t="shared" si="7"/>
        <v>9.6279533922725147E-3</v>
      </c>
      <c r="DP10" s="414">
        <f t="shared" si="7"/>
        <v>3.52767568771577E-2</v>
      </c>
      <c r="DQ10" s="414">
        <f t="shared" si="7"/>
        <v>0.11678724148132202</v>
      </c>
      <c r="DR10" s="414">
        <f t="shared" si="7"/>
        <v>-3.3942998880206132E-2</v>
      </c>
      <c r="DS10" s="414">
        <f t="shared" si="7"/>
        <v>0.13059627081463754</v>
      </c>
      <c r="DT10" s="414">
        <f t="shared" si="7"/>
        <v>8.0288832543269573E-2</v>
      </c>
      <c r="DU10" s="414">
        <f t="shared" si="7"/>
        <v>0.10419546939226865</v>
      </c>
      <c r="DV10" s="414">
        <f>(DV9-DU9)/DU9</f>
        <v>5.5680996520828141E-2</v>
      </c>
      <c r="DW10" s="414">
        <f>(DW9-DV9)/DV9</f>
        <v>4.7434893041334567E-2</v>
      </c>
      <c r="DX10" s="414">
        <f>(DX9-DW9)/DW9</f>
        <v>4.1291809671771429E-2</v>
      </c>
      <c r="DY10" s="414">
        <f>(DY9-DX9)/DX9</f>
        <v>2.8275720792971467E-2</v>
      </c>
      <c r="DZ10" s="414">
        <f>(DZ9-DY9)/DY9</f>
        <v>1.3814003053174073E-2</v>
      </c>
      <c r="EA10" s="417"/>
      <c r="EB10"/>
      <c r="EC10"/>
      <c r="ED10"/>
      <c r="EE10"/>
      <c r="EF10"/>
      <c r="EG10"/>
    </row>
    <row r="11" spans="1:137" s="410" customFormat="1">
      <c r="A11" s="400"/>
      <c r="B11" s="419" t="s">
        <v>236</v>
      </c>
      <c r="C11" s="899"/>
      <c r="D11" s="633">
        <v>-270.2</v>
      </c>
      <c r="E11" s="634">
        <v>-295</v>
      </c>
      <c r="F11" s="634">
        <v>-256.7</v>
      </c>
      <c r="G11" s="635">
        <v>-290.8</v>
      </c>
      <c r="H11" s="634">
        <v>-295.89999999999998</v>
      </c>
      <c r="I11" s="634">
        <v>-315</v>
      </c>
      <c r="J11" s="634">
        <v>-325.89999999999998</v>
      </c>
      <c r="K11" s="635">
        <v>-340</v>
      </c>
      <c r="L11" s="634">
        <v>-362.5</v>
      </c>
      <c r="M11" s="634">
        <v>-364.6</v>
      </c>
      <c r="N11" s="634">
        <v>-340.7</v>
      </c>
      <c r="O11" s="635">
        <v>-378</v>
      </c>
      <c r="P11" s="634">
        <v>-384.7</v>
      </c>
      <c r="Q11" s="634">
        <v>-378.7</v>
      </c>
      <c r="R11" s="634">
        <v>-356.8</v>
      </c>
      <c r="S11" s="635">
        <v>-402.5</v>
      </c>
      <c r="T11" s="634">
        <v>-444.9</v>
      </c>
      <c r="U11" s="634">
        <v>-514.5</v>
      </c>
      <c r="V11" s="634">
        <v>-481.2</v>
      </c>
      <c r="W11" s="635">
        <v>-539.20000000000005</v>
      </c>
      <c r="X11" s="634">
        <v>-576.5</v>
      </c>
      <c r="Y11" s="634">
        <v>-557.20000000000005</v>
      </c>
      <c r="Z11" s="634">
        <v>-498.2</v>
      </c>
      <c r="AA11" s="635">
        <v>-473.4</v>
      </c>
      <c r="AB11" s="634">
        <v>-498.1</v>
      </c>
      <c r="AC11" s="634">
        <v>-484.1</v>
      </c>
      <c r="AD11" s="634">
        <v>-451.5</v>
      </c>
      <c r="AE11" s="635">
        <v>-457.1</v>
      </c>
      <c r="AF11" s="634">
        <v>-508.2</v>
      </c>
      <c r="AG11" s="634">
        <v>-565.20000000000005</v>
      </c>
      <c r="AH11" s="634">
        <v>-556.1</v>
      </c>
      <c r="AI11" s="635">
        <v>-554.9</v>
      </c>
      <c r="AJ11" s="634">
        <v>-624.20000000000005</v>
      </c>
      <c r="AK11" s="634">
        <v>-622.79999999999995</v>
      </c>
      <c r="AL11" s="634">
        <v>-595.9</v>
      </c>
      <c r="AM11" s="635">
        <v>-639.70000000000005</v>
      </c>
      <c r="AN11" s="634">
        <v>-730.5</v>
      </c>
      <c r="AO11" s="634">
        <v>-723.4</v>
      </c>
      <c r="AP11" s="634">
        <v>-694.7</v>
      </c>
      <c r="AQ11" s="635">
        <v>-725.5</v>
      </c>
      <c r="AR11" s="634">
        <v>-869.8</v>
      </c>
      <c r="AS11" s="634">
        <v>-878.9</v>
      </c>
      <c r="AT11" s="634">
        <v>-842.7</v>
      </c>
      <c r="AU11" s="635">
        <v>-848.5</v>
      </c>
      <c r="AV11" s="634">
        <v>-928.8</v>
      </c>
      <c r="AW11" s="634">
        <v>-937.6</v>
      </c>
      <c r="AX11" s="634">
        <v>-876.5</v>
      </c>
      <c r="AY11" s="635">
        <v>-985.62666666666667</v>
      </c>
      <c r="AZ11" s="634">
        <v>-1047.9000000000001</v>
      </c>
      <c r="BA11" s="634">
        <v>-1116.7</v>
      </c>
      <c r="BB11" s="634">
        <v>-1084.9000000000001</v>
      </c>
      <c r="BC11" s="635">
        <v>-1115.2</v>
      </c>
      <c r="BD11" s="634">
        <v>-1215.4000000000001</v>
      </c>
      <c r="BE11" s="634">
        <v>-1236</v>
      </c>
      <c r="BF11" s="634">
        <v>-1111.1200299999998</v>
      </c>
      <c r="BG11" s="635">
        <v>-834.1</v>
      </c>
      <c r="BH11" s="634">
        <v>-739.9</v>
      </c>
      <c r="BI11" s="634">
        <v>-807.17316923076919</v>
      </c>
      <c r="BJ11" s="634">
        <v>-876</v>
      </c>
      <c r="BK11" s="635">
        <v>-985.1</v>
      </c>
      <c r="BL11" s="634">
        <v>-1048.3</v>
      </c>
      <c r="BM11" s="634">
        <v>-1146.3</v>
      </c>
      <c r="BN11" s="634">
        <v>-1137.5999999999999</v>
      </c>
      <c r="BO11" s="635">
        <v>-1227.3</v>
      </c>
      <c r="BP11" s="634">
        <v>-1387.6</v>
      </c>
      <c r="BQ11" s="634">
        <v>-1461.7</v>
      </c>
      <c r="BR11" s="634">
        <v>-1441</v>
      </c>
      <c r="BS11" s="635">
        <v>-1414</v>
      </c>
      <c r="BT11" s="634">
        <v>-1516.7</v>
      </c>
      <c r="BU11" s="634">
        <v>-1473.2</v>
      </c>
      <c r="BV11" s="634">
        <v>-1351.5</v>
      </c>
      <c r="BW11" s="635">
        <v>-1374.9</v>
      </c>
      <c r="BX11" s="634">
        <f>-1476.4</f>
        <v>-1476.4</v>
      </c>
      <c r="BY11" s="634">
        <v>-1497.3</v>
      </c>
      <c r="BZ11" s="634">
        <v>-1426.6</v>
      </c>
      <c r="CA11" s="635">
        <v>-1478.8</v>
      </c>
      <c r="CB11" s="634">
        <v>-1638.3</v>
      </c>
      <c r="CC11" s="634">
        <v>-1724.2</v>
      </c>
      <c r="CD11" s="634">
        <v>-1607.6</v>
      </c>
      <c r="CE11" s="635">
        <v>-1578.6</v>
      </c>
      <c r="CF11" s="634">
        <v>-1555.2</v>
      </c>
      <c r="CG11" s="634">
        <v>-1602.9</v>
      </c>
      <c r="CH11" s="634">
        <f>-1485.8</f>
        <v>-1485.8</v>
      </c>
      <c r="CI11" s="635">
        <v>-1676.2</v>
      </c>
      <c r="CJ11" s="634">
        <v>-1804.3</v>
      </c>
      <c r="CK11" s="634">
        <v>-1832.5</v>
      </c>
      <c r="CL11" s="634">
        <v>-1743.1</v>
      </c>
      <c r="CM11" s="451">
        <v>-1758</v>
      </c>
      <c r="CN11" s="632">
        <v>-1889.7</v>
      </c>
      <c r="CO11" s="632">
        <v>-1875.5</v>
      </c>
      <c r="CP11" s="634">
        <v>-1893.5</v>
      </c>
      <c r="CQ11" s="1173">
        <f>CQ12-CQ9</f>
        <v>-2018.4</v>
      </c>
      <c r="CR11" s="407">
        <f>-CR9*(1-CR13)</f>
        <v>-2085.6632844282412</v>
      </c>
      <c r="CS11" s="407">
        <f>-CS9*(1-CS13)</f>
        <v>-2126.959312085261</v>
      </c>
      <c r="CT11" s="407">
        <f>-CT9*(1-CT13)</f>
        <v>-2057.4865063480288</v>
      </c>
      <c r="CU11" s="405">
        <f>-CU9*(1-CU13)</f>
        <v>-2183.8434126628608</v>
      </c>
      <c r="CV11" s="406"/>
      <c r="CW11" s="420"/>
      <c r="CX11" s="421">
        <f>SUM(D11:G11)</f>
        <v>-1112.7</v>
      </c>
      <c r="CY11" s="421">
        <f>SUM(H11:K11)</f>
        <v>-1276.8</v>
      </c>
      <c r="CZ11" s="421">
        <f>SUM(L11:O11)</f>
        <v>-1445.8</v>
      </c>
      <c r="DA11" s="421">
        <f>SUM(P11:S11)</f>
        <v>-1522.7</v>
      </c>
      <c r="DB11" s="421">
        <f>SUM(T11:W11)</f>
        <v>-1979.8</v>
      </c>
      <c r="DC11" s="421">
        <f>SUM(X11:AA11)</f>
        <v>-2105.3000000000002</v>
      </c>
      <c r="DD11" s="421">
        <f>SUM(AB11:AE11)</f>
        <v>-1890.8000000000002</v>
      </c>
      <c r="DE11" s="421">
        <f>SUM(AF11:AI11)</f>
        <v>-2184.4</v>
      </c>
      <c r="DF11" s="421">
        <f>SUM(AJ11:AM11)</f>
        <v>-2482.6000000000004</v>
      </c>
      <c r="DG11" s="421">
        <f>SUM(AN11:AQ11)</f>
        <v>-2874.1000000000004</v>
      </c>
      <c r="DH11" s="421">
        <f>SUM(AR11:AU11)</f>
        <v>-3439.8999999999996</v>
      </c>
      <c r="DI11" s="421">
        <f>SUM(AV11:AY11)</f>
        <v>-3728.5266666666666</v>
      </c>
      <c r="DJ11" s="421">
        <f>SUM(AZ11:BC11)</f>
        <v>-4364.7000000000007</v>
      </c>
      <c r="DK11" s="421">
        <f>SUM(BD11:BG11)</f>
        <v>-4396.62003</v>
      </c>
      <c r="DL11" s="421">
        <f>SUM(BH11:BK11)</f>
        <v>-3408.173169230769</v>
      </c>
      <c r="DM11" s="421">
        <f>SUM(BL11:BO11)</f>
        <v>-4559.5</v>
      </c>
      <c r="DN11" s="421">
        <f>SUM(BP11:BS11)</f>
        <v>-5704.3</v>
      </c>
      <c r="DO11" s="421">
        <f>SUM(BT11:BW11)</f>
        <v>-5716.2999999999993</v>
      </c>
      <c r="DP11" s="421">
        <f>SUM(BX11:CA11)</f>
        <v>-5879.0999999999995</v>
      </c>
      <c r="DQ11" s="421">
        <f>SUM(CB11:CE11)</f>
        <v>-6548.7000000000007</v>
      </c>
      <c r="DR11" s="421">
        <f>SUM(CF11:CI11)</f>
        <v>-6320.1</v>
      </c>
      <c r="DS11" s="421">
        <f>SUM(CJ11:CM11)</f>
        <v>-7137.9</v>
      </c>
      <c r="DT11" s="422">
        <f>SUM(CN11:CQ11)</f>
        <v>-7677.1</v>
      </c>
      <c r="DU11" s="422">
        <f>SUM(CR11:CU11)</f>
        <v>-8453.95251552439</v>
      </c>
      <c r="DV11" s="422">
        <f>-DV9*(1-DV13)</f>
        <v>-8960.7948339060131</v>
      </c>
      <c r="DW11" s="422">
        <f>-DW9*(1-DW13)</f>
        <v>-9424.1471326114533</v>
      </c>
      <c r="DX11" s="422">
        <f>-DX9*(1-DX13)</f>
        <v>-9853.5350948688265</v>
      </c>
      <c r="DY11" s="422">
        <f>-DY9*(1-DY13)</f>
        <v>-10174.354271054217</v>
      </c>
      <c r="DZ11" s="422">
        <f>-DZ9*(1-DZ13)</f>
        <v>-10358.674573169308</v>
      </c>
      <c r="EA11" s="423"/>
      <c r="EB11"/>
      <c r="EC11"/>
      <c r="ED11"/>
      <c r="EE11"/>
      <c r="EF11"/>
      <c r="EG11"/>
    </row>
    <row r="12" spans="1:137" s="410" customFormat="1">
      <c r="A12" s="626"/>
      <c r="B12" s="401" t="s">
        <v>83</v>
      </c>
      <c r="C12" s="900"/>
      <c r="D12" s="532">
        <f t="shared" ref="D12:AI12" si="8">D9+D11</f>
        <v>57.600000000000023</v>
      </c>
      <c r="E12" s="408">
        <f t="shared" si="8"/>
        <v>61</v>
      </c>
      <c r="F12" s="408">
        <f t="shared" si="8"/>
        <v>41.800000000000011</v>
      </c>
      <c r="G12" s="464">
        <f t="shared" si="8"/>
        <v>56</v>
      </c>
      <c r="H12" s="408">
        <f t="shared" si="8"/>
        <v>53</v>
      </c>
      <c r="I12" s="408">
        <f t="shared" si="8"/>
        <v>66.800000000000011</v>
      </c>
      <c r="J12" s="408">
        <f t="shared" si="8"/>
        <v>61.800000000000011</v>
      </c>
      <c r="K12" s="464">
        <f t="shared" si="8"/>
        <v>81.699999999999989</v>
      </c>
      <c r="L12" s="408">
        <f t="shared" si="8"/>
        <v>81</v>
      </c>
      <c r="M12" s="408">
        <f t="shared" si="8"/>
        <v>85.099999999999966</v>
      </c>
      <c r="N12" s="408">
        <f t="shared" si="8"/>
        <v>66.100000000000023</v>
      </c>
      <c r="O12" s="464">
        <f t="shared" si="8"/>
        <v>89</v>
      </c>
      <c r="P12" s="408">
        <f t="shared" si="8"/>
        <v>80</v>
      </c>
      <c r="Q12" s="408">
        <f t="shared" si="8"/>
        <v>72.600000000000023</v>
      </c>
      <c r="R12" s="408">
        <f t="shared" si="8"/>
        <v>74.800000000000011</v>
      </c>
      <c r="S12" s="464">
        <f t="shared" si="8"/>
        <v>86.699999999999989</v>
      </c>
      <c r="T12" s="408">
        <f t="shared" si="8"/>
        <v>106.39999999999998</v>
      </c>
      <c r="U12" s="408">
        <f t="shared" si="8"/>
        <v>126.29999999999995</v>
      </c>
      <c r="V12" s="408">
        <f t="shared" si="8"/>
        <v>108.50000000000006</v>
      </c>
      <c r="W12" s="464">
        <f t="shared" si="8"/>
        <v>137.59999999999991</v>
      </c>
      <c r="X12" s="408">
        <f t="shared" si="8"/>
        <v>153.70000000000005</v>
      </c>
      <c r="Y12" s="408">
        <f t="shared" si="8"/>
        <v>143.69999999999993</v>
      </c>
      <c r="Z12" s="408">
        <f t="shared" si="8"/>
        <v>120.30000000000001</v>
      </c>
      <c r="AA12" s="464">
        <f t="shared" si="8"/>
        <v>122.89999999999998</v>
      </c>
      <c r="AB12" s="408">
        <f t="shared" si="8"/>
        <v>108.69999999999993</v>
      </c>
      <c r="AC12" s="408">
        <f t="shared" si="8"/>
        <v>117.89999999999998</v>
      </c>
      <c r="AD12" s="408">
        <f t="shared" si="8"/>
        <v>108.39999999999998</v>
      </c>
      <c r="AE12" s="464">
        <f t="shared" si="8"/>
        <v>125.69999999999993</v>
      </c>
      <c r="AF12" s="408">
        <f t="shared" si="8"/>
        <v>125.69999999999999</v>
      </c>
      <c r="AG12" s="408">
        <f t="shared" si="8"/>
        <v>147.19999999999993</v>
      </c>
      <c r="AH12" s="408">
        <f t="shared" si="8"/>
        <v>127.89999999999998</v>
      </c>
      <c r="AI12" s="464">
        <f t="shared" si="8"/>
        <v>145.89999999999998</v>
      </c>
      <c r="AJ12" s="408">
        <f t="shared" ref="AJ12:BO12" si="9">AJ9+AJ11</f>
        <v>151.5</v>
      </c>
      <c r="AK12" s="408">
        <f t="shared" si="9"/>
        <v>146.70000000000005</v>
      </c>
      <c r="AL12" s="408">
        <f t="shared" si="9"/>
        <v>129.30000000000007</v>
      </c>
      <c r="AM12" s="464">
        <f t="shared" si="9"/>
        <v>159.09999999999991</v>
      </c>
      <c r="AN12" s="408">
        <f t="shared" si="9"/>
        <v>172.60000000000002</v>
      </c>
      <c r="AO12" s="408">
        <f t="shared" si="9"/>
        <v>169.80000000000007</v>
      </c>
      <c r="AP12" s="408">
        <f t="shared" si="9"/>
        <v>145.09999999999991</v>
      </c>
      <c r="AQ12" s="464">
        <f t="shared" si="9"/>
        <v>163.70000000000005</v>
      </c>
      <c r="AR12" s="408">
        <f t="shared" si="9"/>
        <v>213.70000000000005</v>
      </c>
      <c r="AS12" s="408">
        <f t="shared" si="9"/>
        <v>232.50000000000011</v>
      </c>
      <c r="AT12" s="408">
        <f t="shared" si="9"/>
        <v>208.20000000000005</v>
      </c>
      <c r="AU12" s="464">
        <f t="shared" si="9"/>
        <v>199.5</v>
      </c>
      <c r="AV12" s="408">
        <f t="shared" si="9"/>
        <v>226.40000000000009</v>
      </c>
      <c r="AW12" s="408">
        <f t="shared" si="9"/>
        <v>231.10000000000002</v>
      </c>
      <c r="AX12" s="408">
        <f t="shared" si="9"/>
        <v>183.29999999999995</v>
      </c>
      <c r="AY12" s="464">
        <f t="shared" si="9"/>
        <v>216.07333333333338</v>
      </c>
      <c r="AZ12" s="408">
        <f t="shared" si="9"/>
        <v>229.89999999999986</v>
      </c>
      <c r="BA12" s="408">
        <f t="shared" si="9"/>
        <v>247.59999999999991</v>
      </c>
      <c r="BB12" s="408">
        <f t="shared" si="9"/>
        <v>228.69999999999982</v>
      </c>
      <c r="BC12" s="464">
        <f t="shared" si="9"/>
        <v>257.70000000000005</v>
      </c>
      <c r="BD12" s="408">
        <f t="shared" si="9"/>
        <v>283.5</v>
      </c>
      <c r="BE12" s="408">
        <f t="shared" si="9"/>
        <v>280.59999999999991</v>
      </c>
      <c r="BF12" s="408">
        <f t="shared" si="9"/>
        <v>205.77997000000028</v>
      </c>
      <c r="BG12" s="464">
        <f t="shared" si="9"/>
        <v>97.399999999999977</v>
      </c>
      <c r="BH12" s="408">
        <f t="shared" si="9"/>
        <v>79.600000000000023</v>
      </c>
      <c r="BI12" s="408">
        <f t="shared" si="9"/>
        <v>109.02683076923086</v>
      </c>
      <c r="BJ12" s="408">
        <f t="shared" si="9"/>
        <v>151.79999999999995</v>
      </c>
      <c r="BK12" s="464">
        <f t="shared" si="9"/>
        <v>213.19999999999993</v>
      </c>
      <c r="BL12" s="408">
        <f t="shared" si="9"/>
        <v>238.5</v>
      </c>
      <c r="BM12" s="408">
        <f t="shared" si="9"/>
        <v>275.40000000000009</v>
      </c>
      <c r="BN12" s="408">
        <f t="shared" si="9"/>
        <v>273.30000000000018</v>
      </c>
      <c r="BO12" s="464">
        <f t="shared" si="9"/>
        <v>306.10000000000014</v>
      </c>
      <c r="BP12" s="408">
        <f t="shared" ref="BP12:CP12" si="10">BP9+BP11</f>
        <v>342.80000000000018</v>
      </c>
      <c r="BQ12" s="408">
        <f t="shared" si="10"/>
        <v>357.09999999999991</v>
      </c>
      <c r="BR12" s="408">
        <f t="shared" si="10"/>
        <v>350.79999999999995</v>
      </c>
      <c r="BS12" s="464">
        <f t="shared" si="10"/>
        <v>359.70000000000005</v>
      </c>
      <c r="BT12" s="408">
        <f t="shared" si="10"/>
        <v>395.79999999999995</v>
      </c>
      <c r="BU12" s="408">
        <f t="shared" si="10"/>
        <v>383.20000000000005</v>
      </c>
      <c r="BV12" s="408">
        <f t="shared" si="10"/>
        <v>343.70000000000005</v>
      </c>
      <c r="BW12" s="464">
        <f t="shared" si="10"/>
        <v>344.19999999999982</v>
      </c>
      <c r="BX12" s="408">
        <f t="shared" si="10"/>
        <v>374.70000000000005</v>
      </c>
      <c r="BY12" s="408">
        <f t="shared" si="10"/>
        <v>396.60000000000014</v>
      </c>
      <c r="BZ12" s="408">
        <f t="shared" si="10"/>
        <v>379.60000000000014</v>
      </c>
      <c r="CA12" s="464">
        <f t="shared" si="10"/>
        <v>406.60000000000014</v>
      </c>
      <c r="CB12" s="408">
        <f t="shared" si="10"/>
        <v>445.79999999999995</v>
      </c>
      <c r="CC12" s="408">
        <f t="shared" si="10"/>
        <v>472.79999999999995</v>
      </c>
      <c r="CD12" s="408">
        <f t="shared" si="10"/>
        <v>424.5</v>
      </c>
      <c r="CE12" s="464">
        <f t="shared" si="10"/>
        <v>413.30000000000018</v>
      </c>
      <c r="CF12" s="408">
        <f t="shared" si="10"/>
        <v>429</v>
      </c>
      <c r="CG12" s="408">
        <f t="shared" si="10"/>
        <v>429</v>
      </c>
      <c r="CH12" s="408">
        <f t="shared" si="10"/>
        <v>398.20000000000005</v>
      </c>
      <c r="CI12" s="464">
        <f t="shared" si="10"/>
        <v>446.89999999999986</v>
      </c>
      <c r="CJ12" s="408">
        <f t="shared" si="10"/>
        <v>464.29999999999995</v>
      </c>
      <c r="CK12" s="408">
        <f t="shared" si="10"/>
        <v>496.69999999999982</v>
      </c>
      <c r="CL12" s="408">
        <f t="shared" si="10"/>
        <v>471.09999999999991</v>
      </c>
      <c r="CM12" s="627">
        <f t="shared" si="10"/>
        <v>501</v>
      </c>
      <c r="CN12" s="628">
        <f t="shared" si="10"/>
        <v>517.29999999999995</v>
      </c>
      <c r="CO12" s="628">
        <f t="shared" si="10"/>
        <v>514.19999999999982</v>
      </c>
      <c r="CP12" s="408">
        <f t="shared" si="10"/>
        <v>522.69999999999982</v>
      </c>
      <c r="CQ12" s="631">
        <v>568</v>
      </c>
      <c r="CR12" s="628">
        <f>CR18-CR15-CR17</f>
        <v>581.27311147969579</v>
      </c>
      <c r="CS12" s="628">
        <f>CS18-CS15-CS17</f>
        <v>601.07832861869269</v>
      </c>
      <c r="CT12" s="628">
        <f>CT18-CT15-CT17</f>
        <v>566.55366309660508</v>
      </c>
      <c r="CU12" s="627">
        <f>CU18-CU15-CU17</f>
        <v>617.48504449627137</v>
      </c>
      <c r="CV12" s="406"/>
      <c r="CW12" s="408"/>
      <c r="CX12" s="408">
        <f t="shared" ref="CX12:DU12" si="11">CX9+CX11</f>
        <v>216.39999999999986</v>
      </c>
      <c r="CY12" s="408">
        <f t="shared" si="11"/>
        <v>263.30000000000018</v>
      </c>
      <c r="CZ12" s="408">
        <f t="shared" si="11"/>
        <v>321.20000000000005</v>
      </c>
      <c r="DA12" s="408">
        <f t="shared" si="11"/>
        <v>314.09999999999991</v>
      </c>
      <c r="DB12" s="408">
        <f t="shared" si="11"/>
        <v>478.79999999999995</v>
      </c>
      <c r="DC12" s="408">
        <f t="shared" si="11"/>
        <v>540.59999999999945</v>
      </c>
      <c r="DD12" s="408">
        <f t="shared" si="11"/>
        <v>460.69999999999982</v>
      </c>
      <c r="DE12" s="408">
        <f t="shared" si="11"/>
        <v>546.69999999999982</v>
      </c>
      <c r="DF12" s="408">
        <f t="shared" si="11"/>
        <v>586.59999999999945</v>
      </c>
      <c r="DG12" s="408">
        <f t="shared" si="11"/>
        <v>651.19999999999982</v>
      </c>
      <c r="DH12" s="408">
        <f t="shared" si="11"/>
        <v>853.90000000000055</v>
      </c>
      <c r="DI12" s="408">
        <f t="shared" si="11"/>
        <v>856.87333333333299</v>
      </c>
      <c r="DJ12" s="408">
        <f t="shared" si="11"/>
        <v>963.89999999999964</v>
      </c>
      <c r="DK12" s="408">
        <f t="shared" si="11"/>
        <v>867.27996999999959</v>
      </c>
      <c r="DL12" s="408">
        <f t="shared" si="11"/>
        <v>553.62683076923122</v>
      </c>
      <c r="DM12" s="408">
        <f t="shared" si="11"/>
        <v>1093.2999999999993</v>
      </c>
      <c r="DN12" s="408">
        <f t="shared" si="11"/>
        <v>1410.3999999999996</v>
      </c>
      <c r="DO12" s="408">
        <f t="shared" si="11"/>
        <v>1466.9000000000015</v>
      </c>
      <c r="DP12" s="408">
        <f t="shared" si="11"/>
        <v>1557.5000000000009</v>
      </c>
      <c r="DQ12" s="408">
        <f t="shared" si="11"/>
        <v>1756.3999999999996</v>
      </c>
      <c r="DR12" s="408">
        <f t="shared" si="11"/>
        <v>1703.1000000000004</v>
      </c>
      <c r="DS12" s="408">
        <f t="shared" si="11"/>
        <v>1933.1000000000004</v>
      </c>
      <c r="DT12" s="408">
        <f t="shared" si="11"/>
        <v>2122.1999999999989</v>
      </c>
      <c r="DU12" s="408">
        <f t="shared" si="11"/>
        <v>2366.390147691267</v>
      </c>
      <c r="DV12" s="408">
        <f>DV18-DV15-DV17</f>
        <v>2462.0352914943232</v>
      </c>
      <c r="DW12" s="408">
        <f>DW18-DW15-DW17</f>
        <v>2540.5237180165832</v>
      </c>
      <c r="DX12" s="408">
        <f>DX18-DX15-DX17</f>
        <v>2605.1786673087331</v>
      </c>
      <c r="DY12" s="408">
        <f>DY18-DY15-DY17</f>
        <v>2636.638602902226</v>
      </c>
      <c r="DZ12" s="408">
        <f>DZ18-DZ15-DZ17</f>
        <v>2629.2893954621618</v>
      </c>
      <c r="EA12" s="423"/>
      <c r="EB12"/>
      <c r="EC12"/>
      <c r="ED12"/>
      <c r="EE12"/>
      <c r="EF12"/>
      <c r="EG12"/>
    </row>
    <row r="13" spans="1:137" s="418" customFormat="1">
      <c r="A13" s="411"/>
      <c r="B13" s="412" t="s">
        <v>240</v>
      </c>
      <c r="C13" s="898"/>
      <c r="D13" s="413">
        <f t="shared" ref="D13:AI13" si="12">(D12/D9)</f>
        <v>0.17571690054911537</v>
      </c>
      <c r="E13" s="414">
        <f t="shared" si="12"/>
        <v>0.17134831460674158</v>
      </c>
      <c r="F13" s="414">
        <f t="shared" si="12"/>
        <v>0.14003350083752097</v>
      </c>
      <c r="G13" s="415">
        <f t="shared" si="12"/>
        <v>0.16147635524798154</v>
      </c>
      <c r="H13" s="414">
        <f t="shared" si="12"/>
        <v>0.15190599025508741</v>
      </c>
      <c r="I13" s="414">
        <f t="shared" si="12"/>
        <v>0.17496071241487693</v>
      </c>
      <c r="J13" s="414">
        <f t="shared" si="12"/>
        <v>0.15940159917461957</v>
      </c>
      <c r="K13" s="415">
        <f t="shared" si="12"/>
        <v>0.19373962532606115</v>
      </c>
      <c r="L13" s="414">
        <f t="shared" si="12"/>
        <v>0.18263810597519731</v>
      </c>
      <c r="M13" s="414">
        <f t="shared" si="12"/>
        <v>0.18923726929063814</v>
      </c>
      <c r="N13" s="414">
        <f t="shared" si="12"/>
        <v>0.162487708947886</v>
      </c>
      <c r="O13" s="415">
        <f t="shared" si="12"/>
        <v>0.19057815845824411</v>
      </c>
      <c r="P13" s="414">
        <f t="shared" si="12"/>
        <v>0.17215407789972026</v>
      </c>
      <c r="Q13" s="414">
        <f t="shared" si="12"/>
        <v>0.16086860181697324</v>
      </c>
      <c r="R13" s="414">
        <f t="shared" si="12"/>
        <v>0.17330861909175163</v>
      </c>
      <c r="S13" s="415">
        <f t="shared" si="12"/>
        <v>0.17722812755519213</v>
      </c>
      <c r="T13" s="414">
        <f t="shared" si="12"/>
        <v>0.19299836749501176</v>
      </c>
      <c r="U13" s="414">
        <f t="shared" si="12"/>
        <v>0.19709737827715351</v>
      </c>
      <c r="V13" s="414">
        <f t="shared" si="12"/>
        <v>0.18399186026793293</v>
      </c>
      <c r="W13" s="415">
        <f t="shared" si="12"/>
        <v>0.20330969267139468</v>
      </c>
      <c r="X13" s="414">
        <f t="shared" si="12"/>
        <v>0.21049027663653799</v>
      </c>
      <c r="Y13" s="414">
        <f t="shared" si="12"/>
        <v>0.20502211442431151</v>
      </c>
      <c r="Z13" s="414">
        <f t="shared" si="12"/>
        <v>0.19450282942603073</v>
      </c>
      <c r="AA13" s="415">
        <f t="shared" si="12"/>
        <v>0.20610430991111856</v>
      </c>
      <c r="AB13" s="414">
        <f t="shared" si="12"/>
        <v>0.17913645352669733</v>
      </c>
      <c r="AC13" s="414">
        <f t="shared" si="12"/>
        <v>0.19584717607973418</v>
      </c>
      <c r="AD13" s="414">
        <f t="shared" si="12"/>
        <v>0.1936060010716199</v>
      </c>
      <c r="AE13" s="415">
        <f t="shared" si="12"/>
        <v>0.21568291008922433</v>
      </c>
      <c r="AF13" s="414">
        <f t="shared" si="12"/>
        <v>0.19829626123994321</v>
      </c>
      <c r="AG13" s="414">
        <f t="shared" si="12"/>
        <v>0.20662549129702407</v>
      </c>
      <c r="AH13" s="414">
        <f t="shared" si="12"/>
        <v>0.18698830409356723</v>
      </c>
      <c r="AI13" s="415">
        <f t="shared" si="12"/>
        <v>0.20819063926940637</v>
      </c>
      <c r="AJ13" s="414">
        <f t="shared" ref="AJ13:BO13" si="13">(AJ12/AJ9)</f>
        <v>0.19530746422586051</v>
      </c>
      <c r="AK13" s="414">
        <f t="shared" si="13"/>
        <v>0.19064327485380123</v>
      </c>
      <c r="AL13" s="414">
        <f t="shared" si="13"/>
        <v>0.17829564258135694</v>
      </c>
      <c r="AM13" s="415">
        <f t="shared" si="13"/>
        <v>0.19917376064096134</v>
      </c>
      <c r="AN13" s="414">
        <f t="shared" si="13"/>
        <v>0.19111947735577459</v>
      </c>
      <c r="AO13" s="414">
        <f t="shared" si="13"/>
        <v>0.1901030004478281</v>
      </c>
      <c r="AP13" s="414">
        <f t="shared" si="13"/>
        <v>0.17277923315075008</v>
      </c>
      <c r="AQ13" s="415">
        <f t="shared" si="13"/>
        <v>0.18409806567701309</v>
      </c>
      <c r="AR13" s="414">
        <f t="shared" si="13"/>
        <v>0.1972311952007384</v>
      </c>
      <c r="AS13" s="414">
        <f t="shared" si="13"/>
        <v>0.20919560914162327</v>
      </c>
      <c r="AT13" s="414">
        <f t="shared" si="13"/>
        <v>0.19811590065658011</v>
      </c>
      <c r="AU13" s="415">
        <f t="shared" si="13"/>
        <v>0.19036259541984732</v>
      </c>
      <c r="AV13" s="414">
        <f t="shared" si="13"/>
        <v>0.19598337950138511</v>
      </c>
      <c r="AW13" s="414">
        <f t="shared" si="13"/>
        <v>0.1977410798322923</v>
      </c>
      <c r="AX13" s="414">
        <f t="shared" si="13"/>
        <v>0.17295716172862802</v>
      </c>
      <c r="AY13" s="415">
        <f t="shared" si="13"/>
        <v>0.17980638539846333</v>
      </c>
      <c r="AZ13" s="414">
        <f t="shared" si="13"/>
        <v>0.17991861011112839</v>
      </c>
      <c r="BA13" s="414">
        <f t="shared" si="13"/>
        <v>0.18148501062816091</v>
      </c>
      <c r="BB13" s="414">
        <f t="shared" si="13"/>
        <v>0.17410170523751509</v>
      </c>
      <c r="BC13" s="415">
        <f t="shared" si="13"/>
        <v>0.18770485832908443</v>
      </c>
      <c r="BD13" s="414">
        <f t="shared" si="13"/>
        <v>0.18913870171459068</v>
      </c>
      <c r="BE13" s="414">
        <f t="shared" si="13"/>
        <v>0.18501912171963597</v>
      </c>
      <c r="BF13" s="414">
        <f t="shared" si="13"/>
        <v>0.15626089300630289</v>
      </c>
      <c r="BG13" s="415">
        <f t="shared" si="13"/>
        <v>0.10456253354804076</v>
      </c>
      <c r="BH13" s="414">
        <f t="shared" si="13"/>
        <v>9.7132397803538773E-2</v>
      </c>
      <c r="BI13" s="414">
        <f t="shared" si="13"/>
        <v>0.11899894211878503</v>
      </c>
      <c r="BJ13" s="414">
        <f t="shared" si="13"/>
        <v>0.14769410391126675</v>
      </c>
      <c r="BK13" s="415">
        <f t="shared" si="13"/>
        <v>0.17791871818409408</v>
      </c>
      <c r="BL13" s="414">
        <f t="shared" si="13"/>
        <v>0.18534348772147966</v>
      </c>
      <c r="BM13" s="414">
        <f t="shared" si="13"/>
        <v>0.19371175353450101</v>
      </c>
      <c r="BN13" s="414">
        <f t="shared" si="13"/>
        <v>0.19370614501382108</v>
      </c>
      <c r="BO13" s="415">
        <f t="shared" si="13"/>
        <v>0.19962175557584461</v>
      </c>
      <c r="BP13" s="414">
        <f t="shared" ref="BP13:CU13" si="14">(BP12/BP9)</f>
        <v>0.1981044845122516</v>
      </c>
      <c r="BQ13" s="414">
        <f t="shared" si="14"/>
        <v>0.19633824499670108</v>
      </c>
      <c r="BR13" s="414">
        <f t="shared" si="14"/>
        <v>0.19578077910481079</v>
      </c>
      <c r="BS13" s="415">
        <f t="shared" si="14"/>
        <v>0.20279641427524386</v>
      </c>
      <c r="BT13" s="414">
        <f t="shared" si="14"/>
        <v>0.20695424836601306</v>
      </c>
      <c r="BU13" s="414">
        <f t="shared" si="14"/>
        <v>0.20642102995044173</v>
      </c>
      <c r="BV13" s="414">
        <f t="shared" si="14"/>
        <v>0.20274893817838605</v>
      </c>
      <c r="BW13" s="415">
        <f t="shared" si="14"/>
        <v>0.20022104589610834</v>
      </c>
      <c r="BX13" s="414">
        <f t="shared" si="14"/>
        <v>0.20242018259413322</v>
      </c>
      <c r="BY13" s="414">
        <f t="shared" si="14"/>
        <v>0.20940915571043883</v>
      </c>
      <c r="BZ13" s="414">
        <f t="shared" si="14"/>
        <v>0.21016498726608357</v>
      </c>
      <c r="CA13" s="415">
        <f t="shared" si="14"/>
        <v>0.21565715498037558</v>
      </c>
      <c r="CB13" s="414">
        <f t="shared" si="14"/>
        <v>0.21390528285590901</v>
      </c>
      <c r="CC13" s="414">
        <f t="shared" si="14"/>
        <v>0.21520254893035956</v>
      </c>
      <c r="CD13" s="414">
        <f t="shared" si="14"/>
        <v>0.2088971999409478</v>
      </c>
      <c r="CE13" s="415">
        <f t="shared" si="14"/>
        <v>0.20749033586023402</v>
      </c>
      <c r="CF13" s="414">
        <f t="shared" si="14"/>
        <v>0.21620804354399759</v>
      </c>
      <c r="CG13" s="414">
        <f t="shared" si="14"/>
        <v>0.21113243761996162</v>
      </c>
      <c r="CH13" s="414">
        <f t="shared" si="14"/>
        <v>0.21135881104033974</v>
      </c>
      <c r="CI13" s="415">
        <f t="shared" si="14"/>
        <v>0.2104940888323677</v>
      </c>
      <c r="CJ13" s="414">
        <f t="shared" si="14"/>
        <v>0.20466366922330953</v>
      </c>
      <c r="CK13" s="414">
        <f t="shared" si="14"/>
        <v>0.21324918426927694</v>
      </c>
      <c r="CL13" s="414">
        <f t="shared" si="14"/>
        <v>0.21276307469966577</v>
      </c>
      <c r="CM13" s="415">
        <f t="shared" si="14"/>
        <v>0.22177954847277556</v>
      </c>
      <c r="CN13" s="414">
        <f t="shared" si="14"/>
        <v>0.2149148317407561</v>
      </c>
      <c r="CO13" s="414">
        <f t="shared" si="14"/>
        <v>0.21517345273465283</v>
      </c>
      <c r="CP13" s="414">
        <f t="shared" si="14"/>
        <v>0.21633142951742398</v>
      </c>
      <c r="CQ13" s="415">
        <f t="shared" ref="CQ13" si="15">(CQ12/CQ9)</f>
        <v>0.21961026909990719</v>
      </c>
      <c r="CR13" s="414">
        <f t="shared" si="14"/>
        <v>0.21795537095357165</v>
      </c>
      <c r="CS13" s="414">
        <f t="shared" si="14"/>
        <v>0.2203335905818323</v>
      </c>
      <c r="CT13" s="414">
        <f t="shared" si="14"/>
        <v>0.21590891393118941</v>
      </c>
      <c r="CU13" s="415">
        <f t="shared" si="14"/>
        <v>0.22042579224089701</v>
      </c>
      <c r="CV13" s="416"/>
      <c r="CW13" s="414"/>
      <c r="CX13" s="414">
        <f t="shared" ref="CX13:DZ13" si="16">(CX12/CX9)</f>
        <v>0.16281694379655398</v>
      </c>
      <c r="CY13" s="414">
        <f t="shared" si="16"/>
        <v>0.17096292448542313</v>
      </c>
      <c r="CZ13" s="414">
        <f t="shared" si="16"/>
        <v>0.18177702320316924</v>
      </c>
      <c r="DA13" s="414">
        <f t="shared" si="16"/>
        <v>0.17100391986062713</v>
      </c>
      <c r="DB13" s="414">
        <f t="shared" si="16"/>
        <v>0.19474497681607417</v>
      </c>
      <c r="DC13" s="414">
        <f t="shared" si="16"/>
        <v>0.20431611172001948</v>
      </c>
      <c r="DD13" s="414">
        <f t="shared" si="16"/>
        <v>0.19591749946842432</v>
      </c>
      <c r="DE13" s="414">
        <f t="shared" si="16"/>
        <v>0.20017575335945217</v>
      </c>
      <c r="DF13" s="414">
        <f t="shared" si="16"/>
        <v>0.19112472305486755</v>
      </c>
      <c r="DG13" s="414">
        <f t="shared" si="16"/>
        <v>0.18472186764247009</v>
      </c>
      <c r="DH13" s="414">
        <f t="shared" si="16"/>
        <v>0.19886813545111567</v>
      </c>
      <c r="DI13" s="414">
        <f t="shared" si="16"/>
        <v>0.18686992047222337</v>
      </c>
      <c r="DJ13" s="414">
        <f t="shared" si="16"/>
        <v>0.18089179146492504</v>
      </c>
      <c r="DK13" s="414">
        <f t="shared" si="16"/>
        <v>0.16475996314519648</v>
      </c>
      <c r="DL13" s="414">
        <f t="shared" si="16"/>
        <v>0.13974123650089132</v>
      </c>
      <c r="DM13" s="414">
        <f t="shared" si="16"/>
        <v>0.19340857628078109</v>
      </c>
      <c r="DN13" s="414">
        <f t="shared" si="16"/>
        <v>0.19823745203592558</v>
      </c>
      <c r="DO13" s="414">
        <f t="shared" si="16"/>
        <v>0.20421260719456527</v>
      </c>
      <c r="DP13" s="414">
        <f t="shared" si="16"/>
        <v>0.20943710835596924</v>
      </c>
      <c r="DQ13" s="414">
        <f t="shared" si="16"/>
        <v>0.21148450951824777</v>
      </c>
      <c r="DR13" s="414">
        <f t="shared" si="16"/>
        <v>0.21227191145677538</v>
      </c>
      <c r="DS13" s="414">
        <f t="shared" si="16"/>
        <v>0.21310770587586819</v>
      </c>
      <c r="DT13" s="414">
        <f t="shared" si="16"/>
        <v>0.2165664894431234</v>
      </c>
      <c r="DU13" s="414">
        <f t="shared" si="16"/>
        <v>0.21869826320158409</v>
      </c>
      <c r="DV13" s="414">
        <f t="shared" si="16"/>
        <v>0.21553636572250401</v>
      </c>
      <c r="DW13" s="414">
        <f t="shared" si="16"/>
        <v>0.21233544572462926</v>
      </c>
      <c r="DX13" s="414">
        <f t="shared" si="16"/>
        <v>0.20910494590682324</v>
      </c>
      <c r="DY13" s="414">
        <f t="shared" si="16"/>
        <v>0.20581063691497845</v>
      </c>
      <c r="DZ13" s="414">
        <f t="shared" si="16"/>
        <v>0.20244045962957871</v>
      </c>
      <c r="EA13" s="427"/>
      <c r="EB13"/>
      <c r="EC13"/>
      <c r="ED13"/>
      <c r="EE13"/>
      <c r="EF13"/>
      <c r="EG13"/>
    </row>
    <row r="14" spans="1:137">
      <c r="A14" s="374"/>
      <c r="B14" s="428"/>
      <c r="C14" s="901"/>
      <c r="D14" s="429"/>
      <c r="E14" s="428"/>
      <c r="F14" s="428"/>
      <c r="G14" s="430"/>
      <c r="H14" s="428"/>
      <c r="I14" s="428"/>
      <c r="J14" s="428"/>
      <c r="K14" s="430"/>
      <c r="L14" s="428"/>
      <c r="M14" s="428"/>
      <c r="N14" s="428"/>
      <c r="O14" s="430"/>
      <c r="P14" s="428"/>
      <c r="Q14" s="428"/>
      <c r="R14" s="428"/>
      <c r="S14" s="430"/>
      <c r="T14" s="428"/>
      <c r="U14" s="428"/>
      <c r="V14" s="428"/>
      <c r="W14" s="430"/>
      <c r="X14" s="428"/>
      <c r="Y14" s="428"/>
      <c r="Z14" s="428"/>
      <c r="AA14" s="430"/>
      <c r="AB14" s="428"/>
      <c r="AC14" s="428"/>
      <c r="AD14" s="428"/>
      <c r="AE14" s="430"/>
      <c r="AF14" s="428"/>
      <c r="AG14" s="428"/>
      <c r="AH14" s="428"/>
      <c r="AI14" s="430"/>
      <c r="AJ14" s="428"/>
      <c r="AK14" s="428"/>
      <c r="AL14" s="428"/>
      <c r="AM14" s="430"/>
      <c r="AN14" s="428"/>
      <c r="AO14" s="428"/>
      <c r="AP14" s="428"/>
      <c r="AQ14" s="430"/>
      <c r="AR14" s="428"/>
      <c r="AS14" s="428"/>
      <c r="AT14" s="428"/>
      <c r="AU14" s="430"/>
      <c r="AV14" s="428"/>
      <c r="AW14" s="428"/>
      <c r="AX14" s="428"/>
      <c r="AY14" s="430"/>
      <c r="AZ14" s="428"/>
      <c r="BA14" s="428"/>
      <c r="BB14" s="428"/>
      <c r="BC14" s="430"/>
      <c r="BD14" s="428"/>
      <c r="BE14" s="428"/>
      <c r="BF14" s="428"/>
      <c r="BG14" s="430"/>
      <c r="BH14" s="428"/>
      <c r="BI14" s="428"/>
      <c r="BJ14" s="428"/>
      <c r="BK14" s="430"/>
      <c r="BL14" s="428"/>
      <c r="BM14" s="428"/>
      <c r="BN14" s="428"/>
      <c r="BO14" s="430"/>
      <c r="BP14" s="428"/>
      <c r="BQ14" s="428"/>
      <c r="BR14" s="428"/>
      <c r="BS14" s="430"/>
      <c r="BT14" s="428"/>
      <c r="BU14" s="428"/>
      <c r="BV14" s="428"/>
      <c r="BW14" s="430"/>
      <c r="BX14" s="428"/>
      <c r="BY14" s="428"/>
      <c r="BZ14" s="428"/>
      <c r="CA14" s="430"/>
      <c r="CB14" s="428"/>
      <c r="CC14" s="428"/>
      <c r="CD14" s="428"/>
      <c r="CE14" s="430"/>
      <c r="CF14" s="428"/>
      <c r="CG14" s="428"/>
      <c r="CH14" s="428"/>
      <c r="CI14" s="430"/>
      <c r="CJ14" s="428"/>
      <c r="CK14" s="428"/>
      <c r="CL14" s="428"/>
      <c r="CM14" s="430"/>
      <c r="CN14" s="428"/>
      <c r="CO14" s="428"/>
      <c r="CP14" s="428"/>
      <c r="CQ14" s="430"/>
      <c r="CR14" s="428"/>
      <c r="CS14" s="428"/>
      <c r="CT14" s="428"/>
      <c r="CU14" s="430"/>
      <c r="CV14" s="376"/>
      <c r="CW14" s="428"/>
      <c r="CX14" s="428"/>
      <c r="CY14" s="428"/>
      <c r="CZ14" s="428"/>
      <c r="DA14" s="428"/>
      <c r="DB14" s="428"/>
      <c r="DC14" s="428"/>
      <c r="DD14" s="428"/>
      <c r="DE14" s="428"/>
      <c r="DF14" s="428"/>
      <c r="DG14" s="428"/>
      <c r="DH14" s="428"/>
      <c r="DI14" s="428"/>
      <c r="DJ14" s="428"/>
      <c r="DK14" s="428"/>
      <c r="DL14" s="428"/>
      <c r="DM14" s="428"/>
      <c r="DN14" s="428"/>
      <c r="DO14" s="428"/>
      <c r="DP14" s="428"/>
      <c r="DQ14" s="428"/>
      <c r="DR14" s="428"/>
      <c r="DS14" s="428"/>
      <c r="DT14" s="425"/>
      <c r="DU14" s="428"/>
      <c r="DV14" s="428"/>
      <c r="DW14" s="428"/>
      <c r="DX14" s="428"/>
      <c r="DY14" s="428"/>
      <c r="DZ14" s="428"/>
      <c r="EA14" s="431"/>
    </row>
    <row r="15" spans="1:137" s="410" customFormat="1">
      <c r="A15" s="400"/>
      <c r="B15" s="401" t="s">
        <v>113</v>
      </c>
      <c r="C15" s="658"/>
      <c r="D15" s="636">
        <v>-26.4</v>
      </c>
      <c r="E15" s="564">
        <v>-26.3</v>
      </c>
      <c r="F15" s="564">
        <v>-22.2</v>
      </c>
      <c r="G15" s="572">
        <v>-23</v>
      </c>
      <c r="H15" s="564">
        <v>-30.8</v>
      </c>
      <c r="I15" s="564">
        <v>-29.2</v>
      </c>
      <c r="J15" s="564">
        <v>-29.8</v>
      </c>
      <c r="K15" s="572">
        <v>-35.6</v>
      </c>
      <c r="L15" s="564">
        <v>-36</v>
      </c>
      <c r="M15" s="564">
        <v>-34</v>
      </c>
      <c r="N15" s="564">
        <v>-25.5</v>
      </c>
      <c r="O15" s="572">
        <v>-36.5</v>
      </c>
      <c r="P15" s="564">
        <v>-37.5</v>
      </c>
      <c r="Q15" s="564">
        <v>-34.5</v>
      </c>
      <c r="R15" s="564">
        <v>-36.6</v>
      </c>
      <c r="S15" s="572">
        <v>-29.3</v>
      </c>
      <c r="T15" s="564">
        <v>-42.4</v>
      </c>
      <c r="U15" s="564">
        <v>-53.5</v>
      </c>
      <c r="V15" s="564">
        <v>-51</v>
      </c>
      <c r="W15" s="572">
        <v>-56.4</v>
      </c>
      <c r="X15" s="564">
        <v>-63.5</v>
      </c>
      <c r="Y15" s="564">
        <v>-57.8</v>
      </c>
      <c r="Z15" s="564">
        <v>-57.5</v>
      </c>
      <c r="AA15" s="572">
        <v>-65.3</v>
      </c>
      <c r="AB15" s="564">
        <v>-55.6</v>
      </c>
      <c r="AC15" s="564">
        <v>-59.3</v>
      </c>
      <c r="AD15" s="564">
        <v>-59.2</v>
      </c>
      <c r="AE15" s="572">
        <v>-75.599999999999994</v>
      </c>
      <c r="AF15" s="564">
        <v>-70.5</v>
      </c>
      <c r="AG15" s="564">
        <v>-72.7</v>
      </c>
      <c r="AH15" s="564">
        <v>-73.2</v>
      </c>
      <c r="AI15" s="572">
        <v>-79.2</v>
      </c>
      <c r="AJ15" s="564">
        <v>-83.6</v>
      </c>
      <c r="AK15" s="564">
        <v>-77</v>
      </c>
      <c r="AL15" s="564">
        <v>-72.7</v>
      </c>
      <c r="AM15" s="572">
        <v>-83.1</v>
      </c>
      <c r="AN15" s="564">
        <v>-95</v>
      </c>
      <c r="AO15" s="564">
        <v>-87.8</v>
      </c>
      <c r="AP15" s="564">
        <v>-77.400000000000006</v>
      </c>
      <c r="AQ15" s="572">
        <v>-78.86</v>
      </c>
      <c r="AR15" s="564">
        <v>-126.8</v>
      </c>
      <c r="AS15" s="564">
        <v>-131.6</v>
      </c>
      <c r="AT15" s="564">
        <v>-120</v>
      </c>
      <c r="AU15" s="572">
        <v>-103.17599999999999</v>
      </c>
      <c r="AV15" s="564">
        <v>-132.6</v>
      </c>
      <c r="AW15" s="564">
        <v>-124.3</v>
      </c>
      <c r="AX15" s="564">
        <v>-116.8</v>
      </c>
      <c r="AY15" s="572">
        <v>-127.5</v>
      </c>
      <c r="AZ15" s="564">
        <v>-126.7</v>
      </c>
      <c r="BA15" s="564">
        <v>-135.19999999999999</v>
      </c>
      <c r="BB15" s="564">
        <v>-134.1</v>
      </c>
      <c r="BC15" s="572">
        <v>-135.9</v>
      </c>
      <c r="BD15" s="564">
        <v>-155.69999999999999</v>
      </c>
      <c r="BE15" s="564">
        <v>-156.6</v>
      </c>
      <c r="BF15" s="564">
        <v>-134.80000000000001</v>
      </c>
      <c r="BG15" s="572">
        <v>-92.5</v>
      </c>
      <c r="BH15" s="564">
        <v>-74.099999999999994</v>
      </c>
      <c r="BI15" s="564">
        <v>-115.4</v>
      </c>
      <c r="BJ15" s="564">
        <v>-125.9</v>
      </c>
      <c r="BK15" s="572">
        <v>-144.4</v>
      </c>
      <c r="BL15" s="564">
        <v>-130.30000000000001</v>
      </c>
      <c r="BM15" s="564">
        <v>-137.80000000000001</v>
      </c>
      <c r="BN15" s="564">
        <v>-150.19999999999999</v>
      </c>
      <c r="BO15" s="572">
        <v>-148.30000000000001</v>
      </c>
      <c r="BP15" s="564">
        <v>-165.1</v>
      </c>
      <c r="BQ15" s="564">
        <v>-157.69999999999999</v>
      </c>
      <c r="BR15" s="564">
        <v>-151.4</v>
      </c>
      <c r="BS15" s="572">
        <v>-146.80000000000001</v>
      </c>
      <c r="BT15" s="564">
        <v>-169</v>
      </c>
      <c r="BU15" s="564">
        <v>-153.1</v>
      </c>
      <c r="BV15" s="564">
        <v>-151</v>
      </c>
      <c r="BW15" s="572">
        <v>-156.19999999999999</v>
      </c>
      <c r="BX15" s="564">
        <v>-159.30000000000001</v>
      </c>
      <c r="BY15" s="564">
        <v>-155.6</v>
      </c>
      <c r="BZ15" s="564">
        <v>-157.69999999999999</v>
      </c>
      <c r="CA15" s="572">
        <v>-167.1</v>
      </c>
      <c r="CB15" s="564">
        <v>-173.8</v>
      </c>
      <c r="CC15" s="564">
        <v>-181.2</v>
      </c>
      <c r="CD15" s="564">
        <f>-174.5</f>
        <v>-174.5</v>
      </c>
      <c r="CE15" s="572">
        <v>-169.4</v>
      </c>
      <c r="CF15" s="564">
        <v>-168.2</v>
      </c>
      <c r="CG15" s="564">
        <v>-167.4</v>
      </c>
      <c r="CH15" s="564">
        <f>-148</f>
        <v>-148</v>
      </c>
      <c r="CI15" s="572">
        <v>-178.4</v>
      </c>
      <c r="CJ15" s="564">
        <v>-188.4</v>
      </c>
      <c r="CK15" s="564">
        <f>-202.3</f>
        <v>-202.3</v>
      </c>
      <c r="CL15" s="564">
        <f>-209.7</f>
        <v>-209.7</v>
      </c>
      <c r="CM15" s="442">
        <v>-217.1</v>
      </c>
      <c r="CN15" s="637">
        <v>-218.8</v>
      </c>
      <c r="CO15" s="637">
        <v>-215</v>
      </c>
      <c r="CP15" s="564">
        <v>-224.8</v>
      </c>
      <c r="CQ15" s="572">
        <v>-239.9</v>
      </c>
      <c r="CR15" s="436">
        <f>-CR9*CR16</f>
        <v>-247.3701056983893</v>
      </c>
      <c r="CS15" s="436">
        <f>-CS9*CS16</f>
        <v>-253.03751546739815</v>
      </c>
      <c r="CT15" s="436">
        <f>-CT9*CT16</f>
        <v>-243.39129162146907</v>
      </c>
      <c r="CU15" s="435">
        <f>-CU9*CU16</f>
        <v>-259.83556173541439</v>
      </c>
      <c r="CV15" s="406"/>
      <c r="CW15" s="403"/>
      <c r="CX15" s="436">
        <f>SUM(D15:G15)</f>
        <v>-97.9</v>
      </c>
      <c r="CY15" s="436">
        <f>SUM(H15:K15)</f>
        <v>-125.4</v>
      </c>
      <c r="CZ15" s="436">
        <f>SUM(L15:O15)</f>
        <v>-132</v>
      </c>
      <c r="DA15" s="436">
        <f>SUM(P15:S15)</f>
        <v>-137.9</v>
      </c>
      <c r="DB15" s="436">
        <f>SUM(T15:W15)</f>
        <v>-203.3</v>
      </c>
      <c r="DC15" s="436">
        <f>SUM(X15:AA15)</f>
        <v>-244.10000000000002</v>
      </c>
      <c r="DD15" s="436">
        <f>SUM(AB15:AE15)</f>
        <v>-249.70000000000002</v>
      </c>
      <c r="DE15" s="436">
        <f>SUM(AF15:AI15)</f>
        <v>-295.59999999999997</v>
      </c>
      <c r="DF15" s="436">
        <f>SUM(AJ15:AM15)</f>
        <v>-316.39999999999998</v>
      </c>
      <c r="DG15" s="436">
        <f>SUM(AN15:AQ15)</f>
        <v>-339.06000000000006</v>
      </c>
      <c r="DH15" s="436">
        <f>SUM(AR15:AU15)</f>
        <v>-481.57599999999996</v>
      </c>
      <c r="DI15" s="436">
        <f>SUM(AV15:AY15)</f>
        <v>-501.2</v>
      </c>
      <c r="DJ15" s="436">
        <f>SUM(AZ15:BC15)</f>
        <v>-531.9</v>
      </c>
      <c r="DK15" s="436">
        <f>SUM(BD15:BG15)</f>
        <v>-539.59999999999991</v>
      </c>
      <c r="DL15" s="436">
        <f>SUM(BH15:BK15)</f>
        <v>-459.79999999999995</v>
      </c>
      <c r="DM15" s="436">
        <f>SUM(BL15:BO15)</f>
        <v>-566.6</v>
      </c>
      <c r="DN15" s="436">
        <f>SUM(BP15:BS15)</f>
        <v>-621</v>
      </c>
      <c r="DO15" s="436">
        <f>SUM(BT15:BW15)</f>
        <v>-629.29999999999995</v>
      </c>
      <c r="DP15" s="436">
        <f>SUM(BX15:CA15)</f>
        <v>-639.69999999999993</v>
      </c>
      <c r="DQ15" s="436">
        <f>SUM(CB15:CE15)</f>
        <v>-698.9</v>
      </c>
      <c r="DR15" s="436">
        <f>SUM(CF15:CI15)</f>
        <v>-662</v>
      </c>
      <c r="DS15" s="436">
        <f>SUM(CJ15:CM15)</f>
        <v>-817.50000000000011</v>
      </c>
      <c r="DT15" s="437">
        <f>SUM(CN15:CQ15)</f>
        <v>-898.5</v>
      </c>
      <c r="DU15" s="437">
        <f>SUM(CR15:CU15)</f>
        <v>-1003.6344745226709</v>
      </c>
      <c r="DV15" s="437">
        <f>-DV9*DV16</f>
        <v>-1059.5178422067509</v>
      </c>
      <c r="DW15" s="437">
        <f>-DW9*DW16</f>
        <v>-1109.7759577272138</v>
      </c>
      <c r="DX15" s="437">
        <f>-DX9*DX16</f>
        <v>-1155.6006153519938</v>
      </c>
      <c r="DY15" s="437">
        <f>-DY9*DY16</f>
        <v>-1188.2760556998728</v>
      </c>
      <c r="DZ15" s="437">
        <f>-DZ9*DZ16</f>
        <v>-1204.6909047613244</v>
      </c>
      <c r="EA15" s="409"/>
      <c r="EB15"/>
      <c r="EC15"/>
      <c r="ED15"/>
      <c r="EE15"/>
      <c r="EF15"/>
      <c r="EG15"/>
    </row>
    <row r="16" spans="1:137" s="418" customFormat="1">
      <c r="A16" s="411"/>
      <c r="B16" s="412" t="s">
        <v>238</v>
      </c>
      <c r="C16" s="898"/>
      <c r="D16" s="413">
        <f t="shared" ref="D16:AI16" si="17">-D15/D9</f>
        <v>8.0536912751677847E-2</v>
      </c>
      <c r="E16" s="414">
        <f t="shared" si="17"/>
        <v>7.3876404494382028E-2</v>
      </c>
      <c r="F16" s="414">
        <f t="shared" si="17"/>
        <v>7.4371859296482407E-2</v>
      </c>
      <c r="G16" s="415">
        <f t="shared" si="17"/>
        <v>6.6320645905420986E-2</v>
      </c>
      <c r="H16" s="414">
        <f t="shared" si="17"/>
        <v>8.8277443393522503E-2</v>
      </c>
      <c r="I16" s="414">
        <f t="shared" si="17"/>
        <v>7.6479832372970138E-2</v>
      </c>
      <c r="J16" s="414">
        <f t="shared" si="17"/>
        <v>7.6863554294557657E-2</v>
      </c>
      <c r="K16" s="415">
        <f t="shared" si="17"/>
        <v>8.4420203936447724E-2</v>
      </c>
      <c r="L16" s="414">
        <f t="shared" si="17"/>
        <v>8.1172491544532127E-2</v>
      </c>
      <c r="M16" s="414">
        <f t="shared" si="17"/>
        <v>7.5605959528574601E-2</v>
      </c>
      <c r="N16" s="414">
        <f t="shared" si="17"/>
        <v>6.268436578171091E-2</v>
      </c>
      <c r="O16" s="415">
        <f t="shared" si="17"/>
        <v>7.8158458244111342E-2</v>
      </c>
      <c r="P16" s="414">
        <f t="shared" si="17"/>
        <v>8.0697224015493868E-2</v>
      </c>
      <c r="Q16" s="414">
        <f t="shared" si="17"/>
        <v>7.6445823177487257E-2</v>
      </c>
      <c r="R16" s="414">
        <f t="shared" si="17"/>
        <v>8.4800741427247445E-2</v>
      </c>
      <c r="S16" s="415">
        <f t="shared" si="17"/>
        <v>5.9893704006541294E-2</v>
      </c>
      <c r="T16" s="414">
        <f t="shared" si="17"/>
        <v>7.6909123888989669E-2</v>
      </c>
      <c r="U16" s="414">
        <f t="shared" si="17"/>
        <v>8.3489388264669173E-2</v>
      </c>
      <c r="V16" s="414">
        <f t="shared" si="17"/>
        <v>8.648465321349838E-2</v>
      </c>
      <c r="W16" s="415">
        <f t="shared" si="17"/>
        <v>8.3333333333333343E-2</v>
      </c>
      <c r="X16" s="414">
        <f t="shared" si="17"/>
        <v>8.6962476033963287E-2</v>
      </c>
      <c r="Y16" s="414">
        <f t="shared" si="17"/>
        <v>8.2465401626480236E-2</v>
      </c>
      <c r="Z16" s="414">
        <f t="shared" si="17"/>
        <v>9.296685529506872E-2</v>
      </c>
      <c r="AA16" s="415">
        <f t="shared" si="17"/>
        <v>0.10950863659231931</v>
      </c>
      <c r="AB16" s="414">
        <f t="shared" si="17"/>
        <v>9.1628213579433099E-2</v>
      </c>
      <c r="AC16" s="414">
        <f t="shared" si="17"/>
        <v>9.8504983388704309E-2</v>
      </c>
      <c r="AD16" s="414">
        <f t="shared" si="17"/>
        <v>0.10573316663689945</v>
      </c>
      <c r="AE16" s="415">
        <f t="shared" si="17"/>
        <v>0.12971859986273165</v>
      </c>
      <c r="AF16" s="414">
        <f t="shared" si="17"/>
        <v>0.11121628017037388</v>
      </c>
      <c r="AG16" s="414">
        <f t="shared" si="17"/>
        <v>0.10204941044357103</v>
      </c>
      <c r="AH16" s="414">
        <f t="shared" si="17"/>
        <v>0.10701754385964912</v>
      </c>
      <c r="AI16" s="415">
        <f t="shared" si="17"/>
        <v>0.11301369863013699</v>
      </c>
      <c r="AJ16" s="414">
        <f t="shared" ref="AJ16:BO16" si="18">-AJ15/AJ9</f>
        <v>0.10777362382364315</v>
      </c>
      <c r="AK16" s="414">
        <f t="shared" si="18"/>
        <v>0.10006497725795971</v>
      </c>
      <c r="AL16" s="414">
        <f t="shared" si="18"/>
        <v>0.10024820739106453</v>
      </c>
      <c r="AM16" s="415">
        <f t="shared" si="18"/>
        <v>0.10403104656985478</v>
      </c>
      <c r="AN16" s="414">
        <f t="shared" si="18"/>
        <v>0.10519322334182261</v>
      </c>
      <c r="AO16" s="414">
        <f t="shared" si="18"/>
        <v>9.8298253470667257E-2</v>
      </c>
      <c r="AP16" s="414">
        <f t="shared" si="18"/>
        <v>9.2164801143129332E-2</v>
      </c>
      <c r="AQ16" s="415">
        <f t="shared" si="18"/>
        <v>8.8686459739091311E-2</v>
      </c>
      <c r="AR16" s="414">
        <f t="shared" si="18"/>
        <v>0.11702814951545916</v>
      </c>
      <c r="AS16" s="414">
        <f t="shared" si="18"/>
        <v>0.11840921360446283</v>
      </c>
      <c r="AT16" s="414">
        <f t="shared" si="18"/>
        <v>0.11418783899514701</v>
      </c>
      <c r="AU16" s="415">
        <f t="shared" si="18"/>
        <v>9.8450381679389298E-2</v>
      </c>
      <c r="AV16" s="414">
        <f t="shared" si="18"/>
        <v>0.11478531855955677</v>
      </c>
      <c r="AW16" s="414">
        <f t="shared" si="18"/>
        <v>0.10635749122957132</v>
      </c>
      <c r="AX16" s="414">
        <f t="shared" si="18"/>
        <v>0.11020947348556331</v>
      </c>
      <c r="AY16" s="415">
        <f t="shared" si="18"/>
        <v>0.10609969210285429</v>
      </c>
      <c r="AZ16" s="414">
        <f t="shared" si="18"/>
        <v>9.9154797307872911E-2</v>
      </c>
      <c r="BA16" s="414">
        <f t="shared" si="18"/>
        <v>9.909843875980355E-2</v>
      </c>
      <c r="BB16" s="414">
        <f t="shared" si="18"/>
        <v>0.10208587088915956</v>
      </c>
      <c r="BC16" s="415">
        <f t="shared" si="18"/>
        <v>9.898754461359166E-2</v>
      </c>
      <c r="BD16" s="414">
        <f t="shared" si="18"/>
        <v>0.10387617586229901</v>
      </c>
      <c r="BE16" s="414">
        <f t="shared" si="18"/>
        <v>0.10325728603455098</v>
      </c>
      <c r="BF16" s="414">
        <f t="shared" si="18"/>
        <v>0.10236160680385754</v>
      </c>
      <c r="BG16" s="415">
        <f t="shared" si="18"/>
        <v>9.9302200751476111E-2</v>
      </c>
      <c r="BH16" s="414">
        <f t="shared" si="18"/>
        <v>9.0420988407565586E-2</v>
      </c>
      <c r="BI16" s="414">
        <f t="shared" si="18"/>
        <v>0.12595503165247762</v>
      </c>
      <c r="BJ16" s="414">
        <f t="shared" si="18"/>
        <v>0.12249464876435105</v>
      </c>
      <c r="BK16" s="415">
        <f t="shared" si="18"/>
        <v>0.12050404740048402</v>
      </c>
      <c r="BL16" s="414">
        <f t="shared" si="18"/>
        <v>0.10125893689773081</v>
      </c>
      <c r="BM16" s="414">
        <f t="shared" si="18"/>
        <v>9.6926215094605056E-2</v>
      </c>
      <c r="BN16" s="414">
        <f t="shared" si="18"/>
        <v>0.10645687150046068</v>
      </c>
      <c r="BO16" s="415">
        <f t="shared" si="18"/>
        <v>9.6713186383200728E-2</v>
      </c>
      <c r="BP16" s="414">
        <f t="shared" ref="BP16:CP16" si="19">-BP15/BP9</f>
        <v>9.541146555709662E-2</v>
      </c>
      <c r="BQ16" s="414">
        <f t="shared" si="19"/>
        <v>8.6705520123158117E-2</v>
      </c>
      <c r="BR16" s="414">
        <f t="shared" si="19"/>
        <v>8.4496037504185745E-2</v>
      </c>
      <c r="BS16" s="415">
        <f t="shared" si="19"/>
        <v>8.2764841856007215E-2</v>
      </c>
      <c r="BT16" s="414">
        <f t="shared" si="19"/>
        <v>8.8366013071895427E-2</v>
      </c>
      <c r="BU16" s="414">
        <f t="shared" si="19"/>
        <v>8.247145011850894E-2</v>
      </c>
      <c r="BV16" s="414">
        <f t="shared" si="19"/>
        <v>8.90750353940538E-2</v>
      </c>
      <c r="BW16" s="415">
        <f t="shared" si="19"/>
        <v>9.0861497295096266E-2</v>
      </c>
      <c r="BX16" s="414">
        <f t="shared" si="19"/>
        <v>8.6056939117281614E-2</v>
      </c>
      <c r="BY16" s="414">
        <f t="shared" si="19"/>
        <v>8.2158508896985047E-2</v>
      </c>
      <c r="BZ16" s="414">
        <f t="shared" si="19"/>
        <v>8.7310375373712765E-2</v>
      </c>
      <c r="CA16" s="415">
        <f t="shared" si="19"/>
        <v>8.8628407764930514E-2</v>
      </c>
      <c r="CB16" s="414">
        <f t="shared" si="19"/>
        <v>8.3393311261455799E-2</v>
      </c>
      <c r="CC16" s="414">
        <f t="shared" si="19"/>
        <v>8.2476103777878923E-2</v>
      </c>
      <c r="CD16" s="414">
        <f t="shared" si="19"/>
        <v>8.5871758279612229E-2</v>
      </c>
      <c r="CE16" s="415">
        <f t="shared" si="19"/>
        <v>8.5044429941262115E-2</v>
      </c>
      <c r="CF16" s="414">
        <f t="shared" si="19"/>
        <v>8.4769680475758488E-2</v>
      </c>
      <c r="CG16" s="414">
        <f t="shared" si="19"/>
        <v>8.2385944190166843E-2</v>
      </c>
      <c r="CH16" s="414">
        <f t="shared" si="19"/>
        <v>7.8556263269639062E-2</v>
      </c>
      <c r="CI16" s="415">
        <f t="shared" si="19"/>
        <v>8.4028072158635961E-2</v>
      </c>
      <c r="CJ16" s="414">
        <f t="shared" si="19"/>
        <v>8.3046813012430581E-2</v>
      </c>
      <c r="CK16" s="414">
        <f t="shared" si="19"/>
        <v>8.6853855400996063E-2</v>
      </c>
      <c r="CL16" s="414">
        <f t="shared" si="19"/>
        <v>9.4706891879685673E-2</v>
      </c>
      <c r="CM16" s="415">
        <f t="shared" si="19"/>
        <v>9.6104471004869407E-2</v>
      </c>
      <c r="CN16" s="414">
        <f t="shared" si="19"/>
        <v>9.0901537183215628E-2</v>
      </c>
      <c r="CO16" s="414">
        <f t="shared" si="19"/>
        <v>8.9969452232497804E-2</v>
      </c>
      <c r="CP16" s="414">
        <f t="shared" si="19"/>
        <v>9.3038655740418849E-2</v>
      </c>
      <c r="CQ16" s="415">
        <f t="shared" ref="CQ16" si="20">-CQ15/CQ9</f>
        <v>9.2754407670893907E-2</v>
      </c>
      <c r="CR16" s="642">
        <f>CQ16</f>
        <v>9.2754407670893907E-2</v>
      </c>
      <c r="CS16" s="642">
        <f t="shared" ref="CR16:CU17" si="21">CR16</f>
        <v>9.2754407670893907E-2</v>
      </c>
      <c r="CT16" s="642">
        <f t="shared" si="21"/>
        <v>9.2754407670893907E-2</v>
      </c>
      <c r="CU16" s="643">
        <f t="shared" si="21"/>
        <v>9.2754407670893907E-2</v>
      </c>
      <c r="CV16" s="416"/>
      <c r="CW16" s="414"/>
      <c r="CX16" s="414">
        <f t="shared" ref="CX16:DU16" si="22">-CX15/CX9</f>
        <v>7.3658866902415174E-2</v>
      </c>
      <c r="CY16" s="414">
        <f t="shared" si="22"/>
        <v>8.1423284202324517E-2</v>
      </c>
      <c r="CZ16" s="414">
        <f t="shared" si="22"/>
        <v>7.4702886247877756E-2</v>
      </c>
      <c r="DA16" s="414">
        <f t="shared" si="22"/>
        <v>7.5076219512195133E-2</v>
      </c>
      <c r="DB16" s="414">
        <f t="shared" si="22"/>
        <v>8.2689335394126748E-2</v>
      </c>
      <c r="DC16" s="414">
        <f t="shared" si="22"/>
        <v>9.2255943157337789E-2</v>
      </c>
      <c r="DD16" s="414">
        <f t="shared" si="22"/>
        <v>0.10618753986816926</v>
      </c>
      <c r="DE16" s="414">
        <f t="shared" si="22"/>
        <v>0.10823477719600161</v>
      </c>
      <c r="DF16" s="414">
        <f t="shared" si="22"/>
        <v>0.10308875276945133</v>
      </c>
      <c r="DG16" s="414">
        <f t="shared" si="22"/>
        <v>9.6179048591609237E-2</v>
      </c>
      <c r="DH16" s="414">
        <f t="shared" si="22"/>
        <v>0.11215613209744281</v>
      </c>
      <c r="DI16" s="414">
        <f t="shared" si="22"/>
        <v>0.10930344135735159</v>
      </c>
      <c r="DJ16" s="414">
        <f t="shared" si="22"/>
        <v>9.9819840108095928E-2</v>
      </c>
      <c r="DK16" s="414">
        <f t="shared" si="22"/>
        <v>0.10250954615399227</v>
      </c>
      <c r="DL16" s="414">
        <f t="shared" si="22"/>
        <v>0.11605835731233276</v>
      </c>
      <c r="DM16" s="414">
        <f t="shared" si="22"/>
        <v>0.1002335125955279</v>
      </c>
      <c r="DN16" s="414">
        <f t="shared" si="22"/>
        <v>8.7284073818994473E-2</v>
      </c>
      <c r="DO16" s="414">
        <f t="shared" si="22"/>
        <v>8.7607194565096316E-2</v>
      </c>
      <c r="DP16" s="414">
        <f t="shared" si="22"/>
        <v>8.6020493236156292E-2</v>
      </c>
      <c r="DQ16" s="414">
        <f t="shared" si="22"/>
        <v>8.4153110739184356E-2</v>
      </c>
      <c r="DR16" s="414">
        <f t="shared" si="22"/>
        <v>8.2510718915146067E-2</v>
      </c>
      <c r="DS16" s="414">
        <f t="shared" si="22"/>
        <v>9.0122367985889115E-2</v>
      </c>
      <c r="DT16" s="414">
        <f t="shared" si="22"/>
        <v>9.1690222771014268E-2</v>
      </c>
      <c r="DU16" s="414">
        <f t="shared" si="22"/>
        <v>9.2754407670893907E-2</v>
      </c>
      <c r="DV16" s="642">
        <f t="shared" ref="DV16:DZ17" si="23">DU16</f>
        <v>9.2754407670893907E-2</v>
      </c>
      <c r="DW16" s="642">
        <f t="shared" si="23"/>
        <v>9.2754407670893907E-2</v>
      </c>
      <c r="DX16" s="642">
        <f t="shared" si="23"/>
        <v>9.2754407670893907E-2</v>
      </c>
      <c r="DY16" s="642">
        <f t="shared" si="23"/>
        <v>9.2754407670893907E-2</v>
      </c>
      <c r="DZ16" s="642">
        <f t="shared" si="23"/>
        <v>9.2754407670893907E-2</v>
      </c>
      <c r="EA16" s="438"/>
      <c r="EB16"/>
      <c r="EC16"/>
      <c r="ED16"/>
      <c r="EE16"/>
      <c r="EF16"/>
      <c r="EG16"/>
    </row>
    <row r="17" spans="1:137" s="410" customFormat="1">
      <c r="A17" s="400"/>
      <c r="B17" s="419" t="s">
        <v>82</v>
      </c>
      <c r="C17" s="899"/>
      <c r="D17" s="638"/>
      <c r="E17" s="639"/>
      <c r="F17" s="639"/>
      <c r="G17" s="640"/>
      <c r="H17" s="639"/>
      <c r="I17" s="639"/>
      <c r="J17" s="639"/>
      <c r="K17" s="640"/>
      <c r="L17" s="639"/>
      <c r="M17" s="639"/>
      <c r="N17" s="639"/>
      <c r="O17" s="640"/>
      <c r="P17" s="639"/>
      <c r="Q17" s="639"/>
      <c r="R17" s="639"/>
      <c r="S17" s="640"/>
      <c r="T17" s="639"/>
      <c r="U17" s="639"/>
      <c r="V17" s="639"/>
      <c r="W17" s="640"/>
      <c r="X17" s="639"/>
      <c r="Y17" s="639"/>
      <c r="Z17" s="639"/>
      <c r="AA17" s="640"/>
      <c r="AB17" s="639"/>
      <c r="AC17" s="639"/>
      <c r="AD17" s="639">
        <v>0.6</v>
      </c>
      <c r="AE17" s="640">
        <v>1.5</v>
      </c>
      <c r="AF17" s="639"/>
      <c r="AG17" s="639"/>
      <c r="AH17" s="639">
        <v>0.2</v>
      </c>
      <c r="AI17" s="640">
        <v>0.3</v>
      </c>
      <c r="AJ17" s="639"/>
      <c r="AK17" s="639">
        <v>-0.1</v>
      </c>
      <c r="AL17" s="639">
        <v>-0.1</v>
      </c>
      <c r="AM17" s="640"/>
      <c r="AN17" s="639"/>
      <c r="AO17" s="639">
        <v>-0.6</v>
      </c>
      <c r="AP17" s="639">
        <v>0.5</v>
      </c>
      <c r="AQ17" s="640">
        <v>-2.94</v>
      </c>
      <c r="AR17" s="639">
        <v>-2.2000000000000002</v>
      </c>
      <c r="AS17" s="639">
        <v>3.4</v>
      </c>
      <c r="AT17" s="639">
        <v>2.2999999999999998</v>
      </c>
      <c r="AU17" s="640">
        <v>0.9</v>
      </c>
      <c r="AV17" s="639">
        <v>0.5</v>
      </c>
      <c r="AW17" s="639">
        <v>0.7</v>
      </c>
      <c r="AX17" s="639">
        <v>0.69999999999999929</v>
      </c>
      <c r="AY17" s="640">
        <v>0.7</v>
      </c>
      <c r="AZ17" s="639">
        <v>0.7</v>
      </c>
      <c r="BA17" s="639">
        <v>1.2</v>
      </c>
      <c r="BB17" s="639">
        <v>3.7</v>
      </c>
      <c r="BC17" s="640">
        <v>3.6</v>
      </c>
      <c r="BD17" s="639">
        <v>-1.1000000000000001</v>
      </c>
      <c r="BE17" s="639">
        <v>2.1</v>
      </c>
      <c r="BF17" s="639">
        <v>2.6</v>
      </c>
      <c r="BG17" s="640">
        <v>-0.5</v>
      </c>
      <c r="BH17" s="639"/>
      <c r="BI17" s="639"/>
      <c r="BJ17" s="639">
        <v>1.6</v>
      </c>
      <c r="BK17" s="640">
        <v>-1.5</v>
      </c>
      <c r="BL17" s="639">
        <v>-1</v>
      </c>
      <c r="BM17" s="639">
        <v>-0.30000000000000071</v>
      </c>
      <c r="BN17" s="639">
        <v>-0.1</v>
      </c>
      <c r="BO17" s="640">
        <v>-0.4</v>
      </c>
      <c r="BP17" s="639">
        <v>1.6</v>
      </c>
      <c r="BQ17" s="639">
        <v>-0.20000000000000284</v>
      </c>
      <c r="BR17" s="639">
        <v>-0.6</v>
      </c>
      <c r="BS17" s="640">
        <v>-0.30000000000000071</v>
      </c>
      <c r="BT17" s="639">
        <v>-1.1000000000000001</v>
      </c>
      <c r="BU17" s="639">
        <v>1.3</v>
      </c>
      <c r="BV17" s="639">
        <v>-29.7</v>
      </c>
      <c r="BW17" s="640">
        <f>-17.3+0.05*BW40</f>
        <v>-5.52</v>
      </c>
      <c r="BX17" s="639">
        <f>-16.9+(0.03+0.02)*BX40</f>
        <v>-5.2399999999999984</v>
      </c>
      <c r="BY17" s="639">
        <v>2.4</v>
      </c>
      <c r="BZ17" s="639">
        <v>3.7</v>
      </c>
      <c r="CA17" s="640">
        <f>-51.8+(0.15+0.05-0.01)*CA40</f>
        <v>-8.1949999999999932</v>
      </c>
      <c r="CB17" s="639">
        <f>-38.8+0.13*CB40</f>
        <v>-8.9909999999999961</v>
      </c>
      <c r="CC17" s="639">
        <f>-11+0.06*CC40</f>
        <v>2.7801999999999989</v>
      </c>
      <c r="CD17" s="639">
        <f>-12.3+13+3</f>
        <v>3.6999999999999993</v>
      </c>
      <c r="CE17" s="640">
        <f>-31.7+23.2+0.4+10.3</f>
        <v>2.2000000000000011</v>
      </c>
      <c r="CF17" s="639">
        <f>-1.2+12.1-10.8</f>
        <v>9.9999999999999645E-2</v>
      </c>
      <c r="CG17" s="639">
        <f>-19.1+19.9</f>
        <v>0.79999999999999716</v>
      </c>
      <c r="CH17" s="639">
        <f>-13.1+9.3+3.9</f>
        <v>0.10000000000000098</v>
      </c>
      <c r="CI17" s="640">
        <f>-68+24.4+25.7+17.9</f>
        <v>0</v>
      </c>
      <c r="CJ17" s="639">
        <f>-11.7+6.4+5.8</f>
        <v>0.50000000000000089</v>
      </c>
      <c r="CK17" s="639">
        <f>-25+17.8+7.2-7.5</f>
        <v>-7.4999999999999991</v>
      </c>
      <c r="CL17" s="639">
        <f>-111.1+106.5+1.3+1.3+5.9</f>
        <v>3.9000000000000057</v>
      </c>
      <c r="CM17" s="442">
        <f>-741.9+20.6+12.6+703.6+4.8</f>
        <v>-0.29999999999990923</v>
      </c>
      <c r="CN17" s="641">
        <v>-5.8</v>
      </c>
      <c r="CO17" s="641">
        <f>0.3</f>
        <v>0.3</v>
      </c>
      <c r="CP17" s="639">
        <f>-22+16+6.4</f>
        <v>0.40000000000000036</v>
      </c>
      <c r="CQ17" s="1174">
        <f>CQ18-CQ12-CQ15</f>
        <v>9.9999999999994316E-2</v>
      </c>
      <c r="CR17" s="637">
        <f t="shared" si="21"/>
        <v>9.9999999999994316E-2</v>
      </c>
      <c r="CS17" s="637">
        <f t="shared" si="21"/>
        <v>9.9999999999994316E-2</v>
      </c>
      <c r="CT17" s="637">
        <f t="shared" si="21"/>
        <v>9.9999999999994316E-2</v>
      </c>
      <c r="CU17" s="442">
        <f t="shared" si="21"/>
        <v>9.9999999999994316E-2</v>
      </c>
      <c r="CV17" s="406"/>
      <c r="CW17" s="420"/>
      <c r="CX17" s="421">
        <f>SUM(D17:G17)</f>
        <v>0</v>
      </c>
      <c r="CY17" s="421">
        <f>SUM(H17:K17)</f>
        <v>0</v>
      </c>
      <c r="CZ17" s="421">
        <f>SUM(L17:O17)</f>
        <v>0</v>
      </c>
      <c r="DA17" s="421">
        <f>SUM(P17:S17)</f>
        <v>0</v>
      </c>
      <c r="DB17" s="421">
        <f>SUM(T17:W17)</f>
        <v>0</v>
      </c>
      <c r="DC17" s="421">
        <f>SUM(X17:AA17)</f>
        <v>0</v>
      </c>
      <c r="DD17" s="421">
        <f>SUM(AB17:AE17)</f>
        <v>2.1</v>
      </c>
      <c r="DE17" s="421">
        <f>SUM(AF17:AI17)</f>
        <v>0.5</v>
      </c>
      <c r="DF17" s="421">
        <f>SUM(AJ17:AM17)</f>
        <v>-0.2</v>
      </c>
      <c r="DG17" s="421">
        <f>SUM(AN17:AQ17)</f>
        <v>-3.04</v>
      </c>
      <c r="DH17" s="421">
        <f>SUM(AR17:AU17)</f>
        <v>4.3999999999999995</v>
      </c>
      <c r="DI17" s="421">
        <f>SUM(AV17:AY17)</f>
        <v>2.5999999999999992</v>
      </c>
      <c r="DJ17" s="421">
        <f>SUM(AZ17:BC17)</f>
        <v>9.1999999999999993</v>
      </c>
      <c r="DK17" s="421">
        <f>SUM(BD17:BG17)</f>
        <v>3.1</v>
      </c>
      <c r="DL17" s="421">
        <f>SUM(BH17:BK17)</f>
        <v>0.10000000000000009</v>
      </c>
      <c r="DM17" s="421">
        <f>SUM(BL17:BO17)</f>
        <v>-1.8000000000000007</v>
      </c>
      <c r="DN17" s="421">
        <f>SUM(BP17:BS17)</f>
        <v>0.49999999999999656</v>
      </c>
      <c r="DO17" s="443">
        <f>SUM(BT17:BW17)</f>
        <v>-35.019999999999996</v>
      </c>
      <c r="DP17" s="443">
        <f>SUM(BX17:CA17)</f>
        <v>-7.334999999999992</v>
      </c>
      <c r="DQ17" s="443">
        <f>SUM(CB17:CE17)</f>
        <v>-0.31079999999999686</v>
      </c>
      <c r="DR17" s="443">
        <f>SUM(CF17:CI17)</f>
        <v>0.99999999999999778</v>
      </c>
      <c r="DS17" s="443">
        <f>SUM(CJ17:CM17)</f>
        <v>-3.3999999999999018</v>
      </c>
      <c r="DT17" s="444">
        <f>SUM(CN17:CQ17)</f>
        <v>-5.0000000000000053</v>
      </c>
      <c r="DU17" s="444">
        <f>SUM(CR17:CU17)</f>
        <v>0.39999999999997726</v>
      </c>
      <c r="DV17" s="639">
        <f t="shared" si="23"/>
        <v>0.39999999999997726</v>
      </c>
      <c r="DW17" s="639">
        <f t="shared" si="23"/>
        <v>0.39999999999997726</v>
      </c>
      <c r="DX17" s="639">
        <f t="shared" si="23"/>
        <v>0.39999999999997726</v>
      </c>
      <c r="DY17" s="639">
        <f t="shared" si="23"/>
        <v>0.39999999999997726</v>
      </c>
      <c r="DZ17" s="639">
        <f t="shared" si="23"/>
        <v>0.39999999999997726</v>
      </c>
      <c r="EA17" s="423"/>
      <c r="EB17"/>
      <c r="EC17"/>
      <c r="ED17"/>
      <c r="EE17"/>
      <c r="EF17"/>
      <c r="EG17"/>
    </row>
    <row r="18" spans="1:137" s="410" customFormat="1">
      <c r="A18" s="626"/>
      <c r="B18" s="401" t="s">
        <v>248</v>
      </c>
      <c r="C18" s="900"/>
      <c r="D18" s="532">
        <f t="shared" ref="D18:AI18" si="24">D12+D15+D17</f>
        <v>31.200000000000024</v>
      </c>
      <c r="E18" s="408">
        <f t="shared" si="24"/>
        <v>34.700000000000003</v>
      </c>
      <c r="F18" s="408">
        <f t="shared" si="24"/>
        <v>19.600000000000012</v>
      </c>
      <c r="G18" s="464">
        <f t="shared" si="24"/>
        <v>33</v>
      </c>
      <c r="H18" s="408">
        <f t="shared" si="24"/>
        <v>22.2</v>
      </c>
      <c r="I18" s="408">
        <f t="shared" si="24"/>
        <v>37.600000000000009</v>
      </c>
      <c r="J18" s="408">
        <f t="shared" si="24"/>
        <v>32.000000000000014</v>
      </c>
      <c r="K18" s="464">
        <f t="shared" si="24"/>
        <v>46.099999999999987</v>
      </c>
      <c r="L18" s="408">
        <f t="shared" si="24"/>
        <v>45</v>
      </c>
      <c r="M18" s="408">
        <f t="shared" si="24"/>
        <v>51.099999999999966</v>
      </c>
      <c r="N18" s="408">
        <f t="shared" si="24"/>
        <v>40.600000000000023</v>
      </c>
      <c r="O18" s="464">
        <f t="shared" si="24"/>
        <v>52.5</v>
      </c>
      <c r="P18" s="408">
        <f t="shared" si="24"/>
        <v>42.5</v>
      </c>
      <c r="Q18" s="408">
        <f t="shared" si="24"/>
        <v>38.100000000000023</v>
      </c>
      <c r="R18" s="408">
        <f t="shared" si="24"/>
        <v>38.20000000000001</v>
      </c>
      <c r="S18" s="464">
        <f t="shared" si="24"/>
        <v>57.399999999999991</v>
      </c>
      <c r="T18" s="408">
        <f t="shared" si="24"/>
        <v>63.999999999999979</v>
      </c>
      <c r="U18" s="408">
        <f t="shared" si="24"/>
        <v>72.799999999999955</v>
      </c>
      <c r="V18" s="408">
        <f t="shared" si="24"/>
        <v>57.500000000000057</v>
      </c>
      <c r="W18" s="464">
        <f t="shared" si="24"/>
        <v>81.199999999999903</v>
      </c>
      <c r="X18" s="408">
        <f t="shared" si="24"/>
        <v>90.200000000000045</v>
      </c>
      <c r="Y18" s="408">
        <f t="shared" si="24"/>
        <v>85.899999999999935</v>
      </c>
      <c r="Z18" s="408">
        <f t="shared" si="24"/>
        <v>62.800000000000011</v>
      </c>
      <c r="AA18" s="464">
        <f t="shared" si="24"/>
        <v>57.59999999999998</v>
      </c>
      <c r="AB18" s="408">
        <f t="shared" si="24"/>
        <v>53.09999999999993</v>
      </c>
      <c r="AC18" s="408">
        <f t="shared" si="24"/>
        <v>58.59999999999998</v>
      </c>
      <c r="AD18" s="408">
        <f t="shared" si="24"/>
        <v>49.799999999999976</v>
      </c>
      <c r="AE18" s="464">
        <f t="shared" si="24"/>
        <v>51.599999999999937</v>
      </c>
      <c r="AF18" s="408">
        <f t="shared" si="24"/>
        <v>55.199999999999989</v>
      </c>
      <c r="AG18" s="408">
        <f t="shared" si="24"/>
        <v>74.499999999999929</v>
      </c>
      <c r="AH18" s="408">
        <f t="shared" si="24"/>
        <v>54.899999999999977</v>
      </c>
      <c r="AI18" s="464">
        <f t="shared" si="24"/>
        <v>66.999999999999972</v>
      </c>
      <c r="AJ18" s="408">
        <f t="shared" ref="AJ18:BO18" si="25">AJ12+AJ15+AJ17</f>
        <v>67.900000000000006</v>
      </c>
      <c r="AK18" s="408">
        <f t="shared" si="25"/>
        <v>69.600000000000051</v>
      </c>
      <c r="AL18" s="408">
        <f t="shared" si="25"/>
        <v>56.500000000000064</v>
      </c>
      <c r="AM18" s="464">
        <f t="shared" si="25"/>
        <v>75.999999999999915</v>
      </c>
      <c r="AN18" s="408">
        <f t="shared" si="25"/>
        <v>77.600000000000023</v>
      </c>
      <c r="AO18" s="408">
        <f t="shared" si="25"/>
        <v>81.400000000000077</v>
      </c>
      <c r="AP18" s="408">
        <f t="shared" si="25"/>
        <v>68.199999999999903</v>
      </c>
      <c r="AQ18" s="464">
        <f t="shared" si="25"/>
        <v>81.900000000000048</v>
      </c>
      <c r="AR18" s="408">
        <f t="shared" si="25"/>
        <v>84.700000000000045</v>
      </c>
      <c r="AS18" s="408">
        <f t="shared" si="25"/>
        <v>104.30000000000013</v>
      </c>
      <c r="AT18" s="408">
        <f t="shared" si="25"/>
        <v>90.500000000000043</v>
      </c>
      <c r="AU18" s="464">
        <f t="shared" si="25"/>
        <v>97.224000000000018</v>
      </c>
      <c r="AV18" s="408">
        <f t="shared" si="25"/>
        <v>94.300000000000097</v>
      </c>
      <c r="AW18" s="408">
        <f t="shared" si="25"/>
        <v>107.50000000000003</v>
      </c>
      <c r="AX18" s="408">
        <f t="shared" si="25"/>
        <v>67.19999999999996</v>
      </c>
      <c r="AY18" s="464">
        <f t="shared" si="25"/>
        <v>89.273333333333383</v>
      </c>
      <c r="AZ18" s="408">
        <f t="shared" si="25"/>
        <v>103.89999999999986</v>
      </c>
      <c r="BA18" s="408">
        <f t="shared" si="25"/>
        <v>113.59999999999992</v>
      </c>
      <c r="BB18" s="408">
        <f t="shared" si="25"/>
        <v>98.299999999999827</v>
      </c>
      <c r="BC18" s="464">
        <f t="shared" si="25"/>
        <v>125.40000000000003</v>
      </c>
      <c r="BD18" s="408">
        <f t="shared" si="25"/>
        <v>126.70000000000002</v>
      </c>
      <c r="BE18" s="408">
        <f t="shared" si="25"/>
        <v>126.09999999999991</v>
      </c>
      <c r="BF18" s="408">
        <f t="shared" si="25"/>
        <v>73.579970000000259</v>
      </c>
      <c r="BG18" s="464">
        <f t="shared" si="25"/>
        <v>4.3999999999999773</v>
      </c>
      <c r="BH18" s="408">
        <f t="shared" si="25"/>
        <v>5.5000000000000284</v>
      </c>
      <c r="BI18" s="408">
        <f t="shared" si="25"/>
        <v>-6.3731692307691503</v>
      </c>
      <c r="BJ18" s="408">
        <f t="shared" si="25"/>
        <v>27.49999999999995</v>
      </c>
      <c r="BK18" s="464">
        <f t="shared" si="25"/>
        <v>67.299999999999926</v>
      </c>
      <c r="BL18" s="408">
        <f t="shared" si="25"/>
        <v>107.19999999999999</v>
      </c>
      <c r="BM18" s="408">
        <f t="shared" si="25"/>
        <v>137.30000000000007</v>
      </c>
      <c r="BN18" s="408">
        <f t="shared" si="25"/>
        <v>123.0000000000002</v>
      </c>
      <c r="BO18" s="464">
        <f t="shared" si="25"/>
        <v>157.40000000000012</v>
      </c>
      <c r="BP18" s="408">
        <f t="shared" ref="BP18:CO18" si="26">BP12+BP15+BP17</f>
        <v>179.30000000000018</v>
      </c>
      <c r="BQ18" s="408">
        <f t="shared" si="26"/>
        <v>199.19999999999993</v>
      </c>
      <c r="BR18" s="408">
        <f t="shared" si="26"/>
        <v>198.79999999999995</v>
      </c>
      <c r="BS18" s="464">
        <f t="shared" si="26"/>
        <v>212.60000000000002</v>
      </c>
      <c r="BT18" s="408">
        <f t="shared" si="26"/>
        <v>225.69999999999996</v>
      </c>
      <c r="BU18" s="408">
        <f t="shared" si="26"/>
        <v>231.40000000000006</v>
      </c>
      <c r="BV18" s="408">
        <f t="shared" si="26"/>
        <v>163.00000000000006</v>
      </c>
      <c r="BW18" s="464">
        <f t="shared" si="26"/>
        <v>182.47999999999982</v>
      </c>
      <c r="BX18" s="408">
        <f t="shared" si="26"/>
        <v>210.16000000000003</v>
      </c>
      <c r="BY18" s="408">
        <f t="shared" si="26"/>
        <v>243.40000000000015</v>
      </c>
      <c r="BZ18" s="408">
        <f t="shared" si="26"/>
        <v>225.60000000000014</v>
      </c>
      <c r="CA18" s="464">
        <f t="shared" si="26"/>
        <v>231.30500000000015</v>
      </c>
      <c r="CB18" s="408">
        <f t="shared" si="26"/>
        <v>263.00899999999996</v>
      </c>
      <c r="CC18" s="408">
        <f t="shared" si="26"/>
        <v>294.38019999999995</v>
      </c>
      <c r="CD18" s="408">
        <f t="shared" si="26"/>
        <v>253.7</v>
      </c>
      <c r="CE18" s="464">
        <f t="shared" si="26"/>
        <v>246.10000000000016</v>
      </c>
      <c r="CF18" s="408">
        <f t="shared" si="26"/>
        <v>260.90000000000003</v>
      </c>
      <c r="CG18" s="408">
        <f t="shared" si="26"/>
        <v>262.40000000000003</v>
      </c>
      <c r="CH18" s="408">
        <f t="shared" si="26"/>
        <v>250.30000000000004</v>
      </c>
      <c r="CI18" s="464">
        <f t="shared" si="26"/>
        <v>268.49999999999989</v>
      </c>
      <c r="CJ18" s="408">
        <f t="shared" si="26"/>
        <v>276.39999999999998</v>
      </c>
      <c r="CK18" s="408">
        <f t="shared" si="26"/>
        <v>286.89999999999981</v>
      </c>
      <c r="CL18" s="408">
        <f t="shared" si="26"/>
        <v>265.29999999999995</v>
      </c>
      <c r="CM18" s="627">
        <f t="shared" si="26"/>
        <v>283.60000000000008</v>
      </c>
      <c r="CN18" s="408">
        <f t="shared" si="26"/>
        <v>292.69999999999993</v>
      </c>
      <c r="CO18" s="408">
        <f t="shared" si="26"/>
        <v>299.49999999999983</v>
      </c>
      <c r="CP18" s="408">
        <f>CP12+CP15+CP17</f>
        <v>298.29999999999978</v>
      </c>
      <c r="CQ18" s="631">
        <v>328.2</v>
      </c>
      <c r="CR18" s="1048">
        <f>Segments!CR103-CR22</f>
        <v>334.00300578130657</v>
      </c>
      <c r="CS18" s="1048">
        <f>Segments!CS103-CS22</f>
        <v>348.14081315129454</v>
      </c>
      <c r="CT18" s="1048">
        <f>Segments!CT103-CT22</f>
        <v>323.26237147513604</v>
      </c>
      <c r="CU18" s="1047">
        <f>Segments!CU103-CU22</f>
        <v>357.74948276085706</v>
      </c>
      <c r="CV18" s="406"/>
      <c r="CW18" s="408"/>
      <c r="CX18" s="408">
        <f t="shared" ref="CX18:DU18" si="27">CX12+CX15+CX17</f>
        <v>118.49999999999986</v>
      </c>
      <c r="CY18" s="408">
        <f t="shared" si="27"/>
        <v>137.90000000000018</v>
      </c>
      <c r="CZ18" s="408">
        <f t="shared" si="27"/>
        <v>189.20000000000005</v>
      </c>
      <c r="DA18" s="408">
        <f t="shared" si="27"/>
        <v>176.1999999999999</v>
      </c>
      <c r="DB18" s="408">
        <f t="shared" si="27"/>
        <v>275.49999999999994</v>
      </c>
      <c r="DC18" s="408">
        <f t="shared" si="27"/>
        <v>296.49999999999943</v>
      </c>
      <c r="DD18" s="408">
        <f t="shared" si="27"/>
        <v>213.0999999999998</v>
      </c>
      <c r="DE18" s="408">
        <f t="shared" si="27"/>
        <v>251.59999999999985</v>
      </c>
      <c r="DF18" s="408">
        <f t="shared" si="27"/>
        <v>269.99999999999949</v>
      </c>
      <c r="DG18" s="408">
        <f t="shared" si="27"/>
        <v>309.09999999999974</v>
      </c>
      <c r="DH18" s="408">
        <f t="shared" si="27"/>
        <v>376.72400000000056</v>
      </c>
      <c r="DI18" s="408">
        <f t="shared" si="27"/>
        <v>358.27333333333303</v>
      </c>
      <c r="DJ18" s="408">
        <f t="shared" si="27"/>
        <v>441.19999999999965</v>
      </c>
      <c r="DK18" s="408">
        <f t="shared" si="27"/>
        <v>330.77996999999971</v>
      </c>
      <c r="DL18" s="408">
        <f t="shared" si="27"/>
        <v>93.926830769231259</v>
      </c>
      <c r="DM18" s="408">
        <f t="shared" si="27"/>
        <v>524.8999999999993</v>
      </c>
      <c r="DN18" s="408">
        <f t="shared" si="27"/>
        <v>789.89999999999964</v>
      </c>
      <c r="DO18" s="408">
        <f t="shared" si="27"/>
        <v>802.58000000000152</v>
      </c>
      <c r="DP18" s="408">
        <f t="shared" si="27"/>
        <v>910.46500000000094</v>
      </c>
      <c r="DQ18" s="408">
        <f t="shared" si="27"/>
        <v>1057.1891999999996</v>
      </c>
      <c r="DR18" s="408">
        <f t="shared" si="27"/>
        <v>1042.1000000000004</v>
      </c>
      <c r="DS18" s="408">
        <f t="shared" si="27"/>
        <v>1112.2000000000005</v>
      </c>
      <c r="DT18" s="408">
        <f>DT12+DT15+DT17</f>
        <v>1218.6999999999989</v>
      </c>
      <c r="DU18" s="408">
        <f t="shared" si="27"/>
        <v>1363.155673168596</v>
      </c>
      <c r="DV18" s="1049">
        <f>Segments!DV103-DV22</f>
        <v>1402.9174492875725</v>
      </c>
      <c r="DW18" s="1049">
        <f>Segments!DW103-DW22</f>
        <v>1431.1477602893694</v>
      </c>
      <c r="DX18" s="1049">
        <f>Segments!DX103-DX22</f>
        <v>1449.9780519567391</v>
      </c>
      <c r="DY18" s="1049">
        <f>Segments!DY103-DY22</f>
        <v>1448.7625472023533</v>
      </c>
      <c r="DZ18" s="1049">
        <f>Segments!DZ103-DZ22</f>
        <v>1424.9984907008377</v>
      </c>
      <c r="EA18" s="423"/>
      <c r="EB18"/>
      <c r="EC18"/>
      <c r="ED18"/>
      <c r="EE18"/>
      <c r="EF18"/>
      <c r="EG18"/>
    </row>
    <row r="19" spans="1:137" s="418" customFormat="1">
      <c r="A19" s="411"/>
      <c r="B19" s="412" t="s">
        <v>240</v>
      </c>
      <c r="C19" s="898"/>
      <c r="D19" s="413">
        <f t="shared" ref="D19:AI19" si="28">D18/D9</f>
        <v>9.5179987797437526E-2</v>
      </c>
      <c r="E19" s="414">
        <f t="shared" si="28"/>
        <v>9.7471910112359561E-2</v>
      </c>
      <c r="F19" s="414">
        <f t="shared" si="28"/>
        <v>6.5661641541038568E-2</v>
      </c>
      <c r="G19" s="415">
        <f t="shared" si="28"/>
        <v>9.5155709342560554E-2</v>
      </c>
      <c r="H19" s="414">
        <f t="shared" si="28"/>
        <v>6.3628546861564925E-2</v>
      </c>
      <c r="I19" s="414">
        <f t="shared" si="28"/>
        <v>9.8480880041906776E-2</v>
      </c>
      <c r="J19" s="414">
        <f t="shared" si="28"/>
        <v>8.2538044880061945E-2</v>
      </c>
      <c r="K19" s="415">
        <f t="shared" si="28"/>
        <v>0.10931942138961344</v>
      </c>
      <c r="L19" s="414">
        <f t="shared" si="28"/>
        <v>0.10146561443066517</v>
      </c>
      <c r="M19" s="414">
        <f t="shared" si="28"/>
        <v>0.11363130976206352</v>
      </c>
      <c r="N19" s="414">
        <f t="shared" si="28"/>
        <v>9.9803343166175076E-2</v>
      </c>
      <c r="O19" s="415">
        <f t="shared" si="28"/>
        <v>0.11241970021413276</v>
      </c>
      <c r="P19" s="414">
        <f t="shared" si="28"/>
        <v>9.1456853884226391E-2</v>
      </c>
      <c r="Q19" s="414">
        <f t="shared" si="28"/>
        <v>8.4422778639485982E-2</v>
      </c>
      <c r="R19" s="414">
        <f t="shared" si="28"/>
        <v>8.8507877664504186E-2</v>
      </c>
      <c r="S19" s="415">
        <f t="shared" si="28"/>
        <v>0.11733442354865084</v>
      </c>
      <c r="T19" s="414">
        <f t="shared" si="28"/>
        <v>0.1160892436060221</v>
      </c>
      <c r="U19" s="414">
        <f t="shared" si="28"/>
        <v>0.11360799001248433</v>
      </c>
      <c r="V19" s="414">
        <f t="shared" si="28"/>
        <v>9.7507207054434553E-2</v>
      </c>
      <c r="W19" s="415">
        <f t="shared" si="28"/>
        <v>0.11997635933806133</v>
      </c>
      <c r="X19" s="414">
        <f t="shared" si="28"/>
        <v>0.12352780060257469</v>
      </c>
      <c r="Y19" s="414">
        <f t="shared" si="28"/>
        <v>0.12255671279783127</v>
      </c>
      <c r="Z19" s="414">
        <f t="shared" si="28"/>
        <v>0.10153597413096202</v>
      </c>
      <c r="AA19" s="415">
        <f t="shared" si="28"/>
        <v>9.659567331879923E-2</v>
      </c>
      <c r="AB19" s="414">
        <f t="shared" si="28"/>
        <v>8.7508239947264227E-2</v>
      </c>
      <c r="AC19" s="414">
        <f t="shared" si="28"/>
        <v>9.7342192691029866E-2</v>
      </c>
      <c r="AD19" s="414">
        <f t="shared" si="28"/>
        <v>8.8944454366851181E-2</v>
      </c>
      <c r="AE19" s="415">
        <f t="shared" si="28"/>
        <v>8.8538091969800864E-2</v>
      </c>
      <c r="AF19" s="414">
        <f t="shared" si="28"/>
        <v>8.7079981069569323E-2</v>
      </c>
      <c r="AG19" s="414">
        <f t="shared" si="28"/>
        <v>0.10457608085345302</v>
      </c>
      <c r="AH19" s="414">
        <f t="shared" si="28"/>
        <v>8.0263157894736814E-2</v>
      </c>
      <c r="AI19" s="415">
        <f t="shared" si="28"/>
        <v>9.5605022831050199E-2</v>
      </c>
      <c r="AJ19" s="414">
        <f t="shared" ref="AJ19:BO19" si="29">AJ18/AJ9</f>
        <v>8.7533840402217358E-2</v>
      </c>
      <c r="AK19" s="414">
        <f t="shared" si="29"/>
        <v>9.0448343079922097E-2</v>
      </c>
      <c r="AL19" s="414">
        <f t="shared" si="29"/>
        <v>7.7909542195256559E-2</v>
      </c>
      <c r="AM19" s="415">
        <f t="shared" si="29"/>
        <v>9.5142714071106554E-2</v>
      </c>
      <c r="AN19" s="414">
        <f t="shared" si="29"/>
        <v>8.5926254013951972E-2</v>
      </c>
      <c r="AO19" s="414">
        <f t="shared" si="29"/>
        <v>9.1133004926108457E-2</v>
      </c>
      <c r="AP19" s="414">
        <f t="shared" si="29"/>
        <v>8.1209811859966549E-2</v>
      </c>
      <c r="AQ19" s="415">
        <f t="shared" si="29"/>
        <v>9.2105263157894787E-2</v>
      </c>
      <c r="AR19" s="414">
        <f t="shared" si="29"/>
        <v>7.8172588832487358E-2</v>
      </c>
      <c r="AS19" s="414">
        <f t="shared" si="29"/>
        <v>9.3845600143962676E-2</v>
      </c>
      <c r="AT19" s="414">
        <f t="shared" si="29"/>
        <v>8.611666190884007E-2</v>
      </c>
      <c r="AU19" s="415">
        <f t="shared" si="29"/>
        <v>9.277099236641223E-2</v>
      </c>
      <c r="AV19" s="414">
        <f t="shared" si="29"/>
        <v>8.1630886426592872E-2</v>
      </c>
      <c r="AW19" s="414">
        <f t="shared" si="29"/>
        <v>9.1982544707795003E-2</v>
      </c>
      <c r="AX19" s="414">
        <f t="shared" si="29"/>
        <v>6.3408190224570643E-2</v>
      </c>
      <c r="AY19" s="415">
        <f t="shared" si="29"/>
        <v>7.4289201409114908E-2</v>
      </c>
      <c r="AZ19" s="414">
        <f t="shared" si="29"/>
        <v>8.13116293629675E-2</v>
      </c>
      <c r="BA19" s="414">
        <f t="shared" si="29"/>
        <v>8.3266143810012405E-2</v>
      </c>
      <c r="BB19" s="414">
        <f t="shared" si="29"/>
        <v>7.4832521315468817E-2</v>
      </c>
      <c r="BC19" s="415">
        <f t="shared" si="29"/>
        <v>9.133950032777334E-2</v>
      </c>
      <c r="BD19" s="414">
        <f t="shared" si="29"/>
        <v>8.4528654346520793E-2</v>
      </c>
      <c r="BE19" s="414">
        <f t="shared" si="29"/>
        <v>8.3146511934590481E-2</v>
      </c>
      <c r="BF19" s="414">
        <f t="shared" si="29"/>
        <v>5.5873619864834273E-2</v>
      </c>
      <c r="BG19" s="415">
        <f t="shared" si="29"/>
        <v>4.7235641438539743E-3</v>
      </c>
      <c r="BH19" s="414">
        <f t="shared" si="29"/>
        <v>6.7114093959731889E-3</v>
      </c>
      <c r="BI19" s="414">
        <f t="shared" si="29"/>
        <v>-6.9560895336925888E-3</v>
      </c>
      <c r="BJ19" s="414">
        <f t="shared" si="29"/>
        <v>2.6756178244794659E-2</v>
      </c>
      <c r="BK19" s="415">
        <f t="shared" si="29"/>
        <v>5.6162897438037158E-2</v>
      </c>
      <c r="BL19" s="414">
        <f t="shared" si="29"/>
        <v>8.3307429281939696E-2</v>
      </c>
      <c r="BM19" s="414">
        <f t="shared" si="29"/>
        <v>9.6574523457832212E-2</v>
      </c>
      <c r="BN19" s="414">
        <f t="shared" si="29"/>
        <v>8.7178396768020541E-2</v>
      </c>
      <c r="BO19" s="415">
        <f t="shared" si="29"/>
        <v>0.10264771096908837</v>
      </c>
      <c r="BP19" s="414">
        <f t="shared" ref="BP19:CU19" si="30">BP18/BP9</f>
        <v>0.10361766065649571</v>
      </c>
      <c r="BQ19" s="414">
        <f t="shared" si="30"/>
        <v>0.10952276226083128</v>
      </c>
      <c r="BR19" s="414">
        <f t="shared" si="30"/>
        <v>0.11094988279941956</v>
      </c>
      <c r="BS19" s="415">
        <f t="shared" si="30"/>
        <v>0.11986243445904043</v>
      </c>
      <c r="BT19" s="414">
        <f t="shared" si="30"/>
        <v>0.11801307189542481</v>
      </c>
      <c r="BU19" s="414">
        <f t="shared" si="30"/>
        <v>0.12464985994397762</v>
      </c>
      <c r="BV19" s="414">
        <f t="shared" si="30"/>
        <v>9.6153846153846187E-2</v>
      </c>
      <c r="BW19" s="415">
        <f t="shared" si="30"/>
        <v>0.10614856611017383</v>
      </c>
      <c r="BX19" s="414">
        <f t="shared" si="30"/>
        <v>0.11353249419264222</v>
      </c>
      <c r="BY19" s="414">
        <f t="shared" si="30"/>
        <v>0.12851787317176205</v>
      </c>
      <c r="BZ19" s="414">
        <f t="shared" si="30"/>
        <v>0.12490311150481681</v>
      </c>
      <c r="CA19" s="415">
        <f t="shared" si="30"/>
        <v>0.12268218945581846</v>
      </c>
      <c r="CB19" s="414">
        <f t="shared" si="30"/>
        <v>0.12619787918046158</v>
      </c>
      <c r="CC19" s="414">
        <f t="shared" si="30"/>
        <v>0.13399189804278558</v>
      </c>
      <c r="CD19" s="414">
        <f t="shared" si="30"/>
        <v>0.12484621819792333</v>
      </c>
      <c r="CE19" s="415">
        <f t="shared" si="30"/>
        <v>0.12355037903509219</v>
      </c>
      <c r="CF19" s="414">
        <f t="shared" si="30"/>
        <v>0.13148876121358735</v>
      </c>
      <c r="CG19" s="414">
        <f t="shared" si="30"/>
        <v>0.12914021359318864</v>
      </c>
      <c r="CH19" s="414">
        <f t="shared" si="30"/>
        <v>0.13285562632696393</v>
      </c>
      <c r="CI19" s="415">
        <f t="shared" si="30"/>
        <v>0.12646601667373175</v>
      </c>
      <c r="CJ19" s="414">
        <f t="shared" si="30"/>
        <v>0.12183725645772722</v>
      </c>
      <c r="CK19" s="414">
        <f t="shared" si="30"/>
        <v>0.12317533917224791</v>
      </c>
      <c r="CL19" s="414">
        <f t="shared" si="30"/>
        <v>0.11981754132418028</v>
      </c>
      <c r="CM19" s="415">
        <f t="shared" si="30"/>
        <v>0.12554227534307219</v>
      </c>
      <c r="CN19" s="414">
        <f t="shared" si="30"/>
        <v>0.12160365600332361</v>
      </c>
      <c r="CO19" s="414">
        <f t="shared" si="30"/>
        <v>0.12532953927271198</v>
      </c>
      <c r="CP19" s="414">
        <f t="shared" si="30"/>
        <v>0.12345832298650766</v>
      </c>
      <c r="CQ19" s="415">
        <f t="shared" ref="CQ19" si="31">CQ18/CQ9</f>
        <v>0.12689452520878441</v>
      </c>
      <c r="CR19" s="414">
        <f t="shared" si="30"/>
        <v>0.12523845948999393</v>
      </c>
      <c r="CS19" s="414">
        <f t="shared" si="30"/>
        <v>0.12761583929665241</v>
      </c>
      <c r="CT19" s="414">
        <f t="shared" si="30"/>
        <v>0.12319261543299967</v>
      </c>
      <c r="CU19" s="415">
        <f t="shared" si="30"/>
        <v>0.12770708191914631</v>
      </c>
      <c r="CV19" s="416"/>
      <c r="CW19" s="414"/>
      <c r="CX19" s="414">
        <f t="shared" ref="CX19:DZ19" si="32">CX18/CX9</f>
        <v>8.9158076894138794E-2</v>
      </c>
      <c r="CY19" s="414">
        <f t="shared" si="32"/>
        <v>8.9539640283098604E-2</v>
      </c>
      <c r="CZ19" s="414">
        <f t="shared" si="32"/>
        <v>0.10707413695529149</v>
      </c>
      <c r="DA19" s="414">
        <f t="shared" si="32"/>
        <v>9.592770034843201E-2</v>
      </c>
      <c r="DB19" s="414">
        <f t="shared" si="32"/>
        <v>0.11205564142194743</v>
      </c>
      <c r="DC19" s="414">
        <f t="shared" si="32"/>
        <v>0.11206016856268168</v>
      </c>
      <c r="DD19" s="414">
        <f t="shared" si="32"/>
        <v>9.0623006591537228E-2</v>
      </c>
      <c r="DE19" s="414">
        <f t="shared" si="32"/>
        <v>9.2124052579546659E-2</v>
      </c>
      <c r="DF19" s="414">
        <f t="shared" si="32"/>
        <v>8.797080672487928E-2</v>
      </c>
      <c r="DG19" s="414">
        <f t="shared" si="32"/>
        <v>8.7680481093807536E-2</v>
      </c>
      <c r="DH19" s="414">
        <f t="shared" si="32"/>
        <v>8.773673669011145E-2</v>
      </c>
      <c r="DI19" s="414">
        <f t="shared" si="32"/>
        <v>7.8133496169000102E-2</v>
      </c>
      <c r="DJ19" s="414">
        <f t="shared" si="32"/>
        <v>8.2798483654243069E-2</v>
      </c>
      <c r="DK19" s="414">
        <f t="shared" si="32"/>
        <v>6.2839333953912446E-2</v>
      </c>
      <c r="DL19" s="414">
        <f t="shared" si="32"/>
        <v>2.3708120240605597E-2</v>
      </c>
      <c r="DM19" s="414">
        <f t="shared" si="32"/>
        <v>9.285663741862428E-2</v>
      </c>
      <c r="DN19" s="414">
        <f t="shared" si="32"/>
        <v>0.11102365524899148</v>
      </c>
      <c r="DO19" s="414">
        <f t="shared" si="32"/>
        <v>0.11173014812339924</v>
      </c>
      <c r="DP19" s="414">
        <f t="shared" si="32"/>
        <v>0.12243027727725048</v>
      </c>
      <c r="DQ19" s="414">
        <f t="shared" si="32"/>
        <v>0.12729397599065628</v>
      </c>
      <c r="DR19" s="414">
        <f t="shared" si="32"/>
        <v>0.1298858310898395</v>
      </c>
      <c r="DS19" s="414">
        <f t="shared" si="32"/>
        <v>0.12261051703230079</v>
      </c>
      <c r="DT19" s="414">
        <f t="shared" si="32"/>
        <v>0.12436602614472451</v>
      </c>
      <c r="DU19" s="414">
        <f t="shared" si="32"/>
        <v>0.12598082293666335</v>
      </c>
      <c r="DV19" s="414">
        <f t="shared" si="32"/>
        <v>0.12281697564318846</v>
      </c>
      <c r="DW19" s="414">
        <f t="shared" si="32"/>
        <v>0.11961446981337119</v>
      </c>
      <c r="DX19" s="414">
        <f t="shared" si="32"/>
        <v>0.11638264427894754</v>
      </c>
      <c r="DY19" s="414">
        <f t="shared" si="32"/>
        <v>0.11308745242904261</v>
      </c>
      <c r="DZ19" s="414">
        <f t="shared" si="32"/>
        <v>0.10971684970350196</v>
      </c>
      <c r="EA19" s="438"/>
      <c r="EB19"/>
      <c r="EC19"/>
      <c r="ED19"/>
      <c r="EE19"/>
      <c r="EF19"/>
      <c r="EG19"/>
    </row>
    <row r="20" spans="1:137">
      <c r="A20" s="374"/>
      <c r="B20" s="445"/>
      <c r="C20" s="901"/>
      <c r="D20" s="446"/>
      <c r="E20" s="447"/>
      <c r="F20" s="447"/>
      <c r="G20" s="448"/>
      <c r="H20" s="447"/>
      <c r="I20" s="447"/>
      <c r="J20" s="447"/>
      <c r="K20" s="448"/>
      <c r="L20" s="447"/>
      <c r="M20" s="447"/>
      <c r="N20" s="447"/>
      <c r="O20" s="448"/>
      <c r="P20" s="447"/>
      <c r="Q20" s="447"/>
      <c r="R20" s="447"/>
      <c r="S20" s="448"/>
      <c r="T20" s="447"/>
      <c r="U20" s="447"/>
      <c r="V20" s="447"/>
      <c r="W20" s="448"/>
      <c r="X20" s="447"/>
      <c r="Y20" s="447"/>
      <c r="Z20" s="447"/>
      <c r="AA20" s="448"/>
      <c r="AB20" s="447"/>
      <c r="AC20" s="447"/>
      <c r="AD20" s="447"/>
      <c r="AE20" s="448"/>
      <c r="AF20" s="447"/>
      <c r="AG20" s="447"/>
      <c r="AH20" s="447"/>
      <c r="AI20" s="448"/>
      <c r="AJ20" s="447"/>
      <c r="AK20" s="447"/>
      <c r="AL20" s="447"/>
      <c r="AM20" s="448"/>
      <c r="AN20" s="447"/>
      <c r="AO20" s="447"/>
      <c r="AP20" s="447"/>
      <c r="AQ20" s="448"/>
      <c r="AR20" s="447"/>
      <c r="AS20" s="447"/>
      <c r="AT20" s="447"/>
      <c r="AU20" s="448"/>
      <c r="AV20" s="447"/>
      <c r="AW20" s="447"/>
      <c r="AX20" s="447"/>
      <c r="AY20" s="448"/>
      <c r="AZ20" s="447"/>
      <c r="BA20" s="447"/>
      <c r="BB20" s="447"/>
      <c r="BC20" s="448"/>
      <c r="BD20" s="447"/>
      <c r="BE20" s="447"/>
      <c r="BF20" s="447"/>
      <c r="BG20" s="448"/>
      <c r="BH20" s="447"/>
      <c r="BI20" s="447"/>
      <c r="BJ20" s="447"/>
      <c r="BK20" s="448"/>
      <c r="BL20" s="447"/>
      <c r="BM20" s="447"/>
      <c r="BN20" s="447"/>
      <c r="BO20" s="448"/>
      <c r="BP20" s="447"/>
      <c r="BQ20" s="447"/>
      <c r="BR20" s="447"/>
      <c r="BS20" s="448"/>
      <c r="BT20" s="447"/>
      <c r="BU20" s="447"/>
      <c r="BV20" s="447"/>
      <c r="BW20" s="448"/>
      <c r="BX20" s="447"/>
      <c r="BY20" s="447"/>
      <c r="BZ20" s="447"/>
      <c r="CA20" s="448"/>
      <c r="CB20" s="447"/>
      <c r="CC20" s="447"/>
      <c r="CD20" s="447"/>
      <c r="CE20" s="448"/>
      <c r="CF20" s="447"/>
      <c r="CG20" s="447"/>
      <c r="CH20" s="447"/>
      <c r="CI20" s="448"/>
      <c r="CJ20" s="447"/>
      <c r="CK20" s="447"/>
      <c r="CL20" s="447"/>
      <c r="CM20" s="448"/>
      <c r="CN20" s="447"/>
      <c r="CO20" s="447"/>
      <c r="CP20" s="447"/>
      <c r="CQ20" s="448"/>
      <c r="CR20" s="447"/>
      <c r="CS20" s="447"/>
      <c r="CT20" s="447"/>
      <c r="CU20" s="448"/>
      <c r="CV20" s="376"/>
      <c r="CW20" s="449"/>
      <c r="CX20" s="447"/>
      <c r="CY20" s="447"/>
      <c r="CZ20" s="447"/>
      <c r="DA20" s="447"/>
      <c r="DB20" s="447"/>
      <c r="DC20" s="447"/>
      <c r="DD20" s="447"/>
      <c r="DE20" s="447"/>
      <c r="DF20" s="447"/>
      <c r="DG20" s="447"/>
      <c r="DH20" s="447"/>
      <c r="DI20" s="447"/>
      <c r="DJ20" s="447"/>
      <c r="DK20" s="447"/>
      <c r="DL20" s="447"/>
      <c r="DM20" s="447"/>
      <c r="DN20" s="447"/>
      <c r="DO20" s="447"/>
      <c r="DP20" s="447"/>
      <c r="DQ20" s="447"/>
      <c r="DR20" s="447"/>
      <c r="DS20" s="447"/>
      <c r="DT20" s="447"/>
      <c r="DU20" s="447"/>
      <c r="DV20" s="437"/>
      <c r="DW20" s="1049"/>
      <c r="DX20" s="1049"/>
      <c r="DY20" s="447"/>
      <c r="DZ20" s="447"/>
      <c r="EA20" s="450"/>
    </row>
    <row r="21" spans="1:137" s="410" customFormat="1" hidden="1" outlineLevel="1">
      <c r="A21" s="400"/>
      <c r="B21" s="401" t="s">
        <v>86</v>
      </c>
      <c r="C21" s="658"/>
      <c r="D21" s="636">
        <v>-2.4</v>
      </c>
      <c r="E21" s="564">
        <v>-2.2999999999999998</v>
      </c>
      <c r="F21" s="564">
        <v>-2.5</v>
      </c>
      <c r="G21" s="572">
        <v>-2.4</v>
      </c>
      <c r="H21" s="564">
        <v>-2.6</v>
      </c>
      <c r="I21" s="564">
        <v>-2.8</v>
      </c>
      <c r="J21" s="564">
        <v>-4</v>
      </c>
      <c r="K21" s="572">
        <v>-4.0999999999999996</v>
      </c>
      <c r="L21" s="564">
        <v>-4.0999999999999996</v>
      </c>
      <c r="M21" s="564">
        <v>-4.0999999999999996</v>
      </c>
      <c r="N21" s="564">
        <v>-4.2</v>
      </c>
      <c r="O21" s="572">
        <v>-4.3</v>
      </c>
      <c r="P21" s="564">
        <v>-4.2</v>
      </c>
      <c r="Q21" s="564">
        <v>-4.2</v>
      </c>
      <c r="R21" s="564">
        <v>-4.3</v>
      </c>
      <c r="S21" s="572">
        <v>-4.0999999999999996</v>
      </c>
      <c r="T21" s="564">
        <v>-5.7</v>
      </c>
      <c r="U21" s="564">
        <v>-7.7</v>
      </c>
      <c r="V21" s="564">
        <v>-7.7</v>
      </c>
      <c r="W21" s="572">
        <v>-11</v>
      </c>
      <c r="X21" s="564"/>
      <c r="Y21" s="564"/>
      <c r="Z21" s="564"/>
      <c r="AA21" s="572"/>
      <c r="AB21" s="564"/>
      <c r="AC21" s="564"/>
      <c r="AD21" s="564"/>
      <c r="AE21" s="572"/>
      <c r="AF21" s="564"/>
      <c r="AG21" s="564"/>
      <c r="AH21" s="564"/>
      <c r="AI21" s="572"/>
      <c r="AJ21" s="564"/>
      <c r="AK21" s="564"/>
      <c r="AL21" s="564"/>
      <c r="AM21" s="572"/>
      <c r="AN21" s="564"/>
      <c r="AO21" s="564"/>
      <c r="AP21" s="564"/>
      <c r="AQ21" s="572"/>
      <c r="AR21" s="564"/>
      <c r="AS21" s="564"/>
      <c r="AT21" s="564"/>
      <c r="AU21" s="572"/>
      <c r="AV21" s="564"/>
      <c r="AW21" s="564"/>
      <c r="AX21" s="564"/>
      <c r="AY21" s="572"/>
      <c r="AZ21" s="564"/>
      <c r="BA21" s="564"/>
      <c r="BB21" s="564"/>
      <c r="BC21" s="572"/>
      <c r="BD21" s="564"/>
      <c r="BE21" s="564"/>
      <c r="BF21" s="564"/>
      <c r="BG21" s="572"/>
      <c r="BH21" s="564"/>
      <c r="BI21" s="564"/>
      <c r="BJ21" s="564"/>
      <c r="BK21" s="572"/>
      <c r="BL21" s="564"/>
      <c r="BM21" s="564"/>
      <c r="BN21" s="564"/>
      <c r="BO21" s="572"/>
      <c r="BP21" s="564"/>
      <c r="BQ21" s="564"/>
      <c r="BR21" s="564"/>
      <c r="BS21" s="572"/>
      <c r="BT21" s="564"/>
      <c r="BU21" s="564"/>
      <c r="BV21" s="564"/>
      <c r="BW21" s="572"/>
      <c r="BX21" s="564"/>
      <c r="BY21" s="564"/>
      <c r="BZ21" s="564"/>
      <c r="CA21" s="572"/>
      <c r="CB21" s="564"/>
      <c r="CC21" s="564"/>
      <c r="CD21" s="564"/>
      <c r="CE21" s="572"/>
      <c r="CF21" s="564"/>
      <c r="CG21" s="564"/>
      <c r="CH21" s="564"/>
      <c r="CI21" s="572"/>
      <c r="CJ21" s="564"/>
      <c r="CK21" s="564"/>
      <c r="CL21" s="564"/>
      <c r="CM21" s="442"/>
      <c r="CN21" s="637"/>
      <c r="CO21" s="637"/>
      <c r="CP21" s="564"/>
      <c r="CQ21" s="572"/>
      <c r="CR21" s="436"/>
      <c r="CS21" s="436"/>
      <c r="CT21" s="436"/>
      <c r="CU21" s="435"/>
      <c r="CV21" s="406"/>
      <c r="CW21" s="403"/>
      <c r="CX21" s="436">
        <f>SUM(D21:G21)</f>
        <v>-9.6</v>
      </c>
      <c r="CY21" s="436">
        <f>SUM(H21:K21)</f>
        <v>-13.5</v>
      </c>
      <c r="CZ21" s="436">
        <f>SUM(L21:O21)</f>
        <v>-16.7</v>
      </c>
      <c r="DA21" s="436">
        <f>SUM(P21:S21)</f>
        <v>-16.799999999999997</v>
      </c>
      <c r="DB21" s="436">
        <f>SUM(T21:W21)</f>
        <v>-32.1</v>
      </c>
      <c r="DC21" s="436">
        <f>SUM(X21:AA21)</f>
        <v>0</v>
      </c>
      <c r="DD21" s="436">
        <f>SUM(AB21:AE21)</f>
        <v>0</v>
      </c>
      <c r="DE21" s="436">
        <f>SUM(AF21:AI21)</f>
        <v>0</v>
      </c>
      <c r="DF21" s="436">
        <f>SUM(AJ21:AM21)</f>
        <v>0</v>
      </c>
      <c r="DG21" s="436">
        <f>SUM(AN21:AQ21)</f>
        <v>0</v>
      </c>
      <c r="DH21" s="436">
        <f>SUM(AR21:AU21)</f>
        <v>0</v>
      </c>
      <c r="DI21" s="436">
        <f>SUM(AV21:AY21)</f>
        <v>0</v>
      </c>
      <c r="DJ21" s="436">
        <f>SUM(AZ21:BC21)</f>
        <v>0</v>
      </c>
      <c r="DK21" s="436">
        <f>SUM(BD21:BG21)</f>
        <v>0</v>
      </c>
      <c r="DL21" s="436">
        <f>SUM(BH21:BK21)</f>
        <v>0</v>
      </c>
      <c r="DM21" s="436">
        <f>SUM(BL21:BO21)</f>
        <v>0</v>
      </c>
      <c r="DN21" s="436">
        <f>SUM(BP21:BS21)</f>
        <v>0</v>
      </c>
      <c r="DO21" s="436">
        <f>SUM(BT21:BW21)</f>
        <v>0</v>
      </c>
      <c r="DP21" s="436">
        <f>SUM(BX21:CA21)</f>
        <v>0</v>
      </c>
      <c r="DQ21" s="436">
        <f>SUM(CB21:CE21)</f>
        <v>0</v>
      </c>
      <c r="DR21" s="436">
        <f>SUM(CF21:CI21)</f>
        <v>0</v>
      </c>
      <c r="DS21" s="436">
        <f>SUM(CJ21:CM21)</f>
        <v>0</v>
      </c>
      <c r="DT21" s="437">
        <f>SUM(CN21:CQ21)</f>
        <v>0</v>
      </c>
      <c r="DU21" s="437"/>
      <c r="DV21" s="437"/>
      <c r="DW21" s="437"/>
      <c r="DX21" s="437"/>
      <c r="DY21" s="437"/>
      <c r="DZ21" s="437"/>
      <c r="EA21" s="423"/>
      <c r="EB21"/>
      <c r="EC21"/>
      <c r="ED21"/>
      <c r="EE21"/>
      <c r="EF21"/>
      <c r="EG21"/>
    </row>
    <row r="22" spans="1:137" s="410" customFormat="1" collapsed="1">
      <c r="A22" s="400"/>
      <c r="B22" s="401" t="s">
        <v>258</v>
      </c>
      <c r="C22" s="658"/>
      <c r="D22" s="629">
        <v>4.2</v>
      </c>
      <c r="E22" s="630">
        <v>5.9</v>
      </c>
      <c r="F22" s="630">
        <v>4.7</v>
      </c>
      <c r="G22" s="631">
        <v>3.8</v>
      </c>
      <c r="H22" s="630">
        <v>4.0999999999999996</v>
      </c>
      <c r="I22" s="630">
        <v>2.8</v>
      </c>
      <c r="J22" s="630">
        <v>6.3</v>
      </c>
      <c r="K22" s="631">
        <v>2.6</v>
      </c>
      <c r="L22" s="630">
        <v>4</v>
      </c>
      <c r="M22" s="630">
        <v>4.5999999999999996</v>
      </c>
      <c r="N22" s="630">
        <v>3.1</v>
      </c>
      <c r="O22" s="631">
        <v>1.5</v>
      </c>
      <c r="P22" s="630">
        <v>5.5</v>
      </c>
      <c r="Q22" s="630">
        <v>2.9</v>
      </c>
      <c r="R22" s="630">
        <v>0.5</v>
      </c>
      <c r="S22" s="631">
        <v>1.4</v>
      </c>
      <c r="T22" s="630">
        <v>2.5</v>
      </c>
      <c r="U22" s="630">
        <v>4.5999999999999996</v>
      </c>
      <c r="V22" s="630">
        <v>3.9</v>
      </c>
      <c r="W22" s="631">
        <v>3.1</v>
      </c>
      <c r="X22" s="630">
        <v>3.5</v>
      </c>
      <c r="Y22" s="630">
        <v>4.7</v>
      </c>
      <c r="Z22" s="630">
        <v>4.2</v>
      </c>
      <c r="AA22" s="631">
        <v>11.4</v>
      </c>
      <c r="AB22" s="630">
        <v>4.5</v>
      </c>
      <c r="AC22" s="630">
        <v>4.5999999999999996</v>
      </c>
      <c r="AD22" s="630">
        <v>3.3</v>
      </c>
      <c r="AE22" s="631">
        <v>2.5</v>
      </c>
      <c r="AF22" s="630">
        <v>3.9</v>
      </c>
      <c r="AG22" s="630">
        <v>5.9</v>
      </c>
      <c r="AH22" s="630">
        <v>4.5</v>
      </c>
      <c r="AI22" s="631">
        <v>5.6</v>
      </c>
      <c r="AJ22" s="630">
        <v>6.4</v>
      </c>
      <c r="AK22" s="630">
        <v>5.2</v>
      </c>
      <c r="AL22" s="630">
        <v>3.6</v>
      </c>
      <c r="AM22" s="631">
        <v>4.8</v>
      </c>
      <c r="AN22" s="630">
        <v>6.5</v>
      </c>
      <c r="AO22" s="630">
        <v>8.4</v>
      </c>
      <c r="AP22" s="630">
        <v>6.2</v>
      </c>
      <c r="AQ22" s="631">
        <v>8.1</v>
      </c>
      <c r="AR22" s="630">
        <v>4</v>
      </c>
      <c r="AS22" s="630">
        <v>8</v>
      </c>
      <c r="AT22" s="630">
        <v>5.7</v>
      </c>
      <c r="AU22" s="631">
        <v>10.5</v>
      </c>
      <c r="AV22" s="630">
        <v>10</v>
      </c>
      <c r="AW22" s="630">
        <v>8.5</v>
      </c>
      <c r="AX22" s="630">
        <v>7.8</v>
      </c>
      <c r="AY22" s="631">
        <v>9.6</v>
      </c>
      <c r="AZ22" s="630">
        <v>9.1999999999999993</v>
      </c>
      <c r="BA22" s="630">
        <v>8.8000000000000007</v>
      </c>
      <c r="BB22" s="630">
        <v>9.9</v>
      </c>
      <c r="BC22" s="631">
        <v>12.4</v>
      </c>
      <c r="BD22" s="630">
        <v>9.1</v>
      </c>
      <c r="BE22" s="630">
        <v>11.9</v>
      </c>
      <c r="BF22" s="630">
        <v>9.1999999999999993</v>
      </c>
      <c r="BG22" s="631">
        <v>8.1999999999999993</v>
      </c>
      <c r="BH22" s="630">
        <v>0.2</v>
      </c>
      <c r="BI22" s="630">
        <v>4.8</v>
      </c>
      <c r="BJ22" s="630">
        <v>6.5</v>
      </c>
      <c r="BK22" s="631">
        <v>10.3</v>
      </c>
      <c r="BL22" s="630">
        <v>9.3000000000000007</v>
      </c>
      <c r="BM22" s="630">
        <v>10</v>
      </c>
      <c r="BN22" s="630">
        <v>10.5</v>
      </c>
      <c r="BO22" s="631">
        <v>9.8000000000000007</v>
      </c>
      <c r="BP22" s="630">
        <v>8.4</v>
      </c>
      <c r="BQ22" s="630">
        <v>8.1</v>
      </c>
      <c r="BR22" s="630">
        <v>11.5</v>
      </c>
      <c r="BS22" s="631">
        <v>10.199999999999999</v>
      </c>
      <c r="BT22" s="630">
        <v>9.1999999999999993</v>
      </c>
      <c r="BU22" s="630">
        <v>12.5</v>
      </c>
      <c r="BV22" s="630">
        <v>11.1</v>
      </c>
      <c r="BW22" s="631">
        <v>10</v>
      </c>
      <c r="BX22" s="630">
        <v>9.6999999999999993</v>
      </c>
      <c r="BY22" s="630">
        <v>11.1</v>
      </c>
      <c r="BZ22" s="630">
        <v>10.4</v>
      </c>
      <c r="CA22" s="631">
        <v>12.3</v>
      </c>
      <c r="CB22" s="630">
        <v>8.8000000000000007</v>
      </c>
      <c r="CC22" s="630">
        <v>12.2</v>
      </c>
      <c r="CD22" s="630">
        <v>14.8</v>
      </c>
      <c r="CE22" s="631">
        <v>11.5</v>
      </c>
      <c r="CF22" s="630">
        <v>8.5</v>
      </c>
      <c r="CG22" s="630">
        <v>11.1</v>
      </c>
      <c r="CH22" s="630">
        <f>8.7</f>
        <v>8.6999999999999993</v>
      </c>
      <c r="CI22" s="631">
        <v>11.7</v>
      </c>
      <c r="CJ22" s="630">
        <v>9.1</v>
      </c>
      <c r="CK22" s="630">
        <v>10.1</v>
      </c>
      <c r="CL22" s="630">
        <v>12.4</v>
      </c>
      <c r="CM22" s="451">
        <v>11.3</v>
      </c>
      <c r="CN22" s="632">
        <v>9.6999999999999993</v>
      </c>
      <c r="CO22" s="632">
        <v>14.4</v>
      </c>
      <c r="CP22" s="630">
        <v>14.4</v>
      </c>
      <c r="CQ22" s="631">
        <v>12.7</v>
      </c>
      <c r="CR22" s="632">
        <f>CQ22</f>
        <v>12.7</v>
      </c>
      <c r="CS22" s="632">
        <f>CR22</f>
        <v>12.7</v>
      </c>
      <c r="CT22" s="632">
        <f>CS22</f>
        <v>12.7</v>
      </c>
      <c r="CU22" s="451">
        <f>CT22</f>
        <v>12.7</v>
      </c>
      <c r="CV22" s="406"/>
      <c r="CW22" s="403"/>
      <c r="CX22" s="407">
        <f>SUM(D22:G22)</f>
        <v>18.600000000000001</v>
      </c>
      <c r="CY22" s="407">
        <f>SUM(H22:K22)</f>
        <v>15.799999999999999</v>
      </c>
      <c r="CZ22" s="407">
        <f>SUM(L22:O22)</f>
        <v>13.2</v>
      </c>
      <c r="DA22" s="407">
        <f>SUM(P22:S22)</f>
        <v>10.3</v>
      </c>
      <c r="DB22" s="407">
        <f>SUM(T22:W22)</f>
        <v>14.1</v>
      </c>
      <c r="DC22" s="407">
        <f>SUM(X22:AA22)</f>
        <v>23.799999999999997</v>
      </c>
      <c r="DD22" s="407">
        <f>SUM(AB22:AE22)</f>
        <v>14.899999999999999</v>
      </c>
      <c r="DE22" s="407">
        <f>SUM(AF22:AI22)</f>
        <v>19.899999999999999</v>
      </c>
      <c r="DF22" s="407">
        <f>SUM(AJ22:AM22)</f>
        <v>20</v>
      </c>
      <c r="DG22" s="407">
        <f>SUM(AN22:AQ22)</f>
        <v>29.200000000000003</v>
      </c>
      <c r="DH22" s="407">
        <f>SUM(AR22:AU22)</f>
        <v>28.2</v>
      </c>
      <c r="DI22" s="407">
        <f>SUM(AV22:AY22)</f>
        <v>35.9</v>
      </c>
      <c r="DJ22" s="407">
        <f>SUM(AZ22:BC22)</f>
        <v>40.299999999999997</v>
      </c>
      <c r="DK22" s="407">
        <f>SUM(BD22:BG22)</f>
        <v>38.4</v>
      </c>
      <c r="DL22" s="407">
        <f>SUM(BH22:BK22)</f>
        <v>21.8</v>
      </c>
      <c r="DM22" s="407">
        <f>SUM(BL22:BO22)</f>
        <v>39.6</v>
      </c>
      <c r="DN22" s="407">
        <f>SUM(BP22:BS22)</f>
        <v>38.200000000000003</v>
      </c>
      <c r="DO22" s="407">
        <f>SUM(BT22:BW22)</f>
        <v>42.8</v>
      </c>
      <c r="DP22" s="407">
        <f>SUM(BX22:CA22)</f>
        <v>43.5</v>
      </c>
      <c r="DQ22" s="407">
        <f>SUM(CB22:CE22)</f>
        <v>47.3</v>
      </c>
      <c r="DR22" s="407">
        <f>SUM(CF22:CI22)</f>
        <v>40</v>
      </c>
      <c r="DS22" s="407">
        <f>SUM(CJ22:CM22)</f>
        <v>42.900000000000006</v>
      </c>
      <c r="DT22" s="408">
        <f>SUM(CN22:CQ22)</f>
        <v>51.2</v>
      </c>
      <c r="DU22" s="408">
        <f>SUM(CR22:CU22)</f>
        <v>50.8</v>
      </c>
      <c r="DV22" s="630">
        <f>+DU22*1.05</f>
        <v>53.339999999999996</v>
      </c>
      <c r="DW22" s="630">
        <f t="shared" ref="DW22:DZ22" si="33">+DV22*1.05</f>
        <v>56.006999999999998</v>
      </c>
      <c r="DX22" s="630">
        <f t="shared" si="33"/>
        <v>58.80735</v>
      </c>
      <c r="DY22" s="630">
        <f t="shared" si="33"/>
        <v>61.7477175</v>
      </c>
      <c r="DZ22" s="630">
        <f t="shared" si="33"/>
        <v>64.835103375000003</v>
      </c>
      <c r="EA22" s="409"/>
      <c r="EB22"/>
      <c r="EC22"/>
      <c r="ED22"/>
      <c r="EE22"/>
      <c r="EF22"/>
      <c r="EG22"/>
    </row>
    <row r="23" spans="1:137" s="410" customFormat="1">
      <c r="A23" s="400"/>
      <c r="B23" s="401" t="s">
        <v>241</v>
      </c>
      <c r="C23" s="658"/>
      <c r="D23" s="636">
        <v>-3.5</v>
      </c>
      <c r="E23" s="564">
        <v>-3.6</v>
      </c>
      <c r="F23" s="564">
        <v>-3.6</v>
      </c>
      <c r="G23" s="572">
        <v>-3.5</v>
      </c>
      <c r="H23" s="564">
        <v>-3.5</v>
      </c>
      <c r="I23" s="564">
        <v>-3.5</v>
      </c>
      <c r="J23" s="564">
        <v>-7</v>
      </c>
      <c r="K23" s="572">
        <v>-7.4</v>
      </c>
      <c r="L23" s="564">
        <v>-6.5</v>
      </c>
      <c r="M23" s="564">
        <v>-6.3</v>
      </c>
      <c r="N23" s="564">
        <v>-6.2</v>
      </c>
      <c r="O23" s="572">
        <v>-5.6</v>
      </c>
      <c r="P23" s="564">
        <v>-6</v>
      </c>
      <c r="Q23" s="564">
        <v>-7</v>
      </c>
      <c r="R23" s="564">
        <v>-7.6</v>
      </c>
      <c r="S23" s="572">
        <v>-6.3</v>
      </c>
      <c r="T23" s="564">
        <v>-8.6</v>
      </c>
      <c r="U23" s="564">
        <v>-12.6</v>
      </c>
      <c r="V23" s="564">
        <v>-10.5</v>
      </c>
      <c r="W23" s="572">
        <v>-17.600000000000001</v>
      </c>
      <c r="X23" s="564">
        <v>-15.9</v>
      </c>
      <c r="Y23" s="564">
        <v>-15.9</v>
      </c>
      <c r="Z23" s="564">
        <v>-15.9</v>
      </c>
      <c r="AA23" s="572">
        <v>-14.9</v>
      </c>
      <c r="AB23" s="564">
        <v>-12.8</v>
      </c>
      <c r="AC23" s="564">
        <v>-12.4</v>
      </c>
      <c r="AD23" s="564">
        <v>-12.3</v>
      </c>
      <c r="AE23" s="572">
        <v>-10.3</v>
      </c>
      <c r="AF23" s="564">
        <v>-9.8000000000000007</v>
      </c>
      <c r="AG23" s="564">
        <v>-9.5</v>
      </c>
      <c r="AH23" s="564">
        <v>-9.3000000000000007</v>
      </c>
      <c r="AI23" s="572">
        <v>-9</v>
      </c>
      <c r="AJ23" s="564">
        <v>-9</v>
      </c>
      <c r="AK23" s="564">
        <v>-8.6999999999999993</v>
      </c>
      <c r="AL23" s="564">
        <v>-8.1</v>
      </c>
      <c r="AM23" s="572">
        <v>-7.5</v>
      </c>
      <c r="AN23" s="564">
        <v>-7.5</v>
      </c>
      <c r="AO23" s="564">
        <v>-7.7</v>
      </c>
      <c r="AP23" s="564">
        <v>-7.5</v>
      </c>
      <c r="AQ23" s="572">
        <v>-7</v>
      </c>
      <c r="AR23" s="564">
        <v>-9.3000000000000007</v>
      </c>
      <c r="AS23" s="564">
        <v>-9.9</v>
      </c>
      <c r="AT23" s="564">
        <v>-9.6</v>
      </c>
      <c r="AU23" s="572">
        <v>-8.3000000000000007</v>
      </c>
      <c r="AV23" s="564">
        <v>-9.4</v>
      </c>
      <c r="AW23" s="564">
        <v>-9.9</v>
      </c>
      <c r="AX23" s="564">
        <v>-9.5</v>
      </c>
      <c r="AY23" s="572">
        <v>-11.4</v>
      </c>
      <c r="AZ23" s="564">
        <v>-8.9</v>
      </c>
      <c r="BA23" s="564">
        <v>-9.3000000000000007</v>
      </c>
      <c r="BB23" s="564">
        <v>-8.4</v>
      </c>
      <c r="BC23" s="572">
        <v>-8.1</v>
      </c>
      <c r="BD23" s="564">
        <v>-6.5</v>
      </c>
      <c r="BE23" s="564">
        <v>-10.8</v>
      </c>
      <c r="BF23" s="564">
        <v>-11.2</v>
      </c>
      <c r="BG23" s="572">
        <v>-10.3</v>
      </c>
      <c r="BH23" s="564">
        <v>-18.600000000000001</v>
      </c>
      <c r="BI23" s="564">
        <v>-8.3000000000000007</v>
      </c>
      <c r="BJ23" s="564">
        <v>-12.5</v>
      </c>
      <c r="BK23" s="572">
        <v>-15.3</v>
      </c>
      <c r="BL23" s="564">
        <v>-14.2</v>
      </c>
      <c r="BM23" s="564">
        <v>-13.6</v>
      </c>
      <c r="BN23" s="564">
        <v>-17.8</v>
      </c>
      <c r="BO23" s="572">
        <v>-21</v>
      </c>
      <c r="BP23" s="564">
        <v>-17.399999999999999</v>
      </c>
      <c r="BQ23" s="564">
        <v>-19.3</v>
      </c>
      <c r="BR23" s="564">
        <v>-17.2</v>
      </c>
      <c r="BS23" s="572">
        <v>-15.9</v>
      </c>
      <c r="BT23" s="564">
        <v>-13.7</v>
      </c>
      <c r="BU23" s="564">
        <v>-11.3</v>
      </c>
      <c r="BV23" s="564">
        <v>-4</v>
      </c>
      <c r="BW23" s="572">
        <f>1-6.7</f>
        <v>-5.7</v>
      </c>
      <c r="BX23" s="564">
        <f>-9.7+1</f>
        <v>-8.6999999999999993</v>
      </c>
      <c r="BY23" s="564">
        <f>1-8.8</f>
        <v>-7.8000000000000007</v>
      </c>
      <c r="BZ23" s="564">
        <f>-8.1+1.3</f>
        <v>-6.8</v>
      </c>
      <c r="CA23" s="572">
        <f>1.5-7.6</f>
        <v>-6.1</v>
      </c>
      <c r="CB23" s="564">
        <f>-8.2+1.5</f>
        <v>-6.6999999999999993</v>
      </c>
      <c r="CC23" s="564">
        <f>-9+1.4</f>
        <v>-7.6</v>
      </c>
      <c r="CD23" s="564">
        <f>-9+1.4</f>
        <v>-7.6</v>
      </c>
      <c r="CE23" s="572">
        <f>1.2-10.2</f>
        <v>-9</v>
      </c>
      <c r="CF23" s="564">
        <f>-10+1.7</f>
        <v>-8.3000000000000007</v>
      </c>
      <c r="CG23" s="564">
        <f>1.6-17.6</f>
        <v>-16</v>
      </c>
      <c r="CH23" s="564">
        <f>-15+2</f>
        <v>-13</v>
      </c>
      <c r="CI23" s="572">
        <f>2.2-17.8</f>
        <v>-15.600000000000001</v>
      </c>
      <c r="CJ23" s="564">
        <f>-21.3+1.6</f>
        <v>-19.7</v>
      </c>
      <c r="CK23" s="564">
        <f>1.5-21.4</f>
        <v>-19.899999999999999</v>
      </c>
      <c r="CL23" s="564">
        <f>1.6-22.4</f>
        <v>-20.799999999999997</v>
      </c>
      <c r="CM23" s="442">
        <f>-19.5+1.6</f>
        <v>-17.899999999999999</v>
      </c>
      <c r="CN23" s="637">
        <f>1.5-18</f>
        <v>-16.5</v>
      </c>
      <c r="CO23" s="637">
        <f>1.4-18</f>
        <v>-16.600000000000001</v>
      </c>
      <c r="CP23" s="564">
        <f>-17.6+1.3</f>
        <v>-16.3</v>
      </c>
      <c r="CQ23" s="572">
        <f>-16.9+1.6</f>
        <v>-15.299999999999999</v>
      </c>
      <c r="CR23" s="436">
        <f>-(CR24*CQ120)/4</f>
        <v>-13.978952862093438</v>
      </c>
      <c r="CS23" s="436">
        <f>-(CS24*CR120)/4</f>
        <v>-13.978952862093438</v>
      </c>
      <c r="CT23" s="436">
        <f>-(CT24*CS120)/4</f>
        <v>-13.978952862093438</v>
      </c>
      <c r="CU23" s="435">
        <f>-(CU24*CT120)/4</f>
        <v>-13.978952862093438</v>
      </c>
      <c r="CV23" s="406"/>
      <c r="CW23" s="403"/>
      <c r="CX23" s="407">
        <f>SUM(D23:G23)</f>
        <v>-14.2</v>
      </c>
      <c r="CY23" s="407">
        <f>SUM(H23:K23)</f>
        <v>-21.4</v>
      </c>
      <c r="CZ23" s="407">
        <f>SUM(L23:O23)</f>
        <v>-24.6</v>
      </c>
      <c r="DA23" s="407">
        <f>SUM(P23:S23)</f>
        <v>-26.900000000000002</v>
      </c>
      <c r="DB23" s="407">
        <f>SUM(T23:W23)</f>
        <v>-49.3</v>
      </c>
      <c r="DC23" s="407">
        <f>SUM(X23:AA23)</f>
        <v>-62.6</v>
      </c>
      <c r="DD23" s="407">
        <f>SUM(AB23:AE23)</f>
        <v>-47.8</v>
      </c>
      <c r="DE23" s="407">
        <f>SUM(AF23:AI23)</f>
        <v>-37.6</v>
      </c>
      <c r="DF23" s="407">
        <f>SUM(AJ23:AM23)</f>
        <v>-33.299999999999997</v>
      </c>
      <c r="DG23" s="407">
        <f>SUM(AN23:AQ23)</f>
        <v>-29.7</v>
      </c>
      <c r="DH23" s="407">
        <f>SUM(AR23:AU23)</f>
        <v>-37.100000000000009</v>
      </c>
      <c r="DI23" s="407">
        <f>SUM(AV23:AY23)</f>
        <v>-40.200000000000003</v>
      </c>
      <c r="DJ23" s="407">
        <f>SUM(AZ23:BC23)</f>
        <v>-34.700000000000003</v>
      </c>
      <c r="DK23" s="407">
        <f>SUM(BD23:BG23)</f>
        <v>-38.799999999999997</v>
      </c>
      <c r="DL23" s="407">
        <f>SUM(BH23:BK23)</f>
        <v>-54.7</v>
      </c>
      <c r="DM23" s="407">
        <f>SUM(BL23:BO23)</f>
        <v>-66.599999999999994</v>
      </c>
      <c r="DN23" s="407">
        <f>SUM(BP23:BS23)</f>
        <v>-69.800000000000011</v>
      </c>
      <c r="DO23" s="436">
        <f>SUM(BT23:BW23)</f>
        <v>-34.700000000000003</v>
      </c>
      <c r="DP23" s="436">
        <f>SUM(BX23:CA23)</f>
        <v>-29.4</v>
      </c>
      <c r="DQ23" s="436">
        <f>SUM(CB23:CE23)</f>
        <v>-30.9</v>
      </c>
      <c r="DR23" s="436">
        <f>SUM(CF23:CI23)</f>
        <v>-52.9</v>
      </c>
      <c r="DS23" s="436">
        <f>SUM(CJ23:CM23)</f>
        <v>-78.299999999999983</v>
      </c>
      <c r="DT23" s="436">
        <f>SUM(CN23:CQ23)</f>
        <v>-64.7</v>
      </c>
      <c r="DU23" s="408">
        <f>SUM(CR23:CU23)</f>
        <v>-55.915811448373752</v>
      </c>
      <c r="DV23" s="452">
        <f>-(DV24*DU120)</f>
        <v>-55.915811448373752</v>
      </c>
      <c r="DW23" s="452">
        <f>-(DW24*DV120)</f>
        <v>-55.915811448373752</v>
      </c>
      <c r="DX23" s="452">
        <f>-(DX24*DW120)</f>
        <v>-55.915811448373752</v>
      </c>
      <c r="DY23" s="452">
        <f>-(DY24*DX120)</f>
        <v>-55.915811448373752</v>
      </c>
      <c r="DZ23" s="452">
        <f>-(DZ24*DY120)</f>
        <v>-55.915811448373752</v>
      </c>
      <c r="EA23" s="423"/>
      <c r="EB23"/>
      <c r="EC23"/>
      <c r="ED23"/>
      <c r="EE23"/>
      <c r="EF23"/>
      <c r="EG23"/>
    </row>
    <row r="24" spans="1:137" s="418" customFormat="1">
      <c r="A24" s="411"/>
      <c r="B24" s="453" t="s">
        <v>294</v>
      </c>
      <c r="C24" s="902"/>
      <c r="D24" s="454"/>
      <c r="E24" s="455"/>
      <c r="F24" s="455"/>
      <c r="G24" s="456"/>
      <c r="H24" s="455"/>
      <c r="I24" s="455"/>
      <c r="J24" s="455"/>
      <c r="K24" s="456"/>
      <c r="L24" s="455"/>
      <c r="M24" s="455"/>
      <c r="N24" s="455"/>
      <c r="O24" s="456"/>
      <c r="P24" s="455"/>
      <c r="Q24" s="455"/>
      <c r="R24" s="455"/>
      <c r="S24" s="456"/>
      <c r="T24" s="455"/>
      <c r="U24" s="455"/>
      <c r="V24" s="455"/>
      <c r="W24" s="456"/>
      <c r="X24" s="455"/>
      <c r="Y24" s="455">
        <f>(Y23*4)/X120</f>
        <v>-7.0431893687707636E-2</v>
      </c>
      <c r="Z24" s="455">
        <f>(Z23*4)/Y120</f>
        <v>-7.0879304580407892E-2</v>
      </c>
      <c r="AA24" s="456">
        <f>(AA23*4)/Z120</f>
        <v>-6.6674124622440989E-2</v>
      </c>
      <c r="AB24" s="455">
        <f>-(AB23*4)/DC120</f>
        <v>6.4418721690991457E-2</v>
      </c>
      <c r="AC24" s="455">
        <f>-(AC23*4)/AB120</f>
        <v>6.2382090303106527E-2</v>
      </c>
      <c r="AD24" s="455">
        <f>-(AD23*4)/AC120</f>
        <v>6.7020841847159784E-2</v>
      </c>
      <c r="AE24" s="456">
        <f>-(AE23*4)/AD120</f>
        <v>5.5970656160847711E-2</v>
      </c>
      <c r="AF24" s="455">
        <f>-(AF23*4)/DD120</f>
        <v>5.3188602442333789E-2</v>
      </c>
      <c r="AG24" s="455">
        <f>-(AG23*4)/AF120</f>
        <v>5.4519368723098996E-2</v>
      </c>
      <c r="AH24" s="455">
        <f>-(AH23*4)/AG120</f>
        <v>5.5721989215098862E-2</v>
      </c>
      <c r="AI24" s="456">
        <f>-(AI23*4)/AH120</f>
        <v>5.4471175669541537E-2</v>
      </c>
      <c r="AJ24" s="455">
        <f>-(AJ23*4)/DE120</f>
        <v>4.6638165565487756E-2</v>
      </c>
      <c r="AK24" s="455">
        <f>-(AK23*4)/AJ120</f>
        <v>5.3637484586929705E-2</v>
      </c>
      <c r="AL24" s="455">
        <f>-(AL23*4)/AK120</f>
        <v>5.0704225352112671E-2</v>
      </c>
      <c r="AM24" s="456">
        <f>-(AM23*4)/AL120</f>
        <v>4.6310589688175363E-2</v>
      </c>
      <c r="AN24" s="455">
        <f>-(AN23*4)/DF120</f>
        <v>4.6583850931677016E-2</v>
      </c>
      <c r="AO24" s="455">
        <f>-(AO23*4)/AN120</f>
        <v>5.0310356092780131E-2</v>
      </c>
      <c r="AP24" s="455">
        <f>-(AP23*4)/AO120</f>
        <v>5.1466803911477101E-2</v>
      </c>
      <c r="AQ24" s="456">
        <f>-(AQ23*4)/AP120</f>
        <v>4.7433508385566668E-2</v>
      </c>
      <c r="AR24" s="455">
        <f>-(AR23*4)/DG120</f>
        <v>6.3644140290846876E-2</v>
      </c>
      <c r="AS24" s="455">
        <f>-(AS23*4)/AR120</f>
        <v>4.3259777146602577E-2</v>
      </c>
      <c r="AT24" s="455">
        <f>-(AT23*4)/AS120</f>
        <v>4.6320868516284676E-2</v>
      </c>
      <c r="AU24" s="456">
        <f>-(AU23*4)/AT120</f>
        <v>4.1468898326255312E-2</v>
      </c>
      <c r="AV24" s="455">
        <f>-(AV23*4)/DH120</f>
        <v>5.0776502363268063E-2</v>
      </c>
      <c r="AW24" s="455">
        <f>-(AW23*4)/AV120</f>
        <v>5.1228978007761966E-2</v>
      </c>
      <c r="AX24" s="455">
        <f>-(AX23*4)/AW120</f>
        <v>5.5409740449110532E-2</v>
      </c>
      <c r="AY24" s="456">
        <f>-(AY23*4)/AX120</f>
        <v>5.9764089121887291E-2</v>
      </c>
      <c r="AZ24" s="455">
        <f>-(AZ23*4)/DI120</f>
        <v>4.936901955346E-2</v>
      </c>
      <c r="BA24" s="455">
        <f>-(BA23*4)/AZ120</f>
        <v>5.3525179856115115E-2</v>
      </c>
      <c r="BB24" s="455">
        <f>-(BB23*4)/BA120</f>
        <v>5.2060737527114972E-2</v>
      </c>
      <c r="BC24" s="456">
        <f>-(BC23*4)/BB120</f>
        <v>5.3865336658354114E-2</v>
      </c>
      <c r="BD24" s="455">
        <f>-(BD23*4)/DJ120</f>
        <v>4.0861228980040853E-2</v>
      </c>
      <c r="BE24" s="455">
        <f>-(BE23*4)/BD120</f>
        <v>5.9210526315789484E-2</v>
      </c>
      <c r="BF24" s="455">
        <f>-(BF23*4)/BE120</f>
        <v>7.1462753230180254E-2</v>
      </c>
      <c r="BG24" s="456">
        <f>-(BG23*4)/BF120</f>
        <v>5.2085967130214919E-2</v>
      </c>
      <c r="BH24" s="455">
        <f>-(BH23*4)/DK120</f>
        <v>9.5347943098808147E-2</v>
      </c>
      <c r="BI24" s="455">
        <f>-(BI23*4)/BH120</f>
        <v>4.631050355698145E-2</v>
      </c>
      <c r="BJ24" s="455">
        <f>-(BJ23*4)/BI120</f>
        <v>5.8004640371229696E-2</v>
      </c>
      <c r="BK24" s="456">
        <f>-(BK23*4)/BJ120</f>
        <v>7.2195352129291027E-2</v>
      </c>
      <c r="BL24" s="455">
        <f>-(BL23*4)/DL120</f>
        <v>6.743440579366021E-2</v>
      </c>
      <c r="BM24" s="455">
        <f>-(BM23*4)/BL120</f>
        <v>6.0017652250661961E-2</v>
      </c>
      <c r="BN24" s="455">
        <f>-(BN23*4)/BM120</f>
        <v>7.3683121183897346E-2</v>
      </c>
      <c r="BO24" s="456">
        <f>-(BO23*4)/BN120</f>
        <v>7.0511206245278277E-2</v>
      </c>
      <c r="BP24" s="455">
        <f>-(BP23*4)/DM120</f>
        <v>5.8963063368349701E-2</v>
      </c>
      <c r="BQ24" s="455">
        <f>-(BQ23*4)/BP120</f>
        <v>5.3771679320192244E-2</v>
      </c>
      <c r="BR24" s="455">
        <f>-(BR23*4)/BQ120</f>
        <v>4.7484298433294221E-2</v>
      </c>
      <c r="BS24" s="456">
        <f>-(BS23*4)/BR120</f>
        <v>4.5673249551166965E-2</v>
      </c>
      <c r="BT24" s="455">
        <f>-(BT23*4)/DN120</f>
        <v>4.12309081333233E-2</v>
      </c>
      <c r="BU24" s="455">
        <f>-(BU23*4)/BT120</f>
        <v>3.2056737588652483E-2</v>
      </c>
      <c r="BV24" s="455">
        <f>-(BV23*4)/BU120</f>
        <v>1.3874436351023239E-2</v>
      </c>
      <c r="BW24" s="456">
        <f>-(BW23*4)/BV120</f>
        <v>2.0674646354733407E-2</v>
      </c>
      <c r="BX24" s="455">
        <f>-(BX23*4)/DO120</f>
        <v>3.2608695652173912E-2</v>
      </c>
      <c r="BY24" s="455">
        <f>-(BY23*4)/BX120</f>
        <v>2.5984842175397687E-2</v>
      </c>
      <c r="BZ24" s="455">
        <f>-(BZ23*4)/BY120</f>
        <v>2.2112023412730674E-2</v>
      </c>
      <c r="CA24" s="456">
        <f>-(CA23*4)/BZ120</f>
        <v>1.9177866855301422E-2</v>
      </c>
      <c r="CB24" s="455">
        <f>-(CB23*4)/DP120</f>
        <v>2.1920497300834285E-2</v>
      </c>
      <c r="CC24" s="455">
        <f>-(CC23*4)/CB120</f>
        <v>2.2253129346314324E-2</v>
      </c>
      <c r="CD24" s="455">
        <f>-(CD23*4)/CC120</f>
        <v>2.4411788324098606E-2</v>
      </c>
      <c r="CE24" s="456">
        <f>-(CE23*4)/CD120</f>
        <v>2.7449485322150208E-2</v>
      </c>
      <c r="CF24" s="455">
        <f>-(CF23*4)/DQ120</f>
        <v>2.4776119402985075E-2</v>
      </c>
      <c r="CG24" s="455">
        <f>-(CG23*4)/CF120</f>
        <v>3.4812880765883382E-2</v>
      </c>
      <c r="CH24" s="455">
        <f>-(CH23*4)/CG120</f>
        <v>2.8828029715046014E-2</v>
      </c>
      <c r="CI24" s="456">
        <f>-(CI23*4)/CH120</f>
        <v>3.4492288983472452E-2</v>
      </c>
      <c r="CJ24" s="455">
        <f>-(CJ23*4)/DR120</f>
        <v>3.0708078406921007E-2</v>
      </c>
      <c r="CK24" s="455">
        <f>-(CK23*4)/CJ120</f>
        <v>3.0634236453201968E-2</v>
      </c>
      <c r="CL24" s="455">
        <f>-(CL23*4)/CK120</f>
        <v>3.1577349324426893E-2</v>
      </c>
      <c r="CM24" s="456">
        <f>-(CM23*4)/CL120</f>
        <v>2.737735632623408E-2</v>
      </c>
      <c r="CN24" s="455">
        <f>-(CN23*4)/DS120</f>
        <v>2.9736427123225953E-2</v>
      </c>
      <c r="CO24" s="455">
        <f>-(CO23*4)/CN120</f>
        <v>2.8927420057506318E-2</v>
      </c>
      <c r="CP24" s="455">
        <f>-(CP23*4)/CO120</f>
        <v>2.9373338739469294E-2</v>
      </c>
      <c r="CQ24" s="1163">
        <f>-(CQ23*4)/CP120</f>
        <v>2.5552169011732285E-2</v>
      </c>
      <c r="CR24" s="642">
        <f>CQ24</f>
        <v>2.5552169011732285E-2</v>
      </c>
      <c r="CS24" s="642">
        <f>CR24</f>
        <v>2.5552169011732285E-2</v>
      </c>
      <c r="CT24" s="642">
        <f>CS24</f>
        <v>2.5552169011732285E-2</v>
      </c>
      <c r="CU24" s="643">
        <f>CT24</f>
        <v>2.5552169011732285E-2</v>
      </c>
      <c r="CV24" s="416"/>
      <c r="CW24" s="455"/>
      <c r="CX24" s="455"/>
      <c r="CY24" s="455">
        <f t="shared" ref="CY24:DU24" si="34">-CY23/CX120</f>
        <v>0.15887156644394951</v>
      </c>
      <c r="CZ24" s="455">
        <f t="shared" si="34"/>
        <v>7.7529152221872052E-2</v>
      </c>
      <c r="DA24" s="455">
        <f t="shared" si="34"/>
        <v>7.9562259686483297E-2</v>
      </c>
      <c r="DB24" s="455">
        <f t="shared" si="34"/>
        <v>0.1252858958068615</v>
      </c>
      <c r="DC24" s="455">
        <f t="shared" si="34"/>
        <v>6.3858002652249321E-2</v>
      </c>
      <c r="DD24" s="455">
        <f t="shared" si="34"/>
        <v>6.0140915953699046E-2</v>
      </c>
      <c r="DE24" s="455">
        <f t="shared" si="34"/>
        <v>5.1017639077340575E-2</v>
      </c>
      <c r="DF24" s="455">
        <f t="shared" si="34"/>
        <v>4.3140303148076174E-2</v>
      </c>
      <c r="DG24" s="455">
        <f t="shared" si="34"/>
        <v>4.6118012422360244E-2</v>
      </c>
      <c r="DH24" s="455">
        <f t="shared" si="34"/>
        <v>6.3473053892215581E-2</v>
      </c>
      <c r="DI24" s="455">
        <f t="shared" si="34"/>
        <v>5.4287643484132349E-2</v>
      </c>
      <c r="DJ24" s="455">
        <f t="shared" si="34"/>
        <v>4.8120926362501745E-2</v>
      </c>
      <c r="DK24" s="455">
        <f t="shared" si="34"/>
        <v>6.097752632406097E-2</v>
      </c>
      <c r="DL24" s="455">
        <f t="shared" si="34"/>
        <v>7.0101243111623732E-2</v>
      </c>
      <c r="DM24" s="455">
        <f t="shared" si="34"/>
        <v>7.9069215243974811E-2</v>
      </c>
      <c r="DN24" s="455">
        <f t="shared" si="34"/>
        <v>5.9132497458488656E-2</v>
      </c>
      <c r="DO24" s="455">
        <f t="shared" si="34"/>
        <v>2.610789255887443E-2</v>
      </c>
      <c r="DP24" s="455">
        <f t="shared" si="34"/>
        <v>2.7548725637181408E-2</v>
      </c>
      <c r="DQ24" s="455">
        <f t="shared" si="34"/>
        <v>2.5274006216260428E-2</v>
      </c>
      <c r="DR24" s="455">
        <f t="shared" si="34"/>
        <v>3.9477611940298508E-2</v>
      </c>
      <c r="DS24" s="455">
        <f t="shared" si="34"/>
        <v>3.0513230193679117E-2</v>
      </c>
      <c r="DT24" s="455">
        <f t="shared" si="34"/>
        <v>2.9150709619283625E-2</v>
      </c>
      <c r="DU24" s="455">
        <f t="shared" si="34"/>
        <v>2.5552169011732285E-2</v>
      </c>
      <c r="DV24" s="644">
        <f>DU24</f>
        <v>2.5552169011732285E-2</v>
      </c>
      <c r="DW24" s="644">
        <f>DV24</f>
        <v>2.5552169011732285E-2</v>
      </c>
      <c r="DX24" s="644">
        <f>DW24</f>
        <v>2.5552169011732285E-2</v>
      </c>
      <c r="DY24" s="644">
        <f>DX24</f>
        <v>2.5552169011732285E-2</v>
      </c>
      <c r="DZ24" s="644">
        <f>DY24</f>
        <v>2.5552169011732285E-2</v>
      </c>
      <c r="EA24" s="417"/>
      <c r="EB24"/>
      <c r="EC24"/>
      <c r="ED24"/>
      <c r="EE24"/>
      <c r="EF24"/>
      <c r="EG24"/>
    </row>
    <row r="25" spans="1:137" s="410" customFormat="1">
      <c r="A25" s="626"/>
      <c r="B25" s="401" t="s">
        <v>257</v>
      </c>
      <c r="C25" s="900"/>
      <c r="D25" s="532">
        <f t="shared" ref="D25:AI25" si="35">D18+D21+D22+D23</f>
        <v>29.500000000000028</v>
      </c>
      <c r="E25" s="408">
        <f t="shared" si="35"/>
        <v>34.700000000000003</v>
      </c>
      <c r="F25" s="408">
        <f t="shared" si="35"/>
        <v>18.20000000000001</v>
      </c>
      <c r="G25" s="464">
        <f t="shared" si="35"/>
        <v>30.9</v>
      </c>
      <c r="H25" s="408">
        <f t="shared" si="35"/>
        <v>20.199999999999996</v>
      </c>
      <c r="I25" s="408">
        <f t="shared" si="35"/>
        <v>34.100000000000009</v>
      </c>
      <c r="J25" s="408">
        <f t="shared" si="35"/>
        <v>27.300000000000011</v>
      </c>
      <c r="K25" s="464">
        <f t="shared" si="35"/>
        <v>37.199999999999989</v>
      </c>
      <c r="L25" s="408">
        <f t="shared" si="35"/>
        <v>38.4</v>
      </c>
      <c r="M25" s="408">
        <f t="shared" si="35"/>
        <v>45.299999999999969</v>
      </c>
      <c r="N25" s="408">
        <f t="shared" si="35"/>
        <v>33.300000000000018</v>
      </c>
      <c r="O25" s="464">
        <f t="shared" si="35"/>
        <v>44.1</v>
      </c>
      <c r="P25" s="408">
        <f t="shared" si="35"/>
        <v>37.799999999999997</v>
      </c>
      <c r="Q25" s="408">
        <f t="shared" si="35"/>
        <v>29.800000000000018</v>
      </c>
      <c r="R25" s="408">
        <f t="shared" si="35"/>
        <v>26.800000000000011</v>
      </c>
      <c r="S25" s="464">
        <f t="shared" si="35"/>
        <v>48.399999999999991</v>
      </c>
      <c r="T25" s="408">
        <f t="shared" si="35"/>
        <v>52.199999999999974</v>
      </c>
      <c r="U25" s="408">
        <f t="shared" si="35"/>
        <v>57.099999999999945</v>
      </c>
      <c r="V25" s="408">
        <f t="shared" si="35"/>
        <v>43.200000000000053</v>
      </c>
      <c r="W25" s="464">
        <f t="shared" si="35"/>
        <v>55.699999999999896</v>
      </c>
      <c r="X25" s="408">
        <f t="shared" si="35"/>
        <v>77.80000000000004</v>
      </c>
      <c r="Y25" s="408">
        <f t="shared" si="35"/>
        <v>74.699999999999932</v>
      </c>
      <c r="Z25" s="408">
        <f t="shared" si="35"/>
        <v>51.100000000000016</v>
      </c>
      <c r="AA25" s="464">
        <f t="shared" si="35"/>
        <v>54.099999999999987</v>
      </c>
      <c r="AB25" s="408">
        <f t="shared" si="35"/>
        <v>44.799999999999926</v>
      </c>
      <c r="AC25" s="408">
        <f t="shared" si="35"/>
        <v>50.799999999999983</v>
      </c>
      <c r="AD25" s="408">
        <f t="shared" si="35"/>
        <v>40.799999999999969</v>
      </c>
      <c r="AE25" s="464">
        <f t="shared" si="35"/>
        <v>43.79999999999994</v>
      </c>
      <c r="AF25" s="408">
        <f t="shared" si="35"/>
        <v>49.299999999999983</v>
      </c>
      <c r="AG25" s="408">
        <f t="shared" si="35"/>
        <v>70.899999999999935</v>
      </c>
      <c r="AH25" s="408">
        <f t="shared" si="35"/>
        <v>50.09999999999998</v>
      </c>
      <c r="AI25" s="464">
        <f t="shared" si="35"/>
        <v>63.599999999999966</v>
      </c>
      <c r="AJ25" s="408">
        <f t="shared" ref="AJ25:BO25" si="36">AJ18+AJ21+AJ22+AJ23</f>
        <v>65.300000000000011</v>
      </c>
      <c r="AK25" s="408">
        <f t="shared" si="36"/>
        <v>66.100000000000051</v>
      </c>
      <c r="AL25" s="408">
        <f t="shared" si="36"/>
        <v>52.000000000000064</v>
      </c>
      <c r="AM25" s="464">
        <f t="shared" si="36"/>
        <v>73.299999999999912</v>
      </c>
      <c r="AN25" s="408">
        <f t="shared" si="36"/>
        <v>76.600000000000023</v>
      </c>
      <c r="AO25" s="408">
        <f t="shared" si="36"/>
        <v>82.10000000000008</v>
      </c>
      <c r="AP25" s="408">
        <f t="shared" si="36"/>
        <v>66.899999999999906</v>
      </c>
      <c r="AQ25" s="464">
        <f t="shared" si="36"/>
        <v>83.000000000000043</v>
      </c>
      <c r="AR25" s="408">
        <f t="shared" si="36"/>
        <v>79.400000000000048</v>
      </c>
      <c r="AS25" s="408">
        <f t="shared" si="36"/>
        <v>102.40000000000012</v>
      </c>
      <c r="AT25" s="408">
        <f t="shared" si="36"/>
        <v>86.600000000000051</v>
      </c>
      <c r="AU25" s="464">
        <f t="shared" si="36"/>
        <v>99.424000000000021</v>
      </c>
      <c r="AV25" s="408">
        <f t="shared" si="36"/>
        <v>94.900000000000091</v>
      </c>
      <c r="AW25" s="408">
        <f t="shared" si="36"/>
        <v>106.10000000000002</v>
      </c>
      <c r="AX25" s="408">
        <f t="shared" si="36"/>
        <v>65.499999999999957</v>
      </c>
      <c r="AY25" s="464">
        <f t="shared" si="36"/>
        <v>87.473333333333372</v>
      </c>
      <c r="AZ25" s="408">
        <f t="shared" si="36"/>
        <v>104.19999999999986</v>
      </c>
      <c r="BA25" s="408">
        <f t="shared" si="36"/>
        <v>113.09999999999992</v>
      </c>
      <c r="BB25" s="408">
        <f t="shared" si="36"/>
        <v>99.799999999999827</v>
      </c>
      <c r="BC25" s="464">
        <f t="shared" si="36"/>
        <v>129.70000000000005</v>
      </c>
      <c r="BD25" s="408">
        <f t="shared" si="36"/>
        <v>129.30000000000001</v>
      </c>
      <c r="BE25" s="408">
        <f t="shared" si="36"/>
        <v>127.19999999999992</v>
      </c>
      <c r="BF25" s="408">
        <f t="shared" si="36"/>
        <v>71.579970000000259</v>
      </c>
      <c r="BG25" s="464">
        <f t="shared" si="36"/>
        <v>2.2999999999999758</v>
      </c>
      <c r="BH25" s="408">
        <f t="shared" si="36"/>
        <v>-12.899999999999974</v>
      </c>
      <c r="BI25" s="408">
        <f t="shared" si="36"/>
        <v>-9.8731692307691503</v>
      </c>
      <c r="BJ25" s="408">
        <f t="shared" si="36"/>
        <v>21.49999999999995</v>
      </c>
      <c r="BK25" s="464">
        <f t="shared" si="36"/>
        <v>62.299999999999926</v>
      </c>
      <c r="BL25" s="408">
        <f t="shared" si="36"/>
        <v>102.29999999999998</v>
      </c>
      <c r="BM25" s="408">
        <f t="shared" si="36"/>
        <v>133.70000000000007</v>
      </c>
      <c r="BN25" s="408">
        <f t="shared" si="36"/>
        <v>115.7000000000002</v>
      </c>
      <c r="BO25" s="464">
        <f t="shared" si="36"/>
        <v>146.20000000000013</v>
      </c>
      <c r="BP25" s="408">
        <f t="shared" ref="BP25:CU25" si="37">BP18+BP21+BP22+BP23</f>
        <v>170.30000000000018</v>
      </c>
      <c r="BQ25" s="408">
        <f t="shared" si="37"/>
        <v>187.99999999999991</v>
      </c>
      <c r="BR25" s="408">
        <f t="shared" si="37"/>
        <v>193.09999999999997</v>
      </c>
      <c r="BS25" s="464">
        <f t="shared" si="37"/>
        <v>206.9</v>
      </c>
      <c r="BT25" s="408">
        <f t="shared" si="37"/>
        <v>221.19999999999996</v>
      </c>
      <c r="BU25" s="408">
        <f t="shared" si="37"/>
        <v>232.60000000000005</v>
      </c>
      <c r="BV25" s="408">
        <f t="shared" si="37"/>
        <v>170.10000000000005</v>
      </c>
      <c r="BW25" s="464">
        <f t="shared" si="37"/>
        <v>186.77999999999983</v>
      </c>
      <c r="BX25" s="408">
        <f t="shared" si="37"/>
        <v>211.16000000000003</v>
      </c>
      <c r="BY25" s="408">
        <f t="shared" si="37"/>
        <v>246.70000000000013</v>
      </c>
      <c r="BZ25" s="408">
        <f t="shared" si="37"/>
        <v>229.20000000000013</v>
      </c>
      <c r="CA25" s="464">
        <f t="shared" si="37"/>
        <v>237.50500000000017</v>
      </c>
      <c r="CB25" s="408">
        <f t="shared" si="37"/>
        <v>265.10899999999998</v>
      </c>
      <c r="CC25" s="408">
        <f t="shared" si="37"/>
        <v>298.98019999999991</v>
      </c>
      <c r="CD25" s="408">
        <f t="shared" si="37"/>
        <v>260.89999999999998</v>
      </c>
      <c r="CE25" s="464">
        <f t="shared" si="37"/>
        <v>248.60000000000014</v>
      </c>
      <c r="CF25" s="408">
        <f t="shared" si="37"/>
        <v>261.10000000000002</v>
      </c>
      <c r="CG25" s="408">
        <f t="shared" si="37"/>
        <v>257.50000000000006</v>
      </c>
      <c r="CH25" s="408">
        <f t="shared" si="37"/>
        <v>246.00000000000006</v>
      </c>
      <c r="CI25" s="464">
        <f t="shared" si="37"/>
        <v>264.59999999999985</v>
      </c>
      <c r="CJ25" s="408">
        <f t="shared" si="37"/>
        <v>265.8</v>
      </c>
      <c r="CK25" s="408">
        <f t="shared" si="37"/>
        <v>277.09999999999985</v>
      </c>
      <c r="CL25" s="408">
        <f t="shared" si="37"/>
        <v>256.89999999999992</v>
      </c>
      <c r="CM25" s="627">
        <f t="shared" si="37"/>
        <v>277.00000000000011</v>
      </c>
      <c r="CN25" s="628">
        <f t="shared" si="37"/>
        <v>285.89999999999992</v>
      </c>
      <c r="CO25" s="628">
        <f t="shared" si="37"/>
        <v>297.29999999999978</v>
      </c>
      <c r="CP25" s="408">
        <f t="shared" si="37"/>
        <v>296.39999999999975</v>
      </c>
      <c r="CQ25" s="464">
        <f t="shared" ref="CQ25" si="38">CQ18+CQ21+CQ22+CQ23</f>
        <v>325.59999999999997</v>
      </c>
      <c r="CR25" s="628">
        <f t="shared" si="37"/>
        <v>332.72405291921314</v>
      </c>
      <c r="CS25" s="628">
        <f t="shared" si="37"/>
        <v>346.8618602892011</v>
      </c>
      <c r="CT25" s="628">
        <f t="shared" si="37"/>
        <v>321.9834186130426</v>
      </c>
      <c r="CU25" s="627">
        <f t="shared" si="37"/>
        <v>356.47052989876363</v>
      </c>
      <c r="CV25" s="406"/>
      <c r="CW25" s="408"/>
      <c r="CX25" s="408">
        <f t="shared" ref="CX25:DZ25" si="39">CX18+CX22+CX23</f>
        <v>122.89999999999985</v>
      </c>
      <c r="CY25" s="408">
        <f t="shared" si="39"/>
        <v>132.30000000000018</v>
      </c>
      <c r="CZ25" s="408">
        <f t="shared" si="39"/>
        <v>177.80000000000004</v>
      </c>
      <c r="DA25" s="408">
        <f t="shared" si="39"/>
        <v>159.59999999999991</v>
      </c>
      <c r="DB25" s="408">
        <f t="shared" si="39"/>
        <v>240.29999999999995</v>
      </c>
      <c r="DC25" s="408">
        <f t="shared" si="39"/>
        <v>257.69999999999942</v>
      </c>
      <c r="DD25" s="408">
        <f t="shared" si="39"/>
        <v>180.19999999999982</v>
      </c>
      <c r="DE25" s="408">
        <f t="shared" si="39"/>
        <v>233.89999999999984</v>
      </c>
      <c r="DF25" s="408">
        <f t="shared" si="39"/>
        <v>256.69999999999948</v>
      </c>
      <c r="DG25" s="408">
        <f t="shared" si="39"/>
        <v>308.59999999999974</v>
      </c>
      <c r="DH25" s="408">
        <f t="shared" si="39"/>
        <v>367.82400000000052</v>
      </c>
      <c r="DI25" s="408">
        <f t="shared" si="39"/>
        <v>353.97333333333302</v>
      </c>
      <c r="DJ25" s="408">
        <f t="shared" si="39"/>
        <v>446.79999999999967</v>
      </c>
      <c r="DK25" s="408">
        <f t="shared" si="39"/>
        <v>330.37996999999967</v>
      </c>
      <c r="DL25" s="408">
        <f t="shared" si="39"/>
        <v>61.026830769231253</v>
      </c>
      <c r="DM25" s="408">
        <f t="shared" si="39"/>
        <v>497.8999999999993</v>
      </c>
      <c r="DN25" s="408">
        <f t="shared" si="39"/>
        <v>758.29999999999973</v>
      </c>
      <c r="DO25" s="408">
        <f t="shared" si="39"/>
        <v>810.68000000000143</v>
      </c>
      <c r="DP25" s="408">
        <f t="shared" si="39"/>
        <v>924.56500000000096</v>
      </c>
      <c r="DQ25" s="408">
        <f t="shared" si="39"/>
        <v>1073.5891999999994</v>
      </c>
      <c r="DR25" s="408">
        <f t="shared" si="39"/>
        <v>1029.2000000000003</v>
      </c>
      <c r="DS25" s="408">
        <f t="shared" si="39"/>
        <v>1076.8000000000006</v>
      </c>
      <c r="DT25" s="408">
        <f t="shared" si="39"/>
        <v>1205.1999999999989</v>
      </c>
      <c r="DU25" s="408">
        <f t="shared" si="39"/>
        <v>1358.0398617202222</v>
      </c>
      <c r="DV25" s="408">
        <f t="shared" si="39"/>
        <v>1400.3416378391987</v>
      </c>
      <c r="DW25" s="408">
        <f t="shared" si="39"/>
        <v>1431.2389488409958</v>
      </c>
      <c r="DX25" s="408">
        <f t="shared" si="39"/>
        <v>1452.8695905083655</v>
      </c>
      <c r="DY25" s="408">
        <f t="shared" si="39"/>
        <v>1454.5944532539795</v>
      </c>
      <c r="DZ25" s="408">
        <f t="shared" si="39"/>
        <v>1433.917782627464</v>
      </c>
      <c r="EA25" s="409"/>
      <c r="EB25"/>
      <c r="EC25"/>
      <c r="ED25"/>
      <c r="EE25"/>
      <c r="EF25"/>
      <c r="EG25"/>
    </row>
    <row r="26" spans="1:137">
      <c r="A26" s="374"/>
      <c r="B26" s="428"/>
      <c r="C26" s="901"/>
      <c r="D26" s="429"/>
      <c r="E26" s="428"/>
      <c r="F26" s="428"/>
      <c r="G26" s="430"/>
      <c r="H26" s="428"/>
      <c r="I26" s="428"/>
      <c r="J26" s="428"/>
      <c r="K26" s="430"/>
      <c r="L26" s="428"/>
      <c r="M26" s="428"/>
      <c r="N26" s="428"/>
      <c r="O26" s="430"/>
      <c r="P26" s="428"/>
      <c r="Q26" s="428"/>
      <c r="R26" s="428"/>
      <c r="S26" s="430"/>
      <c r="T26" s="428"/>
      <c r="U26" s="428"/>
      <c r="V26" s="428"/>
      <c r="W26" s="430"/>
      <c r="X26" s="428"/>
      <c r="Y26" s="428"/>
      <c r="Z26" s="428"/>
      <c r="AA26" s="430"/>
      <c r="AB26" s="428"/>
      <c r="AC26" s="428"/>
      <c r="AD26" s="428"/>
      <c r="AE26" s="430"/>
      <c r="AF26" s="428"/>
      <c r="AG26" s="428"/>
      <c r="AH26" s="428"/>
      <c r="AI26" s="430"/>
      <c r="AJ26" s="428"/>
      <c r="AK26" s="428"/>
      <c r="AL26" s="428"/>
      <c r="AM26" s="430"/>
      <c r="AN26" s="428"/>
      <c r="AO26" s="428"/>
      <c r="AP26" s="428"/>
      <c r="AQ26" s="430"/>
      <c r="AR26" s="428"/>
      <c r="AS26" s="428"/>
      <c r="AT26" s="428"/>
      <c r="AU26" s="430"/>
      <c r="AV26" s="428"/>
      <c r="AW26" s="428"/>
      <c r="AX26" s="428"/>
      <c r="AY26" s="430"/>
      <c r="AZ26" s="428"/>
      <c r="BA26" s="428"/>
      <c r="BB26" s="428"/>
      <c r="BC26" s="430"/>
      <c r="BD26" s="428"/>
      <c r="BE26" s="428"/>
      <c r="BF26" s="428"/>
      <c r="BG26" s="430"/>
      <c r="BH26" s="428"/>
      <c r="BI26" s="428"/>
      <c r="BJ26" s="428"/>
      <c r="BK26" s="430"/>
      <c r="BL26" s="428"/>
      <c r="BM26" s="428"/>
      <c r="BN26" s="428"/>
      <c r="BO26" s="430"/>
      <c r="BP26" s="428"/>
      <c r="BQ26" s="428"/>
      <c r="BR26" s="428"/>
      <c r="BS26" s="430"/>
      <c r="BT26" s="428"/>
      <c r="BU26" s="428"/>
      <c r="BV26" s="428"/>
      <c r="BW26" s="430"/>
      <c r="BX26" s="428"/>
      <c r="BY26" s="428"/>
      <c r="BZ26" s="428"/>
      <c r="CA26" s="430"/>
      <c r="CB26" s="428"/>
      <c r="CC26" s="428"/>
      <c r="CD26" s="428"/>
      <c r="CE26" s="430"/>
      <c r="CF26" s="428"/>
      <c r="CG26" s="428"/>
      <c r="CH26" s="428"/>
      <c r="CI26" s="430"/>
      <c r="CJ26" s="428"/>
      <c r="CK26" s="428"/>
      <c r="CL26" s="428"/>
      <c r="CM26" s="430"/>
      <c r="CN26" s="428"/>
      <c r="CO26" s="428"/>
      <c r="CP26" s="428"/>
      <c r="CQ26" s="430"/>
      <c r="CR26" s="428"/>
      <c r="CS26" s="428"/>
      <c r="CT26" s="428"/>
      <c r="CU26" s="430"/>
      <c r="CV26" s="376"/>
      <c r="CW26" s="428"/>
      <c r="CX26" s="428"/>
      <c r="CY26" s="428"/>
      <c r="CZ26" s="428"/>
      <c r="DA26" s="428"/>
      <c r="DB26" s="428"/>
      <c r="DC26" s="428"/>
      <c r="DD26" s="428"/>
      <c r="DE26" s="428"/>
      <c r="DF26" s="428"/>
      <c r="DG26" s="428"/>
      <c r="DH26" s="428"/>
      <c r="DI26" s="428"/>
      <c r="DJ26" s="428"/>
      <c r="DK26" s="428"/>
      <c r="DL26" s="428"/>
      <c r="DM26" s="428"/>
      <c r="DN26" s="428"/>
      <c r="DO26" s="428"/>
      <c r="DP26" s="428"/>
      <c r="DQ26" s="428"/>
      <c r="DR26" s="428"/>
      <c r="DS26" s="428"/>
      <c r="DT26" s="428"/>
      <c r="DU26" s="428"/>
      <c r="DV26" s="428"/>
      <c r="DW26" s="428"/>
      <c r="DX26" s="428"/>
      <c r="DY26" s="428"/>
      <c r="DZ26" s="428"/>
      <c r="EA26" s="431"/>
    </row>
    <row r="27" spans="1:137" s="410" customFormat="1">
      <c r="A27" s="400"/>
      <c r="B27" s="401" t="s">
        <v>230</v>
      </c>
      <c r="C27" s="658"/>
      <c r="D27" s="629">
        <v>-11.5</v>
      </c>
      <c r="E27" s="630">
        <v>-13</v>
      </c>
      <c r="F27" s="630">
        <v>-4.6271186440677941</v>
      </c>
      <c r="G27" s="631">
        <v>-8</v>
      </c>
      <c r="H27" s="630">
        <v>-7.2</v>
      </c>
      <c r="I27" s="630">
        <v>-11.8</v>
      </c>
      <c r="J27" s="630">
        <v>-7.8</v>
      </c>
      <c r="K27" s="631">
        <v>13.9</v>
      </c>
      <c r="L27" s="630">
        <v>-12.9</v>
      </c>
      <c r="M27" s="630">
        <v>-15.2</v>
      </c>
      <c r="N27" s="630">
        <v>-11.1</v>
      </c>
      <c r="O27" s="631">
        <v>-15.5</v>
      </c>
      <c r="P27" s="630">
        <v>-11.1</v>
      </c>
      <c r="Q27" s="630">
        <v>-9.4</v>
      </c>
      <c r="R27" s="630">
        <v>-8.6</v>
      </c>
      <c r="S27" s="631">
        <v>-16.899999999999999</v>
      </c>
      <c r="T27" s="630">
        <v>-19.7</v>
      </c>
      <c r="U27" s="630">
        <v>-20.399999999999999</v>
      </c>
      <c r="V27" s="630">
        <v>-15.4</v>
      </c>
      <c r="W27" s="631">
        <v>-19.2</v>
      </c>
      <c r="X27" s="630">
        <v>-29.114999999999998</v>
      </c>
      <c r="Y27" s="630">
        <v>-27.4055</v>
      </c>
      <c r="Z27" s="630">
        <v>-18.542000000000002</v>
      </c>
      <c r="AA27" s="631">
        <v>-19.5015</v>
      </c>
      <c r="AB27" s="630">
        <v>-16.11</v>
      </c>
      <c r="AC27" s="630">
        <v>-18.704999999999998</v>
      </c>
      <c r="AD27" s="630">
        <v>-14.54</v>
      </c>
      <c r="AE27" s="631">
        <v>-14.445</v>
      </c>
      <c r="AF27" s="630">
        <v>-16.3</v>
      </c>
      <c r="AG27" s="630">
        <v>-23.6</v>
      </c>
      <c r="AH27" s="630">
        <v>-16.399999999999999</v>
      </c>
      <c r="AI27" s="631">
        <v>-21</v>
      </c>
      <c r="AJ27" s="630">
        <v>-18.899999999999999</v>
      </c>
      <c r="AK27" s="630">
        <v>-19.2</v>
      </c>
      <c r="AL27" s="630">
        <v>-14.2</v>
      </c>
      <c r="AM27" s="631">
        <v>-20.9</v>
      </c>
      <c r="AN27" s="630">
        <v>-22.9</v>
      </c>
      <c r="AO27" s="630">
        <v>-24.6</v>
      </c>
      <c r="AP27" s="630">
        <v>-20.100000000000001</v>
      </c>
      <c r="AQ27" s="631">
        <v>-25</v>
      </c>
      <c r="AR27" s="630">
        <v>-22.7</v>
      </c>
      <c r="AS27" s="630">
        <v>-29.7</v>
      </c>
      <c r="AT27" s="630">
        <v>-24.2</v>
      </c>
      <c r="AU27" s="631">
        <v>-24.831000000000003</v>
      </c>
      <c r="AV27" s="630">
        <v>-26.6</v>
      </c>
      <c r="AW27" s="630">
        <v>-29.7</v>
      </c>
      <c r="AX27" s="630">
        <v>-15.616</v>
      </c>
      <c r="AY27" s="631">
        <v>-22.424333333333333</v>
      </c>
      <c r="AZ27" s="630">
        <v>-28.437999999999995</v>
      </c>
      <c r="BA27" s="630">
        <v>-30.5</v>
      </c>
      <c r="BB27" s="630">
        <v>-27.42</v>
      </c>
      <c r="BC27" s="631">
        <v>-34.799999999999997</v>
      </c>
      <c r="BD27" s="630">
        <v>-33.6</v>
      </c>
      <c r="BE27" s="630">
        <v>-29.8</v>
      </c>
      <c r="BF27" s="630">
        <v>-18.121530000000018</v>
      </c>
      <c r="BG27" s="631">
        <v>-0.68000000000000327</v>
      </c>
      <c r="BH27" s="630">
        <v>6.6</v>
      </c>
      <c r="BI27" s="630">
        <v>5.1141692307692317</v>
      </c>
      <c r="BJ27" s="630">
        <v>-1.5</v>
      </c>
      <c r="BK27" s="631">
        <v>-9.2300399999999989</v>
      </c>
      <c r="BL27" s="630">
        <v>-18.306739999999998</v>
      </c>
      <c r="BM27" s="630">
        <v>-33</v>
      </c>
      <c r="BN27" s="630">
        <v>-25.4</v>
      </c>
      <c r="BO27" s="631">
        <v>-30.6</v>
      </c>
      <c r="BP27" s="630">
        <v>-40.9</v>
      </c>
      <c r="BQ27" s="630">
        <v>-44.195</v>
      </c>
      <c r="BR27" s="630">
        <v>-46.4</v>
      </c>
      <c r="BS27" s="631">
        <v>-55.5</v>
      </c>
      <c r="BT27" s="630">
        <v>-57.5</v>
      </c>
      <c r="BU27" s="630">
        <v>-62.664999999999999</v>
      </c>
      <c r="BV27" s="630">
        <v>-64.2</v>
      </c>
      <c r="BW27" s="631">
        <f>-48.4+0.02*BW40</f>
        <v>-43.688000000000002</v>
      </c>
      <c r="BX27" s="630">
        <f>-50.9-0.01*BX40</f>
        <v>-53.231999999999999</v>
      </c>
      <c r="BY27" s="630">
        <v>-66.599999999999994</v>
      </c>
      <c r="BZ27" s="630">
        <f>-56.3-0.02*BZ40</f>
        <v>-60.908000000000001</v>
      </c>
      <c r="CA27" s="631">
        <f>-44.5-0.02*CA40</f>
        <v>-49.09</v>
      </c>
      <c r="CB27" s="630">
        <f>-68.1</f>
        <v>-68.099999999999994</v>
      </c>
      <c r="CC27" s="630">
        <v>-85.3</v>
      </c>
      <c r="CD27" s="630">
        <f>-71.9-0.01*CD40</f>
        <v>-74.187000000000012</v>
      </c>
      <c r="CE27" s="631">
        <f>-67.3-0.01*CE40</f>
        <v>-69.58</v>
      </c>
      <c r="CF27" s="630">
        <f>-72.1-0.01*CF40</f>
        <v>-74.370999999999995</v>
      </c>
      <c r="CG27" s="630">
        <f>-80.2+0.01*CG40</f>
        <v>-77.933850000000007</v>
      </c>
      <c r="CH27" s="630">
        <f>-66.9-0.02*CH40</f>
        <v>-71.419820000000001</v>
      </c>
      <c r="CI27" s="631">
        <f>-61.2-0.09*CI40</f>
        <v>-81.260999999999996</v>
      </c>
      <c r="CJ27" s="630">
        <f>-80.4-0.01*CJ40</f>
        <v>-82.581000000000003</v>
      </c>
      <c r="CK27" s="630">
        <f>-84.2</f>
        <v>-84.2</v>
      </c>
      <c r="CL27" s="630">
        <f>-48.8-0.15*CL40</f>
        <v>-80.864899999999992</v>
      </c>
      <c r="CM27" s="451">
        <f>183.1-1.27*CM40</f>
        <v>-85.505000000000024</v>
      </c>
      <c r="CN27" s="632">
        <f>-86.3+(0.02*CN40)</f>
        <v>-82.055279999999996</v>
      </c>
      <c r="CO27" s="632">
        <f>-76.2-0.04*CO40</f>
        <v>-84.659120000000001</v>
      </c>
      <c r="CP27" s="630">
        <f>-79.4-0.03*CP40</f>
        <v>-85.73039</v>
      </c>
      <c r="CQ27" s="631">
        <f>-338.4+1.2*CQ40</f>
        <v>-86.759999999999991</v>
      </c>
      <c r="CR27" s="407">
        <f>-CR28*CR25</f>
        <v>-93.162734817379686</v>
      </c>
      <c r="CS27" s="407">
        <f>-CS28*CS25</f>
        <v>-97.121320880976313</v>
      </c>
      <c r="CT27" s="407">
        <f>-CT28*CT25</f>
        <v>-90.155357211651932</v>
      </c>
      <c r="CU27" s="405">
        <f>-CU28*CU25</f>
        <v>-99.81174837165382</v>
      </c>
      <c r="CV27" s="406"/>
      <c r="CW27" s="403"/>
      <c r="CX27" s="407">
        <f>SUM(D27:G27)</f>
        <v>-37.127118644067792</v>
      </c>
      <c r="CY27" s="407">
        <f>SUM(H27:K27)</f>
        <v>-12.9</v>
      </c>
      <c r="CZ27" s="407">
        <f>SUM(L27:O27)</f>
        <v>-54.7</v>
      </c>
      <c r="DA27" s="407">
        <f>SUM(P27:S27)</f>
        <v>-46</v>
      </c>
      <c r="DB27" s="407">
        <f>SUM(T27:W27)</f>
        <v>-74.699999999999989</v>
      </c>
      <c r="DC27" s="407">
        <f>SUM(X27:AA27)</f>
        <v>-94.563999999999993</v>
      </c>
      <c r="DD27" s="407">
        <f>SUM(AB27:AE27)</f>
        <v>-63.8</v>
      </c>
      <c r="DE27" s="407">
        <f>SUM(AF27:AI27)</f>
        <v>-77.300000000000011</v>
      </c>
      <c r="DF27" s="407">
        <f>SUM(AJ27:AM27)</f>
        <v>-73.199999999999989</v>
      </c>
      <c r="DG27" s="407">
        <f>SUM(AN27:AQ27)</f>
        <v>-92.6</v>
      </c>
      <c r="DH27" s="407">
        <f>SUM(AR27:AU27)</f>
        <v>-101.431</v>
      </c>
      <c r="DI27" s="407">
        <f>SUM(AV27:AY27)</f>
        <v>-94.340333333333334</v>
      </c>
      <c r="DJ27" s="407">
        <f>SUM(AZ27:BC27)</f>
        <v>-121.158</v>
      </c>
      <c r="DK27" s="407">
        <f>SUM(BD27:BG27)</f>
        <v>-82.201530000000034</v>
      </c>
      <c r="DL27" s="407">
        <f>SUM(BH27:BK27)</f>
        <v>0.98412923076923242</v>
      </c>
      <c r="DM27" s="407">
        <f>SUM(BL27:BO27)</f>
        <v>-107.30673999999999</v>
      </c>
      <c r="DN27" s="407">
        <f>SUM(BP27:BS27)</f>
        <v>-186.995</v>
      </c>
      <c r="DO27" s="407">
        <f>SUM(BT27:BW27)</f>
        <v>-228.053</v>
      </c>
      <c r="DP27" s="407">
        <f>SUM(BX27:CA27)</f>
        <v>-229.83</v>
      </c>
      <c r="DQ27" s="407">
        <f>SUM(CB27:CE27)</f>
        <v>-297.16699999999997</v>
      </c>
      <c r="DR27" s="407">
        <f>SUM(CF27:CI27)</f>
        <v>-304.98567000000003</v>
      </c>
      <c r="DS27" s="407">
        <f>SUM(CJ27:CM27)</f>
        <v>-333.15089999999998</v>
      </c>
      <c r="DT27" s="401">
        <f>SUM(CN27:CQ27)</f>
        <v>-339.20479</v>
      </c>
      <c r="DU27" s="401">
        <f>SUM(CR27:CU27)</f>
        <v>-380.25116128166178</v>
      </c>
      <c r="DV27" s="401">
        <f>-DV28*DV25</f>
        <v>-392.09565859497519</v>
      </c>
      <c r="DW27" s="401">
        <f>-DW28*DW25</f>
        <v>-400.74690567547839</v>
      </c>
      <c r="DX27" s="401">
        <f>-DX28*DX25</f>
        <v>-406.8034853423419</v>
      </c>
      <c r="DY27" s="401">
        <f>-DY28*DY25</f>
        <v>-407.28644691111384</v>
      </c>
      <c r="DZ27" s="401">
        <f>-DZ28*DZ25</f>
        <v>-401.49697913568951</v>
      </c>
      <c r="EA27" s="423"/>
      <c r="EB27"/>
      <c r="EC27"/>
      <c r="ED27"/>
      <c r="EE27"/>
      <c r="EF27"/>
      <c r="EG27"/>
    </row>
    <row r="28" spans="1:137" s="418" customFormat="1">
      <c r="A28" s="411"/>
      <c r="B28" s="412" t="s">
        <v>242</v>
      </c>
      <c r="C28" s="898"/>
      <c r="D28" s="413">
        <f t="shared" ref="D28:AI28" si="40">-D27/D25</f>
        <v>0.3898305084745759</v>
      </c>
      <c r="E28" s="414">
        <f t="shared" si="40"/>
        <v>0.37463976945244953</v>
      </c>
      <c r="F28" s="414">
        <f t="shared" si="40"/>
        <v>0.25423728813559293</v>
      </c>
      <c r="G28" s="415">
        <f t="shared" si="40"/>
        <v>0.25889967637540456</v>
      </c>
      <c r="H28" s="414">
        <f t="shared" si="40"/>
        <v>0.35643564356435653</v>
      </c>
      <c r="I28" s="414">
        <f t="shared" si="40"/>
        <v>0.34604105571847499</v>
      </c>
      <c r="J28" s="414">
        <f t="shared" si="40"/>
        <v>0.28571428571428559</v>
      </c>
      <c r="K28" s="415">
        <f t="shared" si="40"/>
        <v>-0.37365591397849474</v>
      </c>
      <c r="L28" s="414">
        <f t="shared" si="40"/>
        <v>0.3359375</v>
      </c>
      <c r="M28" s="414">
        <f t="shared" si="40"/>
        <v>0.33554083885209735</v>
      </c>
      <c r="N28" s="414">
        <f t="shared" si="40"/>
        <v>0.33333333333333315</v>
      </c>
      <c r="O28" s="415">
        <f t="shared" si="40"/>
        <v>0.3514739229024943</v>
      </c>
      <c r="P28" s="414">
        <f t="shared" si="40"/>
        <v>0.29365079365079366</v>
      </c>
      <c r="Q28" s="414">
        <f t="shared" si="40"/>
        <v>0.31543624161073808</v>
      </c>
      <c r="R28" s="414">
        <f t="shared" si="40"/>
        <v>0.32089552238805957</v>
      </c>
      <c r="S28" s="415">
        <f t="shared" si="40"/>
        <v>0.34917355371900832</v>
      </c>
      <c r="T28" s="414">
        <f t="shared" si="40"/>
        <v>0.37739463601532586</v>
      </c>
      <c r="U28" s="414">
        <f t="shared" si="40"/>
        <v>0.35726795096322272</v>
      </c>
      <c r="V28" s="414">
        <f t="shared" si="40"/>
        <v>0.35648148148148107</v>
      </c>
      <c r="W28" s="415">
        <f t="shared" si="40"/>
        <v>0.34470377019748716</v>
      </c>
      <c r="X28" s="414">
        <f t="shared" si="40"/>
        <v>0.37422879177377871</v>
      </c>
      <c r="Y28" s="414">
        <f t="shared" si="40"/>
        <v>0.36687416331994677</v>
      </c>
      <c r="Z28" s="414">
        <f t="shared" si="40"/>
        <v>0.36285714285714277</v>
      </c>
      <c r="AA28" s="415">
        <f t="shared" si="40"/>
        <v>0.36047134935304997</v>
      </c>
      <c r="AB28" s="414">
        <f t="shared" si="40"/>
        <v>0.35959821428571487</v>
      </c>
      <c r="AC28" s="414">
        <f t="shared" si="40"/>
        <v>0.36820866141732295</v>
      </c>
      <c r="AD28" s="414">
        <f t="shared" si="40"/>
        <v>0.35637254901960808</v>
      </c>
      <c r="AE28" s="415">
        <f t="shared" si="40"/>
        <v>0.32979452054794567</v>
      </c>
      <c r="AF28" s="414">
        <f t="shared" si="40"/>
        <v>0.33062880324543625</v>
      </c>
      <c r="AG28" s="414">
        <f t="shared" si="40"/>
        <v>0.33286318758815264</v>
      </c>
      <c r="AH28" s="414">
        <f t="shared" si="40"/>
        <v>0.32734530938123763</v>
      </c>
      <c r="AI28" s="415">
        <f t="shared" si="40"/>
        <v>0.33018867924528322</v>
      </c>
      <c r="AJ28" s="414">
        <f t="shared" ref="AJ28:BO28" si="41">-AJ27/AJ25</f>
        <v>0.28943338437978555</v>
      </c>
      <c r="AK28" s="414">
        <f t="shared" si="41"/>
        <v>0.29046898638426605</v>
      </c>
      <c r="AL28" s="414">
        <f t="shared" si="41"/>
        <v>0.27307692307692272</v>
      </c>
      <c r="AM28" s="415">
        <f t="shared" si="41"/>
        <v>0.28512960436562107</v>
      </c>
      <c r="AN28" s="414">
        <f t="shared" si="41"/>
        <v>0.29895561357702338</v>
      </c>
      <c r="AO28" s="414">
        <f t="shared" si="41"/>
        <v>0.29963459196102288</v>
      </c>
      <c r="AP28" s="414">
        <f t="shared" si="41"/>
        <v>0.30044843049327397</v>
      </c>
      <c r="AQ28" s="415">
        <f t="shared" si="41"/>
        <v>0.30120481927710829</v>
      </c>
      <c r="AR28" s="414">
        <f t="shared" si="41"/>
        <v>0.28589420654911818</v>
      </c>
      <c r="AS28" s="414">
        <f t="shared" si="41"/>
        <v>0.29003906249999967</v>
      </c>
      <c r="AT28" s="414">
        <f t="shared" si="41"/>
        <v>0.27944572748267882</v>
      </c>
      <c r="AU28" s="415">
        <f t="shared" si="41"/>
        <v>0.24974855165754745</v>
      </c>
      <c r="AV28" s="414">
        <f t="shared" si="41"/>
        <v>0.28029504741833483</v>
      </c>
      <c r="AW28" s="414">
        <f t="shared" si="41"/>
        <v>0.27992459943449571</v>
      </c>
      <c r="AX28" s="414">
        <f t="shared" si="41"/>
        <v>0.23841221374045818</v>
      </c>
      <c r="AY28" s="415">
        <f t="shared" si="41"/>
        <v>0.25635622284886811</v>
      </c>
      <c r="AZ28" s="414">
        <f t="shared" si="41"/>
        <v>0.27291746641074888</v>
      </c>
      <c r="BA28" s="414">
        <f t="shared" si="41"/>
        <v>0.26967285587975259</v>
      </c>
      <c r="BB28" s="414">
        <f t="shared" si="41"/>
        <v>0.2747494989979965</v>
      </c>
      <c r="BC28" s="415">
        <f t="shared" si="41"/>
        <v>0.26831148804934452</v>
      </c>
      <c r="BD28" s="414">
        <f t="shared" si="41"/>
        <v>0.25986078886310904</v>
      </c>
      <c r="BE28" s="414">
        <f t="shared" si="41"/>
        <v>0.2342767295597486</v>
      </c>
      <c r="BF28" s="414">
        <f t="shared" si="41"/>
        <v>0.25316481691735765</v>
      </c>
      <c r="BG28" s="415">
        <f t="shared" si="41"/>
        <v>0.29565217391304799</v>
      </c>
      <c r="BH28" s="414">
        <f t="shared" si="41"/>
        <v>0.51162790697674521</v>
      </c>
      <c r="BI28" s="414">
        <f t="shared" si="41"/>
        <v>0.51798658680246501</v>
      </c>
      <c r="BJ28" s="414">
        <f t="shared" si="41"/>
        <v>6.9767441860465282E-2</v>
      </c>
      <c r="BK28" s="415">
        <f t="shared" si="41"/>
        <v>0.14815473515248812</v>
      </c>
      <c r="BL28" s="414">
        <f t="shared" si="41"/>
        <v>0.17895151515151517</v>
      </c>
      <c r="BM28" s="414">
        <f t="shared" si="41"/>
        <v>0.24682124158563937</v>
      </c>
      <c r="BN28" s="414">
        <f t="shared" si="41"/>
        <v>0.21953327571305059</v>
      </c>
      <c r="BO28" s="415">
        <f t="shared" si="41"/>
        <v>0.20930232558139517</v>
      </c>
      <c r="BP28" s="414">
        <f t="shared" ref="BP28:CP28" si="42">-BP27/BP25</f>
        <v>0.24016441573693456</v>
      </c>
      <c r="BQ28" s="414">
        <f t="shared" si="42"/>
        <v>0.23507978723404266</v>
      </c>
      <c r="BR28" s="414">
        <f t="shared" si="42"/>
        <v>0.24029000517866395</v>
      </c>
      <c r="BS28" s="415">
        <f t="shared" si="42"/>
        <v>0.26824552924117928</v>
      </c>
      <c r="BT28" s="414">
        <f t="shared" si="42"/>
        <v>0.25994575045207963</v>
      </c>
      <c r="BU28" s="414">
        <f t="shared" si="42"/>
        <v>0.26941100601891654</v>
      </c>
      <c r="BV28" s="414">
        <f t="shared" si="42"/>
        <v>0.37742504409171068</v>
      </c>
      <c r="BW28" s="415">
        <f t="shared" si="42"/>
        <v>0.23390084591498042</v>
      </c>
      <c r="BX28" s="414">
        <f t="shared" si="42"/>
        <v>0.25209319946959646</v>
      </c>
      <c r="BY28" s="414">
        <f t="shared" si="42"/>
        <v>0.2699635184434534</v>
      </c>
      <c r="BZ28" s="414">
        <f t="shared" si="42"/>
        <v>0.26574171029668398</v>
      </c>
      <c r="CA28" s="415">
        <f t="shared" si="42"/>
        <v>0.206690385465569</v>
      </c>
      <c r="CB28" s="414">
        <f t="shared" si="42"/>
        <v>0.25687547386169463</v>
      </c>
      <c r="CC28" s="414">
        <f t="shared" si="42"/>
        <v>0.28530317392255417</v>
      </c>
      <c r="CD28" s="414">
        <f t="shared" si="42"/>
        <v>0.28435032579532393</v>
      </c>
      <c r="CE28" s="415">
        <f t="shared" si="42"/>
        <v>0.27988736926790009</v>
      </c>
      <c r="CF28" s="414">
        <f t="shared" si="42"/>
        <v>0.28483722711604748</v>
      </c>
      <c r="CG28" s="414">
        <f t="shared" si="42"/>
        <v>0.30265572815533975</v>
      </c>
      <c r="CH28" s="414">
        <f t="shared" si="42"/>
        <v>0.29032447154471541</v>
      </c>
      <c r="CI28" s="415">
        <f t="shared" si="42"/>
        <v>0.30710884353741513</v>
      </c>
      <c r="CJ28" s="414">
        <f t="shared" si="42"/>
        <v>0.31068848758465012</v>
      </c>
      <c r="CK28" s="414">
        <f t="shared" si="42"/>
        <v>0.30386142186936144</v>
      </c>
      <c r="CL28" s="414">
        <f t="shared" si="42"/>
        <v>0.31477189567925268</v>
      </c>
      <c r="CM28" s="415">
        <f t="shared" si="42"/>
        <v>0.30868231046931405</v>
      </c>
      <c r="CN28" s="414">
        <f t="shared" si="42"/>
        <v>0.2870069254984261</v>
      </c>
      <c r="CO28" s="414">
        <f t="shared" si="42"/>
        <v>0.28475990581903821</v>
      </c>
      <c r="CP28" s="414">
        <f t="shared" si="42"/>
        <v>0.28923883265856976</v>
      </c>
      <c r="CQ28" s="415">
        <f t="shared" ref="CQ28" si="43">-CQ27/CQ25</f>
        <v>0.26646191646191647</v>
      </c>
      <c r="CR28" s="642">
        <v>0.28000000000000003</v>
      </c>
      <c r="CS28" s="642">
        <f>CR28</f>
        <v>0.28000000000000003</v>
      </c>
      <c r="CT28" s="642">
        <f t="shared" ref="CT28:CU28" si="44">CS28</f>
        <v>0.28000000000000003</v>
      </c>
      <c r="CU28" s="643">
        <f t="shared" si="44"/>
        <v>0.28000000000000003</v>
      </c>
      <c r="CV28" s="416"/>
      <c r="CW28" s="414"/>
      <c r="CX28" s="414">
        <f t="shared" ref="CX28:DU28" si="45">-CX27/CX25</f>
        <v>0.30209209637158535</v>
      </c>
      <c r="CY28" s="414">
        <f t="shared" si="45"/>
        <v>9.7505668934240231E-2</v>
      </c>
      <c r="CZ28" s="414">
        <f t="shared" si="45"/>
        <v>0.30764904386951625</v>
      </c>
      <c r="DA28" s="414">
        <f t="shared" si="45"/>
        <v>0.28822055137844627</v>
      </c>
      <c r="DB28" s="414">
        <f t="shared" si="45"/>
        <v>0.31086142322097382</v>
      </c>
      <c r="DC28" s="414">
        <f t="shared" si="45"/>
        <v>0.36695382227396278</v>
      </c>
      <c r="DD28" s="414">
        <f t="shared" si="45"/>
        <v>0.35405105438401813</v>
      </c>
      <c r="DE28" s="414">
        <f t="shared" si="45"/>
        <v>0.33048311244121448</v>
      </c>
      <c r="DF28" s="414">
        <f t="shared" si="45"/>
        <v>0.28515777171795925</v>
      </c>
      <c r="DG28" s="414">
        <f t="shared" si="45"/>
        <v>0.30006480881399894</v>
      </c>
      <c r="DH28" s="414">
        <f t="shared" si="45"/>
        <v>0.27575960241854758</v>
      </c>
      <c r="DI28" s="414">
        <f t="shared" si="45"/>
        <v>0.26651819346090128</v>
      </c>
      <c r="DJ28" s="414">
        <f t="shared" si="45"/>
        <v>0.27116830796777103</v>
      </c>
      <c r="DK28" s="414">
        <f t="shared" si="45"/>
        <v>0.24880906067035516</v>
      </c>
      <c r="DL28" s="414">
        <f t="shared" si="45"/>
        <v>-1.6126173002341367E-2</v>
      </c>
      <c r="DM28" s="414">
        <f t="shared" si="45"/>
        <v>0.21551865836513384</v>
      </c>
      <c r="DN28" s="414">
        <f t="shared" si="45"/>
        <v>0.24659765264407235</v>
      </c>
      <c r="DO28" s="414">
        <f t="shared" si="45"/>
        <v>0.28131075146790296</v>
      </c>
      <c r="DP28" s="414">
        <f t="shared" si="45"/>
        <v>0.24858176547890065</v>
      </c>
      <c r="DQ28" s="414">
        <f t="shared" si="45"/>
        <v>0.27679768015550094</v>
      </c>
      <c r="DR28" s="414">
        <f t="shared" si="45"/>
        <v>0.2963327535950252</v>
      </c>
      <c r="DS28" s="414">
        <f t="shared" si="45"/>
        <v>0.30938976597325391</v>
      </c>
      <c r="DT28" s="414">
        <f t="shared" si="45"/>
        <v>0.28145103717225384</v>
      </c>
      <c r="DU28" s="414">
        <f t="shared" si="45"/>
        <v>0.27999999999999969</v>
      </c>
      <c r="DV28" s="642">
        <f>DU28</f>
        <v>0.27999999999999969</v>
      </c>
      <c r="DW28" s="642">
        <f>DV28</f>
        <v>0.27999999999999969</v>
      </c>
      <c r="DX28" s="642">
        <f>DW28</f>
        <v>0.27999999999999969</v>
      </c>
      <c r="DY28" s="642">
        <f>DX28</f>
        <v>0.27999999999999969</v>
      </c>
      <c r="DZ28" s="642">
        <f>DY28</f>
        <v>0.27999999999999969</v>
      </c>
      <c r="EA28" s="417"/>
      <c r="EB28"/>
      <c r="EC28"/>
      <c r="ED28"/>
      <c r="EE28"/>
      <c r="EF28"/>
      <c r="EG28"/>
    </row>
    <row r="29" spans="1:137" s="410" customFormat="1">
      <c r="A29" s="400"/>
      <c r="B29" s="419" t="s">
        <v>87</v>
      </c>
      <c r="C29" s="899"/>
      <c r="D29" s="633">
        <v>-0.4</v>
      </c>
      <c r="E29" s="634">
        <v>-0.6</v>
      </c>
      <c r="F29" s="634">
        <v>-0.5</v>
      </c>
      <c r="G29" s="635">
        <v>-0.5</v>
      </c>
      <c r="H29" s="634">
        <v>-0.7</v>
      </c>
      <c r="I29" s="634">
        <v>-0.5</v>
      </c>
      <c r="J29" s="634">
        <v>-0.7</v>
      </c>
      <c r="K29" s="635">
        <v>-0.7</v>
      </c>
      <c r="L29" s="634">
        <v>-0.7</v>
      </c>
      <c r="M29" s="634">
        <v>-0.5</v>
      </c>
      <c r="N29" s="634">
        <v>-0.6</v>
      </c>
      <c r="O29" s="635">
        <v>-1.4</v>
      </c>
      <c r="P29" s="634">
        <v>-0.7</v>
      </c>
      <c r="Q29" s="634">
        <v>-0.8</v>
      </c>
      <c r="R29" s="634">
        <v>-0.9</v>
      </c>
      <c r="S29" s="635">
        <v>0.3</v>
      </c>
      <c r="T29" s="634">
        <v>-0.4</v>
      </c>
      <c r="U29" s="634">
        <v>-0.4</v>
      </c>
      <c r="V29" s="634">
        <v>-0.4</v>
      </c>
      <c r="W29" s="635">
        <v>-0.1</v>
      </c>
      <c r="X29" s="634">
        <v>-0.7</v>
      </c>
      <c r="Y29" s="634">
        <v>-0.4</v>
      </c>
      <c r="Z29" s="634">
        <v>-0.8</v>
      </c>
      <c r="AA29" s="635">
        <v>-0.8</v>
      </c>
      <c r="AB29" s="634">
        <v>-0.7</v>
      </c>
      <c r="AC29" s="634">
        <v>-0.7</v>
      </c>
      <c r="AD29" s="634">
        <v>-1.1000000000000001</v>
      </c>
      <c r="AE29" s="635">
        <v>-1.3</v>
      </c>
      <c r="AF29" s="634">
        <v>-1.5</v>
      </c>
      <c r="AG29" s="634">
        <v>-1.6</v>
      </c>
      <c r="AH29" s="634">
        <v>-1.8</v>
      </c>
      <c r="AI29" s="635">
        <v>-1.8</v>
      </c>
      <c r="AJ29" s="634">
        <v>-2.2000000000000002</v>
      </c>
      <c r="AK29" s="634">
        <v>-2.1</v>
      </c>
      <c r="AL29" s="634">
        <v>-1.9</v>
      </c>
      <c r="AM29" s="635">
        <v>-2.4</v>
      </c>
      <c r="AN29" s="634">
        <v>-2.6</v>
      </c>
      <c r="AO29" s="634">
        <v>-2.8</v>
      </c>
      <c r="AP29" s="634">
        <v>-2</v>
      </c>
      <c r="AQ29" s="635">
        <v>-1.7</v>
      </c>
      <c r="AR29" s="634">
        <v>-1</v>
      </c>
      <c r="AS29" s="634">
        <v>-8.1</v>
      </c>
      <c r="AT29" s="634">
        <v>-5.6</v>
      </c>
      <c r="AU29" s="635">
        <v>-4.8</v>
      </c>
      <c r="AV29" s="634">
        <v>-7</v>
      </c>
      <c r="AW29" s="634">
        <v>-6.2</v>
      </c>
      <c r="AX29" s="634">
        <v>-5.8</v>
      </c>
      <c r="AY29" s="635">
        <v>-7.3</v>
      </c>
      <c r="AZ29" s="634">
        <v>-7.4</v>
      </c>
      <c r="BA29" s="634">
        <v>-6.9</v>
      </c>
      <c r="BB29" s="634">
        <v>-5.7</v>
      </c>
      <c r="BC29" s="635">
        <v>-8</v>
      </c>
      <c r="BD29" s="634">
        <v>-7</v>
      </c>
      <c r="BE29" s="634">
        <v>-4.8</v>
      </c>
      <c r="BF29" s="634">
        <v>-2.4</v>
      </c>
      <c r="BG29" s="635">
        <v>-2.1</v>
      </c>
      <c r="BH29" s="634">
        <v>-0.7</v>
      </c>
      <c r="BI29" s="634">
        <v>-2</v>
      </c>
      <c r="BJ29" s="634">
        <v>-2.8</v>
      </c>
      <c r="BK29" s="635">
        <v>-3.9</v>
      </c>
      <c r="BL29" s="634">
        <v>-5.2</v>
      </c>
      <c r="BM29" s="634">
        <v>-4.9000000000000004</v>
      </c>
      <c r="BN29" s="634">
        <v>-4.8</v>
      </c>
      <c r="BO29" s="635">
        <v>-3.9</v>
      </c>
      <c r="BP29" s="634">
        <v>-4.9000000000000004</v>
      </c>
      <c r="BQ29" s="634">
        <v>-5.3</v>
      </c>
      <c r="BR29" s="634">
        <v>-5.0999999999999996</v>
      </c>
      <c r="BS29" s="635">
        <v>-5.2</v>
      </c>
      <c r="BT29" s="634">
        <v>-5.7</v>
      </c>
      <c r="BU29" s="634">
        <v>-5.6</v>
      </c>
      <c r="BV29" s="634">
        <v>-4.8</v>
      </c>
      <c r="BW29" s="635">
        <v>-5.4</v>
      </c>
      <c r="BX29" s="634">
        <v>-6.6</v>
      </c>
      <c r="BY29" s="634">
        <v>-6</v>
      </c>
      <c r="BZ29" s="634">
        <v>-6.1</v>
      </c>
      <c r="CA29" s="635">
        <v>-8</v>
      </c>
      <c r="CB29" s="634">
        <v>-8.1</v>
      </c>
      <c r="CC29" s="634">
        <v>-9.6999999999999993</v>
      </c>
      <c r="CD29" s="634">
        <v>-6.4</v>
      </c>
      <c r="CE29" s="635">
        <v>-7.5</v>
      </c>
      <c r="CF29" s="634">
        <v>-8.8000000000000007</v>
      </c>
      <c r="CG29" s="634">
        <v>-9.3000000000000007</v>
      </c>
      <c r="CH29" s="634">
        <f>-8.5</f>
        <v>-8.5</v>
      </c>
      <c r="CI29" s="635">
        <v>-10.1</v>
      </c>
      <c r="CJ29" s="634">
        <v>-9.1</v>
      </c>
      <c r="CK29" s="634">
        <f>-11</f>
        <v>-11</v>
      </c>
      <c r="CL29" s="634">
        <v>-9.8000000000000007</v>
      </c>
      <c r="CM29" s="451">
        <v>-11.8</v>
      </c>
      <c r="CN29" s="632">
        <v>-10.4</v>
      </c>
      <c r="CO29" s="632">
        <v>-9.1</v>
      </c>
      <c r="CP29" s="634">
        <v>-9.6999999999999993</v>
      </c>
      <c r="CQ29" s="1161">
        <v>-14.2</v>
      </c>
      <c r="CR29" s="632">
        <f>CQ29</f>
        <v>-14.2</v>
      </c>
      <c r="CS29" s="632">
        <f t="shared" ref="CS29:CU29" si="46">CR29</f>
        <v>-14.2</v>
      </c>
      <c r="CT29" s="632">
        <f t="shared" si="46"/>
        <v>-14.2</v>
      </c>
      <c r="CU29" s="451">
        <f t="shared" si="46"/>
        <v>-14.2</v>
      </c>
      <c r="CV29" s="406"/>
      <c r="CW29" s="420"/>
      <c r="CX29" s="421">
        <f>SUM(D29:G29)</f>
        <v>-2</v>
      </c>
      <c r="CY29" s="421">
        <f>SUM(H29:K29)</f>
        <v>-2.5999999999999996</v>
      </c>
      <c r="CZ29" s="421">
        <f>SUM(L29:O29)</f>
        <v>-3.1999999999999997</v>
      </c>
      <c r="DA29" s="421">
        <f>SUM(P29:S29)</f>
        <v>-2.1</v>
      </c>
      <c r="DB29" s="421">
        <f>SUM(T29:W29)</f>
        <v>-1.3000000000000003</v>
      </c>
      <c r="DC29" s="421">
        <f>SUM(X29:AA29)</f>
        <v>-2.7</v>
      </c>
      <c r="DD29" s="421">
        <f>SUM(AB29:AE29)</f>
        <v>-3.8</v>
      </c>
      <c r="DE29" s="421">
        <f>SUM(AF29:AI29)</f>
        <v>-6.7</v>
      </c>
      <c r="DF29" s="421">
        <f>SUM(AJ29:AM29)</f>
        <v>-8.6000000000000014</v>
      </c>
      <c r="DG29" s="421">
        <f>SUM(AN29:AQ29)</f>
        <v>-9.1</v>
      </c>
      <c r="DH29" s="421">
        <f>SUM(AR29:AU29)</f>
        <v>-19.5</v>
      </c>
      <c r="DI29" s="421">
        <f>SUM(AV29:AY29)</f>
        <v>-26.3</v>
      </c>
      <c r="DJ29" s="421">
        <f>SUM(AZ29:BC29)</f>
        <v>-28</v>
      </c>
      <c r="DK29" s="421">
        <f>SUM(BD29:BG29)</f>
        <v>-16.3</v>
      </c>
      <c r="DL29" s="421">
        <f>SUM(BH29:BK29)</f>
        <v>-9.4</v>
      </c>
      <c r="DM29" s="421">
        <f>SUM(BL29:BO29)</f>
        <v>-18.8</v>
      </c>
      <c r="DN29" s="421">
        <f>SUM(BP29:BS29)</f>
        <v>-20.5</v>
      </c>
      <c r="DO29" s="421">
        <f>SUM(BT29:BW29)</f>
        <v>-21.5</v>
      </c>
      <c r="DP29" s="421">
        <f>SUM(BX29:CA29)</f>
        <v>-26.7</v>
      </c>
      <c r="DQ29" s="421">
        <f>SUM(CB29:CE29)</f>
        <v>-31.699999999999996</v>
      </c>
      <c r="DR29" s="421">
        <f>SUM(CF29:CI29)</f>
        <v>-36.700000000000003</v>
      </c>
      <c r="DS29" s="421">
        <f>SUM(CJ29:CM29)</f>
        <v>-41.7</v>
      </c>
      <c r="DT29" s="421">
        <f>SUM(CN29:CQ29)</f>
        <v>-43.4</v>
      </c>
      <c r="DU29" s="422">
        <f>SUM(CR29:CU29)</f>
        <v>-56.8</v>
      </c>
      <c r="DV29" s="422">
        <f>+DU29*1.05</f>
        <v>-59.64</v>
      </c>
      <c r="DW29" s="422">
        <f>+DV29*1.05</f>
        <v>-62.622</v>
      </c>
      <c r="DX29" s="422">
        <f>+DW29*1.05</f>
        <v>-65.753100000000003</v>
      </c>
      <c r="DY29" s="422">
        <f>+DX29*1.05</f>
        <v>-69.040755000000004</v>
      </c>
      <c r="DZ29" s="422">
        <f>+DY29*1.05</f>
        <v>-72.492792750000007</v>
      </c>
      <c r="EA29" s="423"/>
      <c r="EB29"/>
      <c r="EC29"/>
      <c r="ED29"/>
      <c r="EE29"/>
      <c r="EF29"/>
      <c r="EG29"/>
    </row>
    <row r="30" spans="1:137" s="410" customFormat="1">
      <c r="A30" s="626"/>
      <c r="B30" s="401" t="s">
        <v>259</v>
      </c>
      <c r="C30" s="900"/>
      <c r="D30" s="532">
        <f t="shared" ref="D30:AI30" si="47">+D25+D29+D27</f>
        <v>17.60000000000003</v>
      </c>
      <c r="E30" s="408">
        <f t="shared" si="47"/>
        <v>21.1</v>
      </c>
      <c r="F30" s="408">
        <f t="shared" si="47"/>
        <v>13.072881355932216</v>
      </c>
      <c r="G30" s="464">
        <f t="shared" si="47"/>
        <v>22.4</v>
      </c>
      <c r="H30" s="408">
        <f t="shared" si="47"/>
        <v>12.299999999999997</v>
      </c>
      <c r="I30" s="408">
        <f t="shared" si="47"/>
        <v>21.800000000000008</v>
      </c>
      <c r="J30" s="408">
        <f t="shared" si="47"/>
        <v>18.800000000000011</v>
      </c>
      <c r="K30" s="464">
        <f t="shared" si="47"/>
        <v>50.399999999999984</v>
      </c>
      <c r="L30" s="408">
        <f t="shared" si="47"/>
        <v>24.799999999999997</v>
      </c>
      <c r="M30" s="408">
        <f t="shared" si="47"/>
        <v>29.599999999999969</v>
      </c>
      <c r="N30" s="408">
        <f t="shared" si="47"/>
        <v>21.600000000000016</v>
      </c>
      <c r="O30" s="464">
        <f t="shared" si="47"/>
        <v>27.200000000000003</v>
      </c>
      <c r="P30" s="408">
        <f t="shared" si="47"/>
        <v>25.999999999999993</v>
      </c>
      <c r="Q30" s="408">
        <f t="shared" si="47"/>
        <v>19.600000000000016</v>
      </c>
      <c r="R30" s="408">
        <f t="shared" si="47"/>
        <v>17.300000000000011</v>
      </c>
      <c r="S30" s="464">
        <f t="shared" si="47"/>
        <v>31.79999999999999</v>
      </c>
      <c r="T30" s="408">
        <f t="shared" si="47"/>
        <v>32.09999999999998</v>
      </c>
      <c r="U30" s="408">
        <f t="shared" si="47"/>
        <v>36.299999999999947</v>
      </c>
      <c r="V30" s="408">
        <f t="shared" si="47"/>
        <v>27.400000000000055</v>
      </c>
      <c r="W30" s="464">
        <f t="shared" si="47"/>
        <v>36.399999999999892</v>
      </c>
      <c r="X30" s="408">
        <f t="shared" si="47"/>
        <v>47.985000000000042</v>
      </c>
      <c r="Y30" s="408">
        <f t="shared" si="47"/>
        <v>46.894499999999923</v>
      </c>
      <c r="Z30" s="408">
        <f t="shared" si="47"/>
        <v>31.758000000000017</v>
      </c>
      <c r="AA30" s="464">
        <f t="shared" si="47"/>
        <v>33.79849999999999</v>
      </c>
      <c r="AB30" s="408">
        <f t="shared" si="47"/>
        <v>27.989999999999924</v>
      </c>
      <c r="AC30" s="408">
        <f t="shared" si="47"/>
        <v>31.394999999999982</v>
      </c>
      <c r="AD30" s="408">
        <f t="shared" si="47"/>
        <v>25.159999999999968</v>
      </c>
      <c r="AE30" s="464">
        <f t="shared" si="47"/>
        <v>28.054999999999943</v>
      </c>
      <c r="AF30" s="408">
        <f t="shared" si="47"/>
        <v>31.499999999999982</v>
      </c>
      <c r="AG30" s="408">
        <f t="shared" si="47"/>
        <v>45.699999999999939</v>
      </c>
      <c r="AH30" s="408">
        <f t="shared" si="47"/>
        <v>31.899999999999984</v>
      </c>
      <c r="AI30" s="464">
        <f t="shared" si="47"/>
        <v>40.799999999999969</v>
      </c>
      <c r="AJ30" s="408">
        <f t="shared" ref="AJ30:BO30" si="48">+AJ25+AJ29+AJ27</f>
        <v>44.20000000000001</v>
      </c>
      <c r="AK30" s="408">
        <f t="shared" si="48"/>
        <v>44.800000000000054</v>
      </c>
      <c r="AL30" s="408">
        <f t="shared" si="48"/>
        <v>35.900000000000063</v>
      </c>
      <c r="AM30" s="464">
        <f t="shared" si="48"/>
        <v>49.999999999999908</v>
      </c>
      <c r="AN30" s="408">
        <f t="shared" si="48"/>
        <v>51.10000000000003</v>
      </c>
      <c r="AO30" s="408">
        <f t="shared" si="48"/>
        <v>54.700000000000081</v>
      </c>
      <c r="AP30" s="408">
        <f t="shared" si="48"/>
        <v>44.799999999999905</v>
      </c>
      <c r="AQ30" s="464">
        <f t="shared" si="48"/>
        <v>56.30000000000004</v>
      </c>
      <c r="AR30" s="408">
        <f t="shared" si="48"/>
        <v>55.700000000000045</v>
      </c>
      <c r="AS30" s="408">
        <f t="shared" si="48"/>
        <v>64.600000000000122</v>
      </c>
      <c r="AT30" s="408">
        <f t="shared" si="48"/>
        <v>56.800000000000054</v>
      </c>
      <c r="AU30" s="464">
        <f t="shared" si="48"/>
        <v>69.793000000000021</v>
      </c>
      <c r="AV30" s="408">
        <f t="shared" si="48"/>
        <v>61.30000000000009</v>
      </c>
      <c r="AW30" s="408">
        <f t="shared" si="48"/>
        <v>70.200000000000017</v>
      </c>
      <c r="AX30" s="408">
        <f t="shared" si="48"/>
        <v>44.083999999999961</v>
      </c>
      <c r="AY30" s="464">
        <f t="shared" si="48"/>
        <v>57.749000000000038</v>
      </c>
      <c r="AZ30" s="408">
        <f t="shared" si="48"/>
        <v>68.361999999999853</v>
      </c>
      <c r="BA30" s="408">
        <f t="shared" si="48"/>
        <v>75.699999999999918</v>
      </c>
      <c r="BB30" s="408">
        <f t="shared" si="48"/>
        <v>66.679999999999822</v>
      </c>
      <c r="BC30" s="464">
        <f t="shared" si="48"/>
        <v>86.900000000000048</v>
      </c>
      <c r="BD30" s="408">
        <f t="shared" si="48"/>
        <v>88.700000000000017</v>
      </c>
      <c r="BE30" s="408">
        <f t="shared" si="48"/>
        <v>92.599999999999923</v>
      </c>
      <c r="BF30" s="408">
        <f t="shared" si="48"/>
        <v>51.058440000000232</v>
      </c>
      <c r="BG30" s="464">
        <f t="shared" si="48"/>
        <v>-0.48000000000002752</v>
      </c>
      <c r="BH30" s="408">
        <f t="shared" si="48"/>
        <v>-6.9999999999999734</v>
      </c>
      <c r="BI30" s="408">
        <f t="shared" si="48"/>
        <v>-6.7589999999999186</v>
      </c>
      <c r="BJ30" s="408">
        <f t="shared" si="48"/>
        <v>17.19999999999995</v>
      </c>
      <c r="BK30" s="464">
        <f t="shared" si="48"/>
        <v>49.169959999999932</v>
      </c>
      <c r="BL30" s="408">
        <f t="shared" si="48"/>
        <v>78.793259999999975</v>
      </c>
      <c r="BM30" s="408">
        <f t="shared" si="48"/>
        <v>95.800000000000068</v>
      </c>
      <c r="BN30" s="408">
        <f t="shared" si="48"/>
        <v>85.500000000000199</v>
      </c>
      <c r="BO30" s="464">
        <f t="shared" si="48"/>
        <v>111.70000000000013</v>
      </c>
      <c r="BP30" s="408">
        <f t="shared" ref="BP30:CU30" si="49">+BP25+BP29+BP27</f>
        <v>124.50000000000017</v>
      </c>
      <c r="BQ30" s="408">
        <f t="shared" si="49"/>
        <v>138.50499999999991</v>
      </c>
      <c r="BR30" s="408">
        <f t="shared" si="49"/>
        <v>141.59999999999997</v>
      </c>
      <c r="BS30" s="464">
        <f t="shared" si="49"/>
        <v>146.20000000000002</v>
      </c>
      <c r="BT30" s="408">
        <f t="shared" si="49"/>
        <v>157.99999999999997</v>
      </c>
      <c r="BU30" s="408">
        <f t="shared" si="49"/>
        <v>164.33500000000006</v>
      </c>
      <c r="BV30" s="408">
        <f t="shared" si="49"/>
        <v>101.10000000000004</v>
      </c>
      <c r="BW30" s="464">
        <f t="shared" si="49"/>
        <v>137.69199999999984</v>
      </c>
      <c r="BX30" s="408">
        <f t="shared" si="49"/>
        <v>151.32800000000003</v>
      </c>
      <c r="BY30" s="408">
        <f t="shared" si="49"/>
        <v>174.10000000000014</v>
      </c>
      <c r="BZ30" s="408">
        <f t="shared" si="49"/>
        <v>162.19200000000012</v>
      </c>
      <c r="CA30" s="464">
        <f t="shared" si="49"/>
        <v>180.41500000000016</v>
      </c>
      <c r="CB30" s="408">
        <f t="shared" si="49"/>
        <v>188.90899999999996</v>
      </c>
      <c r="CC30" s="408">
        <f t="shared" si="49"/>
        <v>203.98019999999991</v>
      </c>
      <c r="CD30" s="408">
        <f t="shared" si="49"/>
        <v>180.31299999999996</v>
      </c>
      <c r="CE30" s="464">
        <f t="shared" si="49"/>
        <v>171.52000000000015</v>
      </c>
      <c r="CF30" s="408">
        <f t="shared" si="49"/>
        <v>177.92900000000003</v>
      </c>
      <c r="CG30" s="408">
        <f t="shared" si="49"/>
        <v>170.26615000000004</v>
      </c>
      <c r="CH30" s="408">
        <f t="shared" si="49"/>
        <v>166.08018000000004</v>
      </c>
      <c r="CI30" s="464">
        <f t="shared" si="49"/>
        <v>173.23899999999986</v>
      </c>
      <c r="CJ30" s="408">
        <f t="shared" si="49"/>
        <v>174.11899999999997</v>
      </c>
      <c r="CK30" s="408">
        <f t="shared" si="49"/>
        <v>181.89999999999986</v>
      </c>
      <c r="CL30" s="408">
        <f t="shared" si="49"/>
        <v>166.23509999999993</v>
      </c>
      <c r="CM30" s="627">
        <f t="shared" si="49"/>
        <v>179.69500000000008</v>
      </c>
      <c r="CN30" s="628">
        <f t="shared" si="49"/>
        <v>193.44471999999996</v>
      </c>
      <c r="CO30" s="628">
        <f t="shared" si="49"/>
        <v>203.54087999999976</v>
      </c>
      <c r="CP30" s="408">
        <f t="shared" si="49"/>
        <v>200.96960999999976</v>
      </c>
      <c r="CQ30" s="464">
        <f t="shared" ref="CQ30" si="50">+CQ25+CQ29+CQ27</f>
        <v>224.64</v>
      </c>
      <c r="CR30" s="628">
        <f t="shared" si="49"/>
        <v>225.36131810183346</v>
      </c>
      <c r="CS30" s="628">
        <f t="shared" si="49"/>
        <v>235.54053940822479</v>
      </c>
      <c r="CT30" s="628">
        <f t="shared" si="49"/>
        <v>217.62806140139068</v>
      </c>
      <c r="CU30" s="627">
        <f t="shared" si="49"/>
        <v>242.45878152710981</v>
      </c>
      <c r="CV30" s="406"/>
      <c r="CW30" s="408"/>
      <c r="CX30" s="408">
        <f t="shared" ref="CX30:DZ30" si="51">+CX25+CX29+CX27</f>
        <v>83.772881355932057</v>
      </c>
      <c r="CY30" s="408">
        <f t="shared" si="51"/>
        <v>116.80000000000018</v>
      </c>
      <c r="CZ30" s="408">
        <f t="shared" si="51"/>
        <v>119.90000000000005</v>
      </c>
      <c r="DA30" s="408">
        <f t="shared" si="51"/>
        <v>111.49999999999991</v>
      </c>
      <c r="DB30" s="408">
        <f t="shared" si="51"/>
        <v>164.29999999999995</v>
      </c>
      <c r="DC30" s="408">
        <f t="shared" si="51"/>
        <v>160.43599999999944</v>
      </c>
      <c r="DD30" s="408">
        <f t="shared" si="51"/>
        <v>112.59999999999981</v>
      </c>
      <c r="DE30" s="408">
        <f t="shared" si="51"/>
        <v>149.89999999999984</v>
      </c>
      <c r="DF30" s="408">
        <f t="shared" si="51"/>
        <v>174.89999999999949</v>
      </c>
      <c r="DG30" s="408">
        <f t="shared" si="51"/>
        <v>206.89999999999972</v>
      </c>
      <c r="DH30" s="408">
        <f t="shared" si="51"/>
        <v>246.89300000000054</v>
      </c>
      <c r="DI30" s="408">
        <f t="shared" si="51"/>
        <v>233.33299999999969</v>
      </c>
      <c r="DJ30" s="408">
        <f t="shared" si="51"/>
        <v>297.64199999999965</v>
      </c>
      <c r="DK30" s="408">
        <f t="shared" si="51"/>
        <v>231.87843999999961</v>
      </c>
      <c r="DL30" s="408">
        <f t="shared" si="51"/>
        <v>52.610960000000489</v>
      </c>
      <c r="DM30" s="408">
        <f t="shared" si="51"/>
        <v>371.79325999999929</v>
      </c>
      <c r="DN30" s="408">
        <f t="shared" si="51"/>
        <v>550.80499999999972</v>
      </c>
      <c r="DO30" s="408">
        <f t="shared" si="51"/>
        <v>561.12700000000143</v>
      </c>
      <c r="DP30" s="408">
        <f t="shared" si="51"/>
        <v>668.03500000000088</v>
      </c>
      <c r="DQ30" s="408">
        <f t="shared" si="51"/>
        <v>744.72219999999948</v>
      </c>
      <c r="DR30" s="408">
        <f t="shared" si="51"/>
        <v>687.5143300000002</v>
      </c>
      <c r="DS30" s="408">
        <f t="shared" si="51"/>
        <v>701.94910000000061</v>
      </c>
      <c r="DT30" s="408">
        <f t="shared" si="51"/>
        <v>822.59520999999881</v>
      </c>
      <c r="DU30" s="408">
        <f t="shared" si="51"/>
        <v>920.9887004385605</v>
      </c>
      <c r="DV30" s="408">
        <f t="shared" si="51"/>
        <v>948.60597924422336</v>
      </c>
      <c r="DW30" s="408">
        <f t="shared" si="51"/>
        <v>967.87004316551736</v>
      </c>
      <c r="DX30" s="408">
        <f t="shared" si="51"/>
        <v>980.31300516602369</v>
      </c>
      <c r="DY30" s="408">
        <f t="shared" si="51"/>
        <v>978.26725134286562</v>
      </c>
      <c r="DZ30" s="408">
        <f t="shared" si="51"/>
        <v>959.92801074177441</v>
      </c>
      <c r="EA30" s="423"/>
      <c r="EB30"/>
      <c r="EC30"/>
      <c r="ED30"/>
      <c r="EE30"/>
      <c r="EF30"/>
      <c r="EG30"/>
    </row>
    <row r="31" spans="1:137" hidden="1" outlineLevel="1">
      <c r="A31" s="374"/>
      <c r="B31" s="428"/>
      <c r="C31" s="901"/>
      <c r="D31" s="457"/>
      <c r="E31" s="458"/>
      <c r="F31" s="458"/>
      <c r="G31" s="459"/>
      <c r="H31" s="458"/>
      <c r="I31" s="458"/>
      <c r="J31" s="458"/>
      <c r="K31" s="459"/>
      <c r="L31" s="458"/>
      <c r="M31" s="458"/>
      <c r="N31" s="458"/>
      <c r="O31" s="459"/>
      <c r="P31" s="458"/>
      <c r="Q31" s="458"/>
      <c r="R31" s="458"/>
      <c r="S31" s="459"/>
      <c r="T31" s="458"/>
      <c r="U31" s="458"/>
      <c r="V31" s="458"/>
      <c r="W31" s="459"/>
      <c r="X31" s="458"/>
      <c r="Y31" s="458"/>
      <c r="Z31" s="458"/>
      <c r="AA31" s="459"/>
      <c r="AB31" s="458"/>
      <c r="AC31" s="458"/>
      <c r="AD31" s="458"/>
      <c r="AE31" s="460"/>
      <c r="AF31" s="458"/>
      <c r="AG31" s="458"/>
      <c r="AH31" s="458"/>
      <c r="AI31" s="459"/>
      <c r="AJ31" s="458"/>
      <c r="AK31" s="458"/>
      <c r="AL31" s="458"/>
      <c r="AM31" s="459"/>
      <c r="AN31" s="458"/>
      <c r="AO31" s="458"/>
      <c r="AP31" s="458"/>
      <c r="AQ31" s="459"/>
      <c r="AR31" s="458"/>
      <c r="AS31" s="458"/>
      <c r="AT31" s="458"/>
      <c r="AU31" s="459"/>
      <c r="AV31" s="458"/>
      <c r="AW31" s="458"/>
      <c r="AX31" s="458"/>
      <c r="AY31" s="459"/>
      <c r="AZ31" s="458"/>
      <c r="BA31" s="458"/>
      <c r="BB31" s="458"/>
      <c r="BC31" s="459"/>
      <c r="BD31" s="458"/>
      <c r="BE31" s="458"/>
      <c r="BF31" s="458"/>
      <c r="BG31" s="459"/>
      <c r="BH31" s="458"/>
      <c r="BI31" s="458"/>
      <c r="BJ31" s="458"/>
      <c r="BK31" s="459"/>
      <c r="BL31" s="458"/>
      <c r="BM31" s="458"/>
      <c r="BN31" s="458"/>
      <c r="BO31" s="459"/>
      <c r="BP31" s="458"/>
      <c r="BQ31" s="458"/>
      <c r="BR31" s="458"/>
      <c r="BS31" s="459"/>
      <c r="BT31" s="458"/>
      <c r="BU31" s="458"/>
      <c r="BV31" s="458"/>
      <c r="BW31" s="459"/>
      <c r="BX31" s="458"/>
      <c r="BY31" s="458"/>
      <c r="BZ31" s="458"/>
      <c r="CA31" s="459"/>
      <c r="CB31" s="458"/>
      <c r="CC31" s="458"/>
      <c r="CD31" s="458"/>
      <c r="CE31" s="459"/>
      <c r="CF31" s="458"/>
      <c r="CG31" s="458"/>
      <c r="CH31" s="458"/>
      <c r="CI31" s="459"/>
      <c r="CJ31" s="458"/>
      <c r="CK31" s="458"/>
      <c r="CL31" s="458"/>
      <c r="CM31" s="461"/>
      <c r="CN31" s="462"/>
      <c r="CO31" s="462"/>
      <c r="CP31" s="458"/>
      <c r="CQ31" s="459"/>
      <c r="CR31" s="462"/>
      <c r="CS31" s="462"/>
      <c r="CT31" s="462"/>
      <c r="CU31" s="461"/>
      <c r="CV31" s="376"/>
      <c r="CW31" s="462"/>
      <c r="CX31" s="463"/>
      <c r="CY31" s="463"/>
      <c r="CZ31" s="463"/>
      <c r="DA31" s="463"/>
      <c r="DB31" s="463"/>
      <c r="DC31" s="463"/>
      <c r="DD31" s="463"/>
      <c r="DE31" s="463"/>
      <c r="DF31" s="463"/>
      <c r="DG31" s="463"/>
      <c r="DH31" s="463"/>
      <c r="DI31" s="463"/>
      <c r="DJ31" s="463"/>
      <c r="DK31" s="463"/>
      <c r="DL31" s="463"/>
      <c r="DM31" s="463"/>
      <c r="DN31" s="463"/>
      <c r="DO31" s="458"/>
      <c r="DP31" s="462"/>
      <c r="DQ31" s="462"/>
      <c r="DR31" s="462"/>
      <c r="DS31" s="462"/>
      <c r="DT31" s="462"/>
      <c r="DU31" s="462"/>
      <c r="DV31" s="462"/>
      <c r="DW31" s="462"/>
      <c r="DX31" s="462"/>
      <c r="DY31" s="462"/>
      <c r="DZ31" s="462"/>
      <c r="EA31" s="431"/>
    </row>
    <row r="32" spans="1:137" s="410" customFormat="1" hidden="1" outlineLevel="1">
      <c r="A32" s="400"/>
      <c r="B32" s="401" t="s">
        <v>88</v>
      </c>
      <c r="C32" s="658"/>
      <c r="D32" s="629"/>
      <c r="E32" s="630"/>
      <c r="F32" s="630"/>
      <c r="G32" s="631"/>
      <c r="H32" s="630"/>
      <c r="I32" s="630"/>
      <c r="J32" s="630"/>
      <c r="K32" s="631">
        <v>-35</v>
      </c>
      <c r="L32" s="630">
        <v>0</v>
      </c>
      <c r="M32" s="630">
        <v>0</v>
      </c>
      <c r="N32" s="630">
        <v>0</v>
      </c>
      <c r="O32" s="631">
        <v>0</v>
      </c>
      <c r="P32" s="630">
        <v>0</v>
      </c>
      <c r="Q32" s="630">
        <v>0</v>
      </c>
      <c r="R32" s="630">
        <v>0</v>
      </c>
      <c r="S32" s="631">
        <v>0</v>
      </c>
      <c r="T32" s="630">
        <v>0</v>
      </c>
      <c r="U32" s="630">
        <v>0</v>
      </c>
      <c r="V32" s="630">
        <v>0</v>
      </c>
      <c r="W32" s="631">
        <v>0</v>
      </c>
      <c r="X32" s="630">
        <v>-6.9850000000000003</v>
      </c>
      <c r="Y32" s="630">
        <v>-6.7944999999999993</v>
      </c>
      <c r="Z32" s="630">
        <v>-26.458000000000002</v>
      </c>
      <c r="AA32" s="631">
        <v>-25.958000000000002</v>
      </c>
      <c r="AB32" s="630">
        <v>-6.89</v>
      </c>
      <c r="AC32" s="630">
        <v>-6.6950000000000003</v>
      </c>
      <c r="AD32" s="630">
        <v>-6.76</v>
      </c>
      <c r="AE32" s="631">
        <v>-25.954999999999998</v>
      </c>
      <c r="AF32" s="630">
        <v>-269</v>
      </c>
      <c r="AG32" s="630">
        <v>0</v>
      </c>
      <c r="AH32" s="630">
        <v>0</v>
      </c>
      <c r="AI32" s="631">
        <v>0</v>
      </c>
      <c r="AJ32" s="630">
        <v>0</v>
      </c>
      <c r="AK32" s="630">
        <v>0</v>
      </c>
      <c r="AL32" s="630">
        <v>0</v>
      </c>
      <c r="AM32" s="631">
        <v>0</v>
      </c>
      <c r="AN32" s="630">
        <v>0</v>
      </c>
      <c r="AO32" s="630">
        <v>0</v>
      </c>
      <c r="AP32" s="630">
        <v>0</v>
      </c>
      <c r="AQ32" s="631">
        <v>11.4</v>
      </c>
      <c r="AR32" s="630">
        <v>21.9</v>
      </c>
      <c r="AS32" s="630">
        <v>-28.583500000000001</v>
      </c>
      <c r="AT32" s="630">
        <v>4.5999999999999996</v>
      </c>
      <c r="AU32" s="631">
        <v>-5.1930000000000005</v>
      </c>
      <c r="AV32" s="630">
        <v>0</v>
      </c>
      <c r="AW32" s="630">
        <v>0</v>
      </c>
      <c r="AX32" s="630">
        <v>-4.8839999999999995</v>
      </c>
      <c r="AY32" s="631">
        <v>-16.849000000000007</v>
      </c>
      <c r="AZ32" s="630">
        <v>-9.9620000000000015</v>
      </c>
      <c r="BA32" s="630">
        <v>0</v>
      </c>
      <c r="BB32" s="630">
        <v>16.52</v>
      </c>
      <c r="BC32" s="631">
        <v>-15.7</v>
      </c>
      <c r="BD32" s="630">
        <v>0</v>
      </c>
      <c r="BE32" s="630">
        <v>-4.5</v>
      </c>
      <c r="BF32" s="630">
        <v>-181.45844000000022</v>
      </c>
      <c r="BG32" s="631">
        <v>-80.92</v>
      </c>
      <c r="BH32" s="630">
        <v>0</v>
      </c>
      <c r="BI32" s="630">
        <v>-29.140999999999998</v>
      </c>
      <c r="BJ32" s="630">
        <v>0</v>
      </c>
      <c r="BK32" s="631">
        <v>3.5300399999999992</v>
      </c>
      <c r="BL32" s="630">
        <v>-2.5932600000000003</v>
      </c>
      <c r="BM32" s="630">
        <v>0</v>
      </c>
      <c r="BN32" s="630">
        <v>21.2</v>
      </c>
      <c r="BO32" s="631">
        <v>0</v>
      </c>
      <c r="BP32" s="630">
        <v>0</v>
      </c>
      <c r="BQ32" s="630">
        <v>-23.695</v>
      </c>
      <c r="BR32" s="630">
        <v>0</v>
      </c>
      <c r="BS32" s="631">
        <v>-24.2</v>
      </c>
      <c r="BT32" s="630">
        <v>0</v>
      </c>
      <c r="BU32" s="630">
        <v>-43.74</v>
      </c>
      <c r="BV32" s="630"/>
      <c r="BW32" s="631"/>
      <c r="BX32" s="630"/>
      <c r="BY32" s="630"/>
      <c r="BZ32" s="630"/>
      <c r="CA32" s="631"/>
      <c r="CB32" s="630"/>
      <c r="CC32" s="630"/>
      <c r="CD32" s="630"/>
      <c r="CE32" s="631"/>
      <c r="CF32" s="630"/>
      <c r="CG32" s="630"/>
      <c r="CH32" s="630"/>
      <c r="CI32" s="631"/>
      <c r="CJ32" s="630"/>
      <c r="CK32" s="630"/>
      <c r="CL32" s="630"/>
      <c r="CM32" s="451"/>
      <c r="CN32" s="632"/>
      <c r="CO32" s="632"/>
      <c r="CP32" s="630"/>
      <c r="CQ32" s="631"/>
      <c r="CR32" s="407"/>
      <c r="CS32" s="407"/>
      <c r="CT32" s="407"/>
      <c r="CU32" s="405"/>
      <c r="CV32" s="406"/>
      <c r="CW32" s="403"/>
      <c r="CX32" s="407">
        <f>SUM(D32:G32)</f>
        <v>0</v>
      </c>
      <c r="CY32" s="407">
        <f>SUM(H32:K32)</f>
        <v>-35</v>
      </c>
      <c r="CZ32" s="407">
        <f>SUM(L32:O32)</f>
        <v>0</v>
      </c>
      <c r="DA32" s="407">
        <f>SUM(P32:S32)</f>
        <v>0</v>
      </c>
      <c r="DB32" s="407">
        <f>SUM(T32:W32)</f>
        <v>0</v>
      </c>
      <c r="DC32" s="407">
        <f>SUM(X32:AA32)</f>
        <v>-66.195499999999996</v>
      </c>
      <c r="DD32" s="407">
        <f>SUM(AB32:AE32)</f>
        <v>-46.3</v>
      </c>
      <c r="DE32" s="407">
        <f>SUM(AF32:AI32)</f>
        <v>-269</v>
      </c>
      <c r="DF32" s="407">
        <f>SUM(AJ32:AM32)</f>
        <v>0</v>
      </c>
      <c r="DG32" s="407">
        <f>SUM(AN32:AQ32)</f>
        <v>11.4</v>
      </c>
      <c r="DH32" s="407">
        <f>SUM(AR32:AU32)</f>
        <v>-7.2765000000000031</v>
      </c>
      <c r="DI32" s="407">
        <f>SUM(AV32:AY32)</f>
        <v>-21.733000000000008</v>
      </c>
      <c r="DJ32" s="407">
        <f>SUM(AZ32:BC32)</f>
        <v>-9.1420000000000012</v>
      </c>
      <c r="DK32" s="407">
        <f>SUM(BD32:BG32)</f>
        <v>-266.87844000000024</v>
      </c>
      <c r="DL32" s="407">
        <f>SUM(BH32:BK32)</f>
        <v>-25.610959999999999</v>
      </c>
      <c r="DM32" s="407">
        <f>SUM(BL32:BO32)</f>
        <v>18.606739999999999</v>
      </c>
      <c r="DN32" s="407">
        <f>SUM(BP32:BS32)</f>
        <v>-47.894999999999996</v>
      </c>
      <c r="DO32" s="407">
        <f>SUM(BT32:BW32)</f>
        <v>-43.74</v>
      </c>
      <c r="DP32" s="407">
        <f>SUM(BX32:CA32)</f>
        <v>0</v>
      </c>
      <c r="DQ32" s="407">
        <f>SUM(CB32:CE32)</f>
        <v>0</v>
      </c>
      <c r="DR32" s="407">
        <f>SUM(CF32:CI32)</f>
        <v>0</v>
      </c>
      <c r="DS32" s="407">
        <f>SUM(CJ32:CM32)</f>
        <v>0</v>
      </c>
      <c r="DT32" s="408">
        <f>SUM(CN32:CQ32)</f>
        <v>0</v>
      </c>
      <c r="DU32" s="408"/>
      <c r="DV32" s="408"/>
      <c r="DW32" s="408"/>
      <c r="DX32" s="408"/>
      <c r="DY32" s="408"/>
      <c r="DZ32" s="408"/>
      <c r="EA32" s="423"/>
      <c r="EB32"/>
      <c r="EC32"/>
      <c r="ED32"/>
      <c r="EE32"/>
      <c r="EF32"/>
      <c r="EG32"/>
    </row>
    <row r="33" spans="1:137" s="410" customFormat="1" hidden="1" outlineLevel="1">
      <c r="A33" s="400"/>
      <c r="B33" s="419" t="s">
        <v>295</v>
      </c>
      <c r="C33" s="899"/>
      <c r="D33" s="638"/>
      <c r="E33" s="639"/>
      <c r="F33" s="639"/>
      <c r="G33" s="640"/>
      <c r="H33" s="639"/>
      <c r="I33" s="639"/>
      <c r="J33" s="639"/>
      <c r="K33" s="640"/>
      <c r="L33" s="639"/>
      <c r="M33" s="639"/>
      <c r="N33" s="639"/>
      <c r="O33" s="640"/>
      <c r="P33" s="639"/>
      <c r="Q33" s="639"/>
      <c r="R33" s="639"/>
      <c r="S33" s="640"/>
      <c r="T33" s="639"/>
      <c r="U33" s="639"/>
      <c r="V33" s="639"/>
      <c r="W33" s="640"/>
      <c r="X33" s="639"/>
      <c r="Y33" s="639"/>
      <c r="Z33" s="639"/>
      <c r="AA33" s="640"/>
      <c r="AB33" s="639"/>
      <c r="AC33" s="639"/>
      <c r="AD33" s="639"/>
      <c r="AE33" s="640"/>
      <c r="AF33" s="639"/>
      <c r="AG33" s="639"/>
      <c r="AH33" s="639"/>
      <c r="AI33" s="640"/>
      <c r="AJ33" s="639"/>
      <c r="AK33" s="639"/>
      <c r="AL33" s="639"/>
      <c r="AM33" s="640"/>
      <c r="AN33" s="639"/>
      <c r="AO33" s="639"/>
      <c r="AP33" s="639"/>
      <c r="AQ33" s="640"/>
      <c r="AR33" s="639"/>
      <c r="AS33" s="639"/>
      <c r="AT33" s="639"/>
      <c r="AU33" s="640"/>
      <c r="AV33" s="639"/>
      <c r="AW33" s="639"/>
      <c r="AX33" s="639"/>
      <c r="AY33" s="640"/>
      <c r="AZ33" s="639"/>
      <c r="BA33" s="639"/>
      <c r="BB33" s="639"/>
      <c r="BC33" s="640"/>
      <c r="BD33" s="639"/>
      <c r="BE33" s="639"/>
      <c r="BF33" s="639"/>
      <c r="BG33" s="640"/>
      <c r="BH33" s="639"/>
      <c r="BI33" s="639"/>
      <c r="BJ33" s="639"/>
      <c r="BK33" s="640"/>
      <c r="BL33" s="639">
        <v>5.2</v>
      </c>
      <c r="BM33" s="639">
        <v>5.0999999999999996</v>
      </c>
      <c r="BN33" s="639">
        <v>5</v>
      </c>
      <c r="BO33" s="640">
        <v>5.2</v>
      </c>
      <c r="BP33" s="639">
        <v>5.2</v>
      </c>
      <c r="BQ33" s="639">
        <v>5.4</v>
      </c>
      <c r="BR33" s="639">
        <v>5.4</v>
      </c>
      <c r="BS33" s="640">
        <v>5.5</v>
      </c>
      <c r="BT33" s="639">
        <v>5</v>
      </c>
      <c r="BU33" s="639">
        <v>0.8</v>
      </c>
      <c r="BV33" s="639"/>
      <c r="BW33" s="640"/>
      <c r="BX33" s="639"/>
      <c r="BY33" s="639"/>
      <c r="BZ33" s="639"/>
      <c r="CA33" s="640"/>
      <c r="CB33" s="639"/>
      <c r="CC33" s="639"/>
      <c r="CD33" s="639"/>
      <c r="CE33" s="640"/>
      <c r="CF33" s="639"/>
      <c r="CG33" s="639"/>
      <c r="CH33" s="639"/>
      <c r="CI33" s="640"/>
      <c r="CJ33" s="639"/>
      <c r="CK33" s="639"/>
      <c r="CL33" s="639"/>
      <c r="CM33" s="442"/>
      <c r="CN33" s="637"/>
      <c r="CO33" s="637"/>
      <c r="CP33" s="639"/>
      <c r="CQ33" s="1162"/>
      <c r="CR33" s="436"/>
      <c r="CS33" s="436"/>
      <c r="CT33" s="436"/>
      <c r="CU33" s="435"/>
      <c r="CV33" s="406"/>
      <c r="CW33" s="420"/>
      <c r="CX33" s="443">
        <f>SUM(D33:G33)</f>
        <v>0</v>
      </c>
      <c r="CY33" s="443">
        <f>SUM(H33:K33)</f>
        <v>0</v>
      </c>
      <c r="CZ33" s="443">
        <f>SUM(L33:O33)</f>
        <v>0</v>
      </c>
      <c r="DA33" s="443">
        <f>SUM(P33:S33)</f>
        <v>0</v>
      </c>
      <c r="DB33" s="443">
        <f>SUM(T33:W33)</f>
        <v>0</v>
      </c>
      <c r="DC33" s="443">
        <f>SUM(X33:AA33)</f>
        <v>0</v>
      </c>
      <c r="DD33" s="443">
        <f>SUM(AB33:AE33)</f>
        <v>0</v>
      </c>
      <c r="DE33" s="443">
        <f>SUM(AF33:AI33)</f>
        <v>0</v>
      </c>
      <c r="DF33" s="443">
        <f>SUM(AJ33:AM33)</f>
        <v>0</v>
      </c>
      <c r="DG33" s="443">
        <f>SUM(AN33:AQ33)</f>
        <v>0</v>
      </c>
      <c r="DH33" s="443">
        <f>SUM(AR33:AU33)</f>
        <v>0</v>
      </c>
      <c r="DI33" s="443">
        <f>SUM(AV33:AY33)</f>
        <v>0</v>
      </c>
      <c r="DJ33" s="443">
        <f>SUM(AZ33:BC33)</f>
        <v>0</v>
      </c>
      <c r="DK33" s="443">
        <f>SUM(BD33:BG33)</f>
        <v>0</v>
      </c>
      <c r="DL33" s="443">
        <f>SUM(BH33:BK33)</f>
        <v>0</v>
      </c>
      <c r="DM33" s="443">
        <f>SUM(BL33:BO33)</f>
        <v>20.5</v>
      </c>
      <c r="DN33" s="443">
        <f>SUM(BP33:BS33)</f>
        <v>21.5</v>
      </c>
      <c r="DO33" s="443">
        <f>SUM(BT33:BW33)</f>
        <v>5.8</v>
      </c>
      <c r="DP33" s="443">
        <f>SUM(BX33:CA33)</f>
        <v>0</v>
      </c>
      <c r="DQ33" s="443">
        <f>SUM(CB33:CE33)</f>
        <v>0</v>
      </c>
      <c r="DR33" s="443">
        <f>SUM(CF33:CI33)</f>
        <v>0</v>
      </c>
      <c r="DS33" s="443">
        <f>SUM(CJ33:CM33)</f>
        <v>0</v>
      </c>
      <c r="DT33" s="444">
        <f>SUM(CN33:CQ33)</f>
        <v>0</v>
      </c>
      <c r="DU33" s="444"/>
      <c r="DV33" s="444"/>
      <c r="DW33" s="444"/>
      <c r="DX33" s="444"/>
      <c r="DY33" s="444"/>
      <c r="DZ33" s="444"/>
      <c r="EA33" s="423"/>
      <c r="EB33"/>
      <c r="EC33"/>
      <c r="ED33"/>
      <c r="EE33"/>
      <c r="EF33"/>
      <c r="EG33"/>
    </row>
    <row r="34" spans="1:137" s="410" customFormat="1" hidden="1" outlineLevel="1">
      <c r="A34" s="626"/>
      <c r="B34" s="401" t="s">
        <v>116</v>
      </c>
      <c r="C34" s="900"/>
      <c r="D34" s="532">
        <f t="shared" ref="D34:K34" si="52">D30+D32</f>
        <v>17.60000000000003</v>
      </c>
      <c r="E34" s="408">
        <f t="shared" si="52"/>
        <v>21.1</v>
      </c>
      <c r="F34" s="408">
        <f t="shared" si="52"/>
        <v>13.072881355932216</v>
      </c>
      <c r="G34" s="464">
        <f t="shared" si="52"/>
        <v>22.4</v>
      </c>
      <c r="H34" s="408">
        <f t="shared" si="52"/>
        <v>12.299999999999997</v>
      </c>
      <c r="I34" s="408">
        <f t="shared" si="52"/>
        <v>21.800000000000008</v>
      </c>
      <c r="J34" s="408">
        <f t="shared" si="52"/>
        <v>18.800000000000011</v>
      </c>
      <c r="K34" s="464">
        <f t="shared" si="52"/>
        <v>15.399999999999984</v>
      </c>
      <c r="L34" s="408">
        <f t="shared" ref="L34:AQ34" si="53">L30+L32+L33</f>
        <v>24.799999999999997</v>
      </c>
      <c r="M34" s="408">
        <f t="shared" si="53"/>
        <v>29.599999999999969</v>
      </c>
      <c r="N34" s="408">
        <f t="shared" si="53"/>
        <v>21.600000000000016</v>
      </c>
      <c r="O34" s="464">
        <f t="shared" si="53"/>
        <v>27.200000000000003</v>
      </c>
      <c r="P34" s="408">
        <f t="shared" si="53"/>
        <v>25.999999999999993</v>
      </c>
      <c r="Q34" s="408">
        <f t="shared" si="53"/>
        <v>19.600000000000016</v>
      </c>
      <c r="R34" s="408">
        <f t="shared" si="53"/>
        <v>17.300000000000011</v>
      </c>
      <c r="S34" s="464">
        <f t="shared" si="53"/>
        <v>31.79999999999999</v>
      </c>
      <c r="T34" s="408">
        <f t="shared" si="53"/>
        <v>32.09999999999998</v>
      </c>
      <c r="U34" s="408">
        <f t="shared" si="53"/>
        <v>36.299999999999947</v>
      </c>
      <c r="V34" s="408">
        <f t="shared" si="53"/>
        <v>27.400000000000055</v>
      </c>
      <c r="W34" s="464">
        <f t="shared" si="53"/>
        <v>36.399999999999892</v>
      </c>
      <c r="X34" s="408">
        <f t="shared" si="53"/>
        <v>41.000000000000043</v>
      </c>
      <c r="Y34" s="408">
        <f t="shared" si="53"/>
        <v>40.099999999999923</v>
      </c>
      <c r="Z34" s="408">
        <f t="shared" si="53"/>
        <v>5.3000000000000149</v>
      </c>
      <c r="AA34" s="464">
        <f t="shared" si="53"/>
        <v>7.840499999999988</v>
      </c>
      <c r="AB34" s="408">
        <f t="shared" si="53"/>
        <v>21.099999999999923</v>
      </c>
      <c r="AC34" s="408">
        <f t="shared" si="53"/>
        <v>24.699999999999982</v>
      </c>
      <c r="AD34" s="408">
        <f t="shared" si="53"/>
        <v>18.39999999999997</v>
      </c>
      <c r="AE34" s="464">
        <f t="shared" si="53"/>
        <v>2.0999999999999446</v>
      </c>
      <c r="AF34" s="408">
        <f t="shared" si="53"/>
        <v>-237.50000000000003</v>
      </c>
      <c r="AG34" s="408">
        <f t="shared" si="53"/>
        <v>45.699999999999939</v>
      </c>
      <c r="AH34" s="408">
        <f t="shared" si="53"/>
        <v>31.899999999999984</v>
      </c>
      <c r="AI34" s="464">
        <f t="shared" si="53"/>
        <v>40.799999999999969</v>
      </c>
      <c r="AJ34" s="408">
        <f t="shared" si="53"/>
        <v>44.20000000000001</v>
      </c>
      <c r="AK34" s="408">
        <f t="shared" si="53"/>
        <v>44.800000000000054</v>
      </c>
      <c r="AL34" s="408">
        <f t="shared" si="53"/>
        <v>35.900000000000063</v>
      </c>
      <c r="AM34" s="464">
        <f t="shared" si="53"/>
        <v>49.999999999999908</v>
      </c>
      <c r="AN34" s="408">
        <f t="shared" si="53"/>
        <v>51.10000000000003</v>
      </c>
      <c r="AO34" s="408">
        <f t="shared" si="53"/>
        <v>54.700000000000081</v>
      </c>
      <c r="AP34" s="408">
        <f t="shared" si="53"/>
        <v>44.799999999999905</v>
      </c>
      <c r="AQ34" s="464">
        <f t="shared" si="53"/>
        <v>67.700000000000045</v>
      </c>
      <c r="AR34" s="408">
        <f t="shared" ref="AR34:BW34" si="54">AR30+AR32+AR33</f>
        <v>77.600000000000051</v>
      </c>
      <c r="AS34" s="408">
        <f t="shared" si="54"/>
        <v>36.016500000000121</v>
      </c>
      <c r="AT34" s="408">
        <f t="shared" si="54"/>
        <v>61.400000000000055</v>
      </c>
      <c r="AU34" s="464">
        <f t="shared" si="54"/>
        <v>64.600000000000023</v>
      </c>
      <c r="AV34" s="408">
        <f t="shared" si="54"/>
        <v>61.30000000000009</v>
      </c>
      <c r="AW34" s="408">
        <f t="shared" si="54"/>
        <v>70.200000000000017</v>
      </c>
      <c r="AX34" s="408">
        <f t="shared" si="54"/>
        <v>39.19999999999996</v>
      </c>
      <c r="AY34" s="464">
        <f t="shared" si="54"/>
        <v>40.900000000000034</v>
      </c>
      <c r="AZ34" s="408">
        <f t="shared" si="54"/>
        <v>58.399999999999849</v>
      </c>
      <c r="BA34" s="408">
        <f t="shared" si="54"/>
        <v>75.699999999999918</v>
      </c>
      <c r="BB34" s="408">
        <f t="shared" si="54"/>
        <v>83.199999999999818</v>
      </c>
      <c r="BC34" s="464">
        <f t="shared" si="54"/>
        <v>71.200000000000045</v>
      </c>
      <c r="BD34" s="408">
        <f t="shared" si="54"/>
        <v>88.700000000000017</v>
      </c>
      <c r="BE34" s="408">
        <f t="shared" si="54"/>
        <v>88.099999999999923</v>
      </c>
      <c r="BF34" s="408">
        <f t="shared" si="54"/>
        <v>-130.39999999999998</v>
      </c>
      <c r="BG34" s="464">
        <f t="shared" si="54"/>
        <v>-81.400000000000034</v>
      </c>
      <c r="BH34" s="408">
        <f t="shared" si="54"/>
        <v>-6.9999999999999734</v>
      </c>
      <c r="BI34" s="408">
        <f t="shared" si="54"/>
        <v>-35.89999999999992</v>
      </c>
      <c r="BJ34" s="408">
        <f t="shared" si="54"/>
        <v>17.19999999999995</v>
      </c>
      <c r="BK34" s="464">
        <f t="shared" si="54"/>
        <v>52.699999999999932</v>
      </c>
      <c r="BL34" s="408">
        <f t="shared" si="54"/>
        <v>81.399999999999977</v>
      </c>
      <c r="BM34" s="408">
        <f t="shared" si="54"/>
        <v>100.90000000000006</v>
      </c>
      <c r="BN34" s="408">
        <f t="shared" si="54"/>
        <v>111.7000000000002</v>
      </c>
      <c r="BO34" s="464">
        <f t="shared" si="54"/>
        <v>116.90000000000013</v>
      </c>
      <c r="BP34" s="408">
        <f t="shared" si="54"/>
        <v>129.70000000000016</v>
      </c>
      <c r="BQ34" s="408">
        <f t="shared" si="54"/>
        <v>120.20999999999992</v>
      </c>
      <c r="BR34" s="408">
        <f t="shared" si="54"/>
        <v>146.99999999999997</v>
      </c>
      <c r="BS34" s="464">
        <f t="shared" si="54"/>
        <v>127.50000000000001</v>
      </c>
      <c r="BT34" s="408">
        <f t="shared" si="54"/>
        <v>162.99999999999997</v>
      </c>
      <c r="BU34" s="408">
        <f t="shared" si="54"/>
        <v>121.39500000000005</v>
      </c>
      <c r="BV34" s="408">
        <f t="shared" si="54"/>
        <v>101.10000000000004</v>
      </c>
      <c r="BW34" s="464">
        <f t="shared" si="54"/>
        <v>137.69199999999984</v>
      </c>
      <c r="BX34" s="408">
        <f t="shared" ref="BX34:CU34" si="55">BX30+BX32+BX33</f>
        <v>151.32800000000003</v>
      </c>
      <c r="BY34" s="408">
        <f t="shared" si="55"/>
        <v>174.10000000000014</v>
      </c>
      <c r="BZ34" s="408">
        <f t="shared" si="55"/>
        <v>162.19200000000012</v>
      </c>
      <c r="CA34" s="464">
        <f t="shared" si="55"/>
        <v>180.41500000000016</v>
      </c>
      <c r="CB34" s="408">
        <f t="shared" si="55"/>
        <v>188.90899999999996</v>
      </c>
      <c r="CC34" s="408">
        <f t="shared" si="55"/>
        <v>203.98019999999991</v>
      </c>
      <c r="CD34" s="408">
        <f t="shared" si="55"/>
        <v>180.31299999999996</v>
      </c>
      <c r="CE34" s="464">
        <f t="shared" si="55"/>
        <v>171.52000000000015</v>
      </c>
      <c r="CF34" s="408">
        <f t="shared" si="55"/>
        <v>177.92900000000003</v>
      </c>
      <c r="CG34" s="408">
        <f t="shared" si="55"/>
        <v>170.26615000000004</v>
      </c>
      <c r="CH34" s="408">
        <f t="shared" si="55"/>
        <v>166.08018000000004</v>
      </c>
      <c r="CI34" s="464">
        <f t="shared" si="55"/>
        <v>173.23899999999986</v>
      </c>
      <c r="CJ34" s="408">
        <f t="shared" si="55"/>
        <v>174.11899999999997</v>
      </c>
      <c r="CK34" s="408">
        <f t="shared" si="55"/>
        <v>181.89999999999986</v>
      </c>
      <c r="CL34" s="408">
        <f t="shared" si="55"/>
        <v>166.23509999999993</v>
      </c>
      <c r="CM34" s="627">
        <f t="shared" si="55"/>
        <v>179.69500000000008</v>
      </c>
      <c r="CN34" s="628">
        <f t="shared" si="55"/>
        <v>193.44471999999996</v>
      </c>
      <c r="CO34" s="628">
        <f t="shared" si="55"/>
        <v>203.54087999999976</v>
      </c>
      <c r="CP34" s="408">
        <f t="shared" si="55"/>
        <v>200.96960999999976</v>
      </c>
      <c r="CQ34" s="464">
        <f t="shared" ref="CQ34" si="56">CQ30+CQ32+CQ33</f>
        <v>224.64</v>
      </c>
      <c r="CR34" s="628">
        <f t="shared" si="55"/>
        <v>225.36131810183346</v>
      </c>
      <c r="CS34" s="628">
        <f t="shared" si="55"/>
        <v>235.54053940822479</v>
      </c>
      <c r="CT34" s="628">
        <f t="shared" si="55"/>
        <v>217.62806140139068</v>
      </c>
      <c r="CU34" s="627">
        <f t="shared" si="55"/>
        <v>242.45878152710981</v>
      </c>
      <c r="CV34" s="406"/>
      <c r="CW34" s="408"/>
      <c r="CX34" s="408">
        <f t="shared" ref="CX34:DZ34" si="57">CX30+CX32+CX33</f>
        <v>83.772881355932057</v>
      </c>
      <c r="CY34" s="408">
        <f t="shared" si="57"/>
        <v>81.800000000000182</v>
      </c>
      <c r="CZ34" s="408">
        <f t="shared" si="57"/>
        <v>119.90000000000005</v>
      </c>
      <c r="DA34" s="408">
        <f t="shared" si="57"/>
        <v>111.49999999999991</v>
      </c>
      <c r="DB34" s="408">
        <f t="shared" si="57"/>
        <v>164.29999999999995</v>
      </c>
      <c r="DC34" s="408">
        <f t="shared" si="57"/>
        <v>94.240499999999443</v>
      </c>
      <c r="DD34" s="408">
        <f t="shared" si="57"/>
        <v>66.299999999999812</v>
      </c>
      <c r="DE34" s="408">
        <f t="shared" si="57"/>
        <v>-119.10000000000016</v>
      </c>
      <c r="DF34" s="408">
        <f t="shared" si="57"/>
        <v>174.89999999999949</v>
      </c>
      <c r="DG34" s="408">
        <f t="shared" si="57"/>
        <v>218.29999999999973</v>
      </c>
      <c r="DH34" s="408">
        <f t="shared" si="57"/>
        <v>239.61650000000054</v>
      </c>
      <c r="DI34" s="408">
        <f t="shared" si="57"/>
        <v>211.59999999999968</v>
      </c>
      <c r="DJ34" s="408">
        <f t="shared" si="57"/>
        <v>288.49999999999966</v>
      </c>
      <c r="DK34" s="408">
        <f t="shared" si="57"/>
        <v>-35.000000000000625</v>
      </c>
      <c r="DL34" s="408">
        <f t="shared" si="57"/>
        <v>27.00000000000049</v>
      </c>
      <c r="DM34" s="408">
        <f t="shared" si="57"/>
        <v>410.8999999999993</v>
      </c>
      <c r="DN34" s="408">
        <f t="shared" si="57"/>
        <v>524.40999999999974</v>
      </c>
      <c r="DO34" s="408">
        <f t="shared" si="57"/>
        <v>523.18700000000138</v>
      </c>
      <c r="DP34" s="408">
        <f t="shared" si="57"/>
        <v>668.03500000000088</v>
      </c>
      <c r="DQ34" s="408">
        <f t="shared" si="57"/>
        <v>744.72219999999948</v>
      </c>
      <c r="DR34" s="408">
        <f t="shared" si="57"/>
        <v>687.5143300000002</v>
      </c>
      <c r="DS34" s="408">
        <f t="shared" si="57"/>
        <v>701.94910000000061</v>
      </c>
      <c r="DT34" s="408">
        <f t="shared" si="57"/>
        <v>822.59520999999881</v>
      </c>
      <c r="DU34" s="408">
        <f t="shared" si="57"/>
        <v>920.9887004385605</v>
      </c>
      <c r="DV34" s="408">
        <f t="shared" si="57"/>
        <v>948.60597924422336</v>
      </c>
      <c r="DW34" s="408">
        <f t="shared" si="57"/>
        <v>967.87004316551736</v>
      </c>
      <c r="DX34" s="408">
        <f t="shared" si="57"/>
        <v>980.31300516602369</v>
      </c>
      <c r="DY34" s="408">
        <f t="shared" si="57"/>
        <v>978.26725134286562</v>
      </c>
      <c r="DZ34" s="408">
        <f t="shared" si="57"/>
        <v>959.92801074177441</v>
      </c>
      <c r="EA34" s="409"/>
      <c r="EB34"/>
      <c r="EC34"/>
      <c r="ED34"/>
      <c r="EE34"/>
      <c r="EF34"/>
      <c r="EG34"/>
    </row>
    <row r="35" spans="1:137" collapsed="1">
      <c r="A35" s="374"/>
      <c r="B35" s="445"/>
      <c r="C35" s="901"/>
      <c r="D35" s="446"/>
      <c r="E35" s="447"/>
      <c r="F35" s="447"/>
      <c r="G35" s="448"/>
      <c r="H35" s="447"/>
      <c r="I35" s="447"/>
      <c r="J35" s="447"/>
      <c r="K35" s="448"/>
      <c r="L35" s="447"/>
      <c r="M35" s="447"/>
      <c r="N35" s="447"/>
      <c r="O35" s="448"/>
      <c r="P35" s="447"/>
      <c r="Q35" s="447"/>
      <c r="R35" s="447"/>
      <c r="S35" s="448"/>
      <c r="T35" s="447"/>
      <c r="U35" s="447"/>
      <c r="V35" s="447"/>
      <c r="W35" s="448"/>
      <c r="X35" s="447"/>
      <c r="Y35" s="447"/>
      <c r="Z35" s="447"/>
      <c r="AA35" s="448"/>
      <c r="AB35" s="447"/>
      <c r="AC35" s="447"/>
      <c r="AD35" s="447"/>
      <c r="AE35" s="448"/>
      <c r="AF35" s="447"/>
      <c r="AG35" s="447"/>
      <c r="AH35" s="447"/>
      <c r="AI35" s="448"/>
      <c r="AJ35" s="447"/>
      <c r="AK35" s="447"/>
      <c r="AL35" s="447"/>
      <c r="AM35" s="448"/>
      <c r="AN35" s="447"/>
      <c r="AO35" s="447"/>
      <c r="AP35" s="447"/>
      <c r="AQ35" s="448"/>
      <c r="AR35" s="447"/>
      <c r="AS35" s="447"/>
      <c r="AT35" s="447"/>
      <c r="AU35" s="448"/>
      <c r="AV35" s="447"/>
      <c r="AW35" s="447"/>
      <c r="AX35" s="447"/>
      <c r="AY35" s="448"/>
      <c r="AZ35" s="447"/>
      <c r="BA35" s="447"/>
      <c r="BB35" s="447"/>
      <c r="BC35" s="448"/>
      <c r="BD35" s="447"/>
      <c r="BE35" s="447"/>
      <c r="BF35" s="447"/>
      <c r="BG35" s="448"/>
      <c r="BH35" s="447"/>
      <c r="BI35" s="447"/>
      <c r="BJ35" s="447"/>
      <c r="BK35" s="448"/>
      <c r="BL35" s="447"/>
      <c r="BM35" s="447"/>
      <c r="BN35" s="447"/>
      <c r="BO35" s="448"/>
      <c r="BP35" s="447"/>
      <c r="BQ35" s="447"/>
      <c r="BR35" s="447"/>
      <c r="BS35" s="448"/>
      <c r="BT35" s="447"/>
      <c r="BU35" s="447"/>
      <c r="BV35" s="447"/>
      <c r="BW35" s="448"/>
      <c r="BX35" s="447"/>
      <c r="BY35" s="447"/>
      <c r="BZ35" s="447"/>
      <c r="CA35" s="448"/>
      <c r="CB35" s="447"/>
      <c r="CC35" s="447"/>
      <c r="CD35" s="447"/>
      <c r="CE35" s="448"/>
      <c r="CF35" s="447"/>
      <c r="CG35" s="447"/>
      <c r="CH35" s="447"/>
      <c r="CI35" s="448"/>
      <c r="CJ35" s="447"/>
      <c r="CK35" s="447"/>
      <c r="CL35" s="447"/>
      <c r="CM35" s="448"/>
      <c r="CN35" s="447"/>
      <c r="CO35" s="447"/>
      <c r="CP35" s="447"/>
      <c r="CQ35" s="448"/>
      <c r="CR35" s="447"/>
      <c r="CS35" s="447"/>
      <c r="CT35" s="447"/>
      <c r="CU35" s="448"/>
      <c r="CV35" s="376"/>
      <c r="CW35" s="449"/>
      <c r="CX35" s="447"/>
      <c r="CY35" s="447"/>
      <c r="CZ35" s="447"/>
      <c r="DA35" s="447"/>
      <c r="DB35" s="447"/>
      <c r="DC35" s="447"/>
      <c r="DD35" s="447"/>
      <c r="DE35" s="447"/>
      <c r="DF35" s="447"/>
      <c r="DG35" s="447"/>
      <c r="DH35" s="447"/>
      <c r="DI35" s="447"/>
      <c r="DJ35" s="447"/>
      <c r="DK35" s="447"/>
      <c r="DL35" s="447"/>
      <c r="DM35" s="447"/>
      <c r="DN35" s="447"/>
      <c r="DO35" s="447"/>
      <c r="DP35" s="447"/>
      <c r="DQ35" s="447"/>
      <c r="DR35" s="447"/>
      <c r="DS35" s="447"/>
      <c r="DT35" s="425"/>
      <c r="DU35" s="447"/>
      <c r="DV35" s="447"/>
      <c r="DW35" s="447"/>
      <c r="DX35" s="447"/>
      <c r="DY35" s="447"/>
      <c r="DZ35" s="447"/>
      <c r="EA35" s="450"/>
    </row>
    <row r="36" spans="1:137" s="410" customFormat="1">
      <c r="A36" s="400"/>
      <c r="B36" s="401" t="s">
        <v>414</v>
      </c>
      <c r="C36" s="658"/>
      <c r="D36" s="486">
        <f t="shared" ref="D36:AI36" si="58">D38</f>
        <v>93.6</v>
      </c>
      <c r="E36" s="401">
        <f t="shared" si="58"/>
        <v>93.6</v>
      </c>
      <c r="F36" s="401">
        <f t="shared" si="58"/>
        <v>94.4</v>
      </c>
      <c r="G36" s="487">
        <f t="shared" si="58"/>
        <v>94.8</v>
      </c>
      <c r="H36" s="401">
        <f t="shared" si="58"/>
        <v>94</v>
      </c>
      <c r="I36" s="401">
        <f t="shared" si="58"/>
        <v>94</v>
      </c>
      <c r="J36" s="401">
        <f t="shared" si="58"/>
        <v>94</v>
      </c>
      <c r="K36" s="487">
        <f t="shared" si="58"/>
        <v>94.4</v>
      </c>
      <c r="L36" s="401">
        <f t="shared" si="58"/>
        <v>95.2</v>
      </c>
      <c r="M36" s="401">
        <f t="shared" si="58"/>
        <v>95.92</v>
      </c>
      <c r="N36" s="401">
        <f t="shared" si="58"/>
        <v>95.6</v>
      </c>
      <c r="O36" s="487">
        <f t="shared" si="58"/>
        <v>94.8</v>
      </c>
      <c r="P36" s="401">
        <f t="shared" si="58"/>
        <v>95.16</v>
      </c>
      <c r="Q36" s="401">
        <f t="shared" si="58"/>
        <v>94.4</v>
      </c>
      <c r="R36" s="401">
        <f t="shared" si="58"/>
        <v>94.8</v>
      </c>
      <c r="S36" s="487">
        <f t="shared" si="58"/>
        <v>94.56</v>
      </c>
      <c r="T36" s="401">
        <f t="shared" si="58"/>
        <v>97.2</v>
      </c>
      <c r="U36" s="401">
        <f t="shared" si="58"/>
        <v>107.6</v>
      </c>
      <c r="V36" s="401">
        <f t="shared" si="58"/>
        <v>106.8</v>
      </c>
      <c r="W36" s="487">
        <f t="shared" si="58"/>
        <v>107.2</v>
      </c>
      <c r="X36" s="401">
        <f t="shared" si="58"/>
        <v>213.47200000000001</v>
      </c>
      <c r="Y36" s="401">
        <f t="shared" si="58"/>
        <v>211.464</v>
      </c>
      <c r="Z36" s="401">
        <f t="shared" si="58"/>
        <v>209.68</v>
      </c>
      <c r="AA36" s="487">
        <f t="shared" si="58"/>
        <v>209.89599999999996</v>
      </c>
      <c r="AB36" s="401">
        <f t="shared" si="58"/>
        <v>210.048</v>
      </c>
      <c r="AC36" s="401">
        <f t="shared" si="58"/>
        <v>210.47200000000001</v>
      </c>
      <c r="AD36" s="401">
        <f t="shared" si="58"/>
        <v>210.72</v>
      </c>
      <c r="AE36" s="487">
        <f t="shared" si="58"/>
        <v>210.84</v>
      </c>
      <c r="AF36" s="401">
        <f t="shared" si="58"/>
        <v>211.88800000000001</v>
      </c>
      <c r="AG36" s="401">
        <f t="shared" si="58"/>
        <v>212.94399999999999</v>
      </c>
      <c r="AH36" s="401">
        <f t="shared" si="58"/>
        <v>214.048</v>
      </c>
      <c r="AI36" s="487">
        <f t="shared" si="58"/>
        <v>213.12</v>
      </c>
      <c r="AJ36" s="401">
        <f t="shared" ref="AJ36:BO36" si="59">AJ38</f>
        <v>213.17599999999999</v>
      </c>
      <c r="AK36" s="401">
        <f t="shared" si="59"/>
        <v>214.68</v>
      </c>
      <c r="AL36" s="401">
        <f t="shared" si="59"/>
        <v>217.976</v>
      </c>
      <c r="AM36" s="487">
        <f t="shared" si="59"/>
        <v>220.024</v>
      </c>
      <c r="AN36" s="401">
        <f t="shared" si="59"/>
        <v>221.77600000000001</v>
      </c>
      <c r="AO36" s="401">
        <f t="shared" si="59"/>
        <v>223.06399999999999</v>
      </c>
      <c r="AP36" s="401">
        <f t="shared" si="59"/>
        <v>224.1</v>
      </c>
      <c r="AQ36" s="487">
        <f t="shared" si="59"/>
        <v>225.012</v>
      </c>
      <c r="AR36" s="401">
        <f t="shared" si="59"/>
        <v>225.70400000000001</v>
      </c>
      <c r="AS36" s="401">
        <f t="shared" si="59"/>
        <v>226.024</v>
      </c>
      <c r="AT36" s="401">
        <f t="shared" si="59"/>
        <v>227.244</v>
      </c>
      <c r="AU36" s="487">
        <f t="shared" si="59"/>
        <v>228.35599999999999</v>
      </c>
      <c r="AV36" s="401">
        <f t="shared" si="59"/>
        <v>228.72399999999999</v>
      </c>
      <c r="AW36" s="401">
        <f t="shared" si="59"/>
        <v>229.31200000000001</v>
      </c>
      <c r="AX36" s="401">
        <f t="shared" si="59"/>
        <v>229.83600000000001</v>
      </c>
      <c r="AY36" s="487">
        <f t="shared" si="59"/>
        <v>229.61199999999999</v>
      </c>
      <c r="AZ36" s="401">
        <f t="shared" si="59"/>
        <v>231.66399999999999</v>
      </c>
      <c r="BA36" s="401">
        <f t="shared" si="59"/>
        <v>232.2</v>
      </c>
      <c r="BB36" s="401">
        <f t="shared" si="59"/>
        <v>231.99600000000001</v>
      </c>
      <c r="BC36" s="487">
        <f t="shared" si="59"/>
        <v>232.15600000000001</v>
      </c>
      <c r="BD36" s="401">
        <f t="shared" si="59"/>
        <v>232.494</v>
      </c>
      <c r="BE36" s="401">
        <f t="shared" si="59"/>
        <v>232.5</v>
      </c>
      <c r="BF36" s="401">
        <f>BF38</f>
        <v>231.99799999999999</v>
      </c>
      <c r="BG36" s="487">
        <f t="shared" si="59"/>
        <v>231.2</v>
      </c>
      <c r="BH36" s="401">
        <f t="shared" si="59"/>
        <v>232.05799999999999</v>
      </c>
      <c r="BI36" s="401">
        <f t="shared" si="59"/>
        <v>233.12799999999999</v>
      </c>
      <c r="BJ36" s="401">
        <f t="shared" si="59"/>
        <v>233.458</v>
      </c>
      <c r="BK36" s="487">
        <f t="shared" si="59"/>
        <v>233.5320000000001</v>
      </c>
      <c r="BL36" s="401">
        <f t="shared" si="59"/>
        <v>232.75</v>
      </c>
      <c r="BM36" s="401">
        <f t="shared" si="59"/>
        <v>230.72399999999999</v>
      </c>
      <c r="BN36" s="401">
        <f t="shared" si="59"/>
        <v>225.51400000000001</v>
      </c>
      <c r="BO36" s="487">
        <f t="shared" si="59"/>
        <v>224.25200000000001</v>
      </c>
      <c r="BP36" s="401">
        <f t="shared" ref="BP36:CP36" si="60">BP38</f>
        <v>221.268</v>
      </c>
      <c r="BQ36" s="401">
        <f t="shared" si="60"/>
        <v>217.52199999999999</v>
      </c>
      <c r="BR36" s="401">
        <f t="shared" si="60"/>
        <v>217.55799999999999</v>
      </c>
      <c r="BS36" s="487">
        <f t="shared" si="60"/>
        <v>217.48400000000001</v>
      </c>
      <c r="BT36" s="401">
        <f t="shared" si="60"/>
        <v>218.458</v>
      </c>
      <c r="BU36" s="401">
        <f t="shared" si="60"/>
        <v>218.458</v>
      </c>
      <c r="BV36" s="401">
        <f t="shared" si="60"/>
        <v>218.458</v>
      </c>
      <c r="BW36" s="487">
        <f t="shared" si="60"/>
        <v>218.458</v>
      </c>
      <c r="BX36" s="401">
        <f t="shared" si="60"/>
        <v>233.2</v>
      </c>
      <c r="BY36" s="401">
        <f t="shared" si="60"/>
        <v>232.2</v>
      </c>
      <c r="BZ36" s="401">
        <f t="shared" si="60"/>
        <v>230.4</v>
      </c>
      <c r="CA36" s="487">
        <f t="shared" si="60"/>
        <v>229.5</v>
      </c>
      <c r="CB36" s="401">
        <f t="shared" si="60"/>
        <v>229.3</v>
      </c>
      <c r="CC36" s="401">
        <f t="shared" si="60"/>
        <v>229.67</v>
      </c>
      <c r="CD36" s="401">
        <f t="shared" si="60"/>
        <v>228.7</v>
      </c>
      <c r="CE36" s="487">
        <f t="shared" si="60"/>
        <v>228</v>
      </c>
      <c r="CF36" s="401">
        <f t="shared" si="60"/>
        <v>227.1</v>
      </c>
      <c r="CG36" s="401">
        <f t="shared" si="60"/>
        <v>226.61500000000001</v>
      </c>
      <c r="CH36" s="401">
        <f t="shared" si="60"/>
        <v>225.99100000000001</v>
      </c>
      <c r="CI36" s="487">
        <f t="shared" si="60"/>
        <v>222.9</v>
      </c>
      <c r="CJ36" s="401">
        <f>CJ38</f>
        <v>218.1</v>
      </c>
      <c r="CK36" s="401">
        <f t="shared" si="60"/>
        <v>216.66300000000001</v>
      </c>
      <c r="CL36" s="401">
        <f t="shared" si="60"/>
        <v>213.76599999999999</v>
      </c>
      <c r="CM36" s="405">
        <f t="shared" si="60"/>
        <v>211.5</v>
      </c>
      <c r="CN36" s="407">
        <f t="shared" si="60"/>
        <v>212.23599999999999</v>
      </c>
      <c r="CO36" s="407">
        <f t="shared" si="60"/>
        <v>211.47800000000001</v>
      </c>
      <c r="CP36" s="401">
        <f t="shared" si="60"/>
        <v>211.01300000000001</v>
      </c>
      <c r="CQ36" s="487">
        <f t="shared" ref="CQ36" si="61">CQ38</f>
        <v>209.7</v>
      </c>
      <c r="CR36" s="407">
        <f>CQ36*(1+CR37)-CR55</f>
        <v>209.23666525437005</v>
      </c>
      <c r="CS36" s="407">
        <f>CR36*(1+CS37)-CS55</f>
        <v>208.78580138918414</v>
      </c>
      <c r="CT36" s="407">
        <f>CS36*(1+CT37)-CT55</f>
        <v>208.34707274461852</v>
      </c>
      <c r="CU36" s="405">
        <f>CT36*(1+CU37)-CU55</f>
        <v>207.92015269529713</v>
      </c>
      <c r="CV36" s="406"/>
      <c r="CW36" s="403"/>
      <c r="CX36" s="407">
        <f t="shared" ref="CX36:DU36" si="62">CX38</f>
        <v>94.100000000000009</v>
      </c>
      <c r="CY36" s="407">
        <f t="shared" si="62"/>
        <v>94.1</v>
      </c>
      <c r="CZ36" s="407">
        <f t="shared" si="62"/>
        <v>95.38000000000001</v>
      </c>
      <c r="DA36" s="407">
        <f t="shared" si="62"/>
        <v>94.73</v>
      </c>
      <c r="DB36" s="407">
        <f t="shared" si="62"/>
        <v>104.7</v>
      </c>
      <c r="DC36" s="407">
        <f t="shared" si="62"/>
        <v>211.12799999999999</v>
      </c>
      <c r="DD36" s="407">
        <f t="shared" si="62"/>
        <v>210.52</v>
      </c>
      <c r="DE36" s="407">
        <f t="shared" si="62"/>
        <v>213</v>
      </c>
      <c r="DF36" s="407">
        <f t="shared" si="62"/>
        <v>216.464</v>
      </c>
      <c r="DG36" s="407">
        <f t="shared" si="62"/>
        <v>223.488</v>
      </c>
      <c r="DH36" s="407">
        <f t="shared" si="62"/>
        <v>226.83199999999999</v>
      </c>
      <c r="DI36" s="407">
        <f t="shared" si="62"/>
        <v>229.37100000000001</v>
      </c>
      <c r="DJ36" s="407">
        <f t="shared" si="62"/>
        <v>232.00400000000002</v>
      </c>
      <c r="DK36" s="407">
        <f t="shared" si="62"/>
        <v>232.048</v>
      </c>
      <c r="DL36" s="407">
        <f t="shared" si="62"/>
        <v>233.04400000000004</v>
      </c>
      <c r="DM36" s="407">
        <f t="shared" si="62"/>
        <v>228.31</v>
      </c>
      <c r="DN36" s="407">
        <f t="shared" si="62"/>
        <v>218.458</v>
      </c>
      <c r="DO36" s="407">
        <f t="shared" si="62"/>
        <v>218.458</v>
      </c>
      <c r="DP36" s="407">
        <f t="shared" si="62"/>
        <v>231.32499999999999</v>
      </c>
      <c r="DQ36" s="407">
        <f t="shared" si="62"/>
        <v>228.91750000000002</v>
      </c>
      <c r="DR36" s="407">
        <f t="shared" si="62"/>
        <v>225.6515</v>
      </c>
      <c r="DS36" s="407">
        <f t="shared" si="62"/>
        <v>215.00725</v>
      </c>
      <c r="DT36" s="407">
        <f t="shared" si="62"/>
        <v>211.10674999999998</v>
      </c>
      <c r="DU36" s="407">
        <f t="shared" si="62"/>
        <v>208.79490393395531</v>
      </c>
      <c r="DV36" s="407">
        <f>DU36*(1+DV37)-DV55</f>
        <v>208.79490393395531</v>
      </c>
      <c r="DW36" s="407">
        <f>DV36*(1+DW37)-DW55</f>
        <v>208.79490393395531</v>
      </c>
      <c r="DX36" s="407">
        <f>DW36*(1+DX37)-DX55</f>
        <v>208.79490393395531</v>
      </c>
      <c r="DY36" s="407">
        <f>DX36*(1+DY37)-DY55</f>
        <v>208.79490393395531</v>
      </c>
      <c r="DZ36" s="407">
        <f>DY36*(1+DZ37)-DZ55</f>
        <v>208.79490393395531</v>
      </c>
      <c r="EA36" s="423"/>
      <c r="EB36"/>
      <c r="EC36"/>
      <c r="ED36"/>
      <c r="EE36"/>
      <c r="EF36"/>
      <c r="EG36"/>
    </row>
    <row r="37" spans="1:137" s="418" customFormat="1">
      <c r="A37" s="411"/>
      <c r="B37" s="412" t="s">
        <v>368</v>
      </c>
      <c r="C37" s="898"/>
      <c r="D37" s="413"/>
      <c r="E37" s="414">
        <f t="shared" ref="E37:AJ37" si="63">(E36+E55)/D36-1</f>
        <v>0</v>
      </c>
      <c r="F37" s="414">
        <f t="shared" si="63"/>
        <v>8.5470085470087387E-3</v>
      </c>
      <c r="G37" s="415">
        <f t="shared" si="63"/>
        <v>4.237288135593209E-3</v>
      </c>
      <c r="H37" s="414">
        <f t="shared" si="63"/>
        <v>-8.4388185654008518E-3</v>
      </c>
      <c r="I37" s="414">
        <f t="shared" si="63"/>
        <v>0</v>
      </c>
      <c r="J37" s="414">
        <f t="shared" si="63"/>
        <v>0</v>
      </c>
      <c r="K37" s="415">
        <f t="shared" si="63"/>
        <v>4.2553191489362874E-3</v>
      </c>
      <c r="L37" s="414">
        <f t="shared" si="63"/>
        <v>8.4745762711864181E-3</v>
      </c>
      <c r="M37" s="414">
        <f t="shared" si="63"/>
        <v>7.5630252100840067E-3</v>
      </c>
      <c r="N37" s="414">
        <f t="shared" si="63"/>
        <v>-3.3361134278566684E-3</v>
      </c>
      <c r="O37" s="415">
        <f t="shared" si="63"/>
        <v>-8.3682008368201055E-3</v>
      </c>
      <c r="P37" s="414">
        <f t="shared" si="63"/>
        <v>3.7974683544304E-3</v>
      </c>
      <c r="Q37" s="414">
        <f t="shared" si="63"/>
        <v>-7.9865489701553827E-3</v>
      </c>
      <c r="R37" s="414">
        <f t="shared" si="63"/>
        <v>4.237288135593209E-3</v>
      </c>
      <c r="S37" s="415">
        <f t="shared" si="63"/>
        <v>-2.5316455696201556E-3</v>
      </c>
      <c r="T37" s="414">
        <f t="shared" si="63"/>
        <v>2.7918781725888353E-2</v>
      </c>
      <c r="U37" s="414">
        <f t="shared" si="63"/>
        <v>0.10699588477366251</v>
      </c>
      <c r="V37" s="414">
        <f t="shared" si="63"/>
        <v>-7.4349442379182396E-3</v>
      </c>
      <c r="W37" s="415">
        <f t="shared" si="63"/>
        <v>3.7453183520599342E-3</v>
      </c>
      <c r="X37" s="414">
        <f t="shared" si="63"/>
        <v>0.99134328358208967</v>
      </c>
      <c r="Y37" s="414">
        <f t="shared" si="63"/>
        <v>-9.4063858491980623E-3</v>
      </c>
      <c r="Z37" s="414">
        <f t="shared" si="63"/>
        <v>-8.4364241667611584E-3</v>
      </c>
      <c r="AA37" s="415">
        <f t="shared" si="63"/>
        <v>1.0301411674931149E-3</v>
      </c>
      <c r="AB37" s="414">
        <f t="shared" si="63"/>
        <v>7.241681594696292E-4</v>
      </c>
      <c r="AC37" s="414">
        <f t="shared" si="63"/>
        <v>2.0185862279098465E-3</v>
      </c>
      <c r="AD37" s="414">
        <f t="shared" si="63"/>
        <v>1.1783040024326841E-3</v>
      </c>
      <c r="AE37" s="415">
        <f t="shared" si="63"/>
        <v>5.6947608200452748E-4</v>
      </c>
      <c r="AF37" s="414">
        <f t="shared" si="63"/>
        <v>4.9705938152153628E-3</v>
      </c>
      <c r="AG37" s="414">
        <f t="shared" si="63"/>
        <v>4.9837650079287421E-3</v>
      </c>
      <c r="AH37" s="414">
        <f t="shared" si="63"/>
        <v>5.1844616424976397E-3</v>
      </c>
      <c r="AI37" s="415">
        <f t="shared" si="63"/>
        <v>-4.3354761548811682E-3</v>
      </c>
      <c r="AJ37" s="414">
        <f t="shared" si="63"/>
        <v>2.6276276276271382E-4</v>
      </c>
      <c r="AK37" s="414">
        <f t="shared" ref="AK37:BP37" si="64">(AK36+AK55)/AJ36-1</f>
        <v>7.0552032123691877E-3</v>
      </c>
      <c r="AL37" s="414">
        <f t="shared" si="64"/>
        <v>1.5353083659400024E-2</v>
      </c>
      <c r="AM37" s="415">
        <f t="shared" si="64"/>
        <v>9.3955297830954354E-3</v>
      </c>
      <c r="AN37" s="414">
        <f t="shared" si="64"/>
        <v>7.9627676980693618E-3</v>
      </c>
      <c r="AO37" s="414">
        <f t="shared" si="64"/>
        <v>5.8076617848639156E-3</v>
      </c>
      <c r="AP37" s="414">
        <f t="shared" si="64"/>
        <v>4.6444069863358362E-3</v>
      </c>
      <c r="AQ37" s="415">
        <f t="shared" si="64"/>
        <v>4.0696117804552845E-3</v>
      </c>
      <c r="AR37" s="414">
        <f t="shared" si="64"/>
        <v>3.0753915346737326E-3</v>
      </c>
      <c r="AS37" s="414">
        <f t="shared" si="64"/>
        <v>1.4177861269626391E-3</v>
      </c>
      <c r="AT37" s="414">
        <f t="shared" si="64"/>
        <v>5.3976568859943619E-3</v>
      </c>
      <c r="AU37" s="415">
        <f t="shared" si="64"/>
        <v>4.8934185281019893E-3</v>
      </c>
      <c r="AV37" s="414">
        <f t="shared" si="64"/>
        <v>1.6115188565222205E-3</v>
      </c>
      <c r="AW37" s="414">
        <f t="shared" si="64"/>
        <v>2.5707840016788719E-3</v>
      </c>
      <c r="AX37" s="414">
        <f t="shared" si="64"/>
        <v>2.2850962880267556E-3</v>
      </c>
      <c r="AY37" s="415">
        <f t="shared" si="64"/>
        <v>-9.7460798134330062E-4</v>
      </c>
      <c r="AZ37" s="414">
        <f t="shared" si="64"/>
        <v>8.9368151490338832E-3</v>
      </c>
      <c r="BA37" s="414">
        <f t="shared" si="64"/>
        <v>3.1610435803577364E-3</v>
      </c>
      <c r="BB37" s="414">
        <f t="shared" si="64"/>
        <v>2.0973298880289093E-4</v>
      </c>
      <c r="BC37" s="415">
        <f t="shared" si="64"/>
        <v>1.5198537905825038E-3</v>
      </c>
      <c r="BD37" s="414">
        <f t="shared" si="64"/>
        <v>2.820517238408593E-3</v>
      </c>
      <c r="BE37" s="414">
        <f t="shared" si="64"/>
        <v>1.3217330339707622E-3</v>
      </c>
      <c r="BF37" s="414">
        <f t="shared" si="64"/>
        <v>-2.1591397849463068E-3</v>
      </c>
      <c r="BG37" s="415">
        <f t="shared" si="64"/>
        <v>-2.0797593082699795E-3</v>
      </c>
      <c r="BH37" s="414">
        <f t="shared" si="64"/>
        <v>3.7110726643598824E-3</v>
      </c>
      <c r="BI37" s="414">
        <f t="shared" si="64"/>
        <v>4.6109162364580403E-3</v>
      </c>
      <c r="BJ37" s="414">
        <f t="shared" si="64"/>
        <v>1.4155313819017579E-3</v>
      </c>
      <c r="BK37" s="415">
        <f t="shared" si="64"/>
        <v>3.1697350272885672E-4</v>
      </c>
      <c r="BL37" s="414">
        <f t="shared" si="64"/>
        <v>-3.3485774968744497E-3</v>
      </c>
      <c r="BM37" s="414">
        <f t="shared" si="64"/>
        <v>8.7505907626208579E-3</v>
      </c>
      <c r="BN37" s="414">
        <f t="shared" si="64"/>
        <v>-1.8434579844315957E-2</v>
      </c>
      <c r="BO37" s="415">
        <f t="shared" si="64"/>
        <v>3.8121801750667927E-3</v>
      </c>
      <c r="BP37" s="414">
        <f t="shared" si="64"/>
        <v>-2.0096587767333141E-3</v>
      </c>
      <c r="BQ37" s="414">
        <f t="shared" ref="BQ37:CQ37" si="65">(BQ36+BQ55)/BP36-1</f>
        <v>-1.2338431223674506E-2</v>
      </c>
      <c r="BR37" s="414">
        <f t="shared" si="65"/>
        <v>1.6550050109875869E-4</v>
      </c>
      <c r="BS37" s="415">
        <f t="shared" si="65"/>
        <v>6.098603590766638E-3</v>
      </c>
      <c r="BT37" s="414">
        <f t="shared" si="65"/>
        <v>4.4784903717054458E-3</v>
      </c>
      <c r="BU37" s="414">
        <f t="shared" si="65"/>
        <v>1.2156542676395432E-2</v>
      </c>
      <c r="BV37" s="414">
        <f t="shared" si="65"/>
        <v>0</v>
      </c>
      <c r="BW37" s="415">
        <f t="shared" si="65"/>
        <v>6.8663083979529915E-3</v>
      </c>
      <c r="BX37" s="414">
        <f t="shared" si="65"/>
        <v>7.0464455410193194E-2</v>
      </c>
      <c r="BY37" s="414">
        <f t="shared" si="65"/>
        <v>8.7362349914243964E-4</v>
      </c>
      <c r="BZ37" s="414">
        <f t="shared" si="65"/>
        <v>-4.4517657192074678E-3</v>
      </c>
      <c r="CA37" s="415">
        <f t="shared" si="65"/>
        <v>-3.90625E-3</v>
      </c>
      <c r="CB37" s="414">
        <f t="shared" si="65"/>
        <v>-8.7145969498902964E-4</v>
      </c>
      <c r="CC37" s="414">
        <f t="shared" si="65"/>
        <v>3.4077322285215317E-3</v>
      </c>
      <c r="CD37" s="414">
        <f t="shared" si="65"/>
        <v>3.6595985544463083E-4</v>
      </c>
      <c r="CE37" s="415">
        <f t="shared" si="65"/>
        <v>1.1023349365981705E-3</v>
      </c>
      <c r="CF37" s="414">
        <f t="shared" si="65"/>
        <v>-1.2050175438595989E-3</v>
      </c>
      <c r="CG37" s="414">
        <f t="shared" si="65"/>
        <v>-3.061646851606481E-4</v>
      </c>
      <c r="CH37" s="414">
        <f t="shared" si="65"/>
        <v>4.4789621163647819E-3</v>
      </c>
      <c r="CI37" s="415">
        <f t="shared" si="65"/>
        <v>1.0193224508940668E-2</v>
      </c>
      <c r="CJ37" s="414">
        <f t="shared" si="65"/>
        <v>-1.220670704351734E-2</v>
      </c>
      <c r="CK37" s="414">
        <f t="shared" si="65"/>
        <v>8.537698303530572E-3</v>
      </c>
      <c r="CL37" s="414">
        <f t="shared" si="65"/>
        <v>-4.6857054504000351E-3</v>
      </c>
      <c r="CM37" s="415">
        <f t="shared" si="65"/>
        <v>-5.8775857713574409E-3</v>
      </c>
      <c r="CN37" s="414">
        <f t="shared" si="65"/>
        <v>7.2949976359337754E-3</v>
      </c>
      <c r="CO37" s="414">
        <f t="shared" si="65"/>
        <v>2.5263386041953773E-3</v>
      </c>
      <c r="CP37" s="414">
        <f t="shared" si="65"/>
        <v>-7.8666338815380765E-4</v>
      </c>
      <c r="CQ37" s="415">
        <f t="shared" si="65"/>
        <v>-6.222365446678757E-3</v>
      </c>
      <c r="CR37" s="642">
        <v>0</v>
      </c>
      <c r="CS37" s="642">
        <f>CR37</f>
        <v>0</v>
      </c>
      <c r="CT37" s="642">
        <f>CS37</f>
        <v>0</v>
      </c>
      <c r="CU37" s="643">
        <f>CT37</f>
        <v>0</v>
      </c>
      <c r="CV37" s="416"/>
      <c r="CW37" s="414"/>
      <c r="CX37" s="414"/>
      <c r="CY37" s="414">
        <f t="shared" ref="CY37:DU37" si="66">(CY36+CY55)/CX36-1</f>
        <v>0</v>
      </c>
      <c r="CZ37" s="414">
        <f t="shared" si="66"/>
        <v>1.3602550478214903E-2</v>
      </c>
      <c r="DA37" s="414">
        <f t="shared" si="66"/>
        <v>-6.8148458796394307E-3</v>
      </c>
      <c r="DB37" s="414">
        <f t="shared" si="66"/>
        <v>0.10524649002427955</v>
      </c>
      <c r="DC37" s="414">
        <f t="shared" si="66"/>
        <v>1.0165042979942691</v>
      </c>
      <c r="DD37" s="414">
        <f t="shared" si="66"/>
        <v>-2.8797696184303945E-3</v>
      </c>
      <c r="DE37" s="414">
        <f t="shared" si="66"/>
        <v>1.178035341060224E-2</v>
      </c>
      <c r="DF37" s="414">
        <f t="shared" si="66"/>
        <v>1.6262910798122032E-2</v>
      </c>
      <c r="DG37" s="414">
        <f t="shared" si="66"/>
        <v>3.2448813659546216E-2</v>
      </c>
      <c r="DH37" s="414">
        <f t="shared" si="66"/>
        <v>1.4962772050400863E-2</v>
      </c>
      <c r="DI37" s="414">
        <f t="shared" si="66"/>
        <v>1.1193306059109842E-2</v>
      </c>
      <c r="DJ37" s="414">
        <f t="shared" si="66"/>
        <v>1.4276434248444714E-2</v>
      </c>
      <c r="DK37" s="414">
        <f t="shared" si="66"/>
        <v>4.213698901742946E-3</v>
      </c>
      <c r="DL37" s="414">
        <f t="shared" si="66"/>
        <v>4.2922154037097204E-3</v>
      </c>
      <c r="DM37" s="414">
        <f t="shared" si="66"/>
        <v>1.0328950756080202E-2</v>
      </c>
      <c r="DN37" s="414">
        <f t="shared" si="66"/>
        <v>-2.1470675835486897E-2</v>
      </c>
      <c r="DO37" s="414">
        <f t="shared" si="66"/>
        <v>1.9022851074348424E-2</v>
      </c>
      <c r="DP37" s="414">
        <f t="shared" si="66"/>
        <v>7.0899454357359337E-2</v>
      </c>
      <c r="DQ37" s="414">
        <f t="shared" si="66"/>
        <v>4.34324003026898E-5</v>
      </c>
      <c r="DR37" s="414">
        <f t="shared" si="66"/>
        <v>2.1004523463693081E-2</v>
      </c>
      <c r="DS37" s="414">
        <f t="shared" si="66"/>
        <v>-1.0523750119099562E-2</v>
      </c>
      <c r="DT37" s="414">
        <f t="shared" si="66"/>
        <v>-6.9801832263797214E-3</v>
      </c>
      <c r="DU37" s="414">
        <f t="shared" si="66"/>
        <v>-2.5200461915206862E-3</v>
      </c>
      <c r="DV37" s="642">
        <v>0</v>
      </c>
      <c r="DW37" s="642">
        <f>DV37</f>
        <v>0</v>
      </c>
      <c r="DX37" s="642">
        <f>DW37</f>
        <v>0</v>
      </c>
      <c r="DY37" s="642">
        <f>DX37</f>
        <v>0</v>
      </c>
      <c r="DZ37" s="642">
        <f>DY37</f>
        <v>0</v>
      </c>
      <c r="EA37" s="417"/>
      <c r="EB37"/>
      <c r="EC37"/>
      <c r="ED37"/>
      <c r="EE37"/>
      <c r="EF37"/>
      <c r="EG37"/>
    </row>
    <row r="38" spans="1:137" s="410" customFormat="1">
      <c r="A38" s="400"/>
      <c r="B38" s="401" t="s">
        <v>296</v>
      </c>
      <c r="C38" s="658"/>
      <c r="D38" s="486">
        <f t="shared" ref="D38:W38" si="67">D40</f>
        <v>93.6</v>
      </c>
      <c r="E38" s="401">
        <f t="shared" si="67"/>
        <v>93.6</v>
      </c>
      <c r="F38" s="401">
        <f t="shared" si="67"/>
        <v>94.4</v>
      </c>
      <c r="G38" s="487">
        <f t="shared" si="67"/>
        <v>94.8</v>
      </c>
      <c r="H38" s="401">
        <f t="shared" si="67"/>
        <v>94</v>
      </c>
      <c r="I38" s="401">
        <f t="shared" si="67"/>
        <v>94</v>
      </c>
      <c r="J38" s="401">
        <f t="shared" si="67"/>
        <v>94</v>
      </c>
      <c r="K38" s="487">
        <f t="shared" si="67"/>
        <v>94.4</v>
      </c>
      <c r="L38" s="401">
        <f t="shared" si="67"/>
        <v>95.2</v>
      </c>
      <c r="M38" s="401">
        <f t="shared" si="67"/>
        <v>95.92</v>
      </c>
      <c r="N38" s="401">
        <f t="shared" si="67"/>
        <v>95.6</v>
      </c>
      <c r="O38" s="487">
        <f t="shared" si="67"/>
        <v>94.8</v>
      </c>
      <c r="P38" s="401">
        <f t="shared" si="67"/>
        <v>95.16</v>
      </c>
      <c r="Q38" s="401">
        <f t="shared" si="67"/>
        <v>94.4</v>
      </c>
      <c r="R38" s="401">
        <f t="shared" si="67"/>
        <v>94.8</v>
      </c>
      <c r="S38" s="487">
        <f t="shared" si="67"/>
        <v>94.56</v>
      </c>
      <c r="T38" s="401">
        <f t="shared" si="67"/>
        <v>97.2</v>
      </c>
      <c r="U38" s="401">
        <f t="shared" si="67"/>
        <v>107.6</v>
      </c>
      <c r="V38" s="401">
        <f t="shared" si="67"/>
        <v>106.8</v>
      </c>
      <c r="W38" s="487">
        <f t="shared" si="67"/>
        <v>107.2</v>
      </c>
      <c r="X38" s="630">
        <v>213.47200000000001</v>
      </c>
      <c r="Y38" s="630">
        <v>211.464</v>
      </c>
      <c r="Z38" s="630">
        <v>209.68</v>
      </c>
      <c r="AA38" s="631">
        <v>209.89599999999996</v>
      </c>
      <c r="AB38" s="630">
        <v>210.048</v>
      </c>
      <c r="AC38" s="630">
        <v>210.47200000000001</v>
      </c>
      <c r="AD38" s="630">
        <v>210.72</v>
      </c>
      <c r="AE38" s="631">
        <v>210.84</v>
      </c>
      <c r="AF38" s="630">
        <v>211.88800000000001</v>
      </c>
      <c r="AG38" s="630">
        <v>212.94399999999999</v>
      </c>
      <c r="AH38" s="630">
        <v>214.048</v>
      </c>
      <c r="AI38" s="631">
        <v>213.12</v>
      </c>
      <c r="AJ38" s="630">
        <v>213.17599999999999</v>
      </c>
      <c r="AK38" s="630">
        <v>214.68</v>
      </c>
      <c r="AL38" s="630">
        <v>217.976</v>
      </c>
      <c r="AM38" s="631">
        <v>220.024</v>
      </c>
      <c r="AN38" s="630">
        <v>221.77600000000001</v>
      </c>
      <c r="AO38" s="630">
        <v>223.06399999999999</v>
      </c>
      <c r="AP38" s="630">
        <v>224.1</v>
      </c>
      <c r="AQ38" s="631">
        <v>225.012</v>
      </c>
      <c r="AR38" s="630">
        <v>225.70400000000001</v>
      </c>
      <c r="AS38" s="630">
        <v>226.024</v>
      </c>
      <c r="AT38" s="630">
        <v>227.244</v>
      </c>
      <c r="AU38" s="631">
        <v>228.35599999999999</v>
      </c>
      <c r="AV38" s="630">
        <v>228.72399999999999</v>
      </c>
      <c r="AW38" s="630">
        <v>229.31200000000001</v>
      </c>
      <c r="AX38" s="630">
        <v>229.83600000000001</v>
      </c>
      <c r="AY38" s="631">
        <v>229.61199999999999</v>
      </c>
      <c r="AZ38" s="630">
        <v>231.66399999999999</v>
      </c>
      <c r="BA38" s="630">
        <v>232.2</v>
      </c>
      <c r="BB38" s="630">
        <v>231.99600000000001</v>
      </c>
      <c r="BC38" s="631">
        <v>232.15600000000001</v>
      </c>
      <c r="BD38" s="630">
        <v>232.494</v>
      </c>
      <c r="BE38" s="630">
        <v>232.5</v>
      </c>
      <c r="BF38" s="630">
        <v>231.99799999999999</v>
      </c>
      <c r="BG38" s="631">
        <v>231.2</v>
      </c>
      <c r="BH38" s="630">
        <v>232.05799999999999</v>
      </c>
      <c r="BI38" s="630">
        <v>233.12799999999999</v>
      </c>
      <c r="BJ38" s="630">
        <v>233.458</v>
      </c>
      <c r="BK38" s="631">
        <v>233.5320000000001</v>
      </c>
      <c r="BL38" s="630">
        <v>232.75</v>
      </c>
      <c r="BM38" s="630">
        <v>230.72399999999999</v>
      </c>
      <c r="BN38" s="630">
        <v>225.51400000000001</v>
      </c>
      <c r="BO38" s="631">
        <v>224.25200000000001</v>
      </c>
      <c r="BP38" s="630">
        <v>221.268</v>
      </c>
      <c r="BQ38" s="630">
        <v>217.52199999999999</v>
      </c>
      <c r="BR38" s="630">
        <v>217.55799999999999</v>
      </c>
      <c r="BS38" s="631">
        <v>217.48400000000001</v>
      </c>
      <c r="BT38" s="630">
        <v>218.458</v>
      </c>
      <c r="BU38" s="630">
        <v>218.458</v>
      </c>
      <c r="BV38" s="630">
        <v>218.458</v>
      </c>
      <c r="BW38" s="631">
        <v>218.458</v>
      </c>
      <c r="BX38" s="401">
        <f t="shared" ref="BX38:CP38" si="68">BX40</f>
        <v>233.2</v>
      </c>
      <c r="BY38" s="401">
        <f t="shared" si="68"/>
        <v>232.2</v>
      </c>
      <c r="BZ38" s="401">
        <f t="shared" si="68"/>
        <v>230.4</v>
      </c>
      <c r="CA38" s="487">
        <f t="shared" si="68"/>
        <v>229.5</v>
      </c>
      <c r="CB38" s="401">
        <f t="shared" si="68"/>
        <v>229.3</v>
      </c>
      <c r="CC38" s="401">
        <f t="shared" si="68"/>
        <v>229.67</v>
      </c>
      <c r="CD38" s="401">
        <f t="shared" si="68"/>
        <v>228.7</v>
      </c>
      <c r="CE38" s="487">
        <f t="shared" si="68"/>
        <v>228</v>
      </c>
      <c r="CF38" s="401">
        <f t="shared" si="68"/>
        <v>227.1</v>
      </c>
      <c r="CG38" s="401">
        <f t="shared" si="68"/>
        <v>226.61500000000001</v>
      </c>
      <c r="CH38" s="401">
        <f t="shared" si="68"/>
        <v>225.99100000000001</v>
      </c>
      <c r="CI38" s="487">
        <f t="shared" si="68"/>
        <v>222.9</v>
      </c>
      <c r="CJ38" s="401">
        <f>CJ40</f>
        <v>218.1</v>
      </c>
      <c r="CK38" s="401">
        <f t="shared" si="68"/>
        <v>216.66300000000001</v>
      </c>
      <c r="CL38" s="401">
        <f t="shared" si="68"/>
        <v>213.76599999999999</v>
      </c>
      <c r="CM38" s="405">
        <f t="shared" si="68"/>
        <v>211.5</v>
      </c>
      <c r="CN38" s="407">
        <f t="shared" si="68"/>
        <v>212.23599999999999</v>
      </c>
      <c r="CO38" s="407">
        <f t="shared" si="68"/>
        <v>211.47800000000001</v>
      </c>
      <c r="CP38" s="401">
        <f t="shared" si="68"/>
        <v>211.01300000000001</v>
      </c>
      <c r="CQ38" s="487">
        <f t="shared" ref="CQ38" si="69">CQ40</f>
        <v>209.7</v>
      </c>
      <c r="CR38" s="407">
        <f>AVERAGE(CQ36:CR36)</f>
        <v>209.46833262718502</v>
      </c>
      <c r="CS38" s="407">
        <f>AVERAGE(CR36:CS36)</f>
        <v>209.0112333217771</v>
      </c>
      <c r="CT38" s="407">
        <f>AVERAGE(CS36:CT36)</f>
        <v>208.56643706690133</v>
      </c>
      <c r="CU38" s="405">
        <f>AVERAGE(CT36:CU36)</f>
        <v>208.13361271995782</v>
      </c>
      <c r="CV38" s="406"/>
      <c r="CW38" s="403"/>
      <c r="CX38" s="407">
        <f>AVERAGE(D38:G38)</f>
        <v>94.100000000000009</v>
      </c>
      <c r="CY38" s="407">
        <f>AVERAGE(H38:K38)</f>
        <v>94.1</v>
      </c>
      <c r="CZ38" s="407">
        <f>AVERAGE(L38:O38)</f>
        <v>95.38000000000001</v>
      </c>
      <c r="DA38" s="407">
        <f>AVERAGE(P38:S38)</f>
        <v>94.73</v>
      </c>
      <c r="DB38" s="407">
        <f>AVERAGE(T38:W38)</f>
        <v>104.7</v>
      </c>
      <c r="DC38" s="407">
        <f>AVERAGE(X38:AA38)</f>
        <v>211.12799999999999</v>
      </c>
      <c r="DD38" s="407">
        <f>AVERAGE(AB38:AE38)</f>
        <v>210.52</v>
      </c>
      <c r="DE38" s="407">
        <f>AVERAGE(AF38:AI38)</f>
        <v>213</v>
      </c>
      <c r="DF38" s="407">
        <f>AVERAGE(AJ38:AM38)</f>
        <v>216.464</v>
      </c>
      <c r="DG38" s="407">
        <f>AVERAGE(AN38:AQ38)</f>
        <v>223.488</v>
      </c>
      <c r="DH38" s="407">
        <f>AVERAGE(AR38:AU38)</f>
        <v>226.83199999999999</v>
      </c>
      <c r="DI38" s="407">
        <f>AVERAGE(AV38:AY38)</f>
        <v>229.37100000000001</v>
      </c>
      <c r="DJ38" s="407">
        <f>AVERAGE(AZ38:BC38)</f>
        <v>232.00400000000002</v>
      </c>
      <c r="DK38" s="407">
        <f>AVERAGE(BD38:BG38)</f>
        <v>232.048</v>
      </c>
      <c r="DL38" s="407">
        <f>AVERAGE(BH38:BK38)</f>
        <v>233.04400000000004</v>
      </c>
      <c r="DM38" s="407">
        <f>AVERAGE(BL38:BO38)</f>
        <v>228.31</v>
      </c>
      <c r="DN38" s="407">
        <f>AVERAGE(BP38:BS38)</f>
        <v>218.458</v>
      </c>
      <c r="DO38" s="407">
        <f>AVERAGE(BT38:BW38)</f>
        <v>218.458</v>
      </c>
      <c r="DP38" s="407">
        <f>AVERAGE(BX38:CA38)</f>
        <v>231.32499999999999</v>
      </c>
      <c r="DQ38" s="407">
        <f>AVERAGE(CB38:CE38)</f>
        <v>228.91750000000002</v>
      </c>
      <c r="DR38" s="407">
        <f>AVERAGE(CF38:CI38)</f>
        <v>225.6515</v>
      </c>
      <c r="DS38" s="407">
        <f>AVERAGE(CJ38:CM38)</f>
        <v>215.00725</v>
      </c>
      <c r="DT38" s="408">
        <f>AVERAGE(CN38:CQ38)</f>
        <v>211.10674999999998</v>
      </c>
      <c r="DU38" s="408">
        <f>AVERAGE(CR38:CU38)</f>
        <v>208.79490393395531</v>
      </c>
      <c r="DV38" s="408">
        <f>AVERAGE(DU36:DV36)</f>
        <v>208.79490393395531</v>
      </c>
      <c r="DW38" s="408">
        <f>AVERAGE(DV36:DW36)</f>
        <v>208.79490393395531</v>
      </c>
      <c r="DX38" s="408">
        <f>AVERAGE(DW36:DX36)</f>
        <v>208.79490393395531</v>
      </c>
      <c r="DY38" s="408">
        <f>AVERAGE(DX36:DY36)</f>
        <v>208.79490393395531</v>
      </c>
      <c r="DZ38" s="408">
        <f>AVERAGE(DY36:DZ36)</f>
        <v>208.79490393395531</v>
      </c>
      <c r="EA38" s="423"/>
      <c r="EB38"/>
      <c r="EC38"/>
      <c r="ED38"/>
      <c r="EE38"/>
      <c r="EF38"/>
      <c r="EG38"/>
    </row>
    <row r="39" spans="1:137" s="418" customFormat="1">
      <c r="A39" s="411"/>
      <c r="B39" s="412" t="s">
        <v>415</v>
      </c>
      <c r="C39" s="898"/>
      <c r="D39" s="413">
        <f t="shared" ref="D39:AI39" si="70">D40/D38-1</f>
        <v>0</v>
      </c>
      <c r="E39" s="414">
        <f t="shared" si="70"/>
        <v>0</v>
      </c>
      <c r="F39" s="414">
        <f t="shared" si="70"/>
        <v>0</v>
      </c>
      <c r="G39" s="415">
        <f t="shared" si="70"/>
        <v>0</v>
      </c>
      <c r="H39" s="414">
        <f t="shared" si="70"/>
        <v>0</v>
      </c>
      <c r="I39" s="414">
        <f t="shared" si="70"/>
        <v>0</v>
      </c>
      <c r="J39" s="414">
        <f t="shared" si="70"/>
        <v>0</v>
      </c>
      <c r="K39" s="415">
        <f t="shared" si="70"/>
        <v>0</v>
      </c>
      <c r="L39" s="414">
        <f t="shared" si="70"/>
        <v>0</v>
      </c>
      <c r="M39" s="414">
        <f t="shared" si="70"/>
        <v>0</v>
      </c>
      <c r="N39" s="414">
        <f t="shared" si="70"/>
        <v>0</v>
      </c>
      <c r="O39" s="415">
        <f t="shared" si="70"/>
        <v>0</v>
      </c>
      <c r="P39" s="414">
        <f t="shared" si="70"/>
        <v>0</v>
      </c>
      <c r="Q39" s="414">
        <f t="shared" si="70"/>
        <v>0</v>
      </c>
      <c r="R39" s="414">
        <f t="shared" si="70"/>
        <v>0</v>
      </c>
      <c r="S39" s="415">
        <f t="shared" si="70"/>
        <v>0</v>
      </c>
      <c r="T39" s="414">
        <f t="shared" si="70"/>
        <v>0</v>
      </c>
      <c r="U39" s="414">
        <f t="shared" si="70"/>
        <v>0</v>
      </c>
      <c r="V39" s="414">
        <f t="shared" si="70"/>
        <v>0</v>
      </c>
      <c r="W39" s="415">
        <f t="shared" si="70"/>
        <v>0</v>
      </c>
      <c r="X39" s="414">
        <f t="shared" si="70"/>
        <v>4.3471743366811921E-3</v>
      </c>
      <c r="Y39" s="414">
        <f t="shared" si="70"/>
        <v>2.5347103998789589E-3</v>
      </c>
      <c r="Z39" s="414">
        <f t="shared" si="70"/>
        <v>3.4338038916443825E-3</v>
      </c>
      <c r="AA39" s="415">
        <f t="shared" si="70"/>
        <v>2.4011891603463731E-3</v>
      </c>
      <c r="AB39" s="414">
        <f t="shared" si="70"/>
        <v>1.6758074344911389E-3</v>
      </c>
      <c r="AC39" s="414">
        <f t="shared" si="70"/>
        <v>7.2598730472461792E-3</v>
      </c>
      <c r="AD39" s="414">
        <f t="shared" si="70"/>
        <v>6.0744115413819966E-3</v>
      </c>
      <c r="AE39" s="415">
        <f t="shared" si="70"/>
        <v>5.5018023145512185E-3</v>
      </c>
      <c r="AF39" s="414">
        <f t="shared" si="70"/>
        <v>8.0797402401266982E-3</v>
      </c>
      <c r="AG39" s="414">
        <f t="shared" si="70"/>
        <v>1.0594334660755989E-2</v>
      </c>
      <c r="AH39" s="414">
        <f t="shared" si="70"/>
        <v>9.1194498430258175E-3</v>
      </c>
      <c r="AI39" s="415">
        <f t="shared" si="70"/>
        <v>9.7597597597596231E-3</v>
      </c>
      <c r="AJ39" s="414">
        <f t="shared" ref="AJ39:BO39" si="71">AJ40/AJ38-1</f>
        <v>5.7417345292154476E-3</v>
      </c>
      <c r="AK39" s="414">
        <f t="shared" si="71"/>
        <v>9.875163033352008E-3</v>
      </c>
      <c r="AL39" s="414">
        <f t="shared" si="71"/>
        <v>9.28542591844983E-3</v>
      </c>
      <c r="AM39" s="415">
        <f t="shared" si="71"/>
        <v>1.0798821946696791E-2</v>
      </c>
      <c r="AN39" s="414">
        <f t="shared" si="71"/>
        <v>1.0028136498088092E-2</v>
      </c>
      <c r="AO39" s="414">
        <f t="shared" si="71"/>
        <v>1.136893447620424E-2</v>
      </c>
      <c r="AP39" s="414">
        <f t="shared" si="71"/>
        <v>1.2048192771084487E-2</v>
      </c>
      <c r="AQ39" s="415">
        <f t="shared" si="71"/>
        <v>1.1501608803085928E-2</v>
      </c>
      <c r="AR39" s="414">
        <f t="shared" si="71"/>
        <v>1.2884131428773982E-2</v>
      </c>
      <c r="AS39" s="414">
        <f t="shared" si="71"/>
        <v>1.1697872792269859E-2</v>
      </c>
      <c r="AT39" s="414">
        <f t="shared" si="71"/>
        <v>1.1828695147066526E-2</v>
      </c>
      <c r="AU39" s="415">
        <f t="shared" si="71"/>
        <v>1.0702587188425206E-2</v>
      </c>
      <c r="AV39" s="414">
        <f t="shared" si="71"/>
        <v>1.0090764414753206E-2</v>
      </c>
      <c r="AW39" s="414">
        <f t="shared" si="71"/>
        <v>1.1687133686854478E-2</v>
      </c>
      <c r="AX39" s="414">
        <f t="shared" si="71"/>
        <v>9.2413721088080436E-3</v>
      </c>
      <c r="AY39" s="415">
        <f t="shared" si="71"/>
        <v>1.214222253192343E-2</v>
      </c>
      <c r="AZ39" s="414">
        <f t="shared" si="71"/>
        <v>1.181020788728504E-2</v>
      </c>
      <c r="BA39" s="414">
        <f t="shared" si="71"/>
        <v>1.4780361757106064E-2</v>
      </c>
      <c r="BB39" s="414">
        <f t="shared" si="71"/>
        <v>1.7724443524888445E-2</v>
      </c>
      <c r="BC39" s="415">
        <f t="shared" si="71"/>
        <v>1.9142300866658468E-2</v>
      </c>
      <c r="BD39" s="414">
        <f t="shared" si="71"/>
        <v>1.9088664653711396E-2</v>
      </c>
      <c r="BE39" s="414">
        <f t="shared" si="71"/>
        <v>1.8339784946236559E-2</v>
      </c>
      <c r="BF39" s="414">
        <f t="shared" si="71"/>
        <v>0</v>
      </c>
      <c r="BG39" s="415">
        <f t="shared" si="71"/>
        <v>0</v>
      </c>
      <c r="BH39" s="414">
        <f t="shared" si="71"/>
        <v>0</v>
      </c>
      <c r="BI39" s="414">
        <f t="shared" si="71"/>
        <v>0</v>
      </c>
      <c r="BJ39" s="414">
        <f t="shared" si="71"/>
        <v>6.5622081916234531E-3</v>
      </c>
      <c r="BK39" s="415">
        <f t="shared" si="71"/>
        <v>7.724851412225453E-3</v>
      </c>
      <c r="BL39" s="414">
        <f t="shared" si="71"/>
        <v>0.11418259935553188</v>
      </c>
      <c r="BM39" s="414">
        <f t="shared" si="71"/>
        <v>0.11889530347948196</v>
      </c>
      <c r="BN39" s="414">
        <f t="shared" si="71"/>
        <v>0.1334462605425828</v>
      </c>
      <c r="BO39" s="415">
        <f t="shared" si="71"/>
        <v>0.17506198383960903</v>
      </c>
      <c r="BP39" s="414">
        <f t="shared" ref="BP39:CP39" si="72">BP40/BP38-1</f>
        <v>0.17707034004013233</v>
      </c>
      <c r="BQ39" s="414">
        <f t="shared" si="72"/>
        <v>0.17819806732192611</v>
      </c>
      <c r="BR39" s="414">
        <f t="shared" si="72"/>
        <v>0.1761461311466368</v>
      </c>
      <c r="BS39" s="415">
        <f t="shared" si="72"/>
        <v>0.17310698718066586</v>
      </c>
      <c r="BT39" s="414">
        <f t="shared" si="72"/>
        <v>0.16910344322478466</v>
      </c>
      <c r="BU39" s="414">
        <f t="shared" si="72"/>
        <v>0.11234196046837375</v>
      </c>
      <c r="BV39" s="414">
        <f t="shared" si="72"/>
        <v>8.4876726876562003E-2</v>
      </c>
      <c r="BW39" s="415">
        <f t="shared" si="72"/>
        <v>7.8468172371805922E-2</v>
      </c>
      <c r="BX39" s="414">
        <f t="shared" si="72"/>
        <v>0</v>
      </c>
      <c r="BY39" s="414">
        <f t="shared" si="72"/>
        <v>0</v>
      </c>
      <c r="BZ39" s="414">
        <f t="shared" si="72"/>
        <v>0</v>
      </c>
      <c r="CA39" s="415">
        <f t="shared" si="72"/>
        <v>0</v>
      </c>
      <c r="CB39" s="414">
        <f t="shared" si="72"/>
        <v>0</v>
      </c>
      <c r="CC39" s="414">
        <f t="shared" si="72"/>
        <v>0</v>
      </c>
      <c r="CD39" s="414">
        <f t="shared" si="72"/>
        <v>0</v>
      </c>
      <c r="CE39" s="415">
        <f t="shared" si="72"/>
        <v>0</v>
      </c>
      <c r="CF39" s="414">
        <f t="shared" si="72"/>
        <v>0</v>
      </c>
      <c r="CG39" s="414">
        <f t="shared" si="72"/>
        <v>0</v>
      </c>
      <c r="CH39" s="414">
        <f t="shared" si="72"/>
        <v>0</v>
      </c>
      <c r="CI39" s="415">
        <f t="shared" si="72"/>
        <v>0</v>
      </c>
      <c r="CJ39" s="414">
        <f t="shared" si="72"/>
        <v>0</v>
      </c>
      <c r="CK39" s="414">
        <f t="shared" si="72"/>
        <v>0</v>
      </c>
      <c r="CL39" s="414">
        <f t="shared" si="72"/>
        <v>0</v>
      </c>
      <c r="CM39" s="415">
        <f t="shared" si="72"/>
        <v>0</v>
      </c>
      <c r="CN39" s="414">
        <f t="shared" si="72"/>
        <v>0</v>
      </c>
      <c r="CO39" s="414">
        <f t="shared" si="72"/>
        <v>0</v>
      </c>
      <c r="CP39" s="414">
        <f t="shared" si="72"/>
        <v>0</v>
      </c>
      <c r="CQ39" s="415">
        <f t="shared" ref="CQ39" si="73">CQ40/CQ38-1</f>
        <v>0</v>
      </c>
      <c r="CR39" s="642">
        <f>CQ39</f>
        <v>0</v>
      </c>
      <c r="CS39" s="642">
        <f>CR39</f>
        <v>0</v>
      </c>
      <c r="CT39" s="642">
        <f>CS39</f>
        <v>0</v>
      </c>
      <c r="CU39" s="643">
        <f>CT39</f>
        <v>0</v>
      </c>
      <c r="CV39" s="416"/>
      <c r="CW39" s="414"/>
      <c r="CX39" s="414">
        <f t="shared" ref="CX39:DU39" si="74">CX40/CX38-1</f>
        <v>0</v>
      </c>
      <c r="CY39" s="414">
        <f t="shared" si="74"/>
        <v>0</v>
      </c>
      <c r="CZ39" s="414">
        <f t="shared" si="74"/>
        <v>0</v>
      </c>
      <c r="DA39" s="414">
        <f t="shared" si="74"/>
        <v>0</v>
      </c>
      <c r="DB39" s="414">
        <f t="shared" si="74"/>
        <v>0</v>
      </c>
      <c r="DC39" s="414">
        <f t="shared" si="74"/>
        <v>3.1829032624757225E-3</v>
      </c>
      <c r="DD39" s="414">
        <f t="shared" si="74"/>
        <v>5.1301539046171296E-3</v>
      </c>
      <c r="DE39" s="414">
        <f t="shared" si="74"/>
        <v>9.3896713615022609E-3</v>
      </c>
      <c r="DF39" s="414">
        <f t="shared" si="74"/>
        <v>8.943750461970712E-3</v>
      </c>
      <c r="DG39" s="414">
        <f t="shared" si="74"/>
        <v>1.1239977090492737E-2</v>
      </c>
      <c r="DH39" s="414">
        <f t="shared" si="74"/>
        <v>1.1775234534809886E-2</v>
      </c>
      <c r="DI39" s="414">
        <f t="shared" si="74"/>
        <v>1.0790378905790154E-2</v>
      </c>
      <c r="DJ39" s="414">
        <f t="shared" si="74"/>
        <v>1.5866105756797255E-2</v>
      </c>
      <c r="DK39" s="414">
        <f t="shared" si="74"/>
        <v>9.3752154726607362E-3</v>
      </c>
      <c r="DL39" s="414">
        <f t="shared" si="74"/>
        <v>3.578723331216116E-3</v>
      </c>
      <c r="DM39" s="414">
        <f t="shared" si="74"/>
        <v>0.13507949717489365</v>
      </c>
      <c r="DN39" s="414">
        <f t="shared" si="74"/>
        <v>0.17613454302428844</v>
      </c>
      <c r="DO39" s="414">
        <f t="shared" si="74"/>
        <v>0.11119757573538158</v>
      </c>
      <c r="DP39" s="414">
        <f t="shared" si="74"/>
        <v>0</v>
      </c>
      <c r="DQ39" s="414">
        <f t="shared" si="74"/>
        <v>0</v>
      </c>
      <c r="DR39" s="414">
        <f t="shared" si="74"/>
        <v>0</v>
      </c>
      <c r="DS39" s="414">
        <f t="shared" si="74"/>
        <v>0</v>
      </c>
      <c r="DT39" s="414">
        <f t="shared" si="74"/>
        <v>0</v>
      </c>
      <c r="DU39" s="414">
        <f t="shared" si="74"/>
        <v>0</v>
      </c>
      <c r="DV39" s="642">
        <f>DU39</f>
        <v>0</v>
      </c>
      <c r="DW39" s="642">
        <f>DV39</f>
        <v>0</v>
      </c>
      <c r="DX39" s="642">
        <f>DW39</f>
        <v>0</v>
      </c>
      <c r="DY39" s="642">
        <f>DX39</f>
        <v>0</v>
      </c>
      <c r="DZ39" s="642">
        <f>DY39</f>
        <v>0</v>
      </c>
      <c r="EA39" s="417"/>
      <c r="EB39"/>
      <c r="EC39"/>
      <c r="ED39"/>
      <c r="EE39"/>
      <c r="EF39"/>
      <c r="EG39"/>
    </row>
    <row r="40" spans="1:137" s="410" customFormat="1">
      <c r="A40" s="400"/>
      <c r="B40" s="401" t="s">
        <v>243</v>
      </c>
      <c r="C40" s="658"/>
      <c r="D40" s="629">
        <v>93.6</v>
      </c>
      <c r="E40" s="630">
        <v>93.6</v>
      </c>
      <c r="F40" s="630">
        <v>94.4</v>
      </c>
      <c r="G40" s="631">
        <v>94.8</v>
      </c>
      <c r="H40" s="630">
        <v>94</v>
      </c>
      <c r="I40" s="630">
        <v>94</v>
      </c>
      <c r="J40" s="630">
        <v>94</v>
      </c>
      <c r="K40" s="631">
        <v>94.4</v>
      </c>
      <c r="L40" s="630">
        <v>95.2</v>
      </c>
      <c r="M40" s="630">
        <v>95.92</v>
      </c>
      <c r="N40" s="630">
        <v>95.6</v>
      </c>
      <c r="O40" s="631">
        <v>94.8</v>
      </c>
      <c r="P40" s="630">
        <v>95.16</v>
      </c>
      <c r="Q40" s="630">
        <v>94.4</v>
      </c>
      <c r="R40" s="630">
        <v>94.8</v>
      </c>
      <c r="S40" s="631">
        <v>94.56</v>
      </c>
      <c r="T40" s="630">
        <v>97.2</v>
      </c>
      <c r="U40" s="630">
        <v>107.6</v>
      </c>
      <c r="V40" s="630">
        <v>106.8</v>
      </c>
      <c r="W40" s="631">
        <v>107.2</v>
      </c>
      <c r="X40" s="630">
        <v>214.4</v>
      </c>
      <c r="Y40" s="630">
        <v>212</v>
      </c>
      <c r="Z40" s="630">
        <v>210.4</v>
      </c>
      <c r="AA40" s="631">
        <v>210.4</v>
      </c>
      <c r="AB40" s="630">
        <v>210.4</v>
      </c>
      <c r="AC40" s="630">
        <v>212</v>
      </c>
      <c r="AD40" s="630">
        <v>212</v>
      </c>
      <c r="AE40" s="631">
        <v>212</v>
      </c>
      <c r="AF40" s="630">
        <v>213.6</v>
      </c>
      <c r="AG40" s="630">
        <v>215.2</v>
      </c>
      <c r="AH40" s="630">
        <v>216</v>
      </c>
      <c r="AI40" s="631">
        <v>215.2</v>
      </c>
      <c r="AJ40" s="630">
        <v>214.4</v>
      </c>
      <c r="AK40" s="630">
        <v>216.8</v>
      </c>
      <c r="AL40" s="630">
        <v>220</v>
      </c>
      <c r="AM40" s="631">
        <v>222.4</v>
      </c>
      <c r="AN40" s="630">
        <v>224</v>
      </c>
      <c r="AO40" s="630">
        <v>225.6</v>
      </c>
      <c r="AP40" s="630">
        <v>226.8</v>
      </c>
      <c r="AQ40" s="631">
        <v>227.6</v>
      </c>
      <c r="AR40" s="630">
        <v>228.61199999999999</v>
      </c>
      <c r="AS40" s="630">
        <v>228.66800000000001</v>
      </c>
      <c r="AT40" s="630">
        <v>229.93199999999999</v>
      </c>
      <c r="AU40" s="631">
        <v>230.8</v>
      </c>
      <c r="AV40" s="630">
        <v>231.03200000000001</v>
      </c>
      <c r="AW40" s="630">
        <v>231.99199999999999</v>
      </c>
      <c r="AX40" s="630">
        <v>231.96</v>
      </c>
      <c r="AY40" s="631">
        <v>232.4</v>
      </c>
      <c r="AZ40" s="630">
        <v>234.4</v>
      </c>
      <c r="BA40" s="630">
        <v>235.63200000000001</v>
      </c>
      <c r="BB40" s="630">
        <v>236.108</v>
      </c>
      <c r="BC40" s="631">
        <v>236.6</v>
      </c>
      <c r="BD40" s="630">
        <v>236.93199999999999</v>
      </c>
      <c r="BE40" s="630">
        <v>236.76400000000001</v>
      </c>
      <c r="BF40" s="630">
        <v>231.99799999999999</v>
      </c>
      <c r="BG40" s="631">
        <v>231.2</v>
      </c>
      <c r="BH40" s="630">
        <v>232.05799999999999</v>
      </c>
      <c r="BI40" s="630">
        <v>233.12799999999999</v>
      </c>
      <c r="BJ40" s="630">
        <v>234.99</v>
      </c>
      <c r="BK40" s="631">
        <v>235.33599999999996</v>
      </c>
      <c r="BL40" s="630">
        <v>259.32600000000002</v>
      </c>
      <c r="BM40" s="630">
        <v>258.15600000000001</v>
      </c>
      <c r="BN40" s="630">
        <v>255.608</v>
      </c>
      <c r="BO40" s="631">
        <v>263.51</v>
      </c>
      <c r="BP40" s="630">
        <v>260.44799999999998</v>
      </c>
      <c r="BQ40" s="630">
        <v>256.28399999999999</v>
      </c>
      <c r="BR40" s="630">
        <v>255.88</v>
      </c>
      <c r="BS40" s="631">
        <v>255.13199999999995</v>
      </c>
      <c r="BT40" s="630">
        <v>255.4</v>
      </c>
      <c r="BU40" s="630">
        <v>243</v>
      </c>
      <c r="BV40" s="630">
        <v>237</v>
      </c>
      <c r="BW40" s="631">
        <v>235.6</v>
      </c>
      <c r="BX40" s="630">
        <v>233.2</v>
      </c>
      <c r="BY40" s="630">
        <v>232.2</v>
      </c>
      <c r="BZ40" s="630">
        <v>230.4</v>
      </c>
      <c r="CA40" s="631">
        <v>229.5</v>
      </c>
      <c r="CB40" s="630">
        <v>229.3</v>
      </c>
      <c r="CC40" s="630">
        <v>229.67</v>
      </c>
      <c r="CD40" s="630">
        <v>228.7</v>
      </c>
      <c r="CE40" s="631">
        <v>228</v>
      </c>
      <c r="CF40" s="630">
        <v>227.1</v>
      </c>
      <c r="CG40" s="630">
        <v>226.61500000000001</v>
      </c>
      <c r="CH40" s="630">
        <v>225.99100000000001</v>
      </c>
      <c r="CI40" s="631">
        <v>222.9</v>
      </c>
      <c r="CJ40" s="630">
        <v>218.1</v>
      </c>
      <c r="CK40" s="630">
        <v>216.66300000000001</v>
      </c>
      <c r="CL40" s="630">
        <v>213.76599999999999</v>
      </c>
      <c r="CM40" s="451">
        <v>211.5</v>
      </c>
      <c r="CN40" s="632">
        <v>212.23599999999999</v>
      </c>
      <c r="CO40" s="632">
        <v>211.47800000000001</v>
      </c>
      <c r="CP40" s="630">
        <v>211.01300000000001</v>
      </c>
      <c r="CQ40" s="631">
        <v>209.7</v>
      </c>
      <c r="CR40" s="407">
        <f>CR38*(1+CR39)</f>
        <v>209.46833262718502</v>
      </c>
      <c r="CS40" s="407">
        <f>CS38*(1+CS39)</f>
        <v>209.0112333217771</v>
      </c>
      <c r="CT40" s="407">
        <f>CT38*(1+CT39)</f>
        <v>208.56643706690133</v>
      </c>
      <c r="CU40" s="405">
        <f>CU38*(1+CU39)</f>
        <v>208.13361271995782</v>
      </c>
      <c r="CV40" s="406"/>
      <c r="CW40" s="403"/>
      <c r="CX40" s="407">
        <f>AVERAGE(D40:G40)</f>
        <v>94.100000000000009</v>
      </c>
      <c r="CY40" s="407">
        <f>AVERAGE(H40:K40)</f>
        <v>94.1</v>
      </c>
      <c r="CZ40" s="407">
        <f>AVERAGE(L40:O40)</f>
        <v>95.38000000000001</v>
      </c>
      <c r="DA40" s="407">
        <f>AVERAGE(P40:S40)</f>
        <v>94.73</v>
      </c>
      <c r="DB40" s="407">
        <f>AVERAGE(T40:W40)</f>
        <v>104.7</v>
      </c>
      <c r="DC40" s="407">
        <f>AVERAGE(X40:AA40)</f>
        <v>211.79999999999998</v>
      </c>
      <c r="DD40" s="407">
        <f>AVERAGE(AB40:AE40)</f>
        <v>211.6</v>
      </c>
      <c r="DE40" s="407">
        <f>AVERAGE(AF40:AI40)</f>
        <v>215</v>
      </c>
      <c r="DF40" s="407">
        <f>AVERAGE(AJ40:AM40)</f>
        <v>218.4</v>
      </c>
      <c r="DG40" s="407">
        <f>AVERAGE(AN40:AQ40)</f>
        <v>226.00000000000003</v>
      </c>
      <c r="DH40" s="407">
        <f>AVERAGE(AR40:AU40)</f>
        <v>229.50299999999999</v>
      </c>
      <c r="DI40" s="407">
        <f>AVERAGE(AV40:AY40)</f>
        <v>231.846</v>
      </c>
      <c r="DJ40" s="407">
        <f>AVERAGE(AZ40:BC40)</f>
        <v>235.68500000000003</v>
      </c>
      <c r="DK40" s="407">
        <f>AVERAGE(BD40:BG40)</f>
        <v>234.2235</v>
      </c>
      <c r="DL40" s="407">
        <f>AVERAGE(BH40:BK40)</f>
        <v>233.87799999999999</v>
      </c>
      <c r="DM40" s="407">
        <f>AVERAGE(BL40:BO40)</f>
        <v>259.14999999999998</v>
      </c>
      <c r="DN40" s="407">
        <f>AVERAGE(BP40:BS40)</f>
        <v>256.93599999999998</v>
      </c>
      <c r="DO40" s="407">
        <f>AVERAGE(BT40:BW40)</f>
        <v>242.75</v>
      </c>
      <c r="DP40" s="407">
        <f>AVERAGE(BX40:CA40)</f>
        <v>231.32499999999999</v>
      </c>
      <c r="DQ40" s="407">
        <f>AVERAGE(CB40:CE40)</f>
        <v>228.91750000000002</v>
      </c>
      <c r="DR40" s="407">
        <f>AVERAGE(CF40:CI40)</f>
        <v>225.6515</v>
      </c>
      <c r="DS40" s="407">
        <f>AVERAGE(CJ40:CM40)</f>
        <v>215.00725</v>
      </c>
      <c r="DT40" s="408">
        <f>AVERAGE(CN40:CQ40)</f>
        <v>211.10674999999998</v>
      </c>
      <c r="DU40" s="408">
        <f>AVERAGE(CR40:CU40)</f>
        <v>208.79490393395531</v>
      </c>
      <c r="DV40" s="401">
        <f>DV38*(1+DV39)</f>
        <v>208.79490393395531</v>
      </c>
      <c r="DW40" s="401">
        <f>DW38*(1+DW39)</f>
        <v>208.79490393395531</v>
      </c>
      <c r="DX40" s="401">
        <f>DX38*(1+DX39)</f>
        <v>208.79490393395531</v>
      </c>
      <c r="DY40" s="401">
        <f>DY38*(1+DY39)</f>
        <v>208.79490393395531</v>
      </c>
      <c r="DZ40" s="401">
        <f t="shared" ref="DZ40" si="75">DZ38*(1+DZ39)</f>
        <v>208.79490393395531</v>
      </c>
      <c r="EA40" s="423"/>
      <c r="EB40"/>
      <c r="EC40"/>
      <c r="ED40"/>
      <c r="EE40"/>
      <c r="EF40"/>
      <c r="EG40"/>
    </row>
    <row r="41" spans="1:137">
      <c r="A41" s="374"/>
      <c r="B41" s="428"/>
      <c r="C41" s="901"/>
      <c r="D41" s="402"/>
      <c r="E41" s="403"/>
      <c r="F41" s="403"/>
      <c r="G41" s="404"/>
      <c r="H41" s="403"/>
      <c r="I41" s="403"/>
      <c r="J41" s="403"/>
      <c r="K41" s="404"/>
      <c r="L41" s="403"/>
      <c r="M41" s="403"/>
      <c r="N41" s="403"/>
      <c r="O41" s="404"/>
      <c r="P41" s="403"/>
      <c r="Q41" s="403"/>
      <c r="R41" s="403"/>
      <c r="S41" s="404"/>
      <c r="T41" s="403"/>
      <c r="U41" s="403"/>
      <c r="V41" s="403"/>
      <c r="W41" s="404"/>
      <c r="X41" s="403"/>
      <c r="Y41" s="403"/>
      <c r="Z41" s="403"/>
      <c r="AA41" s="404"/>
      <c r="AB41" s="403"/>
      <c r="AC41" s="403"/>
      <c r="AD41" s="403"/>
      <c r="AE41" s="404"/>
      <c r="AF41" s="403"/>
      <c r="AG41" s="403"/>
      <c r="AH41" s="403"/>
      <c r="AI41" s="404"/>
      <c r="AJ41" s="403"/>
      <c r="AK41" s="403"/>
      <c r="AL41" s="403"/>
      <c r="AM41" s="404"/>
      <c r="AN41" s="403"/>
      <c r="AO41" s="403"/>
      <c r="AP41" s="403"/>
      <c r="AQ41" s="404"/>
      <c r="AR41" s="403"/>
      <c r="AS41" s="403"/>
      <c r="AT41" s="403"/>
      <c r="AU41" s="404"/>
      <c r="AV41" s="403"/>
      <c r="AW41" s="403"/>
      <c r="AX41" s="403"/>
      <c r="AY41" s="404"/>
      <c r="AZ41" s="403"/>
      <c r="BA41" s="403"/>
      <c r="BB41" s="403"/>
      <c r="BC41" s="404"/>
      <c r="BD41" s="403"/>
      <c r="BE41" s="403"/>
      <c r="BF41" s="403"/>
      <c r="BG41" s="404"/>
      <c r="BH41" s="403"/>
      <c r="BI41" s="403"/>
      <c r="BJ41" s="403"/>
      <c r="BK41" s="404"/>
      <c r="BL41" s="403"/>
      <c r="BM41" s="403"/>
      <c r="BN41" s="403"/>
      <c r="BO41" s="404"/>
      <c r="BP41" s="403"/>
      <c r="BQ41" s="403"/>
      <c r="BR41" s="403"/>
      <c r="BS41" s="404"/>
      <c r="BT41" s="403"/>
      <c r="BU41" s="403"/>
      <c r="BV41" s="403"/>
      <c r="BW41" s="404"/>
      <c r="BX41" s="403"/>
      <c r="BY41" s="403"/>
      <c r="BZ41" s="403"/>
      <c r="CA41" s="404"/>
      <c r="CB41" s="403"/>
      <c r="CC41" s="403"/>
      <c r="CD41" s="403"/>
      <c r="CE41" s="404"/>
      <c r="CF41" s="403"/>
      <c r="CG41" s="403"/>
      <c r="CH41" s="403"/>
      <c r="CI41" s="404"/>
      <c r="CJ41" s="403"/>
      <c r="CK41" s="403"/>
      <c r="CL41" s="403"/>
      <c r="CM41" s="464"/>
      <c r="CN41" s="408"/>
      <c r="CO41" s="408"/>
      <c r="CP41" s="403"/>
      <c r="CQ41" s="404"/>
      <c r="CR41" s="408"/>
      <c r="CS41" s="408"/>
      <c r="CT41" s="408"/>
      <c r="CU41" s="464"/>
      <c r="CV41" s="376"/>
      <c r="CW41" s="403"/>
      <c r="CX41" s="407"/>
      <c r="CY41" s="407"/>
      <c r="CZ41" s="407"/>
      <c r="DA41" s="407"/>
      <c r="DB41" s="407"/>
      <c r="DC41" s="407"/>
      <c r="DD41" s="407"/>
      <c r="DE41" s="407"/>
      <c r="DF41" s="407"/>
      <c r="DG41" s="407"/>
      <c r="DH41" s="407"/>
      <c r="DI41" s="407"/>
      <c r="DJ41" s="407"/>
      <c r="DK41" s="407"/>
      <c r="DL41" s="407"/>
      <c r="DM41" s="407"/>
      <c r="DN41" s="407"/>
      <c r="DO41" s="407"/>
      <c r="DP41" s="407"/>
      <c r="DQ41" s="408"/>
      <c r="DR41" s="408"/>
      <c r="DS41" s="408"/>
      <c r="DT41" s="408"/>
      <c r="DU41" s="408"/>
      <c r="DV41" s="408"/>
      <c r="DW41" s="408"/>
      <c r="DX41" s="408"/>
      <c r="DY41" s="408"/>
      <c r="DZ41" s="408"/>
      <c r="EA41" s="465"/>
    </row>
    <row r="42" spans="1:137" s="474" customFormat="1">
      <c r="A42" s="466"/>
      <c r="B42" s="467" t="s">
        <v>297</v>
      </c>
      <c r="C42" s="903"/>
      <c r="D42" s="468">
        <f t="shared" ref="D42:AI42" si="76">D34/D38</f>
        <v>0.18803418803418837</v>
      </c>
      <c r="E42" s="469">
        <f t="shared" si="76"/>
        <v>0.22542735042735046</v>
      </c>
      <c r="F42" s="469">
        <f t="shared" si="76"/>
        <v>0.13848391266877347</v>
      </c>
      <c r="G42" s="470">
        <f t="shared" si="76"/>
        <v>0.23628691983122363</v>
      </c>
      <c r="H42" s="469">
        <f t="shared" si="76"/>
        <v>0.1308510638297872</v>
      </c>
      <c r="I42" s="469">
        <f t="shared" si="76"/>
        <v>0.23191489361702136</v>
      </c>
      <c r="J42" s="469">
        <f t="shared" si="76"/>
        <v>0.20000000000000012</v>
      </c>
      <c r="K42" s="470">
        <f t="shared" si="76"/>
        <v>0.1631355932203388</v>
      </c>
      <c r="L42" s="469">
        <f t="shared" si="76"/>
        <v>0.26050420168067223</v>
      </c>
      <c r="M42" s="469">
        <f t="shared" si="76"/>
        <v>0.30859049207673028</v>
      </c>
      <c r="N42" s="469">
        <f t="shared" si="76"/>
        <v>0.22594142259414243</v>
      </c>
      <c r="O42" s="470">
        <f t="shared" si="76"/>
        <v>0.28691983122362874</v>
      </c>
      <c r="P42" s="469">
        <f t="shared" si="76"/>
        <v>0.27322404371584691</v>
      </c>
      <c r="Q42" s="469">
        <f t="shared" si="76"/>
        <v>0.20762711864406794</v>
      </c>
      <c r="R42" s="469">
        <f t="shared" si="76"/>
        <v>0.18248945147679338</v>
      </c>
      <c r="S42" s="470">
        <f t="shared" si="76"/>
        <v>0.33629441624365469</v>
      </c>
      <c r="T42" s="469">
        <f t="shared" si="76"/>
        <v>0.33024691358024671</v>
      </c>
      <c r="U42" s="469">
        <f t="shared" si="76"/>
        <v>0.33736059479553854</v>
      </c>
      <c r="V42" s="469">
        <f t="shared" si="76"/>
        <v>0.25655430711610538</v>
      </c>
      <c r="W42" s="470">
        <f t="shared" si="76"/>
        <v>0.33955223880596913</v>
      </c>
      <c r="X42" s="469">
        <f t="shared" si="76"/>
        <v>0.19206265927147373</v>
      </c>
      <c r="Y42" s="469">
        <f t="shared" si="76"/>
        <v>0.18963038625959938</v>
      </c>
      <c r="Z42" s="469">
        <f t="shared" si="76"/>
        <v>2.5276611980160315E-2</v>
      </c>
      <c r="AA42" s="470">
        <f t="shared" si="76"/>
        <v>3.7354213515264655E-2</v>
      </c>
      <c r="AB42" s="469">
        <f t="shared" si="76"/>
        <v>0.10045322973796429</v>
      </c>
      <c r="AC42" s="469">
        <f t="shared" si="76"/>
        <v>0.11735527766163661</v>
      </c>
      <c r="AD42" s="469">
        <f t="shared" si="76"/>
        <v>8.7319665907365077E-2</v>
      </c>
      <c r="AE42" s="470">
        <f t="shared" si="76"/>
        <v>9.9601593625495369E-3</v>
      </c>
      <c r="AF42" s="469">
        <f t="shared" si="76"/>
        <v>-1.1208751793400289</v>
      </c>
      <c r="AG42" s="469">
        <f t="shared" si="76"/>
        <v>0.21461041400555989</v>
      </c>
      <c r="AH42" s="469">
        <f t="shared" si="76"/>
        <v>0.14903199282403939</v>
      </c>
      <c r="AI42" s="470">
        <f t="shared" si="76"/>
        <v>0.19144144144144129</v>
      </c>
      <c r="AJ42" s="469">
        <f t="shared" ref="AJ42:BO42" si="77">AJ34/AJ38</f>
        <v>0.20734041355499686</v>
      </c>
      <c r="AK42" s="469">
        <f t="shared" si="77"/>
        <v>0.20868269051611726</v>
      </c>
      <c r="AL42" s="469">
        <f t="shared" si="77"/>
        <v>0.16469703086578369</v>
      </c>
      <c r="AM42" s="470">
        <f t="shared" si="77"/>
        <v>0.22724793658873535</v>
      </c>
      <c r="AN42" s="469">
        <f t="shared" si="77"/>
        <v>0.23041266863862647</v>
      </c>
      <c r="AO42" s="469">
        <f t="shared" si="77"/>
        <v>0.24522110246386725</v>
      </c>
      <c r="AP42" s="469">
        <f t="shared" si="77"/>
        <v>0.19991075412762119</v>
      </c>
      <c r="AQ42" s="470">
        <f t="shared" si="77"/>
        <v>0.30087284233729777</v>
      </c>
      <c r="AR42" s="469">
        <f t="shared" si="77"/>
        <v>0.34381313578846651</v>
      </c>
      <c r="AS42" s="469">
        <f t="shared" si="77"/>
        <v>0.15934812232329365</v>
      </c>
      <c r="AT42" s="469">
        <f t="shared" si="77"/>
        <v>0.27019415254088142</v>
      </c>
      <c r="AU42" s="470">
        <f t="shared" si="77"/>
        <v>0.28289162535689899</v>
      </c>
      <c r="AV42" s="469">
        <f t="shared" si="77"/>
        <v>0.26800860425665907</v>
      </c>
      <c r="AW42" s="469">
        <f t="shared" si="77"/>
        <v>0.30613312866313153</v>
      </c>
      <c r="AX42" s="469">
        <f t="shared" si="77"/>
        <v>0.17055639673506309</v>
      </c>
      <c r="AY42" s="470">
        <f t="shared" si="77"/>
        <v>0.17812657875023968</v>
      </c>
      <c r="AZ42" s="469">
        <f t="shared" si="77"/>
        <v>0.25208923268181438</v>
      </c>
      <c r="BA42" s="469">
        <f t="shared" si="77"/>
        <v>0.32601205857019777</v>
      </c>
      <c r="BB42" s="469">
        <f t="shared" si="77"/>
        <v>0.35862687287711775</v>
      </c>
      <c r="BC42" s="470">
        <f t="shared" si="77"/>
        <v>0.30669032891676307</v>
      </c>
      <c r="BD42" s="469">
        <f t="shared" si="77"/>
        <v>0.38151522189819959</v>
      </c>
      <c r="BE42" s="469">
        <f t="shared" si="77"/>
        <v>0.37892473118279535</v>
      </c>
      <c r="BF42" s="469">
        <f t="shared" si="77"/>
        <v>-0.56207381098112907</v>
      </c>
      <c r="BG42" s="470">
        <f t="shared" si="77"/>
        <v>-0.35207612456747422</v>
      </c>
      <c r="BH42" s="469">
        <f t="shared" si="77"/>
        <v>-3.0164872574959596E-2</v>
      </c>
      <c r="BI42" s="469">
        <f t="shared" si="77"/>
        <v>-0.15399265639476992</v>
      </c>
      <c r="BJ42" s="469">
        <f t="shared" si="77"/>
        <v>7.3674922255823103E-2</v>
      </c>
      <c r="BK42" s="470">
        <f t="shared" si="77"/>
        <v>0.22566500522412308</v>
      </c>
      <c r="BL42" s="469">
        <f t="shared" si="77"/>
        <v>0.34973147153598272</v>
      </c>
      <c r="BM42" s="469">
        <f t="shared" si="77"/>
        <v>0.43731904786671549</v>
      </c>
      <c r="BN42" s="469">
        <f t="shared" si="77"/>
        <v>0.49531292957421802</v>
      </c>
      <c r="BO42" s="470">
        <f t="shared" si="77"/>
        <v>0.52128855038082211</v>
      </c>
      <c r="BP42" s="469">
        <f t="shared" ref="BP42:CU42" si="78">BP34/BP38</f>
        <v>0.5861670011027359</v>
      </c>
      <c r="BQ42" s="469">
        <f t="shared" si="78"/>
        <v>0.55263375658554048</v>
      </c>
      <c r="BR42" s="469">
        <f t="shared" si="78"/>
        <v>0.67568188712894939</v>
      </c>
      <c r="BS42" s="470">
        <f t="shared" si="78"/>
        <v>0.58625002299019702</v>
      </c>
      <c r="BT42" s="469">
        <f t="shared" si="78"/>
        <v>0.74613884591088431</v>
      </c>
      <c r="BU42" s="469">
        <f t="shared" si="78"/>
        <v>0.55569033864633044</v>
      </c>
      <c r="BV42" s="469">
        <f t="shared" si="78"/>
        <v>0.46278918602202729</v>
      </c>
      <c r="BW42" s="470">
        <f t="shared" si="78"/>
        <v>0.63029049062062203</v>
      </c>
      <c r="BX42" s="469">
        <f t="shared" si="78"/>
        <v>0.64891938250428838</v>
      </c>
      <c r="BY42" s="469">
        <f t="shared" si="78"/>
        <v>0.74978466838932023</v>
      </c>
      <c r="BZ42" s="469">
        <f t="shared" si="78"/>
        <v>0.7039583333333338</v>
      </c>
      <c r="CA42" s="470">
        <f t="shared" si="78"/>
        <v>0.78612200435729918</v>
      </c>
      <c r="CB42" s="469">
        <f t="shared" si="78"/>
        <v>0.82385085041430417</v>
      </c>
      <c r="CC42" s="469">
        <f t="shared" si="78"/>
        <v>0.88814472939434808</v>
      </c>
      <c r="CD42" s="469">
        <f t="shared" si="78"/>
        <v>0.78842588543944014</v>
      </c>
      <c r="CE42" s="470">
        <f t="shared" si="78"/>
        <v>0.75228070175438666</v>
      </c>
      <c r="CF42" s="469">
        <f t="shared" si="78"/>
        <v>0.78348304711580818</v>
      </c>
      <c r="CG42" s="469">
        <f t="shared" si="78"/>
        <v>0.75134545374313277</v>
      </c>
      <c r="CH42" s="469">
        <f t="shared" si="78"/>
        <v>0.73489731891978016</v>
      </c>
      <c r="CI42" s="470">
        <f t="shared" si="78"/>
        <v>0.7772050246747414</v>
      </c>
      <c r="CJ42" s="469">
        <f t="shared" si="78"/>
        <v>0.79834479596515351</v>
      </c>
      <c r="CK42" s="469">
        <f t="shared" si="78"/>
        <v>0.83955266935286532</v>
      </c>
      <c r="CL42" s="469">
        <f t="shared" si="78"/>
        <v>0.77764986012742876</v>
      </c>
      <c r="CM42" s="470">
        <f t="shared" si="78"/>
        <v>0.84962174940898383</v>
      </c>
      <c r="CN42" s="469">
        <f t="shared" si="78"/>
        <v>0.91146044968808293</v>
      </c>
      <c r="CO42" s="469">
        <f t="shared" si="78"/>
        <v>0.96246834186061792</v>
      </c>
      <c r="CP42" s="469">
        <f t="shared" si="78"/>
        <v>0.95240392772009197</v>
      </c>
      <c r="CQ42" s="470">
        <f t="shared" ref="CQ42" si="79">CQ34/CQ38</f>
        <v>1.0712446351931331</v>
      </c>
      <c r="CR42" s="469">
        <f t="shared" si="78"/>
        <v>1.0758729745700273</v>
      </c>
      <c r="CS42" s="469">
        <f t="shared" si="78"/>
        <v>1.1269276567810367</v>
      </c>
      <c r="CT42" s="469">
        <f t="shared" si="78"/>
        <v>1.0434471838418695</v>
      </c>
      <c r="CU42" s="470">
        <f t="shared" si="78"/>
        <v>1.1649189112636806</v>
      </c>
      <c r="CV42" s="471"/>
      <c r="CW42" s="472"/>
      <c r="CX42" s="469">
        <f t="shared" ref="CX42:DZ42" si="80">CX34/CX38</f>
        <v>0.89025378699183899</v>
      </c>
      <c r="CY42" s="469">
        <f t="shared" si="80"/>
        <v>0.86928799149840796</v>
      </c>
      <c r="CZ42" s="469">
        <f t="shared" si="80"/>
        <v>1.2570769553365488</v>
      </c>
      <c r="DA42" s="469">
        <f t="shared" si="80"/>
        <v>1.1770294521270972</v>
      </c>
      <c r="DB42" s="469">
        <f t="shared" si="80"/>
        <v>1.5692454632282709</v>
      </c>
      <c r="DC42" s="469">
        <f t="shared" si="80"/>
        <v>0.44636665908832296</v>
      </c>
      <c r="DD42" s="469">
        <f t="shared" si="80"/>
        <v>0.31493444803344012</v>
      </c>
      <c r="DE42" s="469">
        <f t="shared" si="80"/>
        <v>-0.5591549295774656</v>
      </c>
      <c r="DF42" s="469">
        <f t="shared" si="80"/>
        <v>0.80798654741665821</v>
      </c>
      <c r="DG42" s="469">
        <f t="shared" si="80"/>
        <v>0.97678622565864714</v>
      </c>
      <c r="DH42" s="469">
        <f t="shared" si="80"/>
        <v>1.0563610954362723</v>
      </c>
      <c r="DI42" s="469">
        <f t="shared" si="80"/>
        <v>0.92252289958189859</v>
      </c>
      <c r="DJ42" s="469">
        <f t="shared" si="80"/>
        <v>1.2435130428785695</v>
      </c>
      <c r="DK42" s="469">
        <f t="shared" si="80"/>
        <v>-0.15083086258015851</v>
      </c>
      <c r="DL42" s="469">
        <f t="shared" si="80"/>
        <v>0.11585794957175677</v>
      </c>
      <c r="DM42" s="469">
        <f t="shared" si="80"/>
        <v>1.7997459594411076</v>
      </c>
      <c r="DN42" s="469">
        <f t="shared" si="80"/>
        <v>2.4005071913136611</v>
      </c>
      <c r="DO42" s="469">
        <f t="shared" si="80"/>
        <v>2.394908861199871</v>
      </c>
      <c r="DP42" s="469">
        <f t="shared" si="80"/>
        <v>2.8878633956554669</v>
      </c>
      <c r="DQ42" s="469">
        <f t="shared" si="80"/>
        <v>3.2532340253584779</v>
      </c>
      <c r="DR42" s="469">
        <f t="shared" si="80"/>
        <v>3.0467970742494521</v>
      </c>
      <c r="DS42" s="469">
        <f t="shared" si="80"/>
        <v>3.2647694438210833</v>
      </c>
      <c r="DT42" s="472">
        <f t="shared" si="80"/>
        <v>3.8965841215404002</v>
      </c>
      <c r="DU42" s="472">
        <f t="shared" si="80"/>
        <v>4.4109730797351352</v>
      </c>
      <c r="DV42" s="472">
        <f t="shared" si="80"/>
        <v>4.5432429689197802</v>
      </c>
      <c r="DW42" s="472">
        <f t="shared" si="80"/>
        <v>4.6355060632689957</v>
      </c>
      <c r="DX42" s="472">
        <f t="shared" si="80"/>
        <v>4.6951002476387549</v>
      </c>
      <c r="DY42" s="472">
        <f t="shared" si="80"/>
        <v>4.6853023369397224</v>
      </c>
      <c r="DZ42" s="472">
        <f t="shared" si="80"/>
        <v>4.5974685811556624</v>
      </c>
      <c r="EA42" s="473"/>
      <c r="EB42"/>
      <c r="EC42"/>
      <c r="ED42"/>
      <c r="EE42"/>
      <c r="EF42"/>
      <c r="EG42"/>
    </row>
    <row r="43" spans="1:137" s="474" customFormat="1" ht="15.75" thickBot="1">
      <c r="A43" s="466"/>
      <c r="B43" s="467" t="s">
        <v>298</v>
      </c>
      <c r="C43" s="903"/>
      <c r="D43" s="468">
        <f t="shared" ref="D43:AI43" si="81">D34/D40</f>
        <v>0.18803418803418837</v>
      </c>
      <c r="E43" s="469">
        <f t="shared" si="81"/>
        <v>0.22542735042735046</v>
      </c>
      <c r="F43" s="469">
        <f t="shared" si="81"/>
        <v>0.13848391266877347</v>
      </c>
      <c r="G43" s="470">
        <f t="shared" si="81"/>
        <v>0.23628691983122363</v>
      </c>
      <c r="H43" s="469">
        <f t="shared" si="81"/>
        <v>0.1308510638297872</v>
      </c>
      <c r="I43" s="469">
        <f t="shared" si="81"/>
        <v>0.23191489361702136</v>
      </c>
      <c r="J43" s="469">
        <f t="shared" si="81"/>
        <v>0.20000000000000012</v>
      </c>
      <c r="K43" s="470">
        <f t="shared" si="81"/>
        <v>0.1631355932203388</v>
      </c>
      <c r="L43" s="469">
        <f t="shared" si="81"/>
        <v>0.26050420168067223</v>
      </c>
      <c r="M43" s="469">
        <f t="shared" si="81"/>
        <v>0.30859049207673028</v>
      </c>
      <c r="N43" s="469">
        <f t="shared" si="81"/>
        <v>0.22594142259414243</v>
      </c>
      <c r="O43" s="470">
        <f t="shared" si="81"/>
        <v>0.28691983122362874</v>
      </c>
      <c r="P43" s="469">
        <f t="shared" si="81"/>
        <v>0.27322404371584691</v>
      </c>
      <c r="Q43" s="469">
        <f t="shared" si="81"/>
        <v>0.20762711864406794</v>
      </c>
      <c r="R43" s="469">
        <f t="shared" si="81"/>
        <v>0.18248945147679338</v>
      </c>
      <c r="S43" s="470">
        <f t="shared" si="81"/>
        <v>0.33629441624365469</v>
      </c>
      <c r="T43" s="469">
        <f t="shared" si="81"/>
        <v>0.33024691358024671</v>
      </c>
      <c r="U43" s="469">
        <f t="shared" si="81"/>
        <v>0.33736059479553854</v>
      </c>
      <c r="V43" s="469">
        <f t="shared" si="81"/>
        <v>0.25655430711610538</v>
      </c>
      <c r="W43" s="470">
        <f t="shared" si="81"/>
        <v>0.33955223880596913</v>
      </c>
      <c r="X43" s="469">
        <f t="shared" si="81"/>
        <v>0.19123134328358229</v>
      </c>
      <c r="Y43" s="469">
        <f t="shared" si="81"/>
        <v>0.18915094339622604</v>
      </c>
      <c r="Z43" s="469">
        <f t="shared" si="81"/>
        <v>2.5190114068441134E-2</v>
      </c>
      <c r="AA43" s="470">
        <f t="shared" si="81"/>
        <v>3.7264733840304126E-2</v>
      </c>
      <c r="AB43" s="469">
        <f t="shared" si="81"/>
        <v>0.10028517110266123</v>
      </c>
      <c r="AC43" s="469">
        <f t="shared" si="81"/>
        <v>0.11650943396226407</v>
      </c>
      <c r="AD43" s="469">
        <f t="shared" si="81"/>
        <v>8.6792452830188535E-2</v>
      </c>
      <c r="AE43" s="470">
        <f t="shared" si="81"/>
        <v>9.9056603773582299E-3</v>
      </c>
      <c r="AF43" s="469">
        <f t="shared" si="81"/>
        <v>-1.1118913857677903</v>
      </c>
      <c r="AG43" s="469">
        <f t="shared" si="81"/>
        <v>0.21236059479553876</v>
      </c>
      <c r="AH43" s="469">
        <f t="shared" si="81"/>
        <v>0.14768518518518511</v>
      </c>
      <c r="AI43" s="470">
        <f t="shared" si="81"/>
        <v>0.18959107806691436</v>
      </c>
      <c r="AJ43" s="469">
        <f t="shared" ref="AJ43:BO43" si="82">AJ34/AJ40</f>
        <v>0.2061567164179105</v>
      </c>
      <c r="AK43" s="469">
        <f t="shared" si="82"/>
        <v>0.20664206642066443</v>
      </c>
      <c r="AL43" s="469">
        <f t="shared" si="82"/>
        <v>0.16318181818181846</v>
      </c>
      <c r="AM43" s="470">
        <f t="shared" si="82"/>
        <v>0.22482014388489166</v>
      </c>
      <c r="AN43" s="469">
        <f t="shared" si="82"/>
        <v>0.22812500000000013</v>
      </c>
      <c r="AO43" s="469">
        <f t="shared" si="82"/>
        <v>0.24246453900709256</v>
      </c>
      <c r="AP43" s="469">
        <f t="shared" si="82"/>
        <v>0.19753086419753044</v>
      </c>
      <c r="AQ43" s="470">
        <f t="shared" si="82"/>
        <v>0.29745166959578229</v>
      </c>
      <c r="AR43" s="469">
        <f t="shared" si="82"/>
        <v>0.33943974944447386</v>
      </c>
      <c r="AS43" s="469">
        <f t="shared" si="82"/>
        <v>0.15750564136652317</v>
      </c>
      <c r="AT43" s="469">
        <f t="shared" si="82"/>
        <v>0.26703547135674921</v>
      </c>
      <c r="AU43" s="470">
        <f t="shared" si="82"/>
        <v>0.27989601386481811</v>
      </c>
      <c r="AV43" s="469">
        <f t="shared" si="82"/>
        <v>0.26533120952941619</v>
      </c>
      <c r="AW43" s="469">
        <f t="shared" si="82"/>
        <v>0.30259664126349195</v>
      </c>
      <c r="AX43" s="469">
        <f t="shared" si="82"/>
        <v>0.16899465425073271</v>
      </c>
      <c r="AY43" s="470">
        <f t="shared" si="82"/>
        <v>0.17598967297762494</v>
      </c>
      <c r="AZ43" s="469">
        <f t="shared" si="82"/>
        <v>0.24914675767918024</v>
      </c>
      <c r="BA43" s="469">
        <f t="shared" si="82"/>
        <v>0.32126366537651896</v>
      </c>
      <c r="BB43" s="469">
        <f t="shared" si="82"/>
        <v>0.35238111372761538</v>
      </c>
      <c r="BC43" s="470">
        <f t="shared" si="82"/>
        <v>0.30092983939137807</v>
      </c>
      <c r="BD43" s="469">
        <f t="shared" si="82"/>
        <v>0.3743690172707782</v>
      </c>
      <c r="BE43" s="469">
        <f t="shared" si="82"/>
        <v>0.37210048824990249</v>
      </c>
      <c r="BF43" s="469">
        <f t="shared" si="82"/>
        <v>-0.56207381098112907</v>
      </c>
      <c r="BG43" s="470">
        <f t="shared" si="82"/>
        <v>-0.35207612456747422</v>
      </c>
      <c r="BH43" s="469">
        <f t="shared" si="82"/>
        <v>-3.0164872574959596E-2</v>
      </c>
      <c r="BI43" s="469">
        <f t="shared" si="82"/>
        <v>-0.15399265639476992</v>
      </c>
      <c r="BJ43" s="469">
        <f t="shared" si="82"/>
        <v>7.3194604025703006E-2</v>
      </c>
      <c r="BK43" s="470">
        <f t="shared" si="82"/>
        <v>0.2239351395451607</v>
      </c>
      <c r="BL43" s="469">
        <f t="shared" si="82"/>
        <v>0.31389062415646701</v>
      </c>
      <c r="BM43" s="469">
        <f t="shared" si="82"/>
        <v>0.39084894404933473</v>
      </c>
      <c r="BN43" s="469">
        <f t="shared" si="82"/>
        <v>0.43699727708053032</v>
      </c>
      <c r="BO43" s="470">
        <f t="shared" si="82"/>
        <v>0.4436264278395512</v>
      </c>
      <c r="BP43" s="469">
        <f t="shared" ref="BP43:CU43" si="83">BP34/BP40</f>
        <v>0.4979880820739655</v>
      </c>
      <c r="BQ43" s="469">
        <f t="shared" si="83"/>
        <v>0.4690499602004024</v>
      </c>
      <c r="BR43" s="469">
        <f t="shared" si="83"/>
        <v>0.57448804126934494</v>
      </c>
      <c r="BS43" s="470">
        <f t="shared" si="83"/>
        <v>0.49974131038050906</v>
      </c>
      <c r="BT43" s="469">
        <f t="shared" si="83"/>
        <v>0.63821456538762711</v>
      </c>
      <c r="BU43" s="469">
        <f t="shared" si="83"/>
        <v>0.49956790123456812</v>
      </c>
      <c r="BV43" s="469">
        <f t="shared" si="83"/>
        <v>0.42658227848101282</v>
      </c>
      <c r="BW43" s="470">
        <f t="shared" si="83"/>
        <v>0.58443123938879393</v>
      </c>
      <c r="BX43" s="469">
        <f t="shared" si="83"/>
        <v>0.64891938250428838</v>
      </c>
      <c r="BY43" s="469">
        <f t="shared" si="83"/>
        <v>0.74978466838932023</v>
      </c>
      <c r="BZ43" s="469">
        <f t="shared" si="83"/>
        <v>0.7039583333333338</v>
      </c>
      <c r="CA43" s="470">
        <f t="shared" si="83"/>
        <v>0.78612200435729918</v>
      </c>
      <c r="CB43" s="469">
        <f t="shared" si="83"/>
        <v>0.82385085041430417</v>
      </c>
      <c r="CC43" s="469">
        <f t="shared" si="83"/>
        <v>0.88814472939434808</v>
      </c>
      <c r="CD43" s="469">
        <f t="shared" si="83"/>
        <v>0.78842588543944014</v>
      </c>
      <c r="CE43" s="470">
        <f t="shared" si="83"/>
        <v>0.75228070175438666</v>
      </c>
      <c r="CF43" s="469">
        <f t="shared" si="83"/>
        <v>0.78348304711580818</v>
      </c>
      <c r="CG43" s="469">
        <f t="shared" si="83"/>
        <v>0.75134545374313277</v>
      </c>
      <c r="CH43" s="469">
        <f t="shared" si="83"/>
        <v>0.73489731891978016</v>
      </c>
      <c r="CI43" s="470">
        <f t="shared" si="83"/>
        <v>0.7772050246747414</v>
      </c>
      <c r="CJ43" s="469">
        <f t="shared" si="83"/>
        <v>0.79834479596515351</v>
      </c>
      <c r="CK43" s="469">
        <f t="shared" si="83"/>
        <v>0.83955266935286532</v>
      </c>
      <c r="CL43" s="469">
        <f t="shared" si="83"/>
        <v>0.77764986012742876</v>
      </c>
      <c r="CM43" s="470">
        <f t="shared" si="83"/>
        <v>0.84962174940898383</v>
      </c>
      <c r="CN43" s="469">
        <f t="shared" si="83"/>
        <v>0.91146044968808293</v>
      </c>
      <c r="CO43" s="469">
        <f t="shared" si="83"/>
        <v>0.96246834186061792</v>
      </c>
      <c r="CP43" s="469">
        <f t="shared" si="83"/>
        <v>0.95240392772009197</v>
      </c>
      <c r="CQ43" s="470">
        <f t="shared" ref="CQ43" si="84">CQ34/CQ40</f>
        <v>1.0712446351931331</v>
      </c>
      <c r="CR43" s="469">
        <f t="shared" si="83"/>
        <v>1.0758729745700273</v>
      </c>
      <c r="CS43" s="469">
        <f t="shared" si="83"/>
        <v>1.1269276567810367</v>
      </c>
      <c r="CT43" s="469">
        <f t="shared" si="83"/>
        <v>1.0434471838418695</v>
      </c>
      <c r="CU43" s="470">
        <f t="shared" si="83"/>
        <v>1.1649189112636806</v>
      </c>
      <c r="CV43" s="471"/>
      <c r="CW43" s="472"/>
      <c r="CX43" s="469">
        <f t="shared" ref="CX43:DZ43" si="85">CX34/CX40</f>
        <v>0.89025378699183899</v>
      </c>
      <c r="CY43" s="469">
        <f t="shared" si="85"/>
        <v>0.86928799149840796</v>
      </c>
      <c r="CZ43" s="469">
        <f t="shared" si="85"/>
        <v>1.2570769553365488</v>
      </c>
      <c r="DA43" s="469">
        <f t="shared" si="85"/>
        <v>1.1770294521270972</v>
      </c>
      <c r="DB43" s="469">
        <f t="shared" si="85"/>
        <v>1.5692454632282709</v>
      </c>
      <c r="DC43" s="469">
        <f t="shared" si="85"/>
        <v>0.44495042492917586</v>
      </c>
      <c r="DD43" s="469">
        <f t="shared" si="85"/>
        <v>0.31332703213610497</v>
      </c>
      <c r="DE43" s="469">
        <f t="shared" si="85"/>
        <v>-0.55395348837209379</v>
      </c>
      <c r="DF43" s="469">
        <f t="shared" si="85"/>
        <v>0.80082417582417353</v>
      </c>
      <c r="DG43" s="469">
        <f t="shared" si="85"/>
        <v>0.9659292035398217</v>
      </c>
      <c r="DH43" s="469">
        <f t="shared" si="85"/>
        <v>1.0440669620876439</v>
      </c>
      <c r="DI43" s="469">
        <f t="shared" si="85"/>
        <v>0.91267479275035879</v>
      </c>
      <c r="DJ43" s="469">
        <f t="shared" si="85"/>
        <v>1.2240914780321175</v>
      </c>
      <c r="DK43" s="469">
        <f t="shared" si="85"/>
        <v>-0.14942992483675047</v>
      </c>
      <c r="DL43" s="469">
        <f t="shared" si="85"/>
        <v>0.11544480455622372</v>
      </c>
      <c r="DM43" s="469">
        <f t="shared" si="85"/>
        <v>1.5855682037430034</v>
      </c>
      <c r="DN43" s="469">
        <f t="shared" si="85"/>
        <v>2.0410141046797636</v>
      </c>
      <c r="DO43" s="469">
        <f t="shared" si="85"/>
        <v>2.1552502574665349</v>
      </c>
      <c r="DP43" s="469">
        <f t="shared" si="85"/>
        <v>2.8878633956554669</v>
      </c>
      <c r="DQ43" s="469">
        <f t="shared" si="85"/>
        <v>3.2532340253584779</v>
      </c>
      <c r="DR43" s="469">
        <f t="shared" si="85"/>
        <v>3.0467970742494521</v>
      </c>
      <c r="DS43" s="469">
        <f t="shared" si="85"/>
        <v>3.2647694438210833</v>
      </c>
      <c r="DT43" s="472">
        <f t="shared" si="85"/>
        <v>3.8965841215404002</v>
      </c>
      <c r="DU43" s="472">
        <f t="shared" si="85"/>
        <v>4.4109730797351352</v>
      </c>
      <c r="DV43" s="472">
        <f t="shared" si="85"/>
        <v>4.5432429689197802</v>
      </c>
      <c r="DW43" s="472">
        <f t="shared" si="85"/>
        <v>4.6355060632689957</v>
      </c>
      <c r="DX43" s="472">
        <f t="shared" si="85"/>
        <v>4.6951002476387549</v>
      </c>
      <c r="DY43" s="472">
        <f t="shared" si="85"/>
        <v>4.6853023369397224</v>
      </c>
      <c r="DZ43" s="472">
        <f t="shared" si="85"/>
        <v>4.5974685811556624</v>
      </c>
      <c r="EA43" s="475"/>
      <c r="EB43"/>
      <c r="EC43"/>
      <c r="ED43"/>
      <c r="EE43"/>
      <c r="EF43"/>
      <c r="EG43"/>
    </row>
    <row r="44" spans="1:137" s="474" customFormat="1" ht="15.75" thickBot="1">
      <c r="A44" s="466"/>
      <c r="B44" s="476" t="s">
        <v>197</v>
      </c>
      <c r="C44" s="904"/>
      <c r="D44" s="477">
        <f t="shared" ref="D44:AI44" si="86">D30/D40</f>
        <v>0.18803418803418837</v>
      </c>
      <c r="E44" s="478">
        <f t="shared" si="86"/>
        <v>0.22542735042735046</v>
      </c>
      <c r="F44" s="478">
        <f t="shared" si="86"/>
        <v>0.13848391266877347</v>
      </c>
      <c r="G44" s="479">
        <f t="shared" si="86"/>
        <v>0.23628691983122363</v>
      </c>
      <c r="H44" s="478">
        <f t="shared" si="86"/>
        <v>0.1308510638297872</v>
      </c>
      <c r="I44" s="478">
        <f t="shared" si="86"/>
        <v>0.23191489361702136</v>
      </c>
      <c r="J44" s="478">
        <f t="shared" si="86"/>
        <v>0.20000000000000012</v>
      </c>
      <c r="K44" s="479">
        <f t="shared" si="86"/>
        <v>0.53389830508474556</v>
      </c>
      <c r="L44" s="478">
        <f t="shared" si="86"/>
        <v>0.26050420168067223</v>
      </c>
      <c r="M44" s="478">
        <f t="shared" si="86"/>
        <v>0.30859049207673028</v>
      </c>
      <c r="N44" s="478">
        <f t="shared" si="86"/>
        <v>0.22594142259414243</v>
      </c>
      <c r="O44" s="479">
        <f t="shared" si="86"/>
        <v>0.28691983122362874</v>
      </c>
      <c r="P44" s="478">
        <f t="shared" si="86"/>
        <v>0.27322404371584691</v>
      </c>
      <c r="Q44" s="478">
        <f t="shared" si="86"/>
        <v>0.20762711864406794</v>
      </c>
      <c r="R44" s="478">
        <f t="shared" si="86"/>
        <v>0.18248945147679338</v>
      </c>
      <c r="S44" s="479">
        <f t="shared" si="86"/>
        <v>0.33629441624365469</v>
      </c>
      <c r="T44" s="478">
        <f t="shared" si="86"/>
        <v>0.33024691358024671</v>
      </c>
      <c r="U44" s="478">
        <f t="shared" si="86"/>
        <v>0.33736059479553854</v>
      </c>
      <c r="V44" s="478">
        <f t="shared" si="86"/>
        <v>0.25655430711610538</v>
      </c>
      <c r="W44" s="479">
        <f t="shared" si="86"/>
        <v>0.33955223880596913</v>
      </c>
      <c r="X44" s="478">
        <f t="shared" si="86"/>
        <v>0.2238106343283584</v>
      </c>
      <c r="Y44" s="478">
        <f t="shared" si="86"/>
        <v>0.22120047169811285</v>
      </c>
      <c r="Z44" s="478">
        <f t="shared" si="86"/>
        <v>0.15094106463878335</v>
      </c>
      <c r="AA44" s="479">
        <f t="shared" si="86"/>
        <v>0.16063925855513303</v>
      </c>
      <c r="AB44" s="478">
        <f t="shared" si="86"/>
        <v>0.13303231939163462</v>
      </c>
      <c r="AC44" s="478">
        <f t="shared" si="86"/>
        <v>0.14808962264150935</v>
      </c>
      <c r="AD44" s="478">
        <f t="shared" si="86"/>
        <v>0.11867924528301872</v>
      </c>
      <c r="AE44" s="479">
        <f t="shared" si="86"/>
        <v>0.13233490566037709</v>
      </c>
      <c r="AF44" s="478">
        <f t="shared" si="86"/>
        <v>0.14747191011235947</v>
      </c>
      <c r="AG44" s="478">
        <f t="shared" si="86"/>
        <v>0.21236059479553876</v>
      </c>
      <c r="AH44" s="478">
        <f t="shared" si="86"/>
        <v>0.14768518518518511</v>
      </c>
      <c r="AI44" s="479">
        <f t="shared" si="86"/>
        <v>0.18959107806691436</v>
      </c>
      <c r="AJ44" s="478">
        <f t="shared" ref="AJ44:BO44" si="87">AJ30/AJ40</f>
        <v>0.2061567164179105</v>
      </c>
      <c r="AK44" s="478">
        <f t="shared" si="87"/>
        <v>0.20664206642066443</v>
      </c>
      <c r="AL44" s="478">
        <f t="shared" si="87"/>
        <v>0.16318181818181846</v>
      </c>
      <c r="AM44" s="479">
        <f t="shared" si="87"/>
        <v>0.22482014388489166</v>
      </c>
      <c r="AN44" s="478">
        <f t="shared" si="87"/>
        <v>0.22812500000000013</v>
      </c>
      <c r="AO44" s="478">
        <f t="shared" si="87"/>
        <v>0.24246453900709256</v>
      </c>
      <c r="AP44" s="478">
        <f t="shared" si="87"/>
        <v>0.19753086419753044</v>
      </c>
      <c r="AQ44" s="479">
        <f t="shared" si="87"/>
        <v>0.24736379613356785</v>
      </c>
      <c r="AR44" s="478">
        <f t="shared" si="87"/>
        <v>0.24364425314506696</v>
      </c>
      <c r="AS44" s="478">
        <f t="shared" si="87"/>
        <v>0.28250564136652317</v>
      </c>
      <c r="AT44" s="478">
        <f t="shared" si="87"/>
        <v>0.24702955656454978</v>
      </c>
      <c r="AU44" s="479">
        <f t="shared" si="87"/>
        <v>0.30239601386481813</v>
      </c>
      <c r="AV44" s="478">
        <f t="shared" si="87"/>
        <v>0.26533120952941619</v>
      </c>
      <c r="AW44" s="478">
        <f t="shared" si="87"/>
        <v>0.30259664126349195</v>
      </c>
      <c r="AX44" s="478">
        <f t="shared" si="87"/>
        <v>0.19005000862217605</v>
      </c>
      <c r="AY44" s="479">
        <f t="shared" si="87"/>
        <v>0.24848967297762495</v>
      </c>
      <c r="AZ44" s="478">
        <f t="shared" si="87"/>
        <v>0.29164675767918025</v>
      </c>
      <c r="BA44" s="478">
        <f t="shared" si="87"/>
        <v>0.32126366537651896</v>
      </c>
      <c r="BB44" s="478">
        <f t="shared" si="87"/>
        <v>0.28241313297304549</v>
      </c>
      <c r="BC44" s="479">
        <f t="shared" si="87"/>
        <v>0.3672865595942521</v>
      </c>
      <c r="BD44" s="478">
        <f t="shared" si="87"/>
        <v>0.3743690172707782</v>
      </c>
      <c r="BE44" s="478">
        <f t="shared" si="87"/>
        <v>0.39110675609467621</v>
      </c>
      <c r="BF44" s="478">
        <f t="shared" si="87"/>
        <v>0.22008138001189767</v>
      </c>
      <c r="BG44" s="479">
        <f t="shared" si="87"/>
        <v>-2.0761245674741674E-3</v>
      </c>
      <c r="BH44" s="478">
        <f t="shared" si="87"/>
        <v>-3.0164872574959596E-2</v>
      </c>
      <c r="BI44" s="478">
        <f t="shared" si="87"/>
        <v>-2.8992656394769906E-2</v>
      </c>
      <c r="BJ44" s="478">
        <f t="shared" si="87"/>
        <v>7.3194604025703006E-2</v>
      </c>
      <c r="BK44" s="479">
        <f t="shared" si="87"/>
        <v>0.20893513954516071</v>
      </c>
      <c r="BL44" s="478">
        <f t="shared" si="87"/>
        <v>0.30383864325212268</v>
      </c>
      <c r="BM44" s="478">
        <f t="shared" si="87"/>
        <v>0.37109344737290656</v>
      </c>
      <c r="BN44" s="478">
        <f t="shared" si="87"/>
        <v>0.33449657287721901</v>
      </c>
      <c r="BO44" s="479">
        <f t="shared" si="87"/>
        <v>0.42389283139159856</v>
      </c>
      <c r="BP44" s="478">
        <f t="shared" ref="BP44:CU44" si="88">BP30/BP40</f>
        <v>0.47802248433468553</v>
      </c>
      <c r="BQ44" s="478">
        <f t="shared" si="88"/>
        <v>0.5404356104946072</v>
      </c>
      <c r="BR44" s="478">
        <f t="shared" si="88"/>
        <v>0.55338439893700164</v>
      </c>
      <c r="BS44" s="479">
        <f t="shared" si="88"/>
        <v>0.57303670256965045</v>
      </c>
      <c r="BT44" s="478">
        <f t="shared" si="88"/>
        <v>0.61863743148003125</v>
      </c>
      <c r="BU44" s="478">
        <f t="shared" si="88"/>
        <v>0.67627572016460935</v>
      </c>
      <c r="BV44" s="478">
        <f t="shared" si="88"/>
        <v>0.42658227848101282</v>
      </c>
      <c r="BW44" s="479">
        <f t="shared" si="88"/>
        <v>0.58443123938879393</v>
      </c>
      <c r="BX44" s="478">
        <f t="shared" si="88"/>
        <v>0.64891938250428838</v>
      </c>
      <c r="BY44" s="478">
        <f t="shared" si="88"/>
        <v>0.74978466838932023</v>
      </c>
      <c r="BZ44" s="478">
        <f t="shared" si="88"/>
        <v>0.7039583333333338</v>
      </c>
      <c r="CA44" s="479">
        <f t="shared" si="88"/>
        <v>0.78612200435729918</v>
      </c>
      <c r="CB44" s="478">
        <f t="shared" si="88"/>
        <v>0.82385085041430417</v>
      </c>
      <c r="CC44" s="478">
        <f t="shared" si="88"/>
        <v>0.88814472939434808</v>
      </c>
      <c r="CD44" s="478">
        <f t="shared" si="88"/>
        <v>0.78842588543944014</v>
      </c>
      <c r="CE44" s="479">
        <f t="shared" si="88"/>
        <v>0.75228070175438666</v>
      </c>
      <c r="CF44" s="478">
        <f t="shared" si="88"/>
        <v>0.78348304711580818</v>
      </c>
      <c r="CG44" s="478">
        <f t="shared" si="88"/>
        <v>0.75134545374313277</v>
      </c>
      <c r="CH44" s="478">
        <f t="shared" si="88"/>
        <v>0.73489731891978016</v>
      </c>
      <c r="CI44" s="479">
        <f t="shared" si="88"/>
        <v>0.7772050246747414</v>
      </c>
      <c r="CJ44" s="478">
        <f t="shared" si="88"/>
        <v>0.79834479596515351</v>
      </c>
      <c r="CK44" s="478">
        <f t="shared" si="88"/>
        <v>0.83955266935286532</v>
      </c>
      <c r="CL44" s="478">
        <f t="shared" si="88"/>
        <v>0.77764986012742876</v>
      </c>
      <c r="CM44" s="479">
        <f t="shared" si="88"/>
        <v>0.84962174940898383</v>
      </c>
      <c r="CN44" s="478">
        <f t="shared" si="88"/>
        <v>0.91146044968808293</v>
      </c>
      <c r="CO44" s="478">
        <f t="shared" si="88"/>
        <v>0.96246834186061792</v>
      </c>
      <c r="CP44" s="478">
        <f t="shared" si="88"/>
        <v>0.95240392772009197</v>
      </c>
      <c r="CQ44" s="479">
        <f t="shared" ref="CQ44" si="89">CQ30/CQ40</f>
        <v>1.0712446351931331</v>
      </c>
      <c r="CR44" s="478">
        <f t="shared" si="88"/>
        <v>1.0758729745700273</v>
      </c>
      <c r="CS44" s="478">
        <f t="shared" si="88"/>
        <v>1.1269276567810367</v>
      </c>
      <c r="CT44" s="478">
        <f t="shared" si="88"/>
        <v>1.0434471838418695</v>
      </c>
      <c r="CU44" s="479">
        <f t="shared" si="88"/>
        <v>1.1649189112636806</v>
      </c>
      <c r="CV44" s="471"/>
      <c r="CW44" s="478"/>
      <c r="CX44" s="478">
        <f t="shared" ref="CX44:DZ44" si="90">CX30/CX40</f>
        <v>0.89025378699183899</v>
      </c>
      <c r="CY44" s="478">
        <f t="shared" si="90"/>
        <v>1.2412327311370903</v>
      </c>
      <c r="CZ44" s="478">
        <f t="shared" si="90"/>
        <v>1.2570769553365488</v>
      </c>
      <c r="DA44" s="478">
        <f t="shared" si="90"/>
        <v>1.1770294521270972</v>
      </c>
      <c r="DB44" s="478">
        <f t="shared" si="90"/>
        <v>1.5692454632282709</v>
      </c>
      <c r="DC44" s="478">
        <f t="shared" si="90"/>
        <v>0.75748819641170662</v>
      </c>
      <c r="DD44" s="478">
        <f t="shared" si="90"/>
        <v>0.53213610586011251</v>
      </c>
      <c r="DE44" s="478">
        <f t="shared" si="90"/>
        <v>0.69720930232558065</v>
      </c>
      <c r="DF44" s="478">
        <f t="shared" si="90"/>
        <v>0.80082417582417353</v>
      </c>
      <c r="DG44" s="478">
        <f t="shared" si="90"/>
        <v>0.91548672566371547</v>
      </c>
      <c r="DH44" s="478">
        <f t="shared" si="90"/>
        <v>1.0757724299900244</v>
      </c>
      <c r="DI44" s="478">
        <f t="shared" si="90"/>
        <v>1.0064137401551017</v>
      </c>
      <c r="DJ44" s="478">
        <f t="shared" si="90"/>
        <v>1.262880539703416</v>
      </c>
      <c r="DK44" s="478">
        <f t="shared" si="90"/>
        <v>0.98998793887035086</v>
      </c>
      <c r="DL44" s="478">
        <f t="shared" si="90"/>
        <v>0.22495044424871297</v>
      </c>
      <c r="DM44" s="478">
        <f t="shared" si="90"/>
        <v>1.4346643256801055</v>
      </c>
      <c r="DN44" s="478">
        <f t="shared" si="90"/>
        <v>2.1437439673693053</v>
      </c>
      <c r="DO44" s="478">
        <f t="shared" si="90"/>
        <v>2.3115427394438783</v>
      </c>
      <c r="DP44" s="478">
        <f t="shared" si="90"/>
        <v>2.8878633956554669</v>
      </c>
      <c r="DQ44" s="478">
        <f t="shared" si="90"/>
        <v>3.2532340253584779</v>
      </c>
      <c r="DR44" s="478">
        <f t="shared" si="90"/>
        <v>3.0467970742494521</v>
      </c>
      <c r="DS44" s="478">
        <f t="shared" si="90"/>
        <v>3.2647694438210833</v>
      </c>
      <c r="DT44" s="478">
        <f t="shared" si="90"/>
        <v>3.8965841215404002</v>
      </c>
      <c r="DU44" s="478">
        <f t="shared" si="90"/>
        <v>4.4109730797351352</v>
      </c>
      <c r="DV44" s="478">
        <f t="shared" si="90"/>
        <v>4.5432429689197802</v>
      </c>
      <c r="DW44" s="478">
        <f t="shared" si="90"/>
        <v>4.6355060632689957</v>
      </c>
      <c r="DX44" s="478">
        <f t="shared" si="90"/>
        <v>4.6951002476387549</v>
      </c>
      <c r="DY44" s="478">
        <f t="shared" si="90"/>
        <v>4.6853023369397224</v>
      </c>
      <c r="DZ44" s="478">
        <f t="shared" si="90"/>
        <v>4.5974685811556624</v>
      </c>
      <c r="EA44" s="480"/>
      <c r="EB44"/>
      <c r="EC44"/>
      <c r="ED44"/>
      <c r="EE44"/>
      <c r="EF44"/>
      <c r="EG44"/>
    </row>
    <row r="45" spans="1:137" s="418" customFormat="1">
      <c r="A45" s="411"/>
      <c r="B45" s="412" t="s">
        <v>293</v>
      </c>
      <c r="C45" s="898"/>
      <c r="D45" s="413"/>
      <c r="E45" s="414"/>
      <c r="F45" s="414"/>
      <c r="G45" s="415"/>
      <c r="H45" s="414">
        <f t="shared" ref="H45:AM45" si="91">H44/D44-1</f>
        <v>-0.30411025145067838</v>
      </c>
      <c r="I45" s="414">
        <f t="shared" si="91"/>
        <v>2.8778864575980778E-2</v>
      </c>
      <c r="J45" s="414">
        <f t="shared" si="91"/>
        <v>0.4442110722157393</v>
      </c>
      <c r="K45" s="415">
        <f t="shared" si="91"/>
        <v>1.2595338983050839</v>
      </c>
      <c r="L45" s="414">
        <f t="shared" si="91"/>
        <v>0.99084511853521917</v>
      </c>
      <c r="M45" s="414">
        <f t="shared" si="91"/>
        <v>0.33061955299140533</v>
      </c>
      <c r="N45" s="414">
        <f t="shared" si="91"/>
        <v>0.12970711297071147</v>
      </c>
      <c r="O45" s="415">
        <f t="shared" si="91"/>
        <v>-0.46259460183510792</v>
      </c>
      <c r="P45" s="414">
        <f t="shared" si="91"/>
        <v>4.882778071567051E-2</v>
      </c>
      <c r="Q45" s="414">
        <f t="shared" si="91"/>
        <v>-0.3271759047182764</v>
      </c>
      <c r="R45" s="414">
        <f t="shared" si="91"/>
        <v>-0.19231520550085957</v>
      </c>
      <c r="S45" s="415">
        <f t="shared" si="91"/>
        <v>0.17208495073156094</v>
      </c>
      <c r="T45" s="414">
        <f t="shared" si="91"/>
        <v>0.20870370370370339</v>
      </c>
      <c r="U45" s="414">
        <f t="shared" si="91"/>
        <v>0.62483878309687846</v>
      </c>
      <c r="V45" s="414">
        <f t="shared" si="91"/>
        <v>0.4058582840813163</v>
      </c>
      <c r="W45" s="415">
        <f t="shared" si="91"/>
        <v>9.687411996617934E-3</v>
      </c>
      <c r="X45" s="414">
        <f t="shared" si="91"/>
        <v>-0.32229303250104513</v>
      </c>
      <c r="Y45" s="414">
        <f t="shared" si="91"/>
        <v>-0.34432036488382978</v>
      </c>
      <c r="Z45" s="414">
        <f t="shared" si="91"/>
        <v>-0.41166037578751724</v>
      </c>
      <c r="AA45" s="415">
        <f t="shared" si="91"/>
        <v>-0.52690855722224417</v>
      </c>
      <c r="AB45" s="414">
        <f t="shared" si="91"/>
        <v>-0.40560322439165497</v>
      </c>
      <c r="AC45" s="414">
        <f t="shared" si="91"/>
        <v>-0.33051850430220964</v>
      </c>
      <c r="AD45" s="414">
        <f t="shared" si="91"/>
        <v>-0.21373785479100926</v>
      </c>
      <c r="AE45" s="415">
        <f t="shared" si="91"/>
        <v>-0.17619822918344463</v>
      </c>
      <c r="AF45" s="414">
        <f t="shared" si="91"/>
        <v>0.1085419752640413</v>
      </c>
      <c r="AG45" s="414">
        <f t="shared" si="91"/>
        <v>0.43400051271394302</v>
      </c>
      <c r="AH45" s="414">
        <f t="shared" si="91"/>
        <v>0.24440617087675998</v>
      </c>
      <c r="AI45" s="415">
        <f t="shared" si="91"/>
        <v>0.43266114953434065</v>
      </c>
      <c r="AJ45" s="414">
        <f t="shared" si="91"/>
        <v>0.39793887704335584</v>
      </c>
      <c r="AK45" s="414">
        <f t="shared" si="91"/>
        <v>-2.692838744579773E-2</v>
      </c>
      <c r="AL45" s="414">
        <f t="shared" si="91"/>
        <v>0.10493017953833239</v>
      </c>
      <c r="AM45" s="415">
        <f t="shared" si="91"/>
        <v>0.18581605303991955</v>
      </c>
      <c r="AN45" s="414">
        <f t="shared" ref="AN45:BS45" si="92">AN44/AJ44-1</f>
        <v>0.10656108597285097</v>
      </c>
      <c r="AO45" s="414">
        <f t="shared" si="92"/>
        <v>0.17335517983789295</v>
      </c>
      <c r="AP45" s="414">
        <f t="shared" si="92"/>
        <v>0.21049554661439052</v>
      </c>
      <c r="AQ45" s="415">
        <f t="shared" si="92"/>
        <v>0.10027416520211196</v>
      </c>
      <c r="AR45" s="414">
        <f t="shared" si="92"/>
        <v>6.8029602827690105E-2</v>
      </c>
      <c r="AS45" s="414">
        <f t="shared" si="92"/>
        <v>0.16514209675114322</v>
      </c>
      <c r="AT45" s="414">
        <f t="shared" si="92"/>
        <v>0.25058713010803602</v>
      </c>
      <c r="AU45" s="415">
        <f t="shared" si="92"/>
        <v>0.22247482692064935</v>
      </c>
      <c r="AV45" s="414">
        <f t="shared" si="92"/>
        <v>8.9010744576998979E-2</v>
      </c>
      <c r="AW45" s="414">
        <f t="shared" si="92"/>
        <v>7.1117163536223549E-2</v>
      </c>
      <c r="AX45" s="414">
        <f t="shared" si="92"/>
        <v>-0.23065882777263846</v>
      </c>
      <c r="AY45" s="415">
        <f t="shared" si="92"/>
        <v>-0.17826405909996967</v>
      </c>
      <c r="AZ45" s="414">
        <f t="shared" si="92"/>
        <v>9.9179995434523383E-2</v>
      </c>
      <c r="BA45" s="414">
        <f t="shared" si="92"/>
        <v>6.1689462365090542E-2</v>
      </c>
      <c r="BB45" s="414">
        <f t="shared" si="92"/>
        <v>0.4859937919523567</v>
      </c>
      <c r="BC45" s="415">
        <f t="shared" si="92"/>
        <v>0.47807574935850194</v>
      </c>
      <c r="BD45" s="414">
        <f t="shared" si="92"/>
        <v>0.28363853673489081</v>
      </c>
      <c r="BE45" s="414">
        <f t="shared" si="92"/>
        <v>0.2174011512827061</v>
      </c>
      <c r="BF45" s="414">
        <f t="shared" si="92"/>
        <v>-0.22071124067412606</v>
      </c>
      <c r="BG45" s="415">
        <f t="shared" si="92"/>
        <v>-1.0056526015266327</v>
      </c>
      <c r="BH45" s="414">
        <f t="shared" si="92"/>
        <v>-1.080575237755697</v>
      </c>
      <c r="BI45" s="414">
        <f t="shared" si="92"/>
        <v>-1.0741297764433186</v>
      </c>
      <c r="BJ45" s="414">
        <f t="shared" si="92"/>
        <v>-0.66742027870896625</v>
      </c>
      <c r="BK45" s="415">
        <f t="shared" si="92"/>
        <v>-101.63709221424665</v>
      </c>
      <c r="BL45" s="414">
        <f t="shared" si="92"/>
        <v>-11.072598267971621</v>
      </c>
      <c r="BM45" s="414">
        <f t="shared" si="92"/>
        <v>-13.799566977238053</v>
      </c>
      <c r="BN45" s="414">
        <f t="shared" si="92"/>
        <v>3.569962189559182</v>
      </c>
      <c r="BO45" s="415">
        <f t="shared" si="92"/>
        <v>1.0288249851814677</v>
      </c>
      <c r="BP45" s="414">
        <f t="shared" si="92"/>
        <v>0.57327744495629096</v>
      </c>
      <c r="BQ45" s="414">
        <f t="shared" si="92"/>
        <v>0.45633293802552943</v>
      </c>
      <c r="BR45" s="414">
        <f t="shared" si="92"/>
        <v>0.65437987653203256</v>
      </c>
      <c r="BS45" s="415">
        <f t="shared" si="92"/>
        <v>0.35184334372541093</v>
      </c>
      <c r="BT45" s="414">
        <f t="shared" ref="BT45:CU45" si="93">BT44/BP44-1</f>
        <v>0.29415969280410392</v>
      </c>
      <c r="BU45" s="414">
        <f t="shared" si="93"/>
        <v>0.25135299568006109</v>
      </c>
      <c r="BV45" s="414">
        <f t="shared" si="93"/>
        <v>-0.22913931202174032</v>
      </c>
      <c r="BW45" s="415">
        <f t="shared" si="93"/>
        <v>1.9884479943513833E-2</v>
      </c>
      <c r="BX45" s="414">
        <f t="shared" si="93"/>
        <v>4.8949432225286582E-2</v>
      </c>
      <c r="BY45" s="414">
        <f t="shared" si="93"/>
        <v>0.1086967135339687</v>
      </c>
      <c r="BZ45" s="414">
        <f t="shared" si="93"/>
        <v>0.65022873392680558</v>
      </c>
      <c r="CA45" s="415">
        <f t="shared" si="93"/>
        <v>0.34510606445240022</v>
      </c>
      <c r="CB45" s="414">
        <f t="shared" si="93"/>
        <v>0.26957349807448505</v>
      </c>
      <c r="CC45" s="414">
        <f t="shared" si="93"/>
        <v>0.18453306240877332</v>
      </c>
      <c r="CD45" s="414">
        <f t="shared" si="93"/>
        <v>0.11998941997907964</v>
      </c>
      <c r="CE45" s="415">
        <f t="shared" si="93"/>
        <v>-4.30484103171489E-2</v>
      </c>
      <c r="CF45" s="414">
        <f t="shared" si="93"/>
        <v>-4.8998921683695018E-2</v>
      </c>
      <c r="CG45" s="414">
        <f t="shared" si="93"/>
        <v>-0.15402813429349826</v>
      </c>
      <c r="CH45" s="414">
        <f t="shared" si="93"/>
        <v>-6.7892959259988173E-2</v>
      </c>
      <c r="CI45" s="415">
        <f t="shared" si="93"/>
        <v>3.3131679255135715E-2</v>
      </c>
      <c r="CJ45" s="414">
        <f t="shared" si="93"/>
        <v>1.8968819943271376E-2</v>
      </c>
      <c r="CK45" s="414">
        <f t="shared" si="93"/>
        <v>0.11739901422214305</v>
      </c>
      <c r="CL45" s="414">
        <f t="shared" si="93"/>
        <v>5.8174849883096957E-2</v>
      </c>
      <c r="CM45" s="415">
        <f t="shared" si="93"/>
        <v>9.3175831904263262E-2</v>
      </c>
      <c r="CN45" s="414">
        <f t="shared" si="93"/>
        <v>0.14168771976045647</v>
      </c>
      <c r="CO45" s="414">
        <f t="shared" si="93"/>
        <v>0.14640614817233222</v>
      </c>
      <c r="CP45" s="414">
        <f t="shared" si="93"/>
        <v>0.22472076001405994</v>
      </c>
      <c r="CQ45" s="415">
        <f t="shared" si="93"/>
        <v>0.26084888473996237</v>
      </c>
      <c r="CR45" s="414">
        <f t="shared" si="93"/>
        <v>0.18038360845850088</v>
      </c>
      <c r="CS45" s="414">
        <f t="shared" si="93"/>
        <v>0.17087244095997001</v>
      </c>
      <c r="CT45" s="414">
        <f t="shared" si="93"/>
        <v>9.5593112829470472E-2</v>
      </c>
      <c r="CU45" s="415">
        <f t="shared" si="93"/>
        <v>8.744433623572756E-2</v>
      </c>
      <c r="CV45" s="416"/>
      <c r="CW45" s="414"/>
      <c r="CX45" s="414"/>
      <c r="CY45" s="414">
        <f t="shared" ref="CY45:DT45" si="94">CY44/CX44-1</f>
        <v>0.39424594343058805</v>
      </c>
      <c r="CZ45" s="414">
        <f t="shared" si="94"/>
        <v>1.2764910078502112E-2</v>
      </c>
      <c r="DA45" s="414">
        <f t="shared" si="94"/>
        <v>-6.3677488374624613E-2</v>
      </c>
      <c r="DB45" s="414">
        <f t="shared" si="94"/>
        <v>0.33322531597860272</v>
      </c>
      <c r="DC45" s="414">
        <f t="shared" si="94"/>
        <v>-0.5172914536560822</v>
      </c>
      <c r="DD45" s="414">
        <f t="shared" si="94"/>
        <v>-0.29749914469837069</v>
      </c>
      <c r="DE45" s="414">
        <f t="shared" si="94"/>
        <v>0.31020860010739892</v>
      </c>
      <c r="DF45" s="414">
        <f t="shared" si="94"/>
        <v>0.14861372783320537</v>
      </c>
      <c r="DG45" s="414">
        <f t="shared" si="94"/>
        <v>0.14318067973102355</v>
      </c>
      <c r="DH45" s="414">
        <f t="shared" si="94"/>
        <v>0.1750824996507776</v>
      </c>
      <c r="DI45" s="414">
        <f t="shared" si="94"/>
        <v>-6.4473384799019207E-2</v>
      </c>
      <c r="DJ45" s="414">
        <f t="shared" si="94"/>
        <v>0.25483237093800937</v>
      </c>
      <c r="DK45" s="414">
        <f t="shared" si="94"/>
        <v>-0.21608742256583757</v>
      </c>
      <c r="DL45" s="414">
        <f t="shared" si="94"/>
        <v>-0.7727745607634392</v>
      </c>
      <c r="DM45" s="414">
        <f t="shared" si="94"/>
        <v>5.3776905641221635</v>
      </c>
      <c r="DN45" s="414">
        <f t="shared" si="94"/>
        <v>0.49424776862215425</v>
      </c>
      <c r="DO45" s="414">
        <f t="shared" si="94"/>
        <v>7.8273699951439291E-2</v>
      </c>
      <c r="DP45" s="414">
        <f t="shared" si="94"/>
        <v>0.24932295058937237</v>
      </c>
      <c r="DQ45" s="414">
        <f t="shared" si="94"/>
        <v>0.12651936038687928</v>
      </c>
      <c r="DR45" s="414">
        <f t="shared" si="94"/>
        <v>-6.3455917865078315E-2</v>
      </c>
      <c r="DS45" s="414">
        <f t="shared" si="94"/>
        <v>7.1541479218902859E-2</v>
      </c>
      <c r="DT45" s="414">
        <f t="shared" si="94"/>
        <v>0.1935250524091654</v>
      </c>
      <c r="DU45" s="414">
        <f t="shared" ref="DU45:DZ45" si="95">(DU44-DT44)/DT44</f>
        <v>0.13201022797151532</v>
      </c>
      <c r="DV45" s="414">
        <f t="shared" si="95"/>
        <v>2.9986555527241481E-2</v>
      </c>
      <c r="DW45" s="414">
        <f t="shared" si="95"/>
        <v>2.0307761433932814E-2</v>
      </c>
      <c r="DX45" s="414">
        <f t="shared" si="95"/>
        <v>1.2856025546374298E-2</v>
      </c>
      <c r="DY45" s="414">
        <f t="shared" si="95"/>
        <v>-2.0868373798749022E-3</v>
      </c>
      <c r="DZ45" s="414">
        <f t="shared" si="95"/>
        <v>-1.8746656985519108E-2</v>
      </c>
      <c r="EA45" s="417"/>
      <c r="EB45"/>
      <c r="EC45"/>
      <c r="ED45"/>
      <c r="EE45"/>
      <c r="EF45"/>
      <c r="EG45"/>
    </row>
    <row r="46" spans="1:137">
      <c r="A46" s="374"/>
      <c r="B46" s="481"/>
      <c r="C46" s="901"/>
      <c r="D46" s="482"/>
      <c r="E46" s="483"/>
      <c r="F46" s="483"/>
      <c r="G46" s="484"/>
      <c r="H46" s="483"/>
      <c r="I46" s="483"/>
      <c r="J46" s="483"/>
      <c r="K46" s="484"/>
      <c r="L46" s="483"/>
      <c r="M46" s="483"/>
      <c r="N46" s="483"/>
      <c r="O46" s="484"/>
      <c r="P46" s="483"/>
      <c r="Q46" s="483"/>
      <c r="R46" s="483"/>
      <c r="S46" s="484"/>
      <c r="T46" s="483"/>
      <c r="U46" s="483"/>
      <c r="V46" s="483"/>
      <c r="W46" s="484"/>
      <c r="X46" s="483"/>
      <c r="Y46" s="483"/>
      <c r="Z46" s="483"/>
      <c r="AA46" s="484"/>
      <c r="AB46" s="483"/>
      <c r="AC46" s="483"/>
      <c r="AD46" s="483"/>
      <c r="AE46" s="484"/>
      <c r="AF46" s="483"/>
      <c r="AG46" s="483"/>
      <c r="AH46" s="483"/>
      <c r="AI46" s="484"/>
      <c r="AJ46" s="483"/>
      <c r="AK46" s="483"/>
      <c r="AL46" s="483"/>
      <c r="AM46" s="484"/>
      <c r="AN46" s="483"/>
      <c r="AO46" s="483"/>
      <c r="AP46" s="483"/>
      <c r="AQ46" s="484"/>
      <c r="AR46" s="483"/>
      <c r="AS46" s="483"/>
      <c r="AT46" s="483"/>
      <c r="AU46" s="484"/>
      <c r="AV46" s="483"/>
      <c r="AW46" s="483"/>
      <c r="AX46" s="483"/>
      <c r="AY46" s="484"/>
      <c r="AZ46" s="483"/>
      <c r="BA46" s="483"/>
      <c r="BB46" s="483"/>
      <c r="BC46" s="484"/>
      <c r="BD46" s="483"/>
      <c r="BE46" s="483"/>
      <c r="BF46" s="483"/>
      <c r="BG46" s="484"/>
      <c r="BH46" s="483"/>
      <c r="BI46" s="483"/>
      <c r="BJ46" s="483"/>
      <c r="BK46" s="484"/>
      <c r="BL46" s="483"/>
      <c r="BM46" s="483"/>
      <c r="BN46" s="483"/>
      <c r="BO46" s="484"/>
      <c r="BP46" s="483"/>
      <c r="BQ46" s="483"/>
      <c r="BR46" s="483"/>
      <c r="BS46" s="484"/>
      <c r="BT46" s="483"/>
      <c r="BU46" s="483"/>
      <c r="BV46" s="483"/>
      <c r="BW46" s="484"/>
      <c r="BX46" s="483"/>
      <c r="BY46" s="483"/>
      <c r="BZ46" s="483"/>
      <c r="CA46" s="484"/>
      <c r="CB46" s="483"/>
      <c r="CC46" s="483"/>
      <c r="CD46" s="483"/>
      <c r="CE46" s="484"/>
      <c r="CF46" s="483"/>
      <c r="CG46" s="483"/>
      <c r="CH46" s="483"/>
      <c r="CI46" s="484"/>
      <c r="CJ46" s="483"/>
      <c r="CK46" s="483"/>
      <c r="CL46" s="483"/>
      <c r="CM46" s="484"/>
      <c r="CN46" s="483"/>
      <c r="CO46" s="483"/>
      <c r="CP46" s="483"/>
      <c r="CQ46" s="484"/>
      <c r="CR46" s="483"/>
      <c r="CS46" s="483"/>
      <c r="CT46" s="483"/>
      <c r="CU46" s="484"/>
      <c r="CV46" s="376"/>
      <c r="CW46" s="483"/>
      <c r="CX46" s="483"/>
      <c r="CY46" s="483"/>
      <c r="CZ46" s="483"/>
      <c r="DA46" s="483"/>
      <c r="DB46" s="483"/>
      <c r="DC46" s="483"/>
      <c r="DD46" s="483"/>
      <c r="DE46" s="483"/>
      <c r="DF46" s="483"/>
      <c r="DG46" s="483"/>
      <c r="DH46" s="483"/>
      <c r="DI46" s="483"/>
      <c r="DJ46" s="483"/>
      <c r="DK46" s="483"/>
      <c r="DL46" s="483"/>
      <c r="DM46" s="483"/>
      <c r="DN46" s="483"/>
      <c r="DO46" s="483"/>
      <c r="DP46" s="483"/>
      <c r="DQ46" s="483"/>
      <c r="DR46" s="483"/>
      <c r="DS46" s="483"/>
      <c r="DT46" s="483"/>
      <c r="DU46" s="483"/>
      <c r="DV46" s="483"/>
      <c r="DW46" s="483"/>
      <c r="DX46" s="483"/>
      <c r="DY46" s="483"/>
      <c r="DZ46" s="483"/>
      <c r="EA46" s="485"/>
    </row>
    <row r="47" spans="1:137" s="410" customFormat="1">
      <c r="A47" s="626"/>
      <c r="B47" s="760" t="s">
        <v>398</v>
      </c>
      <c r="C47" s="900"/>
      <c r="D47" s="761"/>
      <c r="E47" s="762"/>
      <c r="F47" s="762"/>
      <c r="G47" s="763"/>
      <c r="H47" s="762"/>
      <c r="I47" s="762"/>
      <c r="J47" s="762"/>
      <c r="K47" s="763"/>
      <c r="L47" s="762"/>
      <c r="M47" s="762"/>
      <c r="N47" s="762"/>
      <c r="O47" s="763"/>
      <c r="P47" s="762"/>
      <c r="Q47" s="762"/>
      <c r="R47" s="762"/>
      <c r="S47" s="763"/>
      <c r="T47" s="762"/>
      <c r="U47" s="762"/>
      <c r="V47" s="762"/>
      <c r="W47" s="763"/>
      <c r="X47" s="762"/>
      <c r="Y47" s="762"/>
      <c r="Z47" s="762"/>
      <c r="AA47" s="763"/>
      <c r="AB47" s="762"/>
      <c r="AC47" s="762"/>
      <c r="AD47" s="762"/>
      <c r="AE47" s="763"/>
      <c r="AF47" s="762"/>
      <c r="AG47" s="762"/>
      <c r="AH47" s="762"/>
      <c r="AI47" s="763"/>
      <c r="AJ47" s="762"/>
      <c r="AK47" s="762"/>
      <c r="AL47" s="762"/>
      <c r="AM47" s="763"/>
      <c r="AN47" s="762"/>
      <c r="AO47" s="762"/>
      <c r="AP47" s="762"/>
      <c r="AQ47" s="763"/>
      <c r="AR47" s="764">
        <v>41.1</v>
      </c>
      <c r="AS47" s="764">
        <v>40</v>
      </c>
      <c r="AT47" s="764">
        <v>39.9</v>
      </c>
      <c r="AU47" s="765">
        <f>194.3-33.3-AT47-AS47-AR47</f>
        <v>39.999999999999993</v>
      </c>
      <c r="AV47" s="764">
        <f>53.6-7.5</f>
        <v>46.1</v>
      </c>
      <c r="AW47" s="764">
        <f>54.2-6.4</f>
        <v>47.800000000000004</v>
      </c>
      <c r="AX47" s="764">
        <v>46.2</v>
      </c>
      <c r="AY47" s="765">
        <v>47.6</v>
      </c>
      <c r="AZ47" s="764">
        <v>50.9</v>
      </c>
      <c r="BA47" s="764">
        <v>56.7</v>
      </c>
      <c r="BB47" s="764">
        <f>59.3-10.2</f>
        <v>49.099999999999994</v>
      </c>
      <c r="BC47" s="765">
        <f>246.7-35.9-BB47-BA47-AZ47</f>
        <v>54.099999999999987</v>
      </c>
      <c r="BD47" s="764">
        <f>67-9.5</f>
        <v>57.5</v>
      </c>
      <c r="BE47" s="764">
        <f>71.7-13.9</f>
        <v>57.800000000000004</v>
      </c>
      <c r="BF47" s="764">
        <f>78-27.3</f>
        <v>50.7</v>
      </c>
      <c r="BG47" s="765">
        <f>273.4-67.7-BF47-BE47-BD47</f>
        <v>39.699999999999989</v>
      </c>
      <c r="BH47" s="764">
        <f>48.5-16</f>
        <v>32.5</v>
      </c>
      <c r="BI47" s="764">
        <f>50.8-15</f>
        <v>35.799999999999997</v>
      </c>
      <c r="BJ47" s="764">
        <f>51.9-10.5</f>
        <v>41.4</v>
      </c>
      <c r="BK47" s="765">
        <f>219-63.8-BJ47-BI47-BH47</f>
        <v>45.499999999999986</v>
      </c>
      <c r="BL47" s="764">
        <f>52.2-9.9</f>
        <v>42.300000000000004</v>
      </c>
      <c r="BM47" s="764">
        <f>56.2-10.1</f>
        <v>46.1</v>
      </c>
      <c r="BN47" s="764">
        <f>60.5-14.7</f>
        <v>45.8</v>
      </c>
      <c r="BO47" s="765">
        <f>233.2-48.2-BN47-BM47-BL47</f>
        <v>50.79999999999999</v>
      </c>
      <c r="BP47" s="764">
        <f>69.1-8.1</f>
        <v>60.999999999999993</v>
      </c>
      <c r="BQ47" s="764">
        <f>76.1-11.4</f>
        <v>64.699999999999989</v>
      </c>
      <c r="BR47" s="764">
        <f>69.5-11.1</f>
        <v>58.4</v>
      </c>
      <c r="BS47" s="765">
        <f>294.7-51-BR47-BQ47-BP47</f>
        <v>59.6</v>
      </c>
      <c r="BT47" s="764">
        <f>76.2-8.5</f>
        <v>67.7</v>
      </c>
      <c r="BU47" s="764">
        <f>76.7-10.1</f>
        <v>66.600000000000009</v>
      </c>
      <c r="BV47" s="764">
        <f>75.6-11.2</f>
        <v>64.399999999999991</v>
      </c>
      <c r="BW47" s="765">
        <f>309.3-43.4-BV47-BU47-BT47</f>
        <v>67.200000000000031</v>
      </c>
      <c r="BX47" s="764">
        <f>82.2-10.4</f>
        <v>71.8</v>
      </c>
      <c r="BY47" s="764">
        <f>84-11.4</f>
        <v>72.599999999999994</v>
      </c>
      <c r="BZ47" s="764">
        <f>84.7-12.9</f>
        <v>71.8</v>
      </c>
      <c r="CA47" s="765">
        <f>350.4-47.2-BZ47-BY47-BX47</f>
        <v>86.999999999999986</v>
      </c>
      <c r="CB47" s="764">
        <f>94.5-12.5</f>
        <v>82</v>
      </c>
      <c r="CC47" s="764">
        <f>101.5-11.4</f>
        <v>90.1</v>
      </c>
      <c r="CD47" s="764">
        <f>96.1-10.8</f>
        <v>85.3</v>
      </c>
      <c r="CE47" s="765">
        <f>392.8-56.6-CD47-CC47-CB47</f>
        <v>78.799999999999983</v>
      </c>
      <c r="CF47" s="764">
        <f>92.4-17</f>
        <v>75.400000000000006</v>
      </c>
      <c r="CG47" s="764">
        <f>94.2-14.1</f>
        <v>80.100000000000009</v>
      </c>
      <c r="CH47" s="764">
        <f>95.6-20.4</f>
        <v>75.199999999999989</v>
      </c>
      <c r="CI47" s="765">
        <f>386.2-78.8-CH47-CG47-CF47</f>
        <v>76.69999999999996</v>
      </c>
      <c r="CJ47" s="764">
        <f>100.6-15.3</f>
        <v>85.3</v>
      </c>
      <c r="CK47" s="764">
        <f>104.4-19.4</f>
        <v>85</v>
      </c>
      <c r="CL47" s="764">
        <f>106.1-17.5</f>
        <v>88.6</v>
      </c>
      <c r="CM47" s="765">
        <f>417.8-74.6-CL47-CK47-CJ47</f>
        <v>84.300000000000054</v>
      </c>
      <c r="CN47" s="764">
        <f>112-15.6</f>
        <v>96.4</v>
      </c>
      <c r="CO47" s="764">
        <f>119.7-14.8</f>
        <v>104.9</v>
      </c>
      <c r="CP47" s="764">
        <f>115.2-13.7</f>
        <v>101.5</v>
      </c>
      <c r="CQ47" s="763">
        <f>CQ9*CQ48</f>
        <v>90.524000000000015</v>
      </c>
      <c r="CR47" s="762">
        <f>CR9*CR48</f>
        <v>106.67745583631748</v>
      </c>
      <c r="CS47" s="762">
        <f>CS9*CS48</f>
        <v>109.12150562815816</v>
      </c>
      <c r="CT47" s="762">
        <f>CT9*CT48</f>
        <v>104.96160677778535</v>
      </c>
      <c r="CU47" s="763">
        <f>CU9*CU48</f>
        <v>112.05313828636528</v>
      </c>
      <c r="CV47" s="406"/>
      <c r="CW47" s="762"/>
      <c r="CX47" s="762"/>
      <c r="CY47" s="762"/>
      <c r="CZ47" s="762"/>
      <c r="DA47" s="762"/>
      <c r="DB47" s="762"/>
      <c r="DC47" s="762"/>
      <c r="DD47" s="762"/>
      <c r="DE47" s="762"/>
      <c r="DF47" s="762"/>
      <c r="DG47" s="762"/>
      <c r="DH47" s="407">
        <f>SUM(AR47:AU47)</f>
        <v>161</v>
      </c>
      <c r="DI47" s="407">
        <f>SUM(AV47:AY47)</f>
        <v>187.70000000000002</v>
      </c>
      <c r="DJ47" s="407">
        <f>SUM(AZ47:BC47)</f>
        <v>210.79999999999998</v>
      </c>
      <c r="DK47" s="407">
        <f>SUM(BD47:BG47)</f>
        <v>205.7</v>
      </c>
      <c r="DL47" s="407">
        <f>SUM(BH47:BK47)</f>
        <v>155.19999999999999</v>
      </c>
      <c r="DM47" s="407">
        <f>SUM(BL47:BO47)</f>
        <v>184.99999999999997</v>
      </c>
      <c r="DN47" s="407">
        <f>SUM(BP47:BS47)</f>
        <v>243.7</v>
      </c>
      <c r="DO47" s="407">
        <f>SUM(BT47:BW47)</f>
        <v>265.90000000000003</v>
      </c>
      <c r="DP47" s="407">
        <f>SUM(BX47:CA47)</f>
        <v>303.2</v>
      </c>
      <c r="DQ47" s="407">
        <f>SUM(CB47:CE47)</f>
        <v>336.19999999999993</v>
      </c>
      <c r="DR47" s="407">
        <f>SUM(CF47:CI47)</f>
        <v>307.39999999999998</v>
      </c>
      <c r="DS47" s="407">
        <f>SUM(CJ47:CM47)</f>
        <v>343.20000000000005</v>
      </c>
      <c r="DT47" s="407">
        <f>SUM(CN47:CQ47)</f>
        <v>393.32400000000001</v>
      </c>
      <c r="DU47" s="407">
        <f>SUM(CR47:CU47)</f>
        <v>432.81370652862631</v>
      </c>
      <c r="DV47" s="762">
        <f>DV9*DV48</f>
        <v>456.91320501601348</v>
      </c>
      <c r="DW47" s="762">
        <f>DW9*DW48</f>
        <v>478.58683402512145</v>
      </c>
      <c r="DX47" s="762">
        <f>DX9*DX48</f>
        <v>498.34855048710239</v>
      </c>
      <c r="DY47" s="762">
        <f>DY9*DY48</f>
        <v>512.43971495825781</v>
      </c>
      <c r="DZ47" s="762">
        <f t="shared" ref="DZ47" si="96">DZ9*DZ48</f>
        <v>519.51855874525882</v>
      </c>
      <c r="EA47" s="766"/>
      <c r="EB47"/>
      <c r="EC47"/>
      <c r="ED47"/>
      <c r="EE47"/>
      <c r="EF47"/>
      <c r="EG47"/>
    </row>
    <row r="48" spans="1:137" s="418" customFormat="1">
      <c r="A48" s="411"/>
      <c r="B48" s="412" t="s">
        <v>238</v>
      </c>
      <c r="C48" s="898"/>
      <c r="D48" s="413"/>
      <c r="E48" s="414"/>
      <c r="F48" s="414"/>
      <c r="G48" s="415"/>
      <c r="H48" s="414"/>
      <c r="I48" s="414"/>
      <c r="J48" s="414"/>
      <c r="K48" s="415"/>
      <c r="L48" s="414"/>
      <c r="M48" s="414"/>
      <c r="N48" s="414"/>
      <c r="O48" s="415"/>
      <c r="P48" s="414"/>
      <c r="Q48" s="414"/>
      <c r="R48" s="414"/>
      <c r="S48" s="415"/>
      <c r="T48" s="414"/>
      <c r="U48" s="414"/>
      <c r="V48" s="414"/>
      <c r="W48" s="415"/>
      <c r="X48" s="414"/>
      <c r="Y48" s="414"/>
      <c r="Z48" s="414"/>
      <c r="AA48" s="415"/>
      <c r="AB48" s="414"/>
      <c r="AC48" s="414"/>
      <c r="AD48" s="414"/>
      <c r="AE48" s="415"/>
      <c r="AF48" s="414"/>
      <c r="AG48" s="414"/>
      <c r="AH48" s="414"/>
      <c r="AI48" s="415"/>
      <c r="AJ48" s="414"/>
      <c r="AK48" s="414"/>
      <c r="AL48" s="414"/>
      <c r="AM48" s="415"/>
      <c r="AN48" s="414"/>
      <c r="AO48" s="414"/>
      <c r="AP48" s="414"/>
      <c r="AQ48" s="415"/>
      <c r="AR48" s="414">
        <f t="shared" ref="AR48:BW48" si="97">AR47/AR9</f>
        <v>3.7932625749884631E-2</v>
      </c>
      <c r="AS48" s="414">
        <f t="shared" si="97"/>
        <v>3.5990642432967422E-2</v>
      </c>
      <c r="AT48" s="414">
        <f t="shared" si="97"/>
        <v>3.7967456465886382E-2</v>
      </c>
      <c r="AU48" s="415">
        <f t="shared" si="97"/>
        <v>3.8167938931297704E-2</v>
      </c>
      <c r="AV48" s="414">
        <f t="shared" si="97"/>
        <v>3.9906509695290859E-2</v>
      </c>
      <c r="AW48" s="414">
        <f t="shared" si="97"/>
        <v>4.0900145460768374E-2</v>
      </c>
      <c r="AX48" s="414">
        <f t="shared" si="97"/>
        <v>4.3593130779392343E-2</v>
      </c>
      <c r="AY48" s="415">
        <f t="shared" si="97"/>
        <v>3.9610551718398931E-2</v>
      </c>
      <c r="AZ48" s="414">
        <f t="shared" si="97"/>
        <v>3.983408984191579E-2</v>
      </c>
      <c r="BA48" s="414">
        <f t="shared" si="97"/>
        <v>4.1559774243201647E-2</v>
      </c>
      <c r="BB48" s="414">
        <f t="shared" si="97"/>
        <v>3.7378197320341047E-2</v>
      </c>
      <c r="BC48" s="415">
        <f t="shared" si="97"/>
        <v>3.9405637701216391E-2</v>
      </c>
      <c r="BD48" s="414">
        <f t="shared" si="97"/>
        <v>3.8361465074387882E-2</v>
      </c>
      <c r="BE48" s="414">
        <f t="shared" si="97"/>
        <v>3.8111565343531592E-2</v>
      </c>
      <c r="BF48" s="414">
        <f t="shared" si="97"/>
        <v>3.8499506416584402E-2</v>
      </c>
      <c r="BG48" s="415">
        <f t="shared" si="97"/>
        <v>4.2619431025228117E-2</v>
      </c>
      <c r="BH48" s="414">
        <f t="shared" si="97"/>
        <v>3.9658328248932277E-2</v>
      </c>
      <c r="BI48" s="414">
        <f t="shared" si="97"/>
        <v>3.9074437895655963E-2</v>
      </c>
      <c r="BJ48" s="414">
        <f t="shared" si="97"/>
        <v>4.0280210157618214E-2</v>
      </c>
      <c r="BK48" s="415">
        <f t="shared" si="97"/>
        <v>3.797045814904447E-2</v>
      </c>
      <c r="BL48" s="414">
        <f t="shared" si="97"/>
        <v>3.2872241218526582E-2</v>
      </c>
      <c r="BM48" s="414">
        <f t="shared" si="97"/>
        <v>3.2425968910459312E-2</v>
      </c>
      <c r="BN48" s="414">
        <f t="shared" si="97"/>
        <v>3.2461549365653125E-2</v>
      </c>
      <c r="BO48" s="415">
        <f t="shared" si="97"/>
        <v>3.3128994391548185E-2</v>
      </c>
      <c r="BP48" s="414">
        <f t="shared" si="97"/>
        <v>3.5251964863615343E-2</v>
      </c>
      <c r="BQ48" s="414">
        <f t="shared" si="97"/>
        <v>3.5572905212227834E-2</v>
      </c>
      <c r="BR48" s="414">
        <f t="shared" si="97"/>
        <v>3.2592923317334523E-2</v>
      </c>
      <c r="BS48" s="415">
        <f t="shared" si="97"/>
        <v>3.3602074758978404E-2</v>
      </c>
      <c r="BT48" s="414">
        <f t="shared" si="97"/>
        <v>3.5398692810457516E-2</v>
      </c>
      <c r="BU48" s="414">
        <f t="shared" si="97"/>
        <v>3.5875888817065292E-2</v>
      </c>
      <c r="BV48" s="414">
        <f t="shared" si="97"/>
        <v>3.7989617744218968E-2</v>
      </c>
      <c r="BW48" s="415">
        <f t="shared" si="97"/>
        <v>3.9090221627595859E-2</v>
      </c>
      <c r="BX48" s="414">
        <f t="shared" ref="BX48:CP48" si="98">BX47/BX9</f>
        <v>3.8787747825617197E-2</v>
      </c>
      <c r="BY48" s="414">
        <f t="shared" si="98"/>
        <v>3.8333597338824646E-2</v>
      </c>
      <c r="BZ48" s="414">
        <f t="shared" si="98"/>
        <v>3.975196545233086E-2</v>
      </c>
      <c r="CA48" s="415">
        <f t="shared" si="98"/>
        <v>4.6144054312082308E-2</v>
      </c>
      <c r="CB48" s="414">
        <f t="shared" si="98"/>
        <v>3.934552084832782E-2</v>
      </c>
      <c r="CC48" s="414">
        <f t="shared" si="98"/>
        <v>4.1010468821119708E-2</v>
      </c>
      <c r="CD48" s="414">
        <f t="shared" si="98"/>
        <v>4.1976280694847698E-2</v>
      </c>
      <c r="CE48" s="415">
        <f t="shared" si="98"/>
        <v>3.9560218886490278E-2</v>
      </c>
      <c r="CF48" s="414">
        <f t="shared" si="98"/>
        <v>3.8000201592581398E-2</v>
      </c>
      <c r="CG48" s="414">
        <f t="shared" si="98"/>
        <v>3.9421231359811015E-2</v>
      </c>
      <c r="CH48" s="414">
        <f t="shared" si="98"/>
        <v>3.991507430997876E-2</v>
      </c>
      <c r="CI48" s="415">
        <f t="shared" si="98"/>
        <v>3.6126418915736404E-2</v>
      </c>
      <c r="CJ48" s="414">
        <f t="shared" si="98"/>
        <v>3.7600282112315968E-2</v>
      </c>
      <c r="CK48" s="414">
        <f t="shared" si="98"/>
        <v>3.6493216555040363E-2</v>
      </c>
      <c r="CL48" s="414">
        <f t="shared" si="98"/>
        <v>4.0014452172342153E-2</v>
      </c>
      <c r="CM48" s="415">
        <f t="shared" si="98"/>
        <v>3.7317397078353277E-2</v>
      </c>
      <c r="CN48" s="414">
        <f t="shared" si="98"/>
        <v>4.0049854590776902E-2</v>
      </c>
      <c r="CO48" s="414">
        <f t="shared" si="98"/>
        <v>4.3896723438088467E-2</v>
      </c>
      <c r="CP48" s="414">
        <f t="shared" si="98"/>
        <v>4.2008111911265626E-2</v>
      </c>
      <c r="CQ48" s="643">
        <v>3.5000000000000003E-2</v>
      </c>
      <c r="CR48" s="642">
        <v>0.04</v>
      </c>
      <c r="CS48" s="642">
        <f>CR48</f>
        <v>0.04</v>
      </c>
      <c r="CT48" s="642">
        <f>CS48</f>
        <v>0.04</v>
      </c>
      <c r="CU48" s="643">
        <f>CT48</f>
        <v>0.04</v>
      </c>
      <c r="CV48" s="416"/>
      <c r="CW48" s="414"/>
      <c r="CX48" s="414"/>
      <c r="CY48" s="414"/>
      <c r="CZ48" s="414"/>
      <c r="DA48" s="414"/>
      <c r="DB48" s="414"/>
      <c r="DC48" s="414"/>
      <c r="DD48" s="414"/>
      <c r="DE48" s="414"/>
      <c r="DF48" s="414"/>
      <c r="DG48" s="414"/>
      <c r="DH48" s="414">
        <f t="shared" ref="DH48:DU48" si="99">DH47/DH9</f>
        <v>3.7495924356048253E-2</v>
      </c>
      <c r="DI48" s="414">
        <f t="shared" si="99"/>
        <v>4.0934269638417592E-2</v>
      </c>
      <c r="DJ48" s="414">
        <f t="shared" si="99"/>
        <v>3.9560109597267572E-2</v>
      </c>
      <c r="DK48" s="414">
        <f t="shared" si="99"/>
        <v>3.907749007389958E-2</v>
      </c>
      <c r="DL48" s="414">
        <f t="shared" si="99"/>
        <v>3.9174112777020542E-2</v>
      </c>
      <c r="DM48" s="414">
        <f t="shared" si="99"/>
        <v>3.2727144070195301E-2</v>
      </c>
      <c r="DN48" s="414">
        <f t="shared" si="99"/>
        <v>3.4253025426230196E-2</v>
      </c>
      <c r="DO48" s="414">
        <f t="shared" si="99"/>
        <v>3.7016928388461968E-2</v>
      </c>
      <c r="DP48" s="414">
        <f t="shared" si="99"/>
        <v>4.0771320226985444E-2</v>
      </c>
      <c r="DQ48" s="414">
        <f t="shared" si="99"/>
        <v>4.0481150136663008E-2</v>
      </c>
      <c r="DR48" s="414">
        <f t="shared" si="99"/>
        <v>3.831388971981254E-2</v>
      </c>
      <c r="DS48" s="414">
        <f t="shared" si="99"/>
        <v>3.7834858339764091E-2</v>
      </c>
      <c r="DT48" s="414">
        <f t="shared" si="99"/>
        <v>4.0137969038604802E-2</v>
      </c>
      <c r="DU48" s="414">
        <f t="shared" si="99"/>
        <v>0.04</v>
      </c>
      <c r="DV48" s="642">
        <f>DU48</f>
        <v>0.04</v>
      </c>
      <c r="DW48" s="642">
        <f>DV48</f>
        <v>0.04</v>
      </c>
      <c r="DX48" s="642">
        <f>DW48</f>
        <v>0.04</v>
      </c>
      <c r="DY48" s="642">
        <f>DX48</f>
        <v>0.04</v>
      </c>
      <c r="DZ48" s="642">
        <f>DY48</f>
        <v>0.04</v>
      </c>
      <c r="EA48" s="438"/>
      <c r="EB48"/>
      <c r="EC48"/>
      <c r="ED48"/>
      <c r="EE48"/>
      <c r="EF48"/>
      <c r="EG48"/>
    </row>
    <row r="49" spans="1:137">
      <c r="A49" s="374"/>
      <c r="B49" s="481"/>
      <c r="C49" s="901"/>
      <c r="D49" s="482"/>
      <c r="E49" s="483"/>
      <c r="F49" s="483"/>
      <c r="G49" s="484"/>
      <c r="H49" s="483"/>
      <c r="I49" s="483"/>
      <c r="J49" s="483"/>
      <c r="K49" s="484"/>
      <c r="L49" s="483"/>
      <c r="M49" s="483"/>
      <c r="N49" s="483"/>
      <c r="O49" s="484"/>
      <c r="P49" s="483"/>
      <c r="Q49" s="483"/>
      <c r="R49" s="483"/>
      <c r="S49" s="484"/>
      <c r="T49" s="483"/>
      <c r="U49" s="483"/>
      <c r="V49" s="483"/>
      <c r="W49" s="484"/>
      <c r="X49" s="483"/>
      <c r="Y49" s="483"/>
      <c r="Z49" s="483"/>
      <c r="AA49" s="484"/>
      <c r="AB49" s="483"/>
      <c r="AC49" s="483"/>
      <c r="AD49" s="483"/>
      <c r="AE49" s="484"/>
      <c r="AF49" s="483"/>
      <c r="AG49" s="483"/>
      <c r="AH49" s="483"/>
      <c r="AI49" s="484"/>
      <c r="AJ49" s="483"/>
      <c r="AK49" s="483"/>
      <c r="AL49" s="483"/>
      <c r="AM49" s="484"/>
      <c r="AN49" s="483"/>
      <c r="AO49" s="483"/>
      <c r="AP49" s="483"/>
      <c r="AQ49" s="484"/>
      <c r="AR49" s="483"/>
      <c r="AS49" s="483"/>
      <c r="AT49" s="483"/>
      <c r="AU49" s="484"/>
      <c r="AV49" s="483"/>
      <c r="AW49" s="483"/>
      <c r="AX49" s="483"/>
      <c r="AY49" s="484"/>
      <c r="AZ49" s="483"/>
      <c r="BA49" s="483"/>
      <c r="BB49" s="483"/>
      <c r="BC49" s="484"/>
      <c r="BD49" s="483"/>
      <c r="BE49" s="483"/>
      <c r="BF49" s="483"/>
      <c r="BG49" s="484"/>
      <c r="BH49" s="483"/>
      <c r="BI49" s="483"/>
      <c r="BJ49" s="483"/>
      <c r="BK49" s="484"/>
      <c r="BL49" s="483"/>
      <c r="BM49" s="483"/>
      <c r="BN49" s="483"/>
      <c r="BO49" s="484"/>
      <c r="BP49" s="483"/>
      <c r="BQ49" s="483"/>
      <c r="BR49" s="483"/>
      <c r="BS49" s="484"/>
      <c r="BT49" s="483"/>
      <c r="BU49" s="483"/>
      <c r="BV49" s="483"/>
      <c r="BW49" s="484"/>
      <c r="BX49" s="483"/>
      <c r="BY49" s="483"/>
      <c r="BZ49" s="483"/>
      <c r="CA49" s="484"/>
      <c r="CB49" s="483"/>
      <c r="CC49" s="483"/>
      <c r="CD49" s="483"/>
      <c r="CE49" s="484"/>
      <c r="CF49" s="483"/>
      <c r="CG49" s="483"/>
      <c r="CH49" s="483"/>
      <c r="CI49" s="484"/>
      <c r="CJ49" s="483"/>
      <c r="CK49" s="483"/>
      <c r="CL49" s="483"/>
      <c r="CM49" s="484"/>
      <c r="CN49" s="483"/>
      <c r="CO49" s="483"/>
      <c r="CP49" s="483"/>
      <c r="CQ49" s="484"/>
      <c r="CR49" s="483"/>
      <c r="CS49" s="483"/>
      <c r="CT49" s="483"/>
      <c r="CU49" s="484"/>
      <c r="CV49" s="376"/>
      <c r="CW49" s="483"/>
      <c r="CX49" s="483"/>
      <c r="CY49" s="483"/>
      <c r="CZ49" s="483"/>
      <c r="DA49" s="483"/>
      <c r="DB49" s="483"/>
      <c r="DC49" s="483"/>
      <c r="DD49" s="483"/>
      <c r="DE49" s="483"/>
      <c r="DF49" s="483"/>
      <c r="DG49" s="483"/>
      <c r="DH49" s="483"/>
      <c r="DI49" s="483"/>
      <c r="DJ49" s="483"/>
      <c r="DK49" s="483"/>
      <c r="DL49" s="483"/>
      <c r="DM49" s="483"/>
      <c r="DN49" s="483"/>
      <c r="DO49" s="483"/>
      <c r="DP49" s="483"/>
      <c r="DQ49" s="483"/>
      <c r="DR49" s="483"/>
      <c r="DS49" s="483"/>
      <c r="DT49" s="1081"/>
      <c r="DU49" s="1081"/>
      <c r="DV49" s="1081"/>
      <c r="DW49" s="1081"/>
      <c r="DX49" s="483"/>
      <c r="DY49" s="483"/>
      <c r="DZ49" s="483"/>
      <c r="EA49" s="485"/>
    </row>
    <row r="50" spans="1:137" s="474" customFormat="1">
      <c r="A50" s="466"/>
      <c r="B50" s="600" t="s">
        <v>112</v>
      </c>
      <c r="C50" s="903"/>
      <c r="D50" s="468"/>
      <c r="E50" s="469"/>
      <c r="F50" s="469"/>
      <c r="G50" s="470"/>
      <c r="H50" s="469"/>
      <c r="I50" s="469"/>
      <c r="J50" s="469"/>
      <c r="K50" s="470"/>
      <c r="L50" s="469"/>
      <c r="M50" s="469"/>
      <c r="N50" s="469"/>
      <c r="O50" s="470"/>
      <c r="P50" s="469"/>
      <c r="Q50" s="469"/>
      <c r="R50" s="469"/>
      <c r="S50" s="470"/>
      <c r="T50" s="469"/>
      <c r="U50" s="469"/>
      <c r="V50" s="469"/>
      <c r="W50" s="470"/>
      <c r="X50" s="469"/>
      <c r="Y50" s="469"/>
      <c r="Z50" s="469"/>
      <c r="AA50" s="792">
        <v>1.9E-2</v>
      </c>
      <c r="AB50" s="699">
        <v>1.9E-2</v>
      </c>
      <c r="AC50" s="699">
        <v>1.9E-2</v>
      </c>
      <c r="AD50" s="699">
        <v>1.9E-2</v>
      </c>
      <c r="AE50" s="792">
        <v>1.9E-2</v>
      </c>
      <c r="AF50" s="699">
        <v>1.9E-2</v>
      </c>
      <c r="AG50" s="699">
        <v>1.9E-2</v>
      </c>
      <c r="AH50" s="699">
        <v>1.9E-2</v>
      </c>
      <c r="AI50" s="792">
        <v>1.9E-2</v>
      </c>
      <c r="AJ50" s="699">
        <v>2.3E-2</v>
      </c>
      <c r="AK50" s="699">
        <v>2.3E-2</v>
      </c>
      <c r="AL50" s="699">
        <v>2.3E-2</v>
      </c>
      <c r="AM50" s="792">
        <v>2.3E-2</v>
      </c>
      <c r="AN50" s="699">
        <v>3.1E-2</v>
      </c>
      <c r="AO50" s="699">
        <v>3.1E-2</v>
      </c>
      <c r="AP50" s="699">
        <v>3.1E-2</v>
      </c>
      <c r="AQ50" s="792">
        <v>3.1E-2</v>
      </c>
      <c r="AR50" s="699">
        <v>3.5000000000000003E-2</v>
      </c>
      <c r="AS50" s="699">
        <v>3.5000000000000003E-2</v>
      </c>
      <c r="AT50" s="699">
        <v>3.5000000000000003E-2</v>
      </c>
      <c r="AU50" s="792">
        <v>3.5000000000000003E-2</v>
      </c>
      <c r="AV50" s="699">
        <v>0.04</v>
      </c>
      <c r="AW50" s="699">
        <v>0.04</v>
      </c>
      <c r="AX50" s="699">
        <v>0.04</v>
      </c>
      <c r="AY50" s="792">
        <v>0.04</v>
      </c>
      <c r="AZ50" s="699">
        <v>4.2999999999999997E-2</v>
      </c>
      <c r="BA50" s="699">
        <v>4.2999999999999997E-2</v>
      </c>
      <c r="BB50" s="699">
        <v>4.2999999999999997E-2</v>
      </c>
      <c r="BC50" s="792">
        <v>4.2999999999999997E-2</v>
      </c>
      <c r="BD50" s="699">
        <v>5.5E-2</v>
      </c>
      <c r="BE50" s="699">
        <v>5.5E-2</v>
      </c>
      <c r="BF50" s="699">
        <v>5.5E-2</v>
      </c>
      <c r="BG50" s="792">
        <v>5.5E-2</v>
      </c>
      <c r="BH50" s="699">
        <v>0.06</v>
      </c>
      <c r="BI50" s="699">
        <v>0</v>
      </c>
      <c r="BJ50" s="699">
        <v>0</v>
      </c>
      <c r="BK50" s="792">
        <v>0</v>
      </c>
      <c r="BL50" s="699">
        <v>0</v>
      </c>
      <c r="BM50" s="699">
        <v>0</v>
      </c>
      <c r="BN50" s="699">
        <v>0</v>
      </c>
      <c r="BO50" s="792">
        <v>0</v>
      </c>
      <c r="BP50" s="699">
        <v>0</v>
      </c>
      <c r="BQ50" s="699">
        <v>0</v>
      </c>
      <c r="BR50" s="699">
        <v>0</v>
      </c>
      <c r="BS50" s="792">
        <v>0</v>
      </c>
      <c r="BT50" s="699">
        <v>0</v>
      </c>
      <c r="BU50" s="699">
        <v>0</v>
      </c>
      <c r="BV50" s="699">
        <v>0</v>
      </c>
      <c r="BW50" s="792">
        <v>0</v>
      </c>
      <c r="BX50" s="699">
        <v>0</v>
      </c>
      <c r="BY50" s="699">
        <v>0</v>
      </c>
      <c r="BZ50" s="699">
        <v>0.125</v>
      </c>
      <c r="CA50" s="792">
        <v>0.125</v>
      </c>
      <c r="CB50" s="699">
        <v>0.125</v>
      </c>
      <c r="CC50" s="699">
        <v>0.125</v>
      </c>
      <c r="CD50" s="699">
        <v>0.13</v>
      </c>
      <c r="CE50" s="792">
        <v>0.13</v>
      </c>
      <c r="CF50" s="699">
        <v>0.13</v>
      </c>
      <c r="CG50" s="699">
        <v>0.13</v>
      </c>
      <c r="CH50" s="699">
        <v>0.13</v>
      </c>
      <c r="CI50" s="792">
        <v>0.13</v>
      </c>
      <c r="CJ50" s="699">
        <v>0.13</v>
      </c>
      <c r="CK50" s="699">
        <v>0.13</v>
      </c>
      <c r="CL50" s="699">
        <v>0.13</v>
      </c>
      <c r="CM50" s="792">
        <v>0.13</v>
      </c>
      <c r="CN50" s="699">
        <v>0.14000000000000001</v>
      </c>
      <c r="CO50" s="699">
        <v>0.14000000000000001</v>
      </c>
      <c r="CP50" s="699">
        <v>0.14000000000000001</v>
      </c>
      <c r="CQ50" s="792">
        <v>0.14000000000000001</v>
      </c>
      <c r="CR50" s="699">
        <f>CQ50</f>
        <v>0.14000000000000001</v>
      </c>
      <c r="CS50" s="699">
        <f>CR50</f>
        <v>0.14000000000000001</v>
      </c>
      <c r="CT50" s="699">
        <f>CS50</f>
        <v>0.14000000000000001</v>
      </c>
      <c r="CU50" s="792">
        <f>CT50</f>
        <v>0.14000000000000001</v>
      </c>
      <c r="CV50" s="471"/>
      <c r="CW50" s="469"/>
      <c r="CX50" s="469"/>
      <c r="CY50" s="469"/>
      <c r="CZ50" s="469"/>
      <c r="DA50" s="469"/>
      <c r="DB50" s="469"/>
      <c r="DC50" s="469">
        <f>SUM(X50:AA50)</f>
        <v>1.9E-2</v>
      </c>
      <c r="DD50" s="469">
        <f>SUM(AB50:AE50)</f>
        <v>7.5999999999999998E-2</v>
      </c>
      <c r="DE50" s="469">
        <f>SUM(AF50:AI50)</f>
        <v>7.5999999999999998E-2</v>
      </c>
      <c r="DF50" s="469">
        <f>SUM(AJ50:AM50)</f>
        <v>9.1999999999999998E-2</v>
      </c>
      <c r="DG50" s="469">
        <f>SUM(AN50:AQ50)</f>
        <v>0.124</v>
      </c>
      <c r="DH50" s="469">
        <f>SUM(AR50:AU50)</f>
        <v>0.14000000000000001</v>
      </c>
      <c r="DI50" s="469">
        <f>SUM(AV50:AY50)</f>
        <v>0.16</v>
      </c>
      <c r="DJ50" s="469">
        <f>SUM(AZ50:BC50)</f>
        <v>0.17199999999999999</v>
      </c>
      <c r="DK50" s="469">
        <f>SUM(BD50:BG50)</f>
        <v>0.22</v>
      </c>
      <c r="DL50" s="469">
        <f>SUM(BH50:BK50)</f>
        <v>0.06</v>
      </c>
      <c r="DM50" s="469">
        <f>SUM(BL50:BO50)</f>
        <v>0</v>
      </c>
      <c r="DN50" s="469">
        <f>SUM(BP50:BS50)</f>
        <v>0</v>
      </c>
      <c r="DO50" s="469">
        <f>SUM(BT50:BW50)</f>
        <v>0</v>
      </c>
      <c r="DP50" s="469">
        <f>SUM(BX50:CA50)</f>
        <v>0.25</v>
      </c>
      <c r="DQ50" s="469">
        <f>SUM(CB50:CE50)</f>
        <v>0.51</v>
      </c>
      <c r="DR50" s="469">
        <f>SUM(CF50:CI50)</f>
        <v>0.52</v>
      </c>
      <c r="DS50" s="469">
        <f>SUM(CJ50:CM50)</f>
        <v>0.52</v>
      </c>
      <c r="DT50" s="469">
        <f>SUM(CN50:CQ50)</f>
        <v>0.56000000000000005</v>
      </c>
      <c r="DU50" s="469">
        <f>SUM(CR50:CU50)</f>
        <v>0.56000000000000005</v>
      </c>
      <c r="DV50" s="699">
        <f>DU50</f>
        <v>0.56000000000000005</v>
      </c>
      <c r="DW50" s="699">
        <f>DV50</f>
        <v>0.56000000000000005</v>
      </c>
      <c r="DX50" s="699">
        <f>DW50</f>
        <v>0.56000000000000005</v>
      </c>
      <c r="DY50" s="699">
        <f>DX50</f>
        <v>0.56000000000000005</v>
      </c>
      <c r="DZ50" s="699">
        <f>DY50</f>
        <v>0.56000000000000005</v>
      </c>
      <c r="EA50" s="600"/>
      <c r="EB50"/>
      <c r="EC50"/>
      <c r="ED50"/>
      <c r="EE50"/>
      <c r="EF50"/>
      <c r="EG50"/>
    </row>
    <row r="51" spans="1:137" s="418" customFormat="1">
      <c r="A51" s="411"/>
      <c r="B51" s="412" t="s">
        <v>417</v>
      </c>
      <c r="C51" s="898"/>
      <c r="D51" s="413"/>
      <c r="E51" s="414"/>
      <c r="F51" s="414"/>
      <c r="G51" s="415"/>
      <c r="H51" s="414"/>
      <c r="I51" s="414"/>
      <c r="J51" s="414"/>
      <c r="K51" s="415"/>
      <c r="L51" s="414"/>
      <c r="M51" s="414"/>
      <c r="N51" s="414"/>
      <c r="O51" s="415"/>
      <c r="P51" s="414"/>
      <c r="Q51" s="414"/>
      <c r="R51" s="414"/>
      <c r="S51" s="415"/>
      <c r="T51" s="414"/>
      <c r="U51" s="414"/>
      <c r="V51" s="414"/>
      <c r="W51" s="415"/>
      <c r="X51" s="414"/>
      <c r="Y51" s="414"/>
      <c r="Z51" s="414"/>
      <c r="AA51" s="415">
        <f t="shared" ref="AA51:BF51" si="100">-AA165/AA150</f>
        <v>2.925731432858214E-2</v>
      </c>
      <c r="AB51" s="414">
        <f t="shared" si="100"/>
        <v>2.1052631578948113</v>
      </c>
      <c r="AC51" s="414">
        <f t="shared" si="100"/>
        <v>3.6448598130841135E-2</v>
      </c>
      <c r="AD51" s="414">
        <f t="shared" si="100"/>
        <v>5.3571428571428589E-2</v>
      </c>
      <c r="AE51" s="415">
        <f t="shared" si="100"/>
        <v>7.1428571428571508E-2</v>
      </c>
      <c r="AF51" s="414">
        <f t="shared" si="100"/>
        <v>0.12693498452012392</v>
      </c>
      <c r="AG51" s="414">
        <f t="shared" si="100"/>
        <v>4.3820224719101158E-2</v>
      </c>
      <c r="AH51" s="414">
        <f t="shared" si="100"/>
        <v>8.5152838427947644E-2</v>
      </c>
      <c r="AI51" s="415">
        <f t="shared" si="100"/>
        <v>4.347826086956523E-2</v>
      </c>
      <c r="AJ51" s="414">
        <f t="shared" si="100"/>
        <v>0.16438356164383552</v>
      </c>
      <c r="AK51" s="414">
        <f t="shared" si="100"/>
        <v>3.8065027755749388E-2</v>
      </c>
      <c r="AL51" s="414">
        <f t="shared" si="100"/>
        <v>7.5268817204301008E-2</v>
      </c>
      <c r="AM51" s="415">
        <f t="shared" si="100"/>
        <v>5.6647398843930684E-2</v>
      </c>
      <c r="AN51" s="414">
        <f t="shared" si="100"/>
        <v>0.10344827586206889</v>
      </c>
      <c r="AO51" s="414">
        <f t="shared" si="100"/>
        <v>4.5219638242894045E-2</v>
      </c>
      <c r="AP51" s="414">
        <f t="shared" si="100"/>
        <v>7.0564516129032293E-2</v>
      </c>
      <c r="AQ51" s="415">
        <f t="shared" si="100"/>
        <v>6.6100094428706319E-2</v>
      </c>
      <c r="AR51" s="414">
        <f t="shared" si="100"/>
        <v>0.23333333333333311</v>
      </c>
      <c r="AS51" s="414">
        <f t="shared" si="100"/>
        <v>5.8823529411764726E-2</v>
      </c>
      <c r="AT51" s="414">
        <f t="shared" si="100"/>
        <v>7.3684210526315769E-2</v>
      </c>
      <c r="AU51" s="415">
        <f t="shared" si="100"/>
        <v>0.113273106323836</v>
      </c>
      <c r="AV51" s="414">
        <f t="shared" si="100"/>
        <v>0.37837837837837751</v>
      </c>
      <c r="AW51" s="414">
        <f t="shared" si="100"/>
        <v>8.8060507833603446E-2</v>
      </c>
      <c r="AX51" s="414">
        <f t="shared" si="100"/>
        <v>0.24533333333333368</v>
      </c>
      <c r="AY51" s="415">
        <f t="shared" si="100"/>
        <v>4.7257876312718779E-2</v>
      </c>
      <c r="AZ51" s="414">
        <f t="shared" si="100"/>
        <v>0.25060532687651382</v>
      </c>
      <c r="BA51" s="414">
        <f t="shared" si="100"/>
        <v>0.10298295454545461</v>
      </c>
      <c r="BB51" s="414">
        <f t="shared" si="100"/>
        <v>7.2880168185003591E-2</v>
      </c>
      <c r="BC51" s="415">
        <f t="shared" si="100"/>
        <v>4.75989890480202E-2</v>
      </c>
      <c r="BD51" s="414">
        <f t="shared" si="100"/>
        <v>0.28187919463087241</v>
      </c>
      <c r="BE51" s="414">
        <f t="shared" si="100"/>
        <v>8.7227414330218037E-2</v>
      </c>
      <c r="BF51" s="414">
        <f t="shared" si="100"/>
        <v>-0.25000000000000533</v>
      </c>
      <c r="BG51" s="415">
        <f t="shared" ref="BG51:CL51" si="101">-BG165/BG150</f>
        <v>9.4325718496683919E-2</v>
      </c>
      <c r="BH51" s="414">
        <f t="shared" si="101"/>
        <v>0.27058823529411752</v>
      </c>
      <c r="BI51" s="414">
        <f t="shared" si="101"/>
        <v>3.4971644612476406E-2</v>
      </c>
      <c r="BJ51" s="414">
        <f t="shared" si="101"/>
        <v>7.6190476190475869E-3</v>
      </c>
      <c r="BK51" s="415">
        <f t="shared" si="101"/>
        <v>8.0192461908581752E-4</v>
      </c>
      <c r="BL51" s="414">
        <f t="shared" si="101"/>
        <v>7.8003120124805037E-2</v>
      </c>
      <c r="BM51" s="414">
        <f t="shared" si="101"/>
        <v>1.9417475728155342E-2</v>
      </c>
      <c r="BN51" s="414">
        <f t="shared" si="101"/>
        <v>3.8314176245210596E-3</v>
      </c>
      <c r="BO51" s="415">
        <f t="shared" si="101"/>
        <v>1.1936339522546436E-2</v>
      </c>
      <c r="BP51" s="414">
        <f t="shared" si="101"/>
        <v>0</v>
      </c>
      <c r="BQ51" s="414">
        <f t="shared" si="101"/>
        <v>3.1615120274914109E-2</v>
      </c>
      <c r="BR51" s="414">
        <f t="shared" si="101"/>
        <v>4.0268456375838939E-3</v>
      </c>
      <c r="BS51" s="415">
        <f t="shared" si="101"/>
        <v>1.6163334751169711E-2</v>
      </c>
      <c r="BT51" s="414">
        <f t="shared" si="101"/>
        <v>0.38961038961038946</v>
      </c>
      <c r="BU51" s="414">
        <f t="shared" si="101"/>
        <v>8.5930646807139376E-3</v>
      </c>
      <c r="BV51" s="414">
        <f t="shared" si="101"/>
        <v>2.6233174214079898E-2</v>
      </c>
      <c r="BW51" s="415">
        <f t="shared" si="101"/>
        <v>4.165736814699097E-3</v>
      </c>
      <c r="BX51" s="414">
        <f t="shared" si="101"/>
        <v>0.55214723926380427</v>
      </c>
      <c r="BY51" s="414">
        <f t="shared" si="101"/>
        <v>0</v>
      </c>
      <c r="BZ51" s="414">
        <f t="shared" si="101"/>
        <v>9.078212290502792E-2</v>
      </c>
      <c r="CA51" s="415">
        <f t="shared" si="101"/>
        <v>0.13872549019607847</v>
      </c>
      <c r="CB51" s="414">
        <f t="shared" si="101"/>
        <v>0.61206896551724133</v>
      </c>
      <c r="CC51" s="414">
        <f t="shared" si="101"/>
        <v>0.10150107219442456</v>
      </c>
      <c r="CD51" s="414">
        <f t="shared" si="101"/>
        <v>0.13636363636363633</v>
      </c>
      <c r="CE51" s="415">
        <f t="shared" si="101"/>
        <v>0.11463223787167452</v>
      </c>
      <c r="CF51" s="414">
        <f t="shared" si="101"/>
        <v>0.8990825688073405</v>
      </c>
      <c r="CG51" s="414">
        <f t="shared" si="101"/>
        <v>0.10223307745987439</v>
      </c>
      <c r="CH51" s="414">
        <f t="shared" si="101"/>
        <v>0.19350563286944994</v>
      </c>
      <c r="CI51" s="415">
        <f t="shared" si="101"/>
        <v>7.2416394267035458E-2</v>
      </c>
      <c r="CJ51" s="414">
        <f t="shared" si="101"/>
        <v>0.81268011527377348</v>
      </c>
      <c r="CK51" s="414">
        <f t="shared" si="101"/>
        <v>8.5496183206106885E-2</v>
      </c>
      <c r="CL51" s="414">
        <f t="shared" si="101"/>
        <v>0.11953226504980513</v>
      </c>
      <c r="CM51" s="415">
        <f t="shared" ref="CM51:CU51" si="102">-CM165/CM150</f>
        <v>6.6877541798463627E-2</v>
      </c>
      <c r="CN51" s="414">
        <f t="shared" si="102"/>
        <v>0.49253731343283574</v>
      </c>
      <c r="CO51" s="414">
        <f t="shared" si="102"/>
        <v>8.6751254057244043E-2</v>
      </c>
      <c r="CP51" s="414">
        <f t="shared" si="102"/>
        <v>0.13084112149532712</v>
      </c>
      <c r="CQ51" s="415">
        <f t="shared" ref="CQ51" si="103">-CQ165/CQ150</f>
        <v>6.3982746225736853E-2</v>
      </c>
      <c r="CR51" s="414">
        <f t="shared" si="102"/>
        <v>0.61348914807063815</v>
      </c>
      <c r="CS51" s="414">
        <f t="shared" si="102"/>
        <v>7.7376883650841916E-2</v>
      </c>
      <c r="CT51" s="414">
        <f t="shared" si="102"/>
        <v>9.8441808029462383E-2</v>
      </c>
      <c r="CU51" s="415">
        <f t="shared" si="102"/>
        <v>5.8875606398501916E-2</v>
      </c>
      <c r="CV51" s="416"/>
      <c r="CW51" s="414"/>
      <c r="CX51" s="414"/>
      <c r="CY51" s="414"/>
      <c r="CZ51" s="414"/>
      <c r="DA51" s="414"/>
      <c r="DB51" s="414"/>
      <c r="DC51" s="414">
        <f t="shared" ref="DC51:DZ51" si="104">-DC165/DC150</f>
        <v>5.454545454545455E-2</v>
      </c>
      <c r="DD51" s="414">
        <f t="shared" si="104"/>
        <v>6.6470340765671071E-2</v>
      </c>
      <c r="DE51" s="414">
        <f t="shared" si="104"/>
        <v>6.1208875286916632E-2</v>
      </c>
      <c r="DF51" s="414">
        <f t="shared" si="104"/>
        <v>6.321277289019224E-2</v>
      </c>
      <c r="DG51" s="414">
        <f t="shared" si="104"/>
        <v>6.5400843881856532E-2</v>
      </c>
      <c r="DH51" s="414">
        <f t="shared" si="104"/>
        <v>0.10088272383354348</v>
      </c>
      <c r="DI51" s="414">
        <f t="shared" si="104"/>
        <v>0.11716806152454194</v>
      </c>
      <c r="DJ51" s="414">
        <f t="shared" si="104"/>
        <v>9.4283347141673621E-2</v>
      </c>
      <c r="DK51" s="414">
        <f t="shared" si="104"/>
        <v>0.1274950099800399</v>
      </c>
      <c r="DL51" s="414">
        <f t="shared" si="104"/>
        <v>6.4387464387464385E-2</v>
      </c>
      <c r="DM51" s="414">
        <f t="shared" si="104"/>
        <v>2.0226387084802375E-2</v>
      </c>
      <c r="DN51" s="414">
        <f t="shared" si="104"/>
        <v>1.962722394803728E-2</v>
      </c>
      <c r="DO51" s="414">
        <f t="shared" si="104"/>
        <v>2.4923181973369752E-2</v>
      </c>
      <c r="DP51" s="414">
        <f t="shared" si="104"/>
        <v>7.9020589872008884E-2</v>
      </c>
      <c r="DQ51" s="414">
        <f t="shared" si="104"/>
        <v>0.14479920179595909</v>
      </c>
      <c r="DR51" s="414">
        <f t="shared" si="104"/>
        <v>0.13446249567922575</v>
      </c>
      <c r="DS51" s="414">
        <f t="shared" si="104"/>
        <v>0.10949116539538477</v>
      </c>
      <c r="DT51" s="414">
        <f t="shared" si="104"/>
        <v>0.10514276031517408</v>
      </c>
      <c r="DU51" s="414">
        <f t="shared" si="104"/>
        <v>9.6036655058756748E-2</v>
      </c>
      <c r="DV51" s="414">
        <f t="shared" si="104"/>
        <v>7.7473325388031339E-2</v>
      </c>
      <c r="DW51" s="414">
        <f t="shared" si="104"/>
        <v>7.4982295516496475E-2</v>
      </c>
      <c r="DX51" s="414">
        <f t="shared" si="104"/>
        <v>7.311562133002919E-2</v>
      </c>
      <c r="DY51" s="414">
        <f t="shared" si="104"/>
        <v>7.2005953353809882E-2</v>
      </c>
      <c r="DZ51" s="414">
        <f t="shared" si="104"/>
        <v>7.1928591836546499E-2</v>
      </c>
      <c r="EA51" s="417"/>
      <c r="EB51"/>
      <c r="EC51"/>
      <c r="ED51"/>
      <c r="EE51"/>
      <c r="EF51"/>
      <c r="EG51"/>
    </row>
    <row r="52" spans="1:137" s="418" customFormat="1">
      <c r="A52" s="411"/>
      <c r="B52" s="412" t="s">
        <v>416</v>
      </c>
      <c r="C52" s="898"/>
      <c r="D52" s="413"/>
      <c r="E52" s="414"/>
      <c r="F52" s="414"/>
      <c r="G52" s="415"/>
      <c r="H52" s="414"/>
      <c r="I52" s="414"/>
      <c r="J52" s="414"/>
      <c r="K52" s="415"/>
      <c r="L52" s="414"/>
      <c r="M52" s="414"/>
      <c r="N52" s="414"/>
      <c r="O52" s="415"/>
      <c r="P52" s="414"/>
      <c r="Q52" s="414"/>
      <c r="R52" s="414"/>
      <c r="S52" s="415"/>
      <c r="T52" s="414"/>
      <c r="U52" s="414"/>
      <c r="V52" s="414"/>
      <c r="W52" s="415"/>
      <c r="X52" s="414"/>
      <c r="Y52" s="414"/>
      <c r="Z52" s="414"/>
      <c r="AA52" s="415">
        <f t="shared" ref="AA52:BF52" si="105">AA50/AA178</f>
        <v>5.1449163449163407E-2</v>
      </c>
      <c r="AB52" s="414">
        <f t="shared" si="105"/>
        <v>-0.26128104575163286</v>
      </c>
      <c r="AC52" s="414">
        <f t="shared" si="105"/>
        <v>5.4728260869565247E-2</v>
      </c>
      <c r="AD52" s="414">
        <f t="shared" si="105"/>
        <v>0.13337748344370867</v>
      </c>
      <c r="AE52" s="415">
        <f t="shared" si="105"/>
        <v>0.48530120481928057</v>
      </c>
      <c r="AF52" s="414">
        <f t="shared" si="105"/>
        <v>0.654580645161293</v>
      </c>
      <c r="AG52" s="414">
        <f t="shared" si="105"/>
        <v>6.8374581939799395E-2</v>
      </c>
      <c r="AH52" s="414">
        <f t="shared" si="105"/>
        <v>0.20832487309644698</v>
      </c>
      <c r="AI52" s="415">
        <f t="shared" si="105"/>
        <v>0.10961930294906172</v>
      </c>
      <c r="AJ52" s="414">
        <f t="shared" si="105"/>
        <v>1.2644102564102511</v>
      </c>
      <c r="AK52" s="414">
        <f t="shared" si="105"/>
        <v>5.7579676674364866E-2</v>
      </c>
      <c r="AL52" s="414">
        <f t="shared" si="105"/>
        <v>0.19612403100775153</v>
      </c>
      <c r="AM52" s="415">
        <f t="shared" si="105"/>
        <v>0.27501075268817321</v>
      </c>
      <c r="AN52" s="414">
        <f t="shared" si="105"/>
        <v>0.26503816793893081</v>
      </c>
      <c r="AO52" s="414">
        <f t="shared" si="105"/>
        <v>6.2948694869486926E-2</v>
      </c>
      <c r="AP52" s="414">
        <f t="shared" si="105"/>
        <v>0.12400000000000015</v>
      </c>
      <c r="AQ52" s="415">
        <f t="shared" si="105"/>
        <v>0.25471480144404357</v>
      </c>
      <c r="AR52" s="414">
        <f t="shared" si="105"/>
        <v>-1.8607953488372293</v>
      </c>
      <c r="AS52" s="414">
        <f t="shared" si="105"/>
        <v>8.7756359649122859E-2</v>
      </c>
      <c r="AT52" s="414">
        <f t="shared" si="105"/>
        <v>0.51920129032258022</v>
      </c>
      <c r="AU52" s="415">
        <f t="shared" si="105"/>
        <v>0.17042194092827004</v>
      </c>
      <c r="AV52" s="414">
        <f t="shared" si="105"/>
        <v>-1.8482560000000394</v>
      </c>
      <c r="AW52" s="414">
        <f t="shared" si="105"/>
        <v>7.4237439999999988E-2</v>
      </c>
      <c r="AX52" s="414">
        <f t="shared" si="105"/>
        <v>1.3957020674606251</v>
      </c>
      <c r="AY52" s="415">
        <f t="shared" si="105"/>
        <v>0.19714896264437798</v>
      </c>
      <c r="AZ52" s="414">
        <f t="shared" si="105"/>
        <v>0.41478189300411766</v>
      </c>
      <c r="BA52" s="414">
        <f t="shared" si="105"/>
        <v>0.1322738381201046</v>
      </c>
      <c r="BB52" s="414">
        <f t="shared" si="105"/>
        <v>0.1438051558073658</v>
      </c>
      <c r="BC52" s="415">
        <f t="shared" si="105"/>
        <v>7.3669804489500335E-2</v>
      </c>
      <c r="BD52" s="414">
        <f t="shared" si="105"/>
        <v>-14.479177777777915</v>
      </c>
      <c r="BE52" s="414">
        <f t="shared" si="105"/>
        <v>0.12308147448015118</v>
      </c>
      <c r="BF52" s="414">
        <f t="shared" si="105"/>
        <v>-0.12106157495256167</v>
      </c>
      <c r="BG52" s="415">
        <f t="shared" ref="BG52:CL52" si="106">BG50/BG178</f>
        <v>0.40240506329113929</v>
      </c>
      <c r="BH52" s="414">
        <f t="shared" si="106"/>
        <v>0.47358775510204032</v>
      </c>
      <c r="BI52" s="414">
        <f t="shared" si="106"/>
        <v>0</v>
      </c>
      <c r="BJ52" s="414">
        <f t="shared" si="106"/>
        <v>0</v>
      </c>
      <c r="BK52" s="415">
        <f t="shared" si="106"/>
        <v>0</v>
      </c>
      <c r="BL52" s="414">
        <f t="shared" si="106"/>
        <v>0</v>
      </c>
      <c r="BM52" s="414">
        <f t="shared" si="106"/>
        <v>0</v>
      </c>
      <c r="BN52" s="414">
        <f t="shared" si="106"/>
        <v>0</v>
      </c>
      <c r="BO52" s="415">
        <f t="shared" si="106"/>
        <v>0</v>
      </c>
      <c r="BP52" s="414">
        <f t="shared" si="106"/>
        <v>0</v>
      </c>
      <c r="BQ52" s="414">
        <f t="shared" si="106"/>
        <v>0</v>
      </c>
      <c r="BR52" s="414">
        <f t="shared" si="106"/>
        <v>0</v>
      </c>
      <c r="BS52" s="415">
        <f t="shared" si="106"/>
        <v>0</v>
      </c>
      <c r="BT52" s="414">
        <f t="shared" si="106"/>
        <v>0</v>
      </c>
      <c r="BU52" s="414">
        <f t="shared" si="106"/>
        <v>0</v>
      </c>
      <c r="BV52" s="414">
        <f t="shared" si="106"/>
        <v>0</v>
      </c>
      <c r="BW52" s="415">
        <f t="shared" si="106"/>
        <v>0</v>
      </c>
      <c r="BX52" s="414">
        <f t="shared" si="106"/>
        <v>0</v>
      </c>
      <c r="BY52" s="414">
        <f t="shared" si="106"/>
        <v>0</v>
      </c>
      <c r="BZ52" s="414">
        <f t="shared" si="106"/>
        <v>0.25783348254252447</v>
      </c>
      <c r="CA52" s="415">
        <f t="shared" si="106"/>
        <v>0.34111177170035711</v>
      </c>
      <c r="CB52" s="414">
        <f t="shared" si="106"/>
        <v>-0.35917919799498749</v>
      </c>
      <c r="CC52" s="414">
        <f t="shared" si="106"/>
        <v>0.1930648957632817</v>
      </c>
      <c r="CD52" s="414">
        <f t="shared" si="106"/>
        <v>0.37444584382871493</v>
      </c>
      <c r="CE52" s="415">
        <f t="shared" si="106"/>
        <v>0.32751381215469655</v>
      </c>
      <c r="CF52" s="414">
        <f t="shared" si="106"/>
        <v>-0.27514445479962713</v>
      </c>
      <c r="CG52" s="414">
        <f t="shared" si="106"/>
        <v>0.20805049435028244</v>
      </c>
      <c r="CH52" s="414">
        <f t="shared" si="106"/>
        <v>1.7180602339181266</v>
      </c>
      <c r="CI52" s="415">
        <f t="shared" si="106"/>
        <v>0.12114130434782609</v>
      </c>
      <c r="CJ52" s="414">
        <f t="shared" si="106"/>
        <v>-0.40737068965517287</v>
      </c>
      <c r="CK52" s="414">
        <f t="shared" si="106"/>
        <v>0.14290304414003044</v>
      </c>
      <c r="CL52" s="414">
        <f t="shared" si="106"/>
        <v>0.25080848375451287</v>
      </c>
      <c r="CM52" s="415">
        <f t="shared" ref="CM52:CU52" si="107">CM50/CM178</f>
        <v>9.2638140161725058E-2</v>
      </c>
      <c r="CN52" s="414">
        <f t="shared" si="107"/>
        <v>-0.42086458923512754</v>
      </c>
      <c r="CO52" s="414">
        <f t="shared" si="107"/>
        <v>0.13732337662337665</v>
      </c>
      <c r="CP52" s="414">
        <f t="shared" si="107"/>
        <v>0.3311863228699552</v>
      </c>
      <c r="CQ52" s="415">
        <f t="shared" ref="CQ52" si="108">CQ50/CQ178</f>
        <v>7.6037296037296045E-2</v>
      </c>
      <c r="CR52" s="414">
        <f t="shared" si="107"/>
        <v>-0.29657666672833699</v>
      </c>
      <c r="CS52" s="414">
        <f t="shared" si="107"/>
        <v>0.12826857580358667</v>
      </c>
      <c r="CT52" s="414">
        <f t="shared" si="107"/>
        <v>0.19173154314021065</v>
      </c>
      <c r="CU52" s="415">
        <f t="shared" si="107"/>
        <v>9.314445721371685E-2</v>
      </c>
      <c r="CV52" s="416"/>
      <c r="CW52" s="414"/>
      <c r="CX52" s="414"/>
      <c r="CY52" s="414"/>
      <c r="CZ52" s="414"/>
      <c r="DA52" s="414"/>
      <c r="DB52" s="414"/>
      <c r="DC52" s="414">
        <f t="shared" ref="DC52:DZ52" si="109">DC50/DC178</f>
        <v>3.2348874598070732E-2</v>
      </c>
      <c r="DD52" s="414">
        <f t="shared" si="109"/>
        <v>0.16613223140495897</v>
      </c>
      <c r="DE52" s="414">
        <f t="shared" si="109"/>
        <v>0.13284552845528472</v>
      </c>
      <c r="DF52" s="414">
        <f t="shared" si="109"/>
        <v>0.14894588584136395</v>
      </c>
      <c r="DG52" s="414">
        <f t="shared" si="109"/>
        <v>0.12640505187189896</v>
      </c>
      <c r="DH52" s="414">
        <f t="shared" si="109"/>
        <v>0.2144887850467288</v>
      </c>
      <c r="DI52" s="414">
        <f t="shared" si="109"/>
        <v>0.21343705408515534</v>
      </c>
      <c r="DJ52" s="414">
        <f t="shared" si="109"/>
        <v>0.13093611111111125</v>
      </c>
      <c r="DK52" s="414">
        <f t="shared" si="109"/>
        <v>1.6568864951768445</v>
      </c>
      <c r="DL52" s="414">
        <f t="shared" si="109"/>
        <v>7.8394860335195507E-2</v>
      </c>
      <c r="DM52" s="414">
        <f t="shared" si="109"/>
        <v>0</v>
      </c>
      <c r="DN52" s="414">
        <f t="shared" si="109"/>
        <v>0</v>
      </c>
      <c r="DO52" s="414">
        <f t="shared" si="109"/>
        <v>0</v>
      </c>
      <c r="DP52" s="414">
        <f t="shared" si="109"/>
        <v>0.19213039867109624</v>
      </c>
      <c r="DQ52" s="414">
        <f t="shared" si="109"/>
        <v>0.48889415829145749</v>
      </c>
      <c r="DR52" s="414">
        <f t="shared" si="109"/>
        <v>0.40378107364074339</v>
      </c>
      <c r="DS52" s="414">
        <f t="shared" si="109"/>
        <v>0.20893995514857033</v>
      </c>
      <c r="DT52" s="414">
        <f t="shared" si="109"/>
        <v>0.19058484604223758</v>
      </c>
      <c r="DU52" s="414">
        <f t="shared" si="109"/>
        <v>0.19672006155954258</v>
      </c>
      <c r="DV52" s="414">
        <f t="shared" si="109"/>
        <v>0.14192335295549477</v>
      </c>
      <c r="DW52" s="414">
        <f t="shared" si="109"/>
        <v>0.13895016410389729</v>
      </c>
      <c r="DX52" s="414">
        <f t="shared" si="109"/>
        <v>0.13729109439324877</v>
      </c>
      <c r="DY52" s="414">
        <f t="shared" si="109"/>
        <v>0.13672792705272538</v>
      </c>
      <c r="DZ52" s="414">
        <f t="shared" si="109"/>
        <v>0.13816125894853487</v>
      </c>
      <c r="EA52" s="417"/>
      <c r="EB52"/>
      <c r="EC52"/>
      <c r="ED52"/>
      <c r="EE52"/>
      <c r="EF52"/>
      <c r="EG52"/>
    </row>
    <row r="53" spans="1:137">
      <c r="A53" s="374"/>
      <c r="B53" s="488"/>
      <c r="C53" s="901"/>
      <c r="D53" s="489"/>
      <c r="E53" s="490"/>
      <c r="F53" s="490"/>
      <c r="G53" s="491"/>
      <c r="H53" s="490"/>
      <c r="I53" s="490"/>
      <c r="J53" s="490"/>
      <c r="K53" s="491"/>
      <c r="L53" s="490"/>
      <c r="M53" s="490"/>
      <c r="N53" s="490"/>
      <c r="O53" s="491"/>
      <c r="P53" s="490"/>
      <c r="Q53" s="490"/>
      <c r="R53" s="490"/>
      <c r="S53" s="491"/>
      <c r="T53" s="490"/>
      <c r="U53" s="490"/>
      <c r="V53" s="490"/>
      <c r="W53" s="491"/>
      <c r="X53" s="490"/>
      <c r="Y53" s="490"/>
      <c r="Z53" s="490"/>
      <c r="AA53" s="491"/>
      <c r="AB53" s="490"/>
      <c r="AC53" s="490"/>
      <c r="AD53" s="490"/>
      <c r="AE53" s="491"/>
      <c r="AF53" s="490"/>
      <c r="AG53" s="490"/>
      <c r="AH53" s="490"/>
      <c r="AI53" s="491"/>
      <c r="AJ53" s="490"/>
      <c r="AK53" s="490"/>
      <c r="AL53" s="490"/>
      <c r="AM53" s="491"/>
      <c r="AN53" s="490"/>
      <c r="AO53" s="490"/>
      <c r="AP53" s="490"/>
      <c r="AQ53" s="491"/>
      <c r="AR53" s="490"/>
      <c r="AS53" s="490"/>
      <c r="AT53" s="490"/>
      <c r="AU53" s="491"/>
      <c r="AV53" s="490"/>
      <c r="AW53" s="490"/>
      <c r="AX53" s="490"/>
      <c r="AY53" s="491"/>
      <c r="AZ53" s="490"/>
      <c r="BA53" s="490"/>
      <c r="BB53" s="490"/>
      <c r="BC53" s="491"/>
      <c r="BD53" s="490"/>
      <c r="BE53" s="490"/>
      <c r="BF53" s="490"/>
      <c r="BG53" s="491"/>
      <c r="BH53" s="490"/>
      <c r="BI53" s="490"/>
      <c r="BJ53" s="490"/>
      <c r="BK53" s="491"/>
      <c r="BL53" s="490"/>
      <c r="BM53" s="490"/>
      <c r="BN53" s="490"/>
      <c r="BO53" s="491"/>
      <c r="BP53" s="490"/>
      <c r="BQ53" s="490"/>
      <c r="BR53" s="490"/>
      <c r="BS53" s="491"/>
      <c r="BT53" s="490"/>
      <c r="BU53" s="490"/>
      <c r="BV53" s="490"/>
      <c r="BW53" s="491"/>
      <c r="BX53" s="490"/>
      <c r="BY53" s="490"/>
      <c r="BZ53" s="490"/>
      <c r="CA53" s="491"/>
      <c r="CB53" s="490"/>
      <c r="CC53" s="490"/>
      <c r="CD53" s="490"/>
      <c r="CE53" s="491"/>
      <c r="CF53" s="490"/>
      <c r="CG53" s="490"/>
      <c r="CH53" s="490"/>
      <c r="CI53" s="491"/>
      <c r="CJ53" s="490"/>
      <c r="CK53" s="490"/>
      <c r="CL53" s="490"/>
      <c r="CM53" s="491"/>
      <c r="CN53" s="488"/>
      <c r="CO53" s="488"/>
      <c r="CP53" s="490"/>
      <c r="CQ53" s="491"/>
      <c r="CR53" s="488"/>
      <c r="CS53" s="488"/>
      <c r="CT53" s="488"/>
      <c r="CU53" s="492"/>
      <c r="CV53" s="376"/>
      <c r="CW53" s="488"/>
      <c r="CX53" s="490"/>
      <c r="CY53" s="490"/>
      <c r="CZ53" s="490"/>
      <c r="DA53" s="490"/>
      <c r="DB53" s="490"/>
      <c r="DC53" s="490"/>
      <c r="DD53" s="490"/>
      <c r="DE53" s="490"/>
      <c r="DF53" s="490"/>
      <c r="DG53" s="490"/>
      <c r="DH53" s="490"/>
      <c r="DI53" s="490"/>
      <c r="DJ53" s="490"/>
      <c r="DK53" s="490"/>
      <c r="DL53" s="490"/>
      <c r="DM53" s="490"/>
      <c r="DN53" s="490"/>
      <c r="DO53" s="490"/>
      <c r="DP53" s="488"/>
      <c r="DQ53" s="488"/>
      <c r="DR53" s="488"/>
      <c r="DS53" s="488"/>
      <c r="DT53" s="488"/>
      <c r="DU53" s="488"/>
      <c r="DV53" s="488"/>
      <c r="DW53" s="488"/>
      <c r="DX53" s="488"/>
      <c r="DY53" s="488"/>
      <c r="DZ53" s="488"/>
      <c r="EA53" s="493"/>
    </row>
    <row r="54" spans="1:137" s="803" customFormat="1">
      <c r="A54" s="795"/>
      <c r="B54" s="804" t="s">
        <v>369</v>
      </c>
      <c r="C54" s="905"/>
      <c r="D54" s="797"/>
      <c r="E54" s="798"/>
      <c r="F54" s="798"/>
      <c r="G54" s="799"/>
      <c r="H54" s="798"/>
      <c r="I54" s="798"/>
      <c r="J54" s="798"/>
      <c r="K54" s="799"/>
      <c r="L54" s="798"/>
      <c r="M54" s="798"/>
      <c r="N54" s="798"/>
      <c r="O54" s="799"/>
      <c r="P54" s="798"/>
      <c r="Q54" s="798"/>
      <c r="R54" s="798"/>
      <c r="S54" s="799"/>
      <c r="T54" s="798"/>
      <c r="U54" s="798"/>
      <c r="V54" s="798"/>
      <c r="W54" s="799"/>
      <c r="X54" s="798"/>
      <c r="Y54" s="798"/>
      <c r="Z54" s="798"/>
      <c r="AA54" s="799"/>
      <c r="AB54" s="798"/>
      <c r="AC54" s="798"/>
      <c r="AD54" s="798"/>
      <c r="AE54" s="799"/>
      <c r="AF54" s="798"/>
      <c r="AG54" s="798"/>
      <c r="AH54" s="798"/>
      <c r="AI54" s="799"/>
      <c r="AJ54" s="798"/>
      <c r="AK54" s="798"/>
      <c r="AL54" s="798"/>
      <c r="AM54" s="799"/>
      <c r="AN54" s="798"/>
      <c r="AO54" s="798"/>
      <c r="AP54" s="798"/>
      <c r="AQ54" s="799"/>
      <c r="AR54" s="798"/>
      <c r="AS54" s="798"/>
      <c r="AT54" s="798"/>
      <c r="AU54" s="799"/>
      <c r="AV54" s="798"/>
      <c r="AW54" s="798"/>
      <c r="AX54" s="798"/>
      <c r="AY54" s="799"/>
      <c r="AZ54" s="798"/>
      <c r="BA54" s="798">
        <f>BA55*BA56</f>
        <v>16.253640000000001</v>
      </c>
      <c r="BB54" s="798">
        <f>BB55*BB56</f>
        <v>21.469391999999996</v>
      </c>
      <c r="BC54" s="799">
        <f>BC55*BC56</f>
        <v>9.2409479999999995</v>
      </c>
      <c r="BD54" s="798">
        <f>BD55*BD56</f>
        <v>13.495680000000002</v>
      </c>
      <c r="BE54" s="800">
        <f>0.1473*45.64+0.0368*52.54+0.117195*47.63</f>
        <v>14.238241849999998</v>
      </c>
      <c r="BF54" s="798">
        <v>0</v>
      </c>
      <c r="BG54" s="813">
        <f>0.23*23.81+0.0855*23.04</f>
        <v>7.4462200000000003</v>
      </c>
      <c r="BH54" s="800">
        <v>0</v>
      </c>
      <c r="BI54" s="800">
        <v>0</v>
      </c>
      <c r="BJ54" s="800">
        <v>0</v>
      </c>
      <c r="BK54" s="813">
        <v>0</v>
      </c>
      <c r="BL54" s="800">
        <v>0</v>
      </c>
      <c r="BM54" s="800">
        <f>2.3913*38.03+1.6714*38.23</f>
        <v>154.83876100000001</v>
      </c>
      <c r="BN54" s="800">
        <f>0.5101*44.43+0.4466*48</f>
        <v>44.100543000000002</v>
      </c>
      <c r="BO54" s="813">
        <f>0.2143*53.85+1.0324*58.92+0.875*68.4</f>
        <v>132.21906300000001</v>
      </c>
      <c r="BP54" s="800">
        <f>0.5*70.29+0.77423*74.41+1.2591*75.8</f>
        <v>188.19523429999998</v>
      </c>
      <c r="BQ54" s="800">
        <f>1.0159*74.05</f>
        <v>75.227395000000001</v>
      </c>
      <c r="BR54" s="800">
        <v>0</v>
      </c>
      <c r="BS54" s="813">
        <f>1.4008*63.61</f>
        <v>89.104888000000003</v>
      </c>
      <c r="BT54" s="800">
        <v>0</v>
      </c>
      <c r="BU54" s="800">
        <f>0.254794*79.72+2.1009*76.04+0.3*67.3</f>
        <v>200.25461368000001</v>
      </c>
      <c r="BV54" s="800">
        <v>0</v>
      </c>
      <c r="BW54" s="813">
        <f>1.1881*63.14+0.3119*66.05</f>
        <v>95.617628999999994</v>
      </c>
      <c r="BX54" s="800">
        <f>0.651524*76.72</f>
        <v>49.984921280000002</v>
      </c>
      <c r="BY54" s="800">
        <f>0.406765*82.49+0.796964*83.91</f>
        <v>100.42729408999999</v>
      </c>
      <c r="BZ54" s="800">
        <f>0.39*97.36+0.3763*98.37</f>
        <v>74.987031000000002</v>
      </c>
      <c r="CA54" s="813">
        <v>0</v>
      </c>
      <c r="CB54" s="800">
        <f>0</f>
        <v>0</v>
      </c>
      <c r="CC54" s="800">
        <f>0.2976*59.66+0.113793*63.63</f>
        <v>24.995464589999997</v>
      </c>
      <c r="CD54" s="800">
        <f>1.05405*61.67</f>
        <v>65.003263500000003</v>
      </c>
      <c r="CE54" s="813">
        <f>0.952104*52.52</f>
        <v>50.004502080000002</v>
      </c>
      <c r="CF54" s="800">
        <f>0.081475*61.33+0.543781*60.14</f>
        <v>37.699851089999996</v>
      </c>
      <c r="CG54" s="800">
        <f>0.38166*60.72+0.03381*59.14</f>
        <v>25.1739186</v>
      </c>
      <c r="CH54" s="800">
        <f>0.8*46.09+0.839*42.12</f>
        <v>72.210679999999996</v>
      </c>
      <c r="CI54" s="813">
        <f>0.661*43.44+2.233443*42.04+2.500134*42.09</f>
        <v>227.83842378000003</v>
      </c>
      <c r="CJ54" s="800">
        <f>0.864701*32.65+0.783287*30.63+0.431137*35.75</f>
        <v>67.637716210000008</v>
      </c>
      <c r="CK54" s="800">
        <f>0.377317*36.39+1.4061*33.67+1.515655*32.3</f>
        <v>110.02960913</v>
      </c>
      <c r="CL54" s="800">
        <f>0.779517*30.4+0.62994*33.7+0.472324*34.92</f>
        <v>61.419848880000011</v>
      </c>
      <c r="CM54" s="813">
        <f>0.467225*35.09+0.471412*35+0.070935*38.07</f>
        <v>35.594840699999999</v>
      </c>
      <c r="CN54" s="812">
        <f>0.261664*42.02+0.545228*42.17</f>
        <v>33.987386040000004</v>
      </c>
      <c r="CO54" s="812">
        <f>0.642481*39.23+0.340134*41.27+0.311565*42.36</f>
        <v>52.439753209999992</v>
      </c>
      <c r="CP54" s="800">
        <f>0.264258*45.41+0.03438*45.9</f>
        <v>13.577997779999999</v>
      </c>
      <c r="CQ54" s="813">
        <f>-CQ163</f>
        <v>0</v>
      </c>
      <c r="CR54" s="812">
        <v>25</v>
      </c>
      <c r="CS54" s="812">
        <f>CR54</f>
        <v>25</v>
      </c>
      <c r="CT54" s="812">
        <f>CS54</f>
        <v>25</v>
      </c>
      <c r="CU54" s="972">
        <f>CT54</f>
        <v>25</v>
      </c>
      <c r="CV54" s="802"/>
      <c r="CW54" s="796"/>
      <c r="CX54" s="798"/>
      <c r="CY54" s="798"/>
      <c r="CZ54" s="798"/>
      <c r="DA54" s="798"/>
      <c r="DB54" s="798"/>
      <c r="DC54" s="798"/>
      <c r="DD54" s="798"/>
      <c r="DE54" s="798"/>
      <c r="DF54" s="798"/>
      <c r="DG54" s="798"/>
      <c r="DH54" s="798"/>
      <c r="DI54" s="798"/>
      <c r="DJ54" s="798">
        <f>SUM(AZ54:BC54)</f>
        <v>46.963979999999992</v>
      </c>
      <c r="DK54" s="798">
        <f>SUM(BD54:BG54)</f>
        <v>35.180141849999998</v>
      </c>
      <c r="DL54" s="798">
        <f>SUM(BH54:BK54)</f>
        <v>0</v>
      </c>
      <c r="DM54" s="798">
        <f>SUM(BL54:BO54)</f>
        <v>331.158367</v>
      </c>
      <c r="DN54" s="798">
        <f>SUM(BP54:BS54)</f>
        <v>352.5275173</v>
      </c>
      <c r="DO54" s="798">
        <f>SUM(BT54:BW54)</f>
        <v>295.87224268</v>
      </c>
      <c r="DP54" s="796">
        <f>SUM(BX54:CA54)</f>
        <v>225.39924636999999</v>
      </c>
      <c r="DQ54" s="796">
        <f>SUM(CB54:CE54)</f>
        <v>140.00323016999999</v>
      </c>
      <c r="DR54" s="796">
        <f>SUM(CF54:CI54)</f>
        <v>362.92287347000001</v>
      </c>
      <c r="DS54" s="796">
        <f>SUM(CJ54:CM54)</f>
        <v>274.68201492000003</v>
      </c>
      <c r="DT54" s="796">
        <f>SUM(CN54:CQ54)</f>
        <v>100.00513703</v>
      </c>
      <c r="DU54" s="796">
        <f>SUM(CR54:CU54)</f>
        <v>100</v>
      </c>
      <c r="DV54" s="812">
        <v>0</v>
      </c>
      <c r="DW54" s="812">
        <f>DV54</f>
        <v>0</v>
      </c>
      <c r="DX54" s="812">
        <f>DW54</f>
        <v>0</v>
      </c>
      <c r="DY54" s="812">
        <f>DX54</f>
        <v>0</v>
      </c>
      <c r="DZ54" s="812">
        <f>DY54</f>
        <v>0</v>
      </c>
      <c r="EA54" s="798"/>
      <c r="EB54"/>
      <c r="EC54"/>
      <c r="ED54"/>
      <c r="EE54"/>
      <c r="EF54"/>
      <c r="EG54"/>
    </row>
    <row r="55" spans="1:137" s="803" customFormat="1">
      <c r="A55" s="795"/>
      <c r="B55" s="793" t="s">
        <v>370</v>
      </c>
      <c r="C55" s="905"/>
      <c r="D55" s="797"/>
      <c r="E55" s="798"/>
      <c r="F55" s="798"/>
      <c r="G55" s="799"/>
      <c r="H55" s="798"/>
      <c r="I55" s="798"/>
      <c r="J55" s="798"/>
      <c r="K55" s="799"/>
      <c r="L55" s="798"/>
      <c r="M55" s="798"/>
      <c r="N55" s="798"/>
      <c r="O55" s="799"/>
      <c r="P55" s="798"/>
      <c r="Q55" s="798"/>
      <c r="R55" s="798"/>
      <c r="S55" s="799"/>
      <c r="T55" s="798"/>
      <c r="U55" s="798"/>
      <c r="V55" s="798"/>
      <c r="W55" s="799"/>
      <c r="X55" s="798"/>
      <c r="Y55" s="798"/>
      <c r="Z55" s="798"/>
      <c r="AA55" s="799"/>
      <c r="AB55" s="798"/>
      <c r="AC55" s="798"/>
      <c r="AD55" s="798"/>
      <c r="AE55" s="799"/>
      <c r="AF55" s="798"/>
      <c r="AG55" s="798"/>
      <c r="AH55" s="798"/>
      <c r="AI55" s="799"/>
      <c r="AJ55" s="798"/>
      <c r="AK55" s="798"/>
      <c r="AL55" s="798"/>
      <c r="AM55" s="799"/>
      <c r="AN55" s="798"/>
      <c r="AO55" s="798"/>
      <c r="AP55" s="798"/>
      <c r="AQ55" s="799"/>
      <c r="AR55" s="798"/>
      <c r="AS55" s="798"/>
      <c r="AT55" s="798"/>
      <c r="AU55" s="799"/>
      <c r="AV55" s="798"/>
      <c r="AW55" s="798"/>
      <c r="AX55" s="798"/>
      <c r="AY55" s="799"/>
      <c r="AZ55" s="798"/>
      <c r="BA55" s="800">
        <v>0.1963</v>
      </c>
      <c r="BB55" s="800">
        <v>0.25269999999999998</v>
      </c>
      <c r="BC55" s="813">
        <v>0.19259999999999999</v>
      </c>
      <c r="BD55" s="800">
        <v>0.31680000000000003</v>
      </c>
      <c r="BE55" s="800">
        <f>0.1473+0.0368+0.117195</f>
        <v>0.30129499999999998</v>
      </c>
      <c r="BF55" s="798">
        <v>0</v>
      </c>
      <c r="BG55" s="813">
        <f>0.23+0.0855</f>
        <v>0.3155</v>
      </c>
      <c r="BH55" s="800">
        <v>0</v>
      </c>
      <c r="BI55" s="800">
        <v>0</v>
      </c>
      <c r="BJ55" s="800">
        <v>0</v>
      </c>
      <c r="BK55" s="813">
        <v>0</v>
      </c>
      <c r="BL55" s="800">
        <v>0</v>
      </c>
      <c r="BM55" s="800">
        <f>2.3913+1.6714</f>
        <v>4.0627000000000004</v>
      </c>
      <c r="BN55" s="800">
        <f>0.5101+0.4466</f>
        <v>0.95669999999999999</v>
      </c>
      <c r="BO55" s="813">
        <f>0.2143+1.0324+0.875</f>
        <v>2.1216999999999997</v>
      </c>
      <c r="BP55" s="800">
        <f>0.5+0.77423+1.2591</f>
        <v>2.5333300000000003</v>
      </c>
      <c r="BQ55" s="800">
        <v>1.0159</v>
      </c>
      <c r="BR55" s="800">
        <v>0</v>
      </c>
      <c r="BS55" s="813">
        <v>1.4008</v>
      </c>
      <c r="BT55" s="800">
        <v>0</v>
      </c>
      <c r="BU55" s="800">
        <f>0.254794+2.1009+0.3</f>
        <v>2.655694</v>
      </c>
      <c r="BV55" s="800">
        <v>0</v>
      </c>
      <c r="BW55" s="813">
        <f>1.1881+0.3119</f>
        <v>1.5</v>
      </c>
      <c r="BX55" s="800">
        <f>0.651524</f>
        <v>0.65152399999999999</v>
      </c>
      <c r="BY55" s="800">
        <f>0.406765+0.796964</f>
        <v>1.203729</v>
      </c>
      <c r="BZ55" s="800">
        <f>0+0.39+0.3763</f>
        <v>0.76629999999999998</v>
      </c>
      <c r="CA55" s="813">
        <v>0</v>
      </c>
      <c r="CB55" s="800">
        <f>0</f>
        <v>0</v>
      </c>
      <c r="CC55" s="800">
        <f>0+0.2976+0.113793</f>
        <v>0.41139300000000001</v>
      </c>
      <c r="CD55" s="800">
        <f>0+1.05405+0</f>
        <v>1.0540499999999999</v>
      </c>
      <c r="CE55" s="813">
        <f>0+0+0.952104</f>
        <v>0.95210399999999995</v>
      </c>
      <c r="CF55" s="800">
        <f>0+0.081475+0.543781</f>
        <v>0.62525599999999992</v>
      </c>
      <c r="CG55" s="800">
        <f>0.38166+0.03381+0</f>
        <v>0.41547000000000001</v>
      </c>
      <c r="CH55" s="800">
        <f>0+0.8+0.839</f>
        <v>1.639</v>
      </c>
      <c r="CI55" s="813">
        <f>0.661+2.233443+2.500134</f>
        <v>5.394577</v>
      </c>
      <c r="CJ55" s="800">
        <f>0.864701+0.783287+0.431137</f>
        <v>2.0791249999999999</v>
      </c>
      <c r="CK55" s="800">
        <f>0.377317+1.4061+1.515655</f>
        <v>3.2990719999999998</v>
      </c>
      <c r="CL55" s="800">
        <f>0.779517+0.62994+0.472324</f>
        <v>1.8817810000000001</v>
      </c>
      <c r="CM55" s="813">
        <f>0.467225+0.471412+0.070935</f>
        <v>1.0095719999999999</v>
      </c>
      <c r="CN55" s="812">
        <f>0+0.261664+0.545228</f>
        <v>0.80689200000000005</v>
      </c>
      <c r="CO55" s="812">
        <f>0.642481+0.340134+0.311565</f>
        <v>1.2941799999999999</v>
      </c>
      <c r="CP55" s="800">
        <f>0.264258+0.03438+0</f>
        <v>0.29863800000000001</v>
      </c>
      <c r="CQ55" s="813">
        <v>0</v>
      </c>
      <c r="CR55" s="796">
        <f>CR54/CR56</f>
        <v>0.46333474562992366</v>
      </c>
      <c r="CS55" s="796">
        <f>CS54/CS56</f>
        <v>0.45086386518591209</v>
      </c>
      <c r="CT55" s="796">
        <f>CT54/CT56</f>
        <v>0.43872864456563632</v>
      </c>
      <c r="CU55" s="801">
        <f>CU54/CU56</f>
        <v>0.42692004932138627</v>
      </c>
      <c r="CV55" s="802"/>
      <c r="CW55" s="796"/>
      <c r="CX55" s="798"/>
      <c r="CY55" s="798"/>
      <c r="CZ55" s="798"/>
      <c r="DA55" s="798"/>
      <c r="DB55" s="798"/>
      <c r="DC55" s="798"/>
      <c r="DD55" s="798"/>
      <c r="DE55" s="798"/>
      <c r="DF55" s="798"/>
      <c r="DG55" s="798"/>
      <c r="DH55" s="798"/>
      <c r="DI55" s="798"/>
      <c r="DJ55" s="798">
        <f>SUM(AZ55:BC55)</f>
        <v>0.64159999999999995</v>
      </c>
      <c r="DK55" s="798">
        <f>SUM(BD55:BG55)</f>
        <v>0.93359500000000006</v>
      </c>
      <c r="DL55" s="798">
        <f>SUM(BH55:BK55)</f>
        <v>0</v>
      </c>
      <c r="DM55" s="798">
        <f>SUM(BL55:BO55)</f>
        <v>7.1410999999999998</v>
      </c>
      <c r="DN55" s="798">
        <f>SUM(BP55:BS55)</f>
        <v>4.9500300000000008</v>
      </c>
      <c r="DO55" s="798">
        <f>SUM(BT55:BW55)</f>
        <v>4.1556940000000004</v>
      </c>
      <c r="DP55" s="796">
        <f>SUM(BX55:CA55)</f>
        <v>2.621553</v>
      </c>
      <c r="DQ55" s="796">
        <f>SUM(CB55:CE55)</f>
        <v>2.4175469999999999</v>
      </c>
      <c r="DR55" s="796">
        <f>SUM(CF55:CI55)</f>
        <v>8.0743030000000005</v>
      </c>
      <c r="DS55" s="796">
        <f>SUM(CJ55:CM55)</f>
        <v>8.2695500000000006</v>
      </c>
      <c r="DT55" s="796">
        <f>SUM(CN55:CQ55)</f>
        <v>2.3997099999999998</v>
      </c>
      <c r="DU55" s="796">
        <f>SUM(CR55:CU55)</f>
        <v>1.7798473047028585</v>
      </c>
      <c r="DV55" s="796">
        <f>DV54/DV56</f>
        <v>0</v>
      </c>
      <c r="DW55" s="796">
        <f>DW54/DW56</f>
        <v>0</v>
      </c>
      <c r="DX55" s="796">
        <f>DX54/DX56</f>
        <v>0</v>
      </c>
      <c r="DY55" s="796">
        <f>DY54/DY56</f>
        <v>0</v>
      </c>
      <c r="DZ55" s="796">
        <f t="shared" ref="DZ55" si="110">DZ54/DZ56</f>
        <v>0</v>
      </c>
      <c r="EA55" s="798"/>
      <c r="EB55"/>
      <c r="EC55"/>
      <c r="ED55"/>
      <c r="EE55"/>
      <c r="EF55"/>
      <c r="EG55"/>
    </row>
    <row r="56" spans="1:137" s="811" customFormat="1">
      <c r="A56" s="805"/>
      <c r="B56" s="794" t="s">
        <v>371</v>
      </c>
      <c r="C56" s="906"/>
      <c r="D56" s="806"/>
      <c r="E56" s="807"/>
      <c r="F56" s="807"/>
      <c r="G56" s="808"/>
      <c r="H56" s="807"/>
      <c r="I56" s="807"/>
      <c r="J56" s="807"/>
      <c r="K56" s="808"/>
      <c r="L56" s="807"/>
      <c r="M56" s="807"/>
      <c r="N56" s="807"/>
      <c r="O56" s="808"/>
      <c r="P56" s="807"/>
      <c r="Q56" s="807"/>
      <c r="R56" s="807"/>
      <c r="S56" s="808"/>
      <c r="T56" s="807"/>
      <c r="U56" s="807"/>
      <c r="V56" s="807"/>
      <c r="W56" s="808"/>
      <c r="X56" s="807"/>
      <c r="Y56" s="807"/>
      <c r="Z56" s="807"/>
      <c r="AA56" s="808"/>
      <c r="AB56" s="807"/>
      <c r="AC56" s="807"/>
      <c r="AD56" s="807"/>
      <c r="AE56" s="808"/>
      <c r="AF56" s="807"/>
      <c r="AG56" s="807"/>
      <c r="AH56" s="807"/>
      <c r="AI56" s="808"/>
      <c r="AJ56" s="807"/>
      <c r="AK56" s="807"/>
      <c r="AL56" s="807"/>
      <c r="AM56" s="808"/>
      <c r="AN56" s="807"/>
      <c r="AO56" s="807"/>
      <c r="AP56" s="807"/>
      <c r="AQ56" s="808"/>
      <c r="AR56" s="807"/>
      <c r="AS56" s="807"/>
      <c r="AT56" s="807"/>
      <c r="AU56" s="808"/>
      <c r="AV56" s="807"/>
      <c r="AW56" s="807"/>
      <c r="AX56" s="807"/>
      <c r="AY56" s="808"/>
      <c r="AZ56" s="807"/>
      <c r="BA56" s="814">
        <v>82.8</v>
      </c>
      <c r="BB56" s="814">
        <v>84.96</v>
      </c>
      <c r="BC56" s="815">
        <v>47.98</v>
      </c>
      <c r="BD56" s="814">
        <v>42.6</v>
      </c>
      <c r="BE56" s="807">
        <f>BE54/BE55</f>
        <v>47.256814251813005</v>
      </c>
      <c r="BF56" s="807"/>
      <c r="BG56" s="808">
        <f>BG54/BG55</f>
        <v>23.601331220285264</v>
      </c>
      <c r="BH56" s="807"/>
      <c r="BI56" s="807"/>
      <c r="BJ56" s="807"/>
      <c r="BK56" s="808"/>
      <c r="BL56" s="807"/>
      <c r="BM56" s="807">
        <f>BM54/BM55</f>
        <v>38.112280256971964</v>
      </c>
      <c r="BN56" s="807">
        <f>BN54/BN55</f>
        <v>46.096522420821579</v>
      </c>
      <c r="BO56" s="808">
        <f>BO54/BO55</f>
        <v>62.317510958193914</v>
      </c>
      <c r="BP56" s="807">
        <f>BP54/BP55</f>
        <v>74.28769023380292</v>
      </c>
      <c r="BQ56" s="807">
        <f>BQ54/BQ55</f>
        <v>74.05</v>
      </c>
      <c r="BR56" s="807"/>
      <c r="BS56" s="808">
        <f>BS54/BS55</f>
        <v>63.61</v>
      </c>
      <c r="BT56" s="807"/>
      <c r="BU56" s="807">
        <f>BU54/BU55</f>
        <v>75.405755964354327</v>
      </c>
      <c r="BV56" s="807"/>
      <c r="BW56" s="808">
        <f>BW54/BW55</f>
        <v>63.745085999999993</v>
      </c>
      <c r="BX56" s="807">
        <f>BX54/BX55</f>
        <v>76.72</v>
      </c>
      <c r="BY56" s="807">
        <f>BY54/BY55</f>
        <v>83.4301525426404</v>
      </c>
      <c r="BZ56" s="807">
        <f>BZ54/BZ55</f>
        <v>97.855971551611646</v>
      </c>
      <c r="CA56" s="808"/>
      <c r="CB56" s="807"/>
      <c r="CC56" s="807">
        <f t="shared" ref="CC56:CP56" si="111">CC54/CC55</f>
        <v>60.758118368567274</v>
      </c>
      <c r="CD56" s="807">
        <f t="shared" si="111"/>
        <v>61.670000000000009</v>
      </c>
      <c r="CE56" s="808">
        <f t="shared" si="111"/>
        <v>52.52</v>
      </c>
      <c r="CF56" s="807">
        <f t="shared" si="111"/>
        <v>60.295064885422931</v>
      </c>
      <c r="CG56" s="807">
        <f t="shared" si="111"/>
        <v>60.591423207451804</v>
      </c>
      <c r="CH56" s="807">
        <f t="shared" si="111"/>
        <v>44.057766931055518</v>
      </c>
      <c r="CI56" s="808">
        <f t="shared" si="111"/>
        <v>42.234715303906135</v>
      </c>
      <c r="CJ56" s="807">
        <f t="shared" si="111"/>
        <v>32.531818053267607</v>
      </c>
      <c r="CK56" s="807">
        <f t="shared" si="111"/>
        <v>33.351684694968768</v>
      </c>
      <c r="CL56" s="807">
        <f t="shared" si="111"/>
        <v>32.639211938052306</v>
      </c>
      <c r="CM56" s="808">
        <f t="shared" si="111"/>
        <v>35.257357276152668</v>
      </c>
      <c r="CN56" s="809">
        <f t="shared" si="111"/>
        <v>42.121357058937257</v>
      </c>
      <c r="CO56" s="807">
        <f t="shared" si="111"/>
        <v>40.519675168832769</v>
      </c>
      <c r="CP56" s="807">
        <f t="shared" si="111"/>
        <v>45.466410101862451</v>
      </c>
      <c r="CQ56" s="815">
        <v>52.504399999999997</v>
      </c>
      <c r="CR56" s="971">
        <f>CQ56*(1+DCF!$E$35/4)</f>
        <v>53.956670065853615</v>
      </c>
      <c r="CS56" s="971">
        <f>CR56*(1+DCF!$E$35/4)</f>
        <v>55.449109876417666</v>
      </c>
      <c r="CT56" s="971">
        <f>CS56*(1+DCF!$E$35/4)</f>
        <v>56.98283052557754</v>
      </c>
      <c r="CU56" s="970">
        <f>CT56*(1+DCF!$E$35/4)</f>
        <v>58.558973840040828</v>
      </c>
      <c r="CV56" s="810"/>
      <c r="CW56" s="809"/>
      <c r="CX56" s="807"/>
      <c r="CY56" s="807"/>
      <c r="CZ56" s="807"/>
      <c r="DA56" s="807"/>
      <c r="DB56" s="807"/>
      <c r="DC56" s="807"/>
      <c r="DD56" s="807"/>
      <c r="DE56" s="807"/>
      <c r="DF56" s="807"/>
      <c r="DG56" s="807"/>
      <c r="DH56" s="807"/>
      <c r="DI56" s="807"/>
      <c r="DJ56" s="807">
        <f>DJ54/DJ55</f>
        <v>73.198223192019938</v>
      </c>
      <c r="DK56" s="807">
        <f>DK54/DK55</f>
        <v>37.68244458250097</v>
      </c>
      <c r="DL56" s="807"/>
      <c r="DM56" s="807">
        <f t="shared" ref="DM56:DT56" si="112">DM54/DM55</f>
        <v>46.373579280503002</v>
      </c>
      <c r="DN56" s="807">
        <f t="shared" si="112"/>
        <v>71.217248642937506</v>
      </c>
      <c r="DO56" s="807">
        <f t="shared" si="112"/>
        <v>71.19683082536875</v>
      </c>
      <c r="DP56" s="807">
        <f t="shared" si="112"/>
        <v>85.979282650398446</v>
      </c>
      <c r="DQ56" s="807">
        <f t="shared" si="112"/>
        <v>57.911275425048615</v>
      </c>
      <c r="DR56" s="807">
        <f t="shared" si="112"/>
        <v>44.947888810959903</v>
      </c>
      <c r="DS56" s="807">
        <f t="shared" si="112"/>
        <v>33.216077648723328</v>
      </c>
      <c r="DT56" s="807">
        <f t="shared" si="112"/>
        <v>41.673842685157794</v>
      </c>
      <c r="DU56" s="973">
        <f>DT56*(1+DCF!$E$35)</f>
        <v>46.284631438919206</v>
      </c>
      <c r="DV56" s="973">
        <f>DU56*(1+DCF!$E$35)</f>
        <v>51.405557284967145</v>
      </c>
      <c r="DW56" s="973">
        <f>DV56*(1+DCF!$E$35)</f>
        <v>57.093061727526738</v>
      </c>
      <c r="DX56" s="973">
        <f>DW56*(1+DCF!$E$35)</f>
        <v>63.409830951806626</v>
      </c>
      <c r="DY56" s="973">
        <f>DX56*(1+DCF!$E$35)</f>
        <v>70.425486734723663</v>
      </c>
      <c r="DZ56" s="973">
        <f>DY56*(1+DCF!$E$35)</f>
        <v>78.217353797903939</v>
      </c>
      <c r="EA56" s="807"/>
      <c r="EB56"/>
      <c r="EC56"/>
      <c r="ED56"/>
      <c r="EE56"/>
      <c r="EF56"/>
      <c r="EG56"/>
    </row>
    <row r="57" spans="1:137">
      <c r="A57" s="374"/>
      <c r="B57" s="488"/>
      <c r="C57" s="901"/>
      <c r="D57" s="489"/>
      <c r="E57" s="490"/>
      <c r="F57" s="490"/>
      <c r="G57" s="491"/>
      <c r="H57" s="490"/>
      <c r="I57" s="490"/>
      <c r="J57" s="490"/>
      <c r="K57" s="491"/>
      <c r="L57" s="490"/>
      <c r="M57" s="490"/>
      <c r="N57" s="490"/>
      <c r="O57" s="491"/>
      <c r="P57" s="490"/>
      <c r="Q57" s="490"/>
      <c r="R57" s="490"/>
      <c r="S57" s="491"/>
      <c r="T57" s="490"/>
      <c r="U57" s="490"/>
      <c r="V57" s="490"/>
      <c r="W57" s="491"/>
      <c r="X57" s="490"/>
      <c r="Y57" s="490"/>
      <c r="Z57" s="490"/>
      <c r="AA57" s="491"/>
      <c r="AB57" s="490"/>
      <c r="AC57" s="490"/>
      <c r="AD57" s="490"/>
      <c r="AE57" s="491"/>
      <c r="AF57" s="490"/>
      <c r="AG57" s="490"/>
      <c r="AH57" s="490"/>
      <c r="AI57" s="491"/>
      <c r="AJ57" s="490"/>
      <c r="AK57" s="490"/>
      <c r="AL57" s="490"/>
      <c r="AM57" s="491"/>
      <c r="AN57" s="490"/>
      <c r="AO57" s="490"/>
      <c r="AP57" s="490"/>
      <c r="AQ57" s="491"/>
      <c r="AR57" s="490"/>
      <c r="AS57" s="490"/>
      <c r="AT57" s="490"/>
      <c r="AU57" s="491"/>
      <c r="AV57" s="490"/>
      <c r="AW57" s="490"/>
      <c r="AX57" s="490"/>
      <c r="AY57" s="491"/>
      <c r="AZ57" s="490"/>
      <c r="BA57" s="490"/>
      <c r="BB57" s="490"/>
      <c r="BC57" s="491"/>
      <c r="BD57" s="490"/>
      <c r="BE57" s="490"/>
      <c r="BF57" s="490"/>
      <c r="BG57" s="491"/>
      <c r="BH57" s="490"/>
      <c r="BI57" s="490"/>
      <c r="BJ57" s="490"/>
      <c r="BK57" s="491"/>
      <c r="BL57" s="490"/>
      <c r="BM57" s="490"/>
      <c r="BN57" s="490"/>
      <c r="BO57" s="491"/>
      <c r="BP57" s="490"/>
      <c r="BQ57" s="490"/>
      <c r="BR57" s="490"/>
      <c r="BS57" s="491"/>
      <c r="BT57" s="490"/>
      <c r="BU57" s="490"/>
      <c r="BV57" s="490"/>
      <c r="BW57" s="491"/>
      <c r="BX57" s="490"/>
      <c r="BY57" s="490"/>
      <c r="BZ57" s="490"/>
      <c r="CA57" s="491"/>
      <c r="CB57" s="490"/>
      <c r="CC57" s="490"/>
      <c r="CD57" s="490"/>
      <c r="CE57" s="491"/>
      <c r="CF57" s="490"/>
      <c r="CG57" s="490"/>
      <c r="CH57" s="490"/>
      <c r="CI57" s="491"/>
      <c r="CJ57" s="490"/>
      <c r="CK57" s="490"/>
      <c r="CL57" s="490"/>
      <c r="CM57" s="491"/>
      <c r="CN57" s="488"/>
      <c r="CO57" s="488"/>
      <c r="CP57" s="490"/>
      <c r="CQ57" s="491"/>
      <c r="CR57" s="488"/>
      <c r="CS57" s="488"/>
      <c r="CT57" s="488"/>
      <c r="CU57" s="492"/>
      <c r="CV57" s="376"/>
      <c r="CW57" s="488"/>
      <c r="CX57" s="490"/>
      <c r="CY57" s="490"/>
      <c r="CZ57" s="490"/>
      <c r="DA57" s="490"/>
      <c r="DB57" s="490"/>
      <c r="DC57" s="490"/>
      <c r="DD57" s="490"/>
      <c r="DE57" s="490"/>
      <c r="DF57" s="490"/>
      <c r="DG57" s="490"/>
      <c r="DH57" s="490"/>
      <c r="DI57" s="490"/>
      <c r="DJ57" s="490"/>
      <c r="DK57" s="490"/>
      <c r="DL57" s="490"/>
      <c r="DM57" s="490"/>
      <c r="DN57" s="490"/>
      <c r="DO57" s="490"/>
      <c r="DP57" s="488"/>
      <c r="DQ57" s="488"/>
      <c r="DR57" s="488"/>
      <c r="DS57" s="488"/>
      <c r="DT57" s="488"/>
      <c r="DU57" s="488"/>
      <c r="DV57" s="488"/>
      <c r="DW57" s="488"/>
      <c r="DX57" s="488"/>
      <c r="DY57" s="488"/>
      <c r="DZ57" s="488"/>
      <c r="EA57" s="493"/>
    </row>
    <row r="58" spans="1:137" s="410" customFormat="1">
      <c r="A58" s="400"/>
      <c r="B58" s="401" t="s">
        <v>299</v>
      </c>
      <c r="C58" s="658"/>
      <c r="D58" s="486">
        <f t="shared" ref="D58:AI58" si="113">D18+D130</f>
        <v>31.200000000000024</v>
      </c>
      <c r="E58" s="401">
        <f t="shared" si="113"/>
        <v>34.700000000000003</v>
      </c>
      <c r="F58" s="401">
        <f t="shared" si="113"/>
        <v>19.600000000000012</v>
      </c>
      <c r="G58" s="487">
        <f t="shared" si="113"/>
        <v>33</v>
      </c>
      <c r="H58" s="401">
        <f t="shared" si="113"/>
        <v>40.599999999999994</v>
      </c>
      <c r="I58" s="401">
        <f t="shared" si="113"/>
        <v>55.100000000000009</v>
      </c>
      <c r="J58" s="401">
        <f t="shared" si="113"/>
        <v>49.800000000000011</v>
      </c>
      <c r="K58" s="487">
        <f t="shared" si="113"/>
        <v>63.699999999999989</v>
      </c>
      <c r="L58" s="401">
        <f t="shared" si="113"/>
        <v>61.8</v>
      </c>
      <c r="M58" s="401">
        <f t="shared" si="113"/>
        <v>68.799999999999969</v>
      </c>
      <c r="N58" s="401">
        <f t="shared" si="113"/>
        <v>57.600000000000023</v>
      </c>
      <c r="O58" s="487">
        <f t="shared" si="113"/>
        <v>71.400000000000006</v>
      </c>
      <c r="P58" s="401">
        <f t="shared" si="113"/>
        <v>61.8</v>
      </c>
      <c r="Q58" s="401">
        <f t="shared" si="113"/>
        <v>57.40000000000002</v>
      </c>
      <c r="R58" s="401">
        <f t="shared" si="113"/>
        <v>57.100000000000009</v>
      </c>
      <c r="S58" s="487">
        <f t="shared" si="113"/>
        <v>74.699999999999989</v>
      </c>
      <c r="T58" s="401">
        <f t="shared" si="113"/>
        <v>63.999999999999979</v>
      </c>
      <c r="U58" s="401">
        <f t="shared" si="113"/>
        <v>93.299999999999955</v>
      </c>
      <c r="V58" s="401">
        <f t="shared" si="113"/>
        <v>80.300000000000054</v>
      </c>
      <c r="W58" s="487">
        <f t="shared" si="113"/>
        <v>103.7999999999999</v>
      </c>
      <c r="X58" s="401">
        <f t="shared" si="113"/>
        <v>116.40000000000005</v>
      </c>
      <c r="Y58" s="401">
        <f t="shared" si="113"/>
        <v>111.79999999999994</v>
      </c>
      <c r="Z58" s="401">
        <f t="shared" si="113"/>
        <v>87.9</v>
      </c>
      <c r="AA58" s="487">
        <f t="shared" si="113"/>
        <v>82.59999999999998</v>
      </c>
      <c r="AB58" s="401">
        <f t="shared" si="113"/>
        <v>80.099999999999937</v>
      </c>
      <c r="AC58" s="401">
        <f t="shared" si="113"/>
        <v>84.399999999999977</v>
      </c>
      <c r="AD58" s="401">
        <f t="shared" si="113"/>
        <v>75.399999999999977</v>
      </c>
      <c r="AE58" s="487">
        <f t="shared" si="113"/>
        <v>77.399999999999935</v>
      </c>
      <c r="AF58" s="401">
        <f t="shared" si="113"/>
        <v>82.199999999999989</v>
      </c>
      <c r="AG58" s="401">
        <f t="shared" si="113"/>
        <v>101.69999999999993</v>
      </c>
      <c r="AH58" s="401">
        <f t="shared" si="113"/>
        <v>81.499999999999972</v>
      </c>
      <c r="AI58" s="487">
        <f t="shared" si="113"/>
        <v>94.299999999999969</v>
      </c>
      <c r="AJ58" s="401">
        <f t="shared" ref="AJ58:BO58" si="114">AJ18+AJ130</f>
        <v>97.600000000000009</v>
      </c>
      <c r="AK58" s="401">
        <f t="shared" si="114"/>
        <v>100.10000000000005</v>
      </c>
      <c r="AL58" s="401">
        <f t="shared" si="114"/>
        <v>86.800000000000068</v>
      </c>
      <c r="AM58" s="487">
        <f t="shared" si="114"/>
        <v>109.99999999999991</v>
      </c>
      <c r="AN58" s="401">
        <f t="shared" si="114"/>
        <v>111.30000000000003</v>
      </c>
      <c r="AO58" s="401">
        <f t="shared" si="114"/>
        <v>115.00000000000007</v>
      </c>
      <c r="AP58" s="401">
        <f t="shared" si="114"/>
        <v>111.29999999999993</v>
      </c>
      <c r="AQ58" s="487">
        <f t="shared" si="114"/>
        <v>128.60000000000002</v>
      </c>
      <c r="AR58" s="401">
        <f t="shared" si="114"/>
        <v>122.70000000000005</v>
      </c>
      <c r="AS58" s="401">
        <f t="shared" si="114"/>
        <v>153.80000000000013</v>
      </c>
      <c r="AT58" s="401">
        <f t="shared" si="114"/>
        <v>141.20000000000005</v>
      </c>
      <c r="AU58" s="487">
        <f t="shared" si="114"/>
        <v>144.62400000000002</v>
      </c>
      <c r="AV58" s="401">
        <f t="shared" si="114"/>
        <v>142.2000000000001</v>
      </c>
      <c r="AW58" s="401">
        <f t="shared" si="114"/>
        <v>155.50000000000003</v>
      </c>
      <c r="AX58" s="401">
        <f t="shared" si="114"/>
        <v>113.91929999999995</v>
      </c>
      <c r="AY58" s="487">
        <f t="shared" si="114"/>
        <v>145.31773333333336</v>
      </c>
      <c r="AZ58" s="401">
        <f t="shared" si="114"/>
        <v>164.09999999999985</v>
      </c>
      <c r="BA58" s="401">
        <f t="shared" si="114"/>
        <v>171.19999999999993</v>
      </c>
      <c r="BB58" s="401">
        <f t="shared" si="114"/>
        <v>157.79999999999984</v>
      </c>
      <c r="BC58" s="487">
        <f t="shared" si="114"/>
        <v>191.20000000000002</v>
      </c>
      <c r="BD58" s="401">
        <f t="shared" si="114"/>
        <v>193.5</v>
      </c>
      <c r="BE58" s="401">
        <f t="shared" si="114"/>
        <v>194.7999999999999</v>
      </c>
      <c r="BF58" s="401">
        <f t="shared" si="114"/>
        <v>140.37997000000027</v>
      </c>
      <c r="BG58" s="487">
        <f t="shared" si="114"/>
        <v>61.799999999999955</v>
      </c>
      <c r="BH58" s="401">
        <f t="shared" si="114"/>
        <v>62.800000000000026</v>
      </c>
      <c r="BI58" s="401">
        <f t="shared" si="114"/>
        <v>50.426830769230847</v>
      </c>
      <c r="BJ58" s="401">
        <f t="shared" si="114"/>
        <v>86.299999999999955</v>
      </c>
      <c r="BK58" s="487">
        <f t="shared" si="114"/>
        <v>128.99999999999991</v>
      </c>
      <c r="BL58" s="401">
        <f t="shared" si="114"/>
        <v>164.29999999999998</v>
      </c>
      <c r="BM58" s="401">
        <f t="shared" si="114"/>
        <v>194.70000000000007</v>
      </c>
      <c r="BN58" s="401">
        <f t="shared" si="114"/>
        <v>179.5000000000002</v>
      </c>
      <c r="BO58" s="487">
        <f t="shared" si="114"/>
        <v>210.90000000000012</v>
      </c>
      <c r="BP58" s="401">
        <f t="shared" ref="BP58:CU58" si="115">BP18+BP130</f>
        <v>240.20000000000019</v>
      </c>
      <c r="BQ58" s="401">
        <f t="shared" si="115"/>
        <v>263.29999999999995</v>
      </c>
      <c r="BR58" s="401">
        <f t="shared" si="115"/>
        <v>260.79999999999995</v>
      </c>
      <c r="BS58" s="487">
        <f t="shared" si="115"/>
        <v>277.8</v>
      </c>
      <c r="BT58" s="401">
        <f t="shared" si="115"/>
        <v>296.89999999999998</v>
      </c>
      <c r="BU58" s="401">
        <f t="shared" si="115"/>
        <v>287.00000000000006</v>
      </c>
      <c r="BV58" s="401">
        <f t="shared" si="115"/>
        <v>226.00000000000006</v>
      </c>
      <c r="BW58" s="487">
        <f t="shared" si="115"/>
        <v>252.8799999999998</v>
      </c>
      <c r="BX58" s="401">
        <f t="shared" si="115"/>
        <v>278.36</v>
      </c>
      <c r="BY58" s="401">
        <f t="shared" si="115"/>
        <v>312.70000000000016</v>
      </c>
      <c r="BZ58" s="401">
        <f t="shared" si="115"/>
        <v>290.50000000000011</v>
      </c>
      <c r="CA58" s="487">
        <f t="shared" si="115"/>
        <v>301.60500000000013</v>
      </c>
      <c r="CB58" s="401">
        <f t="shared" si="115"/>
        <v>337.10899999999992</v>
      </c>
      <c r="CC58" s="401">
        <f t="shared" si="115"/>
        <v>371.68019999999996</v>
      </c>
      <c r="CD58" s="401">
        <f t="shared" si="115"/>
        <v>328.6</v>
      </c>
      <c r="CE58" s="487">
        <f t="shared" si="115"/>
        <v>323.00000000000011</v>
      </c>
      <c r="CF58" s="401">
        <f t="shared" si="115"/>
        <v>333.6</v>
      </c>
      <c r="CG58" s="401">
        <f t="shared" si="115"/>
        <v>339.00000000000006</v>
      </c>
      <c r="CH58" s="401">
        <f t="shared" si="115"/>
        <v>324.30000000000007</v>
      </c>
      <c r="CI58" s="487">
        <f t="shared" si="115"/>
        <v>338.19999999999987</v>
      </c>
      <c r="CJ58" s="401">
        <f t="shared" si="115"/>
        <v>370.79999999999995</v>
      </c>
      <c r="CK58" s="401">
        <f t="shared" si="115"/>
        <v>385.89999999999981</v>
      </c>
      <c r="CL58" s="401">
        <f t="shared" si="115"/>
        <v>363.09999999999991</v>
      </c>
      <c r="CM58" s="487">
        <f t="shared" si="115"/>
        <v>379.80000000000007</v>
      </c>
      <c r="CN58" s="401">
        <f t="shared" si="115"/>
        <v>389.99999999999994</v>
      </c>
      <c r="CO58" s="401">
        <f t="shared" si="115"/>
        <v>399.29999999999984</v>
      </c>
      <c r="CP58" s="401">
        <f t="shared" si="115"/>
        <v>403.19999999999976</v>
      </c>
      <c r="CQ58" s="487">
        <f t="shared" ref="CQ58" si="116">CQ18+CQ130</f>
        <v>434</v>
      </c>
      <c r="CR58" s="401">
        <f t="shared" si="115"/>
        <v>451.34820720125578</v>
      </c>
      <c r="CS58" s="401">
        <f t="shared" si="115"/>
        <v>468.17446934226848</v>
      </c>
      <c r="CT58" s="401">
        <f t="shared" si="115"/>
        <v>438.72013893069993</v>
      </c>
      <c r="CU58" s="487">
        <f t="shared" si="115"/>
        <v>503.41856253313199</v>
      </c>
      <c r="CV58" s="406"/>
      <c r="CW58" s="403"/>
      <c r="CX58" s="407">
        <f t="shared" ref="CX58:DZ58" si="117">CX18+CX130</f>
        <v>118.49999999999986</v>
      </c>
      <c r="CY58" s="407">
        <f t="shared" si="117"/>
        <v>209.20000000000019</v>
      </c>
      <c r="CZ58" s="407">
        <f t="shared" si="117"/>
        <v>259.60000000000002</v>
      </c>
      <c r="DA58" s="407">
        <f t="shared" si="117"/>
        <v>250.99999999999989</v>
      </c>
      <c r="DB58" s="407">
        <f t="shared" si="117"/>
        <v>275.49999999999994</v>
      </c>
      <c r="DC58" s="407">
        <f t="shared" si="117"/>
        <v>398.69999999999942</v>
      </c>
      <c r="DD58" s="407">
        <f t="shared" si="117"/>
        <v>317.29999999999978</v>
      </c>
      <c r="DE58" s="407">
        <f t="shared" si="117"/>
        <v>359.69999999999982</v>
      </c>
      <c r="DF58" s="407">
        <f t="shared" si="117"/>
        <v>394.49999999999949</v>
      </c>
      <c r="DG58" s="407">
        <f t="shared" si="117"/>
        <v>466.19999999999976</v>
      </c>
      <c r="DH58" s="407">
        <f t="shared" si="117"/>
        <v>562.32400000000052</v>
      </c>
      <c r="DI58" s="407">
        <f t="shared" si="117"/>
        <v>556.93703333333303</v>
      </c>
      <c r="DJ58" s="407">
        <f t="shared" si="117"/>
        <v>684.29999999999961</v>
      </c>
      <c r="DK58" s="407">
        <f t="shared" si="117"/>
        <v>590.47996999999964</v>
      </c>
      <c r="DL58" s="407">
        <f t="shared" si="117"/>
        <v>328.52683076923125</v>
      </c>
      <c r="DM58" s="407">
        <f t="shared" si="117"/>
        <v>749.3999999999993</v>
      </c>
      <c r="DN58" s="407">
        <f t="shared" si="117"/>
        <v>1042.0999999999997</v>
      </c>
      <c r="DO58" s="407">
        <f t="shared" si="117"/>
        <v>1062.7800000000016</v>
      </c>
      <c r="DP58" s="401">
        <f t="shared" si="117"/>
        <v>1183.1650000000009</v>
      </c>
      <c r="DQ58" s="401">
        <f t="shared" si="117"/>
        <v>1360.3891999999996</v>
      </c>
      <c r="DR58" s="401">
        <f t="shared" si="117"/>
        <v>1335.1000000000004</v>
      </c>
      <c r="DS58" s="401">
        <f t="shared" si="117"/>
        <v>1499.6000000000004</v>
      </c>
      <c r="DT58" s="401">
        <f t="shared" si="117"/>
        <v>1626.4999999999989</v>
      </c>
      <c r="DU58" s="401">
        <f t="shared" si="117"/>
        <v>1861.6613780073581</v>
      </c>
      <c r="DV58" s="401">
        <f>DV18+DV130</f>
        <v>1951.2132953067885</v>
      </c>
      <c r="DW58" s="401">
        <f t="shared" si="117"/>
        <v>2005.4519611195151</v>
      </c>
      <c r="DX58" s="401">
        <f t="shared" si="117"/>
        <v>2047.9963125412619</v>
      </c>
      <c r="DY58" s="401">
        <f t="shared" si="117"/>
        <v>2063.6902051522625</v>
      </c>
      <c r="DZ58" s="401">
        <f t="shared" si="117"/>
        <v>2048.4207611951479</v>
      </c>
      <c r="EA58" s="423"/>
      <c r="EB58"/>
      <c r="EC58"/>
      <c r="ED58"/>
      <c r="EE58"/>
      <c r="EF58"/>
      <c r="EG58"/>
    </row>
    <row r="59" spans="1:137" s="418" customFormat="1">
      <c r="A59" s="411"/>
      <c r="B59" s="412" t="s">
        <v>240</v>
      </c>
      <c r="C59" s="898"/>
      <c r="D59" s="413">
        <f t="shared" ref="D59:AI59" si="118">D58/D9</f>
        <v>9.5179987797437526E-2</v>
      </c>
      <c r="E59" s="414">
        <f t="shared" si="118"/>
        <v>9.7471910112359561E-2</v>
      </c>
      <c r="F59" s="414">
        <f t="shared" si="118"/>
        <v>6.5661641541038568E-2</v>
      </c>
      <c r="G59" s="415">
        <f t="shared" si="118"/>
        <v>9.5155709342560554E-2</v>
      </c>
      <c r="H59" s="414">
        <f t="shared" si="118"/>
        <v>0.11636572083691601</v>
      </c>
      <c r="I59" s="414">
        <f t="shared" si="118"/>
        <v>0.14431639601885807</v>
      </c>
      <c r="J59" s="414">
        <f t="shared" si="118"/>
        <v>0.12844983234459637</v>
      </c>
      <c r="K59" s="415">
        <f t="shared" si="118"/>
        <v>0.15105525254920557</v>
      </c>
      <c r="L59" s="414">
        <f t="shared" si="118"/>
        <v>0.13934611048478016</v>
      </c>
      <c r="M59" s="414">
        <f t="shared" si="118"/>
        <v>0.15299088281076267</v>
      </c>
      <c r="N59" s="414">
        <f t="shared" si="118"/>
        <v>0.14159292035398235</v>
      </c>
      <c r="O59" s="415">
        <f t="shared" si="118"/>
        <v>0.15289079229122057</v>
      </c>
      <c r="P59" s="414">
        <f t="shared" si="118"/>
        <v>0.13298902517753389</v>
      </c>
      <c r="Q59" s="414">
        <f t="shared" si="118"/>
        <v>0.12718812319964551</v>
      </c>
      <c r="R59" s="414">
        <f t="shared" si="118"/>
        <v>0.13229842446709919</v>
      </c>
      <c r="S59" s="415">
        <f t="shared" si="118"/>
        <v>0.15269828291087487</v>
      </c>
      <c r="T59" s="414">
        <f t="shared" si="118"/>
        <v>0.1160892436060221</v>
      </c>
      <c r="U59" s="414">
        <f t="shared" si="118"/>
        <v>0.14559925093632953</v>
      </c>
      <c r="V59" s="414">
        <f t="shared" si="118"/>
        <v>0.1361709343734103</v>
      </c>
      <c r="W59" s="415">
        <f t="shared" si="118"/>
        <v>0.15336879432624098</v>
      </c>
      <c r="X59" s="414">
        <f t="shared" si="118"/>
        <v>0.1594083812654068</v>
      </c>
      <c r="Y59" s="414">
        <f t="shared" si="118"/>
        <v>0.15950920245398764</v>
      </c>
      <c r="Z59" s="414">
        <f t="shared" si="118"/>
        <v>0.14211802748585287</v>
      </c>
      <c r="AA59" s="415">
        <f t="shared" si="118"/>
        <v>0.13852087875230587</v>
      </c>
      <c r="AB59" s="414">
        <f t="shared" si="118"/>
        <v>0.1320039551746868</v>
      </c>
      <c r="AC59" s="414">
        <f t="shared" si="118"/>
        <v>0.14019933554817271</v>
      </c>
      <c r="AD59" s="414">
        <f t="shared" si="118"/>
        <v>0.13466690480442933</v>
      </c>
      <c r="AE59" s="415">
        <f t="shared" si="118"/>
        <v>0.13280713795470134</v>
      </c>
      <c r="AF59" s="414">
        <f t="shared" si="118"/>
        <v>0.1296734500709891</v>
      </c>
      <c r="AG59" s="414">
        <f t="shared" si="118"/>
        <v>0.14275687815833793</v>
      </c>
      <c r="AH59" s="414">
        <f t="shared" si="118"/>
        <v>0.11915204678362569</v>
      </c>
      <c r="AI59" s="415">
        <f t="shared" si="118"/>
        <v>0.13456050228310498</v>
      </c>
      <c r="AJ59" s="414">
        <f t="shared" ref="AJ59:BO59" si="119">AJ58/AJ9</f>
        <v>0.12582183833956426</v>
      </c>
      <c r="AK59" s="414">
        <f t="shared" si="119"/>
        <v>0.13008447043534768</v>
      </c>
      <c r="AL59" s="414">
        <f t="shared" si="119"/>
        <v>0.11969111969111977</v>
      </c>
      <c r="AM59" s="415">
        <f t="shared" si="119"/>
        <v>0.13770655983975955</v>
      </c>
      <c r="AN59" s="414">
        <f t="shared" si="119"/>
        <v>0.12324216587310378</v>
      </c>
      <c r="AO59" s="414">
        <f t="shared" si="119"/>
        <v>0.12875055978504263</v>
      </c>
      <c r="AP59" s="414">
        <f t="shared" si="119"/>
        <v>0.13253155513217424</v>
      </c>
      <c r="AQ59" s="415">
        <f t="shared" si="119"/>
        <v>0.14462438146648673</v>
      </c>
      <c r="AR59" s="414">
        <f t="shared" si="119"/>
        <v>0.11324411628980161</v>
      </c>
      <c r="AS59" s="414">
        <f t="shared" si="119"/>
        <v>0.13838402015475987</v>
      </c>
      <c r="AT59" s="414">
        <f t="shared" si="119"/>
        <v>0.13436102388428969</v>
      </c>
      <c r="AU59" s="415">
        <f t="shared" si="119"/>
        <v>0.13800000000000001</v>
      </c>
      <c r="AV59" s="414">
        <f t="shared" si="119"/>
        <v>0.1230955678670361</v>
      </c>
      <c r="AW59" s="414">
        <f t="shared" si="119"/>
        <v>0.13305382048429881</v>
      </c>
      <c r="AX59" s="414">
        <f t="shared" si="119"/>
        <v>0.10749131911681445</v>
      </c>
      <c r="AY59" s="415">
        <f t="shared" si="119"/>
        <v>0.12092679814706946</v>
      </c>
      <c r="AZ59" s="414">
        <f t="shared" si="119"/>
        <v>0.12842385349819993</v>
      </c>
      <c r="BA59" s="414">
        <f t="shared" si="119"/>
        <v>0.12548559700945536</v>
      </c>
      <c r="BB59" s="414">
        <f t="shared" si="119"/>
        <v>0.12012789281364179</v>
      </c>
      <c r="BC59" s="415">
        <f t="shared" si="119"/>
        <v>0.1392672445189016</v>
      </c>
      <c r="BD59" s="414">
        <f t="shared" si="119"/>
        <v>0.12909466942424444</v>
      </c>
      <c r="BE59" s="414">
        <f t="shared" si="119"/>
        <v>0.12844520638269807</v>
      </c>
      <c r="BF59" s="414">
        <f t="shared" si="119"/>
        <v>0.10659880780621175</v>
      </c>
      <c r="BG59" s="415">
        <f t="shared" si="119"/>
        <v>6.6344605475040203E-2</v>
      </c>
      <c r="BH59" s="414">
        <f t="shared" si="119"/>
        <v>7.6632092739475327E-2</v>
      </c>
      <c r="BI59" s="414">
        <f t="shared" si="119"/>
        <v>5.5039108021426378E-2</v>
      </c>
      <c r="BJ59" s="414">
        <f t="shared" si="119"/>
        <v>8.3965752091846618E-2</v>
      </c>
      <c r="BK59" s="415">
        <f t="shared" si="119"/>
        <v>0.1076525077192689</v>
      </c>
      <c r="BL59" s="414">
        <f t="shared" si="119"/>
        <v>0.12768106931924153</v>
      </c>
      <c r="BM59" s="414">
        <f t="shared" si="119"/>
        <v>0.13694872335935857</v>
      </c>
      <c r="BN59" s="414">
        <f t="shared" si="119"/>
        <v>0.12722375788503806</v>
      </c>
      <c r="BO59" s="415">
        <f t="shared" si="119"/>
        <v>0.13753749836963616</v>
      </c>
      <c r="BP59" s="414">
        <f t="shared" ref="BP59:CU59" si="120">BP58/BP9</f>
        <v>0.13881183541377726</v>
      </c>
      <c r="BQ59" s="414">
        <f t="shared" si="120"/>
        <v>0.1447657796349241</v>
      </c>
      <c r="BR59" s="414">
        <f t="shared" si="120"/>
        <v>0.14555195892398703</v>
      </c>
      <c r="BS59" s="415">
        <f t="shared" si="120"/>
        <v>0.15662175114168123</v>
      </c>
      <c r="BT59" s="414">
        <f t="shared" si="120"/>
        <v>0.15524183006535947</v>
      </c>
      <c r="BU59" s="414">
        <f t="shared" si="120"/>
        <v>0.15460030165912522</v>
      </c>
      <c r="BV59" s="414">
        <f t="shared" si="120"/>
        <v>0.13331760264275605</v>
      </c>
      <c r="BW59" s="415">
        <f t="shared" si="120"/>
        <v>0.14710022686289326</v>
      </c>
      <c r="BX59" s="414">
        <f t="shared" si="120"/>
        <v>0.15037545243368808</v>
      </c>
      <c r="BY59" s="414">
        <f t="shared" si="120"/>
        <v>0.16510903426791285</v>
      </c>
      <c r="BZ59" s="414">
        <f t="shared" si="120"/>
        <v>0.16083490200420777</v>
      </c>
      <c r="CA59" s="415">
        <f t="shared" si="120"/>
        <v>0.15996870690569648</v>
      </c>
      <c r="CB59" s="414">
        <f t="shared" si="120"/>
        <v>0.16175279497145048</v>
      </c>
      <c r="CC59" s="414">
        <f t="shared" si="120"/>
        <v>0.16917624032771961</v>
      </c>
      <c r="CD59" s="414">
        <f t="shared" si="120"/>
        <v>0.16170464051965949</v>
      </c>
      <c r="CE59" s="415">
        <f t="shared" si="120"/>
        <v>0.16215673477584222</v>
      </c>
      <c r="CF59" s="414">
        <f t="shared" si="120"/>
        <v>0.16812821288176596</v>
      </c>
      <c r="CG59" s="414">
        <f t="shared" si="120"/>
        <v>0.1668389192381515</v>
      </c>
      <c r="CH59" s="414">
        <f t="shared" si="120"/>
        <v>0.17213375796178348</v>
      </c>
      <c r="CI59" s="415">
        <f t="shared" si="120"/>
        <v>0.15929536997786251</v>
      </c>
      <c r="CJ59" s="414">
        <f t="shared" si="120"/>
        <v>0.16344882306268183</v>
      </c>
      <c r="CK59" s="414">
        <f t="shared" si="120"/>
        <v>0.16567920315988316</v>
      </c>
      <c r="CL59" s="414">
        <f t="shared" si="120"/>
        <v>0.16398699304489203</v>
      </c>
      <c r="CM59" s="415">
        <f t="shared" si="120"/>
        <v>0.16812749003984068</v>
      </c>
      <c r="CN59" s="414">
        <f t="shared" si="120"/>
        <v>0.16202742002492726</v>
      </c>
      <c r="CO59" s="414">
        <f t="shared" si="120"/>
        <v>0.16709210361133192</v>
      </c>
      <c r="CP59" s="414">
        <f t="shared" si="120"/>
        <v>0.16687360317854474</v>
      </c>
      <c r="CQ59" s="415">
        <f t="shared" ref="CQ59" si="121">CQ58/CQ9</f>
        <v>0.16780080420661922</v>
      </c>
      <c r="CR59" s="414">
        <f t="shared" si="120"/>
        <v>0.16923845948999391</v>
      </c>
      <c r="CS59" s="414">
        <f t="shared" si="120"/>
        <v>0.17161583929665239</v>
      </c>
      <c r="CT59" s="414">
        <f t="shared" si="120"/>
        <v>0.16719261543299968</v>
      </c>
      <c r="CU59" s="415">
        <f t="shared" si="120"/>
        <v>0.17970708191914633</v>
      </c>
      <c r="CV59" s="416"/>
      <c r="CW59" s="414"/>
      <c r="CX59" s="414">
        <f t="shared" ref="CX59:DZ59" si="122">CX58/CX9</f>
        <v>8.9158076894138794E-2</v>
      </c>
      <c r="CY59" s="414">
        <f t="shared" si="122"/>
        <v>0.13583533536783338</v>
      </c>
      <c r="CZ59" s="414">
        <f t="shared" si="122"/>
        <v>0.14691567628749294</v>
      </c>
      <c r="DA59" s="414">
        <f t="shared" si="122"/>
        <v>0.13665069686411144</v>
      </c>
      <c r="DB59" s="414">
        <f t="shared" si="122"/>
        <v>0.11205564142194743</v>
      </c>
      <c r="DC59" s="414">
        <f t="shared" si="122"/>
        <v>0.15068596696776124</v>
      </c>
      <c r="DD59" s="414">
        <f t="shared" si="122"/>
        <v>0.13493514777801394</v>
      </c>
      <c r="DE59" s="414">
        <f t="shared" si="122"/>
        <v>0.13170517373951882</v>
      </c>
      <c r="DF59" s="414">
        <f t="shared" si="122"/>
        <v>0.12853512315912927</v>
      </c>
      <c r="DG59" s="414">
        <f t="shared" si="122"/>
        <v>0.13224406433495015</v>
      </c>
      <c r="DH59" s="414">
        <f t="shared" si="122"/>
        <v>0.13096185197261179</v>
      </c>
      <c r="DI59" s="414">
        <f t="shared" si="122"/>
        <v>0.12145876768293563</v>
      </c>
      <c r="DJ59" s="414">
        <f t="shared" si="122"/>
        <v>0.12842022294786615</v>
      </c>
      <c r="DK59" s="414">
        <f t="shared" si="122"/>
        <v>0.11217537757176232</v>
      </c>
      <c r="DL59" s="414">
        <f t="shared" si="122"/>
        <v>8.2923628342983294E-2</v>
      </c>
      <c r="DM59" s="414">
        <f t="shared" si="122"/>
        <v>0.13257146900650993</v>
      </c>
      <c r="DN59" s="414">
        <f t="shared" si="122"/>
        <v>0.14647139022024819</v>
      </c>
      <c r="DO59" s="414">
        <f t="shared" si="122"/>
        <v>0.14795355830270651</v>
      </c>
      <c r="DP59" s="414">
        <f t="shared" si="122"/>
        <v>0.15910026087190393</v>
      </c>
      <c r="DQ59" s="414">
        <f t="shared" si="122"/>
        <v>0.16380166403775986</v>
      </c>
      <c r="DR59" s="414">
        <f t="shared" si="122"/>
        <v>0.16640492571542528</v>
      </c>
      <c r="DS59" s="414">
        <f t="shared" si="122"/>
        <v>0.16531804652188298</v>
      </c>
      <c r="DT59" s="414">
        <f t="shared" si="122"/>
        <v>0.16598124355821323</v>
      </c>
      <c r="DU59" s="414">
        <f t="shared" si="122"/>
        <v>0.17205197986346377</v>
      </c>
      <c r="DV59" s="414">
        <f t="shared" si="122"/>
        <v>0.17081697564318846</v>
      </c>
      <c r="DW59" s="414">
        <f t="shared" si="122"/>
        <v>0.16761446981337119</v>
      </c>
      <c r="DX59" s="414">
        <f t="shared" si="122"/>
        <v>0.16438264427894753</v>
      </c>
      <c r="DY59" s="414">
        <f t="shared" si="122"/>
        <v>0.1610874524290426</v>
      </c>
      <c r="DZ59" s="414">
        <f t="shared" si="122"/>
        <v>0.15771684970350192</v>
      </c>
      <c r="EA59" s="417"/>
      <c r="EB59"/>
      <c r="EC59"/>
      <c r="ED59"/>
      <c r="EE59"/>
      <c r="EF59"/>
      <c r="EG59"/>
    </row>
    <row r="60" spans="1:137" s="418" customFormat="1">
      <c r="A60" s="411"/>
      <c r="B60" s="412" t="s">
        <v>293</v>
      </c>
      <c r="C60" s="898"/>
      <c r="D60" s="413"/>
      <c r="E60" s="414"/>
      <c r="F60" s="414"/>
      <c r="G60" s="415"/>
      <c r="H60" s="414">
        <f t="shared" ref="H60:AM60" si="123">H58/D58-1</f>
        <v>0.30128205128204999</v>
      </c>
      <c r="I60" s="414">
        <f t="shared" si="123"/>
        <v>0.58789625360230557</v>
      </c>
      <c r="J60" s="414">
        <f t="shared" si="123"/>
        <v>1.5408163265306114</v>
      </c>
      <c r="K60" s="415">
        <f t="shared" si="123"/>
        <v>0.93030303030302997</v>
      </c>
      <c r="L60" s="414">
        <f t="shared" si="123"/>
        <v>0.52216748768472931</v>
      </c>
      <c r="M60" s="414">
        <f t="shared" si="123"/>
        <v>0.24863883847549828</v>
      </c>
      <c r="N60" s="414">
        <f t="shared" si="123"/>
        <v>0.15662650602409656</v>
      </c>
      <c r="O60" s="415">
        <f t="shared" si="123"/>
        <v>0.12087912087912112</v>
      </c>
      <c r="P60" s="414">
        <f t="shared" si="123"/>
        <v>0</v>
      </c>
      <c r="Q60" s="414">
        <f t="shared" si="123"/>
        <v>-0.16569767441860395</v>
      </c>
      <c r="R60" s="414">
        <f t="shared" si="123"/>
        <v>-8.6805555555558023E-3</v>
      </c>
      <c r="S60" s="415">
        <f t="shared" si="123"/>
        <v>4.6218487394957819E-2</v>
      </c>
      <c r="T60" s="414">
        <f t="shared" si="123"/>
        <v>3.5598705501617811E-2</v>
      </c>
      <c r="U60" s="414">
        <f t="shared" si="123"/>
        <v>0.62543554006968516</v>
      </c>
      <c r="V60" s="414">
        <f t="shared" si="123"/>
        <v>0.40630472854641053</v>
      </c>
      <c r="W60" s="415">
        <f t="shared" si="123"/>
        <v>0.38955823293172576</v>
      </c>
      <c r="X60" s="414">
        <f t="shared" si="123"/>
        <v>0.81875000000000142</v>
      </c>
      <c r="Y60" s="414">
        <f t="shared" si="123"/>
        <v>0.19828510182207926</v>
      </c>
      <c r="Z60" s="414">
        <f t="shared" si="123"/>
        <v>9.4645080946450078E-2</v>
      </c>
      <c r="AA60" s="415">
        <f t="shared" si="123"/>
        <v>-0.2042389210019262</v>
      </c>
      <c r="AB60" s="414">
        <f t="shared" si="123"/>
        <v>-0.31185567010309356</v>
      </c>
      <c r="AC60" s="414">
        <f t="shared" si="123"/>
        <v>-0.24508050089445421</v>
      </c>
      <c r="AD60" s="414">
        <f t="shared" si="123"/>
        <v>-0.14220705346985241</v>
      </c>
      <c r="AE60" s="415">
        <f t="shared" si="123"/>
        <v>-6.2953995157385534E-2</v>
      </c>
      <c r="AF60" s="414">
        <f t="shared" si="123"/>
        <v>2.6217228464420206E-2</v>
      </c>
      <c r="AG60" s="414">
        <f t="shared" si="123"/>
        <v>0.20497630331753514</v>
      </c>
      <c r="AH60" s="414">
        <f t="shared" si="123"/>
        <v>8.0901856763925695E-2</v>
      </c>
      <c r="AI60" s="415">
        <f t="shared" si="123"/>
        <v>0.2183462532299747</v>
      </c>
      <c r="AJ60" s="414">
        <f t="shared" si="123"/>
        <v>0.18734793187347965</v>
      </c>
      <c r="AK60" s="414">
        <f t="shared" si="123"/>
        <v>-1.5732546705996886E-2</v>
      </c>
      <c r="AL60" s="414">
        <f t="shared" si="123"/>
        <v>6.5030674846626946E-2</v>
      </c>
      <c r="AM60" s="415">
        <f t="shared" si="123"/>
        <v>0.16648992576882238</v>
      </c>
      <c r="AN60" s="414">
        <f t="shared" ref="AN60:BS60" si="124">AN58/AJ58-1</f>
        <v>0.14036885245901654</v>
      </c>
      <c r="AO60" s="414">
        <f t="shared" si="124"/>
        <v>0.14885114885114903</v>
      </c>
      <c r="AP60" s="414">
        <f t="shared" si="124"/>
        <v>0.28225806451612723</v>
      </c>
      <c r="AQ60" s="415">
        <f t="shared" si="124"/>
        <v>0.16909090909091029</v>
      </c>
      <c r="AR60" s="414">
        <f t="shared" si="124"/>
        <v>0.1024258760107819</v>
      </c>
      <c r="AS60" s="414">
        <f t="shared" si="124"/>
        <v>0.33739130434782627</v>
      </c>
      <c r="AT60" s="414">
        <f t="shared" si="124"/>
        <v>0.26864330637915668</v>
      </c>
      <c r="AU60" s="415">
        <f t="shared" si="124"/>
        <v>0.1246034214618974</v>
      </c>
      <c r="AV60" s="414">
        <f t="shared" si="124"/>
        <v>0.15892420537897345</v>
      </c>
      <c r="AW60" s="414">
        <f t="shared" si="124"/>
        <v>1.1053315994797863E-2</v>
      </c>
      <c r="AX60" s="414">
        <f t="shared" si="124"/>
        <v>-0.19320609065155869</v>
      </c>
      <c r="AY60" s="415">
        <f t="shared" si="124"/>
        <v>4.7968064313899106E-3</v>
      </c>
      <c r="AZ60" s="414">
        <f t="shared" si="124"/>
        <v>0.15400843881856363</v>
      </c>
      <c r="BA60" s="414">
        <f t="shared" si="124"/>
        <v>0.10096463022507973</v>
      </c>
      <c r="BB60" s="414">
        <f t="shared" si="124"/>
        <v>0.38519109580202748</v>
      </c>
      <c r="BC60" s="415">
        <f t="shared" si="124"/>
        <v>0.31573756082074844</v>
      </c>
      <c r="BD60" s="414">
        <f t="shared" si="124"/>
        <v>0.17915904936014737</v>
      </c>
      <c r="BE60" s="414">
        <f t="shared" si="124"/>
        <v>0.13785046728971939</v>
      </c>
      <c r="BF60" s="414">
        <f t="shared" si="124"/>
        <v>-0.11039309252217733</v>
      </c>
      <c r="BG60" s="415">
        <f t="shared" si="124"/>
        <v>-0.6767782426778246</v>
      </c>
      <c r="BH60" s="414">
        <f t="shared" si="124"/>
        <v>-0.67545219638242882</v>
      </c>
      <c r="BI60" s="414">
        <f t="shared" si="124"/>
        <v>-0.74113536566103244</v>
      </c>
      <c r="BJ60" s="414">
        <f t="shared" si="124"/>
        <v>-0.38523993130929013</v>
      </c>
      <c r="BK60" s="415">
        <f t="shared" si="124"/>
        <v>1.087378640776699</v>
      </c>
      <c r="BL60" s="414">
        <f t="shared" si="124"/>
        <v>1.616242038216559</v>
      </c>
      <c r="BM60" s="414">
        <f t="shared" si="124"/>
        <v>2.8610397883422212</v>
      </c>
      <c r="BN60" s="414">
        <f t="shared" si="124"/>
        <v>1.079953650057941</v>
      </c>
      <c r="BO60" s="415">
        <f t="shared" si="124"/>
        <v>0.63488372093023449</v>
      </c>
      <c r="BP60" s="414">
        <f t="shared" si="124"/>
        <v>0.46195982958003778</v>
      </c>
      <c r="BQ60" s="414">
        <f t="shared" si="124"/>
        <v>0.35233692860811439</v>
      </c>
      <c r="BR60" s="414">
        <f t="shared" si="124"/>
        <v>0.4529247910863492</v>
      </c>
      <c r="BS60" s="415">
        <f t="shared" si="124"/>
        <v>0.31721194879089554</v>
      </c>
      <c r="BT60" s="414">
        <f t="shared" ref="BT60:CU60" si="125">BT58/BP58-1</f>
        <v>0.23605328892589394</v>
      </c>
      <c r="BU60" s="414">
        <f t="shared" si="125"/>
        <v>9.0011393847322818E-2</v>
      </c>
      <c r="BV60" s="414">
        <f t="shared" si="125"/>
        <v>-0.13343558282208556</v>
      </c>
      <c r="BW60" s="415">
        <f t="shared" si="125"/>
        <v>-8.9704823614111695E-2</v>
      </c>
      <c r="BX60" s="414">
        <f t="shared" si="125"/>
        <v>-6.2445267766924828E-2</v>
      </c>
      <c r="BY60" s="414">
        <f t="shared" si="125"/>
        <v>8.9547038327526529E-2</v>
      </c>
      <c r="BZ60" s="414">
        <f t="shared" si="125"/>
        <v>0.28539823008849585</v>
      </c>
      <c r="CA60" s="415">
        <f t="shared" si="125"/>
        <v>0.19268032268269675</v>
      </c>
      <c r="CB60" s="414">
        <f t="shared" si="125"/>
        <v>0.2110540307515445</v>
      </c>
      <c r="CC60" s="414">
        <f t="shared" si="125"/>
        <v>0.18861592580748243</v>
      </c>
      <c r="CD60" s="414">
        <f t="shared" si="125"/>
        <v>0.13115318416523203</v>
      </c>
      <c r="CE60" s="415">
        <f t="shared" si="125"/>
        <v>7.0937152898658651E-2</v>
      </c>
      <c r="CF60" s="414">
        <f t="shared" si="125"/>
        <v>-1.0409096167708021E-2</v>
      </c>
      <c r="CG60" s="414">
        <f t="shared" si="125"/>
        <v>-8.7925587642279313E-2</v>
      </c>
      <c r="CH60" s="414">
        <f t="shared" si="125"/>
        <v>-1.3085818624467338E-2</v>
      </c>
      <c r="CI60" s="415">
        <f t="shared" si="125"/>
        <v>4.7058823529410931E-2</v>
      </c>
      <c r="CJ60" s="414">
        <f t="shared" si="125"/>
        <v>0.11151079136690623</v>
      </c>
      <c r="CK60" s="414">
        <f t="shared" si="125"/>
        <v>0.13834808259586939</v>
      </c>
      <c r="CL60" s="414">
        <f t="shared" si="125"/>
        <v>0.11964230650632079</v>
      </c>
      <c r="CM60" s="415">
        <f t="shared" si="125"/>
        <v>0.12300413956238976</v>
      </c>
      <c r="CN60" s="414">
        <f t="shared" si="125"/>
        <v>5.1779935275080957E-2</v>
      </c>
      <c r="CO60" s="414">
        <f t="shared" si="125"/>
        <v>3.4724021767297275E-2</v>
      </c>
      <c r="CP60" s="414">
        <f t="shared" si="125"/>
        <v>0.11043789589644692</v>
      </c>
      <c r="CQ60" s="415">
        <f t="shared" si="125"/>
        <v>0.1427066877303842</v>
      </c>
      <c r="CR60" s="414">
        <f t="shared" si="125"/>
        <v>0.15730309538783538</v>
      </c>
      <c r="CS60" s="414">
        <f t="shared" si="125"/>
        <v>0.17248802740362801</v>
      </c>
      <c r="CT60" s="414">
        <f t="shared" si="125"/>
        <v>8.8095582665427052E-2</v>
      </c>
      <c r="CU60" s="415">
        <f t="shared" si="125"/>
        <v>0.15995060491505075</v>
      </c>
      <c r="CV60" s="416"/>
      <c r="CW60" s="414"/>
      <c r="CX60" s="414"/>
      <c r="CY60" s="414">
        <f t="shared" ref="CY60:DT60" si="126">CY58/CX58-1</f>
        <v>0.76540084388186025</v>
      </c>
      <c r="CZ60" s="414">
        <f t="shared" si="126"/>
        <v>0.24091778202676761</v>
      </c>
      <c r="DA60" s="414">
        <f t="shared" si="126"/>
        <v>-3.3127889060093008E-2</v>
      </c>
      <c r="DB60" s="414">
        <f t="shared" si="126"/>
        <v>9.7609561752988405E-2</v>
      </c>
      <c r="DC60" s="414">
        <f t="shared" si="126"/>
        <v>0.44718693284936295</v>
      </c>
      <c r="DD60" s="414">
        <f t="shared" si="126"/>
        <v>-0.2041635314773006</v>
      </c>
      <c r="DE60" s="414">
        <f t="shared" si="126"/>
        <v>0.13362748187834872</v>
      </c>
      <c r="DF60" s="414">
        <f t="shared" si="126"/>
        <v>9.6747289407838943E-2</v>
      </c>
      <c r="DG60" s="414">
        <f t="shared" si="126"/>
        <v>0.18174904942965875</v>
      </c>
      <c r="DH60" s="414">
        <f t="shared" si="126"/>
        <v>0.206186186186188</v>
      </c>
      <c r="DI60" s="414">
        <f t="shared" si="126"/>
        <v>-9.5798270510728534E-3</v>
      </c>
      <c r="DJ60" s="414">
        <f t="shared" si="126"/>
        <v>0.22868467895622668</v>
      </c>
      <c r="DK60" s="414">
        <f t="shared" si="126"/>
        <v>-0.13710365336840569</v>
      </c>
      <c r="DL60" s="414">
        <f t="shared" si="126"/>
        <v>-0.44362747686558879</v>
      </c>
      <c r="DM60" s="414">
        <f t="shared" si="126"/>
        <v>1.2810922269128273</v>
      </c>
      <c r="DN60" s="414">
        <f t="shared" si="126"/>
        <v>0.39057912997064403</v>
      </c>
      <c r="DO60" s="414">
        <f t="shared" si="126"/>
        <v>1.9844544669419317E-2</v>
      </c>
      <c r="DP60" s="414">
        <f t="shared" si="126"/>
        <v>0.11327367846590941</v>
      </c>
      <c r="DQ60" s="414">
        <f t="shared" si="126"/>
        <v>0.14978823748166881</v>
      </c>
      <c r="DR60" s="414">
        <f t="shared" si="126"/>
        <v>-1.8589680070967396E-2</v>
      </c>
      <c r="DS60" s="414">
        <f t="shared" si="126"/>
        <v>0.12321174443861871</v>
      </c>
      <c r="DT60" s="414">
        <f t="shared" si="126"/>
        <v>8.4622566017603651E-2</v>
      </c>
      <c r="DU60" s="414">
        <f t="shared" ref="DU60:DZ60" si="127">(DU58-DT58)/DT58</f>
        <v>0.14458123455724523</v>
      </c>
      <c r="DV60" s="414">
        <f t="shared" si="127"/>
        <v>4.8103225622740775E-2</v>
      </c>
      <c r="DW60" s="414">
        <f t="shared" si="127"/>
        <v>2.7797404795870187E-2</v>
      </c>
      <c r="DX60" s="414">
        <f t="shared" si="127"/>
        <v>2.1214345816589403E-2</v>
      </c>
      <c r="DY60" s="414">
        <f t="shared" si="127"/>
        <v>7.6630472989117748E-3</v>
      </c>
      <c r="DZ60" s="414">
        <f t="shared" si="127"/>
        <v>-7.3990969763739383E-3</v>
      </c>
      <c r="EA60" s="417"/>
      <c r="EB60"/>
      <c r="EC60"/>
      <c r="ED60"/>
      <c r="EE60"/>
      <c r="EF60"/>
      <c r="EG60"/>
    </row>
    <row r="61" spans="1:137">
      <c r="A61" s="374"/>
      <c r="B61" s="488"/>
      <c r="C61" s="901"/>
      <c r="D61" s="489"/>
      <c r="E61" s="490"/>
      <c r="F61" s="490"/>
      <c r="G61" s="491"/>
      <c r="H61" s="490"/>
      <c r="I61" s="490"/>
      <c r="J61" s="490"/>
      <c r="K61" s="491"/>
      <c r="L61" s="490"/>
      <c r="M61" s="490"/>
      <c r="N61" s="490"/>
      <c r="O61" s="491"/>
      <c r="P61" s="490"/>
      <c r="Q61" s="490"/>
      <c r="R61" s="490"/>
      <c r="S61" s="491"/>
      <c r="T61" s="490"/>
      <c r="U61" s="490"/>
      <c r="V61" s="490"/>
      <c r="W61" s="491"/>
      <c r="X61" s="490"/>
      <c r="Y61" s="490"/>
      <c r="Z61" s="490"/>
      <c r="AA61" s="491"/>
      <c r="AB61" s="490"/>
      <c r="AC61" s="490"/>
      <c r="AD61" s="490"/>
      <c r="AE61" s="491"/>
      <c r="AF61" s="490"/>
      <c r="AG61" s="490"/>
      <c r="AH61" s="490"/>
      <c r="AI61" s="491"/>
      <c r="AJ61" s="490"/>
      <c r="AK61" s="490"/>
      <c r="AL61" s="490"/>
      <c r="AM61" s="491"/>
      <c r="AN61" s="490"/>
      <c r="AO61" s="490"/>
      <c r="AP61" s="490"/>
      <c r="AQ61" s="491"/>
      <c r="AR61" s="490"/>
      <c r="AS61" s="490"/>
      <c r="AT61" s="490"/>
      <c r="AU61" s="491"/>
      <c r="AV61" s="490"/>
      <c r="AW61" s="490"/>
      <c r="AX61" s="490"/>
      <c r="AY61" s="491"/>
      <c r="AZ61" s="490"/>
      <c r="BA61" s="490"/>
      <c r="BB61" s="490"/>
      <c r="BC61" s="491"/>
      <c r="BD61" s="490"/>
      <c r="BE61" s="490"/>
      <c r="BF61" s="490"/>
      <c r="BG61" s="491"/>
      <c r="BH61" s="490"/>
      <c r="BI61" s="490"/>
      <c r="BJ61" s="490"/>
      <c r="BK61" s="491"/>
      <c r="BL61" s="490"/>
      <c r="BM61" s="490"/>
      <c r="BN61" s="490"/>
      <c r="BO61" s="491"/>
      <c r="BP61" s="490"/>
      <c r="BQ61" s="490"/>
      <c r="BR61" s="490"/>
      <c r="BS61" s="491"/>
      <c r="BT61" s="490"/>
      <c r="BU61" s="490"/>
      <c r="BV61" s="490"/>
      <c r="BW61" s="491"/>
      <c r="BX61" s="490"/>
      <c r="BY61" s="490"/>
      <c r="BZ61" s="490"/>
      <c r="CA61" s="491"/>
      <c r="CB61" s="490"/>
      <c r="CC61" s="490"/>
      <c r="CD61" s="490"/>
      <c r="CE61" s="491"/>
      <c r="CF61" s="490"/>
      <c r="CG61" s="490"/>
      <c r="CH61" s="490"/>
      <c r="CI61" s="491"/>
      <c r="CJ61" s="490"/>
      <c r="CK61" s="490"/>
      <c r="CL61" s="490"/>
      <c r="CM61" s="491"/>
      <c r="CN61" s="488"/>
      <c r="CO61" s="488"/>
      <c r="CP61" s="490"/>
      <c r="CQ61" s="491"/>
      <c r="CR61" s="488"/>
      <c r="CS61" s="488"/>
      <c r="CT61" s="488"/>
      <c r="CU61" s="492"/>
      <c r="CV61" s="376"/>
      <c r="CW61" s="488"/>
      <c r="CX61" s="490"/>
      <c r="CY61" s="490"/>
      <c r="CZ61" s="490"/>
      <c r="DA61" s="490"/>
      <c r="DB61" s="490"/>
      <c r="DC61" s="490"/>
      <c r="DD61" s="490"/>
      <c r="DE61" s="490"/>
      <c r="DF61" s="490"/>
      <c r="DG61" s="490"/>
      <c r="DH61" s="490"/>
      <c r="DI61" s="490"/>
      <c r="DJ61" s="490"/>
      <c r="DK61" s="490"/>
      <c r="DL61" s="490"/>
      <c r="DM61" s="490"/>
      <c r="DN61" s="490"/>
      <c r="DO61" s="490"/>
      <c r="DP61" s="488"/>
      <c r="DQ61" s="488"/>
      <c r="DR61" s="488"/>
      <c r="DS61" s="488"/>
      <c r="DT61" s="488"/>
      <c r="DU61" s="488"/>
      <c r="DV61" s="488"/>
      <c r="DW61" s="488"/>
      <c r="DX61" s="488"/>
      <c r="DY61" s="488"/>
      <c r="DZ61" s="488"/>
      <c r="EA61" s="493"/>
    </row>
    <row r="62" spans="1:137" s="803" customFormat="1">
      <c r="A62" s="795"/>
      <c r="B62" s="804" t="s">
        <v>437</v>
      </c>
      <c r="C62" s="905"/>
      <c r="D62" s="797"/>
      <c r="E62" s="798"/>
      <c r="F62" s="798"/>
      <c r="G62" s="799"/>
      <c r="H62" s="798"/>
      <c r="I62" s="798"/>
      <c r="J62" s="798"/>
      <c r="K62" s="799"/>
      <c r="L62" s="798"/>
      <c r="M62" s="798"/>
      <c r="N62" s="798"/>
      <c r="O62" s="799"/>
      <c r="P62" s="798"/>
      <c r="Q62" s="798"/>
      <c r="R62" s="798"/>
      <c r="S62" s="799"/>
      <c r="T62" s="798"/>
      <c r="U62" s="798"/>
      <c r="V62" s="798"/>
      <c r="W62" s="799"/>
      <c r="X62" s="798"/>
      <c r="Y62" s="798"/>
      <c r="Z62" s="798"/>
      <c r="AA62" s="799"/>
      <c r="AB62" s="798"/>
      <c r="AC62" s="798"/>
      <c r="AD62" s="798"/>
      <c r="AE62" s="799"/>
      <c r="AF62" s="798"/>
      <c r="AG62" s="798"/>
      <c r="AH62" s="798"/>
      <c r="AI62" s="799"/>
      <c r="AJ62" s="798"/>
      <c r="AK62" s="798"/>
      <c r="AL62" s="798"/>
      <c r="AM62" s="799"/>
      <c r="AN62" s="798"/>
      <c r="AO62" s="798"/>
      <c r="AP62" s="798"/>
      <c r="AQ62" s="799"/>
      <c r="AR62" s="798"/>
      <c r="AS62" s="798"/>
      <c r="AT62" s="798"/>
      <c r="AU62" s="799"/>
      <c r="AV62" s="798"/>
      <c r="AW62" s="798"/>
      <c r="AX62" s="798"/>
      <c r="AY62" s="799"/>
      <c r="AZ62" s="798"/>
      <c r="BA62" s="798"/>
      <c r="BB62" s="798"/>
      <c r="BC62" s="799"/>
      <c r="BD62" s="798"/>
      <c r="BE62" s="800"/>
      <c r="BF62" s="798"/>
      <c r="BG62" s="813"/>
      <c r="BH62" s="800"/>
      <c r="BI62" s="800"/>
      <c r="BJ62" s="800"/>
      <c r="BK62" s="813"/>
      <c r="BL62" s="800"/>
      <c r="BM62" s="800"/>
      <c r="BN62" s="800"/>
      <c r="BO62" s="813"/>
      <c r="BP62" s="800"/>
      <c r="BQ62" s="800"/>
      <c r="BR62" s="800"/>
      <c r="BS62" s="813"/>
      <c r="BT62" s="800"/>
      <c r="BU62" s="800"/>
      <c r="BV62" s="800"/>
      <c r="BW62" s="813"/>
      <c r="BX62" s="800"/>
      <c r="BY62" s="800"/>
      <c r="BZ62" s="800"/>
      <c r="CA62" s="813"/>
      <c r="CB62" s="800"/>
      <c r="CC62" s="800"/>
      <c r="CD62" s="800"/>
      <c r="CE62" s="813"/>
      <c r="CF62" s="800"/>
      <c r="CG62" s="800"/>
      <c r="CH62" s="800"/>
      <c r="CI62" s="813"/>
      <c r="CJ62" s="800"/>
      <c r="CK62" s="800"/>
      <c r="CL62" s="800"/>
      <c r="CM62" s="813"/>
      <c r="CN62" s="812"/>
      <c r="CO62" s="812"/>
      <c r="CP62" s="800"/>
      <c r="CQ62" s="813"/>
      <c r="CR62" s="796"/>
      <c r="CS62" s="796"/>
      <c r="CT62" s="796"/>
      <c r="CU62" s="801"/>
      <c r="CV62" s="802"/>
      <c r="CW62" s="796"/>
      <c r="CX62" s="798"/>
      <c r="CY62" s="798"/>
      <c r="CZ62" s="798"/>
      <c r="DA62" s="798"/>
      <c r="DB62" s="798"/>
      <c r="DC62" s="798"/>
      <c r="DD62" s="798"/>
      <c r="DE62" s="798"/>
      <c r="DF62" s="798"/>
      <c r="DG62" s="798"/>
      <c r="DH62" s="798"/>
      <c r="DI62" s="798"/>
      <c r="DJ62" s="812">
        <v>17700</v>
      </c>
      <c r="DK62" s="812">
        <v>13800</v>
      </c>
      <c r="DL62" s="812">
        <v>12500</v>
      </c>
      <c r="DM62" s="812">
        <v>17500</v>
      </c>
      <c r="DN62" s="812">
        <v>19250</v>
      </c>
      <c r="DO62" s="812">
        <v>19100</v>
      </c>
      <c r="DP62" s="812">
        <v>19700</v>
      </c>
      <c r="DQ62" s="812">
        <v>22000</v>
      </c>
      <c r="DR62" s="812">
        <v>30000</v>
      </c>
      <c r="DS62" s="812">
        <v>27000</v>
      </c>
      <c r="DT62" s="796"/>
      <c r="DU62" s="796"/>
      <c r="DV62" s="796"/>
      <c r="DW62" s="796"/>
      <c r="DX62" s="796"/>
      <c r="DY62" s="796"/>
      <c r="DZ62" s="796"/>
      <c r="EA62" s="798"/>
      <c r="EB62"/>
      <c r="EC62"/>
      <c r="ED62"/>
      <c r="EE62"/>
      <c r="EF62"/>
      <c r="EG62"/>
    </row>
    <row r="63" spans="1:137">
      <c r="A63" s="374"/>
      <c r="B63" s="488"/>
      <c r="C63" s="901"/>
      <c r="D63" s="489"/>
      <c r="E63" s="490"/>
      <c r="F63" s="490"/>
      <c r="G63" s="491"/>
      <c r="H63" s="490"/>
      <c r="I63" s="490"/>
      <c r="J63" s="490"/>
      <c r="K63" s="491"/>
      <c r="L63" s="490"/>
      <c r="M63" s="490"/>
      <c r="N63" s="490"/>
      <c r="O63" s="491"/>
      <c r="P63" s="490"/>
      <c r="Q63" s="490"/>
      <c r="R63" s="490"/>
      <c r="S63" s="491"/>
      <c r="T63" s="490"/>
      <c r="U63" s="490"/>
      <c r="V63" s="490"/>
      <c r="W63" s="491"/>
      <c r="X63" s="490"/>
      <c r="Y63" s="490"/>
      <c r="Z63" s="490"/>
      <c r="AA63" s="491"/>
      <c r="AB63" s="490"/>
      <c r="AC63" s="490"/>
      <c r="AD63" s="490"/>
      <c r="AE63" s="491"/>
      <c r="AF63" s="490"/>
      <c r="AG63" s="490"/>
      <c r="AH63" s="490"/>
      <c r="AI63" s="491"/>
      <c r="AJ63" s="490"/>
      <c r="AK63" s="490"/>
      <c r="AL63" s="490"/>
      <c r="AM63" s="491"/>
      <c r="AN63" s="490"/>
      <c r="AO63" s="490"/>
      <c r="AP63" s="490"/>
      <c r="AQ63" s="491"/>
      <c r="AR63" s="490"/>
      <c r="AS63" s="490"/>
      <c r="AT63" s="490"/>
      <c r="AU63" s="491"/>
      <c r="AV63" s="490"/>
      <c r="AW63" s="490"/>
      <c r="AX63" s="490"/>
      <c r="AY63" s="491"/>
      <c r="AZ63" s="490"/>
      <c r="BA63" s="490"/>
      <c r="BB63" s="490"/>
      <c r="BC63" s="491"/>
      <c r="BD63" s="490"/>
      <c r="BE63" s="490"/>
      <c r="BF63" s="490"/>
      <c r="BG63" s="491"/>
      <c r="BH63" s="490"/>
      <c r="BI63" s="490"/>
      <c r="BJ63" s="490"/>
      <c r="BK63" s="491"/>
      <c r="BL63" s="490"/>
      <c r="BM63" s="490"/>
      <c r="BN63" s="490"/>
      <c r="BO63" s="491"/>
      <c r="BP63" s="490"/>
      <c r="BQ63" s="490"/>
      <c r="BR63" s="490"/>
      <c r="BS63" s="491"/>
      <c r="BT63" s="490"/>
      <c r="BU63" s="490"/>
      <c r="BV63" s="490"/>
      <c r="BW63" s="491"/>
      <c r="BX63" s="490"/>
      <c r="BY63" s="490"/>
      <c r="BZ63" s="490"/>
      <c r="CA63" s="491"/>
      <c r="CB63" s="490"/>
      <c r="CC63" s="490"/>
      <c r="CD63" s="490"/>
      <c r="CE63" s="491"/>
      <c r="CF63" s="490"/>
      <c r="CG63" s="490"/>
      <c r="CH63" s="490"/>
      <c r="CI63" s="491"/>
      <c r="CJ63" s="490"/>
      <c r="CK63" s="490"/>
      <c r="CL63" s="490"/>
      <c r="CM63" s="491"/>
      <c r="CN63" s="488"/>
      <c r="CO63" s="488"/>
      <c r="CP63" s="490"/>
      <c r="CQ63" s="491"/>
      <c r="CR63" s="488"/>
      <c r="CS63" s="488"/>
      <c r="CT63" s="488"/>
      <c r="CU63" s="492"/>
      <c r="CV63" s="376"/>
      <c r="CW63" s="488"/>
      <c r="CX63" s="490"/>
      <c r="CY63" s="490"/>
      <c r="CZ63" s="490"/>
      <c r="DA63" s="490"/>
      <c r="DB63" s="490"/>
      <c r="DC63" s="490"/>
      <c r="DD63" s="490"/>
      <c r="DE63" s="490"/>
      <c r="DF63" s="490"/>
      <c r="DG63" s="490"/>
      <c r="DH63" s="490"/>
      <c r="DI63" s="490"/>
      <c r="DJ63" s="490"/>
      <c r="DK63" s="490"/>
      <c r="DL63" s="490"/>
      <c r="DM63" s="490"/>
      <c r="DN63" s="490"/>
      <c r="DO63" s="490"/>
      <c r="DP63" s="488"/>
      <c r="DQ63" s="488"/>
      <c r="DR63" s="488"/>
      <c r="DS63" s="488"/>
      <c r="DT63" s="488"/>
      <c r="DU63" s="488"/>
      <c r="DV63" s="488"/>
      <c r="DW63" s="488"/>
      <c r="DX63" s="488"/>
      <c r="DY63" s="488"/>
      <c r="DZ63" s="488"/>
      <c r="EA63" s="493"/>
    </row>
    <row r="64" spans="1:137">
      <c r="A64" s="374"/>
      <c r="B64" s="364" t="s">
        <v>290</v>
      </c>
      <c r="C64" s="896"/>
      <c r="D64" s="365" t="str">
        <f t="shared" ref="D64:AI64" si="128">D$4</f>
        <v>1Q95</v>
      </c>
      <c r="E64" s="366" t="str">
        <f t="shared" si="128"/>
        <v>2Q95</v>
      </c>
      <c r="F64" s="366" t="str">
        <f t="shared" si="128"/>
        <v>3Q95</v>
      </c>
      <c r="G64" s="367" t="str">
        <f t="shared" si="128"/>
        <v>4Q95</v>
      </c>
      <c r="H64" s="366" t="str">
        <f t="shared" si="128"/>
        <v>1Q96</v>
      </c>
      <c r="I64" s="366" t="str">
        <f t="shared" si="128"/>
        <v>2Q96</v>
      </c>
      <c r="J64" s="366" t="str">
        <f t="shared" si="128"/>
        <v>3Q96</v>
      </c>
      <c r="K64" s="367" t="str">
        <f t="shared" si="128"/>
        <v>4Q96</v>
      </c>
      <c r="L64" s="366" t="str">
        <f t="shared" si="128"/>
        <v>1Q97</v>
      </c>
      <c r="M64" s="366" t="str">
        <f t="shared" si="128"/>
        <v>2Q97</v>
      </c>
      <c r="N64" s="366" t="str">
        <f t="shared" si="128"/>
        <v>3Q97</v>
      </c>
      <c r="O64" s="367" t="str">
        <f t="shared" si="128"/>
        <v>4Q97</v>
      </c>
      <c r="P64" s="366" t="str">
        <f t="shared" si="128"/>
        <v>1Q98</v>
      </c>
      <c r="Q64" s="366" t="str">
        <f t="shared" si="128"/>
        <v>2Q98</v>
      </c>
      <c r="R64" s="366" t="str">
        <f t="shared" si="128"/>
        <v>3Q98</v>
      </c>
      <c r="S64" s="367" t="str">
        <f t="shared" si="128"/>
        <v>4Q98</v>
      </c>
      <c r="T64" s="366" t="str">
        <f t="shared" si="128"/>
        <v>1Q99</v>
      </c>
      <c r="U64" s="366" t="str">
        <f t="shared" si="128"/>
        <v>2Q99</v>
      </c>
      <c r="V64" s="366" t="str">
        <f t="shared" si="128"/>
        <v>3Q99</v>
      </c>
      <c r="W64" s="367" t="str">
        <f t="shared" si="128"/>
        <v>4Q99</v>
      </c>
      <c r="X64" s="366" t="str">
        <f t="shared" si="128"/>
        <v>1Q00</v>
      </c>
      <c r="Y64" s="366" t="str">
        <f t="shared" si="128"/>
        <v>2Q00</v>
      </c>
      <c r="Z64" s="366" t="str">
        <f t="shared" si="128"/>
        <v>3Q00</v>
      </c>
      <c r="AA64" s="367" t="str">
        <f t="shared" si="128"/>
        <v>4Q00</v>
      </c>
      <c r="AB64" s="366" t="str">
        <f t="shared" si="128"/>
        <v>1Q01</v>
      </c>
      <c r="AC64" s="366" t="str">
        <f t="shared" si="128"/>
        <v>2Q01</v>
      </c>
      <c r="AD64" s="366" t="str">
        <f t="shared" si="128"/>
        <v>3Q01</v>
      </c>
      <c r="AE64" s="367" t="str">
        <f t="shared" si="128"/>
        <v>4Q01</v>
      </c>
      <c r="AF64" s="366" t="str">
        <f t="shared" si="128"/>
        <v>1Q02</v>
      </c>
      <c r="AG64" s="366" t="str">
        <f t="shared" si="128"/>
        <v>2Q02</v>
      </c>
      <c r="AH64" s="366" t="str">
        <f t="shared" si="128"/>
        <v>3Q02</v>
      </c>
      <c r="AI64" s="367" t="str">
        <f t="shared" si="128"/>
        <v>4Q02</v>
      </c>
      <c r="AJ64" s="366" t="str">
        <f t="shared" ref="AJ64:BO64" si="129">AJ$4</f>
        <v>1Q03</v>
      </c>
      <c r="AK64" s="366" t="str">
        <f t="shared" si="129"/>
        <v>2Q03</v>
      </c>
      <c r="AL64" s="366" t="str">
        <f t="shared" si="129"/>
        <v>3Q03</v>
      </c>
      <c r="AM64" s="367" t="str">
        <f t="shared" si="129"/>
        <v>4Q03</v>
      </c>
      <c r="AN64" s="366" t="str">
        <f t="shared" si="129"/>
        <v>1Q04</v>
      </c>
      <c r="AO64" s="366" t="str">
        <f t="shared" si="129"/>
        <v>2Q04</v>
      </c>
      <c r="AP64" s="366" t="str">
        <f t="shared" si="129"/>
        <v>3Q04</v>
      </c>
      <c r="AQ64" s="367" t="str">
        <f t="shared" si="129"/>
        <v>4Q04</v>
      </c>
      <c r="AR64" s="366" t="str">
        <f t="shared" si="129"/>
        <v>1Q05</v>
      </c>
      <c r="AS64" s="366" t="str">
        <f t="shared" si="129"/>
        <v>2Q05</v>
      </c>
      <c r="AT64" s="366" t="str">
        <f t="shared" si="129"/>
        <v>3Q05</v>
      </c>
      <c r="AU64" s="367" t="str">
        <f t="shared" si="129"/>
        <v>4Q05</v>
      </c>
      <c r="AV64" s="366" t="str">
        <f t="shared" si="129"/>
        <v>1Q06</v>
      </c>
      <c r="AW64" s="366" t="str">
        <f t="shared" si="129"/>
        <v>2Q06</v>
      </c>
      <c r="AX64" s="366" t="str">
        <f t="shared" si="129"/>
        <v>3Q06</v>
      </c>
      <c r="AY64" s="367" t="str">
        <f t="shared" si="129"/>
        <v>4Q06</v>
      </c>
      <c r="AZ64" s="366" t="str">
        <f t="shared" si="129"/>
        <v>1Q07</v>
      </c>
      <c r="BA64" s="366" t="str">
        <f t="shared" si="129"/>
        <v>2Q07</v>
      </c>
      <c r="BB64" s="366" t="str">
        <f t="shared" si="129"/>
        <v>3Q07</v>
      </c>
      <c r="BC64" s="367" t="str">
        <f t="shared" si="129"/>
        <v>4Q07</v>
      </c>
      <c r="BD64" s="366" t="str">
        <f t="shared" si="129"/>
        <v>1Q08</v>
      </c>
      <c r="BE64" s="366" t="str">
        <f t="shared" si="129"/>
        <v>2Q08</v>
      </c>
      <c r="BF64" s="366" t="str">
        <f t="shared" si="129"/>
        <v>3Q08</v>
      </c>
      <c r="BG64" s="367" t="str">
        <f t="shared" si="129"/>
        <v>4Q08</v>
      </c>
      <c r="BH64" s="366" t="str">
        <f t="shared" si="129"/>
        <v>1Q09</v>
      </c>
      <c r="BI64" s="366" t="str">
        <f t="shared" si="129"/>
        <v>2Q09</v>
      </c>
      <c r="BJ64" s="366" t="str">
        <f t="shared" si="129"/>
        <v>3Q09</v>
      </c>
      <c r="BK64" s="367" t="str">
        <f t="shared" si="129"/>
        <v>4Q09</v>
      </c>
      <c r="BL64" s="366" t="str">
        <f t="shared" si="129"/>
        <v>1Q10</v>
      </c>
      <c r="BM64" s="366" t="str">
        <f t="shared" si="129"/>
        <v>2Q10</v>
      </c>
      <c r="BN64" s="366" t="str">
        <f t="shared" si="129"/>
        <v>3Q10</v>
      </c>
      <c r="BO64" s="367" t="str">
        <f t="shared" si="129"/>
        <v>4Q10</v>
      </c>
      <c r="BP64" s="366" t="str">
        <f t="shared" ref="BP64:CU64" si="130">BP$4</f>
        <v>1Q11</v>
      </c>
      <c r="BQ64" s="366" t="str">
        <f t="shared" si="130"/>
        <v>2Q11</v>
      </c>
      <c r="BR64" s="366" t="str">
        <f t="shared" si="130"/>
        <v>3Q11</v>
      </c>
      <c r="BS64" s="367" t="str">
        <f t="shared" si="130"/>
        <v>4Q11</v>
      </c>
      <c r="BT64" s="366" t="str">
        <f t="shared" si="130"/>
        <v>1Q12</v>
      </c>
      <c r="BU64" s="366" t="str">
        <f t="shared" si="130"/>
        <v>2Q12</v>
      </c>
      <c r="BV64" s="366" t="str">
        <f t="shared" si="130"/>
        <v>3Q12</v>
      </c>
      <c r="BW64" s="367" t="str">
        <f t="shared" si="130"/>
        <v>4Q12</v>
      </c>
      <c r="BX64" s="366" t="str">
        <f t="shared" si="130"/>
        <v>1Q13</v>
      </c>
      <c r="BY64" s="366" t="str">
        <f t="shared" si="130"/>
        <v>2Q13</v>
      </c>
      <c r="BZ64" s="366" t="str">
        <f t="shared" si="130"/>
        <v>3Q13</v>
      </c>
      <c r="CA64" s="367" t="str">
        <f t="shared" si="130"/>
        <v>4Q13</v>
      </c>
      <c r="CB64" s="366" t="str">
        <f t="shared" si="130"/>
        <v>1Q14</v>
      </c>
      <c r="CC64" s="366" t="str">
        <f t="shared" si="130"/>
        <v>2Q14</v>
      </c>
      <c r="CD64" s="366" t="str">
        <f t="shared" si="130"/>
        <v>3Q14</v>
      </c>
      <c r="CE64" s="367" t="str">
        <f t="shared" si="130"/>
        <v>4Q14</v>
      </c>
      <c r="CF64" s="366" t="str">
        <f t="shared" si="130"/>
        <v>1Q15</v>
      </c>
      <c r="CG64" s="366" t="str">
        <f t="shared" si="130"/>
        <v>2Q15</v>
      </c>
      <c r="CH64" s="366" t="str">
        <f t="shared" si="130"/>
        <v>3Q15</v>
      </c>
      <c r="CI64" s="367" t="str">
        <f t="shared" si="130"/>
        <v>4Q15</v>
      </c>
      <c r="CJ64" s="366" t="str">
        <f t="shared" si="130"/>
        <v>1Q16</v>
      </c>
      <c r="CK64" s="366" t="str">
        <f t="shared" si="130"/>
        <v>2Q16</v>
      </c>
      <c r="CL64" s="366" t="str">
        <f t="shared" si="130"/>
        <v>3Q16</v>
      </c>
      <c r="CM64" s="367" t="str">
        <f t="shared" si="130"/>
        <v>4Q16</v>
      </c>
      <c r="CN64" s="366" t="str">
        <f t="shared" si="130"/>
        <v>1Q17</v>
      </c>
      <c r="CO64" s="366" t="str">
        <f t="shared" si="130"/>
        <v>2Q17</v>
      </c>
      <c r="CP64" s="366" t="str">
        <f t="shared" si="130"/>
        <v>3Q17</v>
      </c>
      <c r="CQ64" s="367" t="str">
        <f t="shared" si="130"/>
        <v>4Q17</v>
      </c>
      <c r="CR64" s="366" t="str">
        <f t="shared" si="130"/>
        <v>1Q18e</v>
      </c>
      <c r="CS64" s="366" t="str">
        <f t="shared" si="130"/>
        <v>2Q18e</v>
      </c>
      <c r="CT64" s="366" t="str">
        <f t="shared" si="130"/>
        <v>3Q18e</v>
      </c>
      <c r="CU64" s="367" t="str">
        <f t="shared" si="130"/>
        <v>4Q18e</v>
      </c>
      <c r="CV64" s="376"/>
      <c r="CW64" s="366">
        <f t="shared" ref="CW64:DZ64" si="131">CW$4</f>
        <v>1994</v>
      </c>
      <c r="CX64" s="366">
        <f t="shared" si="131"/>
        <v>1995</v>
      </c>
      <c r="CY64" s="366">
        <f t="shared" si="131"/>
        <v>1996</v>
      </c>
      <c r="CZ64" s="366">
        <f t="shared" si="131"/>
        <v>1997</v>
      </c>
      <c r="DA64" s="366">
        <f t="shared" si="131"/>
        <v>1998</v>
      </c>
      <c r="DB64" s="366">
        <f t="shared" si="131"/>
        <v>1999</v>
      </c>
      <c r="DC64" s="366">
        <f t="shared" si="131"/>
        <v>2000</v>
      </c>
      <c r="DD64" s="366">
        <f t="shared" si="131"/>
        <v>2001</v>
      </c>
      <c r="DE64" s="366">
        <f t="shared" si="131"/>
        <v>2002</v>
      </c>
      <c r="DF64" s="366">
        <f t="shared" si="131"/>
        <v>2003</v>
      </c>
      <c r="DG64" s="366">
        <f t="shared" si="131"/>
        <v>2004</v>
      </c>
      <c r="DH64" s="366">
        <f t="shared" si="131"/>
        <v>2005</v>
      </c>
      <c r="DI64" s="366">
        <f t="shared" si="131"/>
        <v>2006</v>
      </c>
      <c r="DJ64" s="366">
        <f t="shared" si="131"/>
        <v>2007</v>
      </c>
      <c r="DK64" s="366">
        <f t="shared" si="131"/>
        <v>2008</v>
      </c>
      <c r="DL64" s="366">
        <f t="shared" si="131"/>
        <v>2009</v>
      </c>
      <c r="DM64" s="366">
        <f t="shared" si="131"/>
        <v>2010</v>
      </c>
      <c r="DN64" s="366">
        <f t="shared" si="131"/>
        <v>2011</v>
      </c>
      <c r="DO64" s="366">
        <f t="shared" si="131"/>
        <v>2012</v>
      </c>
      <c r="DP64" s="366">
        <f t="shared" si="131"/>
        <v>2013</v>
      </c>
      <c r="DQ64" s="366">
        <f t="shared" si="131"/>
        <v>2014</v>
      </c>
      <c r="DR64" s="366">
        <f t="shared" si="131"/>
        <v>2015</v>
      </c>
      <c r="DS64" s="366">
        <f t="shared" si="131"/>
        <v>2016</v>
      </c>
      <c r="DT64" s="366">
        <f t="shared" si="131"/>
        <v>2017</v>
      </c>
      <c r="DU64" s="366" t="str">
        <f t="shared" si="131"/>
        <v>2018e</v>
      </c>
      <c r="DV64" s="366" t="str">
        <f t="shared" si="131"/>
        <v>2019e</v>
      </c>
      <c r="DW64" s="366" t="str">
        <f t="shared" si="131"/>
        <v>2020e</v>
      </c>
      <c r="DX64" s="366" t="str">
        <f t="shared" si="131"/>
        <v>2021e</v>
      </c>
      <c r="DY64" s="366" t="str">
        <f t="shared" si="131"/>
        <v>2022e</v>
      </c>
      <c r="DZ64" s="366" t="str">
        <f t="shared" si="131"/>
        <v>2023e</v>
      </c>
      <c r="EA64" s="386"/>
    </row>
    <row r="65" spans="1:137">
      <c r="A65" s="374"/>
      <c r="B65" s="494"/>
      <c r="C65" s="907"/>
      <c r="D65" s="495"/>
      <c r="E65" s="496"/>
      <c r="F65" s="496"/>
      <c r="G65" s="497"/>
      <c r="H65" s="496"/>
      <c r="I65" s="496"/>
      <c r="J65" s="496"/>
      <c r="K65" s="497"/>
      <c r="L65" s="496"/>
      <c r="M65" s="496"/>
      <c r="N65" s="496"/>
      <c r="O65" s="497"/>
      <c r="P65" s="496"/>
      <c r="Q65" s="496"/>
      <c r="R65" s="496"/>
      <c r="S65" s="497"/>
      <c r="T65" s="496"/>
      <c r="U65" s="496"/>
      <c r="V65" s="496"/>
      <c r="W65" s="497"/>
      <c r="X65" s="496"/>
      <c r="Y65" s="496"/>
      <c r="Z65" s="496"/>
      <c r="AA65" s="497"/>
      <c r="AB65" s="496"/>
      <c r="AC65" s="496"/>
      <c r="AD65" s="496"/>
      <c r="AE65" s="497"/>
      <c r="AF65" s="496"/>
      <c r="AG65" s="496"/>
      <c r="AH65" s="496"/>
      <c r="AI65" s="497"/>
      <c r="AJ65" s="496"/>
      <c r="AK65" s="496"/>
      <c r="AL65" s="496"/>
      <c r="AM65" s="497"/>
      <c r="AN65" s="496"/>
      <c r="AO65" s="496"/>
      <c r="AP65" s="496"/>
      <c r="AQ65" s="497"/>
      <c r="AR65" s="496"/>
      <c r="AS65" s="496"/>
      <c r="AT65" s="496"/>
      <c r="AU65" s="497"/>
      <c r="AV65" s="496"/>
      <c r="AW65" s="496"/>
      <c r="AX65" s="496"/>
      <c r="AY65" s="497"/>
      <c r="AZ65" s="496"/>
      <c r="BA65" s="496"/>
      <c r="BB65" s="496"/>
      <c r="BC65" s="497"/>
      <c r="BD65" s="496"/>
      <c r="BE65" s="496"/>
      <c r="BF65" s="496"/>
      <c r="BG65" s="497"/>
      <c r="BH65" s="496"/>
      <c r="BI65" s="496"/>
      <c r="BJ65" s="496"/>
      <c r="BK65" s="497"/>
      <c r="BL65" s="496"/>
      <c r="BM65" s="496"/>
      <c r="BN65" s="496"/>
      <c r="BO65" s="497"/>
      <c r="BP65" s="496"/>
      <c r="BQ65" s="496"/>
      <c r="BR65" s="496"/>
      <c r="BS65" s="497"/>
      <c r="BT65" s="496"/>
      <c r="BU65" s="496"/>
      <c r="BV65" s="496"/>
      <c r="BW65" s="497"/>
      <c r="BX65" s="496"/>
      <c r="BY65" s="496"/>
      <c r="BZ65" s="496"/>
      <c r="CA65" s="497"/>
      <c r="CB65" s="496"/>
      <c r="CC65" s="496"/>
      <c r="CD65" s="496"/>
      <c r="CE65" s="497"/>
      <c r="CF65" s="496"/>
      <c r="CG65" s="496"/>
      <c r="CH65" s="496"/>
      <c r="CI65" s="497"/>
      <c r="CJ65" s="496"/>
      <c r="CK65" s="496"/>
      <c r="CL65" s="496"/>
      <c r="CM65" s="497"/>
      <c r="CN65" s="496"/>
      <c r="CO65" s="496"/>
      <c r="CP65" s="496"/>
      <c r="CQ65" s="497"/>
      <c r="CR65" s="496"/>
      <c r="CS65" s="496"/>
      <c r="CT65" s="496"/>
      <c r="CU65" s="497"/>
      <c r="CV65" s="376"/>
      <c r="CW65" s="496"/>
      <c r="CX65" s="496"/>
      <c r="CY65" s="496"/>
      <c r="CZ65" s="496"/>
      <c r="DA65" s="496"/>
      <c r="DB65" s="496"/>
      <c r="DC65" s="496"/>
      <c r="DD65" s="496"/>
      <c r="DE65" s="496"/>
      <c r="DF65" s="496"/>
      <c r="DG65" s="496"/>
      <c r="DH65" s="496"/>
      <c r="DI65" s="496"/>
      <c r="DJ65" s="496"/>
      <c r="DK65" s="496"/>
      <c r="DL65" s="496"/>
      <c r="DM65" s="496"/>
      <c r="DN65" s="496"/>
      <c r="DO65" s="496"/>
      <c r="DP65" s="496"/>
      <c r="DQ65" s="496"/>
      <c r="DR65" s="496"/>
      <c r="DS65" s="496"/>
      <c r="DT65" s="496"/>
      <c r="DU65" s="496"/>
      <c r="DV65" s="496"/>
      <c r="DW65" s="496"/>
      <c r="DX65" s="496"/>
      <c r="DY65" s="496"/>
      <c r="DZ65" s="496"/>
      <c r="EA65" s="386"/>
    </row>
    <row r="66" spans="1:137" s="410" customFormat="1">
      <c r="A66" s="400"/>
      <c r="B66" s="452" t="s">
        <v>302</v>
      </c>
      <c r="C66" s="658"/>
      <c r="D66" s="636">
        <v>5.7</v>
      </c>
      <c r="E66" s="564">
        <v>4.9000000000000004</v>
      </c>
      <c r="F66" s="564">
        <v>5.8</v>
      </c>
      <c r="G66" s="572">
        <v>5.0999999999999996</v>
      </c>
      <c r="H66" s="564">
        <v>10.5</v>
      </c>
      <c r="I66" s="564">
        <v>13.6</v>
      </c>
      <c r="J66" s="564">
        <v>16.2</v>
      </c>
      <c r="K66" s="572">
        <v>6.8</v>
      </c>
      <c r="L66" s="564">
        <v>13.2</v>
      </c>
      <c r="M66" s="564">
        <v>29.4</v>
      </c>
      <c r="N66" s="564">
        <v>19.399999999999999</v>
      </c>
      <c r="O66" s="572">
        <v>10.6</v>
      </c>
      <c r="P66" s="564">
        <v>7.5</v>
      </c>
      <c r="Q66" s="564">
        <v>13.9</v>
      </c>
      <c r="R66" s="564">
        <v>11.7</v>
      </c>
      <c r="S66" s="572">
        <f>37.8+6.2</f>
        <v>44</v>
      </c>
      <c r="T66" s="564">
        <v>47.3</v>
      </c>
      <c r="U66" s="564">
        <v>37.200000000000003</v>
      </c>
      <c r="V66" s="564">
        <v>25.2</v>
      </c>
      <c r="W66" s="572">
        <f>11.1+10.6</f>
        <v>21.7</v>
      </c>
      <c r="X66" s="564">
        <v>13.4</v>
      </c>
      <c r="Y66" s="564">
        <v>21.3</v>
      </c>
      <c r="Z66" s="564">
        <v>28.1</v>
      </c>
      <c r="AA66" s="572">
        <v>21.4</v>
      </c>
      <c r="AB66" s="564">
        <v>15.5</v>
      </c>
      <c r="AC66" s="564">
        <v>23.6</v>
      </c>
      <c r="AD66" s="564">
        <v>38.6</v>
      </c>
      <c r="AE66" s="572">
        <v>32.9</v>
      </c>
      <c r="AF66" s="564">
        <v>21.7</v>
      </c>
      <c r="AG66" s="564">
        <v>30.2</v>
      </c>
      <c r="AH66" s="564">
        <v>46.3</v>
      </c>
      <c r="AI66" s="572">
        <v>36.6</v>
      </c>
      <c r="AJ66" s="564">
        <v>25.9</v>
      </c>
      <c r="AK66" s="564">
        <v>73.400000000000006</v>
      </c>
      <c r="AL66" s="564">
        <v>106.8</v>
      </c>
      <c r="AM66" s="572">
        <v>113.1</v>
      </c>
      <c r="AN66" s="564">
        <v>78.7</v>
      </c>
      <c r="AO66" s="564">
        <v>144</v>
      </c>
      <c r="AP66" s="564">
        <v>189</v>
      </c>
      <c r="AQ66" s="572">
        <v>229.7</v>
      </c>
      <c r="AR66" s="564">
        <f>163.2-AR67</f>
        <v>116.79999999999998</v>
      </c>
      <c r="AS66" s="564">
        <v>92.7</v>
      </c>
      <c r="AT66" s="564">
        <v>139.5</v>
      </c>
      <c r="AU66" s="572">
        <v>89.7</v>
      </c>
      <c r="AV66" s="564">
        <v>56.8</v>
      </c>
      <c r="AW66" s="564">
        <v>67.2</v>
      </c>
      <c r="AX66" s="564">
        <v>67</v>
      </c>
      <c r="AY66" s="572">
        <v>123.3</v>
      </c>
      <c r="AZ66" s="564">
        <v>118.1</v>
      </c>
      <c r="BA66" s="564">
        <v>118.5</v>
      </c>
      <c r="BB66" s="564">
        <v>137.4</v>
      </c>
      <c r="BC66" s="572">
        <v>188.5</v>
      </c>
      <c r="BD66" s="564">
        <v>203.4</v>
      </c>
      <c r="BE66" s="564">
        <v>225.9</v>
      </c>
      <c r="BF66" s="564">
        <v>135.80000000000001</v>
      </c>
      <c r="BG66" s="572">
        <v>103.4</v>
      </c>
      <c r="BH66" s="564">
        <v>90.8</v>
      </c>
      <c r="BI66" s="564">
        <v>256.89999999999998</v>
      </c>
      <c r="BJ66" s="564">
        <v>258.8</v>
      </c>
      <c r="BK66" s="572">
        <v>357.4</v>
      </c>
      <c r="BL66" s="564">
        <v>374.1</v>
      </c>
      <c r="BM66" s="564">
        <v>187.5</v>
      </c>
      <c r="BN66" s="564">
        <v>432.2</v>
      </c>
      <c r="BO66" s="572">
        <v>449.9</v>
      </c>
      <c r="BP66" s="564">
        <v>222.9</v>
      </c>
      <c r="BQ66" s="564">
        <v>372.4</v>
      </c>
      <c r="BR66" s="564">
        <v>377</v>
      </c>
      <c r="BS66" s="572">
        <v>359.6</v>
      </c>
      <c r="BT66" s="564">
        <v>396.9</v>
      </c>
      <c r="BU66" s="564">
        <v>481.9</v>
      </c>
      <c r="BV66" s="564">
        <v>621.5</v>
      </c>
      <c r="BW66" s="572">
        <v>715.7</v>
      </c>
      <c r="BX66" s="564">
        <v>695.4</v>
      </c>
      <c r="BY66" s="564">
        <v>817</v>
      </c>
      <c r="BZ66" s="564">
        <v>920.4</v>
      </c>
      <c r="CA66" s="572">
        <v>939.5</v>
      </c>
      <c r="CB66" s="564">
        <v>808.1</v>
      </c>
      <c r="CC66" s="564">
        <v>771.4</v>
      </c>
      <c r="CD66" s="564">
        <v>782.8</v>
      </c>
      <c r="CE66" s="572">
        <v>797.8</v>
      </c>
      <c r="CF66" s="564">
        <v>1035.5</v>
      </c>
      <c r="CG66" s="564">
        <v>1107.9000000000001</v>
      </c>
      <c r="CH66" s="564">
        <v>1033.3</v>
      </c>
      <c r="CI66" s="572">
        <v>577.70000000000005</v>
      </c>
      <c r="CJ66" s="564">
        <v>392.3</v>
      </c>
      <c r="CK66" s="564">
        <v>495</v>
      </c>
      <c r="CL66" s="564">
        <v>518.70000000000005</v>
      </c>
      <c r="CM66" s="572">
        <v>443.7</v>
      </c>
      <c r="CN66" s="564">
        <v>358.4</v>
      </c>
      <c r="CO66" s="564">
        <v>387.1</v>
      </c>
      <c r="CP66" s="564">
        <v>414.3</v>
      </c>
      <c r="CQ66" s="572">
        <v>545.29999999999995</v>
      </c>
      <c r="CR66" s="932">
        <f>+CR172</f>
        <v>406.29421169624766</v>
      </c>
      <c r="CS66" s="932">
        <f>+CS172</f>
        <v>594.36000757590034</v>
      </c>
      <c r="CT66" s="932">
        <f>+CT172</f>
        <v>706.6533375891795</v>
      </c>
      <c r="CU66" s="919">
        <f>+CU172</f>
        <v>979.54812348826397</v>
      </c>
      <c r="CV66" s="406"/>
      <c r="CW66" s="564">
        <f>4.4+10.5</f>
        <v>14.9</v>
      </c>
      <c r="CX66" s="436">
        <f>G66</f>
        <v>5.0999999999999996</v>
      </c>
      <c r="CY66" s="436">
        <f>K66</f>
        <v>6.8</v>
      </c>
      <c r="CZ66" s="436">
        <f>O66</f>
        <v>10.6</v>
      </c>
      <c r="DA66" s="436">
        <f>S66</f>
        <v>44</v>
      </c>
      <c r="DB66" s="436">
        <f>W66</f>
        <v>21.7</v>
      </c>
      <c r="DC66" s="436">
        <f>AA66</f>
        <v>21.4</v>
      </c>
      <c r="DD66" s="436">
        <f>AE66</f>
        <v>32.9</v>
      </c>
      <c r="DE66" s="436">
        <f>AI66</f>
        <v>36.6</v>
      </c>
      <c r="DF66" s="436">
        <f>AM66</f>
        <v>113.1</v>
      </c>
      <c r="DG66" s="436">
        <f>AQ66</f>
        <v>229.7</v>
      </c>
      <c r="DH66" s="436">
        <f>AU66</f>
        <v>89.7</v>
      </c>
      <c r="DI66" s="436">
        <f>AY66</f>
        <v>123.3</v>
      </c>
      <c r="DJ66" s="436">
        <f>BC66</f>
        <v>188.5</v>
      </c>
      <c r="DK66" s="436">
        <f>BG66</f>
        <v>103.4</v>
      </c>
      <c r="DL66" s="436">
        <f>BK66</f>
        <v>357.4</v>
      </c>
      <c r="DM66" s="436">
        <f>BO66</f>
        <v>449.9</v>
      </c>
      <c r="DN66" s="436">
        <f>BS66</f>
        <v>359.6</v>
      </c>
      <c r="DO66" s="436">
        <f>BW66</f>
        <v>715.7</v>
      </c>
      <c r="DP66" s="436">
        <f>CA66</f>
        <v>939.5</v>
      </c>
      <c r="DQ66" s="436">
        <f>CE66</f>
        <v>797.8</v>
      </c>
      <c r="DR66" s="436">
        <f>CI66</f>
        <v>577.70000000000005</v>
      </c>
      <c r="DS66" s="436">
        <f>CM66</f>
        <v>443.7</v>
      </c>
      <c r="DT66" s="436">
        <f>CQ66</f>
        <v>545.29999999999995</v>
      </c>
      <c r="DU66" s="436">
        <f>CU66</f>
        <v>979.54812348826397</v>
      </c>
      <c r="DV66" s="437">
        <f t="shared" ref="DV66:DW66" si="132">+DV172</f>
        <v>1746.1241936960614</v>
      </c>
      <c r="DW66" s="437">
        <f t="shared" si="132"/>
        <v>2533.3108503808389</v>
      </c>
      <c r="DX66" s="437">
        <f t="shared" ref="DX66:DZ66" si="133">+DX172</f>
        <v>3333.7974403024755</v>
      </c>
      <c r="DY66" s="437">
        <f t="shared" si="133"/>
        <v>4141.0795737694789</v>
      </c>
      <c r="DZ66" s="437">
        <f t="shared" si="133"/>
        <v>4942.9419565751259</v>
      </c>
      <c r="EA66" s="512"/>
      <c r="EB66"/>
      <c r="EC66"/>
      <c r="ED66"/>
      <c r="EE66"/>
      <c r="EF66"/>
      <c r="EG66"/>
    </row>
    <row r="67" spans="1:137" s="410" customFormat="1" ht="15" hidden="1" customHeight="1" outlineLevel="1">
      <c r="A67" s="400"/>
      <c r="B67" s="452" t="s">
        <v>303</v>
      </c>
      <c r="C67" s="658"/>
      <c r="D67" s="636">
        <v>10.199999999999999</v>
      </c>
      <c r="E67" s="564">
        <v>11.9</v>
      </c>
      <c r="F67" s="564">
        <v>8.3000000000000007</v>
      </c>
      <c r="G67" s="572">
        <v>7</v>
      </c>
      <c r="H67" s="564">
        <v>5.9</v>
      </c>
      <c r="I67" s="564">
        <v>3.2</v>
      </c>
      <c r="J67" s="564">
        <v>5.9</v>
      </c>
      <c r="K67" s="572">
        <v>4.7</v>
      </c>
      <c r="L67" s="564"/>
      <c r="M67" s="564"/>
      <c r="N67" s="564"/>
      <c r="O67" s="572">
        <v>2.8</v>
      </c>
      <c r="P67" s="564"/>
      <c r="Q67" s="564"/>
      <c r="R67" s="564"/>
      <c r="S67" s="572"/>
      <c r="T67" s="564"/>
      <c r="U67" s="564"/>
      <c r="V67" s="564"/>
      <c r="W67" s="572"/>
      <c r="X67" s="564"/>
      <c r="Y67" s="564"/>
      <c r="Z67" s="564"/>
      <c r="AA67" s="572"/>
      <c r="AB67" s="564"/>
      <c r="AC67" s="564"/>
      <c r="AD67" s="564"/>
      <c r="AE67" s="572"/>
      <c r="AF67" s="564"/>
      <c r="AG67" s="564"/>
      <c r="AH67" s="564"/>
      <c r="AI67" s="572"/>
      <c r="AJ67" s="564"/>
      <c r="AK67" s="564"/>
      <c r="AL67" s="564"/>
      <c r="AM67" s="572"/>
      <c r="AN67" s="564"/>
      <c r="AO67" s="564"/>
      <c r="AP67" s="564"/>
      <c r="AQ67" s="572"/>
      <c r="AR67" s="564">
        <v>46.4</v>
      </c>
      <c r="AS67" s="564">
        <v>53.9</v>
      </c>
      <c r="AT67" s="564"/>
      <c r="AU67" s="572">
        <v>40.6</v>
      </c>
      <c r="AV67" s="564">
        <v>65.8</v>
      </c>
      <c r="AW67" s="564">
        <v>61.4</v>
      </c>
      <c r="AX67" s="564">
        <v>71.3</v>
      </c>
      <c r="AY67" s="572">
        <v>59.1</v>
      </c>
      <c r="AZ67" s="564">
        <v>58</v>
      </c>
      <c r="BA67" s="564">
        <v>58.4</v>
      </c>
      <c r="BB67" s="564">
        <v>38.9</v>
      </c>
      <c r="BC67" s="572">
        <v>14.6</v>
      </c>
      <c r="BD67" s="564">
        <v>11.8</v>
      </c>
      <c r="BE67" s="564"/>
      <c r="BF67" s="564"/>
      <c r="BG67" s="572"/>
      <c r="BH67" s="564"/>
      <c r="BI67" s="564"/>
      <c r="BJ67" s="564"/>
      <c r="BK67" s="572"/>
      <c r="BL67" s="564"/>
      <c r="BM67" s="564"/>
      <c r="BN67" s="564"/>
      <c r="BO67" s="572"/>
      <c r="BP67" s="564"/>
      <c r="BQ67" s="564"/>
      <c r="BR67" s="564"/>
      <c r="BS67" s="572"/>
      <c r="BT67" s="564"/>
      <c r="BU67" s="564"/>
      <c r="BV67" s="564"/>
      <c r="BW67" s="572"/>
      <c r="BX67" s="564"/>
      <c r="BY67" s="564"/>
      <c r="BZ67" s="564"/>
      <c r="CA67" s="572"/>
      <c r="CB67" s="564"/>
      <c r="CC67" s="564"/>
      <c r="CD67" s="564"/>
      <c r="CE67" s="572"/>
      <c r="CF67" s="564"/>
      <c r="CG67" s="564"/>
      <c r="CH67" s="564"/>
      <c r="CI67" s="572"/>
      <c r="CJ67" s="564"/>
      <c r="CK67" s="564"/>
      <c r="CL67" s="564"/>
      <c r="CM67" s="572"/>
      <c r="CN67" s="564"/>
      <c r="CO67" s="564"/>
      <c r="CP67" s="564"/>
      <c r="CQ67" s="572"/>
      <c r="CR67" s="932"/>
      <c r="CS67" s="932"/>
      <c r="CT67" s="932"/>
      <c r="CU67" s="919"/>
      <c r="CV67" s="406"/>
      <c r="CW67" s="564">
        <v>0</v>
      </c>
      <c r="CX67" s="436">
        <f t="shared" ref="CX67:CX72" si="134">G67</f>
        <v>7</v>
      </c>
      <c r="CY67" s="436">
        <f t="shared" ref="CY67:CY72" si="135">K67</f>
        <v>4.7</v>
      </c>
      <c r="CZ67" s="436">
        <f t="shared" ref="CZ67:CZ72" si="136">O67</f>
        <v>2.8</v>
      </c>
      <c r="DA67" s="436">
        <f t="shared" ref="DA67:DA72" si="137">S67</f>
        <v>0</v>
      </c>
      <c r="DB67" s="436">
        <f t="shared" ref="DB67:DB72" si="138">W67</f>
        <v>0</v>
      </c>
      <c r="DC67" s="436">
        <f t="shared" ref="DC67:DC72" si="139">AA67</f>
        <v>0</v>
      </c>
      <c r="DD67" s="436">
        <f t="shared" ref="DD67:DD72" si="140">AE67</f>
        <v>0</v>
      </c>
      <c r="DE67" s="436">
        <f t="shared" ref="DE67:DE72" si="141">AI67</f>
        <v>0</v>
      </c>
      <c r="DF67" s="436">
        <f t="shared" ref="DF67:DF72" si="142">AM67</f>
        <v>0</v>
      </c>
      <c r="DG67" s="436">
        <f t="shared" ref="DG67:DG72" si="143">AQ67</f>
        <v>0</v>
      </c>
      <c r="DH67" s="436">
        <f t="shared" ref="DH67:DH72" si="144">AU67</f>
        <v>40.6</v>
      </c>
      <c r="DI67" s="436">
        <f t="shared" ref="DI67:DI72" si="145">AY67</f>
        <v>59.1</v>
      </c>
      <c r="DJ67" s="436">
        <f t="shared" ref="DJ67:DJ72" si="146">BC67</f>
        <v>14.6</v>
      </c>
      <c r="DK67" s="436">
        <f t="shared" ref="DK67:DK72" si="147">BG67</f>
        <v>0</v>
      </c>
      <c r="DL67" s="436">
        <f t="shared" ref="DL67:DL72" si="148">BK67</f>
        <v>0</v>
      </c>
      <c r="DM67" s="436">
        <f t="shared" ref="DM67:DM72" si="149">BO67</f>
        <v>0</v>
      </c>
      <c r="DN67" s="436">
        <f t="shared" ref="DN67:DN72" si="150">BS67</f>
        <v>0</v>
      </c>
      <c r="DO67" s="436">
        <f t="shared" ref="DO67:DO72" si="151">BW67</f>
        <v>0</v>
      </c>
      <c r="DP67" s="436">
        <f t="shared" ref="DP67:DP72" si="152">CA67</f>
        <v>0</v>
      </c>
      <c r="DQ67" s="436">
        <f t="shared" ref="DQ67:DQ72" si="153">CE67</f>
        <v>0</v>
      </c>
      <c r="DR67" s="436">
        <f t="shared" ref="DR67:DR72" si="154">CI67</f>
        <v>0</v>
      </c>
      <c r="DS67" s="436">
        <f t="shared" ref="DS67:DS72" si="155">CM67</f>
        <v>0</v>
      </c>
      <c r="DT67" s="436">
        <f t="shared" ref="DT67:DU72" si="156">CQ67</f>
        <v>0</v>
      </c>
      <c r="DU67" s="436">
        <f t="shared" ref="DU67:DU71" si="157">CU67</f>
        <v>0</v>
      </c>
      <c r="DV67" s="437"/>
      <c r="DW67" s="437"/>
      <c r="DX67" s="437"/>
      <c r="DY67" s="437"/>
      <c r="DZ67" s="437"/>
      <c r="EA67" s="512"/>
      <c r="EB67"/>
      <c r="EC67"/>
      <c r="ED67"/>
      <c r="EE67"/>
      <c r="EF67"/>
      <c r="EG67"/>
    </row>
    <row r="68" spans="1:137" s="410" customFormat="1" collapsed="1">
      <c r="A68" s="400"/>
      <c r="B68" s="452" t="s">
        <v>358</v>
      </c>
      <c r="C68" s="658"/>
      <c r="D68" s="636">
        <v>102.3</v>
      </c>
      <c r="E68" s="564">
        <v>108.8</v>
      </c>
      <c r="F68" s="564">
        <v>99.9</v>
      </c>
      <c r="G68" s="572">
        <v>91.4</v>
      </c>
      <c r="H68" s="564">
        <v>112</v>
      </c>
      <c r="I68" s="564">
        <v>134.30000000000001</v>
      </c>
      <c r="J68" s="564">
        <v>126.9</v>
      </c>
      <c r="K68" s="572">
        <v>124.6</v>
      </c>
      <c r="L68" s="564">
        <v>144.9</v>
      </c>
      <c r="M68" s="564">
        <v>144</v>
      </c>
      <c r="N68" s="564">
        <v>138.6</v>
      </c>
      <c r="O68" s="572">
        <v>158.6</v>
      </c>
      <c r="P68" s="564">
        <v>183.5</v>
      </c>
      <c r="Q68" s="564">
        <v>155.69999999999999</v>
      </c>
      <c r="R68" s="564">
        <v>192</v>
      </c>
      <c r="S68" s="572">
        <v>185.4</v>
      </c>
      <c r="T68" s="564">
        <v>230.4</v>
      </c>
      <c r="U68" s="564">
        <v>224.6</v>
      </c>
      <c r="V68" s="564">
        <v>215.6</v>
      </c>
      <c r="W68" s="572">
        <v>216.2</v>
      </c>
      <c r="X68" s="564">
        <v>276.3</v>
      </c>
      <c r="Y68" s="564">
        <v>252.2</v>
      </c>
      <c r="Z68" s="564">
        <v>231</v>
      </c>
      <c r="AA68" s="572">
        <v>168.9</v>
      </c>
      <c r="AB68" s="564">
        <v>202.8</v>
      </c>
      <c r="AC68" s="564">
        <v>197</v>
      </c>
      <c r="AD68" s="564">
        <v>200</v>
      </c>
      <c r="AE68" s="572">
        <v>203.7</v>
      </c>
      <c r="AF68" s="564">
        <v>249.9</v>
      </c>
      <c r="AG68" s="564">
        <v>295.60000000000002</v>
      </c>
      <c r="AH68" s="564">
        <v>291.60000000000002</v>
      </c>
      <c r="AI68" s="572">
        <v>292.10000000000002</v>
      </c>
      <c r="AJ68" s="564">
        <v>358.8</v>
      </c>
      <c r="AK68" s="564">
        <v>367</v>
      </c>
      <c r="AL68" s="564">
        <v>381</v>
      </c>
      <c r="AM68" s="572">
        <v>414.9</v>
      </c>
      <c r="AN68" s="564">
        <v>515.6</v>
      </c>
      <c r="AO68" s="564">
        <v>491.2</v>
      </c>
      <c r="AP68" s="564">
        <v>497.1</v>
      </c>
      <c r="AQ68" s="572">
        <v>499.1</v>
      </c>
      <c r="AR68" s="564">
        <v>654.70000000000005</v>
      </c>
      <c r="AS68" s="564">
        <v>640.6</v>
      </c>
      <c r="AT68" s="564">
        <v>660.8</v>
      </c>
      <c r="AU68" s="572">
        <v>626.1</v>
      </c>
      <c r="AV68" s="564">
        <v>703.6</v>
      </c>
      <c r="AW68" s="564">
        <v>716.7</v>
      </c>
      <c r="AX68" s="564">
        <v>695.6</v>
      </c>
      <c r="AY68" s="572">
        <v>744</v>
      </c>
      <c r="AZ68" s="564">
        <v>795.4</v>
      </c>
      <c r="BA68" s="564">
        <v>848.3</v>
      </c>
      <c r="BB68" s="564">
        <v>870.1</v>
      </c>
      <c r="BC68" s="572">
        <v>802.4</v>
      </c>
      <c r="BD68" s="564">
        <v>955.1</v>
      </c>
      <c r="BE68" s="564">
        <v>951.1</v>
      </c>
      <c r="BF68" s="564">
        <v>849.1</v>
      </c>
      <c r="BG68" s="572">
        <v>607.1</v>
      </c>
      <c r="BH68" s="564">
        <v>622.1</v>
      </c>
      <c r="BI68" s="564">
        <v>681.1</v>
      </c>
      <c r="BJ68" s="564">
        <v>779.6</v>
      </c>
      <c r="BK68" s="572">
        <v>732</v>
      </c>
      <c r="BL68" s="564">
        <v>885.2</v>
      </c>
      <c r="BM68" s="564">
        <v>977.4</v>
      </c>
      <c r="BN68" s="564">
        <v>1064.4000000000001</v>
      </c>
      <c r="BO68" s="572">
        <v>1023.9</v>
      </c>
      <c r="BP68" s="564">
        <v>1278.4000000000001</v>
      </c>
      <c r="BQ68" s="564">
        <v>1269.9000000000001</v>
      </c>
      <c r="BR68" s="564">
        <v>1237.9000000000001</v>
      </c>
      <c r="BS68" s="572">
        <v>1183</v>
      </c>
      <c r="BT68" s="564">
        <v>1369.4</v>
      </c>
      <c r="BU68" s="564">
        <v>1327.7</v>
      </c>
      <c r="BV68" s="564">
        <v>1261.4000000000001</v>
      </c>
      <c r="BW68" s="572">
        <v>1147.3</v>
      </c>
      <c r="BX68" s="564">
        <v>1318.4</v>
      </c>
      <c r="BY68" s="564">
        <v>1339.7</v>
      </c>
      <c r="BZ68" s="564">
        <v>1347.5</v>
      </c>
      <c r="CA68" s="572">
        <v>1248.5</v>
      </c>
      <c r="CB68" s="564">
        <v>1546.1</v>
      </c>
      <c r="CC68" s="564">
        <v>1571.7</v>
      </c>
      <c r="CD68" s="564">
        <v>1466.1</v>
      </c>
      <c r="CE68" s="572">
        <v>1443.5</v>
      </c>
      <c r="CF68" s="564">
        <v>1564.7</v>
      </c>
      <c r="CG68" s="564">
        <v>1573</v>
      </c>
      <c r="CH68" s="564">
        <v>1551.5</v>
      </c>
      <c r="CI68" s="572">
        <v>1665</v>
      </c>
      <c r="CJ68" s="564">
        <v>1861.2</v>
      </c>
      <c r="CK68" s="564">
        <v>1806.9</v>
      </c>
      <c r="CL68" s="564">
        <f>1764</f>
        <v>1764</v>
      </c>
      <c r="CM68" s="572">
        <v>1689.3</v>
      </c>
      <c r="CN68" s="564">
        <v>1934.3</v>
      </c>
      <c r="CO68" s="564">
        <v>1939.3</v>
      </c>
      <c r="CP68" s="564">
        <v>2046.1</v>
      </c>
      <c r="CQ68" s="572">
        <v>2018.9</v>
      </c>
      <c r="CR68" s="932">
        <f>CR107*CR114/365</f>
        <v>2265.3702375976</v>
      </c>
      <c r="CS68" s="932">
        <f>CS107*CS114/365</f>
        <v>2313.0783858785758</v>
      </c>
      <c r="CT68" s="932">
        <f>CT107*CT114/365</f>
        <v>2344.7872262565857</v>
      </c>
      <c r="CU68" s="919">
        <f>CU107*CU114/365</f>
        <v>2362.6617180450112</v>
      </c>
      <c r="CV68" s="406"/>
      <c r="CW68" s="564">
        <v>98.9</v>
      </c>
      <c r="CX68" s="436">
        <f t="shared" si="134"/>
        <v>91.4</v>
      </c>
      <c r="CY68" s="436">
        <f t="shared" si="135"/>
        <v>124.6</v>
      </c>
      <c r="CZ68" s="436">
        <f t="shared" si="136"/>
        <v>158.6</v>
      </c>
      <c r="DA68" s="436">
        <f t="shared" si="137"/>
        <v>185.4</v>
      </c>
      <c r="DB68" s="436">
        <f t="shared" si="138"/>
        <v>216.2</v>
      </c>
      <c r="DC68" s="436">
        <f t="shared" si="139"/>
        <v>168.9</v>
      </c>
      <c r="DD68" s="436">
        <f t="shared" si="140"/>
        <v>203.7</v>
      </c>
      <c r="DE68" s="436">
        <f t="shared" si="141"/>
        <v>292.10000000000002</v>
      </c>
      <c r="DF68" s="436">
        <f t="shared" si="142"/>
        <v>414.9</v>
      </c>
      <c r="DG68" s="436">
        <f t="shared" si="143"/>
        <v>499.1</v>
      </c>
      <c r="DH68" s="436">
        <f t="shared" si="144"/>
        <v>626.1</v>
      </c>
      <c r="DI68" s="436">
        <f t="shared" si="145"/>
        <v>744</v>
      </c>
      <c r="DJ68" s="436">
        <f t="shared" si="146"/>
        <v>802.4</v>
      </c>
      <c r="DK68" s="436">
        <f t="shared" si="147"/>
        <v>607.1</v>
      </c>
      <c r="DL68" s="436">
        <f t="shared" si="148"/>
        <v>732</v>
      </c>
      <c r="DM68" s="436">
        <f t="shared" si="149"/>
        <v>1023.9</v>
      </c>
      <c r="DN68" s="436">
        <f t="shared" si="150"/>
        <v>1183</v>
      </c>
      <c r="DO68" s="436">
        <f t="shared" si="151"/>
        <v>1147.3</v>
      </c>
      <c r="DP68" s="436">
        <f t="shared" si="152"/>
        <v>1248.5</v>
      </c>
      <c r="DQ68" s="436">
        <f t="shared" si="153"/>
        <v>1443.5</v>
      </c>
      <c r="DR68" s="436">
        <f t="shared" si="154"/>
        <v>1665</v>
      </c>
      <c r="DS68" s="436">
        <f t="shared" si="155"/>
        <v>1689.3</v>
      </c>
      <c r="DT68" s="436">
        <f t="shared" si="156"/>
        <v>2018.9</v>
      </c>
      <c r="DU68" s="436">
        <f t="shared" si="157"/>
        <v>2362.6617180450112</v>
      </c>
      <c r="DV68" s="437">
        <f>+DV107/365*DV114</f>
        <v>2509.8647894479177</v>
      </c>
      <c r="DW68" s="437">
        <f>+DW107/365*DW114</f>
        <v>2645.3099173529449</v>
      </c>
      <c r="DX68" s="437">
        <f t="shared" ref="DX68:DZ68" si="158">+DX107/365*DX114</f>
        <v>2771.6062821641972</v>
      </c>
      <c r="DY68" s="437">
        <f t="shared" si="158"/>
        <v>2867.5247528535074</v>
      </c>
      <c r="DZ68" s="437">
        <f t="shared" si="158"/>
        <v>2924.9284800083565</v>
      </c>
      <c r="EA68" s="512"/>
      <c r="EB68"/>
      <c r="EC68"/>
      <c r="ED68"/>
      <c r="EE68"/>
      <c r="EF68"/>
      <c r="EG68"/>
    </row>
    <row r="69" spans="1:137" s="410" customFormat="1">
      <c r="A69" s="400"/>
      <c r="B69" s="452" t="s">
        <v>95</v>
      </c>
      <c r="C69" s="658"/>
      <c r="D69" s="636">
        <v>90</v>
      </c>
      <c r="E69" s="564">
        <v>89.8</v>
      </c>
      <c r="F69" s="564">
        <v>92.3</v>
      </c>
      <c r="G69" s="572">
        <v>94</v>
      </c>
      <c r="H69" s="564">
        <v>104.8</v>
      </c>
      <c r="I69" s="564">
        <v>105.1</v>
      </c>
      <c r="J69" s="564">
        <v>109.3</v>
      </c>
      <c r="K69" s="572">
        <v>91.1</v>
      </c>
      <c r="L69" s="564">
        <v>98.6</v>
      </c>
      <c r="M69" s="564">
        <v>100.9</v>
      </c>
      <c r="N69" s="564">
        <v>111.8</v>
      </c>
      <c r="O69" s="572">
        <v>108</v>
      </c>
      <c r="P69" s="564">
        <v>108.7</v>
      </c>
      <c r="Q69" s="564">
        <v>124.5</v>
      </c>
      <c r="R69" s="564">
        <v>130.80000000000001</v>
      </c>
      <c r="S69" s="572">
        <v>115.7</v>
      </c>
      <c r="T69" s="564">
        <v>165.1</v>
      </c>
      <c r="U69" s="564">
        <v>169.9</v>
      </c>
      <c r="V69" s="564">
        <v>175.4</v>
      </c>
      <c r="W69" s="572">
        <v>164.4</v>
      </c>
      <c r="X69" s="564">
        <v>180</v>
      </c>
      <c r="Y69" s="564">
        <v>182</v>
      </c>
      <c r="Z69" s="564">
        <v>184.5</v>
      </c>
      <c r="AA69" s="572">
        <v>161.6</v>
      </c>
      <c r="AB69" s="564">
        <v>153.5</v>
      </c>
      <c r="AC69" s="564">
        <v>143.30000000000001</v>
      </c>
      <c r="AD69" s="564">
        <v>146.4</v>
      </c>
      <c r="AE69" s="572">
        <v>143.80000000000001</v>
      </c>
      <c r="AF69" s="564">
        <v>143.5</v>
      </c>
      <c r="AG69" s="564">
        <v>156</v>
      </c>
      <c r="AH69" s="564">
        <v>172.1</v>
      </c>
      <c r="AI69" s="572">
        <v>180.3</v>
      </c>
      <c r="AJ69" s="564">
        <v>189.2</v>
      </c>
      <c r="AK69" s="564">
        <v>192.6</v>
      </c>
      <c r="AL69" s="564">
        <v>198.4</v>
      </c>
      <c r="AM69" s="572">
        <v>201.3</v>
      </c>
      <c r="AN69" s="564">
        <v>215.7</v>
      </c>
      <c r="AO69" s="564">
        <v>215.6</v>
      </c>
      <c r="AP69" s="564">
        <v>221.4</v>
      </c>
      <c r="AQ69" s="572">
        <v>223.4</v>
      </c>
      <c r="AR69" s="564">
        <v>331</v>
      </c>
      <c r="AS69" s="564">
        <v>351.2</v>
      </c>
      <c r="AT69" s="564">
        <v>347.8</v>
      </c>
      <c r="AU69" s="572">
        <v>332</v>
      </c>
      <c r="AV69" s="564">
        <v>341.3</v>
      </c>
      <c r="AW69" s="564">
        <v>357.3</v>
      </c>
      <c r="AX69" s="564">
        <v>379.9</v>
      </c>
      <c r="AY69" s="572">
        <v>386.9</v>
      </c>
      <c r="AZ69" s="564">
        <v>425</v>
      </c>
      <c r="BA69" s="564">
        <v>424.6</v>
      </c>
      <c r="BB69" s="564">
        <v>450.9</v>
      </c>
      <c r="BC69" s="572">
        <v>447.6</v>
      </c>
      <c r="BD69" s="564">
        <v>471.8</v>
      </c>
      <c r="BE69" s="564">
        <v>498.3</v>
      </c>
      <c r="BF69" s="564">
        <v>499.7</v>
      </c>
      <c r="BG69" s="572">
        <v>451.2</v>
      </c>
      <c r="BH69" s="564">
        <v>352.4</v>
      </c>
      <c r="BI69" s="564">
        <v>313.5</v>
      </c>
      <c r="BJ69" s="564">
        <v>314.60000000000002</v>
      </c>
      <c r="BK69" s="572">
        <v>314.3</v>
      </c>
      <c r="BL69" s="564">
        <v>350.3</v>
      </c>
      <c r="BM69" s="564">
        <v>378.8</v>
      </c>
      <c r="BN69" s="564">
        <v>442</v>
      </c>
      <c r="BO69" s="572">
        <v>430.6</v>
      </c>
      <c r="BP69" s="564">
        <v>490.7</v>
      </c>
      <c r="BQ69" s="564">
        <v>495.5</v>
      </c>
      <c r="BR69" s="564">
        <v>482.4</v>
      </c>
      <c r="BS69" s="572">
        <v>454.3</v>
      </c>
      <c r="BT69" s="564">
        <v>480.8</v>
      </c>
      <c r="BU69" s="564">
        <v>472.7</v>
      </c>
      <c r="BV69" s="564">
        <v>475.3</v>
      </c>
      <c r="BW69" s="572">
        <v>447.6</v>
      </c>
      <c r="BX69" s="564">
        <v>449.5</v>
      </c>
      <c r="BY69" s="564">
        <v>439.2</v>
      </c>
      <c r="BZ69" s="564">
        <v>454.7</v>
      </c>
      <c r="CA69" s="572">
        <v>458.1</v>
      </c>
      <c r="CB69" s="564">
        <v>516.9</v>
      </c>
      <c r="CC69" s="564">
        <v>528</v>
      </c>
      <c r="CD69" s="564">
        <v>531.79999999999995</v>
      </c>
      <c r="CE69" s="572">
        <v>505.7</v>
      </c>
      <c r="CF69" s="564">
        <v>506.3</v>
      </c>
      <c r="CG69" s="564">
        <v>525.70000000000005</v>
      </c>
      <c r="CH69" s="564">
        <v>523.1</v>
      </c>
      <c r="CI69" s="572">
        <v>723.6</v>
      </c>
      <c r="CJ69" s="564">
        <v>756.3</v>
      </c>
      <c r="CK69" s="564">
        <v>744.6</v>
      </c>
      <c r="CL69" s="564">
        <v>687.2</v>
      </c>
      <c r="CM69" s="572">
        <v>641.20000000000005</v>
      </c>
      <c r="CN69" s="564">
        <v>656.9</v>
      </c>
      <c r="CO69" s="564">
        <v>701.4</v>
      </c>
      <c r="CP69" s="564">
        <v>773.4</v>
      </c>
      <c r="CQ69" s="572">
        <v>766.3</v>
      </c>
      <c r="CR69" s="932">
        <f>CR109/365*CR115</f>
        <v>796.645355415984</v>
      </c>
      <c r="CS69" s="932">
        <f>CS109/365*CS115</f>
        <v>833.21905064723592</v>
      </c>
      <c r="CT69" s="932">
        <f>CT109/365*CT115</f>
        <v>838.68273905247372</v>
      </c>
      <c r="CU69" s="919">
        <f>CU109/365*CU115</f>
        <v>913.32711363316616</v>
      </c>
      <c r="CV69" s="406"/>
      <c r="CW69" s="564">
        <v>81.3</v>
      </c>
      <c r="CX69" s="436">
        <f t="shared" si="134"/>
        <v>94</v>
      </c>
      <c r="CY69" s="436">
        <f t="shared" si="135"/>
        <v>91.1</v>
      </c>
      <c r="CZ69" s="436">
        <f t="shared" si="136"/>
        <v>108</v>
      </c>
      <c r="DA69" s="436">
        <f t="shared" si="137"/>
        <v>115.7</v>
      </c>
      <c r="DB69" s="436">
        <f t="shared" si="138"/>
        <v>164.4</v>
      </c>
      <c r="DC69" s="436">
        <f t="shared" si="139"/>
        <v>161.6</v>
      </c>
      <c r="DD69" s="436">
        <f t="shared" si="140"/>
        <v>143.80000000000001</v>
      </c>
      <c r="DE69" s="436">
        <f t="shared" si="141"/>
        <v>180.3</v>
      </c>
      <c r="DF69" s="436">
        <f t="shared" si="142"/>
        <v>201.3</v>
      </c>
      <c r="DG69" s="436">
        <f t="shared" si="143"/>
        <v>223.4</v>
      </c>
      <c r="DH69" s="436">
        <f t="shared" si="144"/>
        <v>332</v>
      </c>
      <c r="DI69" s="436">
        <f t="shared" si="145"/>
        <v>386.9</v>
      </c>
      <c r="DJ69" s="436">
        <f t="shared" si="146"/>
        <v>447.6</v>
      </c>
      <c r="DK69" s="436">
        <f t="shared" si="147"/>
        <v>451.2</v>
      </c>
      <c r="DL69" s="436">
        <f t="shared" si="148"/>
        <v>314.3</v>
      </c>
      <c r="DM69" s="436">
        <f t="shared" si="149"/>
        <v>430.6</v>
      </c>
      <c r="DN69" s="436">
        <f t="shared" si="150"/>
        <v>454.3</v>
      </c>
      <c r="DO69" s="436">
        <f t="shared" si="151"/>
        <v>447.6</v>
      </c>
      <c r="DP69" s="436">
        <f t="shared" si="152"/>
        <v>458.1</v>
      </c>
      <c r="DQ69" s="436">
        <f t="shared" si="153"/>
        <v>505.7</v>
      </c>
      <c r="DR69" s="436">
        <f t="shared" si="154"/>
        <v>723.6</v>
      </c>
      <c r="DS69" s="436">
        <f t="shared" si="155"/>
        <v>641.20000000000005</v>
      </c>
      <c r="DT69" s="436">
        <f t="shared" si="156"/>
        <v>766.3</v>
      </c>
      <c r="DU69" s="436">
        <f t="shared" si="157"/>
        <v>913.32711363316616</v>
      </c>
      <c r="DV69" s="437">
        <f>DV109/365*DV115</f>
        <v>968.0840845133032</v>
      </c>
      <c r="DW69" s="437">
        <f>DW109/365*DW115</f>
        <v>1018.1425887212231</v>
      </c>
      <c r="DX69" s="437">
        <f t="shared" ref="DX69:DZ69" si="159">DX109/365*DX115</f>
        <v>1064.5317383500139</v>
      </c>
      <c r="DY69" s="437">
        <f t="shared" si="159"/>
        <v>1099.1916032647387</v>
      </c>
      <c r="DZ69" s="437">
        <f t="shared" si="159"/>
        <v>1119.1047420250559</v>
      </c>
      <c r="EA69" s="512"/>
      <c r="EB69"/>
      <c r="EC69"/>
      <c r="ED69"/>
      <c r="EE69"/>
      <c r="EF69"/>
      <c r="EG69"/>
    </row>
    <row r="70" spans="1:137" s="410" customFormat="1" hidden="1" outlineLevel="1">
      <c r="A70" s="400"/>
      <c r="B70" s="452" t="s">
        <v>304</v>
      </c>
      <c r="C70" s="658"/>
      <c r="D70" s="636"/>
      <c r="E70" s="564"/>
      <c r="F70" s="564"/>
      <c r="G70" s="572"/>
      <c r="H70" s="564"/>
      <c r="I70" s="564"/>
      <c r="J70" s="564"/>
      <c r="K70" s="572"/>
      <c r="L70" s="564"/>
      <c r="M70" s="564"/>
      <c r="N70" s="564"/>
      <c r="O70" s="572"/>
      <c r="P70" s="564"/>
      <c r="Q70" s="564"/>
      <c r="R70" s="564"/>
      <c r="S70" s="572">
        <v>16.8</v>
      </c>
      <c r="T70" s="564">
        <v>227.4</v>
      </c>
      <c r="U70" s="564">
        <v>227</v>
      </c>
      <c r="V70" s="564">
        <v>227</v>
      </c>
      <c r="W70" s="572"/>
      <c r="X70" s="564">
        <v>6.7</v>
      </c>
      <c r="Y70" s="564">
        <v>4.5</v>
      </c>
      <c r="Z70" s="564">
        <v>4.8</v>
      </c>
      <c r="AA70" s="572">
        <v>31.7</v>
      </c>
      <c r="AB70" s="564">
        <v>32.1</v>
      </c>
      <c r="AC70" s="564">
        <v>19.5</v>
      </c>
      <c r="AD70" s="564">
        <v>20.3</v>
      </c>
      <c r="AE70" s="572"/>
      <c r="AF70" s="564">
        <v>11.9</v>
      </c>
      <c r="AG70" s="564">
        <v>13.1</v>
      </c>
      <c r="AH70" s="564"/>
      <c r="AI70" s="572"/>
      <c r="AJ70" s="564">
        <v>14.7</v>
      </c>
      <c r="AK70" s="564"/>
      <c r="AL70" s="564"/>
      <c r="AM70" s="572">
        <v>32</v>
      </c>
      <c r="AN70" s="564">
        <v>39.799999999999997</v>
      </c>
      <c r="AO70" s="564"/>
      <c r="AP70" s="564"/>
      <c r="AQ70" s="572">
        <v>44.2</v>
      </c>
      <c r="AR70" s="564"/>
      <c r="AS70" s="564"/>
      <c r="AT70" s="564"/>
      <c r="AU70" s="572"/>
      <c r="AV70" s="564"/>
      <c r="AW70" s="564"/>
      <c r="AX70" s="564"/>
      <c r="AY70" s="572"/>
      <c r="AZ70" s="564"/>
      <c r="BA70" s="564"/>
      <c r="BB70" s="564"/>
      <c r="BC70" s="572"/>
      <c r="BD70" s="564"/>
      <c r="BE70" s="564"/>
      <c r="BF70" s="564"/>
      <c r="BG70" s="572"/>
      <c r="BH70" s="564"/>
      <c r="BI70" s="564"/>
      <c r="BJ70" s="564"/>
      <c r="BK70" s="572"/>
      <c r="BL70" s="564"/>
      <c r="BM70" s="564"/>
      <c r="BN70" s="564"/>
      <c r="BO70" s="572"/>
      <c r="BP70" s="564"/>
      <c r="BQ70" s="564"/>
      <c r="BR70" s="564"/>
      <c r="BS70" s="572"/>
      <c r="BT70" s="564"/>
      <c r="BU70" s="564"/>
      <c r="BV70" s="564"/>
      <c r="BW70" s="572"/>
      <c r="BX70" s="564"/>
      <c r="BY70" s="564"/>
      <c r="BZ70" s="564"/>
      <c r="CA70" s="572"/>
      <c r="CB70" s="564"/>
      <c r="CC70" s="564"/>
      <c r="CD70" s="564"/>
      <c r="CE70" s="572"/>
      <c r="CF70" s="564"/>
      <c r="CG70" s="564"/>
      <c r="CH70" s="564"/>
      <c r="CI70" s="572"/>
      <c r="CJ70" s="564"/>
      <c r="CK70" s="564"/>
      <c r="CL70" s="564">
        <v>171.8</v>
      </c>
      <c r="CM70" s="572"/>
      <c r="CN70" s="564"/>
      <c r="CO70" s="564"/>
      <c r="CP70" s="564"/>
      <c r="CQ70" s="572"/>
      <c r="CR70" s="932"/>
      <c r="CS70" s="932"/>
      <c r="CT70" s="932"/>
      <c r="CU70" s="919"/>
      <c r="CV70" s="406"/>
      <c r="CW70" s="564"/>
      <c r="CX70" s="436">
        <f t="shared" si="134"/>
        <v>0</v>
      </c>
      <c r="CY70" s="436">
        <f t="shared" si="135"/>
        <v>0</v>
      </c>
      <c r="CZ70" s="436">
        <f t="shared" si="136"/>
        <v>0</v>
      </c>
      <c r="DA70" s="436">
        <f t="shared" si="137"/>
        <v>16.8</v>
      </c>
      <c r="DB70" s="436">
        <f t="shared" si="138"/>
        <v>0</v>
      </c>
      <c r="DC70" s="436">
        <f t="shared" si="139"/>
        <v>31.7</v>
      </c>
      <c r="DD70" s="436">
        <f t="shared" si="140"/>
        <v>0</v>
      </c>
      <c r="DE70" s="436">
        <f t="shared" si="141"/>
        <v>0</v>
      </c>
      <c r="DF70" s="436">
        <f t="shared" si="142"/>
        <v>32</v>
      </c>
      <c r="DG70" s="436">
        <f t="shared" si="143"/>
        <v>44.2</v>
      </c>
      <c r="DH70" s="436">
        <f t="shared" si="144"/>
        <v>0</v>
      </c>
      <c r="DI70" s="436">
        <f t="shared" si="145"/>
        <v>0</v>
      </c>
      <c r="DJ70" s="436">
        <f t="shared" si="146"/>
        <v>0</v>
      </c>
      <c r="DK70" s="436">
        <f t="shared" si="147"/>
        <v>0</v>
      </c>
      <c r="DL70" s="436">
        <f t="shared" si="148"/>
        <v>0</v>
      </c>
      <c r="DM70" s="436">
        <f t="shared" si="149"/>
        <v>0</v>
      </c>
      <c r="DN70" s="436">
        <f t="shared" si="150"/>
        <v>0</v>
      </c>
      <c r="DO70" s="436">
        <f t="shared" si="151"/>
        <v>0</v>
      </c>
      <c r="DP70" s="436">
        <f t="shared" si="152"/>
        <v>0</v>
      </c>
      <c r="DQ70" s="436">
        <f t="shared" si="153"/>
        <v>0</v>
      </c>
      <c r="DR70" s="436">
        <f t="shared" si="154"/>
        <v>0</v>
      </c>
      <c r="DS70" s="436">
        <f t="shared" si="155"/>
        <v>0</v>
      </c>
      <c r="DT70" s="436">
        <f t="shared" si="156"/>
        <v>0</v>
      </c>
      <c r="DU70" s="436">
        <f t="shared" si="157"/>
        <v>0</v>
      </c>
      <c r="DV70" s="564"/>
      <c r="DW70" s="564"/>
      <c r="DX70" s="564"/>
      <c r="DY70" s="564"/>
      <c r="DZ70" s="564"/>
      <c r="EA70" s="512"/>
      <c r="EB70"/>
      <c r="EC70"/>
      <c r="ED70"/>
      <c r="EE70"/>
      <c r="EF70"/>
      <c r="EG70"/>
    </row>
    <row r="71" spans="1:137" s="410" customFormat="1" collapsed="1">
      <c r="A71" s="400"/>
      <c r="B71" s="452" t="s">
        <v>96</v>
      </c>
      <c r="C71" s="658"/>
      <c r="D71" s="636">
        <v>23.5</v>
      </c>
      <c r="E71" s="564">
        <v>25.8</v>
      </c>
      <c r="F71" s="564">
        <v>26.6</v>
      </c>
      <c r="G71" s="572">
        <v>10</v>
      </c>
      <c r="H71" s="564">
        <v>9</v>
      </c>
      <c r="I71" s="564">
        <v>11.6</v>
      </c>
      <c r="J71" s="564">
        <v>13.2</v>
      </c>
      <c r="K71" s="572">
        <v>8.1</v>
      </c>
      <c r="L71" s="564">
        <v>11</v>
      </c>
      <c r="M71" s="564">
        <v>11.5</v>
      </c>
      <c r="N71" s="564">
        <v>16.600000000000001</v>
      </c>
      <c r="O71" s="572">
        <v>18.399999999999999</v>
      </c>
      <c r="P71" s="564">
        <v>14.6</v>
      </c>
      <c r="Q71" s="564">
        <v>23.8</v>
      </c>
      <c r="R71" s="564">
        <v>25.5</v>
      </c>
      <c r="S71" s="572">
        <v>9.5</v>
      </c>
      <c r="T71" s="564">
        <v>14.2</v>
      </c>
      <c r="U71" s="564">
        <v>11.9</v>
      </c>
      <c r="V71" s="564">
        <v>13.7</v>
      </c>
      <c r="W71" s="572">
        <v>153.19999999999999</v>
      </c>
      <c r="X71" s="564">
        <v>27.1</v>
      </c>
      <c r="Y71" s="564">
        <v>29.1</v>
      </c>
      <c r="Z71" s="564">
        <v>29.5</v>
      </c>
      <c r="AA71" s="572">
        <v>25.3</v>
      </c>
      <c r="AB71" s="564">
        <v>28.9</v>
      </c>
      <c r="AC71" s="564">
        <v>26.7</v>
      </c>
      <c r="AD71" s="564">
        <v>29</v>
      </c>
      <c r="AE71" s="572">
        <v>37.299999999999997</v>
      </c>
      <c r="AF71" s="564">
        <v>25.3</v>
      </c>
      <c r="AG71" s="564">
        <v>25.6</v>
      </c>
      <c r="AH71" s="564">
        <v>77.400000000000006</v>
      </c>
      <c r="AI71" s="572">
        <v>57.5</v>
      </c>
      <c r="AJ71" s="564">
        <v>28.7</v>
      </c>
      <c r="AK71" s="564">
        <v>63.8</v>
      </c>
      <c r="AL71" s="564">
        <v>67</v>
      </c>
      <c r="AM71" s="572">
        <v>30.5</v>
      </c>
      <c r="AN71" s="564">
        <f>45.9</f>
        <v>45.9</v>
      </c>
      <c r="AO71" s="564"/>
      <c r="AP71" s="564"/>
      <c r="AQ71" s="572">
        <v>55.3</v>
      </c>
      <c r="AR71" s="564"/>
      <c r="AS71" s="564"/>
      <c r="AT71" s="564"/>
      <c r="AU71" s="572"/>
      <c r="AV71" s="564"/>
      <c r="AW71" s="564"/>
      <c r="AX71" s="564"/>
      <c r="AY71" s="572"/>
      <c r="AZ71" s="564"/>
      <c r="BA71" s="564"/>
      <c r="BB71" s="564"/>
      <c r="BC71" s="572">
        <v>84.4</v>
      </c>
      <c r="BD71" s="564">
        <v>78.2</v>
      </c>
      <c r="BE71" s="564"/>
      <c r="BF71" s="564"/>
      <c r="BG71" s="572">
        <v>79</v>
      </c>
      <c r="BH71" s="564">
        <v>61.4</v>
      </c>
      <c r="BI71" s="564">
        <v>81.3</v>
      </c>
      <c r="BJ71" s="564">
        <v>94</v>
      </c>
      <c r="BK71" s="572">
        <f>BJ71</f>
        <v>94</v>
      </c>
      <c r="BL71" s="564"/>
      <c r="BM71" s="564"/>
      <c r="BN71" s="564"/>
      <c r="BO71" s="572"/>
      <c r="BP71" s="564">
        <v>88.8</v>
      </c>
      <c r="BQ71" s="564">
        <v>88.6</v>
      </c>
      <c r="BR71" s="564"/>
      <c r="BS71" s="572"/>
      <c r="BT71" s="564"/>
      <c r="BU71" s="564"/>
      <c r="BV71" s="564"/>
      <c r="BW71" s="572"/>
      <c r="BX71" s="564"/>
      <c r="BY71" s="564"/>
      <c r="BZ71" s="564">
        <v>98.3</v>
      </c>
      <c r="CA71" s="572">
        <v>68.7</v>
      </c>
      <c r="CB71" s="564">
        <v>98.7</v>
      </c>
      <c r="CC71" s="564">
        <v>113.2</v>
      </c>
      <c r="CD71" s="564">
        <v>121.4</v>
      </c>
      <c r="CE71" s="572">
        <v>130.19999999999999</v>
      </c>
      <c r="CF71" s="564">
        <v>139</v>
      </c>
      <c r="CG71" s="564">
        <v>145</v>
      </c>
      <c r="CH71" s="564">
        <v>137.1</v>
      </c>
      <c r="CI71" s="572">
        <f>169</f>
        <v>169</v>
      </c>
      <c r="CJ71" s="564">
        <f>172.6</f>
        <v>172.6</v>
      </c>
      <c r="CK71" s="564">
        <f>160.4</f>
        <v>160.4</v>
      </c>
      <c r="CL71" s="564">
        <v>147.5</v>
      </c>
      <c r="CM71" s="572">
        <v>137.4</v>
      </c>
      <c r="CN71" s="564">
        <v>157.69999999999999</v>
      </c>
      <c r="CO71" s="564">
        <v>165.4</v>
      </c>
      <c r="CP71" s="564">
        <v>167.3</v>
      </c>
      <c r="CQ71" s="572">
        <f>145.4+67.3</f>
        <v>212.7</v>
      </c>
      <c r="CR71" s="933">
        <f>CQ71</f>
        <v>212.7</v>
      </c>
      <c r="CS71" s="933">
        <f>CR71</f>
        <v>212.7</v>
      </c>
      <c r="CT71" s="933">
        <f>CS71</f>
        <v>212.7</v>
      </c>
      <c r="CU71" s="920">
        <f>CT71</f>
        <v>212.7</v>
      </c>
      <c r="CV71" s="406"/>
      <c r="CW71" s="564">
        <v>20.7</v>
      </c>
      <c r="CX71" s="436">
        <f t="shared" si="134"/>
        <v>10</v>
      </c>
      <c r="CY71" s="436">
        <f t="shared" si="135"/>
        <v>8.1</v>
      </c>
      <c r="CZ71" s="436">
        <f t="shared" si="136"/>
        <v>18.399999999999999</v>
      </c>
      <c r="DA71" s="436">
        <f t="shared" si="137"/>
        <v>9.5</v>
      </c>
      <c r="DB71" s="436">
        <f t="shared" si="138"/>
        <v>153.19999999999999</v>
      </c>
      <c r="DC71" s="436">
        <f t="shared" si="139"/>
        <v>25.3</v>
      </c>
      <c r="DD71" s="436">
        <f t="shared" si="140"/>
        <v>37.299999999999997</v>
      </c>
      <c r="DE71" s="436">
        <f t="shared" si="141"/>
        <v>57.5</v>
      </c>
      <c r="DF71" s="436">
        <f t="shared" si="142"/>
        <v>30.5</v>
      </c>
      <c r="DG71" s="436">
        <f t="shared" si="143"/>
        <v>55.3</v>
      </c>
      <c r="DH71" s="436">
        <f t="shared" si="144"/>
        <v>0</v>
      </c>
      <c r="DI71" s="436">
        <f t="shared" si="145"/>
        <v>0</v>
      </c>
      <c r="DJ71" s="436">
        <f t="shared" si="146"/>
        <v>84.4</v>
      </c>
      <c r="DK71" s="436">
        <f t="shared" si="147"/>
        <v>79</v>
      </c>
      <c r="DL71" s="436">
        <f t="shared" si="148"/>
        <v>94</v>
      </c>
      <c r="DM71" s="436">
        <f t="shared" si="149"/>
        <v>0</v>
      </c>
      <c r="DN71" s="436">
        <f t="shared" si="150"/>
        <v>0</v>
      </c>
      <c r="DO71" s="436">
        <f t="shared" si="151"/>
        <v>0</v>
      </c>
      <c r="DP71" s="436">
        <f t="shared" si="152"/>
        <v>68.7</v>
      </c>
      <c r="DQ71" s="436">
        <f t="shared" si="153"/>
        <v>130.19999999999999</v>
      </c>
      <c r="DR71" s="436">
        <f t="shared" si="154"/>
        <v>169</v>
      </c>
      <c r="DS71" s="436">
        <f t="shared" si="155"/>
        <v>137.4</v>
      </c>
      <c r="DT71" s="436">
        <f t="shared" si="156"/>
        <v>212.7</v>
      </c>
      <c r="DU71" s="436">
        <f t="shared" si="157"/>
        <v>212.7</v>
      </c>
      <c r="DV71" s="564">
        <f t="shared" ref="DV71:DW71" si="160">DU71</f>
        <v>212.7</v>
      </c>
      <c r="DW71" s="564">
        <f t="shared" si="160"/>
        <v>212.7</v>
      </c>
      <c r="DX71" s="564">
        <f t="shared" ref="DX71:DZ71" si="161">DW71</f>
        <v>212.7</v>
      </c>
      <c r="DY71" s="564">
        <f t="shared" si="161"/>
        <v>212.7</v>
      </c>
      <c r="DZ71" s="564">
        <f t="shared" si="161"/>
        <v>212.7</v>
      </c>
      <c r="EA71" s="512"/>
      <c r="EB71"/>
      <c r="EC71"/>
      <c r="ED71"/>
      <c r="EE71"/>
      <c r="EF71"/>
      <c r="EG71"/>
    </row>
    <row r="72" spans="1:137" s="410" customFormat="1" hidden="1" outlineLevel="1">
      <c r="A72" s="400"/>
      <c r="B72" s="515" t="s">
        <v>305</v>
      </c>
      <c r="C72" s="899"/>
      <c r="D72" s="638"/>
      <c r="E72" s="639"/>
      <c r="F72" s="639"/>
      <c r="G72" s="640"/>
      <c r="H72" s="639"/>
      <c r="I72" s="639"/>
      <c r="J72" s="639"/>
      <c r="K72" s="640">
        <v>17.8</v>
      </c>
      <c r="L72" s="639">
        <v>17.8</v>
      </c>
      <c r="M72" s="639">
        <v>17.8</v>
      </c>
      <c r="N72" s="639">
        <v>17.8</v>
      </c>
      <c r="O72" s="640">
        <v>8.5</v>
      </c>
      <c r="P72" s="639">
        <v>8.5</v>
      </c>
      <c r="Q72" s="639">
        <v>8.5</v>
      </c>
      <c r="R72" s="639">
        <v>8.5</v>
      </c>
      <c r="S72" s="640">
        <v>4.7</v>
      </c>
      <c r="T72" s="639">
        <v>10.199999999999999</v>
      </c>
      <c r="U72" s="639">
        <v>11</v>
      </c>
      <c r="V72" s="639">
        <v>11.5</v>
      </c>
      <c r="W72" s="640">
        <v>2.8</v>
      </c>
      <c r="X72" s="639">
        <v>2.8</v>
      </c>
      <c r="Y72" s="639">
        <v>2.8</v>
      </c>
      <c r="Z72" s="639">
        <v>2.8</v>
      </c>
      <c r="AA72" s="640">
        <v>1.7</v>
      </c>
      <c r="AB72" s="639">
        <v>1.7</v>
      </c>
      <c r="AC72" s="639">
        <v>1.7</v>
      </c>
      <c r="AD72" s="639">
        <v>1.7</v>
      </c>
      <c r="AE72" s="640">
        <v>23.6</v>
      </c>
      <c r="AF72" s="639">
        <v>23.6</v>
      </c>
      <c r="AG72" s="639">
        <v>23.6</v>
      </c>
      <c r="AH72" s="639"/>
      <c r="AI72" s="640"/>
      <c r="AJ72" s="639">
        <v>11.4</v>
      </c>
      <c r="AK72" s="639"/>
      <c r="AL72" s="639"/>
      <c r="AM72" s="640">
        <v>32.799999999999997</v>
      </c>
      <c r="AN72" s="639">
        <v>32.9</v>
      </c>
      <c r="AO72" s="639">
        <v>112.1</v>
      </c>
      <c r="AP72" s="639">
        <v>111.9</v>
      </c>
      <c r="AQ72" s="640">
        <v>22.6</v>
      </c>
      <c r="AR72" s="639">
        <v>78.599999999999994</v>
      </c>
      <c r="AS72" s="639">
        <v>83.4</v>
      </c>
      <c r="AT72" s="639">
        <v>90.2</v>
      </c>
      <c r="AU72" s="640">
        <v>80.3</v>
      </c>
      <c r="AV72" s="639">
        <v>85.3</v>
      </c>
      <c r="AW72" s="639">
        <f>35.5+53</f>
        <v>88.5</v>
      </c>
      <c r="AX72" s="639">
        <v>131</v>
      </c>
      <c r="AY72" s="640">
        <f>90.5+33.7</f>
        <v>124.2</v>
      </c>
      <c r="AZ72" s="639">
        <v>138</v>
      </c>
      <c r="BA72" s="639">
        <f>36.7+95.6</f>
        <v>132.30000000000001</v>
      </c>
      <c r="BB72" s="639">
        <f>40.3+98</f>
        <v>138.30000000000001</v>
      </c>
      <c r="BC72" s="640">
        <v>42.8</v>
      </c>
      <c r="BD72" s="639">
        <v>46.8</v>
      </c>
      <c r="BE72" s="639">
        <v>136.80000000000001</v>
      </c>
      <c r="BF72" s="639">
        <v>140.4</v>
      </c>
      <c r="BG72" s="640">
        <v>67.5</v>
      </c>
      <c r="BH72" s="639">
        <v>61.7</v>
      </c>
      <c r="BI72" s="639">
        <v>62</v>
      </c>
      <c r="BJ72" s="639">
        <v>57.9</v>
      </c>
      <c r="BK72" s="640">
        <f>148.1-BK71</f>
        <v>54.099999999999994</v>
      </c>
      <c r="BL72" s="639">
        <v>149.4</v>
      </c>
      <c r="BM72" s="639">
        <v>158.6</v>
      </c>
      <c r="BN72" s="639">
        <v>165.1</v>
      </c>
      <c r="BO72" s="640">
        <v>155.5</v>
      </c>
      <c r="BP72" s="639">
        <v>72.900000000000006</v>
      </c>
      <c r="BQ72" s="639">
        <v>79.3</v>
      </c>
      <c r="BR72" s="639">
        <v>170.4</v>
      </c>
      <c r="BS72" s="640">
        <v>140.9</v>
      </c>
      <c r="BT72" s="639">
        <v>162.9</v>
      </c>
      <c r="BU72" s="639">
        <v>138.19999999999999</v>
      </c>
      <c r="BV72" s="639">
        <v>135.4</v>
      </c>
      <c r="BW72" s="640">
        <v>162.19999999999999</v>
      </c>
      <c r="BX72" s="639">
        <v>138.19999999999999</v>
      </c>
      <c r="BY72" s="639">
        <v>141</v>
      </c>
      <c r="BZ72" s="639">
        <v>85.3</v>
      </c>
      <c r="CA72" s="640">
        <v>83.7</v>
      </c>
      <c r="CB72" s="639">
        <v>51.5</v>
      </c>
      <c r="CC72" s="639">
        <v>53</v>
      </c>
      <c r="CD72" s="639">
        <v>49.7</v>
      </c>
      <c r="CE72" s="640">
        <v>93.6</v>
      </c>
      <c r="CF72" s="639">
        <v>79.900000000000006</v>
      </c>
      <c r="CG72" s="639">
        <v>49.8</v>
      </c>
      <c r="CH72" s="639">
        <v>56</v>
      </c>
      <c r="CI72" s="640"/>
      <c r="CJ72" s="639"/>
      <c r="CK72" s="639"/>
      <c r="CL72" s="639"/>
      <c r="CM72" s="572"/>
      <c r="CN72" s="564"/>
      <c r="CO72" s="564"/>
      <c r="CP72" s="639"/>
      <c r="CQ72" s="1162"/>
      <c r="CR72" s="932"/>
      <c r="CS72" s="932"/>
      <c r="CT72" s="932"/>
      <c r="CU72" s="919"/>
      <c r="CV72" s="406"/>
      <c r="CW72" s="639"/>
      <c r="CX72" s="443">
        <f t="shared" si="134"/>
        <v>0</v>
      </c>
      <c r="CY72" s="443">
        <f t="shared" si="135"/>
        <v>17.8</v>
      </c>
      <c r="CZ72" s="443">
        <f t="shared" si="136"/>
        <v>8.5</v>
      </c>
      <c r="DA72" s="443">
        <f t="shared" si="137"/>
        <v>4.7</v>
      </c>
      <c r="DB72" s="443">
        <f t="shared" si="138"/>
        <v>2.8</v>
      </c>
      <c r="DC72" s="443">
        <f t="shared" si="139"/>
        <v>1.7</v>
      </c>
      <c r="DD72" s="443">
        <f t="shared" si="140"/>
        <v>23.6</v>
      </c>
      <c r="DE72" s="443">
        <f t="shared" si="141"/>
        <v>0</v>
      </c>
      <c r="DF72" s="443">
        <f t="shared" si="142"/>
        <v>32.799999999999997</v>
      </c>
      <c r="DG72" s="443">
        <f t="shared" si="143"/>
        <v>22.6</v>
      </c>
      <c r="DH72" s="443">
        <f t="shared" si="144"/>
        <v>80.3</v>
      </c>
      <c r="DI72" s="443">
        <f t="shared" si="145"/>
        <v>124.2</v>
      </c>
      <c r="DJ72" s="443">
        <f t="shared" si="146"/>
        <v>42.8</v>
      </c>
      <c r="DK72" s="443">
        <f t="shared" si="147"/>
        <v>67.5</v>
      </c>
      <c r="DL72" s="443">
        <f t="shared" si="148"/>
        <v>54.099999999999994</v>
      </c>
      <c r="DM72" s="443">
        <f t="shared" si="149"/>
        <v>155.5</v>
      </c>
      <c r="DN72" s="443">
        <f t="shared" si="150"/>
        <v>140.9</v>
      </c>
      <c r="DO72" s="443">
        <f t="shared" si="151"/>
        <v>162.19999999999999</v>
      </c>
      <c r="DP72" s="443">
        <f t="shared" si="152"/>
        <v>83.7</v>
      </c>
      <c r="DQ72" s="443">
        <f t="shared" si="153"/>
        <v>93.6</v>
      </c>
      <c r="DR72" s="443">
        <f t="shared" si="154"/>
        <v>0</v>
      </c>
      <c r="DS72" s="443">
        <f t="shared" si="155"/>
        <v>0</v>
      </c>
      <c r="DT72" s="443">
        <f t="shared" si="156"/>
        <v>0</v>
      </c>
      <c r="DU72" s="443">
        <f t="shared" si="156"/>
        <v>0</v>
      </c>
      <c r="DV72" s="639"/>
      <c r="DW72" s="639"/>
      <c r="DX72" s="639"/>
      <c r="DY72" s="639"/>
      <c r="DZ72" s="639"/>
      <c r="EA72" s="512"/>
      <c r="EB72"/>
      <c r="EC72"/>
      <c r="ED72"/>
      <c r="EE72"/>
      <c r="EF72"/>
      <c r="EG72"/>
    </row>
    <row r="73" spans="1:137" s="410" customFormat="1" collapsed="1">
      <c r="A73" s="400"/>
      <c r="B73" s="656" t="s">
        <v>97</v>
      </c>
      <c r="C73" s="909"/>
      <c r="D73" s="657">
        <f>SUM(D66:D72)</f>
        <v>231.7</v>
      </c>
      <c r="E73" s="519">
        <f t="shared" ref="E73:BP73" si="162">SUM(E66:E72)</f>
        <v>241.2</v>
      </c>
      <c r="F73" s="519">
        <f t="shared" si="162"/>
        <v>232.9</v>
      </c>
      <c r="G73" s="518">
        <f t="shared" si="162"/>
        <v>207.5</v>
      </c>
      <c r="H73" s="519">
        <f t="shared" si="162"/>
        <v>242.2</v>
      </c>
      <c r="I73" s="519">
        <f t="shared" si="162"/>
        <v>267.80000000000007</v>
      </c>
      <c r="J73" s="519">
        <f t="shared" si="162"/>
        <v>271.5</v>
      </c>
      <c r="K73" s="518">
        <f t="shared" si="162"/>
        <v>253.1</v>
      </c>
      <c r="L73" s="519">
        <f t="shared" si="162"/>
        <v>285.5</v>
      </c>
      <c r="M73" s="519">
        <f t="shared" si="162"/>
        <v>303.60000000000002</v>
      </c>
      <c r="N73" s="519">
        <f t="shared" si="162"/>
        <v>304.20000000000005</v>
      </c>
      <c r="O73" s="518">
        <f t="shared" si="162"/>
        <v>306.89999999999998</v>
      </c>
      <c r="P73" s="519">
        <f t="shared" si="162"/>
        <v>322.8</v>
      </c>
      <c r="Q73" s="519">
        <f t="shared" si="162"/>
        <v>326.40000000000003</v>
      </c>
      <c r="R73" s="519">
        <f t="shared" si="162"/>
        <v>368.5</v>
      </c>
      <c r="S73" s="518">
        <f t="shared" si="162"/>
        <v>376.1</v>
      </c>
      <c r="T73" s="519">
        <f t="shared" si="162"/>
        <v>694.6</v>
      </c>
      <c r="U73" s="519">
        <f t="shared" si="162"/>
        <v>681.6</v>
      </c>
      <c r="V73" s="519">
        <f t="shared" si="162"/>
        <v>668.40000000000009</v>
      </c>
      <c r="W73" s="518">
        <f t="shared" si="162"/>
        <v>558.29999999999995</v>
      </c>
      <c r="X73" s="519">
        <f t="shared" si="162"/>
        <v>506.3</v>
      </c>
      <c r="Y73" s="519">
        <f t="shared" si="162"/>
        <v>491.90000000000003</v>
      </c>
      <c r="Z73" s="519">
        <f t="shared" si="162"/>
        <v>480.70000000000005</v>
      </c>
      <c r="AA73" s="518">
        <f t="shared" si="162"/>
        <v>410.59999999999997</v>
      </c>
      <c r="AB73" s="519">
        <f t="shared" si="162"/>
        <v>434.5</v>
      </c>
      <c r="AC73" s="519">
        <f t="shared" si="162"/>
        <v>411.79999999999995</v>
      </c>
      <c r="AD73" s="519">
        <f t="shared" si="162"/>
        <v>436</v>
      </c>
      <c r="AE73" s="518">
        <f t="shared" si="162"/>
        <v>441.3</v>
      </c>
      <c r="AF73" s="519">
        <f t="shared" si="162"/>
        <v>475.90000000000003</v>
      </c>
      <c r="AG73" s="519">
        <f t="shared" si="162"/>
        <v>544.1</v>
      </c>
      <c r="AH73" s="519">
        <f t="shared" si="162"/>
        <v>587.4</v>
      </c>
      <c r="AI73" s="518">
        <f t="shared" si="162"/>
        <v>566.5</v>
      </c>
      <c r="AJ73" s="519">
        <f t="shared" si="162"/>
        <v>628.70000000000005</v>
      </c>
      <c r="AK73" s="519">
        <f t="shared" si="162"/>
        <v>696.8</v>
      </c>
      <c r="AL73" s="519">
        <f t="shared" si="162"/>
        <v>753.2</v>
      </c>
      <c r="AM73" s="518">
        <f t="shared" si="162"/>
        <v>824.59999999999991</v>
      </c>
      <c r="AN73" s="519">
        <f t="shared" si="162"/>
        <v>928.59999999999991</v>
      </c>
      <c r="AO73" s="519">
        <f t="shared" si="162"/>
        <v>962.90000000000009</v>
      </c>
      <c r="AP73" s="519">
        <f t="shared" si="162"/>
        <v>1019.4</v>
      </c>
      <c r="AQ73" s="518">
        <f t="shared" si="162"/>
        <v>1074.3</v>
      </c>
      <c r="AR73" s="519">
        <f t="shared" si="162"/>
        <v>1227.5</v>
      </c>
      <c r="AS73" s="519">
        <f t="shared" si="162"/>
        <v>1221.8000000000002</v>
      </c>
      <c r="AT73" s="519">
        <f t="shared" si="162"/>
        <v>1238.3</v>
      </c>
      <c r="AU73" s="518">
        <f t="shared" si="162"/>
        <v>1168.7</v>
      </c>
      <c r="AV73" s="519">
        <f t="shared" si="162"/>
        <v>1252.8</v>
      </c>
      <c r="AW73" s="519">
        <f t="shared" si="162"/>
        <v>1291.1000000000001</v>
      </c>
      <c r="AX73" s="519">
        <f t="shared" si="162"/>
        <v>1344.8000000000002</v>
      </c>
      <c r="AY73" s="518">
        <f t="shared" si="162"/>
        <v>1437.5</v>
      </c>
      <c r="AZ73" s="519">
        <f t="shared" si="162"/>
        <v>1534.5</v>
      </c>
      <c r="BA73" s="519">
        <f t="shared" si="162"/>
        <v>1582.1000000000001</v>
      </c>
      <c r="BB73" s="519">
        <f t="shared" si="162"/>
        <v>1635.6000000000001</v>
      </c>
      <c r="BC73" s="518">
        <f t="shared" si="162"/>
        <v>1580.3</v>
      </c>
      <c r="BD73" s="519">
        <f t="shared" si="162"/>
        <v>1767.1</v>
      </c>
      <c r="BE73" s="519">
        <f t="shared" si="162"/>
        <v>1812.1</v>
      </c>
      <c r="BF73" s="519">
        <f t="shared" si="162"/>
        <v>1625.0000000000002</v>
      </c>
      <c r="BG73" s="518">
        <f t="shared" si="162"/>
        <v>1308.2</v>
      </c>
      <c r="BH73" s="519">
        <f t="shared" si="162"/>
        <v>1188.4000000000001</v>
      </c>
      <c r="BI73" s="519">
        <f t="shared" si="162"/>
        <v>1394.8</v>
      </c>
      <c r="BJ73" s="519">
        <f t="shared" si="162"/>
        <v>1504.9</v>
      </c>
      <c r="BK73" s="518">
        <f t="shared" si="162"/>
        <v>1551.8</v>
      </c>
      <c r="BL73" s="519">
        <f t="shared" si="162"/>
        <v>1759.0000000000002</v>
      </c>
      <c r="BM73" s="519">
        <f t="shared" si="162"/>
        <v>1702.3</v>
      </c>
      <c r="BN73" s="519">
        <f t="shared" si="162"/>
        <v>2103.7000000000003</v>
      </c>
      <c r="BO73" s="518">
        <f t="shared" si="162"/>
        <v>2059.9</v>
      </c>
      <c r="BP73" s="519">
        <f t="shared" si="162"/>
        <v>2153.7000000000003</v>
      </c>
      <c r="BQ73" s="519">
        <f t="shared" ref="BQ73:CP73" si="163">SUM(BQ66:BQ72)</f>
        <v>2305.7000000000003</v>
      </c>
      <c r="BR73" s="519">
        <f t="shared" si="163"/>
        <v>2267.7000000000003</v>
      </c>
      <c r="BS73" s="518">
        <f t="shared" si="163"/>
        <v>2137.7999999999997</v>
      </c>
      <c r="BT73" s="519">
        <f t="shared" si="163"/>
        <v>2410.0000000000005</v>
      </c>
      <c r="BU73" s="519">
        <f t="shared" si="163"/>
        <v>2420.4999999999995</v>
      </c>
      <c r="BV73" s="519">
        <f t="shared" si="163"/>
        <v>2493.6000000000004</v>
      </c>
      <c r="BW73" s="518">
        <f t="shared" si="163"/>
        <v>2472.7999999999997</v>
      </c>
      <c r="BX73" s="519">
        <f t="shared" si="163"/>
        <v>2601.5</v>
      </c>
      <c r="BY73" s="519">
        <f t="shared" si="163"/>
        <v>2736.8999999999996</v>
      </c>
      <c r="BZ73" s="519">
        <f t="shared" si="163"/>
        <v>2906.2000000000003</v>
      </c>
      <c r="CA73" s="518">
        <f t="shared" si="163"/>
        <v>2798.4999999999995</v>
      </c>
      <c r="CB73" s="519">
        <f t="shared" si="163"/>
        <v>3021.2999999999997</v>
      </c>
      <c r="CC73" s="519">
        <f t="shared" si="163"/>
        <v>3037.2999999999997</v>
      </c>
      <c r="CD73" s="519">
        <f t="shared" si="163"/>
        <v>2951.7999999999997</v>
      </c>
      <c r="CE73" s="518">
        <f t="shared" si="163"/>
        <v>2970.7999999999997</v>
      </c>
      <c r="CF73" s="519">
        <f t="shared" si="163"/>
        <v>3325.4</v>
      </c>
      <c r="CG73" s="519">
        <f t="shared" si="163"/>
        <v>3401.4000000000005</v>
      </c>
      <c r="CH73" s="519">
        <f t="shared" si="163"/>
        <v>3301</v>
      </c>
      <c r="CI73" s="518">
        <f t="shared" si="163"/>
        <v>3135.2999999999997</v>
      </c>
      <c r="CJ73" s="519">
        <f t="shared" si="163"/>
        <v>3182.4</v>
      </c>
      <c r="CK73" s="519">
        <f t="shared" si="163"/>
        <v>3206.9</v>
      </c>
      <c r="CL73" s="519">
        <f t="shared" si="163"/>
        <v>3289.2</v>
      </c>
      <c r="CM73" s="518">
        <f t="shared" si="163"/>
        <v>2911.6</v>
      </c>
      <c r="CN73" s="519">
        <f t="shared" si="163"/>
        <v>3107.2999999999997</v>
      </c>
      <c r="CO73" s="519">
        <f t="shared" si="163"/>
        <v>3193.2000000000003</v>
      </c>
      <c r="CP73" s="519">
        <f t="shared" si="163"/>
        <v>3401.1000000000004</v>
      </c>
      <c r="CQ73" s="518">
        <f t="shared" ref="CQ73" si="164">SUM(CQ66:CQ72)</f>
        <v>3543.2</v>
      </c>
      <c r="CR73" s="943">
        <f t="shared" ref="CR73:CU73" si="165">SUM(CR66:CR72)</f>
        <v>3681.0098047098313</v>
      </c>
      <c r="CS73" s="943">
        <f t="shared" si="165"/>
        <v>3953.3574441017117</v>
      </c>
      <c r="CT73" s="943">
        <f t="shared" si="165"/>
        <v>4102.8233028982386</v>
      </c>
      <c r="CU73" s="921">
        <f t="shared" si="165"/>
        <v>4468.2369551664415</v>
      </c>
      <c r="CV73" s="406"/>
      <c r="CW73" s="656">
        <f>SUM(CW66:CW72)</f>
        <v>215.8</v>
      </c>
      <c r="CX73" s="656">
        <f>SUM(CX66:CX72)</f>
        <v>207.5</v>
      </c>
      <c r="CY73" s="656">
        <f t="shared" ref="CY73:DW73" si="166">SUM(CY66:CY72)</f>
        <v>253.1</v>
      </c>
      <c r="CZ73" s="656">
        <f t="shared" si="166"/>
        <v>306.89999999999998</v>
      </c>
      <c r="DA73" s="656">
        <f t="shared" si="166"/>
        <v>376.1</v>
      </c>
      <c r="DB73" s="656">
        <f t="shared" si="166"/>
        <v>558.29999999999995</v>
      </c>
      <c r="DC73" s="656">
        <f t="shared" si="166"/>
        <v>410.59999999999997</v>
      </c>
      <c r="DD73" s="656">
        <f t="shared" si="166"/>
        <v>441.3</v>
      </c>
      <c r="DE73" s="656">
        <f t="shared" si="166"/>
        <v>566.5</v>
      </c>
      <c r="DF73" s="656">
        <f t="shared" si="166"/>
        <v>824.59999999999991</v>
      </c>
      <c r="DG73" s="656">
        <f t="shared" si="166"/>
        <v>1074.3</v>
      </c>
      <c r="DH73" s="656">
        <f t="shared" si="166"/>
        <v>1168.7</v>
      </c>
      <c r="DI73" s="656">
        <f t="shared" si="166"/>
        <v>1437.5</v>
      </c>
      <c r="DJ73" s="656">
        <f t="shared" si="166"/>
        <v>1580.3</v>
      </c>
      <c r="DK73" s="656">
        <f t="shared" si="166"/>
        <v>1308.2</v>
      </c>
      <c r="DL73" s="656">
        <f t="shared" si="166"/>
        <v>1551.8</v>
      </c>
      <c r="DM73" s="656">
        <f t="shared" si="166"/>
        <v>2059.9</v>
      </c>
      <c r="DN73" s="656">
        <f t="shared" si="166"/>
        <v>2137.7999999999997</v>
      </c>
      <c r="DO73" s="656">
        <f t="shared" si="166"/>
        <v>2472.7999999999997</v>
      </c>
      <c r="DP73" s="656">
        <f t="shared" si="166"/>
        <v>2798.4999999999995</v>
      </c>
      <c r="DQ73" s="656">
        <f t="shared" si="166"/>
        <v>2970.7999999999997</v>
      </c>
      <c r="DR73" s="656">
        <f t="shared" si="166"/>
        <v>3135.2999999999997</v>
      </c>
      <c r="DS73" s="656">
        <f t="shared" si="166"/>
        <v>2911.6</v>
      </c>
      <c r="DT73" s="656">
        <f t="shared" si="166"/>
        <v>3543.2</v>
      </c>
      <c r="DU73" s="656">
        <f t="shared" ref="DU73" si="167">SUM(DU66:DU72)</f>
        <v>4468.2369551664415</v>
      </c>
      <c r="DV73" s="656">
        <f t="shared" si="166"/>
        <v>5436.7730676572828</v>
      </c>
      <c r="DW73" s="656">
        <f t="shared" si="166"/>
        <v>6409.4633564550068</v>
      </c>
      <c r="DX73" s="656">
        <f t="shared" ref="DX73:DZ73" si="168">SUM(DX66:DX72)</f>
        <v>7382.6354608166866</v>
      </c>
      <c r="DY73" s="656">
        <f t="shared" si="168"/>
        <v>8320.4959298877257</v>
      </c>
      <c r="DZ73" s="656">
        <f t="shared" si="168"/>
        <v>9199.6751786085388</v>
      </c>
      <c r="EA73" s="436"/>
      <c r="EB73"/>
      <c r="EC73"/>
      <c r="ED73"/>
      <c r="EE73"/>
      <c r="EF73"/>
      <c r="EG73"/>
    </row>
    <row r="74" spans="1:137" s="410" customFormat="1">
      <c r="A74" s="400"/>
      <c r="B74" s="520"/>
      <c r="C74" s="658"/>
      <c r="D74" s="521"/>
      <c r="E74" s="522"/>
      <c r="F74" s="522"/>
      <c r="G74" s="523"/>
      <c r="H74" s="522"/>
      <c r="I74" s="522"/>
      <c r="J74" s="522"/>
      <c r="K74" s="523"/>
      <c r="L74" s="522"/>
      <c r="M74" s="522"/>
      <c r="N74" s="522"/>
      <c r="O74" s="523"/>
      <c r="P74" s="522"/>
      <c r="Q74" s="522"/>
      <c r="R74" s="522"/>
      <c r="S74" s="523"/>
      <c r="T74" s="522"/>
      <c r="U74" s="522"/>
      <c r="V74" s="522"/>
      <c r="W74" s="523"/>
      <c r="X74" s="522"/>
      <c r="Y74" s="522"/>
      <c r="Z74" s="522"/>
      <c r="AA74" s="523"/>
      <c r="AB74" s="522"/>
      <c r="AC74" s="522"/>
      <c r="AD74" s="522"/>
      <c r="AE74" s="523"/>
      <c r="AF74" s="522"/>
      <c r="AG74" s="522"/>
      <c r="AH74" s="522"/>
      <c r="AI74" s="523"/>
      <c r="AJ74" s="522"/>
      <c r="AK74" s="522"/>
      <c r="AL74" s="522"/>
      <c r="AM74" s="523"/>
      <c r="AN74" s="522"/>
      <c r="AO74" s="522"/>
      <c r="AP74" s="522"/>
      <c r="AQ74" s="523"/>
      <c r="AR74" s="522"/>
      <c r="AS74" s="522"/>
      <c r="AT74" s="522"/>
      <c r="AU74" s="523"/>
      <c r="AV74" s="522"/>
      <c r="AW74" s="522"/>
      <c r="AX74" s="522"/>
      <c r="AY74" s="523"/>
      <c r="AZ74" s="522"/>
      <c r="BA74" s="522"/>
      <c r="BB74" s="522"/>
      <c r="BC74" s="523"/>
      <c r="BD74" s="522"/>
      <c r="BE74" s="522"/>
      <c r="BF74" s="522"/>
      <c r="BG74" s="523"/>
      <c r="BH74" s="522"/>
      <c r="BI74" s="522"/>
      <c r="BJ74" s="522"/>
      <c r="BK74" s="523"/>
      <c r="BL74" s="522"/>
      <c r="BM74" s="522"/>
      <c r="BN74" s="522"/>
      <c r="BO74" s="523"/>
      <c r="BP74" s="522"/>
      <c r="BQ74" s="522"/>
      <c r="BR74" s="522"/>
      <c r="BS74" s="523"/>
      <c r="BT74" s="522"/>
      <c r="BU74" s="522"/>
      <c r="BV74" s="522"/>
      <c r="BW74" s="523"/>
      <c r="BX74" s="522"/>
      <c r="BY74" s="522"/>
      <c r="BZ74" s="522"/>
      <c r="CA74" s="523"/>
      <c r="CB74" s="522"/>
      <c r="CC74" s="522"/>
      <c r="CD74" s="522"/>
      <c r="CE74" s="523"/>
      <c r="CF74" s="522"/>
      <c r="CG74" s="522"/>
      <c r="CH74" s="522"/>
      <c r="CI74" s="523"/>
      <c r="CJ74" s="522"/>
      <c r="CK74" s="522"/>
      <c r="CL74" s="522"/>
      <c r="CM74" s="524"/>
      <c r="CN74" s="520"/>
      <c r="CO74" s="520"/>
      <c r="CP74" s="522"/>
      <c r="CQ74" s="523"/>
      <c r="CR74" s="935"/>
      <c r="CS74" s="935"/>
      <c r="CT74" s="935"/>
      <c r="CU74" s="922"/>
      <c r="CV74" s="406"/>
      <c r="CW74" s="522"/>
      <c r="CX74" s="520"/>
      <c r="CY74" s="520"/>
      <c r="CZ74" s="520"/>
      <c r="DA74" s="520"/>
      <c r="DB74" s="520"/>
      <c r="DC74" s="520"/>
      <c r="DD74" s="520"/>
      <c r="DE74" s="520"/>
      <c r="DF74" s="520"/>
      <c r="DG74" s="520"/>
      <c r="DH74" s="520"/>
      <c r="DI74" s="520"/>
      <c r="DJ74" s="520"/>
      <c r="DK74" s="520"/>
      <c r="DL74" s="520"/>
      <c r="DM74" s="520"/>
      <c r="DN74" s="520"/>
      <c r="DO74" s="520"/>
      <c r="DP74" s="520"/>
      <c r="DQ74" s="520"/>
      <c r="DR74" s="520"/>
      <c r="DS74" s="520"/>
      <c r="DT74" s="520"/>
      <c r="DU74" s="520"/>
      <c r="DV74" s="520"/>
      <c r="DW74" s="520"/>
      <c r="DX74" s="520"/>
      <c r="DY74" s="520"/>
      <c r="DZ74" s="520"/>
      <c r="EA74" s="436"/>
      <c r="EB74"/>
      <c r="EC74"/>
      <c r="ED74"/>
      <c r="EE74"/>
      <c r="EF74"/>
      <c r="EG74"/>
    </row>
    <row r="75" spans="1:137" s="410" customFormat="1">
      <c r="A75" s="400"/>
      <c r="B75" s="452" t="s">
        <v>306</v>
      </c>
      <c r="C75" s="658"/>
      <c r="D75" s="636">
        <v>462.3</v>
      </c>
      <c r="E75" s="564">
        <v>502.7</v>
      </c>
      <c r="F75" s="564">
        <v>499.3</v>
      </c>
      <c r="G75" s="572">
        <v>523</v>
      </c>
      <c r="H75" s="564">
        <v>513</v>
      </c>
      <c r="I75" s="564">
        <v>539.29999999999995</v>
      </c>
      <c r="J75" s="564">
        <v>547.9</v>
      </c>
      <c r="K75" s="572">
        <v>534.20000000000005</v>
      </c>
      <c r="L75" s="564">
        <v>532.1</v>
      </c>
      <c r="M75" s="564">
        <v>552.20000000000005</v>
      </c>
      <c r="N75" s="564">
        <f>921.3-362.6</f>
        <v>558.69999999999993</v>
      </c>
      <c r="O75" s="572">
        <v>611.70000000000005</v>
      </c>
      <c r="P75" s="564">
        <v>620.29999999999995</v>
      </c>
      <c r="Q75" s="564">
        <v>629.5</v>
      </c>
      <c r="R75" s="564">
        <v>603.9</v>
      </c>
      <c r="S75" s="572">
        <v>634.5</v>
      </c>
      <c r="T75" s="564">
        <v>703.4</v>
      </c>
      <c r="U75" s="564">
        <v>709</v>
      </c>
      <c r="V75" s="564">
        <v>725.1</v>
      </c>
      <c r="W75" s="572">
        <v>796</v>
      </c>
      <c r="X75" s="564">
        <v>791.9</v>
      </c>
      <c r="Y75" s="564">
        <v>809.3</v>
      </c>
      <c r="Z75" s="564">
        <v>803.1</v>
      </c>
      <c r="AA75" s="572">
        <v>807.2</v>
      </c>
      <c r="AB75" s="564">
        <v>791.6</v>
      </c>
      <c r="AC75" s="564">
        <v>794.6</v>
      </c>
      <c r="AD75" s="564">
        <v>822.2</v>
      </c>
      <c r="AE75" s="572">
        <v>838.2</v>
      </c>
      <c r="AF75" s="564">
        <v>828</v>
      </c>
      <c r="AG75" s="564">
        <v>858.3</v>
      </c>
      <c r="AH75" s="564">
        <v>856.4</v>
      </c>
      <c r="AI75" s="572">
        <v>894.9</v>
      </c>
      <c r="AJ75" s="564">
        <v>897</v>
      </c>
      <c r="AK75" s="564">
        <v>919.9</v>
      </c>
      <c r="AL75" s="564">
        <v>927.6</v>
      </c>
      <c r="AM75" s="572">
        <v>985.3</v>
      </c>
      <c r="AN75" s="564">
        <f>1700.4-707</f>
        <v>993.40000000000009</v>
      </c>
      <c r="AO75" s="564">
        <v>990.9</v>
      </c>
      <c r="AP75" s="564">
        <v>1007.3</v>
      </c>
      <c r="AQ75" s="572">
        <v>1077.2</v>
      </c>
      <c r="AR75" s="564">
        <f>1299.7+95.3</f>
        <v>1395</v>
      </c>
      <c r="AS75" s="564">
        <f>1257.6+95.1</f>
        <v>1352.6999999999998</v>
      </c>
      <c r="AT75" s="564">
        <v>1257</v>
      </c>
      <c r="AU75" s="572">
        <v>1294.9000000000001</v>
      </c>
      <c r="AV75" s="564">
        <v>1301.5</v>
      </c>
      <c r="AW75" s="564">
        <v>1340.1</v>
      </c>
      <c r="AX75" s="564">
        <v>1350.8</v>
      </c>
      <c r="AY75" s="572">
        <v>1460.7</v>
      </c>
      <c r="AZ75" s="564">
        <v>1460.6</v>
      </c>
      <c r="BA75" s="564">
        <v>1476.7</v>
      </c>
      <c r="BB75" s="564">
        <v>1524.9</v>
      </c>
      <c r="BC75" s="572">
        <v>1609.1</v>
      </c>
      <c r="BD75" s="564">
        <v>1672.2</v>
      </c>
      <c r="BE75" s="564">
        <v>1701.8</v>
      </c>
      <c r="BF75" s="564">
        <v>1611.4</v>
      </c>
      <c r="BG75" s="572">
        <v>1586.2</v>
      </c>
      <c r="BH75" s="564">
        <v>1510.1</v>
      </c>
      <c r="BI75" s="564">
        <v>1502.1</v>
      </c>
      <c r="BJ75" s="564">
        <v>1525</v>
      </c>
      <c r="BK75" s="572">
        <v>1490.3</v>
      </c>
      <c r="BL75" s="564">
        <v>1436.4</v>
      </c>
      <c r="BM75" s="564">
        <v>1405.9</v>
      </c>
      <c r="BN75" s="564">
        <v>1509.1</v>
      </c>
      <c r="BO75" s="572">
        <v>1542.6</v>
      </c>
      <c r="BP75" s="564">
        <v>1623.2</v>
      </c>
      <c r="BQ75" s="564">
        <v>1681.4</v>
      </c>
      <c r="BR75" s="564">
        <v>1637.2</v>
      </c>
      <c r="BS75" s="572">
        <v>1664.3</v>
      </c>
      <c r="BT75" s="564">
        <v>1696.4</v>
      </c>
      <c r="BU75" s="564">
        <v>1672.7</v>
      </c>
      <c r="BV75" s="564">
        <v>1698.7</v>
      </c>
      <c r="BW75" s="572">
        <v>1788</v>
      </c>
      <c r="BX75" s="564">
        <v>1765.2</v>
      </c>
      <c r="BY75" s="564">
        <v>1796.3</v>
      </c>
      <c r="BZ75" s="564">
        <v>1875.4</v>
      </c>
      <c r="CA75" s="572">
        <v>1939.4</v>
      </c>
      <c r="CB75" s="564">
        <v>2027.8</v>
      </c>
      <c r="CC75" s="564">
        <v>2089.3000000000002</v>
      </c>
      <c r="CD75" s="564">
        <v>2067.4</v>
      </c>
      <c r="CE75" s="572">
        <v>2093.9</v>
      </c>
      <c r="CF75" s="564">
        <v>2049.9</v>
      </c>
      <c r="CG75" s="564">
        <v>2160.5</v>
      </c>
      <c r="CH75" s="564">
        <v>2185.1999999999998</v>
      </c>
      <c r="CI75" s="572">
        <v>2448.1</v>
      </c>
      <c r="CJ75" s="564">
        <v>2498.9</v>
      </c>
      <c r="CK75" s="564">
        <v>2502.8000000000002</v>
      </c>
      <c r="CL75" s="564">
        <v>2518.5</v>
      </c>
      <c r="CM75" s="572">
        <v>2501.8000000000002</v>
      </c>
      <c r="CN75" s="564">
        <v>2553.1</v>
      </c>
      <c r="CO75" s="564">
        <v>2663.8</v>
      </c>
      <c r="CP75" s="564">
        <v>2753.7</v>
      </c>
      <c r="CQ75" s="572">
        <v>2863.8</v>
      </c>
      <c r="CR75" s="932">
        <f>+CQ75-CR130-CR152</f>
        <v>2893.1363003549873</v>
      </c>
      <c r="CS75" s="932">
        <f>+CR75-CS130-CS152</f>
        <v>2923.1447144027306</v>
      </c>
      <c r="CT75" s="932">
        <f>+CS75-CT130-CT152</f>
        <v>2952.0091562666216</v>
      </c>
      <c r="CU75" s="919">
        <f>+CT75-CU130-CU152</f>
        <v>2988.4264262096904</v>
      </c>
      <c r="CV75" s="406"/>
      <c r="CW75" s="564">
        <v>462.3</v>
      </c>
      <c r="CX75" s="436">
        <f t="shared" ref="CX75:CX79" si="169">G75</f>
        <v>523</v>
      </c>
      <c r="CY75" s="436">
        <f t="shared" ref="CY75:CY79" si="170">K75</f>
        <v>534.20000000000005</v>
      </c>
      <c r="CZ75" s="436">
        <f t="shared" ref="CZ75:CZ79" si="171">O75</f>
        <v>611.70000000000005</v>
      </c>
      <c r="DA75" s="436">
        <f t="shared" ref="DA75:DA79" si="172">S75</f>
        <v>634.5</v>
      </c>
      <c r="DB75" s="436">
        <f t="shared" ref="DB75:DB79" si="173">W75</f>
        <v>796</v>
      </c>
      <c r="DC75" s="436">
        <f t="shared" ref="DC75:DC79" si="174">AA75</f>
        <v>807.2</v>
      </c>
      <c r="DD75" s="436">
        <f t="shared" ref="DD75:DD79" si="175">AE75</f>
        <v>838.2</v>
      </c>
      <c r="DE75" s="436">
        <f t="shared" ref="DE75:DE79" si="176">AI75</f>
        <v>894.9</v>
      </c>
      <c r="DF75" s="436">
        <f t="shared" ref="DF75:DF79" si="177">AM75</f>
        <v>985.3</v>
      </c>
      <c r="DG75" s="436">
        <f t="shared" ref="DG75:DG79" si="178">AQ75</f>
        <v>1077.2</v>
      </c>
      <c r="DH75" s="436">
        <f t="shared" ref="DH75:DH79" si="179">AU75</f>
        <v>1294.9000000000001</v>
      </c>
      <c r="DI75" s="436">
        <f t="shared" ref="DI75:DI79" si="180">AY75</f>
        <v>1460.7</v>
      </c>
      <c r="DJ75" s="436">
        <f t="shared" ref="DJ75:DJ79" si="181">BC75</f>
        <v>1609.1</v>
      </c>
      <c r="DK75" s="436">
        <f t="shared" ref="DK75:DK79" si="182">BG75</f>
        <v>1586.2</v>
      </c>
      <c r="DL75" s="436">
        <f t="shared" ref="DL75:DL79" si="183">BK75</f>
        <v>1490.3</v>
      </c>
      <c r="DM75" s="436">
        <f t="shared" ref="DM75:DM79" si="184">BO75</f>
        <v>1542.6</v>
      </c>
      <c r="DN75" s="436">
        <f t="shared" ref="DN75:DN79" si="185">BS75</f>
        <v>1664.3</v>
      </c>
      <c r="DO75" s="436">
        <f t="shared" ref="DO75:DO79" si="186">BW75</f>
        <v>1788</v>
      </c>
      <c r="DP75" s="436">
        <f t="shared" ref="DP75:DP79" si="187">CA75</f>
        <v>1939.4</v>
      </c>
      <c r="DQ75" s="436">
        <f t="shared" ref="DQ75:DQ79" si="188">CE75</f>
        <v>2093.9</v>
      </c>
      <c r="DR75" s="436">
        <f t="shared" ref="DR75:DR79" si="189">CI75</f>
        <v>2448.1</v>
      </c>
      <c r="DS75" s="436">
        <f t="shared" ref="DS75:DS79" si="190">CM75</f>
        <v>2501.8000000000002</v>
      </c>
      <c r="DT75" s="436">
        <f t="shared" ref="DT75:DT79" si="191">CQ75</f>
        <v>2863.8</v>
      </c>
      <c r="DU75" s="436">
        <f t="shared" ref="DU75:DU79" si="192">CU75</f>
        <v>2988.4264262096904</v>
      </c>
      <c r="DV75" s="437">
        <f t="shared" ref="DV75:DW75" si="193">+DU75-DV130-DV152</f>
        <v>3125.5003877144945</v>
      </c>
      <c r="DW75" s="437">
        <f t="shared" si="193"/>
        <v>3269.0764379220313</v>
      </c>
      <c r="DX75" s="437">
        <f t="shared" ref="DX75:DZ75" si="194">+DW75-DX130-DX152</f>
        <v>3418.5810030681619</v>
      </c>
      <c r="DY75" s="437">
        <f t="shared" si="194"/>
        <v>3572.3129175556392</v>
      </c>
      <c r="DZ75" s="437">
        <f t="shared" si="194"/>
        <v>3728.168485179217</v>
      </c>
      <c r="EA75" s="512"/>
      <c r="EB75"/>
      <c r="EC75"/>
      <c r="ED75"/>
      <c r="EE75"/>
      <c r="EF75"/>
      <c r="EG75"/>
    </row>
    <row r="76" spans="1:137" s="410" customFormat="1">
      <c r="A76" s="400"/>
      <c r="B76" s="452" t="s">
        <v>307</v>
      </c>
      <c r="C76" s="658"/>
      <c r="D76" s="636">
        <v>132.69999999999999</v>
      </c>
      <c r="E76" s="564">
        <v>150.9</v>
      </c>
      <c r="F76" s="564">
        <v>139.9</v>
      </c>
      <c r="G76" s="572">
        <v>140</v>
      </c>
      <c r="H76" s="564">
        <v>139.30000000000001</v>
      </c>
      <c r="I76" s="564">
        <v>134.5</v>
      </c>
      <c r="J76" s="564">
        <v>136</v>
      </c>
      <c r="K76" s="572">
        <v>135.9</v>
      </c>
      <c r="L76" s="564">
        <v>135</v>
      </c>
      <c r="M76" s="564">
        <v>139.5</v>
      </c>
      <c r="N76" s="564">
        <v>136</v>
      </c>
      <c r="O76" s="572">
        <v>132.9</v>
      </c>
      <c r="P76" s="564">
        <v>130.80000000000001</v>
      </c>
      <c r="Q76" s="564">
        <v>129.69999999999999</v>
      </c>
      <c r="R76" s="564">
        <v>122.6</v>
      </c>
      <c r="S76" s="572">
        <v>141.9</v>
      </c>
      <c r="T76" s="564">
        <v>146.6</v>
      </c>
      <c r="U76" s="564">
        <v>145.1</v>
      </c>
      <c r="V76" s="564">
        <v>154.6</v>
      </c>
      <c r="W76" s="572">
        <v>160.30000000000001</v>
      </c>
      <c r="X76" s="564">
        <v>158.5</v>
      </c>
      <c r="Y76" s="564">
        <v>154.6</v>
      </c>
      <c r="Z76" s="564">
        <v>155.69999999999999</v>
      </c>
      <c r="AA76" s="572">
        <v>142.69999999999999</v>
      </c>
      <c r="AB76" s="564">
        <v>144.9</v>
      </c>
      <c r="AC76" s="564">
        <v>138.9</v>
      </c>
      <c r="AD76" s="564">
        <v>145.30000000000001</v>
      </c>
      <c r="AE76" s="572">
        <v>137.4</v>
      </c>
      <c r="AF76" s="564">
        <v>132.19999999999999</v>
      </c>
      <c r="AG76" s="564">
        <v>142.30000000000001</v>
      </c>
      <c r="AH76" s="564">
        <v>156.5</v>
      </c>
      <c r="AI76" s="572">
        <v>153.1</v>
      </c>
      <c r="AJ76" s="564">
        <v>157.6</v>
      </c>
      <c r="AK76" s="564">
        <v>159.30000000000001</v>
      </c>
      <c r="AL76" s="564">
        <v>160.69999999999999</v>
      </c>
      <c r="AM76" s="572">
        <v>177.3</v>
      </c>
      <c r="AN76" s="564">
        <v>184.3</v>
      </c>
      <c r="AO76" s="564">
        <f>+AN76</f>
        <v>184.3</v>
      </c>
      <c r="AP76" s="564">
        <f>+AO76</f>
        <v>184.3</v>
      </c>
      <c r="AQ76" s="572">
        <v>193.7</v>
      </c>
      <c r="AR76" s="564">
        <v>200.2</v>
      </c>
      <c r="AS76" s="564">
        <v>200.6</v>
      </c>
      <c r="AT76" s="564">
        <f>+AS76</f>
        <v>200.6</v>
      </c>
      <c r="AU76" s="572">
        <f>+AT76</f>
        <v>200.6</v>
      </c>
      <c r="AV76" s="564">
        <v>215.9</v>
      </c>
      <c r="AW76" s="564">
        <v>209.4</v>
      </c>
      <c r="AX76" s="564">
        <v>209.3</v>
      </c>
      <c r="AY76" s="572">
        <v>198</v>
      </c>
      <c r="AZ76" s="564">
        <v>215.8</v>
      </c>
      <c r="BA76" s="564">
        <v>218.8</v>
      </c>
      <c r="BB76" s="564">
        <v>243.2</v>
      </c>
      <c r="BC76" s="572">
        <v>255.1</v>
      </c>
      <c r="BD76" s="564">
        <v>272</v>
      </c>
      <c r="BE76" s="564">
        <v>253.7</v>
      </c>
      <c r="BF76" s="564">
        <v>248.6</v>
      </c>
      <c r="BG76" s="572">
        <v>266.5</v>
      </c>
      <c r="BH76" s="564">
        <v>243</v>
      </c>
      <c r="BI76" s="564">
        <v>232.8</v>
      </c>
      <c r="BJ76" s="564">
        <v>247.2</v>
      </c>
      <c r="BK76" s="572">
        <v>257.39999999999998</v>
      </c>
      <c r="BL76" s="564">
        <f>DL76</f>
        <v>257.39999999999998</v>
      </c>
      <c r="BM76" s="564">
        <f t="shared" ref="BM76:BO77" si="195">BL76</f>
        <v>257.39999999999998</v>
      </c>
      <c r="BN76" s="564">
        <f t="shared" si="195"/>
        <v>257.39999999999998</v>
      </c>
      <c r="BO76" s="572">
        <f t="shared" si="195"/>
        <v>257.39999999999998</v>
      </c>
      <c r="BP76" s="564">
        <v>319.5</v>
      </c>
      <c r="BQ76" s="564">
        <v>336.8</v>
      </c>
      <c r="BR76" s="564">
        <f>BQ76</f>
        <v>336.8</v>
      </c>
      <c r="BS76" s="572">
        <v>345.3</v>
      </c>
      <c r="BT76" s="564">
        <v>345.3</v>
      </c>
      <c r="BU76" s="564">
        <v>345.3</v>
      </c>
      <c r="BV76" s="564">
        <v>380.7</v>
      </c>
      <c r="BW76" s="572">
        <v>382.7</v>
      </c>
      <c r="BX76" s="564">
        <f>DO76</f>
        <v>382.7</v>
      </c>
      <c r="BY76" s="564">
        <v>392.2</v>
      </c>
      <c r="BZ76" s="564">
        <v>402.3</v>
      </c>
      <c r="CA76" s="572">
        <v>405.1</v>
      </c>
      <c r="CB76" s="564">
        <v>440.2</v>
      </c>
      <c r="CC76" s="564">
        <v>469.9</v>
      </c>
      <c r="CD76" s="564">
        <v>460.8</v>
      </c>
      <c r="CE76" s="572">
        <v>403.3</v>
      </c>
      <c r="CF76" s="564">
        <v>422.5</v>
      </c>
      <c r="CG76" s="564">
        <v>437.5</v>
      </c>
      <c r="CH76" s="564">
        <v>438.5</v>
      </c>
      <c r="CI76" s="572">
        <v>460.9</v>
      </c>
      <c r="CJ76" s="564">
        <v>438.5</v>
      </c>
      <c r="CK76" s="564">
        <v>508.9</v>
      </c>
      <c r="CL76" s="564">
        <v>512.70000000000005</v>
      </c>
      <c r="CM76" s="572">
        <v>502.2</v>
      </c>
      <c r="CN76" s="564">
        <v>530</v>
      </c>
      <c r="CO76" s="564">
        <v>528.6</v>
      </c>
      <c r="CP76" s="564">
        <v>559.5</v>
      </c>
      <c r="CQ76" s="514">
        <f>CP76</f>
        <v>559.5</v>
      </c>
      <c r="CR76" s="933">
        <f t="shared" ref="CR76:CU77" si="196">CQ76</f>
        <v>559.5</v>
      </c>
      <c r="CS76" s="933">
        <f t="shared" si="196"/>
        <v>559.5</v>
      </c>
      <c r="CT76" s="933">
        <f t="shared" si="196"/>
        <v>559.5</v>
      </c>
      <c r="CU76" s="920">
        <f t="shared" si="196"/>
        <v>559.5</v>
      </c>
      <c r="CV76" s="406"/>
      <c r="CW76" s="564">
        <v>126.1</v>
      </c>
      <c r="CX76" s="436">
        <f t="shared" si="169"/>
        <v>140</v>
      </c>
      <c r="CY76" s="436">
        <f t="shared" si="170"/>
        <v>135.9</v>
      </c>
      <c r="CZ76" s="436">
        <f t="shared" si="171"/>
        <v>132.9</v>
      </c>
      <c r="DA76" s="436">
        <f t="shared" si="172"/>
        <v>141.9</v>
      </c>
      <c r="DB76" s="436">
        <f t="shared" si="173"/>
        <v>160.30000000000001</v>
      </c>
      <c r="DC76" s="436">
        <f t="shared" si="174"/>
        <v>142.69999999999999</v>
      </c>
      <c r="DD76" s="436">
        <f t="shared" si="175"/>
        <v>137.4</v>
      </c>
      <c r="DE76" s="436">
        <f t="shared" si="176"/>
        <v>153.1</v>
      </c>
      <c r="DF76" s="436">
        <f t="shared" si="177"/>
        <v>177.3</v>
      </c>
      <c r="DG76" s="436">
        <f t="shared" si="178"/>
        <v>193.7</v>
      </c>
      <c r="DH76" s="436">
        <f t="shared" si="179"/>
        <v>200.6</v>
      </c>
      <c r="DI76" s="436">
        <f t="shared" si="180"/>
        <v>198</v>
      </c>
      <c r="DJ76" s="436">
        <f t="shared" si="181"/>
        <v>255.1</v>
      </c>
      <c r="DK76" s="436">
        <f t="shared" si="182"/>
        <v>266.5</v>
      </c>
      <c r="DL76" s="436">
        <f t="shared" si="183"/>
        <v>257.39999999999998</v>
      </c>
      <c r="DM76" s="436">
        <f t="shared" si="184"/>
        <v>257.39999999999998</v>
      </c>
      <c r="DN76" s="436">
        <f t="shared" si="185"/>
        <v>345.3</v>
      </c>
      <c r="DO76" s="436">
        <f t="shared" si="186"/>
        <v>382.7</v>
      </c>
      <c r="DP76" s="436">
        <f t="shared" si="187"/>
        <v>405.1</v>
      </c>
      <c r="DQ76" s="436">
        <f t="shared" si="188"/>
        <v>403.3</v>
      </c>
      <c r="DR76" s="436">
        <f t="shared" si="189"/>
        <v>460.9</v>
      </c>
      <c r="DS76" s="436">
        <f t="shared" si="190"/>
        <v>502.2</v>
      </c>
      <c r="DT76" s="436">
        <f t="shared" si="191"/>
        <v>559.5</v>
      </c>
      <c r="DU76" s="436">
        <f t="shared" si="192"/>
        <v>559.5</v>
      </c>
      <c r="DV76" s="564">
        <f t="shared" ref="DV76:DW76" si="197">DU76</f>
        <v>559.5</v>
      </c>
      <c r="DW76" s="564">
        <f t="shared" si="197"/>
        <v>559.5</v>
      </c>
      <c r="DX76" s="564">
        <f t="shared" ref="DX76:DZ76" si="198">DW76</f>
        <v>559.5</v>
      </c>
      <c r="DY76" s="564">
        <f t="shared" si="198"/>
        <v>559.5</v>
      </c>
      <c r="DZ76" s="564">
        <f t="shared" si="198"/>
        <v>559.5</v>
      </c>
      <c r="EA76" s="512"/>
      <c r="EB76"/>
      <c r="EC76"/>
      <c r="ED76"/>
      <c r="EE76"/>
      <c r="EF76"/>
      <c r="EG76"/>
    </row>
    <row r="77" spans="1:137" s="410" customFormat="1">
      <c r="A77" s="400"/>
      <c r="B77" s="452" t="s">
        <v>308</v>
      </c>
      <c r="C77" s="658"/>
      <c r="D77" s="636">
        <v>312.7</v>
      </c>
      <c r="E77" s="564">
        <v>312.39999999999998</v>
      </c>
      <c r="F77" s="564">
        <v>310</v>
      </c>
      <c r="G77" s="572">
        <v>313</v>
      </c>
      <c r="H77" s="564">
        <v>312</v>
      </c>
      <c r="I77" s="564">
        <v>547.6</v>
      </c>
      <c r="J77" s="564">
        <v>546.20000000000005</v>
      </c>
      <c r="K77" s="572">
        <v>555.70000000000005</v>
      </c>
      <c r="L77" s="564">
        <v>551</v>
      </c>
      <c r="M77" s="564">
        <v>547.79999999999995</v>
      </c>
      <c r="N77" s="564">
        <v>543.1</v>
      </c>
      <c r="O77" s="572">
        <v>545.6</v>
      </c>
      <c r="P77" s="564">
        <v>541.20000000000005</v>
      </c>
      <c r="Q77" s="564">
        <v>534.79999999999995</v>
      </c>
      <c r="R77" s="564">
        <v>527.70000000000005</v>
      </c>
      <c r="S77" s="572">
        <v>560.4</v>
      </c>
      <c r="T77" s="564">
        <v>1048.2</v>
      </c>
      <c r="U77" s="564">
        <v>1039.7</v>
      </c>
      <c r="V77" s="564">
        <v>1037.5</v>
      </c>
      <c r="W77" s="572">
        <v>1284.7</v>
      </c>
      <c r="X77" s="564">
        <v>1272.5</v>
      </c>
      <c r="Y77" s="564">
        <v>1256.9000000000001</v>
      </c>
      <c r="Z77" s="564">
        <v>1222.5</v>
      </c>
      <c r="AA77" s="572">
        <v>1203.0999999999999</v>
      </c>
      <c r="AB77" s="564">
        <v>1191.4000000000001</v>
      </c>
      <c r="AC77" s="564">
        <v>1179.2</v>
      </c>
      <c r="AD77" s="564">
        <v>1172.8</v>
      </c>
      <c r="AE77" s="572">
        <v>1160.5999999999999</v>
      </c>
      <c r="AF77" s="564">
        <v>813.9</v>
      </c>
      <c r="AG77" s="564">
        <v>822.4</v>
      </c>
      <c r="AH77" s="564">
        <v>822.9</v>
      </c>
      <c r="AI77" s="572">
        <v>827</v>
      </c>
      <c r="AJ77" s="564">
        <v>828.5</v>
      </c>
      <c r="AK77" s="564">
        <v>842.9</v>
      </c>
      <c r="AL77" s="564">
        <v>844</v>
      </c>
      <c r="AM77" s="572">
        <v>852</v>
      </c>
      <c r="AN77" s="564">
        <v>851.7</v>
      </c>
      <c r="AO77" s="564">
        <v>851.7</v>
      </c>
      <c r="AP77" s="564">
        <v>851.7</v>
      </c>
      <c r="AQ77" s="572">
        <v>860.8</v>
      </c>
      <c r="AR77" s="564">
        <v>1037.3</v>
      </c>
      <c r="AS77" s="564">
        <v>1018</v>
      </c>
      <c r="AT77" s="564">
        <f t="shared" ref="AT77:AU77" si="199">+AS77</f>
        <v>1018</v>
      </c>
      <c r="AU77" s="572">
        <f t="shared" si="199"/>
        <v>1018</v>
      </c>
      <c r="AV77" s="564">
        <v>1036.8</v>
      </c>
      <c r="AW77" s="564">
        <v>1052.9000000000001</v>
      </c>
      <c r="AX77" s="564">
        <v>1102.5</v>
      </c>
      <c r="AY77" s="572">
        <v>1086.5</v>
      </c>
      <c r="AZ77" s="564">
        <v>1090.5</v>
      </c>
      <c r="BA77" s="564">
        <v>1095.4000000000001</v>
      </c>
      <c r="BB77" s="564">
        <v>1113.0999999999999</v>
      </c>
      <c r="BC77" s="572">
        <v>1168.2</v>
      </c>
      <c r="BD77" s="564">
        <v>1199.8</v>
      </c>
      <c r="BE77" s="564">
        <v>1270.7</v>
      </c>
      <c r="BF77" s="564">
        <v>1067.7</v>
      </c>
      <c r="BG77" s="572">
        <v>1052.4000000000001</v>
      </c>
      <c r="BH77" s="564">
        <v>1038.0999999999999</v>
      </c>
      <c r="BI77" s="564">
        <v>1057.3</v>
      </c>
      <c r="BJ77" s="564">
        <v>1068.5999999999999</v>
      </c>
      <c r="BK77" s="572">
        <v>1061.4000000000001</v>
      </c>
      <c r="BL77" s="564">
        <f>DL77</f>
        <v>1061.4000000000001</v>
      </c>
      <c r="BM77" s="564">
        <f t="shared" si="195"/>
        <v>1061.4000000000001</v>
      </c>
      <c r="BN77" s="564">
        <f t="shared" si="195"/>
        <v>1061.4000000000001</v>
      </c>
      <c r="BO77" s="572">
        <f t="shared" si="195"/>
        <v>1061.4000000000001</v>
      </c>
      <c r="BP77" s="564">
        <v>1231.7</v>
      </c>
      <c r="BQ77" s="564">
        <v>1240.7</v>
      </c>
      <c r="BR77" s="564">
        <f>BQ77-BR136</f>
        <v>1232.7</v>
      </c>
      <c r="BS77" s="572">
        <v>1186.2</v>
      </c>
      <c r="BT77" s="564">
        <v>1181.8</v>
      </c>
      <c r="BU77" s="564">
        <v>1171.5</v>
      </c>
      <c r="BV77" s="564">
        <v>1172.3</v>
      </c>
      <c r="BW77" s="572">
        <v>1181.4000000000001</v>
      </c>
      <c r="BX77" s="564">
        <f>DO77-BX136</f>
        <v>1174.7</v>
      </c>
      <c r="BY77" s="564">
        <v>1172.2</v>
      </c>
      <c r="BZ77" s="564">
        <v>1190.3</v>
      </c>
      <c r="CA77" s="572">
        <v>1197</v>
      </c>
      <c r="CB77" s="564">
        <v>1244.8</v>
      </c>
      <c r="CC77" s="564">
        <v>1243.9000000000001</v>
      </c>
      <c r="CD77" s="564">
        <v>1210.8</v>
      </c>
      <c r="CE77" s="572">
        <v>1205.7</v>
      </c>
      <c r="CF77" s="564">
        <v>1168.5999999999999</v>
      </c>
      <c r="CG77" s="564">
        <v>1184.9000000000001</v>
      </c>
      <c r="CH77" s="564">
        <v>1183.7</v>
      </c>
      <c r="CI77" s="572">
        <f>1757.7+543.8</f>
        <v>2301.5</v>
      </c>
      <c r="CJ77" s="564">
        <v>1175.7</v>
      </c>
      <c r="CK77" s="564">
        <f>1767+525.3</f>
        <v>2292.3000000000002</v>
      </c>
      <c r="CL77" s="564">
        <f>1730.2+494.7</f>
        <v>2224.9</v>
      </c>
      <c r="CM77" s="572">
        <f>1702.2+463.5</f>
        <v>2165.6999999999998</v>
      </c>
      <c r="CN77" s="564">
        <f>1708.1+455.7</f>
        <v>2163.7999999999997</v>
      </c>
      <c r="CO77" s="564">
        <f>1734.7+453.8</f>
        <v>2188.5</v>
      </c>
      <c r="CP77" s="564">
        <f>1882.1+509.4</f>
        <v>2391.5</v>
      </c>
      <c r="CQ77" s="514">
        <f>CP77</f>
        <v>2391.5</v>
      </c>
      <c r="CR77" s="933">
        <f t="shared" si="196"/>
        <v>2391.5</v>
      </c>
      <c r="CS77" s="933">
        <f t="shared" si="196"/>
        <v>2391.5</v>
      </c>
      <c r="CT77" s="933">
        <f t="shared" si="196"/>
        <v>2391.5</v>
      </c>
      <c r="CU77" s="920">
        <f t="shared" si="196"/>
        <v>2391.5</v>
      </c>
      <c r="CV77" s="406"/>
      <c r="CW77" s="564">
        <v>312.60000000000002</v>
      </c>
      <c r="CX77" s="436">
        <f t="shared" si="169"/>
        <v>313</v>
      </c>
      <c r="CY77" s="436">
        <f t="shared" si="170"/>
        <v>555.70000000000005</v>
      </c>
      <c r="CZ77" s="436">
        <f t="shared" si="171"/>
        <v>545.6</v>
      </c>
      <c r="DA77" s="436">
        <f t="shared" si="172"/>
        <v>560.4</v>
      </c>
      <c r="DB77" s="436">
        <f t="shared" si="173"/>
        <v>1284.7</v>
      </c>
      <c r="DC77" s="436">
        <f t="shared" si="174"/>
        <v>1203.0999999999999</v>
      </c>
      <c r="DD77" s="436">
        <f t="shared" si="175"/>
        <v>1160.5999999999999</v>
      </c>
      <c r="DE77" s="436">
        <f t="shared" si="176"/>
        <v>827</v>
      </c>
      <c r="DF77" s="436">
        <f t="shared" si="177"/>
        <v>852</v>
      </c>
      <c r="DG77" s="436">
        <f t="shared" si="178"/>
        <v>860.8</v>
      </c>
      <c r="DH77" s="436">
        <f t="shared" si="179"/>
        <v>1018</v>
      </c>
      <c r="DI77" s="436">
        <f t="shared" si="180"/>
        <v>1086.5</v>
      </c>
      <c r="DJ77" s="436">
        <f t="shared" si="181"/>
        <v>1168.2</v>
      </c>
      <c r="DK77" s="436">
        <f t="shared" si="182"/>
        <v>1052.4000000000001</v>
      </c>
      <c r="DL77" s="436">
        <f t="shared" si="183"/>
        <v>1061.4000000000001</v>
      </c>
      <c r="DM77" s="436">
        <f t="shared" si="184"/>
        <v>1061.4000000000001</v>
      </c>
      <c r="DN77" s="436">
        <f t="shared" si="185"/>
        <v>1186.2</v>
      </c>
      <c r="DO77" s="436">
        <f t="shared" si="186"/>
        <v>1181.4000000000001</v>
      </c>
      <c r="DP77" s="436">
        <f t="shared" si="187"/>
        <v>1197</v>
      </c>
      <c r="DQ77" s="436">
        <f t="shared" si="188"/>
        <v>1205.7</v>
      </c>
      <c r="DR77" s="436">
        <f t="shared" si="189"/>
        <v>2301.5</v>
      </c>
      <c r="DS77" s="436">
        <f t="shared" si="190"/>
        <v>2165.6999999999998</v>
      </c>
      <c r="DT77" s="436">
        <f t="shared" si="191"/>
        <v>2391.5</v>
      </c>
      <c r="DU77" s="436">
        <f t="shared" si="192"/>
        <v>2391.5</v>
      </c>
      <c r="DV77" s="564">
        <f t="shared" ref="DV77:DW77" si="200">DU77</f>
        <v>2391.5</v>
      </c>
      <c r="DW77" s="564">
        <f t="shared" si="200"/>
        <v>2391.5</v>
      </c>
      <c r="DX77" s="564">
        <f t="shared" ref="DX77:DZ77" si="201">DW77</f>
        <v>2391.5</v>
      </c>
      <c r="DY77" s="564">
        <f t="shared" si="201"/>
        <v>2391.5</v>
      </c>
      <c r="DZ77" s="564">
        <f t="shared" si="201"/>
        <v>2391.5</v>
      </c>
      <c r="EA77" s="512"/>
      <c r="EB77"/>
      <c r="EC77"/>
      <c r="ED77"/>
      <c r="EE77"/>
      <c r="EF77"/>
      <c r="EG77"/>
    </row>
    <row r="78" spans="1:137" s="410" customFormat="1" hidden="1" outlineLevel="1">
      <c r="A78" s="400"/>
      <c r="B78" s="452" t="s">
        <v>98</v>
      </c>
      <c r="C78" s="658"/>
      <c r="D78" s="636">
        <v>43.7</v>
      </c>
      <c r="E78" s="564">
        <v>43.5</v>
      </c>
      <c r="F78" s="564">
        <v>43.8</v>
      </c>
      <c r="G78" s="572">
        <v>40.799999999999997</v>
      </c>
      <c r="H78" s="564">
        <v>40.700000000000003</v>
      </c>
      <c r="I78" s="564">
        <v>40.5</v>
      </c>
      <c r="J78" s="564">
        <v>40.4</v>
      </c>
      <c r="K78" s="572">
        <v>35.4</v>
      </c>
      <c r="L78" s="564">
        <v>34.6</v>
      </c>
      <c r="M78" s="564">
        <v>34.200000000000003</v>
      </c>
      <c r="N78" s="564">
        <v>34.200000000000003</v>
      </c>
      <c r="O78" s="572">
        <v>20.6</v>
      </c>
      <c r="P78" s="564">
        <v>20.399999999999999</v>
      </c>
      <c r="Q78" s="564">
        <v>19.7</v>
      </c>
      <c r="R78" s="564">
        <v>18.7</v>
      </c>
      <c r="S78" s="572">
        <v>7.7</v>
      </c>
      <c r="T78" s="564">
        <v>22.1</v>
      </c>
      <c r="U78" s="564">
        <v>21.3</v>
      </c>
      <c r="V78" s="564">
        <v>20.2</v>
      </c>
      <c r="W78" s="572">
        <v>18.8</v>
      </c>
      <c r="X78" s="564">
        <v>18.3</v>
      </c>
      <c r="Y78" s="564">
        <v>17.899999999999999</v>
      </c>
      <c r="Z78" s="564">
        <v>18.3</v>
      </c>
      <c r="AA78" s="572">
        <v>23.1</v>
      </c>
      <c r="AB78" s="564">
        <v>53.9</v>
      </c>
      <c r="AC78" s="564">
        <v>39.200000000000003</v>
      </c>
      <c r="AD78" s="564">
        <v>30.8</v>
      </c>
      <c r="AE78" s="572">
        <v>5.7</v>
      </c>
      <c r="AF78" s="564">
        <v>64.400000000000006</v>
      </c>
      <c r="AG78" s="564">
        <v>54.9</v>
      </c>
      <c r="AH78" s="564">
        <v>52.6</v>
      </c>
      <c r="AI78" s="572">
        <v>51.2</v>
      </c>
      <c r="AJ78" s="564">
        <v>47.2</v>
      </c>
      <c r="AK78" s="564">
        <v>42.9</v>
      </c>
      <c r="AL78" s="564">
        <v>45.8</v>
      </c>
      <c r="AM78" s="572"/>
      <c r="AN78" s="564"/>
      <c r="AO78" s="564"/>
      <c r="AP78" s="564"/>
      <c r="AQ78" s="572"/>
      <c r="AR78" s="564"/>
      <c r="AS78" s="564"/>
      <c r="AT78" s="564"/>
      <c r="AU78" s="572"/>
      <c r="AV78" s="564"/>
      <c r="AW78" s="564"/>
      <c r="AX78" s="564"/>
      <c r="AY78" s="572"/>
      <c r="AZ78" s="564"/>
      <c r="BA78" s="564"/>
      <c r="BB78" s="564"/>
      <c r="BC78" s="572"/>
      <c r="BD78" s="564"/>
      <c r="BE78" s="564"/>
      <c r="BF78" s="564"/>
      <c r="BG78" s="572"/>
      <c r="BH78" s="564"/>
      <c r="BI78" s="564"/>
      <c r="BJ78" s="564"/>
      <c r="BK78" s="572"/>
      <c r="BL78" s="564"/>
      <c r="BM78" s="564"/>
      <c r="BN78" s="564"/>
      <c r="BO78" s="572"/>
      <c r="BP78" s="564"/>
      <c r="BQ78" s="564"/>
      <c r="BR78" s="564"/>
      <c r="BS78" s="572"/>
      <c r="BT78" s="564"/>
      <c r="BU78" s="564"/>
      <c r="BV78" s="564"/>
      <c r="BW78" s="572"/>
      <c r="BX78" s="564"/>
      <c r="BY78" s="564"/>
      <c r="BZ78" s="564"/>
      <c r="CA78" s="572"/>
      <c r="CB78" s="564"/>
      <c r="CC78" s="564"/>
      <c r="CD78" s="564"/>
      <c r="CE78" s="572"/>
      <c r="CF78" s="564"/>
      <c r="CG78" s="564"/>
      <c r="CH78" s="564"/>
      <c r="CI78" s="572"/>
      <c r="CJ78" s="564"/>
      <c r="CK78" s="564"/>
      <c r="CL78" s="564"/>
      <c r="CM78" s="572"/>
      <c r="CN78" s="564"/>
      <c r="CO78" s="564"/>
      <c r="CP78" s="564"/>
      <c r="CQ78" s="572"/>
      <c r="CR78" s="932"/>
      <c r="CS78" s="932"/>
      <c r="CT78" s="932"/>
      <c r="CU78" s="919"/>
      <c r="CV78" s="406"/>
      <c r="CW78" s="564">
        <v>43.7</v>
      </c>
      <c r="CX78" s="436">
        <f t="shared" si="169"/>
        <v>40.799999999999997</v>
      </c>
      <c r="CY78" s="436">
        <f t="shared" si="170"/>
        <v>35.4</v>
      </c>
      <c r="CZ78" s="436">
        <f t="shared" si="171"/>
        <v>20.6</v>
      </c>
      <c r="DA78" s="436">
        <f t="shared" si="172"/>
        <v>7.7</v>
      </c>
      <c r="DB78" s="436">
        <f t="shared" si="173"/>
        <v>18.8</v>
      </c>
      <c r="DC78" s="436">
        <f t="shared" si="174"/>
        <v>23.1</v>
      </c>
      <c r="DD78" s="436">
        <f t="shared" si="175"/>
        <v>5.7</v>
      </c>
      <c r="DE78" s="436">
        <f t="shared" si="176"/>
        <v>51.2</v>
      </c>
      <c r="DF78" s="436">
        <f t="shared" si="177"/>
        <v>0</v>
      </c>
      <c r="DG78" s="436">
        <f t="shared" si="178"/>
        <v>0</v>
      </c>
      <c r="DH78" s="436">
        <f t="shared" si="179"/>
        <v>0</v>
      </c>
      <c r="DI78" s="436">
        <f t="shared" si="180"/>
        <v>0</v>
      </c>
      <c r="DJ78" s="436">
        <f t="shared" si="181"/>
        <v>0</v>
      </c>
      <c r="DK78" s="436">
        <f t="shared" si="182"/>
        <v>0</v>
      </c>
      <c r="DL78" s="436">
        <f t="shared" si="183"/>
        <v>0</v>
      </c>
      <c r="DM78" s="436">
        <f t="shared" si="184"/>
        <v>0</v>
      </c>
      <c r="DN78" s="436">
        <f t="shared" si="185"/>
        <v>0</v>
      </c>
      <c r="DO78" s="436">
        <f t="shared" si="186"/>
        <v>0</v>
      </c>
      <c r="DP78" s="436">
        <f t="shared" si="187"/>
        <v>0</v>
      </c>
      <c r="DQ78" s="436">
        <f t="shared" si="188"/>
        <v>0</v>
      </c>
      <c r="DR78" s="436">
        <f t="shared" si="189"/>
        <v>0</v>
      </c>
      <c r="DS78" s="436">
        <f t="shared" si="190"/>
        <v>0</v>
      </c>
      <c r="DT78" s="436">
        <f t="shared" si="191"/>
        <v>0</v>
      </c>
      <c r="DU78" s="436">
        <f t="shared" si="192"/>
        <v>0</v>
      </c>
      <c r="DV78" s="437"/>
      <c r="DW78" s="437"/>
      <c r="DX78" s="437"/>
      <c r="DY78" s="437"/>
      <c r="DZ78" s="437"/>
      <c r="EA78" s="512"/>
      <c r="EB78"/>
      <c r="EC78"/>
      <c r="ED78"/>
      <c r="EE78"/>
      <c r="EF78"/>
      <c r="EG78"/>
    </row>
    <row r="79" spans="1:137" s="410" customFormat="1" collapsed="1">
      <c r="A79" s="400"/>
      <c r="B79" s="515" t="s">
        <v>309</v>
      </c>
      <c r="C79" s="899"/>
      <c r="D79" s="638">
        <v>86.5</v>
      </c>
      <c r="E79" s="639">
        <v>86.4</v>
      </c>
      <c r="F79" s="639">
        <v>82.8</v>
      </c>
      <c r="G79" s="640">
        <v>110.9</v>
      </c>
      <c r="H79" s="639">
        <v>114.2</v>
      </c>
      <c r="I79" s="639">
        <v>120.2</v>
      </c>
      <c r="J79" s="639">
        <v>124.1</v>
      </c>
      <c r="K79" s="640">
        <v>109.3</v>
      </c>
      <c r="L79" s="639">
        <v>110.5</v>
      </c>
      <c r="M79" s="639">
        <v>115.6</v>
      </c>
      <c r="N79" s="639">
        <v>120.2</v>
      </c>
      <c r="O79" s="640">
        <v>118.6</v>
      </c>
      <c r="P79" s="639">
        <v>122</v>
      </c>
      <c r="Q79" s="639">
        <v>122.1</v>
      </c>
      <c r="R79" s="639">
        <v>118.1</v>
      </c>
      <c r="S79" s="640">
        <v>125.5</v>
      </c>
      <c r="T79" s="639">
        <v>140.69999999999999</v>
      </c>
      <c r="U79" s="639">
        <v>137.4</v>
      </c>
      <c r="V79" s="639">
        <v>140.19999999999999</v>
      </c>
      <c r="W79" s="640">
        <v>152.6</v>
      </c>
      <c r="X79" s="639">
        <v>156.5</v>
      </c>
      <c r="Y79" s="639">
        <v>161.19999999999999</v>
      </c>
      <c r="Z79" s="639">
        <v>163.69999999999999</v>
      </c>
      <c r="AA79" s="640">
        <v>152.9</v>
      </c>
      <c r="AB79" s="639">
        <v>151.9</v>
      </c>
      <c r="AC79" s="639">
        <v>157.19999999999999</v>
      </c>
      <c r="AD79" s="639">
        <v>163.19999999999999</v>
      </c>
      <c r="AE79" s="640">
        <v>187.7</v>
      </c>
      <c r="AF79" s="639">
        <v>190.3</v>
      </c>
      <c r="AG79" s="639">
        <f>105.9+87.9</f>
        <v>193.8</v>
      </c>
      <c r="AH79" s="639">
        <v>196.7</v>
      </c>
      <c r="AI79" s="640">
        <v>190.2</v>
      </c>
      <c r="AJ79" s="639">
        <f>108.5+80.8</f>
        <v>189.3</v>
      </c>
      <c r="AK79" s="639">
        <v>194.5</v>
      </c>
      <c r="AL79" s="639">
        <v>208.2</v>
      </c>
      <c r="AM79" s="640">
        <f>1229-1029.3</f>
        <v>199.70000000000005</v>
      </c>
      <c r="AN79" s="639">
        <f>116.9+94.9</f>
        <v>211.8</v>
      </c>
      <c r="AO79" s="639">
        <f>1241-AO77-AO76</f>
        <v>204.99999999999994</v>
      </c>
      <c r="AP79" s="639">
        <f>1260.1-AP77-AP76</f>
        <v>224.09999999999985</v>
      </c>
      <c r="AQ79" s="640">
        <f>102.1+221</f>
        <v>323.10000000000002</v>
      </c>
      <c r="AR79" s="639">
        <v>346.4</v>
      </c>
      <c r="AS79" s="639">
        <v>343.8</v>
      </c>
      <c r="AT79" s="639">
        <f>1664.5-AT77-AT76</f>
        <v>445.9</v>
      </c>
      <c r="AU79" s="640">
        <f>1625.8-SUM(AU76:AU78)</f>
        <v>407.20000000000005</v>
      </c>
      <c r="AV79" s="639">
        <f>114+285.2</f>
        <v>399.2</v>
      </c>
      <c r="AW79" s="639">
        <f>284.4+119.4</f>
        <v>403.79999999999995</v>
      </c>
      <c r="AX79" s="639">
        <f>274.7+95</f>
        <v>369.7</v>
      </c>
      <c r="AY79" s="640">
        <v>401.3</v>
      </c>
      <c r="AZ79" s="639">
        <v>403.9</v>
      </c>
      <c r="BA79" s="639">
        <v>402.6</v>
      </c>
      <c r="BB79" s="639">
        <v>337.4</v>
      </c>
      <c r="BC79" s="640">
        <v>345.8</v>
      </c>
      <c r="BD79" s="639">
        <v>376.1</v>
      </c>
      <c r="BE79" s="639">
        <v>403.1</v>
      </c>
      <c r="BF79" s="639">
        <v>333.3</v>
      </c>
      <c r="BG79" s="640">
        <v>430.7</v>
      </c>
      <c r="BH79" s="639">
        <v>374.1</v>
      </c>
      <c r="BI79" s="639">
        <v>424</v>
      </c>
      <c r="BJ79" s="639">
        <v>445.5</v>
      </c>
      <c r="BK79" s="640">
        <v>450.5</v>
      </c>
      <c r="BL79" s="639">
        <f>1770.8-BL76-BL77</f>
        <v>452</v>
      </c>
      <c r="BM79" s="639">
        <f>1861-SUM(BM76:BM78)</f>
        <v>542.19999999999982</v>
      </c>
      <c r="BN79" s="639">
        <f>1964.9-BN76-BN77</f>
        <v>646.09999999999991</v>
      </c>
      <c r="BO79" s="640">
        <f>1952.5-BO76-BO77</f>
        <v>633.69999999999982</v>
      </c>
      <c r="BP79" s="639">
        <v>678.9</v>
      </c>
      <c r="BQ79" s="639">
        <v>661.4</v>
      </c>
      <c r="BR79" s="639">
        <f>2189.4-BR76-BR77</f>
        <v>619.90000000000009</v>
      </c>
      <c r="BS79" s="640">
        <v>625</v>
      </c>
      <c r="BT79" s="639">
        <v>647.79999999999995</v>
      </c>
      <c r="BU79" s="639">
        <v>610.70000000000005</v>
      </c>
      <c r="BV79" s="639">
        <v>601.20000000000005</v>
      </c>
      <c r="BW79" s="640">
        <v>575.9</v>
      </c>
      <c r="BX79" s="639">
        <f>2162.2-BX77-BX76</f>
        <v>604.79999999999973</v>
      </c>
      <c r="BY79" s="639">
        <v>607.79999999999995</v>
      </c>
      <c r="BZ79" s="639">
        <v>590.1</v>
      </c>
      <c r="CA79" s="640">
        <v>577</v>
      </c>
      <c r="CB79" s="639">
        <v>623.70000000000005</v>
      </c>
      <c r="CC79" s="639">
        <v>616.6</v>
      </c>
      <c r="CD79" s="639">
        <v>591.5</v>
      </c>
      <c r="CE79" s="640">
        <v>554.29999999999995</v>
      </c>
      <c r="CF79" s="639">
        <v>556.20000000000005</v>
      </c>
      <c r="CG79" s="639">
        <v>582</v>
      </c>
      <c r="CH79" s="639">
        <v>578.70000000000005</v>
      </c>
      <c r="CI79" s="640">
        <v>495.7</v>
      </c>
      <c r="CJ79" s="639">
        <f>3259.4-SUM(CJ76:CJ78)</f>
        <v>1645.2</v>
      </c>
      <c r="CK79" s="639">
        <v>477.7</v>
      </c>
      <c r="CL79" s="639">
        <v>462</v>
      </c>
      <c r="CM79" s="572">
        <f>753.4</f>
        <v>753.4</v>
      </c>
      <c r="CN79" s="564">
        <v>729.5</v>
      </c>
      <c r="CO79" s="564">
        <v>714.4</v>
      </c>
      <c r="CP79" s="639">
        <v>710.4</v>
      </c>
      <c r="CQ79" s="1162">
        <f>3380.6-CQ76-CQ77</f>
        <v>429.59999999999991</v>
      </c>
      <c r="CR79" s="932">
        <f>CQ79-CR153-CR154-CR155-CR156-CR159</f>
        <v>429.59999999999991</v>
      </c>
      <c r="CS79" s="932">
        <f>CR79-CS153-CS154-CS155-CS156-CS159</f>
        <v>429.59999999999991</v>
      </c>
      <c r="CT79" s="932">
        <f>CS79-CT153-CT154-CT155-CT156-CT159</f>
        <v>429.59999999999991</v>
      </c>
      <c r="CU79" s="919">
        <f>CT79-CU153-CU154-CU155-CU156-CU159</f>
        <v>429.59999999999991</v>
      </c>
      <c r="CV79" s="406"/>
      <c r="CW79" s="639">
        <v>79.8</v>
      </c>
      <c r="CX79" s="443">
        <f t="shared" si="169"/>
        <v>110.9</v>
      </c>
      <c r="CY79" s="443">
        <f t="shared" si="170"/>
        <v>109.3</v>
      </c>
      <c r="CZ79" s="443">
        <f t="shared" si="171"/>
        <v>118.6</v>
      </c>
      <c r="DA79" s="443">
        <f t="shared" si="172"/>
        <v>125.5</v>
      </c>
      <c r="DB79" s="443">
        <f t="shared" si="173"/>
        <v>152.6</v>
      </c>
      <c r="DC79" s="443">
        <f t="shared" si="174"/>
        <v>152.9</v>
      </c>
      <c r="DD79" s="443">
        <f t="shared" si="175"/>
        <v>187.7</v>
      </c>
      <c r="DE79" s="443">
        <f t="shared" si="176"/>
        <v>190.2</v>
      </c>
      <c r="DF79" s="443">
        <f t="shared" si="177"/>
        <v>199.70000000000005</v>
      </c>
      <c r="DG79" s="443">
        <f t="shared" si="178"/>
        <v>323.10000000000002</v>
      </c>
      <c r="DH79" s="443">
        <f t="shared" si="179"/>
        <v>407.20000000000005</v>
      </c>
      <c r="DI79" s="443">
        <f t="shared" si="180"/>
        <v>401.3</v>
      </c>
      <c r="DJ79" s="443">
        <f t="shared" si="181"/>
        <v>345.8</v>
      </c>
      <c r="DK79" s="443">
        <f t="shared" si="182"/>
        <v>430.7</v>
      </c>
      <c r="DL79" s="443">
        <f t="shared" si="183"/>
        <v>450.5</v>
      </c>
      <c r="DM79" s="443">
        <f t="shared" si="184"/>
        <v>633.69999999999982</v>
      </c>
      <c r="DN79" s="443">
        <f t="shared" si="185"/>
        <v>625</v>
      </c>
      <c r="DO79" s="443">
        <f t="shared" si="186"/>
        <v>575.9</v>
      </c>
      <c r="DP79" s="443">
        <f t="shared" si="187"/>
        <v>577</v>
      </c>
      <c r="DQ79" s="443">
        <f t="shared" si="188"/>
        <v>554.29999999999995</v>
      </c>
      <c r="DR79" s="443">
        <f t="shared" si="189"/>
        <v>495.7</v>
      </c>
      <c r="DS79" s="443">
        <f t="shared" si="190"/>
        <v>753.4</v>
      </c>
      <c r="DT79" s="443">
        <f t="shared" si="191"/>
        <v>429.59999999999991</v>
      </c>
      <c r="DU79" s="443">
        <f t="shared" si="192"/>
        <v>429.59999999999991</v>
      </c>
      <c r="DV79" s="515">
        <f t="shared" ref="DV79:DW79" si="202">DU79-DV153-DV154-DV155-DV156-DV159</f>
        <v>429.59999999999991</v>
      </c>
      <c r="DW79" s="515">
        <f t="shared" si="202"/>
        <v>429.59999999999991</v>
      </c>
      <c r="DX79" s="515">
        <f t="shared" ref="DX79:DZ79" si="203">DW79-DX153-DX154-DX155-DX156-DX159</f>
        <v>429.59999999999991</v>
      </c>
      <c r="DY79" s="515">
        <f t="shared" si="203"/>
        <v>429.59999999999991</v>
      </c>
      <c r="DZ79" s="515">
        <f t="shared" si="203"/>
        <v>429.59999999999991</v>
      </c>
      <c r="EA79" s="512"/>
      <c r="EB79"/>
      <c r="EC79"/>
      <c r="ED79"/>
      <c r="EE79"/>
      <c r="EF79"/>
      <c r="EG79"/>
    </row>
    <row r="80" spans="1:137" s="673" customFormat="1">
      <c r="A80" s="400"/>
      <c r="B80" s="520" t="s">
        <v>99</v>
      </c>
      <c r="C80" s="658"/>
      <c r="D80" s="521">
        <f>D73+SUM(D75:D79)</f>
        <v>1269.6000000000001</v>
      </c>
      <c r="E80" s="522">
        <f t="shared" ref="E80:BP80" si="204">E73+SUM(E75:E79)</f>
        <v>1337.1000000000001</v>
      </c>
      <c r="F80" s="522">
        <f t="shared" si="204"/>
        <v>1308.7</v>
      </c>
      <c r="G80" s="523">
        <f t="shared" si="204"/>
        <v>1335.2</v>
      </c>
      <c r="H80" s="522">
        <f t="shared" si="204"/>
        <v>1361.4</v>
      </c>
      <c r="I80" s="522">
        <f t="shared" si="204"/>
        <v>1649.9</v>
      </c>
      <c r="J80" s="522">
        <f t="shared" si="204"/>
        <v>1666.1</v>
      </c>
      <c r="K80" s="523">
        <f t="shared" si="204"/>
        <v>1623.6000000000001</v>
      </c>
      <c r="L80" s="522">
        <f t="shared" si="204"/>
        <v>1648.6999999999998</v>
      </c>
      <c r="M80" s="522">
        <f t="shared" si="204"/>
        <v>1692.9</v>
      </c>
      <c r="N80" s="522">
        <f t="shared" si="204"/>
        <v>1696.4</v>
      </c>
      <c r="O80" s="523">
        <f t="shared" si="204"/>
        <v>1736.2999999999997</v>
      </c>
      <c r="P80" s="522">
        <f t="shared" si="204"/>
        <v>1757.5</v>
      </c>
      <c r="Q80" s="522">
        <f t="shared" si="204"/>
        <v>1762.2</v>
      </c>
      <c r="R80" s="522">
        <f t="shared" si="204"/>
        <v>1759.5</v>
      </c>
      <c r="S80" s="523">
        <f t="shared" si="204"/>
        <v>1846.1</v>
      </c>
      <c r="T80" s="522">
        <f t="shared" si="204"/>
        <v>2755.6</v>
      </c>
      <c r="U80" s="522">
        <f t="shared" si="204"/>
        <v>2734.1</v>
      </c>
      <c r="V80" s="522">
        <f t="shared" si="204"/>
        <v>2746</v>
      </c>
      <c r="W80" s="523">
        <f t="shared" si="204"/>
        <v>2970.7</v>
      </c>
      <c r="X80" s="522">
        <f t="shared" si="204"/>
        <v>2904.0000000000005</v>
      </c>
      <c r="Y80" s="522">
        <f t="shared" si="204"/>
        <v>2891.8</v>
      </c>
      <c r="Z80" s="522">
        <f t="shared" si="204"/>
        <v>2844</v>
      </c>
      <c r="AA80" s="523">
        <f t="shared" si="204"/>
        <v>2739.6</v>
      </c>
      <c r="AB80" s="522">
        <f t="shared" si="204"/>
        <v>2768.2000000000003</v>
      </c>
      <c r="AC80" s="522">
        <f t="shared" si="204"/>
        <v>2720.8999999999996</v>
      </c>
      <c r="AD80" s="522">
        <f t="shared" si="204"/>
        <v>2770.3</v>
      </c>
      <c r="AE80" s="523">
        <f t="shared" si="204"/>
        <v>2770.8999999999996</v>
      </c>
      <c r="AF80" s="522">
        <f t="shared" si="204"/>
        <v>2504.6999999999998</v>
      </c>
      <c r="AG80" s="522">
        <f t="shared" si="204"/>
        <v>2615.8000000000002</v>
      </c>
      <c r="AH80" s="522">
        <f t="shared" si="204"/>
        <v>2672.5</v>
      </c>
      <c r="AI80" s="523">
        <f t="shared" si="204"/>
        <v>2682.9</v>
      </c>
      <c r="AJ80" s="522">
        <f t="shared" si="204"/>
        <v>2748.3</v>
      </c>
      <c r="AK80" s="522">
        <f t="shared" si="204"/>
        <v>2856.3</v>
      </c>
      <c r="AL80" s="522">
        <f t="shared" si="204"/>
        <v>2939.5</v>
      </c>
      <c r="AM80" s="523">
        <f t="shared" si="204"/>
        <v>3038.9</v>
      </c>
      <c r="AN80" s="522">
        <f t="shared" si="204"/>
        <v>3169.8</v>
      </c>
      <c r="AO80" s="522">
        <f t="shared" si="204"/>
        <v>3194.8</v>
      </c>
      <c r="AP80" s="522">
        <f t="shared" si="204"/>
        <v>3286.7999999999997</v>
      </c>
      <c r="AQ80" s="523">
        <f t="shared" si="204"/>
        <v>3529.0999999999995</v>
      </c>
      <c r="AR80" s="522">
        <f t="shared" si="204"/>
        <v>4206.3999999999996</v>
      </c>
      <c r="AS80" s="522">
        <f t="shared" si="204"/>
        <v>4136.8999999999996</v>
      </c>
      <c r="AT80" s="522">
        <f t="shared" si="204"/>
        <v>4159.8</v>
      </c>
      <c r="AU80" s="523">
        <f t="shared" si="204"/>
        <v>4089.3999999999996</v>
      </c>
      <c r="AV80" s="522">
        <f t="shared" si="204"/>
        <v>4206.2</v>
      </c>
      <c r="AW80" s="522">
        <f t="shared" si="204"/>
        <v>4297.3</v>
      </c>
      <c r="AX80" s="522">
        <f t="shared" si="204"/>
        <v>4377.1000000000004</v>
      </c>
      <c r="AY80" s="523">
        <f t="shared" si="204"/>
        <v>4584</v>
      </c>
      <c r="AZ80" s="522">
        <f t="shared" si="204"/>
        <v>4705.2999999999993</v>
      </c>
      <c r="BA80" s="522">
        <f t="shared" si="204"/>
        <v>4775.6000000000004</v>
      </c>
      <c r="BB80" s="522">
        <f t="shared" si="204"/>
        <v>4854.2</v>
      </c>
      <c r="BC80" s="523">
        <f t="shared" si="204"/>
        <v>4958.5</v>
      </c>
      <c r="BD80" s="522">
        <f t="shared" si="204"/>
        <v>5287.2</v>
      </c>
      <c r="BE80" s="522">
        <f t="shared" si="204"/>
        <v>5441.4</v>
      </c>
      <c r="BF80" s="522">
        <f t="shared" si="204"/>
        <v>4886</v>
      </c>
      <c r="BG80" s="523">
        <f t="shared" si="204"/>
        <v>4644</v>
      </c>
      <c r="BH80" s="522">
        <f t="shared" si="204"/>
        <v>4353.7</v>
      </c>
      <c r="BI80" s="522">
        <f t="shared" si="204"/>
        <v>4611</v>
      </c>
      <c r="BJ80" s="522">
        <f t="shared" si="204"/>
        <v>4791.2000000000007</v>
      </c>
      <c r="BK80" s="523">
        <f t="shared" si="204"/>
        <v>4811.3999999999996</v>
      </c>
      <c r="BL80" s="522">
        <f t="shared" si="204"/>
        <v>4966.2000000000007</v>
      </c>
      <c r="BM80" s="522">
        <f t="shared" si="204"/>
        <v>4969.2</v>
      </c>
      <c r="BN80" s="522">
        <f t="shared" si="204"/>
        <v>5577.7000000000007</v>
      </c>
      <c r="BO80" s="523">
        <f t="shared" si="204"/>
        <v>5555</v>
      </c>
      <c r="BP80" s="522">
        <f t="shared" si="204"/>
        <v>6007</v>
      </c>
      <c r="BQ80" s="522">
        <f t="shared" ref="BQ80:CP80" si="205">BQ73+SUM(BQ75:BQ79)</f>
        <v>6226</v>
      </c>
      <c r="BR80" s="522">
        <f t="shared" si="205"/>
        <v>6094.3</v>
      </c>
      <c r="BS80" s="523">
        <f t="shared" si="205"/>
        <v>5958.6</v>
      </c>
      <c r="BT80" s="522">
        <f t="shared" si="205"/>
        <v>6281.3000000000011</v>
      </c>
      <c r="BU80" s="522">
        <f t="shared" si="205"/>
        <v>6220.6999999999989</v>
      </c>
      <c r="BV80" s="522">
        <f t="shared" si="205"/>
        <v>6346.5</v>
      </c>
      <c r="BW80" s="523">
        <f t="shared" si="205"/>
        <v>6400.7999999999993</v>
      </c>
      <c r="BX80" s="522">
        <f t="shared" si="205"/>
        <v>6528.9</v>
      </c>
      <c r="BY80" s="522">
        <f t="shared" si="205"/>
        <v>6705.4</v>
      </c>
      <c r="BZ80" s="522">
        <f t="shared" si="205"/>
        <v>6964.3</v>
      </c>
      <c r="CA80" s="523">
        <f t="shared" si="205"/>
        <v>6917</v>
      </c>
      <c r="CB80" s="522">
        <f t="shared" si="205"/>
        <v>7357.7999999999993</v>
      </c>
      <c r="CC80" s="522">
        <f t="shared" si="205"/>
        <v>7457</v>
      </c>
      <c r="CD80" s="522">
        <f t="shared" si="205"/>
        <v>7282.2999999999993</v>
      </c>
      <c r="CE80" s="523">
        <f t="shared" si="205"/>
        <v>7228</v>
      </c>
      <c r="CF80" s="522">
        <f t="shared" si="205"/>
        <v>7522.6</v>
      </c>
      <c r="CG80" s="522">
        <f t="shared" si="205"/>
        <v>7766.3</v>
      </c>
      <c r="CH80" s="522">
        <f t="shared" si="205"/>
        <v>7687.0999999999995</v>
      </c>
      <c r="CI80" s="523">
        <f t="shared" si="205"/>
        <v>8841.5</v>
      </c>
      <c r="CJ80" s="522">
        <f t="shared" si="205"/>
        <v>8940.7000000000007</v>
      </c>
      <c r="CK80" s="522">
        <f t="shared" si="205"/>
        <v>8988.6</v>
      </c>
      <c r="CL80" s="522">
        <f t="shared" si="205"/>
        <v>9007.2999999999993</v>
      </c>
      <c r="CM80" s="671">
        <f t="shared" si="205"/>
        <v>8834.6999999999989</v>
      </c>
      <c r="CN80" s="672">
        <f t="shared" si="205"/>
        <v>9083.6999999999989</v>
      </c>
      <c r="CO80" s="672">
        <f t="shared" si="205"/>
        <v>9288.5</v>
      </c>
      <c r="CP80" s="522">
        <f t="shared" si="205"/>
        <v>9816.2000000000007</v>
      </c>
      <c r="CQ80" s="523">
        <f t="shared" ref="CQ80" si="206">CQ73+SUM(CQ75:CQ79)</f>
        <v>9787.5999999999985</v>
      </c>
      <c r="CR80" s="944">
        <f t="shared" ref="CR80:CU80" si="207">CR73+SUM(CR75:CR79)</f>
        <v>9954.746105064818</v>
      </c>
      <c r="CS80" s="944">
        <f t="shared" si="207"/>
        <v>10257.102158504442</v>
      </c>
      <c r="CT80" s="944">
        <f t="shared" si="207"/>
        <v>10435.432459164862</v>
      </c>
      <c r="CU80" s="923">
        <f t="shared" si="207"/>
        <v>10837.263381376131</v>
      </c>
      <c r="CV80" s="537"/>
      <c r="CW80" s="522">
        <f t="shared" ref="CW80:CX80" si="208">CW73+SUM(CW75:CW79)</f>
        <v>1240.3</v>
      </c>
      <c r="CX80" s="522">
        <f t="shared" si="208"/>
        <v>1335.2</v>
      </c>
      <c r="CY80" s="522">
        <f t="shared" ref="CY80" si="209">CY73+SUM(CY75:CY79)</f>
        <v>1623.6000000000001</v>
      </c>
      <c r="CZ80" s="522">
        <f t="shared" ref="CZ80" si="210">CZ73+SUM(CZ75:CZ79)</f>
        <v>1736.2999999999997</v>
      </c>
      <c r="DA80" s="522">
        <f t="shared" ref="DA80" si="211">DA73+SUM(DA75:DA79)</f>
        <v>1846.1</v>
      </c>
      <c r="DB80" s="522">
        <f t="shared" ref="DB80" si="212">DB73+SUM(DB75:DB79)</f>
        <v>2970.7</v>
      </c>
      <c r="DC80" s="522">
        <f t="shared" ref="DC80" si="213">DC73+SUM(DC75:DC79)</f>
        <v>2739.6</v>
      </c>
      <c r="DD80" s="522">
        <f t="shared" ref="DD80" si="214">DD73+SUM(DD75:DD79)</f>
        <v>2770.8999999999996</v>
      </c>
      <c r="DE80" s="522">
        <f t="shared" ref="DE80" si="215">DE73+SUM(DE75:DE79)</f>
        <v>2682.9</v>
      </c>
      <c r="DF80" s="522">
        <f t="shared" ref="DF80" si="216">DF73+SUM(DF75:DF79)</f>
        <v>3038.9</v>
      </c>
      <c r="DG80" s="522">
        <f t="shared" ref="DG80" si="217">DG73+SUM(DG75:DG79)</f>
        <v>3529.0999999999995</v>
      </c>
      <c r="DH80" s="522">
        <f t="shared" ref="DH80" si="218">DH73+SUM(DH75:DH79)</f>
        <v>4089.3999999999996</v>
      </c>
      <c r="DI80" s="522">
        <f t="shared" ref="DI80" si="219">DI73+SUM(DI75:DI79)</f>
        <v>4584</v>
      </c>
      <c r="DJ80" s="522">
        <f t="shared" ref="DJ80" si="220">DJ73+SUM(DJ75:DJ79)</f>
        <v>4958.5</v>
      </c>
      <c r="DK80" s="522">
        <f t="shared" ref="DK80" si="221">DK73+SUM(DK75:DK79)</f>
        <v>4644</v>
      </c>
      <c r="DL80" s="522">
        <f t="shared" ref="DL80" si="222">DL73+SUM(DL75:DL79)</f>
        <v>4811.3999999999996</v>
      </c>
      <c r="DM80" s="522">
        <f t="shared" ref="DM80" si="223">DM73+SUM(DM75:DM79)</f>
        <v>5555</v>
      </c>
      <c r="DN80" s="522">
        <f t="shared" ref="DN80" si="224">DN73+SUM(DN75:DN79)</f>
        <v>5958.6</v>
      </c>
      <c r="DO80" s="522">
        <f t="shared" ref="DO80" si="225">DO73+SUM(DO75:DO79)</f>
        <v>6400.7999999999993</v>
      </c>
      <c r="DP80" s="522">
        <f t="shared" ref="DP80" si="226">DP73+SUM(DP75:DP79)</f>
        <v>6917</v>
      </c>
      <c r="DQ80" s="522">
        <f t="shared" ref="DQ80" si="227">DQ73+SUM(DQ75:DQ79)</f>
        <v>7228</v>
      </c>
      <c r="DR80" s="522">
        <f t="shared" ref="DR80" si="228">DR73+SUM(DR75:DR79)</f>
        <v>8841.5</v>
      </c>
      <c r="DS80" s="522">
        <f t="shared" ref="DS80" si="229">DS73+SUM(DS75:DS79)</f>
        <v>8834.6999999999989</v>
      </c>
      <c r="DT80" s="522">
        <f t="shared" ref="DT80" si="230">DT73+SUM(DT75:DT79)</f>
        <v>9787.5999999999985</v>
      </c>
      <c r="DU80" s="522">
        <f t="shared" ref="DU80" si="231">DU73+SUM(DU75:DU79)</f>
        <v>10837.263381376131</v>
      </c>
      <c r="DV80" s="522">
        <f t="shared" ref="DV80" si="232">DV73+SUM(DV75:DV79)</f>
        <v>11942.873455371777</v>
      </c>
      <c r="DW80" s="522">
        <f t="shared" ref="DW80:DZ80" si="233">DW73+SUM(DW75:DW79)</f>
        <v>13059.139794377039</v>
      </c>
      <c r="DX80" s="522">
        <f t="shared" si="233"/>
        <v>14181.81646388485</v>
      </c>
      <c r="DY80" s="522">
        <f t="shared" si="233"/>
        <v>15273.408847443365</v>
      </c>
      <c r="DZ80" s="522">
        <f t="shared" si="233"/>
        <v>16308.443663787755</v>
      </c>
      <c r="EA80" s="558"/>
      <c r="EB80"/>
      <c r="EC80"/>
      <c r="ED80"/>
      <c r="EE80"/>
      <c r="EF80"/>
      <c r="EG80"/>
    </row>
    <row r="81" spans="1:137" s="410" customFormat="1">
      <c r="A81" s="400"/>
      <c r="B81" s="452"/>
      <c r="C81" s="658"/>
      <c r="D81" s="525"/>
      <c r="E81" s="452"/>
      <c r="F81" s="452"/>
      <c r="G81" s="514"/>
      <c r="H81" s="452"/>
      <c r="I81" s="452"/>
      <c r="J81" s="452"/>
      <c r="K81" s="514"/>
      <c r="L81" s="452"/>
      <c r="M81" s="452"/>
      <c r="N81" s="452"/>
      <c r="O81" s="514"/>
      <c r="P81" s="452"/>
      <c r="Q81" s="452"/>
      <c r="R81" s="452"/>
      <c r="S81" s="514"/>
      <c r="T81" s="452"/>
      <c r="U81" s="452"/>
      <c r="V81" s="452"/>
      <c r="W81" s="514"/>
      <c r="X81" s="452"/>
      <c r="Y81" s="452"/>
      <c r="Z81" s="452"/>
      <c r="AA81" s="514"/>
      <c r="AB81" s="452"/>
      <c r="AC81" s="452"/>
      <c r="AD81" s="452"/>
      <c r="AE81" s="514"/>
      <c r="AF81" s="452"/>
      <c r="AG81" s="452"/>
      <c r="AH81" s="452"/>
      <c r="AI81" s="514"/>
      <c r="AJ81" s="452"/>
      <c r="AK81" s="452"/>
      <c r="AL81" s="452"/>
      <c r="AM81" s="514"/>
      <c r="AN81" s="452"/>
      <c r="AO81" s="452"/>
      <c r="AP81" s="452"/>
      <c r="AQ81" s="514"/>
      <c r="AR81" s="452"/>
      <c r="AS81" s="452"/>
      <c r="AT81" s="452"/>
      <c r="AU81" s="514"/>
      <c r="AV81" s="452"/>
      <c r="AW81" s="452"/>
      <c r="AX81" s="452"/>
      <c r="AY81" s="514"/>
      <c r="AZ81" s="452"/>
      <c r="BA81" s="452"/>
      <c r="BB81" s="452"/>
      <c r="BC81" s="514"/>
      <c r="BD81" s="452"/>
      <c r="BE81" s="452"/>
      <c r="BF81" s="452"/>
      <c r="BG81" s="514"/>
      <c r="BH81" s="452"/>
      <c r="BI81" s="452"/>
      <c r="BJ81" s="452"/>
      <c r="BK81" s="514"/>
      <c r="BL81" s="452"/>
      <c r="BM81" s="452"/>
      <c r="BN81" s="452"/>
      <c r="BO81" s="514"/>
      <c r="BP81" s="452"/>
      <c r="BQ81" s="452"/>
      <c r="BR81" s="452"/>
      <c r="BS81" s="514"/>
      <c r="BT81" s="452"/>
      <c r="BU81" s="452"/>
      <c r="BV81" s="452"/>
      <c r="BW81" s="514"/>
      <c r="BX81" s="452"/>
      <c r="BY81" s="452"/>
      <c r="BZ81" s="452"/>
      <c r="CA81" s="514"/>
      <c r="CB81" s="452"/>
      <c r="CC81" s="452"/>
      <c r="CD81" s="452"/>
      <c r="CE81" s="514"/>
      <c r="CF81" s="452"/>
      <c r="CG81" s="452"/>
      <c r="CH81" s="452"/>
      <c r="CI81" s="514"/>
      <c r="CJ81" s="452"/>
      <c r="CK81" s="452"/>
      <c r="CL81" s="452"/>
      <c r="CM81" s="514"/>
      <c r="CN81" s="452"/>
      <c r="CO81" s="452"/>
      <c r="CP81" s="452"/>
      <c r="CQ81" s="514"/>
      <c r="CR81" s="932"/>
      <c r="CS81" s="932"/>
      <c r="CT81" s="932"/>
      <c r="CU81" s="919"/>
      <c r="CV81" s="406"/>
      <c r="CW81" s="436"/>
      <c r="CX81" s="452"/>
      <c r="CY81" s="452"/>
      <c r="CZ81" s="452"/>
      <c r="DA81" s="452"/>
      <c r="DB81" s="452"/>
      <c r="DC81" s="452"/>
      <c r="DD81" s="452"/>
      <c r="DE81" s="452"/>
      <c r="DF81" s="452"/>
      <c r="DG81" s="452"/>
      <c r="DH81" s="452"/>
      <c r="DI81" s="452"/>
      <c r="DJ81" s="452"/>
      <c r="DK81" s="452"/>
      <c r="DL81" s="452"/>
      <c r="DM81" s="452"/>
      <c r="DN81" s="452"/>
      <c r="DO81" s="452"/>
      <c r="DP81" s="452"/>
      <c r="DQ81" s="452"/>
      <c r="DR81" s="452"/>
      <c r="DS81" s="452"/>
      <c r="DT81" s="452"/>
      <c r="DU81" s="452"/>
      <c r="DV81" s="452"/>
      <c r="DW81" s="452"/>
      <c r="DX81" s="452"/>
      <c r="DY81" s="452"/>
      <c r="DZ81" s="452"/>
      <c r="EA81" s="436"/>
      <c r="EB81"/>
      <c r="EC81"/>
      <c r="ED81"/>
      <c r="EE81"/>
      <c r="EF81"/>
      <c r="EG81"/>
    </row>
    <row r="82" spans="1:137" s="410" customFormat="1">
      <c r="A82" s="400"/>
      <c r="B82" s="452" t="s">
        <v>310</v>
      </c>
      <c r="C82" s="658"/>
      <c r="D82" s="636">
        <v>29</v>
      </c>
      <c r="E82" s="564">
        <v>24.8</v>
      </c>
      <c r="F82" s="564">
        <v>19.899999999999999</v>
      </c>
      <c r="G82" s="572">
        <v>31.6</v>
      </c>
      <c r="H82" s="564">
        <v>44.8</v>
      </c>
      <c r="I82" s="564">
        <v>45.4</v>
      </c>
      <c r="J82" s="564">
        <v>43</v>
      </c>
      <c r="K82" s="572">
        <v>38</v>
      </c>
      <c r="L82" s="564">
        <v>36.700000000000003</v>
      </c>
      <c r="M82" s="564">
        <v>47.4</v>
      </c>
      <c r="N82" s="564">
        <v>48.8</v>
      </c>
      <c r="O82" s="572">
        <v>67.7</v>
      </c>
      <c r="P82" s="564">
        <v>45.2</v>
      </c>
      <c r="Q82" s="564">
        <v>44.6</v>
      </c>
      <c r="R82" s="564">
        <v>46.2</v>
      </c>
      <c r="S82" s="572">
        <v>145</v>
      </c>
      <c r="T82" s="564">
        <v>145.1</v>
      </c>
      <c r="U82" s="564">
        <v>110.1</v>
      </c>
      <c r="V82" s="564">
        <v>118.5</v>
      </c>
      <c r="W82" s="572">
        <v>134</v>
      </c>
      <c r="X82" s="564">
        <v>135.69999999999999</v>
      </c>
      <c r="Y82" s="564">
        <v>76.2</v>
      </c>
      <c r="Z82" s="564">
        <v>68.099999999999994</v>
      </c>
      <c r="AA82" s="572">
        <v>54.4</v>
      </c>
      <c r="AB82" s="564">
        <v>55.9</v>
      </c>
      <c r="AC82" s="564">
        <v>27</v>
      </c>
      <c r="AD82" s="564">
        <v>40.5</v>
      </c>
      <c r="AE82" s="572">
        <v>35.6</v>
      </c>
      <c r="AF82" s="564">
        <v>53.8</v>
      </c>
      <c r="AG82" s="564">
        <v>16.5</v>
      </c>
      <c r="AH82" s="564">
        <v>12.6</v>
      </c>
      <c r="AI82" s="572">
        <v>14.4</v>
      </c>
      <c r="AJ82" s="564">
        <v>15.2</v>
      </c>
      <c r="AK82" s="564">
        <v>11.4</v>
      </c>
      <c r="AL82" s="564">
        <v>12.8</v>
      </c>
      <c r="AM82" s="572">
        <v>10</v>
      </c>
      <c r="AN82" s="564">
        <v>9.1</v>
      </c>
      <c r="AO82" s="564">
        <v>9</v>
      </c>
      <c r="AP82" s="564">
        <v>7.3</v>
      </c>
      <c r="AQ82" s="572">
        <v>16.5</v>
      </c>
      <c r="AR82" s="564">
        <v>230.7</v>
      </c>
      <c r="AS82" s="564">
        <v>185.4</v>
      </c>
      <c r="AT82" s="564">
        <v>174</v>
      </c>
      <c r="AU82" s="572">
        <v>299.89999999999998</v>
      </c>
      <c r="AV82" s="564">
        <f>123.1+139</f>
        <v>262.10000000000002</v>
      </c>
      <c r="AW82" s="564">
        <f>95.3+139</f>
        <v>234.3</v>
      </c>
      <c r="AX82" s="564">
        <f>111.5+139</f>
        <v>250.5</v>
      </c>
      <c r="AY82" s="572">
        <v>151.69999999999999</v>
      </c>
      <c r="AZ82" s="564">
        <v>113.4</v>
      </c>
      <c r="BA82" s="564">
        <v>87.8</v>
      </c>
      <c r="BB82" s="564">
        <v>37.1</v>
      </c>
      <c r="BC82" s="572">
        <v>63.7</v>
      </c>
      <c r="BD82" s="564">
        <f>144.3+138.6</f>
        <v>282.89999999999998</v>
      </c>
      <c r="BE82" s="564">
        <f>58.1+137.7</f>
        <v>195.79999999999998</v>
      </c>
      <c r="BF82" s="564">
        <f>145.6+137.4+76.7</f>
        <v>359.7</v>
      </c>
      <c r="BG82" s="572">
        <f>183.8+136.9</f>
        <v>320.70000000000005</v>
      </c>
      <c r="BH82" s="564">
        <v>250.4</v>
      </c>
      <c r="BI82" s="564">
        <v>95.8</v>
      </c>
      <c r="BJ82" s="564">
        <v>76.8</v>
      </c>
      <c r="BK82" s="572">
        <v>69.099999999999994</v>
      </c>
      <c r="BL82" s="564">
        <v>132.4</v>
      </c>
      <c r="BM82" s="564">
        <v>185.7</v>
      </c>
      <c r="BN82" s="564">
        <v>146.19999999999999</v>
      </c>
      <c r="BO82" s="572">
        <v>128.5</v>
      </c>
      <c r="BP82" s="564">
        <v>176.2</v>
      </c>
      <c r="BQ82" s="564">
        <f>165.8+363.6</f>
        <v>529.40000000000009</v>
      </c>
      <c r="BR82" s="564">
        <f>157.9+367.4</f>
        <v>525.29999999999995</v>
      </c>
      <c r="BS82" s="572">
        <f>196.3+381.5</f>
        <v>577.79999999999995</v>
      </c>
      <c r="BT82" s="564">
        <v>561.29999999999995</v>
      </c>
      <c r="BU82" s="564">
        <v>197</v>
      </c>
      <c r="BV82" s="564">
        <v>236.5</v>
      </c>
      <c r="BW82" s="572">
        <f>239.1+4.3</f>
        <v>243.4</v>
      </c>
      <c r="BX82" s="564">
        <v>229.3</v>
      </c>
      <c r="BY82" s="564">
        <v>316.8</v>
      </c>
      <c r="BZ82" s="564">
        <v>253.7</v>
      </c>
      <c r="CA82" s="572">
        <v>201.6</v>
      </c>
      <c r="CB82" s="564">
        <v>338.5</v>
      </c>
      <c r="CC82" s="564">
        <v>541.1</v>
      </c>
      <c r="CD82" s="564">
        <v>605.70000000000005</v>
      </c>
      <c r="CE82" s="572">
        <v>623.70000000000005</v>
      </c>
      <c r="CF82" s="564">
        <v>107.8</v>
      </c>
      <c r="CG82" s="564">
        <v>72.099999999999994</v>
      </c>
      <c r="CH82" s="564">
        <v>74.599999999999994</v>
      </c>
      <c r="CI82" s="572">
        <v>441.5</v>
      </c>
      <c r="CJ82" s="564">
        <v>466.5</v>
      </c>
      <c r="CK82" s="564">
        <v>515.29999999999995</v>
      </c>
      <c r="CL82" s="564">
        <v>525.4</v>
      </c>
      <c r="CM82" s="572">
        <v>175.9</v>
      </c>
      <c r="CN82" s="564">
        <v>255.1</v>
      </c>
      <c r="CO82" s="564">
        <v>141.80000000000001</v>
      </c>
      <c r="CP82" s="564">
        <v>303.2</v>
      </c>
      <c r="CQ82" s="572">
        <v>84.6</v>
      </c>
      <c r="CR82" s="933">
        <f>CQ82</f>
        <v>84.6</v>
      </c>
      <c r="CS82" s="933">
        <f>CR82</f>
        <v>84.6</v>
      </c>
      <c r="CT82" s="933">
        <f>CS82</f>
        <v>84.6</v>
      </c>
      <c r="CU82" s="920">
        <f>CT82</f>
        <v>84.6</v>
      </c>
      <c r="CV82" s="406"/>
      <c r="CW82" s="564">
        <v>20.5</v>
      </c>
      <c r="CX82" s="436">
        <f t="shared" ref="CX82:CX84" si="234">G82</f>
        <v>31.6</v>
      </c>
      <c r="CY82" s="436">
        <f t="shared" ref="CY82:CY84" si="235">K82</f>
        <v>38</v>
      </c>
      <c r="CZ82" s="436">
        <f t="shared" ref="CZ82:CZ84" si="236">O82</f>
        <v>67.7</v>
      </c>
      <c r="DA82" s="436">
        <f t="shared" ref="DA82:DA84" si="237">S82</f>
        <v>145</v>
      </c>
      <c r="DB82" s="436">
        <f t="shared" ref="DB82:DB84" si="238">W82</f>
        <v>134</v>
      </c>
      <c r="DC82" s="436">
        <f t="shared" ref="DC82:DC84" si="239">AA82</f>
        <v>54.4</v>
      </c>
      <c r="DD82" s="436">
        <f t="shared" ref="DD82:DD84" si="240">AE82</f>
        <v>35.6</v>
      </c>
      <c r="DE82" s="436">
        <f t="shared" ref="DE82:DE84" si="241">AI82</f>
        <v>14.4</v>
      </c>
      <c r="DF82" s="436">
        <f t="shared" ref="DF82:DF84" si="242">AM82</f>
        <v>10</v>
      </c>
      <c r="DG82" s="436">
        <f t="shared" ref="DG82:DG84" si="243">AQ82</f>
        <v>16.5</v>
      </c>
      <c r="DH82" s="436">
        <f t="shared" ref="DH82:DH84" si="244">AU82</f>
        <v>299.89999999999998</v>
      </c>
      <c r="DI82" s="436">
        <f t="shared" ref="DI82:DI84" si="245">AY82</f>
        <v>151.69999999999999</v>
      </c>
      <c r="DJ82" s="436">
        <f t="shared" ref="DJ82:DJ84" si="246">BC82</f>
        <v>63.7</v>
      </c>
      <c r="DK82" s="436">
        <f t="shared" ref="DK82:DK84" si="247">BG82</f>
        <v>320.70000000000005</v>
      </c>
      <c r="DL82" s="436">
        <f t="shared" ref="DL82:DL84" si="248">BK82</f>
        <v>69.099999999999994</v>
      </c>
      <c r="DM82" s="436">
        <f t="shared" ref="DM82:DM84" si="249">BO82</f>
        <v>128.5</v>
      </c>
      <c r="DN82" s="436">
        <f t="shared" ref="DN82:DN84" si="250">BS82</f>
        <v>577.79999999999995</v>
      </c>
      <c r="DO82" s="436">
        <f t="shared" ref="DO82:DO84" si="251">BW82</f>
        <v>243.4</v>
      </c>
      <c r="DP82" s="436">
        <f t="shared" ref="DP82:DP84" si="252">CA82</f>
        <v>201.6</v>
      </c>
      <c r="DQ82" s="436">
        <f t="shared" ref="DQ82:DQ84" si="253">CE82</f>
        <v>623.70000000000005</v>
      </c>
      <c r="DR82" s="436">
        <f t="shared" ref="DR82:DR84" si="254">CI82</f>
        <v>441.5</v>
      </c>
      <c r="DS82" s="436">
        <f t="shared" ref="DS82:DS84" si="255">CM82</f>
        <v>175.9</v>
      </c>
      <c r="DT82" s="436">
        <f t="shared" ref="DT82:DT84" si="256">CQ82</f>
        <v>84.6</v>
      </c>
      <c r="DU82" s="436">
        <f t="shared" ref="DU82:DU84" si="257">CU82</f>
        <v>84.6</v>
      </c>
      <c r="DV82" s="564">
        <f>DU82</f>
        <v>84.6</v>
      </c>
      <c r="DW82" s="564">
        <f>DV82</f>
        <v>84.6</v>
      </c>
      <c r="DX82" s="564">
        <f t="shared" ref="DX82:DZ82" si="258">DW82</f>
        <v>84.6</v>
      </c>
      <c r="DY82" s="564">
        <f t="shared" si="258"/>
        <v>84.6</v>
      </c>
      <c r="DZ82" s="564">
        <f t="shared" si="258"/>
        <v>84.6</v>
      </c>
      <c r="EA82" s="512"/>
      <c r="EB82"/>
      <c r="EC82"/>
      <c r="ED82"/>
      <c r="EE82"/>
      <c r="EF82"/>
      <c r="EG82"/>
    </row>
    <row r="83" spans="1:137" s="410" customFormat="1">
      <c r="A83" s="400"/>
      <c r="B83" s="452" t="s">
        <v>100</v>
      </c>
      <c r="C83" s="658"/>
      <c r="D83" s="636">
        <v>182.4</v>
      </c>
      <c r="E83" s="564">
        <v>182.3</v>
      </c>
      <c r="F83" s="564">
        <v>172.4</v>
      </c>
      <c r="G83" s="572">
        <v>194.3</v>
      </c>
      <c r="H83" s="564">
        <v>208.1</v>
      </c>
      <c r="I83" s="564">
        <v>254.7</v>
      </c>
      <c r="J83" s="564">
        <v>215.7</v>
      </c>
      <c r="K83" s="572">
        <v>269.3</v>
      </c>
      <c r="L83" s="564">
        <v>291.8</v>
      </c>
      <c r="M83" s="564">
        <v>288.60000000000002</v>
      </c>
      <c r="N83" s="564">
        <v>289.5</v>
      </c>
      <c r="O83" s="572">
        <v>273.60000000000002</v>
      </c>
      <c r="P83" s="564">
        <v>272.89999999999998</v>
      </c>
      <c r="Q83" s="564">
        <v>259.2</v>
      </c>
      <c r="R83" s="564">
        <v>266.60000000000002</v>
      </c>
      <c r="S83" s="572">
        <v>276.89999999999998</v>
      </c>
      <c r="T83" s="564">
        <v>377.1</v>
      </c>
      <c r="U83" s="564">
        <v>395.2</v>
      </c>
      <c r="V83" s="564">
        <v>389</v>
      </c>
      <c r="W83" s="572">
        <v>433.7</v>
      </c>
      <c r="X83" s="564">
        <v>449</v>
      </c>
      <c r="Y83" s="564">
        <v>441.8</v>
      </c>
      <c r="Z83" s="564">
        <v>423.2</v>
      </c>
      <c r="AA83" s="572">
        <v>408.2</v>
      </c>
      <c r="AB83" s="564">
        <v>368.1</v>
      </c>
      <c r="AC83" s="564">
        <v>377.9</v>
      </c>
      <c r="AD83" s="564">
        <v>398</v>
      </c>
      <c r="AE83" s="572">
        <v>410.6</v>
      </c>
      <c r="AF83" s="564">
        <v>424.9</v>
      </c>
      <c r="AG83" s="564">
        <f>457.1</f>
        <v>457.1</v>
      </c>
      <c r="AH83" s="564">
        <v>465.3</v>
      </c>
      <c r="AI83" s="572">
        <v>435.6</v>
      </c>
      <c r="AJ83" s="564">
        <v>448.2</v>
      </c>
      <c r="AK83" s="564">
        <v>452.8</v>
      </c>
      <c r="AL83" s="564">
        <v>448.8</v>
      </c>
      <c r="AM83" s="572">
        <v>460.3</v>
      </c>
      <c r="AN83" s="564">
        <v>551.29999999999995</v>
      </c>
      <c r="AO83" s="564">
        <v>549.5</v>
      </c>
      <c r="AP83" s="564">
        <v>542.4</v>
      </c>
      <c r="AQ83" s="572">
        <v>608</v>
      </c>
      <c r="AR83" s="564">
        <v>677.1</v>
      </c>
      <c r="AS83" s="564">
        <v>742.1</v>
      </c>
      <c r="AT83" s="564">
        <v>740.6</v>
      </c>
      <c r="AU83" s="572">
        <v>778.4</v>
      </c>
      <c r="AV83" s="564">
        <v>777</v>
      </c>
      <c r="AW83" s="564">
        <v>816.4</v>
      </c>
      <c r="AX83" s="564">
        <v>794.4</v>
      </c>
      <c r="AY83" s="572">
        <v>843.4</v>
      </c>
      <c r="AZ83" s="564">
        <v>899.5</v>
      </c>
      <c r="BA83" s="564">
        <v>925.6</v>
      </c>
      <c r="BB83" s="564">
        <v>963.2</v>
      </c>
      <c r="BC83" s="572">
        <v>993</v>
      </c>
      <c r="BD83" s="564">
        <v>1035.5999999999999</v>
      </c>
      <c r="BE83" s="564">
        <v>1120.2</v>
      </c>
      <c r="BF83" s="564">
        <v>980.4</v>
      </c>
      <c r="BG83" s="572">
        <v>923</v>
      </c>
      <c r="BH83" s="564">
        <v>851.4</v>
      </c>
      <c r="BI83" s="564">
        <v>889.3</v>
      </c>
      <c r="BJ83" s="564">
        <v>973.2</v>
      </c>
      <c r="BK83" s="572">
        <v>977.1</v>
      </c>
      <c r="BL83" s="564">
        <v>1042.5999999999999</v>
      </c>
      <c r="BM83" s="564">
        <v>1161.8</v>
      </c>
      <c r="BN83" s="564">
        <v>1229.9000000000001</v>
      </c>
      <c r="BO83" s="572">
        <v>1224.0999999999999</v>
      </c>
      <c r="BP83" s="564">
        <v>1318.1</v>
      </c>
      <c r="BQ83" s="564">
        <v>1362.1</v>
      </c>
      <c r="BR83" s="564">
        <v>1346.5</v>
      </c>
      <c r="BS83" s="572">
        <v>1297.8</v>
      </c>
      <c r="BT83" s="564">
        <v>1291.3</v>
      </c>
      <c r="BU83" s="564">
        <v>1279.3</v>
      </c>
      <c r="BV83" s="564">
        <v>1276.5</v>
      </c>
      <c r="BW83" s="572">
        <v>1287.2</v>
      </c>
      <c r="BX83" s="564">
        <v>1311.9</v>
      </c>
      <c r="BY83" s="564">
        <v>1359.1</v>
      </c>
      <c r="BZ83" s="564">
        <v>1377.7</v>
      </c>
      <c r="CA83" s="572">
        <v>1383.8</v>
      </c>
      <c r="CB83" s="564">
        <v>1562.6</v>
      </c>
      <c r="CC83" s="564">
        <v>1622</v>
      </c>
      <c r="CD83" s="564">
        <v>1503.9</v>
      </c>
      <c r="CE83" s="572">
        <v>1530.3</v>
      </c>
      <c r="CF83" s="564">
        <v>1484.4</v>
      </c>
      <c r="CG83" s="564">
        <v>1528.2</v>
      </c>
      <c r="CH83" s="564">
        <v>1436.6</v>
      </c>
      <c r="CI83" s="572">
        <v>1866.4</v>
      </c>
      <c r="CJ83" s="564">
        <v>1819.4</v>
      </c>
      <c r="CK83" s="564">
        <v>1790.7</v>
      </c>
      <c r="CL83" s="564">
        <v>1763.2</v>
      </c>
      <c r="CM83" s="572">
        <v>1847.3</v>
      </c>
      <c r="CN83" s="564">
        <v>1841.3</v>
      </c>
      <c r="CO83" s="564">
        <v>1904.7</v>
      </c>
      <c r="CP83" s="564">
        <v>2015</v>
      </c>
      <c r="CQ83" s="572">
        <v>2270.3000000000002</v>
      </c>
      <c r="CR83" s="932">
        <f>+CR108/365*CR115</f>
        <v>2252.7558494992381</v>
      </c>
      <c r="CS83" s="932">
        <f>+CS108/365*CS115</f>
        <v>2335.8365433324834</v>
      </c>
      <c r="CT83" s="932">
        <f>+CT108/365*CT115</f>
        <v>2337.5669082931013</v>
      </c>
      <c r="CU83" s="919">
        <f>+CU108/365*CU115</f>
        <v>2523.1951717624238</v>
      </c>
      <c r="CV83" s="406"/>
      <c r="CW83" s="564">
        <v>203.7</v>
      </c>
      <c r="CX83" s="436">
        <f t="shared" si="234"/>
        <v>194.3</v>
      </c>
      <c r="CY83" s="436">
        <f t="shared" si="235"/>
        <v>269.3</v>
      </c>
      <c r="CZ83" s="436">
        <f t="shared" si="236"/>
        <v>273.60000000000002</v>
      </c>
      <c r="DA83" s="436">
        <f t="shared" si="237"/>
        <v>276.89999999999998</v>
      </c>
      <c r="DB83" s="436">
        <f t="shared" si="238"/>
        <v>433.7</v>
      </c>
      <c r="DC83" s="436">
        <f t="shared" si="239"/>
        <v>408.2</v>
      </c>
      <c r="DD83" s="436">
        <f t="shared" si="240"/>
        <v>410.6</v>
      </c>
      <c r="DE83" s="436">
        <f t="shared" si="241"/>
        <v>435.6</v>
      </c>
      <c r="DF83" s="436">
        <f t="shared" si="242"/>
        <v>460.3</v>
      </c>
      <c r="DG83" s="436">
        <f t="shared" si="243"/>
        <v>608</v>
      </c>
      <c r="DH83" s="436">
        <f t="shared" si="244"/>
        <v>778.4</v>
      </c>
      <c r="DI83" s="436">
        <f t="shared" si="245"/>
        <v>843.4</v>
      </c>
      <c r="DJ83" s="436">
        <f t="shared" si="246"/>
        <v>993</v>
      </c>
      <c r="DK83" s="436">
        <f t="shared" si="247"/>
        <v>923</v>
      </c>
      <c r="DL83" s="436">
        <f t="shared" si="248"/>
        <v>977.1</v>
      </c>
      <c r="DM83" s="436">
        <f t="shared" si="249"/>
        <v>1224.0999999999999</v>
      </c>
      <c r="DN83" s="436">
        <f t="shared" si="250"/>
        <v>1297.8</v>
      </c>
      <c r="DO83" s="436">
        <f t="shared" si="251"/>
        <v>1287.2</v>
      </c>
      <c r="DP83" s="436">
        <f t="shared" si="252"/>
        <v>1383.8</v>
      </c>
      <c r="DQ83" s="436">
        <f t="shared" si="253"/>
        <v>1530.3</v>
      </c>
      <c r="DR83" s="436">
        <f t="shared" si="254"/>
        <v>1866.4</v>
      </c>
      <c r="DS83" s="436">
        <f t="shared" si="255"/>
        <v>1847.3</v>
      </c>
      <c r="DT83" s="436">
        <f t="shared" si="256"/>
        <v>2270.3000000000002</v>
      </c>
      <c r="DU83" s="436">
        <f t="shared" si="257"/>
        <v>2523.1951717624238</v>
      </c>
      <c r="DV83" s="437">
        <f>+DV108/365*DV115</f>
        <v>2674.4690390140968</v>
      </c>
      <c r="DW83" s="437">
        <f>+DW108/365*DW115</f>
        <v>2812.7627283590114</v>
      </c>
      <c r="DX83" s="437">
        <f t="shared" ref="DX83:DZ83" si="259">+DX108/365*DX115</f>
        <v>2940.9193073309366</v>
      </c>
      <c r="DY83" s="437">
        <f t="shared" si="259"/>
        <v>3036.6720803531734</v>
      </c>
      <c r="DZ83" s="437">
        <f t="shared" si="259"/>
        <v>3091.6849391905694</v>
      </c>
      <c r="EA83" s="512"/>
      <c r="EB83"/>
      <c r="EC83"/>
      <c r="ED83"/>
      <c r="EE83"/>
      <c r="EF83"/>
      <c r="EG83"/>
    </row>
    <row r="84" spans="1:137" s="410" customFormat="1">
      <c r="A84" s="400"/>
      <c r="B84" s="515" t="s">
        <v>311</v>
      </c>
      <c r="C84" s="899"/>
      <c r="D84" s="638">
        <v>27.1</v>
      </c>
      <c r="E84" s="639">
        <v>26.6</v>
      </c>
      <c r="F84" s="639">
        <v>21.6</v>
      </c>
      <c r="G84" s="640">
        <v>26.6</v>
      </c>
      <c r="H84" s="639">
        <v>27.2</v>
      </c>
      <c r="I84" s="639">
        <v>30.4</v>
      </c>
      <c r="J84" s="639">
        <v>31.6</v>
      </c>
      <c r="K84" s="640">
        <v>30.6</v>
      </c>
      <c r="L84" s="639">
        <v>39.4</v>
      </c>
      <c r="M84" s="639">
        <v>45.4</v>
      </c>
      <c r="N84" s="639">
        <v>50</v>
      </c>
      <c r="O84" s="640">
        <v>53.9</v>
      </c>
      <c r="P84" s="639">
        <v>39.1</v>
      </c>
      <c r="Q84" s="639">
        <v>35.6</v>
      </c>
      <c r="R84" s="639">
        <v>33.4</v>
      </c>
      <c r="S84" s="640">
        <v>32.200000000000003</v>
      </c>
      <c r="T84" s="639">
        <v>49.2</v>
      </c>
      <c r="U84" s="639">
        <v>51.5</v>
      </c>
      <c r="V84" s="639">
        <v>56</v>
      </c>
      <c r="W84" s="640">
        <v>92.1</v>
      </c>
      <c r="X84" s="639">
        <v>69.5</v>
      </c>
      <c r="Y84" s="639">
        <v>52.1</v>
      </c>
      <c r="Z84" s="639">
        <v>39.4</v>
      </c>
      <c r="AA84" s="640">
        <v>21.8</v>
      </c>
      <c r="AB84" s="639">
        <v>91.7</v>
      </c>
      <c r="AC84" s="639">
        <v>87.2</v>
      </c>
      <c r="AD84" s="639">
        <v>86.9</v>
      </c>
      <c r="AE84" s="640">
        <v>8.8000000000000007</v>
      </c>
      <c r="AF84" s="639">
        <v>22.8</v>
      </c>
      <c r="AG84" s="639">
        <v>27.9</v>
      </c>
      <c r="AH84" s="639">
        <v>33.299999999999997</v>
      </c>
      <c r="AI84" s="640">
        <v>1.2</v>
      </c>
      <c r="AJ84" s="639">
        <v>8</v>
      </c>
      <c r="AK84" s="639">
        <v>16.7</v>
      </c>
      <c r="AL84" s="639">
        <v>25.3</v>
      </c>
      <c r="AM84" s="640">
        <v>0</v>
      </c>
      <c r="AN84" s="639">
        <v>34.700000000000003</v>
      </c>
      <c r="AO84" s="639">
        <v>17.3</v>
      </c>
      <c r="AP84" s="639">
        <v>13.2</v>
      </c>
      <c r="AQ84" s="640">
        <v>39.299999999999997</v>
      </c>
      <c r="AR84" s="639">
        <v>60.9</v>
      </c>
      <c r="AS84" s="639">
        <v>49.7</v>
      </c>
      <c r="AT84" s="639">
        <v>39</v>
      </c>
      <c r="AU84" s="640">
        <v>35.799999999999997</v>
      </c>
      <c r="AV84" s="639">
        <v>38</v>
      </c>
      <c r="AW84" s="639">
        <v>31.9</v>
      </c>
      <c r="AX84" s="639">
        <v>31</v>
      </c>
      <c r="AY84" s="640">
        <v>39.700000000000003</v>
      </c>
      <c r="AZ84" s="639">
        <v>39.5</v>
      </c>
      <c r="BA84" s="639">
        <v>34.9</v>
      </c>
      <c r="BB84" s="639">
        <v>33.9</v>
      </c>
      <c r="BC84" s="640">
        <v>27.2</v>
      </c>
      <c r="BD84" s="639">
        <v>17.899999999999999</v>
      </c>
      <c r="BE84" s="639">
        <v>32.4</v>
      </c>
      <c r="BF84" s="639">
        <v>27.5</v>
      </c>
      <c r="BG84" s="640">
        <v>6.3</v>
      </c>
      <c r="BH84" s="639">
        <v>9.1999999999999993</v>
      </c>
      <c r="BI84" s="639"/>
      <c r="BJ84" s="639">
        <v>4.5999999999999996</v>
      </c>
      <c r="BK84" s="640"/>
      <c r="BL84" s="639">
        <v>10.1</v>
      </c>
      <c r="BM84" s="639">
        <v>34.799999999999997</v>
      </c>
      <c r="BN84" s="639">
        <v>45.5</v>
      </c>
      <c r="BO84" s="640">
        <v>39.700000000000003</v>
      </c>
      <c r="BP84" s="639">
        <v>38.200000000000003</v>
      </c>
      <c r="BQ84" s="639">
        <v>45.1</v>
      </c>
      <c r="BR84" s="639">
        <v>52.3</v>
      </c>
      <c r="BS84" s="640">
        <v>29.8</v>
      </c>
      <c r="BT84" s="639">
        <v>28.6</v>
      </c>
      <c r="BU84" s="639">
        <v>37</v>
      </c>
      <c r="BV84" s="639">
        <v>55.4</v>
      </c>
      <c r="BW84" s="640">
        <v>72.5</v>
      </c>
      <c r="BX84" s="639">
        <v>42</v>
      </c>
      <c r="BY84" s="639">
        <v>40.700000000000003</v>
      </c>
      <c r="BZ84" s="639">
        <v>43.3</v>
      </c>
      <c r="CA84" s="640">
        <v>38.5</v>
      </c>
      <c r="CB84" s="639">
        <v>9.8000000000000007</v>
      </c>
      <c r="CC84" s="639">
        <v>7.6</v>
      </c>
      <c r="CD84" s="639">
        <v>13.2</v>
      </c>
      <c r="CE84" s="640">
        <v>14.2</v>
      </c>
      <c r="CF84" s="639">
        <v>9.3000000000000007</v>
      </c>
      <c r="CG84" s="639">
        <v>35.299999999999997</v>
      </c>
      <c r="CH84" s="639">
        <v>28.6</v>
      </c>
      <c r="CI84" s="640">
        <v>49.4</v>
      </c>
      <c r="CJ84" s="639">
        <v>24.5</v>
      </c>
      <c r="CK84" s="639">
        <v>93.8</v>
      </c>
      <c r="CL84" s="639">
        <v>61.2</v>
      </c>
      <c r="CM84" s="572">
        <v>68.599999999999994</v>
      </c>
      <c r="CN84" s="564">
        <v>54.8</v>
      </c>
      <c r="CO84" s="564">
        <v>59.6</v>
      </c>
      <c r="CP84" s="639">
        <v>63</v>
      </c>
      <c r="CQ84" s="1162">
        <f>40.8+29.5</f>
        <v>70.3</v>
      </c>
      <c r="CR84" s="933">
        <f>+CQ84</f>
        <v>70.3</v>
      </c>
      <c r="CS84" s="933">
        <f>+CR84</f>
        <v>70.3</v>
      </c>
      <c r="CT84" s="933">
        <f>+CS84</f>
        <v>70.3</v>
      </c>
      <c r="CU84" s="920">
        <f>+CT84</f>
        <v>70.3</v>
      </c>
      <c r="CV84" s="406"/>
      <c r="CW84" s="639">
        <v>23.6</v>
      </c>
      <c r="CX84" s="443">
        <f t="shared" si="234"/>
        <v>26.6</v>
      </c>
      <c r="CY84" s="443">
        <f t="shared" si="235"/>
        <v>30.6</v>
      </c>
      <c r="CZ84" s="443">
        <f t="shared" si="236"/>
        <v>53.9</v>
      </c>
      <c r="DA84" s="443">
        <f t="shared" si="237"/>
        <v>32.200000000000003</v>
      </c>
      <c r="DB84" s="443">
        <f t="shared" si="238"/>
        <v>92.1</v>
      </c>
      <c r="DC84" s="443">
        <f t="shared" si="239"/>
        <v>21.8</v>
      </c>
      <c r="DD84" s="443">
        <f t="shared" si="240"/>
        <v>8.8000000000000007</v>
      </c>
      <c r="DE84" s="443">
        <f t="shared" si="241"/>
        <v>1.2</v>
      </c>
      <c r="DF84" s="443">
        <f t="shared" si="242"/>
        <v>0</v>
      </c>
      <c r="DG84" s="443">
        <f t="shared" si="243"/>
        <v>39.299999999999997</v>
      </c>
      <c r="DH84" s="443">
        <f t="shared" si="244"/>
        <v>35.799999999999997</v>
      </c>
      <c r="DI84" s="443">
        <f t="shared" si="245"/>
        <v>39.700000000000003</v>
      </c>
      <c r="DJ84" s="443">
        <f t="shared" si="246"/>
        <v>27.2</v>
      </c>
      <c r="DK84" s="443">
        <f t="shared" si="247"/>
        <v>6.3</v>
      </c>
      <c r="DL84" s="443">
        <f t="shared" si="248"/>
        <v>0</v>
      </c>
      <c r="DM84" s="443">
        <f t="shared" si="249"/>
        <v>39.700000000000003</v>
      </c>
      <c r="DN84" s="443">
        <f t="shared" si="250"/>
        <v>29.8</v>
      </c>
      <c r="DO84" s="443">
        <f t="shared" si="251"/>
        <v>72.5</v>
      </c>
      <c r="DP84" s="443">
        <f t="shared" si="252"/>
        <v>38.5</v>
      </c>
      <c r="DQ84" s="443">
        <f t="shared" si="253"/>
        <v>14.2</v>
      </c>
      <c r="DR84" s="443">
        <f t="shared" si="254"/>
        <v>49.4</v>
      </c>
      <c r="DS84" s="443">
        <f t="shared" si="255"/>
        <v>68.599999999999994</v>
      </c>
      <c r="DT84" s="443">
        <f t="shared" si="256"/>
        <v>70.3</v>
      </c>
      <c r="DU84" s="443">
        <f t="shared" si="257"/>
        <v>70.3</v>
      </c>
      <c r="DV84" s="639">
        <f>+DU84</f>
        <v>70.3</v>
      </c>
      <c r="DW84" s="639">
        <f>+DV84</f>
        <v>70.3</v>
      </c>
      <c r="DX84" s="639">
        <f t="shared" ref="DX84:DZ84" si="260">+DW84</f>
        <v>70.3</v>
      </c>
      <c r="DY84" s="639">
        <f t="shared" si="260"/>
        <v>70.3</v>
      </c>
      <c r="DZ84" s="639">
        <f t="shared" si="260"/>
        <v>70.3</v>
      </c>
      <c r="EA84" s="512"/>
      <c r="EB84"/>
      <c r="EC84"/>
      <c r="ED84"/>
      <c r="EE84"/>
      <c r="EF84"/>
      <c r="EG84"/>
    </row>
    <row r="85" spans="1:137" s="410" customFormat="1">
      <c r="A85" s="400"/>
      <c r="B85" s="452" t="s">
        <v>101</v>
      </c>
      <c r="C85" s="658"/>
      <c r="D85" s="516">
        <f>SUM(D82:D84)</f>
        <v>238.5</v>
      </c>
      <c r="E85" s="437">
        <f t="shared" ref="E85:BP85" si="261">SUM(E82:E84)</f>
        <v>233.70000000000002</v>
      </c>
      <c r="F85" s="437">
        <f t="shared" si="261"/>
        <v>213.9</v>
      </c>
      <c r="G85" s="517">
        <f t="shared" si="261"/>
        <v>252.5</v>
      </c>
      <c r="H85" s="437">
        <f t="shared" si="261"/>
        <v>280.09999999999997</v>
      </c>
      <c r="I85" s="437">
        <f t="shared" si="261"/>
        <v>330.49999999999994</v>
      </c>
      <c r="J85" s="437">
        <f t="shared" si="261"/>
        <v>290.3</v>
      </c>
      <c r="K85" s="517">
        <f t="shared" si="261"/>
        <v>337.90000000000003</v>
      </c>
      <c r="L85" s="437">
        <f t="shared" si="261"/>
        <v>367.9</v>
      </c>
      <c r="M85" s="437">
        <f t="shared" si="261"/>
        <v>381.4</v>
      </c>
      <c r="N85" s="437">
        <f t="shared" si="261"/>
        <v>388.3</v>
      </c>
      <c r="O85" s="517">
        <f t="shared" si="261"/>
        <v>395.2</v>
      </c>
      <c r="P85" s="437">
        <f t="shared" si="261"/>
        <v>357.2</v>
      </c>
      <c r="Q85" s="437">
        <f t="shared" si="261"/>
        <v>339.40000000000003</v>
      </c>
      <c r="R85" s="437">
        <f t="shared" si="261"/>
        <v>346.2</v>
      </c>
      <c r="S85" s="517">
        <f t="shared" si="261"/>
        <v>454.09999999999997</v>
      </c>
      <c r="T85" s="437">
        <f t="shared" si="261"/>
        <v>571.40000000000009</v>
      </c>
      <c r="U85" s="437">
        <f t="shared" si="261"/>
        <v>556.79999999999995</v>
      </c>
      <c r="V85" s="437">
        <f t="shared" si="261"/>
        <v>563.5</v>
      </c>
      <c r="W85" s="517">
        <f t="shared" si="261"/>
        <v>659.80000000000007</v>
      </c>
      <c r="X85" s="437">
        <f t="shared" si="261"/>
        <v>654.20000000000005</v>
      </c>
      <c r="Y85" s="437">
        <f t="shared" si="261"/>
        <v>570.1</v>
      </c>
      <c r="Z85" s="437">
        <f t="shared" si="261"/>
        <v>530.69999999999993</v>
      </c>
      <c r="AA85" s="517">
        <f t="shared" si="261"/>
        <v>484.4</v>
      </c>
      <c r="AB85" s="437">
        <f t="shared" si="261"/>
        <v>515.70000000000005</v>
      </c>
      <c r="AC85" s="437">
        <f t="shared" si="261"/>
        <v>492.09999999999997</v>
      </c>
      <c r="AD85" s="437">
        <f t="shared" si="261"/>
        <v>525.4</v>
      </c>
      <c r="AE85" s="517">
        <f t="shared" si="261"/>
        <v>455.00000000000006</v>
      </c>
      <c r="AF85" s="437">
        <f t="shared" si="261"/>
        <v>501.5</v>
      </c>
      <c r="AG85" s="437">
        <f t="shared" si="261"/>
        <v>501.5</v>
      </c>
      <c r="AH85" s="437">
        <f t="shared" si="261"/>
        <v>511.20000000000005</v>
      </c>
      <c r="AI85" s="517">
        <f t="shared" si="261"/>
        <v>451.2</v>
      </c>
      <c r="AJ85" s="437">
        <f t="shared" si="261"/>
        <v>471.4</v>
      </c>
      <c r="AK85" s="437">
        <f t="shared" si="261"/>
        <v>480.9</v>
      </c>
      <c r="AL85" s="437">
        <f t="shared" si="261"/>
        <v>486.90000000000003</v>
      </c>
      <c r="AM85" s="517">
        <f t="shared" si="261"/>
        <v>470.3</v>
      </c>
      <c r="AN85" s="437">
        <f t="shared" si="261"/>
        <v>595.1</v>
      </c>
      <c r="AO85" s="437">
        <f t="shared" si="261"/>
        <v>575.79999999999995</v>
      </c>
      <c r="AP85" s="437">
        <f t="shared" si="261"/>
        <v>562.9</v>
      </c>
      <c r="AQ85" s="517">
        <f t="shared" si="261"/>
        <v>663.8</v>
      </c>
      <c r="AR85" s="437">
        <f t="shared" si="261"/>
        <v>968.69999999999993</v>
      </c>
      <c r="AS85" s="437">
        <f t="shared" si="261"/>
        <v>977.2</v>
      </c>
      <c r="AT85" s="437">
        <f t="shared" si="261"/>
        <v>953.6</v>
      </c>
      <c r="AU85" s="517">
        <f t="shared" si="261"/>
        <v>1114.0999999999999</v>
      </c>
      <c r="AV85" s="437">
        <f t="shared" si="261"/>
        <v>1077.0999999999999</v>
      </c>
      <c r="AW85" s="437">
        <f t="shared" si="261"/>
        <v>1082.6000000000001</v>
      </c>
      <c r="AX85" s="437">
        <f t="shared" si="261"/>
        <v>1075.9000000000001</v>
      </c>
      <c r="AY85" s="517">
        <f t="shared" si="261"/>
        <v>1034.8</v>
      </c>
      <c r="AZ85" s="437">
        <f t="shared" si="261"/>
        <v>1052.4000000000001</v>
      </c>
      <c r="BA85" s="437">
        <f t="shared" si="261"/>
        <v>1048.3</v>
      </c>
      <c r="BB85" s="437">
        <f t="shared" si="261"/>
        <v>1034.2</v>
      </c>
      <c r="BC85" s="517">
        <f t="shared" si="261"/>
        <v>1083.9000000000001</v>
      </c>
      <c r="BD85" s="437">
        <f t="shared" si="261"/>
        <v>1336.4</v>
      </c>
      <c r="BE85" s="437">
        <f t="shared" si="261"/>
        <v>1348.4</v>
      </c>
      <c r="BF85" s="437">
        <f t="shared" si="261"/>
        <v>1367.6</v>
      </c>
      <c r="BG85" s="517">
        <f t="shared" si="261"/>
        <v>1250</v>
      </c>
      <c r="BH85" s="437">
        <f t="shared" si="261"/>
        <v>1111</v>
      </c>
      <c r="BI85" s="437">
        <f t="shared" si="261"/>
        <v>985.09999999999991</v>
      </c>
      <c r="BJ85" s="437">
        <f t="shared" si="261"/>
        <v>1054.5999999999999</v>
      </c>
      <c r="BK85" s="517">
        <f t="shared" si="261"/>
        <v>1046.2</v>
      </c>
      <c r="BL85" s="437">
        <f t="shared" si="261"/>
        <v>1185.0999999999999</v>
      </c>
      <c r="BM85" s="437">
        <f t="shared" si="261"/>
        <v>1382.3</v>
      </c>
      <c r="BN85" s="437">
        <f t="shared" si="261"/>
        <v>1421.6000000000001</v>
      </c>
      <c r="BO85" s="517">
        <f t="shared" si="261"/>
        <v>1392.3</v>
      </c>
      <c r="BP85" s="437">
        <f t="shared" si="261"/>
        <v>1532.5</v>
      </c>
      <c r="BQ85" s="437">
        <f t="shared" ref="BQ85:CP85" si="262">SUM(BQ82:BQ84)</f>
        <v>1936.6</v>
      </c>
      <c r="BR85" s="437">
        <f t="shared" si="262"/>
        <v>1924.1</v>
      </c>
      <c r="BS85" s="517">
        <f t="shared" si="262"/>
        <v>1905.3999999999999</v>
      </c>
      <c r="BT85" s="437">
        <f t="shared" si="262"/>
        <v>1881.1999999999998</v>
      </c>
      <c r="BU85" s="437">
        <f t="shared" si="262"/>
        <v>1513.3</v>
      </c>
      <c r="BV85" s="437">
        <f t="shared" si="262"/>
        <v>1568.4</v>
      </c>
      <c r="BW85" s="517">
        <f t="shared" si="262"/>
        <v>1603.1000000000001</v>
      </c>
      <c r="BX85" s="437">
        <f t="shared" si="262"/>
        <v>1583.2</v>
      </c>
      <c r="BY85" s="437">
        <f t="shared" si="262"/>
        <v>1716.6</v>
      </c>
      <c r="BZ85" s="437">
        <f t="shared" si="262"/>
        <v>1674.7</v>
      </c>
      <c r="CA85" s="517">
        <f t="shared" si="262"/>
        <v>1623.8999999999999</v>
      </c>
      <c r="CB85" s="437">
        <f t="shared" si="262"/>
        <v>1910.8999999999999</v>
      </c>
      <c r="CC85" s="437">
        <f t="shared" si="262"/>
        <v>2170.6999999999998</v>
      </c>
      <c r="CD85" s="437">
        <f t="shared" si="262"/>
        <v>2122.8000000000002</v>
      </c>
      <c r="CE85" s="517">
        <f t="shared" si="262"/>
        <v>2168.1999999999998</v>
      </c>
      <c r="CF85" s="437">
        <f t="shared" si="262"/>
        <v>1601.5</v>
      </c>
      <c r="CG85" s="437">
        <f t="shared" si="262"/>
        <v>1635.6</v>
      </c>
      <c r="CH85" s="437">
        <f t="shared" si="262"/>
        <v>1539.7999999999997</v>
      </c>
      <c r="CI85" s="517">
        <f t="shared" si="262"/>
        <v>2357.3000000000002</v>
      </c>
      <c r="CJ85" s="437">
        <f t="shared" si="262"/>
        <v>2310.4</v>
      </c>
      <c r="CK85" s="437">
        <f t="shared" si="262"/>
        <v>2399.8000000000002</v>
      </c>
      <c r="CL85" s="437">
        <f t="shared" si="262"/>
        <v>2349.7999999999997</v>
      </c>
      <c r="CM85" s="518">
        <f t="shared" si="262"/>
        <v>2091.8000000000002</v>
      </c>
      <c r="CN85" s="519">
        <f t="shared" si="262"/>
        <v>2151.2000000000003</v>
      </c>
      <c r="CO85" s="519">
        <f t="shared" si="262"/>
        <v>2106.1</v>
      </c>
      <c r="CP85" s="437">
        <f t="shared" si="262"/>
        <v>2381.1999999999998</v>
      </c>
      <c r="CQ85" s="517">
        <f t="shared" ref="CQ85" si="263">SUM(CQ82:CQ84)</f>
        <v>2425.2000000000003</v>
      </c>
      <c r="CR85" s="943">
        <f t="shared" ref="CR85:CU85" si="264">SUM(CR82:CR84)</f>
        <v>2407.6558494992382</v>
      </c>
      <c r="CS85" s="943">
        <f t="shared" si="264"/>
        <v>2490.7365433324835</v>
      </c>
      <c r="CT85" s="943">
        <f t="shared" si="264"/>
        <v>2492.4669082931014</v>
      </c>
      <c r="CU85" s="921">
        <f t="shared" si="264"/>
        <v>2678.0951717624239</v>
      </c>
      <c r="CV85" s="406"/>
      <c r="CW85" s="452">
        <f t="shared" ref="CW85:CX85" si="265">SUM(CW82:CW84)</f>
        <v>247.79999999999998</v>
      </c>
      <c r="CX85" s="452">
        <f t="shared" si="265"/>
        <v>252.5</v>
      </c>
      <c r="CY85" s="452">
        <f t="shared" ref="CY85" si="266">SUM(CY82:CY84)</f>
        <v>337.90000000000003</v>
      </c>
      <c r="CZ85" s="452">
        <f t="shared" ref="CZ85" si="267">SUM(CZ82:CZ84)</f>
        <v>395.2</v>
      </c>
      <c r="DA85" s="452">
        <f t="shared" ref="DA85" si="268">SUM(DA82:DA84)</f>
        <v>454.09999999999997</v>
      </c>
      <c r="DB85" s="452">
        <f t="shared" ref="DB85" si="269">SUM(DB82:DB84)</f>
        <v>659.80000000000007</v>
      </c>
      <c r="DC85" s="452">
        <f t="shared" ref="DC85" si="270">SUM(DC82:DC84)</f>
        <v>484.4</v>
      </c>
      <c r="DD85" s="452">
        <f t="shared" ref="DD85" si="271">SUM(DD82:DD84)</f>
        <v>455.00000000000006</v>
      </c>
      <c r="DE85" s="452">
        <f t="shared" ref="DE85" si="272">SUM(DE82:DE84)</f>
        <v>451.2</v>
      </c>
      <c r="DF85" s="452">
        <f t="shared" ref="DF85" si="273">SUM(DF82:DF84)</f>
        <v>470.3</v>
      </c>
      <c r="DG85" s="452">
        <f t="shared" ref="DG85" si="274">SUM(DG82:DG84)</f>
        <v>663.8</v>
      </c>
      <c r="DH85" s="452">
        <f t="shared" ref="DH85" si="275">SUM(DH82:DH84)</f>
        <v>1114.0999999999999</v>
      </c>
      <c r="DI85" s="452">
        <f t="shared" ref="DI85" si="276">SUM(DI82:DI84)</f>
        <v>1034.8</v>
      </c>
      <c r="DJ85" s="452">
        <f t="shared" ref="DJ85" si="277">SUM(DJ82:DJ84)</f>
        <v>1083.9000000000001</v>
      </c>
      <c r="DK85" s="452">
        <f t="shared" ref="DK85" si="278">SUM(DK82:DK84)</f>
        <v>1250</v>
      </c>
      <c r="DL85" s="452">
        <f t="shared" ref="DL85" si="279">SUM(DL82:DL84)</f>
        <v>1046.2</v>
      </c>
      <c r="DM85" s="452">
        <f t="shared" ref="DM85" si="280">SUM(DM82:DM84)</f>
        <v>1392.3</v>
      </c>
      <c r="DN85" s="452">
        <f t="shared" ref="DN85" si="281">SUM(DN82:DN84)</f>
        <v>1905.3999999999999</v>
      </c>
      <c r="DO85" s="452">
        <f t="shared" ref="DO85" si="282">SUM(DO82:DO84)</f>
        <v>1603.1000000000001</v>
      </c>
      <c r="DP85" s="452">
        <f t="shared" ref="DP85" si="283">SUM(DP82:DP84)</f>
        <v>1623.8999999999999</v>
      </c>
      <c r="DQ85" s="452">
        <f t="shared" ref="DQ85" si="284">SUM(DQ82:DQ84)</f>
        <v>2168.1999999999998</v>
      </c>
      <c r="DR85" s="452">
        <f t="shared" ref="DR85" si="285">SUM(DR82:DR84)</f>
        <v>2357.3000000000002</v>
      </c>
      <c r="DS85" s="452">
        <f t="shared" ref="DS85" si="286">SUM(DS82:DS84)</f>
        <v>2091.8000000000002</v>
      </c>
      <c r="DT85" s="452">
        <f t="shared" ref="DT85" si="287">SUM(DT82:DT84)</f>
        <v>2425.2000000000003</v>
      </c>
      <c r="DU85" s="452">
        <f t="shared" ref="DU85" si="288">SUM(DU82:DU84)</f>
        <v>2678.0951717624239</v>
      </c>
      <c r="DV85" s="452">
        <f t="shared" ref="DV85" si="289">SUM(DV82:DV84)</f>
        <v>2829.3690390140969</v>
      </c>
      <c r="DW85" s="452">
        <f t="shared" ref="DW85:DZ85" si="290">SUM(DW82:DW84)</f>
        <v>2967.6627283590115</v>
      </c>
      <c r="DX85" s="452">
        <f t="shared" si="290"/>
        <v>3095.8193073309367</v>
      </c>
      <c r="DY85" s="452">
        <f t="shared" si="290"/>
        <v>3191.5720803531735</v>
      </c>
      <c r="DZ85" s="452">
        <f t="shared" si="290"/>
        <v>3246.5849391905695</v>
      </c>
      <c r="EA85" s="436"/>
      <c r="EB85"/>
      <c r="EC85"/>
      <c r="ED85"/>
      <c r="EE85"/>
      <c r="EF85"/>
      <c r="EG85"/>
    </row>
    <row r="86" spans="1:137" s="410" customFormat="1">
      <c r="A86" s="400"/>
      <c r="B86" s="452"/>
      <c r="C86" s="658"/>
      <c r="D86" s="526" t="s">
        <v>79</v>
      </c>
      <c r="E86" s="527" t="s">
        <v>79</v>
      </c>
      <c r="F86" s="527" t="s">
        <v>79</v>
      </c>
      <c r="G86" s="528" t="s">
        <v>79</v>
      </c>
      <c r="H86" s="452"/>
      <c r="I86" s="452"/>
      <c r="J86" s="452"/>
      <c r="K86" s="514"/>
      <c r="L86" s="452"/>
      <c r="M86" s="452"/>
      <c r="N86" s="452"/>
      <c r="O86" s="514"/>
      <c r="P86" s="452"/>
      <c r="Q86" s="452"/>
      <c r="R86" s="452"/>
      <c r="S86" s="514"/>
      <c r="T86" s="452"/>
      <c r="U86" s="452"/>
      <c r="V86" s="452"/>
      <c r="W86" s="514"/>
      <c r="X86" s="452"/>
      <c r="Y86" s="452"/>
      <c r="Z86" s="452"/>
      <c r="AA86" s="514"/>
      <c r="AB86" s="452"/>
      <c r="AC86" s="452"/>
      <c r="AD86" s="452"/>
      <c r="AE86" s="514"/>
      <c r="AF86" s="452"/>
      <c r="AG86" s="452"/>
      <c r="AH86" s="452"/>
      <c r="AI86" s="514"/>
      <c r="AJ86" s="452"/>
      <c r="AK86" s="452"/>
      <c r="AL86" s="452"/>
      <c r="AM86" s="514"/>
      <c r="AN86" s="452"/>
      <c r="AO86" s="452"/>
      <c r="AP86" s="452"/>
      <c r="AQ86" s="514"/>
      <c r="AR86" s="452"/>
      <c r="AS86" s="452"/>
      <c r="AT86" s="452"/>
      <c r="AU86" s="514"/>
      <c r="AV86" s="452"/>
      <c r="AW86" s="452"/>
      <c r="AX86" s="452"/>
      <c r="AY86" s="514"/>
      <c r="AZ86" s="452"/>
      <c r="BA86" s="452"/>
      <c r="BB86" s="452"/>
      <c r="BC86" s="514"/>
      <c r="BD86" s="452"/>
      <c r="BE86" s="452"/>
      <c r="BF86" s="452"/>
      <c r="BG86" s="514"/>
      <c r="BH86" s="452"/>
      <c r="BI86" s="452"/>
      <c r="BJ86" s="452"/>
      <c r="BK86" s="514"/>
      <c r="BL86" s="452"/>
      <c r="BM86" s="452"/>
      <c r="BN86" s="452"/>
      <c r="BO86" s="514"/>
      <c r="BP86" s="452"/>
      <c r="BQ86" s="452"/>
      <c r="BR86" s="452"/>
      <c r="BS86" s="514"/>
      <c r="BT86" s="452"/>
      <c r="BU86" s="452"/>
      <c r="BV86" s="452"/>
      <c r="BW86" s="514"/>
      <c r="BX86" s="452"/>
      <c r="BY86" s="452"/>
      <c r="BZ86" s="452"/>
      <c r="CA86" s="514"/>
      <c r="CB86" s="452"/>
      <c r="CC86" s="452"/>
      <c r="CD86" s="452"/>
      <c r="CE86" s="514"/>
      <c r="CF86" s="452"/>
      <c r="CG86" s="452"/>
      <c r="CH86" s="452"/>
      <c r="CI86" s="514"/>
      <c r="CJ86" s="452"/>
      <c r="CK86" s="452"/>
      <c r="CL86" s="452"/>
      <c r="CM86" s="513"/>
      <c r="CN86" s="452"/>
      <c r="CO86" s="452"/>
      <c r="CP86" s="452"/>
      <c r="CQ86" s="514"/>
      <c r="CR86" s="932"/>
      <c r="CS86" s="932"/>
      <c r="CT86" s="932"/>
      <c r="CU86" s="919"/>
      <c r="CV86" s="406"/>
      <c r="CW86" s="529"/>
      <c r="CX86" s="452" t="str">
        <f t="shared" ref="CX86:CX89" si="291">G86</f>
        <v xml:space="preserve"> </v>
      </c>
      <c r="CY86" s="452"/>
      <c r="CZ86" s="452"/>
      <c r="DA86" s="452"/>
      <c r="DB86" s="452"/>
      <c r="DC86" s="452"/>
      <c r="DD86" s="452"/>
      <c r="DE86" s="452"/>
      <c r="DF86" s="452"/>
      <c r="DG86" s="452"/>
      <c r="DH86" s="452"/>
      <c r="DI86" s="452"/>
      <c r="DJ86" s="452"/>
      <c r="DK86" s="452"/>
      <c r="DL86" s="452"/>
      <c r="DM86" s="452"/>
      <c r="DN86" s="452"/>
      <c r="DO86" s="452"/>
      <c r="DP86" s="452"/>
      <c r="DQ86" s="452"/>
      <c r="DR86" s="452"/>
      <c r="DS86" s="452"/>
      <c r="DT86" s="452"/>
      <c r="DU86" s="452"/>
      <c r="DV86" s="452"/>
      <c r="DW86" s="452"/>
      <c r="DX86" s="452"/>
      <c r="DY86" s="452"/>
      <c r="DZ86" s="452"/>
      <c r="EA86" s="436"/>
      <c r="EB86"/>
      <c r="EC86"/>
      <c r="ED86"/>
      <c r="EE86"/>
      <c r="EF86"/>
      <c r="EG86"/>
    </row>
    <row r="87" spans="1:137" s="410" customFormat="1">
      <c r="A87" s="400"/>
      <c r="B87" s="452" t="s">
        <v>312</v>
      </c>
      <c r="C87" s="658"/>
      <c r="D87" s="636">
        <v>106.1</v>
      </c>
      <c r="E87" s="564">
        <v>143.9</v>
      </c>
      <c r="F87" s="564">
        <v>139.1</v>
      </c>
      <c r="G87" s="572">
        <v>103.1</v>
      </c>
      <c r="H87" s="564">
        <v>89.8</v>
      </c>
      <c r="I87" s="564">
        <v>313</v>
      </c>
      <c r="J87" s="564">
        <v>352</v>
      </c>
      <c r="K87" s="572">
        <v>279.3</v>
      </c>
      <c r="L87" s="564">
        <v>264</v>
      </c>
      <c r="M87" s="564">
        <v>256.7</v>
      </c>
      <c r="N87" s="564">
        <v>244.8</v>
      </c>
      <c r="O87" s="572">
        <v>270.39999999999998</v>
      </c>
      <c r="P87" s="564">
        <v>313.3</v>
      </c>
      <c r="Q87" s="564">
        <v>330</v>
      </c>
      <c r="R87" s="564">
        <v>305.5</v>
      </c>
      <c r="S87" s="572">
        <v>248.5</v>
      </c>
      <c r="T87" s="564">
        <v>851.1</v>
      </c>
      <c r="U87" s="564">
        <v>809</v>
      </c>
      <c r="V87" s="564">
        <v>777.4</v>
      </c>
      <c r="W87" s="572">
        <v>846.3</v>
      </c>
      <c r="X87" s="564">
        <v>767.3</v>
      </c>
      <c r="Y87" s="564">
        <v>821.1</v>
      </c>
      <c r="Z87" s="564">
        <v>825.8</v>
      </c>
      <c r="AA87" s="572">
        <v>740.4</v>
      </c>
      <c r="AB87" s="564">
        <v>739.2</v>
      </c>
      <c r="AC87" s="564">
        <v>707.1</v>
      </c>
      <c r="AD87" s="564">
        <v>695.6</v>
      </c>
      <c r="AE87" s="572">
        <v>701.4</v>
      </c>
      <c r="AF87" s="564">
        <v>643.20000000000005</v>
      </c>
      <c r="AG87" s="564">
        <v>651.1</v>
      </c>
      <c r="AH87" s="564">
        <v>648.29999999999995</v>
      </c>
      <c r="AI87" s="572">
        <v>757.5</v>
      </c>
      <c r="AJ87" s="564">
        <v>633.6</v>
      </c>
      <c r="AK87" s="564">
        <v>627.6</v>
      </c>
      <c r="AL87" s="564">
        <v>635</v>
      </c>
      <c r="AM87" s="572">
        <v>634</v>
      </c>
      <c r="AN87" s="564">
        <v>603.1</v>
      </c>
      <c r="AO87" s="564">
        <v>573.9</v>
      </c>
      <c r="AP87" s="564">
        <v>583</v>
      </c>
      <c r="AQ87" s="572">
        <v>568</v>
      </c>
      <c r="AR87" s="564">
        <v>684.7</v>
      </c>
      <c r="AS87" s="564">
        <v>643.6</v>
      </c>
      <c r="AT87" s="564">
        <v>626.6</v>
      </c>
      <c r="AU87" s="572">
        <v>440.6</v>
      </c>
      <c r="AV87" s="564">
        <v>510.9</v>
      </c>
      <c r="AW87" s="564">
        <v>451.5</v>
      </c>
      <c r="AX87" s="564">
        <v>512.5</v>
      </c>
      <c r="AY87" s="572">
        <v>569.4</v>
      </c>
      <c r="AZ87" s="564">
        <v>581.6</v>
      </c>
      <c r="BA87" s="564">
        <v>557.6</v>
      </c>
      <c r="BB87" s="564">
        <v>564.4</v>
      </c>
      <c r="BC87" s="572">
        <v>572.6</v>
      </c>
      <c r="BD87" s="564">
        <v>446.7</v>
      </c>
      <c r="BE87" s="564">
        <v>431.1</v>
      </c>
      <c r="BF87" s="564">
        <v>431.3</v>
      </c>
      <c r="BG87" s="572">
        <v>459.6</v>
      </c>
      <c r="BH87" s="564">
        <v>466.5</v>
      </c>
      <c r="BI87" s="564">
        <v>766.2</v>
      </c>
      <c r="BJ87" s="564">
        <v>770.9</v>
      </c>
      <c r="BK87" s="572">
        <v>773.2</v>
      </c>
      <c r="BL87" s="564">
        <v>774</v>
      </c>
      <c r="BM87" s="564">
        <v>780.6</v>
      </c>
      <c r="BN87" s="564">
        <v>1045.0999999999999</v>
      </c>
      <c r="BO87" s="572">
        <v>1051.9000000000001</v>
      </c>
      <c r="BP87" s="564">
        <v>1259.5</v>
      </c>
      <c r="BQ87" s="564">
        <v>919.5</v>
      </c>
      <c r="BR87" s="564">
        <v>867.2</v>
      </c>
      <c r="BS87" s="572">
        <v>751.3</v>
      </c>
      <c r="BT87" s="564">
        <v>848.7</v>
      </c>
      <c r="BU87" s="564">
        <v>956.2</v>
      </c>
      <c r="BV87" s="564">
        <v>866.3</v>
      </c>
      <c r="BW87" s="572">
        <v>823.8</v>
      </c>
      <c r="BX87" s="564">
        <v>971.4</v>
      </c>
      <c r="BY87" s="564">
        <v>913.3</v>
      </c>
      <c r="BZ87" s="564">
        <v>1018.6</v>
      </c>
      <c r="CA87" s="572">
        <v>1021</v>
      </c>
      <c r="CB87" s="564">
        <v>1027.5999999999999</v>
      </c>
      <c r="CC87" s="564">
        <v>704.2</v>
      </c>
      <c r="CD87" s="564">
        <v>705.8</v>
      </c>
      <c r="CE87" s="572">
        <v>716.3</v>
      </c>
      <c r="CF87" s="564">
        <v>1730.6</v>
      </c>
      <c r="CG87" s="564">
        <v>1731.7</v>
      </c>
      <c r="CH87" s="564">
        <v>1734.5</v>
      </c>
      <c r="CI87" s="572">
        <v>2124.6</v>
      </c>
      <c r="CJ87" s="564">
        <v>2131.9</v>
      </c>
      <c r="CK87" s="564">
        <v>2119.5</v>
      </c>
      <c r="CL87" s="564">
        <v>2089.9</v>
      </c>
      <c r="CM87" s="572">
        <v>2043.6</v>
      </c>
      <c r="CN87" s="564">
        <v>2040.3</v>
      </c>
      <c r="CO87" s="564">
        <v>2077.9</v>
      </c>
      <c r="CP87" s="564">
        <v>2091.9</v>
      </c>
      <c r="CQ87" s="572">
        <v>2103.6999999999998</v>
      </c>
      <c r="CR87" s="932">
        <f>CQ87+CR162</f>
        <v>2103.6999999999998</v>
      </c>
      <c r="CS87" s="932">
        <f>CR87+CS162</f>
        <v>2103.6999999999998</v>
      </c>
      <c r="CT87" s="932">
        <f>CS87+CT162</f>
        <v>2103.6999999999998</v>
      </c>
      <c r="CU87" s="919">
        <f>CT87+CU162</f>
        <v>2103.6999999999998</v>
      </c>
      <c r="CV87" s="406"/>
      <c r="CW87" s="564">
        <v>86.8</v>
      </c>
      <c r="CX87" s="436">
        <f t="shared" si="291"/>
        <v>103.1</v>
      </c>
      <c r="CY87" s="436">
        <f t="shared" ref="CY87:CY89" si="292">K87</f>
        <v>279.3</v>
      </c>
      <c r="CZ87" s="436">
        <f t="shared" ref="CZ87:CZ89" si="293">O87</f>
        <v>270.39999999999998</v>
      </c>
      <c r="DA87" s="436">
        <f t="shared" ref="DA87:DA89" si="294">S87</f>
        <v>248.5</v>
      </c>
      <c r="DB87" s="436">
        <f t="shared" ref="DB87:DB89" si="295">W87</f>
        <v>846.3</v>
      </c>
      <c r="DC87" s="436">
        <f t="shared" ref="DC87:DC89" si="296">AA87</f>
        <v>740.4</v>
      </c>
      <c r="DD87" s="436">
        <f t="shared" ref="DD87:DD89" si="297">AE87</f>
        <v>701.4</v>
      </c>
      <c r="DE87" s="436">
        <f t="shared" ref="DE87:DE89" si="298">AI87</f>
        <v>757.5</v>
      </c>
      <c r="DF87" s="436">
        <f t="shared" ref="DF87:DF89" si="299">AM87</f>
        <v>634</v>
      </c>
      <c r="DG87" s="436">
        <f t="shared" ref="DG87:DG89" si="300">AQ87</f>
        <v>568</v>
      </c>
      <c r="DH87" s="436">
        <f t="shared" ref="DH87:DH89" si="301">AU87</f>
        <v>440.6</v>
      </c>
      <c r="DI87" s="436">
        <f t="shared" ref="DI87:DI89" si="302">AY87</f>
        <v>569.4</v>
      </c>
      <c r="DJ87" s="436">
        <f t="shared" ref="DJ87:DJ89" si="303">BC87</f>
        <v>572.6</v>
      </c>
      <c r="DK87" s="436">
        <f t="shared" ref="DK87:DK89" si="304">BG87</f>
        <v>459.6</v>
      </c>
      <c r="DL87" s="436">
        <f t="shared" ref="DL87:DL89" si="305">BK87</f>
        <v>773.2</v>
      </c>
      <c r="DM87" s="436">
        <f t="shared" ref="DM87:DM89" si="306">BO87</f>
        <v>1051.9000000000001</v>
      </c>
      <c r="DN87" s="436">
        <f t="shared" ref="DN87:DN89" si="307">BS87</f>
        <v>751.3</v>
      </c>
      <c r="DO87" s="436">
        <f t="shared" ref="DO87:DO89" si="308">BW87</f>
        <v>823.8</v>
      </c>
      <c r="DP87" s="436">
        <f t="shared" ref="DP87:DP89" si="309">CA87</f>
        <v>1021</v>
      </c>
      <c r="DQ87" s="436">
        <f t="shared" ref="DQ87:DQ89" si="310">CE87</f>
        <v>716.3</v>
      </c>
      <c r="DR87" s="436">
        <f t="shared" ref="DR87:DR89" si="311">CI87</f>
        <v>2124.6</v>
      </c>
      <c r="DS87" s="436">
        <f t="shared" ref="DS87:DS89" si="312">CM87</f>
        <v>2043.6</v>
      </c>
      <c r="DT87" s="436">
        <f t="shared" ref="DT87:DT89" si="313">CQ87</f>
        <v>2103.6999999999998</v>
      </c>
      <c r="DU87" s="436">
        <f t="shared" ref="DU87:DU89" si="314">CU87</f>
        <v>2103.6999999999998</v>
      </c>
      <c r="DV87" s="564">
        <f t="shared" ref="DV87:DW87" si="315">+DU87</f>
        <v>2103.6999999999998</v>
      </c>
      <c r="DW87" s="564">
        <f t="shared" si="315"/>
        <v>2103.6999999999998</v>
      </c>
      <c r="DX87" s="564">
        <f t="shared" ref="DX87:DX88" si="316">+DW87</f>
        <v>2103.6999999999998</v>
      </c>
      <c r="DY87" s="564">
        <f t="shared" ref="DY87:DY88" si="317">+DX87</f>
        <v>2103.6999999999998</v>
      </c>
      <c r="DZ87" s="564">
        <f t="shared" ref="DZ87:DZ88" si="318">+DY87</f>
        <v>2103.6999999999998</v>
      </c>
      <c r="EA87" s="512"/>
      <c r="EB87"/>
      <c r="EC87"/>
      <c r="ED87"/>
      <c r="EE87"/>
      <c r="EF87"/>
      <c r="EG87"/>
    </row>
    <row r="88" spans="1:137" s="410" customFormat="1">
      <c r="A88" s="400"/>
      <c r="B88" s="452" t="s">
        <v>313</v>
      </c>
      <c r="C88" s="658"/>
      <c r="D88" s="636">
        <v>328.8</v>
      </c>
      <c r="E88" s="564">
        <v>329.4</v>
      </c>
      <c r="F88" s="564">
        <v>328.4</v>
      </c>
      <c r="G88" s="572">
        <v>337.4</v>
      </c>
      <c r="H88" s="564">
        <v>336.7</v>
      </c>
      <c r="I88" s="564">
        <v>334.7</v>
      </c>
      <c r="J88" s="564">
        <v>334.2</v>
      </c>
      <c r="K88" s="572">
        <v>326.8</v>
      </c>
      <c r="L88" s="564">
        <v>325.60000000000002</v>
      </c>
      <c r="M88" s="564">
        <v>326.60000000000002</v>
      </c>
      <c r="N88" s="564">
        <v>325.3</v>
      </c>
      <c r="O88" s="572">
        <v>314</v>
      </c>
      <c r="P88" s="564">
        <v>308.10000000000002</v>
      </c>
      <c r="Q88" s="564">
        <v>314.7</v>
      </c>
      <c r="R88" s="564">
        <v>313.2</v>
      </c>
      <c r="S88" s="572">
        <v>318.60000000000002</v>
      </c>
      <c r="T88" s="564">
        <v>332.8</v>
      </c>
      <c r="U88" s="564">
        <v>335.6</v>
      </c>
      <c r="V88" s="564">
        <v>336.2</v>
      </c>
      <c r="W88" s="572">
        <v>343.9</v>
      </c>
      <c r="X88" s="564">
        <v>344.6</v>
      </c>
      <c r="Y88" s="564">
        <v>343.6</v>
      </c>
      <c r="Z88" s="564">
        <v>343</v>
      </c>
      <c r="AA88" s="572">
        <v>345.2</v>
      </c>
      <c r="AB88" s="564">
        <v>346.3</v>
      </c>
      <c r="AC88" s="564">
        <v>345.2</v>
      </c>
      <c r="AD88" s="564">
        <v>348.8</v>
      </c>
      <c r="AE88" s="572">
        <v>393</v>
      </c>
      <c r="AF88" s="564">
        <v>392.9</v>
      </c>
      <c r="AG88" s="564">
        <v>399.8</v>
      </c>
      <c r="AH88" s="564"/>
      <c r="AI88" s="572"/>
      <c r="AJ88" s="564"/>
      <c r="AK88" s="564"/>
      <c r="AL88" s="564"/>
      <c r="AM88" s="572">
        <v>503</v>
      </c>
      <c r="AN88" s="564">
        <v>482.5</v>
      </c>
      <c r="AO88" s="564">
        <v>482.5</v>
      </c>
      <c r="AP88" s="564">
        <v>482.5</v>
      </c>
      <c r="AQ88" s="572">
        <v>498</v>
      </c>
      <c r="AR88" s="564">
        <v>535.4</v>
      </c>
      <c r="AS88" s="564">
        <f>+AR88</f>
        <v>535.4</v>
      </c>
      <c r="AT88" s="564">
        <f>+AS88</f>
        <v>535.4</v>
      </c>
      <c r="AU88" s="572">
        <f>+AT88</f>
        <v>535.4</v>
      </c>
      <c r="AV88" s="564">
        <v>532.79999999999995</v>
      </c>
      <c r="AW88" s="564">
        <v>540</v>
      </c>
      <c r="AX88" s="564">
        <v>544.5</v>
      </c>
      <c r="AY88" s="572">
        <v>660.9</v>
      </c>
      <c r="AZ88" s="564">
        <v>664.8</v>
      </c>
      <c r="BA88" s="564">
        <v>668</v>
      </c>
      <c r="BB88" s="564">
        <v>567</v>
      </c>
      <c r="BC88" s="572">
        <v>500.4</v>
      </c>
      <c r="BD88" s="564">
        <v>507.9</v>
      </c>
      <c r="BE88" s="564">
        <v>502.8</v>
      </c>
      <c r="BF88" s="564">
        <v>436.8</v>
      </c>
      <c r="BG88" s="572">
        <v>543.79999999999995</v>
      </c>
      <c r="BH88" s="564">
        <v>467.8</v>
      </c>
      <c r="BI88" s="564">
        <v>473.4</v>
      </c>
      <c r="BJ88" s="564">
        <v>484.4</v>
      </c>
      <c r="BK88" s="572">
        <v>473.7</v>
      </c>
      <c r="BL88" s="564">
        <f>+DL88</f>
        <v>473.7</v>
      </c>
      <c r="BM88" s="564">
        <f>+BL88</f>
        <v>473.7</v>
      </c>
      <c r="BN88" s="564">
        <f>806-BN89</f>
        <v>531.5</v>
      </c>
      <c r="BO88" s="572">
        <f>+BN88</f>
        <v>531.5</v>
      </c>
      <c r="BP88" s="564">
        <v>447.4</v>
      </c>
      <c r="BQ88" s="564">
        <v>450</v>
      </c>
      <c r="BR88" s="564">
        <f>+BQ88</f>
        <v>450</v>
      </c>
      <c r="BS88" s="572">
        <v>457</v>
      </c>
      <c r="BT88" s="564">
        <v>457</v>
      </c>
      <c r="BU88" s="564">
        <v>443.1</v>
      </c>
      <c r="BV88" s="564">
        <v>449.3</v>
      </c>
      <c r="BW88" s="572">
        <v>509.7</v>
      </c>
      <c r="BX88" s="564">
        <f>+DO88</f>
        <v>509.7</v>
      </c>
      <c r="BY88" s="564">
        <v>502.6</v>
      </c>
      <c r="BZ88" s="564">
        <v>507.7</v>
      </c>
      <c r="CA88" s="572">
        <v>312.89999999999998</v>
      </c>
      <c r="CB88" s="564">
        <v>313.7</v>
      </c>
      <c r="CC88" s="564">
        <v>307.8</v>
      </c>
      <c r="CD88" s="564">
        <v>295.10000000000002</v>
      </c>
      <c r="CE88" s="572">
        <v>326.60000000000002</v>
      </c>
      <c r="CF88" s="564">
        <v>315</v>
      </c>
      <c r="CG88" s="564">
        <v>311</v>
      </c>
      <c r="CH88" s="564">
        <v>306.7</v>
      </c>
      <c r="CI88" s="572">
        <v>312.89999999999998</v>
      </c>
      <c r="CJ88" s="564">
        <f>+DR88</f>
        <v>312.89999999999998</v>
      </c>
      <c r="CK88" s="564">
        <v>302.7</v>
      </c>
      <c r="CL88" s="564">
        <v>293.7</v>
      </c>
      <c r="CM88" s="572">
        <v>294.10000000000002</v>
      </c>
      <c r="CN88" s="564">
        <v>292</v>
      </c>
      <c r="CO88" s="564">
        <v>290.8</v>
      </c>
      <c r="CP88" s="564">
        <v>301.7</v>
      </c>
      <c r="CQ88" s="514">
        <f>CP88</f>
        <v>301.7</v>
      </c>
      <c r="CR88" s="933">
        <f>CQ88</f>
        <v>301.7</v>
      </c>
      <c r="CS88" s="933">
        <f>CR88</f>
        <v>301.7</v>
      </c>
      <c r="CT88" s="933">
        <f>CS88</f>
        <v>301.7</v>
      </c>
      <c r="CU88" s="920">
        <f>CT88</f>
        <v>301.7</v>
      </c>
      <c r="CV88" s="406"/>
      <c r="CW88" s="564">
        <v>325.89999999999998</v>
      </c>
      <c r="CX88" s="436">
        <f t="shared" si="291"/>
        <v>337.4</v>
      </c>
      <c r="CY88" s="436">
        <f t="shared" si="292"/>
        <v>326.8</v>
      </c>
      <c r="CZ88" s="436">
        <f t="shared" si="293"/>
        <v>314</v>
      </c>
      <c r="DA88" s="436">
        <f t="shared" si="294"/>
        <v>318.60000000000002</v>
      </c>
      <c r="DB88" s="436">
        <f t="shared" si="295"/>
        <v>343.9</v>
      </c>
      <c r="DC88" s="436">
        <f t="shared" si="296"/>
        <v>345.2</v>
      </c>
      <c r="DD88" s="436">
        <f t="shared" si="297"/>
        <v>393</v>
      </c>
      <c r="DE88" s="436">
        <f t="shared" si="298"/>
        <v>0</v>
      </c>
      <c r="DF88" s="436">
        <f t="shared" si="299"/>
        <v>503</v>
      </c>
      <c r="DG88" s="436">
        <f t="shared" si="300"/>
        <v>498</v>
      </c>
      <c r="DH88" s="436">
        <f t="shared" si="301"/>
        <v>535.4</v>
      </c>
      <c r="DI88" s="436">
        <f t="shared" si="302"/>
        <v>660.9</v>
      </c>
      <c r="DJ88" s="436">
        <f t="shared" si="303"/>
        <v>500.4</v>
      </c>
      <c r="DK88" s="436">
        <f t="shared" si="304"/>
        <v>543.79999999999995</v>
      </c>
      <c r="DL88" s="436">
        <f t="shared" si="305"/>
        <v>473.7</v>
      </c>
      <c r="DM88" s="436">
        <f t="shared" si="306"/>
        <v>531.5</v>
      </c>
      <c r="DN88" s="436">
        <f t="shared" si="307"/>
        <v>457</v>
      </c>
      <c r="DO88" s="436">
        <f t="shared" si="308"/>
        <v>509.7</v>
      </c>
      <c r="DP88" s="436">
        <f t="shared" si="309"/>
        <v>312.89999999999998</v>
      </c>
      <c r="DQ88" s="436">
        <f t="shared" si="310"/>
        <v>326.60000000000002</v>
      </c>
      <c r="DR88" s="436">
        <f t="shared" si="311"/>
        <v>312.89999999999998</v>
      </c>
      <c r="DS88" s="436">
        <f t="shared" si="312"/>
        <v>294.10000000000002</v>
      </c>
      <c r="DT88" s="436">
        <f t="shared" si="313"/>
        <v>301.7</v>
      </c>
      <c r="DU88" s="436">
        <f t="shared" si="314"/>
        <v>301.7</v>
      </c>
      <c r="DV88" s="564">
        <f>+DU88</f>
        <v>301.7</v>
      </c>
      <c r="DW88" s="564">
        <f>+DV88</f>
        <v>301.7</v>
      </c>
      <c r="DX88" s="564">
        <f t="shared" si="316"/>
        <v>301.7</v>
      </c>
      <c r="DY88" s="564">
        <f t="shared" si="317"/>
        <v>301.7</v>
      </c>
      <c r="DZ88" s="564">
        <f t="shared" si="318"/>
        <v>301.7</v>
      </c>
      <c r="EA88" s="512"/>
      <c r="EB88"/>
      <c r="EC88"/>
      <c r="ED88"/>
      <c r="EE88"/>
      <c r="EF88"/>
      <c r="EG88"/>
    </row>
    <row r="89" spans="1:137" s="410" customFormat="1">
      <c r="A89" s="400"/>
      <c r="B89" s="515" t="s">
        <v>314</v>
      </c>
      <c r="C89" s="899"/>
      <c r="D89" s="638">
        <v>40.6</v>
      </c>
      <c r="E89" s="639">
        <v>43.8</v>
      </c>
      <c r="F89" s="639">
        <v>44.4</v>
      </c>
      <c r="G89" s="640">
        <v>42.2</v>
      </c>
      <c r="H89" s="639">
        <v>50.5</v>
      </c>
      <c r="I89" s="639">
        <v>51.8</v>
      </c>
      <c r="J89" s="639">
        <v>53.3</v>
      </c>
      <c r="K89" s="640">
        <v>43.8</v>
      </c>
      <c r="L89" s="639">
        <v>50.8</v>
      </c>
      <c r="M89" s="639">
        <v>50.1</v>
      </c>
      <c r="N89" s="639">
        <v>50.4</v>
      </c>
      <c r="O89" s="640">
        <v>42.3</v>
      </c>
      <c r="P89" s="639">
        <v>62</v>
      </c>
      <c r="Q89" s="639">
        <v>62.5</v>
      </c>
      <c r="R89" s="639">
        <v>65.3</v>
      </c>
      <c r="S89" s="640">
        <v>47.6</v>
      </c>
      <c r="T89" s="639">
        <v>46.5</v>
      </c>
      <c r="U89" s="639">
        <v>49.6</v>
      </c>
      <c r="V89" s="639">
        <v>48.2</v>
      </c>
      <c r="W89" s="640">
        <f>54.4+8.8</f>
        <v>63.2</v>
      </c>
      <c r="X89" s="639">
        <v>58.8</v>
      </c>
      <c r="Y89" s="639">
        <v>61.4</v>
      </c>
      <c r="Z89" s="639">
        <v>62.4</v>
      </c>
      <c r="AA89" s="640">
        <v>72.2</v>
      </c>
      <c r="AB89" s="639">
        <v>62.4</v>
      </c>
      <c r="AC89" s="639">
        <v>55.4</v>
      </c>
      <c r="AD89" s="639">
        <v>53.7</v>
      </c>
      <c r="AE89" s="640">
        <v>105.9</v>
      </c>
      <c r="AF89" s="639">
        <v>108</v>
      </c>
      <c r="AG89" s="639">
        <v>116.4</v>
      </c>
      <c r="AH89" s="639">
        <v>528.1</v>
      </c>
      <c r="AI89" s="640">
        <v>478.3</v>
      </c>
      <c r="AJ89" s="639">
        <f>481.6+126.1</f>
        <v>607.70000000000005</v>
      </c>
      <c r="AK89" s="639">
        <v>616.20000000000005</v>
      </c>
      <c r="AL89" s="639">
        <v>623.20000000000005</v>
      </c>
      <c r="AM89" s="640">
        <v>154</v>
      </c>
      <c r="AN89" s="639">
        <v>134.6</v>
      </c>
      <c r="AO89" s="639">
        <f>663.5-AO88</f>
        <v>181</v>
      </c>
      <c r="AP89" s="639">
        <f>692.1-AP88</f>
        <v>209.60000000000002</v>
      </c>
      <c r="AQ89" s="640">
        <v>242.9</v>
      </c>
      <c r="AR89" s="639">
        <v>317.39999999999998</v>
      </c>
      <c r="AS89" s="639">
        <f>821.2-AS88</f>
        <v>285.80000000000007</v>
      </c>
      <c r="AT89" s="639">
        <f>824.7-AT88</f>
        <v>289.30000000000007</v>
      </c>
      <c r="AU89" s="640">
        <f>754.4-AU88</f>
        <v>219</v>
      </c>
      <c r="AV89" s="639">
        <f>751.3-AV88</f>
        <v>218.5</v>
      </c>
      <c r="AW89" s="639">
        <f>779.5-AW88</f>
        <v>239.5</v>
      </c>
      <c r="AX89" s="639">
        <v>222.9</v>
      </c>
      <c r="AY89" s="640">
        <v>281.39999999999998</v>
      </c>
      <c r="AZ89" s="639">
        <v>302.2</v>
      </c>
      <c r="BA89" s="639">
        <v>315.39999999999998</v>
      </c>
      <c r="BB89" s="639">
        <v>324.60000000000002</v>
      </c>
      <c r="BC89" s="640">
        <v>362.6</v>
      </c>
      <c r="BD89" s="639">
        <v>394.8</v>
      </c>
      <c r="BE89" s="639">
        <f>181.8+388.3</f>
        <v>570.1</v>
      </c>
      <c r="BF89" s="639">
        <f>344.9+47.9</f>
        <v>392.79999999999995</v>
      </c>
      <c r="BG89" s="640">
        <v>353.1</v>
      </c>
      <c r="BH89" s="639">
        <v>321.5</v>
      </c>
      <c r="BI89" s="639">
        <v>303.5</v>
      </c>
      <c r="BJ89" s="639">
        <v>310.60000000000002</v>
      </c>
      <c r="BK89" s="640">
        <v>295.60000000000002</v>
      </c>
      <c r="BL89" s="639">
        <f>764.3-BL88</f>
        <v>290.59999999999997</v>
      </c>
      <c r="BM89" s="639">
        <f>748.2-BM88</f>
        <v>274.50000000000006</v>
      </c>
      <c r="BN89" s="639">
        <f>+BM89</f>
        <v>274.50000000000006</v>
      </c>
      <c r="BO89" s="640">
        <f>801-BO88</f>
        <v>269.5</v>
      </c>
      <c r="BP89" s="639">
        <v>413.8</v>
      </c>
      <c r="BQ89" s="639">
        <v>421.4</v>
      </c>
      <c r="BR89" s="639">
        <f>837.3-BR88</f>
        <v>387.29999999999995</v>
      </c>
      <c r="BS89" s="640">
        <v>391.9</v>
      </c>
      <c r="BT89" s="639">
        <v>373.6</v>
      </c>
      <c r="BU89" s="639">
        <v>373.6</v>
      </c>
      <c r="BV89" s="639">
        <v>357</v>
      </c>
      <c r="BW89" s="640">
        <v>318.10000000000002</v>
      </c>
      <c r="BX89" s="639">
        <f>812.7-BX88</f>
        <v>303.00000000000006</v>
      </c>
      <c r="BY89" s="639">
        <v>316.89999999999998</v>
      </c>
      <c r="BZ89" s="639">
        <v>328.6</v>
      </c>
      <c r="CA89" s="640">
        <v>326.8</v>
      </c>
      <c r="CB89" s="639">
        <v>368.3</v>
      </c>
      <c r="CC89" s="639">
        <v>380.6</v>
      </c>
      <c r="CD89" s="639">
        <v>358.4</v>
      </c>
      <c r="CE89" s="640">
        <v>326</v>
      </c>
      <c r="CF89" s="639">
        <v>313</v>
      </c>
      <c r="CG89" s="639">
        <v>336.5</v>
      </c>
      <c r="CH89" s="639">
        <v>318.2</v>
      </c>
      <c r="CI89" s="640">
        <v>415.2</v>
      </c>
      <c r="CJ89" s="639">
        <f>737.3-CJ88</f>
        <v>424.4</v>
      </c>
      <c r="CK89" s="639">
        <v>410.5</v>
      </c>
      <c r="CL89" s="639">
        <f>387.9+95.3</f>
        <v>483.2</v>
      </c>
      <c r="CM89" s="572">
        <f>275.7+827.6</f>
        <v>1103.3</v>
      </c>
      <c r="CN89" s="564">
        <f>306.7+813.8</f>
        <v>1120.5</v>
      </c>
      <c r="CO89" s="564">
        <f>800.6+321.2</f>
        <v>1121.8</v>
      </c>
      <c r="CP89" s="639">
        <f>786+339.1</f>
        <v>1125.0999999999999</v>
      </c>
      <c r="CQ89" s="1162">
        <f>1432.8-CQ88</f>
        <v>1131.0999999999999</v>
      </c>
      <c r="CR89" s="932">
        <f>CQ89+CR139+CR131+CR132+CR143+CR145</f>
        <v>1130.5545040315531</v>
      </c>
      <c r="CS89" s="932">
        <f>CR89+CS139+CS131+CS132+CS143+CS145</f>
        <v>1154.3508968947556</v>
      </c>
      <c r="CT89" s="932">
        <f>CS89+CT139+CT131+CT132+CT143+CT145</f>
        <v>1153.3220723825309</v>
      </c>
      <c r="CU89" s="919">
        <f>CT89+CU139+CU131+CU132+CU143+CU145</f>
        <v>1167.0046553781638</v>
      </c>
      <c r="CV89" s="406"/>
      <c r="CW89" s="639">
        <v>41.7</v>
      </c>
      <c r="CX89" s="443">
        <f t="shared" si="291"/>
        <v>42.2</v>
      </c>
      <c r="CY89" s="443">
        <f t="shared" si="292"/>
        <v>43.8</v>
      </c>
      <c r="CZ89" s="443">
        <f t="shared" si="293"/>
        <v>42.3</v>
      </c>
      <c r="DA89" s="443">
        <f t="shared" si="294"/>
        <v>47.6</v>
      </c>
      <c r="DB89" s="443">
        <f t="shared" si="295"/>
        <v>63.2</v>
      </c>
      <c r="DC89" s="443">
        <f t="shared" si="296"/>
        <v>72.2</v>
      </c>
      <c r="DD89" s="443">
        <f t="shared" si="297"/>
        <v>105.9</v>
      </c>
      <c r="DE89" s="443">
        <f t="shared" si="298"/>
        <v>478.3</v>
      </c>
      <c r="DF89" s="443">
        <f t="shared" si="299"/>
        <v>154</v>
      </c>
      <c r="DG89" s="443">
        <f t="shared" si="300"/>
        <v>242.9</v>
      </c>
      <c r="DH89" s="443">
        <f t="shared" si="301"/>
        <v>219</v>
      </c>
      <c r="DI89" s="443">
        <f t="shared" si="302"/>
        <v>281.39999999999998</v>
      </c>
      <c r="DJ89" s="443">
        <f t="shared" si="303"/>
        <v>362.6</v>
      </c>
      <c r="DK89" s="443">
        <f t="shared" si="304"/>
        <v>353.1</v>
      </c>
      <c r="DL89" s="443">
        <f t="shared" si="305"/>
        <v>295.60000000000002</v>
      </c>
      <c r="DM89" s="443">
        <f t="shared" si="306"/>
        <v>269.5</v>
      </c>
      <c r="DN89" s="443">
        <f t="shared" si="307"/>
        <v>391.9</v>
      </c>
      <c r="DO89" s="443">
        <f t="shared" si="308"/>
        <v>318.10000000000002</v>
      </c>
      <c r="DP89" s="443">
        <f t="shared" si="309"/>
        <v>326.8</v>
      </c>
      <c r="DQ89" s="443">
        <f t="shared" si="310"/>
        <v>326</v>
      </c>
      <c r="DR89" s="443">
        <f t="shared" si="311"/>
        <v>415.2</v>
      </c>
      <c r="DS89" s="443">
        <f t="shared" si="312"/>
        <v>1103.3</v>
      </c>
      <c r="DT89" s="443">
        <f t="shared" si="313"/>
        <v>1131.0999999999999</v>
      </c>
      <c r="DU89" s="443">
        <f t="shared" si="314"/>
        <v>1167.0046553781638</v>
      </c>
      <c r="DV89" s="444">
        <f t="shared" ref="DV89:DW89" si="319">DU89+DV139+DV131+DV132+DV143+DV145</f>
        <v>1230.0200290809273</v>
      </c>
      <c r="DW89" s="444">
        <f t="shared" si="319"/>
        <v>1294.4257817787716</v>
      </c>
      <c r="DX89" s="444">
        <f t="shared" ref="DX89:DZ89" si="320">DW89+DX139+DX131+DX132+DX143+DX145</f>
        <v>1359.8049133516477</v>
      </c>
      <c r="DY89" s="444">
        <f t="shared" si="320"/>
        <v>1425.2616637480764</v>
      </c>
      <c r="DZ89" s="444">
        <f t="shared" si="320"/>
        <v>1489.787963966312</v>
      </c>
      <c r="EA89" s="512"/>
      <c r="EB89"/>
      <c r="EC89"/>
      <c r="ED89"/>
      <c r="EE89"/>
      <c r="EF89"/>
      <c r="EG89"/>
    </row>
    <row r="90" spans="1:137" s="673" customFormat="1">
      <c r="A90" s="400"/>
      <c r="B90" s="520" t="s">
        <v>356</v>
      </c>
      <c r="C90" s="658"/>
      <c r="D90" s="521">
        <f>SUM(D87:D89)</f>
        <v>475.5</v>
      </c>
      <c r="E90" s="522">
        <f t="shared" ref="E90:BP90" si="321">SUM(E87:E89)</f>
        <v>517.09999999999991</v>
      </c>
      <c r="F90" s="522">
        <f t="shared" si="321"/>
        <v>511.9</v>
      </c>
      <c r="G90" s="523">
        <f t="shared" si="321"/>
        <v>482.7</v>
      </c>
      <c r="H90" s="522">
        <f t="shared" si="321"/>
        <v>477</v>
      </c>
      <c r="I90" s="522">
        <f t="shared" si="321"/>
        <v>699.5</v>
      </c>
      <c r="J90" s="522">
        <f t="shared" si="321"/>
        <v>739.5</v>
      </c>
      <c r="K90" s="523">
        <f t="shared" si="321"/>
        <v>649.9</v>
      </c>
      <c r="L90" s="522">
        <f t="shared" si="321"/>
        <v>640.4</v>
      </c>
      <c r="M90" s="522">
        <f t="shared" si="321"/>
        <v>633.4</v>
      </c>
      <c r="N90" s="522">
        <f t="shared" si="321"/>
        <v>620.5</v>
      </c>
      <c r="O90" s="523">
        <f t="shared" si="321"/>
        <v>626.69999999999993</v>
      </c>
      <c r="P90" s="522">
        <f t="shared" si="321"/>
        <v>683.40000000000009</v>
      </c>
      <c r="Q90" s="522">
        <f t="shared" si="321"/>
        <v>707.2</v>
      </c>
      <c r="R90" s="522">
        <f t="shared" si="321"/>
        <v>684</v>
      </c>
      <c r="S90" s="523">
        <f t="shared" si="321"/>
        <v>614.70000000000005</v>
      </c>
      <c r="T90" s="522">
        <f t="shared" si="321"/>
        <v>1230.4000000000001</v>
      </c>
      <c r="U90" s="522">
        <f t="shared" si="321"/>
        <v>1194.1999999999998</v>
      </c>
      <c r="V90" s="522">
        <f t="shared" si="321"/>
        <v>1161.8</v>
      </c>
      <c r="W90" s="523">
        <f t="shared" si="321"/>
        <v>1253.3999999999999</v>
      </c>
      <c r="X90" s="522">
        <f t="shared" si="321"/>
        <v>1170.7</v>
      </c>
      <c r="Y90" s="522">
        <f t="shared" si="321"/>
        <v>1226.1000000000001</v>
      </c>
      <c r="Z90" s="522">
        <f t="shared" si="321"/>
        <v>1231.2</v>
      </c>
      <c r="AA90" s="523">
        <f t="shared" si="321"/>
        <v>1157.8</v>
      </c>
      <c r="AB90" s="522">
        <f t="shared" si="321"/>
        <v>1147.9000000000001</v>
      </c>
      <c r="AC90" s="522">
        <f t="shared" si="321"/>
        <v>1107.7</v>
      </c>
      <c r="AD90" s="522">
        <f t="shared" si="321"/>
        <v>1098.1000000000001</v>
      </c>
      <c r="AE90" s="523">
        <f t="shared" si="321"/>
        <v>1200.3000000000002</v>
      </c>
      <c r="AF90" s="522">
        <f t="shared" si="321"/>
        <v>1144.0999999999999</v>
      </c>
      <c r="AG90" s="522">
        <f t="shared" si="321"/>
        <v>1167.3000000000002</v>
      </c>
      <c r="AH90" s="522">
        <f t="shared" si="321"/>
        <v>1176.4000000000001</v>
      </c>
      <c r="AI90" s="523">
        <f t="shared" si="321"/>
        <v>1235.8</v>
      </c>
      <c r="AJ90" s="522">
        <f t="shared" si="321"/>
        <v>1241.3000000000002</v>
      </c>
      <c r="AK90" s="522">
        <f t="shared" si="321"/>
        <v>1243.8000000000002</v>
      </c>
      <c r="AL90" s="522">
        <f t="shared" si="321"/>
        <v>1258.2</v>
      </c>
      <c r="AM90" s="523">
        <f t="shared" si="321"/>
        <v>1291</v>
      </c>
      <c r="AN90" s="522">
        <f t="shared" si="321"/>
        <v>1220.1999999999998</v>
      </c>
      <c r="AO90" s="522">
        <f t="shared" si="321"/>
        <v>1237.4000000000001</v>
      </c>
      <c r="AP90" s="522">
        <f t="shared" si="321"/>
        <v>1275.0999999999999</v>
      </c>
      <c r="AQ90" s="523">
        <f t="shared" si="321"/>
        <v>1308.9000000000001</v>
      </c>
      <c r="AR90" s="522">
        <f t="shared" si="321"/>
        <v>1537.5</v>
      </c>
      <c r="AS90" s="522">
        <f t="shared" si="321"/>
        <v>1464.8000000000002</v>
      </c>
      <c r="AT90" s="522">
        <f t="shared" si="321"/>
        <v>1451.3000000000002</v>
      </c>
      <c r="AU90" s="523">
        <f t="shared" si="321"/>
        <v>1195</v>
      </c>
      <c r="AV90" s="522">
        <f t="shared" si="321"/>
        <v>1262.1999999999998</v>
      </c>
      <c r="AW90" s="522">
        <f t="shared" si="321"/>
        <v>1231</v>
      </c>
      <c r="AX90" s="522">
        <f t="shared" si="321"/>
        <v>1279.9000000000001</v>
      </c>
      <c r="AY90" s="523">
        <f t="shared" si="321"/>
        <v>1511.6999999999998</v>
      </c>
      <c r="AZ90" s="522">
        <f t="shared" si="321"/>
        <v>1548.6000000000001</v>
      </c>
      <c r="BA90" s="522">
        <f t="shared" si="321"/>
        <v>1541</v>
      </c>
      <c r="BB90" s="522">
        <f t="shared" si="321"/>
        <v>1456</v>
      </c>
      <c r="BC90" s="523">
        <f t="shared" si="321"/>
        <v>1435.6</v>
      </c>
      <c r="BD90" s="522">
        <f t="shared" si="321"/>
        <v>1349.3999999999999</v>
      </c>
      <c r="BE90" s="522">
        <f t="shared" si="321"/>
        <v>1504</v>
      </c>
      <c r="BF90" s="522">
        <f t="shared" si="321"/>
        <v>1260.9000000000001</v>
      </c>
      <c r="BG90" s="523">
        <f t="shared" si="321"/>
        <v>1356.5</v>
      </c>
      <c r="BH90" s="522">
        <f t="shared" si="321"/>
        <v>1255.8</v>
      </c>
      <c r="BI90" s="522">
        <f t="shared" si="321"/>
        <v>1543.1</v>
      </c>
      <c r="BJ90" s="522">
        <f t="shared" si="321"/>
        <v>1565.9</v>
      </c>
      <c r="BK90" s="523">
        <f t="shared" si="321"/>
        <v>1542.5</v>
      </c>
      <c r="BL90" s="522">
        <f t="shared" si="321"/>
        <v>1538.3</v>
      </c>
      <c r="BM90" s="522">
        <f t="shared" si="321"/>
        <v>1528.8</v>
      </c>
      <c r="BN90" s="522">
        <f t="shared" si="321"/>
        <v>1851.1</v>
      </c>
      <c r="BO90" s="523">
        <f t="shared" si="321"/>
        <v>1852.9</v>
      </c>
      <c r="BP90" s="522">
        <f t="shared" si="321"/>
        <v>2120.7000000000003</v>
      </c>
      <c r="BQ90" s="522">
        <f t="shared" ref="BQ90:CP90" si="322">SUM(BQ87:BQ89)</f>
        <v>1790.9</v>
      </c>
      <c r="BR90" s="522">
        <f t="shared" si="322"/>
        <v>1704.5</v>
      </c>
      <c r="BS90" s="523">
        <f t="shared" si="322"/>
        <v>1600.1999999999998</v>
      </c>
      <c r="BT90" s="522">
        <f t="shared" si="322"/>
        <v>1679.3000000000002</v>
      </c>
      <c r="BU90" s="522">
        <f t="shared" si="322"/>
        <v>1772.9</v>
      </c>
      <c r="BV90" s="522">
        <f t="shared" si="322"/>
        <v>1672.6</v>
      </c>
      <c r="BW90" s="523">
        <f t="shared" si="322"/>
        <v>1651.6</v>
      </c>
      <c r="BX90" s="522">
        <f t="shared" si="322"/>
        <v>1784.1</v>
      </c>
      <c r="BY90" s="522">
        <f t="shared" si="322"/>
        <v>1732.8000000000002</v>
      </c>
      <c r="BZ90" s="522">
        <f t="shared" si="322"/>
        <v>1854.9</v>
      </c>
      <c r="CA90" s="523">
        <f t="shared" si="322"/>
        <v>1660.7</v>
      </c>
      <c r="CB90" s="522">
        <f t="shared" si="322"/>
        <v>1709.6</v>
      </c>
      <c r="CC90" s="522">
        <f t="shared" si="322"/>
        <v>1392.6</v>
      </c>
      <c r="CD90" s="522">
        <f t="shared" si="322"/>
        <v>1359.3</v>
      </c>
      <c r="CE90" s="523">
        <f t="shared" si="322"/>
        <v>1368.9</v>
      </c>
      <c r="CF90" s="522">
        <f t="shared" si="322"/>
        <v>2358.6</v>
      </c>
      <c r="CG90" s="522">
        <f t="shared" si="322"/>
        <v>2379.1999999999998</v>
      </c>
      <c r="CH90" s="522">
        <f t="shared" si="322"/>
        <v>2359.4</v>
      </c>
      <c r="CI90" s="523">
        <f t="shared" si="322"/>
        <v>2852.7</v>
      </c>
      <c r="CJ90" s="522">
        <f t="shared" si="322"/>
        <v>2869.2000000000003</v>
      </c>
      <c r="CK90" s="522">
        <f t="shared" si="322"/>
        <v>2832.7</v>
      </c>
      <c r="CL90" s="522">
        <f t="shared" si="322"/>
        <v>2866.7999999999997</v>
      </c>
      <c r="CM90" s="671">
        <f t="shared" si="322"/>
        <v>3441</v>
      </c>
      <c r="CN90" s="672">
        <f t="shared" si="322"/>
        <v>3452.8</v>
      </c>
      <c r="CO90" s="672">
        <f t="shared" si="322"/>
        <v>3490.5</v>
      </c>
      <c r="CP90" s="522">
        <f t="shared" si="322"/>
        <v>3518.7</v>
      </c>
      <c r="CQ90" s="523">
        <f t="shared" ref="CQ90" si="323">SUM(CQ87:CQ89)</f>
        <v>3536.4999999999995</v>
      </c>
      <c r="CR90" s="944">
        <f t="shared" ref="CR90:CU90" si="324">SUM(CR87:CR89)</f>
        <v>3535.9545040315525</v>
      </c>
      <c r="CS90" s="944">
        <f t="shared" si="324"/>
        <v>3559.750896894755</v>
      </c>
      <c r="CT90" s="944">
        <f t="shared" si="324"/>
        <v>3558.7220723825303</v>
      </c>
      <c r="CU90" s="923">
        <f t="shared" si="324"/>
        <v>3572.4046553781636</v>
      </c>
      <c r="CV90" s="537"/>
      <c r="CW90" s="522">
        <f t="shared" ref="CW90:CX90" si="325">SUM(CW87:CW89)</f>
        <v>454.4</v>
      </c>
      <c r="CX90" s="522">
        <f t="shared" si="325"/>
        <v>482.7</v>
      </c>
      <c r="CY90" s="522">
        <f t="shared" ref="CY90" si="326">SUM(CY87:CY89)</f>
        <v>649.9</v>
      </c>
      <c r="CZ90" s="522">
        <f t="shared" ref="CZ90" si="327">SUM(CZ87:CZ89)</f>
        <v>626.69999999999993</v>
      </c>
      <c r="DA90" s="522">
        <f t="shared" ref="DA90" si="328">SUM(DA87:DA89)</f>
        <v>614.70000000000005</v>
      </c>
      <c r="DB90" s="522">
        <f t="shared" ref="DB90" si="329">SUM(DB87:DB89)</f>
        <v>1253.3999999999999</v>
      </c>
      <c r="DC90" s="522">
        <f t="shared" ref="DC90" si="330">SUM(DC87:DC89)</f>
        <v>1157.8</v>
      </c>
      <c r="DD90" s="522">
        <f t="shared" ref="DD90" si="331">SUM(DD87:DD89)</f>
        <v>1200.3000000000002</v>
      </c>
      <c r="DE90" s="522">
        <f t="shared" ref="DE90" si="332">SUM(DE87:DE89)</f>
        <v>1235.8</v>
      </c>
      <c r="DF90" s="522">
        <f t="shared" ref="DF90" si="333">SUM(DF87:DF89)</f>
        <v>1291</v>
      </c>
      <c r="DG90" s="522">
        <f t="shared" ref="DG90" si="334">SUM(DG87:DG89)</f>
        <v>1308.9000000000001</v>
      </c>
      <c r="DH90" s="522">
        <f t="shared" ref="DH90" si="335">SUM(DH87:DH89)</f>
        <v>1195</v>
      </c>
      <c r="DI90" s="522">
        <f t="shared" ref="DI90" si="336">SUM(DI87:DI89)</f>
        <v>1511.6999999999998</v>
      </c>
      <c r="DJ90" s="522">
        <f t="shared" ref="DJ90" si="337">SUM(DJ87:DJ89)</f>
        <v>1435.6</v>
      </c>
      <c r="DK90" s="522">
        <f t="shared" ref="DK90" si="338">SUM(DK87:DK89)</f>
        <v>1356.5</v>
      </c>
      <c r="DL90" s="522">
        <f t="shared" ref="DL90" si="339">SUM(DL87:DL89)</f>
        <v>1542.5</v>
      </c>
      <c r="DM90" s="522">
        <f t="shared" ref="DM90" si="340">SUM(DM87:DM89)</f>
        <v>1852.9</v>
      </c>
      <c r="DN90" s="522">
        <f t="shared" ref="DN90" si="341">SUM(DN87:DN89)</f>
        <v>1600.1999999999998</v>
      </c>
      <c r="DO90" s="522">
        <f t="shared" ref="DO90" si="342">SUM(DO87:DO89)</f>
        <v>1651.6</v>
      </c>
      <c r="DP90" s="522">
        <f t="shared" ref="DP90" si="343">SUM(DP87:DP89)</f>
        <v>1660.7</v>
      </c>
      <c r="DQ90" s="522">
        <f t="shared" ref="DQ90" si="344">SUM(DQ87:DQ89)</f>
        <v>1368.9</v>
      </c>
      <c r="DR90" s="522">
        <f t="shared" ref="DR90" si="345">SUM(DR87:DR89)</f>
        <v>2852.7</v>
      </c>
      <c r="DS90" s="522">
        <f t="shared" ref="DS90" si="346">SUM(DS87:DS89)</f>
        <v>3441</v>
      </c>
      <c r="DT90" s="522">
        <f t="shared" ref="DT90" si="347">SUM(DT87:DT89)</f>
        <v>3536.4999999999995</v>
      </c>
      <c r="DU90" s="522">
        <f t="shared" ref="DU90" si="348">SUM(DU87:DU89)</f>
        <v>3572.4046553781636</v>
      </c>
      <c r="DV90" s="522">
        <f t="shared" ref="DV90" si="349">SUM(DV87:DV89)</f>
        <v>3635.4200290809267</v>
      </c>
      <c r="DW90" s="522">
        <f t="shared" ref="DW90:DZ90" si="350">SUM(DW87:DW89)</f>
        <v>3699.8257817787712</v>
      </c>
      <c r="DX90" s="522">
        <f t="shared" si="350"/>
        <v>3765.2049133516475</v>
      </c>
      <c r="DY90" s="522">
        <f t="shared" si="350"/>
        <v>3830.6616637480761</v>
      </c>
      <c r="DZ90" s="522">
        <f t="shared" si="350"/>
        <v>3895.1879639663116</v>
      </c>
      <c r="EA90" s="558"/>
      <c r="EB90"/>
      <c r="EC90"/>
      <c r="ED90"/>
      <c r="EE90"/>
      <c r="EF90"/>
      <c r="EG90"/>
    </row>
    <row r="91" spans="1:137" s="410" customFormat="1">
      <c r="A91" s="400"/>
      <c r="B91" s="452"/>
      <c r="C91" s="658"/>
      <c r="D91" s="530"/>
      <c r="E91" s="510"/>
      <c r="F91" s="510"/>
      <c r="G91" s="511"/>
      <c r="H91" s="452"/>
      <c r="I91" s="452"/>
      <c r="J91" s="452"/>
      <c r="K91" s="514"/>
      <c r="L91" s="452"/>
      <c r="M91" s="452"/>
      <c r="N91" s="452"/>
      <c r="O91" s="514"/>
      <c r="P91" s="452"/>
      <c r="Q91" s="452"/>
      <c r="R91" s="452"/>
      <c r="S91" s="514"/>
      <c r="T91" s="452"/>
      <c r="U91" s="452"/>
      <c r="V91" s="452"/>
      <c r="W91" s="514"/>
      <c r="X91" s="452"/>
      <c r="Y91" s="452"/>
      <c r="Z91" s="452"/>
      <c r="AA91" s="514"/>
      <c r="AB91" s="452"/>
      <c r="AC91" s="452"/>
      <c r="AD91" s="452"/>
      <c r="AE91" s="514"/>
      <c r="AF91" s="452"/>
      <c r="AG91" s="452"/>
      <c r="AH91" s="452"/>
      <c r="AI91" s="514"/>
      <c r="AJ91" s="452"/>
      <c r="AK91" s="452"/>
      <c r="AL91" s="452"/>
      <c r="AM91" s="514"/>
      <c r="AN91" s="452"/>
      <c r="AO91" s="452"/>
      <c r="AP91" s="452"/>
      <c r="AQ91" s="514"/>
      <c r="AR91" s="452"/>
      <c r="AS91" s="452"/>
      <c r="AT91" s="452"/>
      <c r="AU91" s="514"/>
      <c r="AV91" s="452"/>
      <c r="AW91" s="452"/>
      <c r="AX91" s="452"/>
      <c r="AY91" s="514"/>
      <c r="AZ91" s="452"/>
      <c r="BA91" s="452"/>
      <c r="BB91" s="452"/>
      <c r="BC91" s="514"/>
      <c r="BD91" s="452"/>
      <c r="BE91" s="452"/>
      <c r="BF91" s="452"/>
      <c r="BG91" s="514"/>
      <c r="BH91" s="452"/>
      <c r="BI91" s="452"/>
      <c r="BJ91" s="452"/>
      <c r="BK91" s="514"/>
      <c r="BL91" s="452"/>
      <c r="BM91" s="452"/>
      <c r="BN91" s="452"/>
      <c r="BO91" s="514"/>
      <c r="BP91" s="452"/>
      <c r="BQ91" s="452"/>
      <c r="BR91" s="452"/>
      <c r="BS91" s="514"/>
      <c r="BT91" s="452"/>
      <c r="BU91" s="452"/>
      <c r="BV91" s="452"/>
      <c r="BW91" s="514"/>
      <c r="BX91" s="452"/>
      <c r="BY91" s="452"/>
      <c r="BZ91" s="452"/>
      <c r="CA91" s="514"/>
      <c r="CB91" s="452"/>
      <c r="CC91" s="452"/>
      <c r="CD91" s="452"/>
      <c r="CE91" s="514"/>
      <c r="CF91" s="452"/>
      <c r="CG91" s="452"/>
      <c r="CH91" s="452"/>
      <c r="CI91" s="514"/>
      <c r="CJ91" s="452"/>
      <c r="CK91" s="452"/>
      <c r="CL91" s="452"/>
      <c r="CM91" s="514"/>
      <c r="CN91" s="452"/>
      <c r="CO91" s="452"/>
      <c r="CP91" s="452"/>
      <c r="CQ91" s="514"/>
      <c r="CR91" s="932"/>
      <c r="CS91" s="932"/>
      <c r="CT91" s="932"/>
      <c r="CU91" s="919"/>
      <c r="CV91" s="406"/>
      <c r="CW91" s="531"/>
      <c r="CX91" s="452"/>
      <c r="CY91" s="452"/>
      <c r="CZ91" s="452"/>
      <c r="DA91" s="452"/>
      <c r="DB91" s="452"/>
      <c r="DC91" s="452"/>
      <c r="DD91" s="452"/>
      <c r="DE91" s="452"/>
      <c r="DF91" s="452"/>
      <c r="DG91" s="452"/>
      <c r="DH91" s="452"/>
      <c r="DI91" s="452"/>
      <c r="DJ91" s="452"/>
      <c r="DK91" s="452"/>
      <c r="DL91" s="452"/>
      <c r="DM91" s="452"/>
      <c r="DN91" s="452"/>
      <c r="DO91" s="452"/>
      <c r="DP91" s="452"/>
      <c r="DQ91" s="452"/>
      <c r="DR91" s="452"/>
      <c r="DS91" s="452"/>
      <c r="DT91" s="452"/>
      <c r="DU91" s="452"/>
      <c r="DV91" s="452"/>
      <c r="DW91" s="452"/>
      <c r="DX91" s="452"/>
      <c r="DY91" s="452"/>
      <c r="DZ91" s="452"/>
      <c r="EA91" s="436"/>
      <c r="EB91"/>
      <c r="EC91"/>
      <c r="ED91"/>
      <c r="EE91"/>
      <c r="EF91"/>
      <c r="EG91"/>
    </row>
    <row r="92" spans="1:137" s="410" customFormat="1">
      <c r="A92" s="400"/>
      <c r="B92" s="452" t="s">
        <v>87</v>
      </c>
      <c r="C92" s="658"/>
      <c r="D92" s="636">
        <v>1.6</v>
      </c>
      <c r="E92" s="564"/>
      <c r="F92" s="564"/>
      <c r="G92" s="572"/>
      <c r="H92" s="564"/>
      <c r="I92" s="564"/>
      <c r="J92" s="564"/>
      <c r="K92" s="572">
        <v>7</v>
      </c>
      <c r="L92" s="564"/>
      <c r="M92" s="564"/>
      <c r="N92" s="564"/>
      <c r="O92" s="572">
        <v>20.7</v>
      </c>
      <c r="P92" s="564"/>
      <c r="Q92" s="564"/>
      <c r="R92" s="564"/>
      <c r="S92" s="572"/>
      <c r="T92" s="564"/>
      <c r="U92" s="564"/>
      <c r="V92" s="564"/>
      <c r="W92" s="572"/>
      <c r="X92" s="564"/>
      <c r="Y92" s="564"/>
      <c r="Z92" s="564"/>
      <c r="AA92" s="572">
        <v>10.3</v>
      </c>
      <c r="AB92" s="564"/>
      <c r="AC92" s="564">
        <v>9</v>
      </c>
      <c r="AD92" s="564">
        <v>10</v>
      </c>
      <c r="AE92" s="572">
        <v>11.4</v>
      </c>
      <c r="AF92" s="564">
        <v>8.5</v>
      </c>
      <c r="AG92" s="564">
        <v>10.8</v>
      </c>
      <c r="AH92" s="564"/>
      <c r="AI92" s="572">
        <v>14.5</v>
      </c>
      <c r="AJ92" s="564">
        <v>10.199999999999999</v>
      </c>
      <c r="AK92" s="564">
        <v>12.9</v>
      </c>
      <c r="AL92" s="564">
        <v>15</v>
      </c>
      <c r="AM92" s="572">
        <v>17.2</v>
      </c>
      <c r="AN92" s="564">
        <v>15.1</v>
      </c>
      <c r="AO92" s="564"/>
      <c r="AP92" s="564"/>
      <c r="AQ92" s="572">
        <v>22.2</v>
      </c>
      <c r="AR92" s="564">
        <v>123</v>
      </c>
      <c r="AS92" s="564">
        <v>130.5</v>
      </c>
      <c r="AT92" s="564">
        <v>129.4</v>
      </c>
      <c r="AU92" s="572">
        <v>136.1</v>
      </c>
      <c r="AV92" s="564">
        <v>132.9</v>
      </c>
      <c r="AW92" s="564">
        <v>139.5</v>
      </c>
      <c r="AX92" s="564">
        <v>144</v>
      </c>
      <c r="AY92" s="572">
        <v>162.1</v>
      </c>
      <c r="AZ92" s="564">
        <v>152.4</v>
      </c>
      <c r="BA92" s="564">
        <v>161.4</v>
      </c>
      <c r="BB92" s="564">
        <v>169.2</v>
      </c>
      <c r="BC92" s="572">
        <v>117.9</v>
      </c>
      <c r="BD92" s="564">
        <v>122</v>
      </c>
      <c r="BE92" s="564">
        <v>34.1</v>
      </c>
      <c r="BF92" s="564">
        <v>30.5</v>
      </c>
      <c r="BG92" s="572">
        <v>31.5</v>
      </c>
      <c r="BH92" s="564">
        <v>25.9</v>
      </c>
      <c r="BI92" s="564">
        <v>25.2</v>
      </c>
      <c r="BJ92" s="564">
        <v>33.5</v>
      </c>
      <c r="BK92" s="572">
        <v>37.4</v>
      </c>
      <c r="BL92" s="564">
        <v>38.6</v>
      </c>
      <c r="BM92" s="564">
        <v>42</v>
      </c>
      <c r="BN92" s="564">
        <v>49.1</v>
      </c>
      <c r="BO92" s="572">
        <v>51.2</v>
      </c>
      <c r="BP92" s="564">
        <v>47.4</v>
      </c>
      <c r="BQ92" s="564">
        <v>67.599999999999994</v>
      </c>
      <c r="BR92" s="564">
        <v>60.2</v>
      </c>
      <c r="BS92" s="572">
        <v>65.099999999999994</v>
      </c>
      <c r="BT92" s="564">
        <v>62.8</v>
      </c>
      <c r="BU92" s="564">
        <v>60.8</v>
      </c>
      <c r="BV92" s="564">
        <v>60.7</v>
      </c>
      <c r="BW92" s="572">
        <v>63.5</v>
      </c>
      <c r="BX92" s="564">
        <v>55.5</v>
      </c>
      <c r="BY92" s="564">
        <v>60.9</v>
      </c>
      <c r="BZ92" s="564">
        <v>67.400000000000006</v>
      </c>
      <c r="CA92" s="572">
        <v>71.8</v>
      </c>
      <c r="CB92" s="564">
        <v>53.8</v>
      </c>
      <c r="CC92" s="564">
        <v>64.900000000000006</v>
      </c>
      <c r="CD92" s="564">
        <v>69.599999999999994</v>
      </c>
      <c r="CE92" s="572">
        <v>74.7</v>
      </c>
      <c r="CF92" s="564">
        <v>58.5</v>
      </c>
      <c r="CG92" s="564">
        <v>64.8</v>
      </c>
      <c r="CH92" s="564">
        <v>70.900000000000006</v>
      </c>
      <c r="CI92" s="572">
        <v>77.8</v>
      </c>
      <c r="CJ92" s="564">
        <v>67.900000000000006</v>
      </c>
      <c r="CK92" s="564">
        <v>74.400000000000006</v>
      </c>
      <c r="CL92" s="564">
        <v>80.8</v>
      </c>
      <c r="CM92" s="572">
        <v>83.6</v>
      </c>
      <c r="CN92" s="564">
        <v>76.3</v>
      </c>
      <c r="CO92" s="564">
        <v>79.900000000000006</v>
      </c>
      <c r="CP92" s="564">
        <v>90.6</v>
      </c>
      <c r="CQ92" s="572">
        <v>109.1</v>
      </c>
      <c r="CR92" s="932">
        <f>CQ92+CR164</f>
        <v>123.3</v>
      </c>
      <c r="CS92" s="932">
        <f>CR92+CS164</f>
        <v>137.5</v>
      </c>
      <c r="CT92" s="932">
        <f>CS92+CT164</f>
        <v>151.69999999999999</v>
      </c>
      <c r="CU92" s="919">
        <f>CT92+CU164</f>
        <v>165.89999999999998</v>
      </c>
      <c r="CV92" s="406"/>
      <c r="CW92" s="564">
        <v>3.2</v>
      </c>
      <c r="CX92" s="436">
        <f>G92</f>
        <v>0</v>
      </c>
      <c r="CY92" s="436">
        <f>K92</f>
        <v>7</v>
      </c>
      <c r="CZ92" s="436">
        <f>O92</f>
        <v>20.7</v>
      </c>
      <c r="DA92" s="436">
        <f>S92</f>
        <v>0</v>
      </c>
      <c r="DB92" s="436">
        <f>W92</f>
        <v>0</v>
      </c>
      <c r="DC92" s="436">
        <f>AA92</f>
        <v>10.3</v>
      </c>
      <c r="DD92" s="436">
        <f>AE92</f>
        <v>11.4</v>
      </c>
      <c r="DE92" s="436">
        <f>AI92</f>
        <v>14.5</v>
      </c>
      <c r="DF92" s="436">
        <f>AM92</f>
        <v>17.2</v>
      </c>
      <c r="DG92" s="436">
        <f>AQ92</f>
        <v>22.2</v>
      </c>
      <c r="DH92" s="436">
        <f>AU92</f>
        <v>136.1</v>
      </c>
      <c r="DI92" s="436">
        <f>AY92</f>
        <v>162.1</v>
      </c>
      <c r="DJ92" s="436">
        <f>BC92</f>
        <v>117.9</v>
      </c>
      <c r="DK92" s="436">
        <f>BG92</f>
        <v>31.5</v>
      </c>
      <c r="DL92" s="436">
        <f>BK92</f>
        <v>37.4</v>
      </c>
      <c r="DM92" s="436">
        <f>BO92</f>
        <v>51.2</v>
      </c>
      <c r="DN92" s="436">
        <f>BS92</f>
        <v>65.099999999999994</v>
      </c>
      <c r="DO92" s="436">
        <f>BW92</f>
        <v>63.5</v>
      </c>
      <c r="DP92" s="436">
        <f>CA92</f>
        <v>71.8</v>
      </c>
      <c r="DQ92" s="436">
        <f>CE92</f>
        <v>74.7</v>
      </c>
      <c r="DR92" s="436">
        <f>CI92</f>
        <v>77.8</v>
      </c>
      <c r="DS92" s="436">
        <f>CM92</f>
        <v>83.6</v>
      </c>
      <c r="DT92" s="436">
        <f>CQ92</f>
        <v>109.1</v>
      </c>
      <c r="DU92" s="436">
        <f>CU92</f>
        <v>165.89999999999998</v>
      </c>
      <c r="DV92" s="452">
        <f t="shared" ref="DV92:DW92" si="351">DU92+DV164</f>
        <v>225.53999999999996</v>
      </c>
      <c r="DW92" s="452">
        <f t="shared" si="351"/>
        <v>288.16199999999998</v>
      </c>
      <c r="DX92" s="452">
        <f t="shared" ref="DX92:DZ92" si="352">DW92+DX164</f>
        <v>353.9151</v>
      </c>
      <c r="DY92" s="452">
        <f t="shared" si="352"/>
        <v>422.95585499999999</v>
      </c>
      <c r="DZ92" s="452">
        <f t="shared" si="352"/>
        <v>495.44864774999996</v>
      </c>
      <c r="EA92" s="512"/>
      <c r="EB92"/>
      <c r="EC92"/>
      <c r="ED92"/>
      <c r="EE92"/>
      <c r="EF92"/>
      <c r="EG92"/>
    </row>
    <row r="93" spans="1:137" s="410" customFormat="1">
      <c r="A93" s="400"/>
      <c r="B93" s="452"/>
      <c r="C93" s="658"/>
      <c r="D93" s="432"/>
      <c r="E93" s="433"/>
      <c r="F93" s="433"/>
      <c r="G93" s="434"/>
      <c r="H93" s="433"/>
      <c r="I93" s="433"/>
      <c r="J93" s="433"/>
      <c r="K93" s="434"/>
      <c r="L93" s="433"/>
      <c r="M93" s="433"/>
      <c r="N93" s="433"/>
      <c r="O93" s="434"/>
      <c r="P93" s="433"/>
      <c r="Q93" s="433"/>
      <c r="R93" s="433"/>
      <c r="S93" s="434"/>
      <c r="T93" s="433"/>
      <c r="U93" s="433"/>
      <c r="V93" s="433"/>
      <c r="W93" s="434"/>
      <c r="X93" s="433"/>
      <c r="Y93" s="433"/>
      <c r="Z93" s="433"/>
      <c r="AA93" s="434"/>
      <c r="AB93" s="433"/>
      <c r="AC93" s="433"/>
      <c r="AD93" s="433"/>
      <c r="AE93" s="434"/>
      <c r="AF93" s="433"/>
      <c r="AG93" s="433"/>
      <c r="AH93" s="433"/>
      <c r="AI93" s="434"/>
      <c r="AJ93" s="433"/>
      <c r="AK93" s="433"/>
      <c r="AL93" s="433"/>
      <c r="AM93" s="434"/>
      <c r="AN93" s="433"/>
      <c r="AO93" s="433"/>
      <c r="AP93" s="433"/>
      <c r="AQ93" s="434"/>
      <c r="AR93" s="433"/>
      <c r="AS93" s="433"/>
      <c r="AT93" s="433"/>
      <c r="AU93" s="434"/>
      <c r="AV93" s="433"/>
      <c r="AW93" s="433"/>
      <c r="AX93" s="433"/>
      <c r="AY93" s="434"/>
      <c r="AZ93" s="433"/>
      <c r="BA93" s="433"/>
      <c r="BB93" s="433"/>
      <c r="BC93" s="434"/>
      <c r="BD93" s="433"/>
      <c r="BE93" s="433"/>
      <c r="BF93" s="433"/>
      <c r="BG93" s="434"/>
      <c r="BH93" s="433"/>
      <c r="BI93" s="433"/>
      <c r="BJ93" s="433"/>
      <c r="BK93" s="434"/>
      <c r="BL93" s="433"/>
      <c r="BM93" s="433"/>
      <c r="BN93" s="433"/>
      <c r="BO93" s="434"/>
      <c r="BP93" s="433"/>
      <c r="BQ93" s="433"/>
      <c r="BR93" s="433"/>
      <c r="BS93" s="434"/>
      <c r="BT93" s="433"/>
      <c r="BU93" s="433"/>
      <c r="BV93" s="433"/>
      <c r="BW93" s="434"/>
      <c r="BX93" s="433"/>
      <c r="BY93" s="433"/>
      <c r="BZ93" s="433"/>
      <c r="CA93" s="434"/>
      <c r="CB93" s="433"/>
      <c r="CC93" s="433"/>
      <c r="CD93" s="433"/>
      <c r="CE93" s="434"/>
      <c r="CF93" s="433"/>
      <c r="CG93" s="433"/>
      <c r="CH93" s="433"/>
      <c r="CI93" s="434"/>
      <c r="CJ93" s="433"/>
      <c r="CK93" s="433"/>
      <c r="CL93" s="433"/>
      <c r="CM93" s="517"/>
      <c r="CN93" s="437"/>
      <c r="CO93" s="437"/>
      <c r="CP93" s="433"/>
      <c r="CQ93" s="434"/>
      <c r="CR93" s="934"/>
      <c r="CS93" s="934"/>
      <c r="CT93" s="934"/>
      <c r="CU93" s="924"/>
      <c r="CV93" s="406"/>
      <c r="CW93" s="433"/>
      <c r="CX93" s="436"/>
      <c r="CY93" s="436"/>
      <c r="CZ93" s="436"/>
      <c r="DA93" s="436"/>
      <c r="DB93" s="436"/>
      <c r="DC93" s="436"/>
      <c r="DD93" s="436"/>
      <c r="DE93" s="436"/>
      <c r="DF93" s="436"/>
      <c r="DG93" s="436"/>
      <c r="DH93" s="436"/>
      <c r="DI93" s="436"/>
      <c r="DJ93" s="436"/>
      <c r="DK93" s="436"/>
      <c r="DL93" s="436"/>
      <c r="DM93" s="436"/>
      <c r="DN93" s="436"/>
      <c r="DO93" s="436"/>
      <c r="DP93" s="436"/>
      <c r="DQ93" s="436"/>
      <c r="DR93" s="436"/>
      <c r="DS93" s="436"/>
      <c r="DT93" s="437"/>
      <c r="DU93" s="437"/>
      <c r="DV93" s="437"/>
      <c r="DW93" s="437"/>
      <c r="DX93" s="437"/>
      <c r="DY93" s="437"/>
      <c r="DZ93" s="437"/>
      <c r="EA93" s="512"/>
      <c r="EB93"/>
      <c r="EC93"/>
      <c r="ED93"/>
      <c r="EE93"/>
      <c r="EF93"/>
      <c r="EG93"/>
    </row>
    <row r="94" spans="1:137" s="410" customFormat="1">
      <c r="A94" s="400"/>
      <c r="B94" s="452" t="s">
        <v>102</v>
      </c>
      <c r="C94" s="658"/>
      <c r="D94" s="636"/>
      <c r="E94" s="564"/>
      <c r="F94" s="564"/>
      <c r="G94" s="572"/>
      <c r="H94" s="564"/>
      <c r="I94" s="564"/>
      <c r="J94" s="564"/>
      <c r="K94" s="572"/>
      <c r="L94" s="564"/>
      <c r="M94" s="564"/>
      <c r="N94" s="564"/>
      <c r="O94" s="572"/>
      <c r="P94" s="564"/>
      <c r="Q94" s="564"/>
      <c r="R94" s="564"/>
      <c r="S94" s="572"/>
      <c r="T94" s="564"/>
      <c r="U94" s="564"/>
      <c r="V94" s="564"/>
      <c r="W94" s="572">
        <v>0.3</v>
      </c>
      <c r="X94" s="564">
        <v>0.3</v>
      </c>
      <c r="Y94" s="564">
        <v>0.3</v>
      </c>
      <c r="Z94" s="564">
        <v>0.3</v>
      </c>
      <c r="AA94" s="572">
        <v>0.3</v>
      </c>
      <c r="AB94" s="564">
        <v>0.3</v>
      </c>
      <c r="AC94" s="564">
        <v>0.3</v>
      </c>
      <c r="AD94" s="564">
        <v>0.3</v>
      </c>
      <c r="AE94" s="572">
        <v>0.3</v>
      </c>
      <c r="AF94" s="564">
        <v>0.3</v>
      </c>
      <c r="AG94" s="564">
        <v>0.3</v>
      </c>
      <c r="AH94" s="564">
        <v>0.3</v>
      </c>
      <c r="AI94" s="572">
        <v>0.3</v>
      </c>
      <c r="AJ94" s="564">
        <v>0.3</v>
      </c>
      <c r="AK94" s="564">
        <v>0.3</v>
      </c>
      <c r="AL94" s="564">
        <v>0.3</v>
      </c>
      <c r="AM94" s="572">
        <v>0.3</v>
      </c>
      <c r="AN94" s="564">
        <f>+DF94</f>
        <v>0.3</v>
      </c>
      <c r="AO94" s="564">
        <v>0.6</v>
      </c>
      <c r="AP94" s="564">
        <f>+AO94</f>
        <v>0.6</v>
      </c>
      <c r="AQ94" s="572">
        <v>0.6</v>
      </c>
      <c r="AR94" s="564">
        <f>+DG94</f>
        <v>0.6</v>
      </c>
      <c r="AS94" s="564">
        <f t="shared" ref="AS94:AU95" si="353">+AR94</f>
        <v>0.6</v>
      </c>
      <c r="AT94" s="564">
        <f t="shared" si="353"/>
        <v>0.6</v>
      </c>
      <c r="AU94" s="572">
        <f t="shared" si="353"/>
        <v>0.6</v>
      </c>
      <c r="AV94" s="564">
        <v>0.6</v>
      </c>
      <c r="AW94" s="564">
        <f>+AV94</f>
        <v>0.6</v>
      </c>
      <c r="AX94" s="564">
        <v>0.6</v>
      </c>
      <c r="AY94" s="572">
        <v>0.6</v>
      </c>
      <c r="AZ94" s="564">
        <v>0.6</v>
      </c>
      <c r="BA94" s="564">
        <v>0.6</v>
      </c>
      <c r="BB94" s="564">
        <v>0.6</v>
      </c>
      <c r="BC94" s="572">
        <v>1.2</v>
      </c>
      <c r="BD94" s="564">
        <v>1.2</v>
      </c>
      <c r="BE94" s="564">
        <v>1.2</v>
      </c>
      <c r="BF94" s="564">
        <v>1.2</v>
      </c>
      <c r="BG94" s="572">
        <v>1.2</v>
      </c>
      <c r="BH94" s="564">
        <v>1.2</v>
      </c>
      <c r="BI94" s="564">
        <v>1.2</v>
      </c>
      <c r="BJ94" s="564">
        <v>1.2</v>
      </c>
      <c r="BK94" s="572">
        <v>1.2</v>
      </c>
      <c r="BL94" s="564">
        <v>1.2</v>
      </c>
      <c r="BM94" s="564">
        <v>1.2</v>
      </c>
      <c r="BN94" s="564">
        <v>1.2</v>
      </c>
      <c r="BO94" s="572">
        <v>1.2</v>
      </c>
      <c r="BP94" s="564">
        <f>+DM94</f>
        <v>1.2</v>
      </c>
      <c r="BQ94" s="564">
        <v>1.2</v>
      </c>
      <c r="BR94" s="564">
        <f>+BQ94</f>
        <v>1.2</v>
      </c>
      <c r="BS94" s="572">
        <v>1.2</v>
      </c>
      <c r="BT94" s="564">
        <v>1.2</v>
      </c>
      <c r="BU94" s="564">
        <v>1.2</v>
      </c>
      <c r="BV94" s="564">
        <v>1.2</v>
      </c>
      <c r="BW94" s="572">
        <v>1.2</v>
      </c>
      <c r="BX94" s="564">
        <f>+DO94</f>
        <v>1.2</v>
      </c>
      <c r="BY94" s="564">
        <v>1.2</v>
      </c>
      <c r="BZ94" s="564">
        <v>1.2</v>
      </c>
      <c r="CA94" s="572">
        <v>2.5</v>
      </c>
      <c r="CB94" s="564">
        <v>2.5</v>
      </c>
      <c r="CC94" s="564">
        <v>2.5</v>
      </c>
      <c r="CD94" s="564">
        <v>2.5</v>
      </c>
      <c r="CE94" s="572">
        <v>2.5</v>
      </c>
      <c r="CF94" s="564">
        <v>2.5</v>
      </c>
      <c r="CG94" s="564">
        <v>2.5</v>
      </c>
      <c r="CH94" s="564">
        <v>2.5</v>
      </c>
      <c r="CI94" s="572">
        <v>2.5</v>
      </c>
      <c r="CJ94" s="564">
        <f>+DR94</f>
        <v>2.5</v>
      </c>
      <c r="CK94" s="564">
        <v>2.5</v>
      </c>
      <c r="CL94" s="564">
        <v>2.5</v>
      </c>
      <c r="CM94" s="572">
        <v>2.5</v>
      </c>
      <c r="CN94" s="564">
        <v>2.5</v>
      </c>
      <c r="CO94" s="564">
        <v>2.5</v>
      </c>
      <c r="CP94" s="564">
        <v>2.5</v>
      </c>
      <c r="CQ94" s="514">
        <f t="shared" ref="CQ94:CU95" si="354">+CP94</f>
        <v>2.5</v>
      </c>
      <c r="CR94" s="933">
        <f t="shared" si="354"/>
        <v>2.5</v>
      </c>
      <c r="CS94" s="933">
        <f t="shared" si="354"/>
        <v>2.5</v>
      </c>
      <c r="CT94" s="933">
        <f t="shared" si="354"/>
        <v>2.5</v>
      </c>
      <c r="CU94" s="920">
        <f t="shared" si="354"/>
        <v>2.5</v>
      </c>
      <c r="CV94" s="406"/>
      <c r="CW94" s="433"/>
      <c r="CX94" s="436">
        <f t="shared" ref="CX94:CX99" si="355">G94</f>
        <v>0</v>
      </c>
      <c r="CY94" s="436">
        <f t="shared" ref="CY94:CY100" si="356">K94</f>
        <v>0</v>
      </c>
      <c r="CZ94" s="436">
        <f t="shared" ref="CZ94:CZ99" si="357">O94</f>
        <v>0</v>
      </c>
      <c r="DA94" s="436">
        <f t="shared" ref="DA94:DA99" si="358">S94</f>
        <v>0</v>
      </c>
      <c r="DB94" s="436">
        <f t="shared" ref="DB94:DB99" si="359">W94</f>
        <v>0.3</v>
      </c>
      <c r="DC94" s="436">
        <f t="shared" ref="DC94:DC99" si="360">AA94</f>
        <v>0.3</v>
      </c>
      <c r="DD94" s="436">
        <f t="shared" ref="DD94:DD99" si="361">AE94</f>
        <v>0.3</v>
      </c>
      <c r="DE94" s="436">
        <f t="shared" ref="DE94:DE99" si="362">AI94</f>
        <v>0.3</v>
      </c>
      <c r="DF94" s="436">
        <f t="shared" ref="DF94:DF99" si="363">AM94</f>
        <v>0.3</v>
      </c>
      <c r="DG94" s="436">
        <f t="shared" ref="DG94:DG99" si="364">AQ94</f>
        <v>0.6</v>
      </c>
      <c r="DH94" s="436">
        <f t="shared" ref="DH94:DH99" si="365">AU94</f>
        <v>0.6</v>
      </c>
      <c r="DI94" s="436">
        <f t="shared" ref="DI94:DI99" si="366">AY94</f>
        <v>0.6</v>
      </c>
      <c r="DJ94" s="436">
        <f t="shared" ref="DJ94:DJ99" si="367">BC94</f>
        <v>1.2</v>
      </c>
      <c r="DK94" s="436">
        <f t="shared" ref="DK94:DK99" si="368">BG94</f>
        <v>1.2</v>
      </c>
      <c r="DL94" s="436">
        <f t="shared" ref="DL94:DL99" si="369">BK94</f>
        <v>1.2</v>
      </c>
      <c r="DM94" s="436">
        <f t="shared" ref="DM94:DM99" si="370">BO94</f>
        <v>1.2</v>
      </c>
      <c r="DN94" s="436">
        <f t="shared" ref="DN94:DN99" si="371">BS94</f>
        <v>1.2</v>
      </c>
      <c r="DO94" s="436">
        <f t="shared" ref="DO94:DO99" si="372">BW94</f>
        <v>1.2</v>
      </c>
      <c r="DP94" s="436">
        <f t="shared" ref="DP94:DP99" si="373">CA94</f>
        <v>2.5</v>
      </c>
      <c r="DQ94" s="436">
        <f t="shared" ref="DQ94:DQ99" si="374">CE94</f>
        <v>2.5</v>
      </c>
      <c r="DR94" s="436">
        <f t="shared" ref="DR94:DR99" si="375">CI94</f>
        <v>2.5</v>
      </c>
      <c r="DS94" s="436">
        <f t="shared" ref="DS94:DS99" si="376">CM94</f>
        <v>2.5</v>
      </c>
      <c r="DT94" s="436">
        <f t="shared" ref="DT94:DT99" si="377">CQ94</f>
        <v>2.5</v>
      </c>
      <c r="DU94" s="436">
        <f t="shared" ref="DU94:DU99" si="378">CU94</f>
        <v>2.5</v>
      </c>
      <c r="DV94" s="564">
        <f t="shared" ref="DV94:DW95" si="379">+DU94</f>
        <v>2.5</v>
      </c>
      <c r="DW94" s="564">
        <f t="shared" si="379"/>
        <v>2.5</v>
      </c>
      <c r="DX94" s="564">
        <f t="shared" ref="DX94:DX95" si="380">+DW94</f>
        <v>2.5</v>
      </c>
      <c r="DY94" s="564">
        <f t="shared" ref="DY94:DY95" si="381">+DX94</f>
        <v>2.5</v>
      </c>
      <c r="DZ94" s="564">
        <f t="shared" ref="DZ94:DZ95" si="382">+DY94</f>
        <v>2.5</v>
      </c>
      <c r="EA94" s="512"/>
      <c r="EB94"/>
      <c r="EC94"/>
      <c r="ED94"/>
      <c r="EE94"/>
      <c r="EF94"/>
      <c r="EG94"/>
    </row>
    <row r="95" spans="1:137" s="410" customFormat="1">
      <c r="A95" s="400"/>
      <c r="B95" s="452" t="s">
        <v>315</v>
      </c>
      <c r="C95" s="658"/>
      <c r="D95" s="636"/>
      <c r="E95" s="564"/>
      <c r="F95" s="564"/>
      <c r="G95" s="572"/>
      <c r="H95" s="564"/>
      <c r="I95" s="564"/>
      <c r="J95" s="564"/>
      <c r="K95" s="572"/>
      <c r="L95" s="564"/>
      <c r="M95" s="564"/>
      <c r="N95" s="564"/>
      <c r="O95" s="572"/>
      <c r="P95" s="564"/>
      <c r="Q95" s="564"/>
      <c r="R95" s="564"/>
      <c r="S95" s="572"/>
      <c r="T95" s="564"/>
      <c r="U95" s="564"/>
      <c r="V95" s="564"/>
      <c r="W95" s="572">
        <v>715.7</v>
      </c>
      <c r="X95" s="564">
        <v>715.7</v>
      </c>
      <c r="Y95" s="564">
        <v>715.7</v>
      </c>
      <c r="Z95" s="564">
        <v>715.7</v>
      </c>
      <c r="AA95" s="572">
        <v>715.7</v>
      </c>
      <c r="AB95" s="564">
        <v>715.7</v>
      </c>
      <c r="AC95" s="564">
        <v>715.7</v>
      </c>
      <c r="AD95" s="564">
        <v>715.7</v>
      </c>
      <c r="AE95" s="572">
        <v>715.7</v>
      </c>
      <c r="AF95" s="564">
        <v>720.8</v>
      </c>
      <c r="AG95" s="564">
        <v>724.7</v>
      </c>
      <c r="AH95" s="564">
        <v>734.1</v>
      </c>
      <c r="AI95" s="572">
        <v>737.7</v>
      </c>
      <c r="AJ95" s="564">
        <v>742.1</v>
      </c>
      <c r="AK95" s="564">
        <v>742.8</v>
      </c>
      <c r="AL95" s="564">
        <v>746.6</v>
      </c>
      <c r="AM95" s="572">
        <v>756.3</v>
      </c>
      <c r="AN95" s="564">
        <v>778.4</v>
      </c>
      <c r="AO95" s="564">
        <v>784.7</v>
      </c>
      <c r="AP95" s="564">
        <v>794.5</v>
      </c>
      <c r="AQ95" s="572">
        <v>797.1</v>
      </c>
      <c r="AR95" s="564">
        <v>801.6</v>
      </c>
      <c r="AS95" s="564">
        <v>802.9</v>
      </c>
      <c r="AT95" s="564">
        <f t="shared" si="353"/>
        <v>802.9</v>
      </c>
      <c r="AU95" s="572">
        <f t="shared" si="353"/>
        <v>802.9</v>
      </c>
      <c r="AV95" s="564">
        <f>837-1.1</f>
        <v>835.9</v>
      </c>
      <c r="AW95" s="564">
        <f>844.8-0.8</f>
        <v>844</v>
      </c>
      <c r="AX95" s="564">
        <v>852.6</v>
      </c>
      <c r="AY95" s="572">
        <v>871.1</v>
      </c>
      <c r="AZ95" s="564">
        <v>895.6</v>
      </c>
      <c r="BA95" s="564">
        <v>905.9</v>
      </c>
      <c r="BB95" s="564">
        <v>927.7</v>
      </c>
      <c r="BC95" s="572">
        <v>943.4</v>
      </c>
      <c r="BD95" s="564">
        <v>951.6</v>
      </c>
      <c r="BE95" s="564">
        <v>961.1</v>
      </c>
      <c r="BF95" s="564">
        <v>970.7</v>
      </c>
      <c r="BG95" s="572">
        <v>977.6</v>
      </c>
      <c r="BH95" s="564">
        <v>984.7</v>
      </c>
      <c r="BI95" s="564">
        <v>1028.5999999999999</v>
      </c>
      <c r="BJ95" s="564">
        <v>1035</v>
      </c>
      <c r="BK95" s="572">
        <v>1034.0999999999999</v>
      </c>
      <c r="BL95" s="564">
        <f>+DL95</f>
        <v>1034.0999999999999</v>
      </c>
      <c r="BM95" s="564">
        <f>+BL95</f>
        <v>1034.0999999999999</v>
      </c>
      <c r="BN95" s="564">
        <v>1068.5</v>
      </c>
      <c r="BO95" s="572">
        <v>1100.4000000000001</v>
      </c>
      <c r="BP95" s="564">
        <v>1120.7</v>
      </c>
      <c r="BQ95" s="564">
        <v>1135.5</v>
      </c>
      <c r="BR95" s="564">
        <f>+BQ95</f>
        <v>1135.5</v>
      </c>
      <c r="BS95" s="572">
        <v>1134.3</v>
      </c>
      <c r="BT95" s="564">
        <v>1134.3</v>
      </c>
      <c r="BU95" s="564">
        <v>1134.3</v>
      </c>
      <c r="BV95" s="564">
        <v>1185</v>
      </c>
      <c r="BW95" s="572">
        <v>1160.7</v>
      </c>
      <c r="BX95" s="564">
        <f>+DO95</f>
        <v>1160.7</v>
      </c>
      <c r="BY95" s="564">
        <v>1129.3</v>
      </c>
      <c r="BZ95" s="564">
        <v>1132</v>
      </c>
      <c r="CA95" s="572">
        <v>1121.9000000000001</v>
      </c>
      <c r="CB95" s="564">
        <v>1092.4000000000001</v>
      </c>
      <c r="CC95" s="564">
        <v>1097.0999999999999</v>
      </c>
      <c r="CD95" s="564">
        <v>1104.3</v>
      </c>
      <c r="CE95" s="572">
        <v>1112.4000000000001</v>
      </c>
      <c r="CF95" s="564">
        <v>1096.7</v>
      </c>
      <c r="CG95" s="564">
        <v>1099.9000000000001</v>
      </c>
      <c r="CH95" s="564">
        <v>1108.8</v>
      </c>
      <c r="CI95" s="572">
        <v>1109.7</v>
      </c>
      <c r="CJ95" s="564">
        <f>+DR95</f>
        <v>1109.7</v>
      </c>
      <c r="CK95" s="564">
        <v>1091.5</v>
      </c>
      <c r="CL95" s="564">
        <v>1092.7</v>
      </c>
      <c r="CM95" s="572">
        <v>1104.3</v>
      </c>
      <c r="CN95" s="564">
        <v>1077.5999999999999</v>
      </c>
      <c r="CO95" s="564">
        <v>1088.7</v>
      </c>
      <c r="CP95" s="564">
        <v>1100.0999999999999</v>
      </c>
      <c r="CQ95" s="514">
        <f t="shared" si="354"/>
        <v>1100.0999999999999</v>
      </c>
      <c r="CR95" s="933">
        <f t="shared" si="354"/>
        <v>1100.0999999999999</v>
      </c>
      <c r="CS95" s="933">
        <f t="shared" si="354"/>
        <v>1100.0999999999999</v>
      </c>
      <c r="CT95" s="933">
        <f t="shared" si="354"/>
        <v>1100.0999999999999</v>
      </c>
      <c r="CU95" s="920">
        <f t="shared" si="354"/>
        <v>1100.0999999999999</v>
      </c>
      <c r="CV95" s="406"/>
      <c r="CW95" s="433"/>
      <c r="CX95" s="436">
        <f t="shared" si="355"/>
        <v>0</v>
      </c>
      <c r="CY95" s="436">
        <f t="shared" si="356"/>
        <v>0</v>
      </c>
      <c r="CZ95" s="436">
        <f t="shared" si="357"/>
        <v>0</v>
      </c>
      <c r="DA95" s="436">
        <f t="shared" si="358"/>
        <v>0</v>
      </c>
      <c r="DB95" s="436">
        <f t="shared" si="359"/>
        <v>715.7</v>
      </c>
      <c r="DC95" s="436">
        <f t="shared" si="360"/>
        <v>715.7</v>
      </c>
      <c r="DD95" s="436">
        <f t="shared" si="361"/>
        <v>715.7</v>
      </c>
      <c r="DE95" s="436">
        <f t="shared" si="362"/>
        <v>737.7</v>
      </c>
      <c r="DF95" s="436">
        <f t="shared" si="363"/>
        <v>756.3</v>
      </c>
      <c r="DG95" s="436">
        <f t="shared" si="364"/>
        <v>797.1</v>
      </c>
      <c r="DH95" s="436">
        <f t="shared" si="365"/>
        <v>802.9</v>
      </c>
      <c r="DI95" s="436">
        <f t="shared" si="366"/>
        <v>871.1</v>
      </c>
      <c r="DJ95" s="436">
        <f t="shared" si="367"/>
        <v>943.4</v>
      </c>
      <c r="DK95" s="436">
        <f t="shared" si="368"/>
        <v>977.6</v>
      </c>
      <c r="DL95" s="436">
        <f t="shared" si="369"/>
        <v>1034.0999999999999</v>
      </c>
      <c r="DM95" s="436">
        <f t="shared" si="370"/>
        <v>1100.4000000000001</v>
      </c>
      <c r="DN95" s="436">
        <f t="shared" si="371"/>
        <v>1134.3</v>
      </c>
      <c r="DO95" s="436">
        <f t="shared" si="372"/>
        <v>1160.7</v>
      </c>
      <c r="DP95" s="436">
        <f t="shared" si="373"/>
        <v>1121.9000000000001</v>
      </c>
      <c r="DQ95" s="436">
        <f t="shared" si="374"/>
        <v>1112.4000000000001</v>
      </c>
      <c r="DR95" s="436">
        <f t="shared" si="375"/>
        <v>1109.7</v>
      </c>
      <c r="DS95" s="436">
        <f t="shared" si="376"/>
        <v>1104.3</v>
      </c>
      <c r="DT95" s="436">
        <f t="shared" si="377"/>
        <v>1100.0999999999999</v>
      </c>
      <c r="DU95" s="436">
        <f t="shared" si="378"/>
        <v>1100.0999999999999</v>
      </c>
      <c r="DV95" s="564">
        <f t="shared" si="379"/>
        <v>1100.0999999999999</v>
      </c>
      <c r="DW95" s="564">
        <f t="shared" si="379"/>
        <v>1100.0999999999999</v>
      </c>
      <c r="DX95" s="564">
        <f t="shared" si="380"/>
        <v>1100.0999999999999</v>
      </c>
      <c r="DY95" s="564">
        <f t="shared" si="381"/>
        <v>1100.0999999999999</v>
      </c>
      <c r="DZ95" s="564">
        <f t="shared" si="382"/>
        <v>1100.0999999999999</v>
      </c>
      <c r="EA95" s="512"/>
      <c r="EB95"/>
      <c r="EC95"/>
      <c r="ED95"/>
      <c r="EE95"/>
      <c r="EF95"/>
      <c r="EG95"/>
    </row>
    <row r="96" spans="1:137" s="410" customFormat="1">
      <c r="A96" s="400"/>
      <c r="B96" s="452" t="s">
        <v>103</v>
      </c>
      <c r="C96" s="658"/>
      <c r="D96" s="636"/>
      <c r="E96" s="564"/>
      <c r="F96" s="564"/>
      <c r="G96" s="572"/>
      <c r="H96" s="564"/>
      <c r="I96" s="564"/>
      <c r="J96" s="564"/>
      <c r="K96" s="572"/>
      <c r="L96" s="564"/>
      <c r="M96" s="564"/>
      <c r="N96" s="564"/>
      <c r="O96" s="572"/>
      <c r="P96" s="564"/>
      <c r="Q96" s="564"/>
      <c r="R96" s="564"/>
      <c r="S96" s="572"/>
      <c r="T96" s="564"/>
      <c r="U96" s="564"/>
      <c r="V96" s="564"/>
      <c r="W96" s="572">
        <v>346.4</v>
      </c>
      <c r="X96" s="564">
        <v>382.7</v>
      </c>
      <c r="Y96" s="564">
        <v>419.4</v>
      </c>
      <c r="Z96" s="564">
        <v>420</v>
      </c>
      <c r="AA96" s="572">
        <v>422.9</v>
      </c>
      <c r="AB96" s="564">
        <v>439</v>
      </c>
      <c r="AC96" s="564">
        <v>459.3</v>
      </c>
      <c r="AD96" s="564">
        <v>472.7</v>
      </c>
      <c r="AE96" s="572">
        <v>470.9</v>
      </c>
      <c r="AF96" s="564">
        <v>229.3</v>
      </c>
      <c r="AG96" s="564">
        <v>271.10000000000002</v>
      </c>
      <c r="AH96" s="564">
        <v>299.10000000000002</v>
      </c>
      <c r="AI96" s="572">
        <v>335.8</v>
      </c>
      <c r="AJ96" s="564">
        <v>375.2</v>
      </c>
      <c r="AK96" s="564">
        <v>415.2</v>
      </c>
      <c r="AL96" s="564">
        <v>446.2</v>
      </c>
      <c r="AM96" s="572">
        <v>491.3</v>
      </c>
      <c r="AN96" s="564">
        <f>+DF96+AN34+AN165</f>
        <v>535.50000000000011</v>
      </c>
      <c r="AO96" s="564">
        <f>+AO100-AO95-AO94-AO98-AO99</f>
        <v>582.89999999999986</v>
      </c>
      <c r="AP96" s="564">
        <f>+AO96+AP34+AP165</f>
        <v>620.69999999999982</v>
      </c>
      <c r="AQ96" s="572">
        <v>681.4</v>
      </c>
      <c r="AR96" s="564">
        <v>751.1</v>
      </c>
      <c r="AS96" s="564">
        <v>779.2</v>
      </c>
      <c r="AT96" s="564">
        <f>+AS96+AT30+AT165</f>
        <v>831.10000000000014</v>
      </c>
      <c r="AU96" s="572">
        <f>+AT96+AU30+AU165</f>
        <v>884.59300000000019</v>
      </c>
      <c r="AV96" s="564">
        <v>941.4</v>
      </c>
      <c r="AW96" s="564">
        <v>1002.4</v>
      </c>
      <c r="AX96" s="564">
        <v>1032.4000000000001</v>
      </c>
      <c r="AY96" s="572">
        <v>1064.0999999999999</v>
      </c>
      <c r="AZ96" s="564">
        <v>1096.0999999999999</v>
      </c>
      <c r="BA96" s="564">
        <v>1161.9000000000001</v>
      </c>
      <c r="BB96" s="564">
        <v>1235.2</v>
      </c>
      <c r="BC96" s="572">
        <v>1295.9000000000001</v>
      </c>
      <c r="BD96" s="564">
        <v>1369.5</v>
      </c>
      <c r="BE96" s="564">
        <v>1439.8</v>
      </c>
      <c r="BF96" s="564">
        <v>1294.5999999999999</v>
      </c>
      <c r="BG96" s="572">
        <v>1200.5</v>
      </c>
      <c r="BH96" s="564">
        <v>1179.5999999999999</v>
      </c>
      <c r="BI96" s="564">
        <v>1141</v>
      </c>
      <c r="BJ96" s="564">
        <v>1155.9000000000001</v>
      </c>
      <c r="BK96" s="572">
        <v>1193.4000000000001</v>
      </c>
      <c r="BL96" s="564">
        <f>+DL96+BL30+BL165</f>
        <v>1267.19326</v>
      </c>
      <c r="BM96" s="564">
        <f>+BL96+BM34+BM165</f>
        <v>1365.2932600000001</v>
      </c>
      <c r="BN96" s="564">
        <v>1448.5</v>
      </c>
      <c r="BO96" s="572">
        <v>1560.2</v>
      </c>
      <c r="BP96" s="564">
        <v>1684.8</v>
      </c>
      <c r="BQ96" s="564">
        <v>1846.7</v>
      </c>
      <c r="BR96" s="564">
        <f>+BQ96+BR34+BR165</f>
        <v>1992.8</v>
      </c>
      <c r="BS96" s="572">
        <v>2110.3000000000002</v>
      </c>
      <c r="BT96" s="564">
        <v>2380.4</v>
      </c>
      <c r="BU96" s="564">
        <v>2499.4</v>
      </c>
      <c r="BV96" s="564">
        <v>2490</v>
      </c>
      <c r="BW96" s="572">
        <v>2611.1999999999998</v>
      </c>
      <c r="BX96" s="564">
        <f>3106.1-SUM(BX94:BX95,BX97:BX99)</f>
        <v>2634.7</v>
      </c>
      <c r="BY96" s="564">
        <v>2927.3</v>
      </c>
      <c r="BZ96" s="564">
        <v>3065.6</v>
      </c>
      <c r="CA96" s="572">
        <v>3177.4</v>
      </c>
      <c r="CB96" s="564">
        <v>3308.1</v>
      </c>
      <c r="CC96" s="564">
        <v>3469.9</v>
      </c>
      <c r="CD96" s="564">
        <v>3606.5</v>
      </c>
      <c r="CE96" s="572">
        <v>3717.1</v>
      </c>
      <c r="CF96" s="564">
        <v>3866.6</v>
      </c>
      <c r="CG96" s="564">
        <v>3985.4</v>
      </c>
      <c r="CH96" s="564">
        <v>4113.6000000000004</v>
      </c>
      <c r="CI96" s="572">
        <v>4210.1000000000004</v>
      </c>
      <c r="CJ96" s="564">
        <f>3693.2-SUM(CJ94:CJ95,CJ97:CJ99)</f>
        <v>4349.6000000000004</v>
      </c>
      <c r="CK96" s="564">
        <v>4482.3999999999996</v>
      </c>
      <c r="CL96" s="564">
        <v>4538.1000000000004</v>
      </c>
      <c r="CM96" s="572">
        <v>4215.2</v>
      </c>
      <c r="CN96" s="564">
        <v>4374.7</v>
      </c>
      <c r="CO96" s="564">
        <v>4557.3</v>
      </c>
      <c r="CP96" s="564">
        <v>4712.8</v>
      </c>
      <c r="CQ96" s="920">
        <f>3716.8-CQ94-CQ95-CQ98-CQ99</f>
        <v>4603.9000000000005</v>
      </c>
      <c r="CR96" s="932">
        <f>+CQ96+CR129+CR165+CR133+CR163</f>
        <v>4774.935751534028</v>
      </c>
      <c r="CS96" s="932">
        <f>+CR96+CS129+CS165+CS133+CS163</f>
        <v>4956.2147182772032</v>
      </c>
      <c r="CT96" s="932">
        <f>+CS96+CT129+CT165+CT133+CT163</f>
        <v>5119.6434784892272</v>
      </c>
      <c r="CU96" s="919">
        <f>+CT96+CU129+CU165+CU133+CU163</f>
        <v>5307.9635542355427</v>
      </c>
      <c r="CV96" s="406"/>
      <c r="CW96" s="433"/>
      <c r="CX96" s="436">
        <f t="shared" si="355"/>
        <v>0</v>
      </c>
      <c r="CY96" s="436">
        <f t="shared" si="356"/>
        <v>0</v>
      </c>
      <c r="CZ96" s="436">
        <f t="shared" si="357"/>
        <v>0</v>
      </c>
      <c r="DA96" s="436">
        <f t="shared" si="358"/>
        <v>0</v>
      </c>
      <c r="DB96" s="436">
        <f t="shared" si="359"/>
        <v>346.4</v>
      </c>
      <c r="DC96" s="436">
        <f t="shared" si="360"/>
        <v>422.9</v>
      </c>
      <c r="DD96" s="436">
        <f t="shared" si="361"/>
        <v>470.9</v>
      </c>
      <c r="DE96" s="436">
        <f t="shared" si="362"/>
        <v>335.8</v>
      </c>
      <c r="DF96" s="436">
        <f t="shared" si="363"/>
        <v>491.3</v>
      </c>
      <c r="DG96" s="436">
        <f t="shared" si="364"/>
        <v>681.4</v>
      </c>
      <c r="DH96" s="436">
        <f t="shared" si="365"/>
        <v>884.59300000000019</v>
      </c>
      <c r="DI96" s="436">
        <f t="shared" si="366"/>
        <v>1064.0999999999999</v>
      </c>
      <c r="DJ96" s="436">
        <f t="shared" si="367"/>
        <v>1295.9000000000001</v>
      </c>
      <c r="DK96" s="436">
        <f t="shared" si="368"/>
        <v>1200.5</v>
      </c>
      <c r="DL96" s="436">
        <f t="shared" si="369"/>
        <v>1193.4000000000001</v>
      </c>
      <c r="DM96" s="436">
        <f t="shared" si="370"/>
        <v>1560.2</v>
      </c>
      <c r="DN96" s="436">
        <f t="shared" si="371"/>
        <v>2110.3000000000002</v>
      </c>
      <c r="DO96" s="436">
        <f t="shared" si="372"/>
        <v>2611.1999999999998</v>
      </c>
      <c r="DP96" s="436">
        <f t="shared" si="373"/>
        <v>3177.4</v>
      </c>
      <c r="DQ96" s="436">
        <f t="shared" si="374"/>
        <v>3717.1</v>
      </c>
      <c r="DR96" s="436">
        <f t="shared" si="375"/>
        <v>4210.1000000000004</v>
      </c>
      <c r="DS96" s="436">
        <f t="shared" si="376"/>
        <v>4215.2</v>
      </c>
      <c r="DT96" s="437">
        <f t="shared" si="377"/>
        <v>4603.9000000000005</v>
      </c>
      <c r="DU96" s="437">
        <f t="shared" si="378"/>
        <v>5307.9635542355427</v>
      </c>
      <c r="DV96" s="437">
        <f t="shared" ref="DV96:DW96" si="383">+DU96+DV129+DV165+DV133+DV163</f>
        <v>6139.6443872767504</v>
      </c>
      <c r="DW96" s="437">
        <f t="shared" si="383"/>
        <v>6990.5892842392523</v>
      </c>
      <c r="DX96" s="437">
        <f t="shared" ref="DX96:DZ96" si="384">+DW96+DX129+DX165+DX133+DX163</f>
        <v>7853.9771432022608</v>
      </c>
      <c r="DY96" s="437">
        <f t="shared" si="384"/>
        <v>8715.3192483421117</v>
      </c>
      <c r="DZ96" s="437">
        <f t="shared" si="384"/>
        <v>9558.3221128808709</v>
      </c>
      <c r="EA96" s="512"/>
      <c r="EB96"/>
      <c r="EC96"/>
      <c r="ED96"/>
      <c r="EE96"/>
      <c r="EF96"/>
      <c r="EG96"/>
    </row>
    <row r="97" spans="1:137" s="410" customFormat="1" hidden="1" outlineLevel="1">
      <c r="A97" s="400"/>
      <c r="B97" s="452" t="s">
        <v>317</v>
      </c>
      <c r="C97" s="658"/>
      <c r="D97" s="636"/>
      <c r="E97" s="564"/>
      <c r="F97" s="564"/>
      <c r="G97" s="572"/>
      <c r="H97" s="564"/>
      <c r="I97" s="564"/>
      <c r="J97" s="564"/>
      <c r="K97" s="572"/>
      <c r="L97" s="564"/>
      <c r="M97" s="564"/>
      <c r="N97" s="564"/>
      <c r="O97" s="572"/>
      <c r="P97" s="564"/>
      <c r="Q97" s="564"/>
      <c r="R97" s="564"/>
      <c r="S97" s="572"/>
      <c r="T97" s="564"/>
      <c r="U97" s="564"/>
      <c r="V97" s="564"/>
      <c r="W97" s="572">
        <v>-2</v>
      </c>
      <c r="X97" s="564">
        <v>-2.5</v>
      </c>
      <c r="Y97" s="564">
        <v>-2.5</v>
      </c>
      <c r="Z97" s="564">
        <v>-2.5</v>
      </c>
      <c r="AA97" s="572">
        <v>-2.5</v>
      </c>
      <c r="AB97" s="564">
        <v>-2.5</v>
      </c>
      <c r="AC97" s="564">
        <v>-2.5</v>
      </c>
      <c r="AD97" s="564">
        <v>-2.1</v>
      </c>
      <c r="AE97" s="572">
        <v>-2</v>
      </c>
      <c r="AF97" s="564">
        <v>-2</v>
      </c>
      <c r="AG97" s="564">
        <v>-2</v>
      </c>
      <c r="AH97" s="564">
        <v>-2</v>
      </c>
      <c r="AI97" s="572">
        <v>-2</v>
      </c>
      <c r="AJ97" s="564"/>
      <c r="AK97" s="564"/>
      <c r="AL97" s="564"/>
      <c r="AM97" s="572"/>
      <c r="AN97" s="564"/>
      <c r="AO97" s="564"/>
      <c r="AP97" s="564"/>
      <c r="AQ97" s="572"/>
      <c r="AR97" s="564"/>
      <c r="AS97" s="564"/>
      <c r="AT97" s="564"/>
      <c r="AU97" s="572"/>
      <c r="AV97" s="564"/>
      <c r="AW97" s="564"/>
      <c r="AX97" s="564"/>
      <c r="AY97" s="572"/>
      <c r="AZ97" s="564"/>
      <c r="BA97" s="564"/>
      <c r="BB97" s="564"/>
      <c r="BC97" s="572"/>
      <c r="BD97" s="564"/>
      <c r="BE97" s="564"/>
      <c r="BF97" s="564"/>
      <c r="BG97" s="572"/>
      <c r="BH97" s="564"/>
      <c r="BI97" s="564"/>
      <c r="BJ97" s="564"/>
      <c r="BK97" s="572"/>
      <c r="BL97" s="564"/>
      <c r="BM97" s="564"/>
      <c r="BN97" s="564"/>
      <c r="BO97" s="572"/>
      <c r="BP97" s="564"/>
      <c r="BQ97" s="564"/>
      <c r="BR97" s="564"/>
      <c r="BS97" s="572"/>
      <c r="BT97" s="564"/>
      <c r="BU97" s="564"/>
      <c r="BV97" s="564"/>
      <c r="BW97" s="572"/>
      <c r="BX97" s="564"/>
      <c r="BY97" s="564"/>
      <c r="BZ97" s="564"/>
      <c r="CA97" s="572"/>
      <c r="CB97" s="564"/>
      <c r="CC97" s="564"/>
      <c r="CD97" s="564"/>
      <c r="CE97" s="572"/>
      <c r="CF97" s="564"/>
      <c r="CG97" s="564"/>
      <c r="CH97" s="564"/>
      <c r="CI97" s="572"/>
      <c r="CJ97" s="564"/>
      <c r="CK97" s="564"/>
      <c r="CL97" s="564"/>
      <c r="CM97" s="572"/>
      <c r="CN97" s="564"/>
      <c r="CO97" s="564"/>
      <c r="CP97" s="564"/>
      <c r="CQ97" s="919"/>
      <c r="CR97" s="932"/>
      <c r="CS97" s="932"/>
      <c r="CT97" s="932"/>
      <c r="CU97" s="919"/>
      <c r="CV97" s="406"/>
      <c r="CW97" s="433"/>
      <c r="CX97" s="436">
        <f t="shared" si="355"/>
        <v>0</v>
      </c>
      <c r="CY97" s="436">
        <f t="shared" si="356"/>
        <v>0</v>
      </c>
      <c r="CZ97" s="436">
        <f t="shared" si="357"/>
        <v>0</v>
      </c>
      <c r="DA97" s="436">
        <f t="shared" si="358"/>
        <v>0</v>
      </c>
      <c r="DB97" s="436">
        <f t="shared" si="359"/>
        <v>-2</v>
      </c>
      <c r="DC97" s="436">
        <f t="shared" si="360"/>
        <v>-2.5</v>
      </c>
      <c r="DD97" s="436">
        <f t="shared" si="361"/>
        <v>-2</v>
      </c>
      <c r="DE97" s="436">
        <f t="shared" si="362"/>
        <v>-2</v>
      </c>
      <c r="DF97" s="436">
        <f t="shared" si="363"/>
        <v>0</v>
      </c>
      <c r="DG97" s="436">
        <f t="shared" si="364"/>
        <v>0</v>
      </c>
      <c r="DH97" s="436">
        <f t="shared" si="365"/>
        <v>0</v>
      </c>
      <c r="DI97" s="436">
        <f t="shared" si="366"/>
        <v>0</v>
      </c>
      <c r="DJ97" s="436">
        <f t="shared" si="367"/>
        <v>0</v>
      </c>
      <c r="DK97" s="436">
        <f t="shared" si="368"/>
        <v>0</v>
      </c>
      <c r="DL97" s="436">
        <f t="shared" si="369"/>
        <v>0</v>
      </c>
      <c r="DM97" s="436">
        <f t="shared" si="370"/>
        <v>0</v>
      </c>
      <c r="DN97" s="436">
        <f t="shared" si="371"/>
        <v>0</v>
      </c>
      <c r="DO97" s="436">
        <f t="shared" si="372"/>
        <v>0</v>
      </c>
      <c r="DP97" s="436">
        <f t="shared" si="373"/>
        <v>0</v>
      </c>
      <c r="DQ97" s="436">
        <f t="shared" si="374"/>
        <v>0</v>
      </c>
      <c r="DR97" s="436">
        <f t="shared" si="375"/>
        <v>0</v>
      </c>
      <c r="DS97" s="436">
        <f t="shared" si="376"/>
        <v>0</v>
      </c>
      <c r="DT97" s="436">
        <f t="shared" si="377"/>
        <v>0</v>
      </c>
      <c r="DU97" s="436">
        <f>CU97</f>
        <v>0</v>
      </c>
      <c r="DV97" s="564">
        <f>+DU97</f>
        <v>0</v>
      </c>
      <c r="DW97" s="564">
        <f>+DV97</f>
        <v>0</v>
      </c>
      <c r="DX97" s="564">
        <f t="shared" ref="DX97:DZ97" si="385">+DW97</f>
        <v>0</v>
      </c>
      <c r="DY97" s="564">
        <f t="shared" si="385"/>
        <v>0</v>
      </c>
      <c r="DZ97" s="564">
        <f t="shared" si="385"/>
        <v>0</v>
      </c>
      <c r="EA97" s="512"/>
      <c r="EB97"/>
      <c r="EC97"/>
      <c r="ED97"/>
      <c r="EE97"/>
      <c r="EF97"/>
      <c r="EG97"/>
    </row>
    <row r="98" spans="1:137" s="410" customFormat="1" collapsed="1">
      <c r="A98" s="400"/>
      <c r="B98" s="452" t="s">
        <v>316</v>
      </c>
      <c r="C98" s="658"/>
      <c r="D98" s="636"/>
      <c r="E98" s="564"/>
      <c r="F98" s="564"/>
      <c r="G98" s="572"/>
      <c r="H98" s="564"/>
      <c r="I98" s="564"/>
      <c r="J98" s="564"/>
      <c r="K98" s="572"/>
      <c r="L98" s="564"/>
      <c r="M98" s="564"/>
      <c r="N98" s="564"/>
      <c r="O98" s="572"/>
      <c r="P98" s="564"/>
      <c r="Q98" s="564"/>
      <c r="R98" s="564"/>
      <c r="S98" s="572"/>
      <c r="T98" s="564"/>
      <c r="U98" s="564"/>
      <c r="V98" s="564"/>
      <c r="W98" s="572">
        <v>12.3</v>
      </c>
      <c r="X98" s="564">
        <v>2.2000000000000002</v>
      </c>
      <c r="Y98" s="564">
        <v>-5.5</v>
      </c>
      <c r="Z98" s="564">
        <v>-17</v>
      </c>
      <c r="AA98" s="572">
        <v>-16</v>
      </c>
      <c r="AB98" s="564">
        <v>-18</v>
      </c>
      <c r="AC98" s="564">
        <v>-31</v>
      </c>
      <c r="AD98" s="564">
        <v>-22</v>
      </c>
      <c r="AE98" s="572">
        <v>-53.1</v>
      </c>
      <c r="AF98" s="564">
        <v>-75.099999999999994</v>
      </c>
      <c r="AG98" s="564">
        <v>-37.9</v>
      </c>
      <c r="AH98" s="564">
        <v>-28.7</v>
      </c>
      <c r="AI98" s="572">
        <v>-54.5</v>
      </c>
      <c r="AJ98" s="564">
        <f>-56.9-2</f>
        <v>-58.9</v>
      </c>
      <c r="AK98" s="564">
        <v>-6.9</v>
      </c>
      <c r="AL98" s="564">
        <v>-7.7</v>
      </c>
      <c r="AM98" s="572">
        <v>14</v>
      </c>
      <c r="AN98" s="564">
        <v>25.3</v>
      </c>
      <c r="AO98" s="564">
        <v>13.5</v>
      </c>
      <c r="AP98" s="564">
        <f>+AP100-SUM(AP94:AP97,AP99)</f>
        <v>33.100000000000136</v>
      </c>
      <c r="AQ98" s="572">
        <v>55.2</v>
      </c>
      <c r="AR98" s="564">
        <v>24</v>
      </c>
      <c r="AS98" s="564">
        <f>AS100-SUM(AS99,AS94:AS97)</f>
        <v>-18.199999999999818</v>
      </c>
      <c r="AT98" s="564">
        <f>+AT100-SUM(AT94:AT97)-AT99</f>
        <v>-9.0000000000001368</v>
      </c>
      <c r="AU98" s="572">
        <f>+AU100-SUM(AU94:AU97)-AU99</f>
        <v>-43.793000000000255</v>
      </c>
      <c r="AV98" s="564">
        <v>-43.8</v>
      </c>
      <c r="AW98" s="564">
        <v>-2.7</v>
      </c>
      <c r="AX98" s="564">
        <f>-7.2-1</f>
        <v>-8.1999999999999993</v>
      </c>
      <c r="AY98" s="572">
        <v>-60.3</v>
      </c>
      <c r="AZ98" s="564">
        <v>-40.299999999999997</v>
      </c>
      <c r="BA98" s="564">
        <v>-27.2</v>
      </c>
      <c r="BB98" s="564">
        <v>69.099999999999994</v>
      </c>
      <c r="BC98" s="572">
        <v>127.1</v>
      </c>
      <c r="BD98" s="564">
        <v>213.2</v>
      </c>
      <c r="BE98" s="564">
        <v>216.9</v>
      </c>
      <c r="BF98" s="564">
        <v>40.6</v>
      </c>
      <c r="BG98" s="572">
        <v>-85.9</v>
      </c>
      <c r="BH98" s="564">
        <v>-87</v>
      </c>
      <c r="BI98" s="564">
        <v>-31.4</v>
      </c>
      <c r="BJ98" s="564">
        <v>21.5</v>
      </c>
      <c r="BK98" s="572">
        <v>14.5</v>
      </c>
      <c r="BL98" s="564">
        <f>DL98</f>
        <v>14.5</v>
      </c>
      <c r="BM98" s="564">
        <f>BL98</f>
        <v>14.5</v>
      </c>
      <c r="BN98" s="564">
        <v>-39.6</v>
      </c>
      <c r="BO98" s="572">
        <v>-53.7</v>
      </c>
      <c r="BP98" s="564">
        <v>31.1</v>
      </c>
      <c r="BQ98" s="564">
        <v>65.900000000000006</v>
      </c>
      <c r="BR98" s="564">
        <f>BQ98</f>
        <v>65.900000000000006</v>
      </c>
      <c r="BS98" s="572">
        <v>-150.80000000000001</v>
      </c>
      <c r="BT98" s="564">
        <v>-150.80000000000001</v>
      </c>
      <c r="BU98" s="564">
        <v>-150.80000000000001</v>
      </c>
      <c r="BV98" s="564">
        <v>-120.6</v>
      </c>
      <c r="BW98" s="572">
        <v>-121.3</v>
      </c>
      <c r="BX98" s="564">
        <f>DO98</f>
        <v>-121.3</v>
      </c>
      <c r="BY98" s="564">
        <v>-187.8</v>
      </c>
      <c r="BZ98" s="564">
        <v>-91</v>
      </c>
      <c r="CA98" s="572">
        <v>-14</v>
      </c>
      <c r="CB98" s="564">
        <v>-16.8</v>
      </c>
      <c r="CC98" s="564">
        <v>-18.600000000000001</v>
      </c>
      <c r="CD98" s="564">
        <v>-199.9</v>
      </c>
      <c r="CE98" s="572">
        <v>-383.6</v>
      </c>
      <c r="CF98" s="564">
        <v>-616.9</v>
      </c>
      <c r="CG98" s="564">
        <v>-539.5</v>
      </c>
      <c r="CH98" s="564">
        <v>-576.70000000000005</v>
      </c>
      <c r="CI98" s="572">
        <v>-610.20000000000005</v>
      </c>
      <c r="CJ98" s="564">
        <f>DR98</f>
        <v>-610.20000000000005</v>
      </c>
      <c r="CK98" s="564">
        <v>-593.79999999999995</v>
      </c>
      <c r="CL98" s="564">
        <v>-571</v>
      </c>
      <c r="CM98" s="572">
        <v>-722.1</v>
      </c>
      <c r="CN98" s="564">
        <v>-674.2</v>
      </c>
      <c r="CO98" s="564">
        <v>-606.4</v>
      </c>
      <c r="CP98" s="564">
        <v>-545.70000000000005</v>
      </c>
      <c r="CQ98" s="514">
        <f>CP98</f>
        <v>-545.70000000000005</v>
      </c>
      <c r="CR98" s="933">
        <f>CQ98</f>
        <v>-545.70000000000005</v>
      </c>
      <c r="CS98" s="933">
        <f>CR98</f>
        <v>-545.70000000000005</v>
      </c>
      <c r="CT98" s="933">
        <f>CS98</f>
        <v>-545.70000000000005</v>
      </c>
      <c r="CU98" s="920">
        <f>CT98</f>
        <v>-545.70000000000005</v>
      </c>
      <c r="CV98" s="406"/>
      <c r="CW98" s="433"/>
      <c r="CX98" s="436">
        <f t="shared" si="355"/>
        <v>0</v>
      </c>
      <c r="CY98" s="436">
        <f t="shared" si="356"/>
        <v>0</v>
      </c>
      <c r="CZ98" s="436">
        <f t="shared" si="357"/>
        <v>0</v>
      </c>
      <c r="DA98" s="436">
        <f t="shared" si="358"/>
        <v>0</v>
      </c>
      <c r="DB98" s="436">
        <f t="shared" si="359"/>
        <v>12.3</v>
      </c>
      <c r="DC98" s="436">
        <f t="shared" si="360"/>
        <v>-16</v>
      </c>
      <c r="DD98" s="436">
        <f t="shared" si="361"/>
        <v>-53.1</v>
      </c>
      <c r="DE98" s="436">
        <f t="shared" si="362"/>
        <v>-54.5</v>
      </c>
      <c r="DF98" s="436">
        <f t="shared" si="363"/>
        <v>14</v>
      </c>
      <c r="DG98" s="436">
        <f t="shared" si="364"/>
        <v>55.2</v>
      </c>
      <c r="DH98" s="436">
        <f t="shared" si="365"/>
        <v>-43.793000000000255</v>
      </c>
      <c r="DI98" s="436">
        <f t="shared" si="366"/>
        <v>-60.3</v>
      </c>
      <c r="DJ98" s="436">
        <f t="shared" si="367"/>
        <v>127.1</v>
      </c>
      <c r="DK98" s="436">
        <f t="shared" si="368"/>
        <v>-85.9</v>
      </c>
      <c r="DL98" s="436">
        <f t="shared" si="369"/>
        <v>14.5</v>
      </c>
      <c r="DM98" s="436">
        <f t="shared" si="370"/>
        <v>-53.7</v>
      </c>
      <c r="DN98" s="436">
        <f t="shared" si="371"/>
        <v>-150.80000000000001</v>
      </c>
      <c r="DO98" s="436">
        <f t="shared" si="372"/>
        <v>-121.3</v>
      </c>
      <c r="DP98" s="436">
        <f t="shared" si="373"/>
        <v>-14</v>
      </c>
      <c r="DQ98" s="436">
        <f t="shared" si="374"/>
        <v>-383.6</v>
      </c>
      <c r="DR98" s="436">
        <f t="shared" si="375"/>
        <v>-610.20000000000005</v>
      </c>
      <c r="DS98" s="436">
        <f t="shared" si="376"/>
        <v>-722.1</v>
      </c>
      <c r="DT98" s="436">
        <f t="shared" si="377"/>
        <v>-545.70000000000005</v>
      </c>
      <c r="DU98" s="436">
        <f t="shared" si="378"/>
        <v>-545.70000000000005</v>
      </c>
      <c r="DV98" s="564">
        <f>DU98</f>
        <v>-545.70000000000005</v>
      </c>
      <c r="DW98" s="564">
        <f>DV98</f>
        <v>-545.70000000000005</v>
      </c>
      <c r="DX98" s="564">
        <f t="shared" ref="DX98:DZ98" si="386">DW98</f>
        <v>-545.70000000000005</v>
      </c>
      <c r="DY98" s="564">
        <f t="shared" si="386"/>
        <v>-545.70000000000005</v>
      </c>
      <c r="DZ98" s="564">
        <f t="shared" si="386"/>
        <v>-545.70000000000005</v>
      </c>
      <c r="EA98" s="512"/>
      <c r="EB98"/>
      <c r="EC98"/>
      <c r="ED98"/>
      <c r="EE98"/>
      <c r="EF98"/>
      <c r="EG98"/>
    </row>
    <row r="99" spans="1:137" s="410" customFormat="1">
      <c r="A99" s="400"/>
      <c r="B99" s="515" t="s">
        <v>104</v>
      </c>
      <c r="C99" s="899"/>
      <c r="D99" s="638"/>
      <c r="E99" s="639"/>
      <c r="F99" s="639"/>
      <c r="G99" s="640"/>
      <c r="H99" s="639"/>
      <c r="I99" s="639"/>
      <c r="J99" s="639"/>
      <c r="K99" s="640"/>
      <c r="L99" s="639"/>
      <c r="M99" s="639"/>
      <c r="N99" s="639"/>
      <c r="O99" s="640"/>
      <c r="P99" s="639"/>
      <c r="Q99" s="639"/>
      <c r="R99" s="639"/>
      <c r="S99" s="640"/>
      <c r="T99" s="639"/>
      <c r="U99" s="639"/>
      <c r="V99" s="639"/>
      <c r="W99" s="640">
        <v>-15.2</v>
      </c>
      <c r="X99" s="639">
        <v>-19.3</v>
      </c>
      <c r="Y99" s="639">
        <v>-31.8</v>
      </c>
      <c r="Z99" s="639">
        <v>-34.4</v>
      </c>
      <c r="AA99" s="640">
        <v>-33.299999999999997</v>
      </c>
      <c r="AB99" s="639">
        <v>-29.9</v>
      </c>
      <c r="AC99" s="639">
        <v>-29.7</v>
      </c>
      <c r="AD99" s="639">
        <v>-27.8</v>
      </c>
      <c r="AE99" s="640">
        <v>-27.6</v>
      </c>
      <c r="AF99" s="639">
        <v>-22.7</v>
      </c>
      <c r="AG99" s="639">
        <v>-20</v>
      </c>
      <c r="AH99" s="639">
        <v>-17.899999999999999</v>
      </c>
      <c r="AI99" s="640">
        <v>-35.9</v>
      </c>
      <c r="AJ99" s="639">
        <v>-33.299999999999997</v>
      </c>
      <c r="AK99" s="639">
        <v>-32.700000000000003</v>
      </c>
      <c r="AL99" s="639">
        <v>-6</v>
      </c>
      <c r="AM99" s="640">
        <v>-1.5</v>
      </c>
      <c r="AN99" s="639">
        <v>-0.1</v>
      </c>
      <c r="AO99" s="639">
        <f>+AN99</f>
        <v>-0.1</v>
      </c>
      <c r="AP99" s="639">
        <f>+AO99</f>
        <v>-0.1</v>
      </c>
      <c r="AQ99" s="640">
        <v>-0.1</v>
      </c>
      <c r="AR99" s="639">
        <f>+DG99</f>
        <v>-0.1</v>
      </c>
      <c r="AS99" s="639">
        <f>+AR99</f>
        <v>-0.1</v>
      </c>
      <c r="AT99" s="639">
        <f>+AS99</f>
        <v>-0.1</v>
      </c>
      <c r="AU99" s="640">
        <f>+AT99</f>
        <v>-0.1</v>
      </c>
      <c r="AV99" s="639">
        <v>-0.1</v>
      </c>
      <c r="AW99" s="639">
        <f>+AV99</f>
        <v>-0.1</v>
      </c>
      <c r="AX99" s="639">
        <f>+AW99</f>
        <v>-0.1</v>
      </c>
      <c r="AY99" s="640">
        <v>-0.1</v>
      </c>
      <c r="AZ99" s="639">
        <v>-0.1</v>
      </c>
      <c r="BA99" s="639">
        <v>-16.3</v>
      </c>
      <c r="BB99" s="639">
        <v>-37.799999999999997</v>
      </c>
      <c r="BC99" s="640">
        <v>-46.5</v>
      </c>
      <c r="BD99" s="639">
        <v>-56.1</v>
      </c>
      <c r="BE99" s="639">
        <v>-64.099999999999994</v>
      </c>
      <c r="BF99" s="639">
        <v>-80.099999999999994</v>
      </c>
      <c r="BG99" s="640">
        <v>-87.4</v>
      </c>
      <c r="BH99" s="639">
        <v>-117.5</v>
      </c>
      <c r="BI99" s="639">
        <v>-81.8</v>
      </c>
      <c r="BJ99" s="639">
        <f>2137.2-SUM(BJ94:BJ98)</f>
        <v>-76.400000000000546</v>
      </c>
      <c r="BK99" s="640">
        <v>-57.9</v>
      </c>
      <c r="BL99" s="639">
        <f>2204.2-SUM(BL94:BL98)</f>
        <v>-112.79326000000037</v>
      </c>
      <c r="BM99" s="639">
        <f>2016.1-SUM(BM94:BM98)</f>
        <v>-398.99326000000019</v>
      </c>
      <c r="BN99" s="639">
        <v>-222.7</v>
      </c>
      <c r="BO99" s="640">
        <v>-349.5</v>
      </c>
      <c r="BP99" s="639">
        <v>-531.4</v>
      </c>
      <c r="BQ99" s="639">
        <f>2430.9-SUM(BQ94:BQ98)</f>
        <v>-618.40000000000009</v>
      </c>
      <c r="BR99" s="639">
        <f>2405.5-SUM(BR94:BR98)</f>
        <v>-789.90000000000009</v>
      </c>
      <c r="BS99" s="640">
        <v>-707.1</v>
      </c>
      <c r="BT99" s="639">
        <v>-707.1</v>
      </c>
      <c r="BU99" s="639">
        <v>-610.4</v>
      </c>
      <c r="BV99" s="639">
        <v>-510.8</v>
      </c>
      <c r="BW99" s="640">
        <v>-569.20000000000005</v>
      </c>
      <c r="BX99" s="639">
        <f>+DO99</f>
        <v>-569.20000000000005</v>
      </c>
      <c r="BY99" s="639">
        <v>-674.9</v>
      </c>
      <c r="BZ99" s="639">
        <v>-740.5</v>
      </c>
      <c r="CA99" s="640">
        <v>-727.2</v>
      </c>
      <c r="CB99" s="639">
        <v>-702.7</v>
      </c>
      <c r="CC99" s="639">
        <v>-722.1</v>
      </c>
      <c r="CD99" s="639">
        <v>-782.8</v>
      </c>
      <c r="CE99" s="640">
        <v>-832.2</v>
      </c>
      <c r="CF99" s="639">
        <v>-844.9</v>
      </c>
      <c r="CG99" s="639">
        <v>-861.6</v>
      </c>
      <c r="CH99" s="639">
        <v>-931.2</v>
      </c>
      <c r="CI99" s="640">
        <v>-1158.4000000000001</v>
      </c>
      <c r="CJ99" s="639">
        <f>+DR99</f>
        <v>-1158.4000000000001</v>
      </c>
      <c r="CK99" s="639">
        <v>-1300.9000000000001</v>
      </c>
      <c r="CL99" s="639">
        <v>-1352.4</v>
      </c>
      <c r="CM99" s="572">
        <v>-1381.6</v>
      </c>
      <c r="CN99" s="564">
        <v>-1377.2</v>
      </c>
      <c r="CO99" s="639">
        <v>-1430.1</v>
      </c>
      <c r="CP99" s="639">
        <v>-1444</v>
      </c>
      <c r="CQ99" s="514">
        <f>+CP99</f>
        <v>-1444</v>
      </c>
      <c r="CR99" s="933">
        <f>+CQ99</f>
        <v>-1444</v>
      </c>
      <c r="CS99" s="933">
        <f>+CR99</f>
        <v>-1444</v>
      </c>
      <c r="CT99" s="933">
        <f>+CS99</f>
        <v>-1444</v>
      </c>
      <c r="CU99" s="920">
        <f>+CT99</f>
        <v>-1444</v>
      </c>
      <c r="CV99" s="406"/>
      <c r="CW99" s="440"/>
      <c r="CX99" s="443">
        <f t="shared" si="355"/>
        <v>0</v>
      </c>
      <c r="CY99" s="443">
        <f t="shared" si="356"/>
        <v>0</v>
      </c>
      <c r="CZ99" s="443">
        <f t="shared" si="357"/>
        <v>0</v>
      </c>
      <c r="DA99" s="443">
        <f t="shared" si="358"/>
        <v>0</v>
      </c>
      <c r="DB99" s="443">
        <f t="shared" si="359"/>
        <v>-15.2</v>
      </c>
      <c r="DC99" s="443">
        <f t="shared" si="360"/>
        <v>-33.299999999999997</v>
      </c>
      <c r="DD99" s="443">
        <f t="shared" si="361"/>
        <v>-27.6</v>
      </c>
      <c r="DE99" s="443">
        <f t="shared" si="362"/>
        <v>-35.9</v>
      </c>
      <c r="DF99" s="443">
        <f t="shared" si="363"/>
        <v>-1.5</v>
      </c>
      <c r="DG99" s="443">
        <f t="shared" si="364"/>
        <v>-0.1</v>
      </c>
      <c r="DH99" s="443">
        <f t="shared" si="365"/>
        <v>-0.1</v>
      </c>
      <c r="DI99" s="443">
        <f t="shared" si="366"/>
        <v>-0.1</v>
      </c>
      <c r="DJ99" s="443">
        <f t="shared" si="367"/>
        <v>-46.5</v>
      </c>
      <c r="DK99" s="443">
        <f t="shared" si="368"/>
        <v>-87.4</v>
      </c>
      <c r="DL99" s="443">
        <f t="shared" si="369"/>
        <v>-57.9</v>
      </c>
      <c r="DM99" s="443">
        <f t="shared" si="370"/>
        <v>-349.5</v>
      </c>
      <c r="DN99" s="443">
        <f t="shared" si="371"/>
        <v>-707.1</v>
      </c>
      <c r="DO99" s="443">
        <f t="shared" si="372"/>
        <v>-569.20000000000005</v>
      </c>
      <c r="DP99" s="443">
        <f t="shared" si="373"/>
        <v>-727.2</v>
      </c>
      <c r="DQ99" s="443">
        <f t="shared" si="374"/>
        <v>-832.2</v>
      </c>
      <c r="DR99" s="443">
        <f t="shared" si="375"/>
        <v>-1158.4000000000001</v>
      </c>
      <c r="DS99" s="443">
        <f t="shared" si="376"/>
        <v>-1381.6</v>
      </c>
      <c r="DT99" s="443">
        <f t="shared" si="377"/>
        <v>-1444</v>
      </c>
      <c r="DU99" s="443">
        <f t="shared" si="378"/>
        <v>-1444</v>
      </c>
      <c r="DV99" s="639">
        <f>+DU99</f>
        <v>-1444</v>
      </c>
      <c r="DW99" s="639">
        <f>+DV99</f>
        <v>-1444</v>
      </c>
      <c r="DX99" s="639">
        <f t="shared" ref="DX99:DZ99" si="387">+DW99</f>
        <v>-1444</v>
      </c>
      <c r="DY99" s="639">
        <f t="shared" si="387"/>
        <v>-1444</v>
      </c>
      <c r="DZ99" s="639">
        <f t="shared" si="387"/>
        <v>-1444</v>
      </c>
      <c r="EA99" s="512"/>
      <c r="EB99"/>
      <c r="EC99"/>
      <c r="ED99"/>
      <c r="EE99"/>
      <c r="EF99"/>
      <c r="EG99"/>
    </row>
    <row r="100" spans="1:137" s="410" customFormat="1">
      <c r="A100" s="400"/>
      <c r="B100" s="452" t="s">
        <v>399</v>
      </c>
      <c r="C100" s="658"/>
      <c r="D100" s="636">
        <v>554</v>
      </c>
      <c r="E100" s="564">
        <v>586.29999999999995</v>
      </c>
      <c r="F100" s="564">
        <v>582.9</v>
      </c>
      <c r="G100" s="572">
        <v>600</v>
      </c>
      <c r="H100" s="564">
        <v>604.29999999999995</v>
      </c>
      <c r="I100" s="564">
        <v>619.9</v>
      </c>
      <c r="J100" s="564">
        <v>636.29999999999995</v>
      </c>
      <c r="K100" s="572">
        <v>628.79999999999995</v>
      </c>
      <c r="L100" s="564">
        <v>640.4</v>
      </c>
      <c r="M100" s="564">
        <v>678.1</v>
      </c>
      <c r="N100" s="564">
        <v>687.6</v>
      </c>
      <c r="O100" s="572">
        <v>693.7</v>
      </c>
      <c r="P100" s="564">
        <v>716.9</v>
      </c>
      <c r="Q100" s="564">
        <v>715.6</v>
      </c>
      <c r="R100" s="564">
        <v>729.3</v>
      </c>
      <c r="S100" s="572">
        <v>777.3</v>
      </c>
      <c r="T100" s="564">
        <v>953.8</v>
      </c>
      <c r="U100" s="564">
        <v>983.1</v>
      </c>
      <c r="V100" s="564">
        <v>1020.7</v>
      </c>
      <c r="W100" s="572">
        <v>1057.5</v>
      </c>
      <c r="X100" s="564">
        <v>1079.0999999999999</v>
      </c>
      <c r="Y100" s="564">
        <v>1095.5999999999999</v>
      </c>
      <c r="Z100" s="564">
        <v>1082.0999999999999</v>
      </c>
      <c r="AA100" s="572">
        <v>1087.0999999999999</v>
      </c>
      <c r="AB100" s="564">
        <v>1104.5999999999999</v>
      </c>
      <c r="AC100" s="564">
        <v>1112.0999999999999</v>
      </c>
      <c r="AD100" s="564">
        <v>1136.8</v>
      </c>
      <c r="AE100" s="572">
        <v>1104.2</v>
      </c>
      <c r="AF100" s="564">
        <v>850.6</v>
      </c>
      <c r="AG100" s="564">
        <v>936.2</v>
      </c>
      <c r="AH100" s="564">
        <v>984.9</v>
      </c>
      <c r="AI100" s="572">
        <v>981.4</v>
      </c>
      <c r="AJ100" s="564">
        <v>1025.4000000000001</v>
      </c>
      <c r="AK100" s="564">
        <v>1118.7</v>
      </c>
      <c r="AL100" s="564">
        <v>1179.4000000000001</v>
      </c>
      <c r="AM100" s="572">
        <v>1260.4000000000001</v>
      </c>
      <c r="AN100" s="437">
        <f>+SUM(AN94:AN99)</f>
        <v>1339.4</v>
      </c>
      <c r="AO100" s="564">
        <v>1381.6</v>
      </c>
      <c r="AP100" s="564">
        <v>1448.8</v>
      </c>
      <c r="AQ100" s="517">
        <f>+SUM(AQ94:AQ99)</f>
        <v>1534.2</v>
      </c>
      <c r="AR100" s="564">
        <v>1577.2</v>
      </c>
      <c r="AS100" s="564">
        <v>1564.4</v>
      </c>
      <c r="AT100" s="564">
        <v>1625.5</v>
      </c>
      <c r="AU100" s="572">
        <v>1644.2</v>
      </c>
      <c r="AV100" s="564">
        <v>1734</v>
      </c>
      <c r="AW100" s="437">
        <f>+SUM(AW94:AW99)</f>
        <v>1844.2</v>
      </c>
      <c r="AX100" s="437">
        <f t="shared" ref="AX100:CP100" si="388">+SUM(AX94:AX99)</f>
        <v>1877.3000000000002</v>
      </c>
      <c r="AY100" s="517">
        <f t="shared" si="388"/>
        <v>1875.4</v>
      </c>
      <c r="AZ100" s="437">
        <f t="shared" si="388"/>
        <v>1951.9</v>
      </c>
      <c r="BA100" s="437">
        <f t="shared" si="388"/>
        <v>2024.9</v>
      </c>
      <c r="BB100" s="437">
        <f t="shared" si="388"/>
        <v>2194.7999999999997</v>
      </c>
      <c r="BC100" s="517">
        <f t="shared" si="388"/>
        <v>2321.1</v>
      </c>
      <c r="BD100" s="437">
        <f t="shared" si="388"/>
        <v>2479.4</v>
      </c>
      <c r="BE100" s="437">
        <f t="shared" si="388"/>
        <v>2554.9</v>
      </c>
      <c r="BF100" s="437">
        <f t="shared" si="388"/>
        <v>2227</v>
      </c>
      <c r="BG100" s="517">
        <f t="shared" si="388"/>
        <v>2006</v>
      </c>
      <c r="BH100" s="437">
        <f t="shared" si="388"/>
        <v>1961</v>
      </c>
      <c r="BI100" s="437">
        <f t="shared" si="388"/>
        <v>2057.6</v>
      </c>
      <c r="BJ100" s="437">
        <f t="shared" si="388"/>
        <v>2137.1999999999998</v>
      </c>
      <c r="BK100" s="517">
        <f t="shared" si="388"/>
        <v>2185.2999999999997</v>
      </c>
      <c r="BL100" s="437">
        <f t="shared" si="388"/>
        <v>2204.1999999999998</v>
      </c>
      <c r="BM100" s="437">
        <f t="shared" si="388"/>
        <v>2016.1</v>
      </c>
      <c r="BN100" s="437">
        <f t="shared" si="388"/>
        <v>2255.9</v>
      </c>
      <c r="BO100" s="517">
        <f t="shared" si="388"/>
        <v>2258.6000000000004</v>
      </c>
      <c r="BP100" s="437">
        <f t="shared" si="388"/>
        <v>2306.3999999999996</v>
      </c>
      <c r="BQ100" s="437">
        <f t="shared" si="388"/>
        <v>2430.9</v>
      </c>
      <c r="BR100" s="437">
        <f t="shared" si="388"/>
        <v>2405.5</v>
      </c>
      <c r="BS100" s="517">
        <f t="shared" si="388"/>
        <v>2387.9</v>
      </c>
      <c r="BT100" s="437">
        <f t="shared" si="388"/>
        <v>2658</v>
      </c>
      <c r="BU100" s="437">
        <f t="shared" si="388"/>
        <v>2873.7</v>
      </c>
      <c r="BV100" s="437">
        <f t="shared" si="388"/>
        <v>3044.7999999999997</v>
      </c>
      <c r="BW100" s="517">
        <f t="shared" si="388"/>
        <v>3082.5999999999995</v>
      </c>
      <c r="BX100" s="437">
        <f t="shared" si="388"/>
        <v>3106.0999999999995</v>
      </c>
      <c r="BY100" s="437">
        <f t="shared" si="388"/>
        <v>3195.1</v>
      </c>
      <c r="BZ100" s="437">
        <f t="shared" si="388"/>
        <v>3367.3</v>
      </c>
      <c r="CA100" s="517">
        <f t="shared" si="388"/>
        <v>3560.6000000000004</v>
      </c>
      <c r="CB100" s="437">
        <f t="shared" si="388"/>
        <v>3683.5</v>
      </c>
      <c r="CC100" s="437">
        <f t="shared" si="388"/>
        <v>3828.7999999999997</v>
      </c>
      <c r="CD100" s="437">
        <f t="shared" si="388"/>
        <v>3730.6000000000004</v>
      </c>
      <c r="CE100" s="517">
        <f t="shared" si="388"/>
        <v>3616.2</v>
      </c>
      <c r="CF100" s="437">
        <f t="shared" si="388"/>
        <v>3504.0000000000005</v>
      </c>
      <c r="CG100" s="437">
        <f t="shared" si="388"/>
        <v>3686.7000000000003</v>
      </c>
      <c r="CH100" s="437">
        <f t="shared" si="388"/>
        <v>3717.0000000000009</v>
      </c>
      <c r="CI100" s="517">
        <f t="shared" si="388"/>
        <v>3553.7000000000003</v>
      </c>
      <c r="CJ100" s="437">
        <f t="shared" si="388"/>
        <v>3693.2000000000003</v>
      </c>
      <c r="CK100" s="437">
        <f t="shared" si="388"/>
        <v>3681.6999999999994</v>
      </c>
      <c r="CL100" s="437">
        <f t="shared" si="388"/>
        <v>3709.9</v>
      </c>
      <c r="CM100" s="518">
        <f t="shared" si="388"/>
        <v>3218.2999999999997</v>
      </c>
      <c r="CN100" s="519">
        <f t="shared" si="388"/>
        <v>3403.3999999999996</v>
      </c>
      <c r="CO100" s="437">
        <f t="shared" si="388"/>
        <v>3612.0000000000005</v>
      </c>
      <c r="CP100" s="437">
        <f t="shared" si="388"/>
        <v>3825.7</v>
      </c>
      <c r="CQ100" s="921">
        <f t="shared" ref="CQ100:CU100" si="389">+SUM(CQ94:CQ99)</f>
        <v>3716.8</v>
      </c>
      <c r="CR100" s="943">
        <f t="shared" ref="CR100" si="390">+SUM(CR94:CR99)</f>
        <v>3887.8357515340276</v>
      </c>
      <c r="CS100" s="943">
        <f t="shared" si="389"/>
        <v>4069.1147182772029</v>
      </c>
      <c r="CT100" s="943">
        <f t="shared" si="389"/>
        <v>4232.5434784892268</v>
      </c>
      <c r="CU100" s="921">
        <f t="shared" si="389"/>
        <v>4420.8635542355432</v>
      </c>
      <c r="CV100" s="406"/>
      <c r="CW100" s="564">
        <v>534.9</v>
      </c>
      <c r="CX100" s="452">
        <f>G100</f>
        <v>600</v>
      </c>
      <c r="CY100" s="452">
        <f t="shared" si="356"/>
        <v>628.79999999999995</v>
      </c>
      <c r="CZ100" s="452">
        <f>O100</f>
        <v>693.7</v>
      </c>
      <c r="DA100" s="452">
        <f>S100</f>
        <v>777.3</v>
      </c>
      <c r="DB100" s="452">
        <f t="shared" ref="DB100:DW100" si="391">+SUM(DB94:DB99)</f>
        <v>1057.5</v>
      </c>
      <c r="DC100" s="452">
        <f t="shared" si="391"/>
        <v>1087.1000000000001</v>
      </c>
      <c r="DD100" s="452">
        <f t="shared" si="391"/>
        <v>1104.2000000000003</v>
      </c>
      <c r="DE100" s="452">
        <f t="shared" si="391"/>
        <v>981.4</v>
      </c>
      <c r="DF100" s="452">
        <f t="shared" si="391"/>
        <v>1260.3999999999999</v>
      </c>
      <c r="DG100" s="452">
        <f t="shared" si="391"/>
        <v>1534.2</v>
      </c>
      <c r="DH100" s="452">
        <f t="shared" si="391"/>
        <v>1644.2</v>
      </c>
      <c r="DI100" s="452">
        <f t="shared" si="391"/>
        <v>1875.4</v>
      </c>
      <c r="DJ100" s="452">
        <f t="shared" si="391"/>
        <v>2321.1</v>
      </c>
      <c r="DK100" s="452">
        <f t="shared" si="391"/>
        <v>2006</v>
      </c>
      <c r="DL100" s="452">
        <f t="shared" si="391"/>
        <v>2185.2999999999997</v>
      </c>
      <c r="DM100" s="452">
        <f t="shared" si="391"/>
        <v>2258.6000000000004</v>
      </c>
      <c r="DN100" s="452">
        <f t="shared" si="391"/>
        <v>2387.9</v>
      </c>
      <c r="DO100" s="452">
        <f t="shared" si="391"/>
        <v>3082.5999999999995</v>
      </c>
      <c r="DP100" s="452">
        <f t="shared" si="391"/>
        <v>3560.6000000000004</v>
      </c>
      <c r="DQ100" s="452">
        <f t="shared" si="391"/>
        <v>3616.2</v>
      </c>
      <c r="DR100" s="452">
        <f t="shared" si="391"/>
        <v>3553.7000000000003</v>
      </c>
      <c r="DS100" s="452">
        <f t="shared" si="391"/>
        <v>3218.2999999999997</v>
      </c>
      <c r="DT100" s="452">
        <f t="shared" si="391"/>
        <v>3716.8</v>
      </c>
      <c r="DU100" s="452">
        <f t="shared" ref="DU100" si="392">+SUM(DU94:DU99)</f>
        <v>4420.8635542355432</v>
      </c>
      <c r="DV100" s="452">
        <f t="shared" si="391"/>
        <v>5252.544387276751</v>
      </c>
      <c r="DW100" s="452">
        <f t="shared" si="391"/>
        <v>6103.4892842392519</v>
      </c>
      <c r="DX100" s="452">
        <f t="shared" ref="DX100:DZ100" si="393">+SUM(DX94:DX99)</f>
        <v>6966.8771432022604</v>
      </c>
      <c r="DY100" s="452">
        <f t="shared" si="393"/>
        <v>7828.2192483421113</v>
      </c>
      <c r="DZ100" s="452">
        <f t="shared" si="393"/>
        <v>8671.2221128808706</v>
      </c>
      <c r="EA100" s="512"/>
      <c r="EB100"/>
      <c r="EC100"/>
      <c r="ED100"/>
      <c r="EE100"/>
      <c r="EF100"/>
      <c r="EG100"/>
    </row>
    <row r="101" spans="1:137" s="410" customFormat="1">
      <c r="A101" s="400"/>
      <c r="B101" s="452"/>
      <c r="C101" s="658"/>
      <c r="D101" s="432"/>
      <c r="E101" s="433"/>
      <c r="F101" s="433"/>
      <c r="G101" s="434"/>
      <c r="H101" s="433"/>
      <c r="I101" s="433"/>
      <c r="J101" s="433"/>
      <c r="K101" s="434"/>
      <c r="L101" s="433"/>
      <c r="M101" s="433"/>
      <c r="N101" s="433"/>
      <c r="O101" s="434"/>
      <c r="P101" s="433"/>
      <c r="Q101" s="433"/>
      <c r="R101" s="433"/>
      <c r="S101" s="434"/>
      <c r="T101" s="433"/>
      <c r="U101" s="433"/>
      <c r="V101" s="433"/>
      <c r="W101" s="434"/>
      <c r="X101" s="433"/>
      <c r="Y101" s="433"/>
      <c r="Z101" s="433"/>
      <c r="AA101" s="434"/>
      <c r="AB101" s="433"/>
      <c r="AC101" s="433"/>
      <c r="AD101" s="433"/>
      <c r="AE101" s="434"/>
      <c r="AF101" s="433"/>
      <c r="AG101" s="433"/>
      <c r="AH101" s="433"/>
      <c r="AI101" s="434"/>
      <c r="AJ101" s="433"/>
      <c r="AK101" s="433"/>
      <c r="AL101" s="433"/>
      <c r="AM101" s="434"/>
      <c r="AN101" s="433"/>
      <c r="AO101" s="433"/>
      <c r="AP101" s="433"/>
      <c r="AQ101" s="434"/>
      <c r="AR101" s="433"/>
      <c r="AS101" s="433"/>
      <c r="AT101" s="433"/>
      <c r="AU101" s="434"/>
      <c r="AV101" s="433"/>
      <c r="AW101" s="433"/>
      <c r="AX101" s="433"/>
      <c r="AY101" s="434"/>
      <c r="AZ101" s="433"/>
      <c r="BA101" s="433"/>
      <c r="BB101" s="433"/>
      <c r="BC101" s="434"/>
      <c r="BD101" s="433"/>
      <c r="BE101" s="433"/>
      <c r="BF101" s="433"/>
      <c r="BG101" s="434"/>
      <c r="BH101" s="433"/>
      <c r="BI101" s="433"/>
      <c r="BJ101" s="433"/>
      <c r="BK101" s="434"/>
      <c r="BL101" s="433"/>
      <c r="BM101" s="433"/>
      <c r="BN101" s="433"/>
      <c r="BO101" s="434"/>
      <c r="BP101" s="433"/>
      <c r="BQ101" s="433"/>
      <c r="BR101" s="433"/>
      <c r="BS101" s="434"/>
      <c r="BT101" s="433"/>
      <c r="BU101" s="433"/>
      <c r="BV101" s="433"/>
      <c r="BW101" s="434"/>
      <c r="BX101" s="433"/>
      <c r="BY101" s="433"/>
      <c r="BZ101" s="433"/>
      <c r="CA101" s="434"/>
      <c r="CB101" s="433"/>
      <c r="CC101" s="433"/>
      <c r="CD101" s="433"/>
      <c r="CE101" s="434"/>
      <c r="CF101" s="433"/>
      <c r="CG101" s="433"/>
      <c r="CH101" s="433"/>
      <c r="CI101" s="434"/>
      <c r="CJ101" s="433"/>
      <c r="CK101" s="433"/>
      <c r="CL101" s="433"/>
      <c r="CM101" s="514"/>
      <c r="CN101" s="452"/>
      <c r="CO101" s="452"/>
      <c r="CP101" s="433"/>
      <c r="CQ101" s="434"/>
      <c r="CR101" s="932"/>
      <c r="CS101" s="932"/>
      <c r="CT101" s="932"/>
      <c r="CU101" s="919"/>
      <c r="CV101" s="406"/>
      <c r="CW101" s="433"/>
      <c r="CX101" s="436"/>
      <c r="CY101" s="436"/>
      <c r="CZ101" s="436"/>
      <c r="DA101" s="436"/>
      <c r="DB101" s="436"/>
      <c r="DC101" s="436"/>
      <c r="DD101" s="436"/>
      <c r="DE101" s="436"/>
      <c r="DF101" s="436"/>
      <c r="DG101" s="436"/>
      <c r="DH101" s="436"/>
      <c r="DI101" s="436"/>
      <c r="DJ101" s="436"/>
      <c r="DK101" s="436"/>
      <c r="DL101" s="436"/>
      <c r="DM101" s="436"/>
      <c r="DN101" s="436"/>
      <c r="DO101" s="436"/>
      <c r="DP101" s="436"/>
      <c r="DQ101" s="436"/>
      <c r="DR101" s="436"/>
      <c r="DS101" s="436"/>
      <c r="DT101" s="436"/>
      <c r="DU101" s="436"/>
      <c r="DV101" s="437"/>
      <c r="DW101" s="437"/>
      <c r="DX101" s="437"/>
      <c r="DY101" s="437"/>
      <c r="DZ101" s="437"/>
      <c r="EA101" s="512"/>
      <c r="EB101"/>
      <c r="EC101"/>
      <c r="ED101"/>
      <c r="EE101"/>
      <c r="EF101"/>
      <c r="EG101"/>
    </row>
    <row r="102" spans="1:137" s="673" customFormat="1">
      <c r="A102" s="400"/>
      <c r="B102" s="520" t="s">
        <v>357</v>
      </c>
      <c r="C102" s="658"/>
      <c r="D102" s="521">
        <f t="shared" ref="D102:AI102" si="394">D85+D90+D100+D92</f>
        <v>1269.5999999999999</v>
      </c>
      <c r="E102" s="522">
        <f t="shared" si="394"/>
        <v>1337.1</v>
      </c>
      <c r="F102" s="522">
        <f t="shared" si="394"/>
        <v>1308.6999999999998</v>
      </c>
      <c r="G102" s="523">
        <f t="shared" si="394"/>
        <v>1335.2</v>
      </c>
      <c r="H102" s="522">
        <f t="shared" si="394"/>
        <v>1361.3999999999999</v>
      </c>
      <c r="I102" s="522">
        <f t="shared" si="394"/>
        <v>1649.9</v>
      </c>
      <c r="J102" s="522">
        <f t="shared" si="394"/>
        <v>1666.1</v>
      </c>
      <c r="K102" s="523">
        <f t="shared" si="394"/>
        <v>1623.6</v>
      </c>
      <c r="L102" s="522">
        <f t="shared" si="394"/>
        <v>1648.6999999999998</v>
      </c>
      <c r="M102" s="522">
        <f t="shared" si="394"/>
        <v>1692.9</v>
      </c>
      <c r="N102" s="522">
        <f t="shared" si="394"/>
        <v>1696.4</v>
      </c>
      <c r="O102" s="523">
        <f t="shared" si="394"/>
        <v>1736.3</v>
      </c>
      <c r="P102" s="522">
        <f t="shared" si="394"/>
        <v>1757.5</v>
      </c>
      <c r="Q102" s="522">
        <f t="shared" si="394"/>
        <v>1762.2000000000003</v>
      </c>
      <c r="R102" s="522">
        <f t="shared" si="394"/>
        <v>1759.5</v>
      </c>
      <c r="S102" s="523">
        <f t="shared" si="394"/>
        <v>1846.1</v>
      </c>
      <c r="T102" s="522">
        <f t="shared" si="394"/>
        <v>2755.6000000000004</v>
      </c>
      <c r="U102" s="522">
        <f t="shared" si="394"/>
        <v>2734.1</v>
      </c>
      <c r="V102" s="522">
        <f t="shared" si="394"/>
        <v>2746</v>
      </c>
      <c r="W102" s="523">
        <f t="shared" si="394"/>
        <v>2970.7</v>
      </c>
      <c r="X102" s="522">
        <f t="shared" si="394"/>
        <v>2904</v>
      </c>
      <c r="Y102" s="522">
        <f t="shared" si="394"/>
        <v>2891.8</v>
      </c>
      <c r="Z102" s="522">
        <f t="shared" si="394"/>
        <v>2844</v>
      </c>
      <c r="AA102" s="523">
        <f t="shared" si="394"/>
        <v>2739.6</v>
      </c>
      <c r="AB102" s="522">
        <f t="shared" si="394"/>
        <v>2768.2</v>
      </c>
      <c r="AC102" s="522">
        <f t="shared" si="394"/>
        <v>2720.8999999999996</v>
      </c>
      <c r="AD102" s="522">
        <f t="shared" si="394"/>
        <v>2770.3</v>
      </c>
      <c r="AE102" s="523">
        <f t="shared" si="394"/>
        <v>2770.9</v>
      </c>
      <c r="AF102" s="522">
        <f t="shared" si="394"/>
        <v>2504.6999999999998</v>
      </c>
      <c r="AG102" s="522">
        <f t="shared" si="394"/>
        <v>2615.8000000000002</v>
      </c>
      <c r="AH102" s="522">
        <f t="shared" si="394"/>
        <v>2672.5</v>
      </c>
      <c r="AI102" s="523">
        <f t="shared" si="394"/>
        <v>2682.9</v>
      </c>
      <c r="AJ102" s="522">
        <f t="shared" ref="AJ102:BO102" si="395">AJ85+AJ90+AJ100+AJ92</f>
        <v>2748.3</v>
      </c>
      <c r="AK102" s="522">
        <f t="shared" si="395"/>
        <v>2856.3000000000006</v>
      </c>
      <c r="AL102" s="522">
        <f t="shared" si="395"/>
        <v>2939.5</v>
      </c>
      <c r="AM102" s="523">
        <f t="shared" si="395"/>
        <v>3038.8999999999996</v>
      </c>
      <c r="AN102" s="522">
        <f t="shared" si="395"/>
        <v>3169.7999999999997</v>
      </c>
      <c r="AO102" s="522">
        <f t="shared" si="395"/>
        <v>3194.8</v>
      </c>
      <c r="AP102" s="522">
        <f t="shared" si="395"/>
        <v>3286.8</v>
      </c>
      <c r="AQ102" s="523">
        <f t="shared" si="395"/>
        <v>3529.1</v>
      </c>
      <c r="AR102" s="522">
        <f t="shared" si="395"/>
        <v>4206.3999999999996</v>
      </c>
      <c r="AS102" s="522">
        <f t="shared" si="395"/>
        <v>4136.8999999999996</v>
      </c>
      <c r="AT102" s="522">
        <f t="shared" si="395"/>
        <v>4159.8</v>
      </c>
      <c r="AU102" s="523">
        <f t="shared" si="395"/>
        <v>4089.4</v>
      </c>
      <c r="AV102" s="522">
        <f t="shared" si="395"/>
        <v>4206.2</v>
      </c>
      <c r="AW102" s="522">
        <f t="shared" si="395"/>
        <v>4297.3</v>
      </c>
      <c r="AX102" s="522">
        <f t="shared" si="395"/>
        <v>4377.1000000000004</v>
      </c>
      <c r="AY102" s="523">
        <f t="shared" si="395"/>
        <v>4584</v>
      </c>
      <c r="AZ102" s="522">
        <f t="shared" si="395"/>
        <v>4705.2999999999993</v>
      </c>
      <c r="BA102" s="522">
        <f t="shared" si="395"/>
        <v>4775.6000000000004</v>
      </c>
      <c r="BB102" s="522">
        <f t="shared" si="395"/>
        <v>4854.2</v>
      </c>
      <c r="BC102" s="523">
        <f t="shared" si="395"/>
        <v>4958.5</v>
      </c>
      <c r="BD102" s="522">
        <f t="shared" si="395"/>
        <v>5287.2000000000007</v>
      </c>
      <c r="BE102" s="522">
        <f t="shared" si="395"/>
        <v>5441.4000000000005</v>
      </c>
      <c r="BF102" s="522">
        <f t="shared" si="395"/>
        <v>4886</v>
      </c>
      <c r="BG102" s="523">
        <f t="shared" si="395"/>
        <v>4644</v>
      </c>
      <c r="BH102" s="522">
        <f t="shared" si="395"/>
        <v>4353.7</v>
      </c>
      <c r="BI102" s="522">
        <f t="shared" si="395"/>
        <v>4610.9999999999991</v>
      </c>
      <c r="BJ102" s="522">
        <f t="shared" si="395"/>
        <v>4791.2</v>
      </c>
      <c r="BK102" s="523">
        <f t="shared" si="395"/>
        <v>4811.3999999999996</v>
      </c>
      <c r="BL102" s="522">
        <f t="shared" si="395"/>
        <v>4966.2</v>
      </c>
      <c r="BM102" s="522">
        <f t="shared" si="395"/>
        <v>4969.2</v>
      </c>
      <c r="BN102" s="522">
        <f t="shared" si="395"/>
        <v>5577.7000000000007</v>
      </c>
      <c r="BO102" s="523">
        <f t="shared" si="395"/>
        <v>5555</v>
      </c>
      <c r="BP102" s="522">
        <f t="shared" ref="BP102:CP102" si="396">BP85+BP90+BP100+BP92</f>
        <v>6007</v>
      </c>
      <c r="BQ102" s="522">
        <f t="shared" si="396"/>
        <v>6226</v>
      </c>
      <c r="BR102" s="522">
        <f t="shared" si="396"/>
        <v>6094.3</v>
      </c>
      <c r="BS102" s="523">
        <f t="shared" si="396"/>
        <v>5958.6</v>
      </c>
      <c r="BT102" s="522">
        <f t="shared" si="396"/>
        <v>6281.3</v>
      </c>
      <c r="BU102" s="522">
        <f t="shared" si="396"/>
        <v>6220.7</v>
      </c>
      <c r="BV102" s="522">
        <f t="shared" si="396"/>
        <v>6346.4999999999991</v>
      </c>
      <c r="BW102" s="523">
        <f t="shared" si="396"/>
        <v>6400.7999999999993</v>
      </c>
      <c r="BX102" s="522">
        <f t="shared" si="396"/>
        <v>6528.9</v>
      </c>
      <c r="BY102" s="522">
        <f t="shared" si="396"/>
        <v>6705.4</v>
      </c>
      <c r="BZ102" s="522">
        <f t="shared" si="396"/>
        <v>6964.3</v>
      </c>
      <c r="CA102" s="523">
        <f t="shared" si="396"/>
        <v>6917.0000000000009</v>
      </c>
      <c r="CB102" s="522">
        <f t="shared" si="396"/>
        <v>7357.8</v>
      </c>
      <c r="CC102" s="522">
        <f t="shared" si="396"/>
        <v>7456.9999999999991</v>
      </c>
      <c r="CD102" s="522">
        <f t="shared" si="396"/>
        <v>7282.3000000000011</v>
      </c>
      <c r="CE102" s="523">
        <f t="shared" si="396"/>
        <v>7227.9999999999991</v>
      </c>
      <c r="CF102" s="522">
        <f t="shared" si="396"/>
        <v>7522.6</v>
      </c>
      <c r="CG102" s="522">
        <f t="shared" si="396"/>
        <v>7766.3</v>
      </c>
      <c r="CH102" s="522">
        <f t="shared" si="396"/>
        <v>7687.1</v>
      </c>
      <c r="CI102" s="523">
        <f t="shared" si="396"/>
        <v>8841.5</v>
      </c>
      <c r="CJ102" s="522">
        <f t="shared" si="396"/>
        <v>8940.7000000000007</v>
      </c>
      <c r="CK102" s="522">
        <f t="shared" si="396"/>
        <v>8988.5999999999985</v>
      </c>
      <c r="CL102" s="522">
        <f t="shared" si="396"/>
        <v>9007.2999999999993</v>
      </c>
      <c r="CM102" s="523">
        <f t="shared" si="396"/>
        <v>8834.7000000000007</v>
      </c>
      <c r="CN102" s="522">
        <f t="shared" si="396"/>
        <v>9083.6999999999989</v>
      </c>
      <c r="CO102" s="522">
        <f t="shared" si="396"/>
        <v>9288.5</v>
      </c>
      <c r="CP102" s="522">
        <f t="shared" si="396"/>
        <v>9816.1999999999989</v>
      </c>
      <c r="CQ102" s="523">
        <f t="shared" ref="CQ102" si="397">CQ85+CQ90+CQ100+CQ92</f>
        <v>9787.6</v>
      </c>
      <c r="CR102" s="936">
        <f t="shared" ref="CR102:CU102" si="398">CR85+CR90+CR100+CR92</f>
        <v>9954.7461050648162</v>
      </c>
      <c r="CS102" s="936">
        <f t="shared" si="398"/>
        <v>10257.10215850444</v>
      </c>
      <c r="CT102" s="936">
        <f t="shared" si="398"/>
        <v>10435.432459164858</v>
      </c>
      <c r="CU102" s="925">
        <f t="shared" si="398"/>
        <v>10837.263381376129</v>
      </c>
      <c r="CV102" s="537"/>
      <c r="CW102" s="522">
        <f t="shared" ref="CW102:DW102" si="399">CW85+CW90+CW100+CW92</f>
        <v>1240.3</v>
      </c>
      <c r="CX102" s="522">
        <f t="shared" si="399"/>
        <v>1335.2</v>
      </c>
      <c r="CY102" s="522">
        <f t="shared" si="399"/>
        <v>1623.6</v>
      </c>
      <c r="CZ102" s="522">
        <f t="shared" si="399"/>
        <v>1736.3</v>
      </c>
      <c r="DA102" s="522">
        <f t="shared" si="399"/>
        <v>1846.1</v>
      </c>
      <c r="DB102" s="522">
        <f t="shared" si="399"/>
        <v>2970.7</v>
      </c>
      <c r="DC102" s="522">
        <f t="shared" si="399"/>
        <v>2739.6000000000004</v>
      </c>
      <c r="DD102" s="522">
        <f t="shared" si="399"/>
        <v>2770.9000000000005</v>
      </c>
      <c r="DE102" s="522">
        <f t="shared" si="399"/>
        <v>2682.9</v>
      </c>
      <c r="DF102" s="522">
        <f t="shared" si="399"/>
        <v>3038.8999999999996</v>
      </c>
      <c r="DG102" s="522">
        <f t="shared" si="399"/>
        <v>3529.1</v>
      </c>
      <c r="DH102" s="522">
        <f t="shared" si="399"/>
        <v>4089.4</v>
      </c>
      <c r="DI102" s="522">
        <f t="shared" si="399"/>
        <v>4584</v>
      </c>
      <c r="DJ102" s="522">
        <f t="shared" si="399"/>
        <v>4958.5</v>
      </c>
      <c r="DK102" s="522">
        <f t="shared" si="399"/>
        <v>4644</v>
      </c>
      <c r="DL102" s="522">
        <f t="shared" si="399"/>
        <v>4811.3999999999996</v>
      </c>
      <c r="DM102" s="522">
        <f t="shared" si="399"/>
        <v>5555</v>
      </c>
      <c r="DN102" s="522">
        <f t="shared" si="399"/>
        <v>5958.6</v>
      </c>
      <c r="DO102" s="522">
        <f t="shared" si="399"/>
        <v>6400.7999999999993</v>
      </c>
      <c r="DP102" s="522">
        <f t="shared" si="399"/>
        <v>6917.0000000000009</v>
      </c>
      <c r="DQ102" s="522">
        <f t="shared" si="399"/>
        <v>7227.9999999999991</v>
      </c>
      <c r="DR102" s="522">
        <f t="shared" si="399"/>
        <v>8841.5</v>
      </c>
      <c r="DS102" s="522">
        <f t="shared" si="399"/>
        <v>8834.7000000000007</v>
      </c>
      <c r="DT102" s="522">
        <f t="shared" si="399"/>
        <v>9787.6</v>
      </c>
      <c r="DU102" s="522">
        <f t="shared" ref="DU102" si="400">DU85+DU90+DU100+DU92</f>
        <v>10837.263381376129</v>
      </c>
      <c r="DV102" s="522">
        <f t="shared" si="399"/>
        <v>11942.873455371777</v>
      </c>
      <c r="DW102" s="522">
        <f t="shared" si="399"/>
        <v>13059.139794377035</v>
      </c>
      <c r="DX102" s="522">
        <f t="shared" ref="DX102:DZ102" si="401">DX85+DX90+DX100+DX92</f>
        <v>14181.816463884845</v>
      </c>
      <c r="DY102" s="522">
        <f t="shared" si="401"/>
        <v>15273.408847443361</v>
      </c>
      <c r="DZ102" s="522">
        <f t="shared" si="401"/>
        <v>16308.443663787752</v>
      </c>
      <c r="EA102" s="558"/>
      <c r="EB102"/>
      <c r="EC102"/>
      <c r="ED102"/>
      <c r="EE102"/>
      <c r="EF102"/>
      <c r="EG102"/>
    </row>
    <row r="103" spans="1:137" s="410" customFormat="1">
      <c r="A103" s="400"/>
      <c r="B103" s="401"/>
      <c r="C103" s="658"/>
      <c r="D103" s="532"/>
      <c r="E103" s="408"/>
      <c r="F103" s="408"/>
      <c r="G103" s="464"/>
      <c r="H103" s="408"/>
      <c r="I103" s="408"/>
      <c r="J103" s="408"/>
      <c r="K103" s="464"/>
      <c r="L103" s="408"/>
      <c r="M103" s="408"/>
      <c r="N103" s="408"/>
      <c r="O103" s="464"/>
      <c r="P103" s="408"/>
      <c r="Q103" s="408"/>
      <c r="R103" s="408"/>
      <c r="S103" s="464"/>
      <c r="T103" s="408"/>
      <c r="U103" s="408"/>
      <c r="V103" s="408"/>
      <c r="W103" s="464"/>
      <c r="X103" s="408"/>
      <c r="Y103" s="408"/>
      <c r="Z103" s="408"/>
      <c r="AA103" s="464"/>
      <c r="AB103" s="408"/>
      <c r="AC103" s="408"/>
      <c r="AD103" s="408"/>
      <c r="AE103" s="464"/>
      <c r="AF103" s="408"/>
      <c r="AG103" s="408"/>
      <c r="AH103" s="408"/>
      <c r="AI103" s="464"/>
      <c r="AJ103" s="408"/>
      <c r="AK103" s="408"/>
      <c r="AL103" s="408"/>
      <c r="AM103" s="464"/>
      <c r="AN103" s="408"/>
      <c r="AO103" s="408"/>
      <c r="AP103" s="408"/>
      <c r="AQ103" s="464"/>
      <c r="AR103" s="408"/>
      <c r="AS103" s="408"/>
      <c r="AT103" s="408"/>
      <c r="AU103" s="464"/>
      <c r="AV103" s="408"/>
      <c r="AW103" s="408"/>
      <c r="AX103" s="408"/>
      <c r="AY103" s="464"/>
      <c r="AZ103" s="408"/>
      <c r="BA103" s="408"/>
      <c r="BB103" s="408"/>
      <c r="BC103" s="464"/>
      <c r="BD103" s="408"/>
      <c r="BE103" s="408"/>
      <c r="BF103" s="408"/>
      <c r="BG103" s="464"/>
      <c r="BH103" s="408"/>
      <c r="BI103" s="408"/>
      <c r="BJ103" s="408"/>
      <c r="BK103" s="464"/>
      <c r="BL103" s="408"/>
      <c r="BM103" s="408"/>
      <c r="BN103" s="408"/>
      <c r="BO103" s="464"/>
      <c r="BP103" s="408"/>
      <c r="BQ103" s="408"/>
      <c r="BR103" s="408"/>
      <c r="BS103" s="464"/>
      <c r="BT103" s="401"/>
      <c r="BU103" s="401"/>
      <c r="BV103" s="401"/>
      <c r="BW103" s="487"/>
      <c r="BX103" s="401"/>
      <c r="BY103" s="401"/>
      <c r="BZ103" s="401"/>
      <c r="CA103" s="487"/>
      <c r="CB103" s="401"/>
      <c r="CC103" s="401"/>
      <c r="CD103" s="401"/>
      <c r="CE103" s="487"/>
      <c r="CF103" s="401"/>
      <c r="CG103" s="401"/>
      <c r="CH103" s="401"/>
      <c r="CI103" s="487"/>
      <c r="CJ103" s="401"/>
      <c r="CK103" s="401"/>
      <c r="CL103" s="401"/>
      <c r="CM103" s="487"/>
      <c r="CN103" s="401"/>
      <c r="CO103" s="401"/>
      <c r="CP103" s="401"/>
      <c r="CQ103" s="487"/>
      <c r="CR103" s="937"/>
      <c r="CS103" s="937"/>
      <c r="CT103" s="937"/>
      <c r="CU103" s="926"/>
      <c r="CV103" s="406"/>
      <c r="CW103" s="408"/>
      <c r="CX103" s="401"/>
      <c r="CY103" s="401"/>
      <c r="CZ103" s="401"/>
      <c r="DA103" s="401"/>
      <c r="DB103" s="401"/>
      <c r="DC103" s="401"/>
      <c r="DD103" s="401"/>
      <c r="DE103" s="401"/>
      <c r="DF103" s="401"/>
      <c r="DG103" s="401"/>
      <c r="DH103" s="401"/>
      <c r="DI103" s="401"/>
      <c r="DJ103" s="401"/>
      <c r="DK103" s="401"/>
      <c r="DL103" s="401"/>
      <c r="DM103" s="401"/>
      <c r="DN103" s="401"/>
      <c r="DO103" s="401"/>
      <c r="DP103" s="401"/>
      <c r="DQ103" s="401"/>
      <c r="DR103" s="401"/>
      <c r="DS103" s="401"/>
      <c r="DT103" s="401"/>
      <c r="DU103" s="401"/>
      <c r="DV103" s="401"/>
      <c r="DW103" s="401"/>
      <c r="DX103" s="401"/>
      <c r="DY103" s="401"/>
      <c r="DZ103" s="401"/>
      <c r="EA103" s="407"/>
      <c r="EB103"/>
      <c r="EC103"/>
      <c r="ED103"/>
      <c r="EE103"/>
      <c r="EF103"/>
      <c r="EG103"/>
    </row>
    <row r="104" spans="1:137" s="649" customFormat="1">
      <c r="A104" s="645"/>
      <c r="B104" s="651" t="s">
        <v>194</v>
      </c>
      <c r="C104" s="908"/>
      <c r="D104" s="652">
        <f t="shared" ref="D104:AI104" si="402">D102-D80</f>
        <v>0</v>
      </c>
      <c r="E104" s="651">
        <f t="shared" si="402"/>
        <v>0</v>
      </c>
      <c r="F104" s="651">
        <f t="shared" si="402"/>
        <v>0</v>
      </c>
      <c r="G104" s="653">
        <f t="shared" si="402"/>
        <v>0</v>
      </c>
      <c r="H104" s="651">
        <f t="shared" si="402"/>
        <v>0</v>
      </c>
      <c r="I104" s="651">
        <f t="shared" si="402"/>
        <v>0</v>
      </c>
      <c r="J104" s="651">
        <f t="shared" si="402"/>
        <v>0</v>
      </c>
      <c r="K104" s="653">
        <f t="shared" si="402"/>
        <v>0</v>
      </c>
      <c r="L104" s="651">
        <f t="shared" si="402"/>
        <v>0</v>
      </c>
      <c r="M104" s="651">
        <f t="shared" si="402"/>
        <v>0</v>
      </c>
      <c r="N104" s="651">
        <f t="shared" si="402"/>
        <v>0</v>
      </c>
      <c r="O104" s="653">
        <f t="shared" si="402"/>
        <v>0</v>
      </c>
      <c r="P104" s="651">
        <f t="shared" si="402"/>
        <v>0</v>
      </c>
      <c r="Q104" s="651">
        <f t="shared" si="402"/>
        <v>0</v>
      </c>
      <c r="R104" s="651">
        <f t="shared" si="402"/>
        <v>0</v>
      </c>
      <c r="S104" s="653">
        <f t="shared" si="402"/>
        <v>0</v>
      </c>
      <c r="T104" s="651">
        <f t="shared" si="402"/>
        <v>0</v>
      </c>
      <c r="U104" s="651">
        <f t="shared" si="402"/>
        <v>0</v>
      </c>
      <c r="V104" s="651">
        <f t="shared" si="402"/>
        <v>0</v>
      </c>
      <c r="W104" s="653">
        <f t="shared" si="402"/>
        <v>0</v>
      </c>
      <c r="X104" s="651">
        <f t="shared" si="402"/>
        <v>0</v>
      </c>
      <c r="Y104" s="651">
        <f t="shared" si="402"/>
        <v>0</v>
      </c>
      <c r="Z104" s="651">
        <f t="shared" si="402"/>
        <v>0</v>
      </c>
      <c r="AA104" s="653">
        <f t="shared" si="402"/>
        <v>0</v>
      </c>
      <c r="AB104" s="651">
        <f t="shared" si="402"/>
        <v>0</v>
      </c>
      <c r="AC104" s="651">
        <f t="shared" si="402"/>
        <v>0</v>
      </c>
      <c r="AD104" s="651">
        <f t="shared" si="402"/>
        <v>0</v>
      </c>
      <c r="AE104" s="653">
        <f t="shared" si="402"/>
        <v>0</v>
      </c>
      <c r="AF104" s="651">
        <f t="shared" si="402"/>
        <v>0</v>
      </c>
      <c r="AG104" s="651">
        <f t="shared" si="402"/>
        <v>0</v>
      </c>
      <c r="AH104" s="651">
        <f t="shared" si="402"/>
        <v>0</v>
      </c>
      <c r="AI104" s="653">
        <f t="shared" si="402"/>
        <v>0</v>
      </c>
      <c r="AJ104" s="651">
        <f t="shared" ref="AJ104:BO104" si="403">AJ102-AJ80</f>
        <v>0</v>
      </c>
      <c r="AK104" s="651">
        <f t="shared" si="403"/>
        <v>0</v>
      </c>
      <c r="AL104" s="651">
        <f t="shared" si="403"/>
        <v>0</v>
      </c>
      <c r="AM104" s="653">
        <f t="shared" si="403"/>
        <v>0</v>
      </c>
      <c r="AN104" s="651">
        <f t="shared" si="403"/>
        <v>0</v>
      </c>
      <c r="AO104" s="651">
        <f t="shared" si="403"/>
        <v>0</v>
      </c>
      <c r="AP104" s="651">
        <f t="shared" si="403"/>
        <v>0</v>
      </c>
      <c r="AQ104" s="653">
        <f t="shared" si="403"/>
        <v>0</v>
      </c>
      <c r="AR104" s="651">
        <f t="shared" si="403"/>
        <v>0</v>
      </c>
      <c r="AS104" s="651">
        <f t="shared" si="403"/>
        <v>0</v>
      </c>
      <c r="AT104" s="651">
        <f t="shared" si="403"/>
        <v>0</v>
      </c>
      <c r="AU104" s="653">
        <f t="shared" si="403"/>
        <v>0</v>
      </c>
      <c r="AV104" s="651">
        <f t="shared" si="403"/>
        <v>0</v>
      </c>
      <c r="AW104" s="651">
        <f t="shared" si="403"/>
        <v>0</v>
      </c>
      <c r="AX104" s="651">
        <f t="shared" si="403"/>
        <v>0</v>
      </c>
      <c r="AY104" s="653">
        <f t="shared" si="403"/>
        <v>0</v>
      </c>
      <c r="AZ104" s="651">
        <f t="shared" si="403"/>
        <v>0</v>
      </c>
      <c r="BA104" s="651">
        <f t="shared" si="403"/>
        <v>0</v>
      </c>
      <c r="BB104" s="651">
        <f t="shared" si="403"/>
        <v>0</v>
      </c>
      <c r="BC104" s="653">
        <f t="shared" si="403"/>
        <v>0</v>
      </c>
      <c r="BD104" s="651">
        <f t="shared" si="403"/>
        <v>0</v>
      </c>
      <c r="BE104" s="651">
        <f t="shared" si="403"/>
        <v>0</v>
      </c>
      <c r="BF104" s="651">
        <f t="shared" si="403"/>
        <v>0</v>
      </c>
      <c r="BG104" s="653">
        <f t="shared" si="403"/>
        <v>0</v>
      </c>
      <c r="BH104" s="651">
        <f t="shared" si="403"/>
        <v>0</v>
      </c>
      <c r="BI104" s="651">
        <f t="shared" si="403"/>
        <v>0</v>
      </c>
      <c r="BJ104" s="651">
        <f t="shared" si="403"/>
        <v>0</v>
      </c>
      <c r="BK104" s="653">
        <f t="shared" si="403"/>
        <v>0</v>
      </c>
      <c r="BL104" s="651">
        <f t="shared" si="403"/>
        <v>0</v>
      </c>
      <c r="BM104" s="651">
        <f t="shared" si="403"/>
        <v>0</v>
      </c>
      <c r="BN104" s="651">
        <f t="shared" si="403"/>
        <v>0</v>
      </c>
      <c r="BO104" s="653">
        <f t="shared" si="403"/>
        <v>0</v>
      </c>
      <c r="BP104" s="651">
        <f t="shared" ref="BP104:CP104" si="404">BP102-BP80</f>
        <v>0</v>
      </c>
      <c r="BQ104" s="651">
        <f t="shared" si="404"/>
        <v>0</v>
      </c>
      <c r="BR104" s="651">
        <f t="shared" si="404"/>
        <v>0</v>
      </c>
      <c r="BS104" s="653">
        <f t="shared" si="404"/>
        <v>0</v>
      </c>
      <c r="BT104" s="651">
        <f t="shared" si="404"/>
        <v>0</v>
      </c>
      <c r="BU104" s="651">
        <f t="shared" si="404"/>
        <v>0</v>
      </c>
      <c r="BV104" s="651">
        <f t="shared" si="404"/>
        <v>0</v>
      </c>
      <c r="BW104" s="653">
        <f t="shared" si="404"/>
        <v>0</v>
      </c>
      <c r="BX104" s="651">
        <f t="shared" si="404"/>
        <v>0</v>
      </c>
      <c r="BY104" s="651">
        <f t="shared" si="404"/>
        <v>0</v>
      </c>
      <c r="BZ104" s="651">
        <f t="shared" si="404"/>
        <v>0</v>
      </c>
      <c r="CA104" s="653">
        <f t="shared" si="404"/>
        <v>0</v>
      </c>
      <c r="CB104" s="651">
        <f t="shared" si="404"/>
        <v>0</v>
      </c>
      <c r="CC104" s="651">
        <f t="shared" si="404"/>
        <v>0</v>
      </c>
      <c r="CD104" s="651">
        <f t="shared" si="404"/>
        <v>0</v>
      </c>
      <c r="CE104" s="653">
        <f t="shared" si="404"/>
        <v>0</v>
      </c>
      <c r="CF104" s="651">
        <f t="shared" si="404"/>
        <v>0</v>
      </c>
      <c r="CG104" s="651">
        <f t="shared" si="404"/>
        <v>0</v>
      </c>
      <c r="CH104" s="651">
        <f t="shared" si="404"/>
        <v>0</v>
      </c>
      <c r="CI104" s="653">
        <f t="shared" si="404"/>
        <v>0</v>
      </c>
      <c r="CJ104" s="651">
        <f t="shared" si="404"/>
        <v>0</v>
      </c>
      <c r="CK104" s="651">
        <f t="shared" si="404"/>
        <v>0</v>
      </c>
      <c r="CL104" s="651">
        <f t="shared" si="404"/>
        <v>0</v>
      </c>
      <c r="CM104" s="647">
        <f t="shared" si="404"/>
        <v>0</v>
      </c>
      <c r="CN104" s="646">
        <f t="shared" si="404"/>
        <v>0</v>
      </c>
      <c r="CO104" s="646">
        <f t="shared" si="404"/>
        <v>0</v>
      </c>
      <c r="CP104" s="651">
        <f t="shared" si="404"/>
        <v>0</v>
      </c>
      <c r="CQ104" s="653">
        <f t="shared" ref="CQ104" si="405">CQ102-CQ80</f>
        <v>0</v>
      </c>
      <c r="CR104" s="938">
        <f t="shared" ref="CR104:CU104" si="406">CR102-CR80</f>
        <v>0</v>
      </c>
      <c r="CS104" s="938">
        <f t="shared" si="406"/>
        <v>0</v>
      </c>
      <c r="CT104" s="938">
        <f t="shared" si="406"/>
        <v>0</v>
      </c>
      <c r="CU104" s="927">
        <f t="shared" si="406"/>
        <v>0</v>
      </c>
      <c r="CV104" s="648"/>
      <c r="CW104" s="651">
        <f t="shared" ref="CW104:DW104" si="407">CW102-CW80</f>
        <v>0</v>
      </c>
      <c r="CX104" s="651">
        <f t="shared" si="407"/>
        <v>0</v>
      </c>
      <c r="CY104" s="651">
        <f t="shared" si="407"/>
        <v>0</v>
      </c>
      <c r="CZ104" s="651">
        <f t="shared" si="407"/>
        <v>0</v>
      </c>
      <c r="DA104" s="651">
        <f t="shared" si="407"/>
        <v>0</v>
      </c>
      <c r="DB104" s="651">
        <f t="shared" si="407"/>
        <v>0</v>
      </c>
      <c r="DC104" s="651">
        <f t="shared" si="407"/>
        <v>0</v>
      </c>
      <c r="DD104" s="651">
        <f t="shared" si="407"/>
        <v>0</v>
      </c>
      <c r="DE104" s="651">
        <f t="shared" si="407"/>
        <v>0</v>
      </c>
      <c r="DF104" s="651">
        <f t="shared" si="407"/>
        <v>0</v>
      </c>
      <c r="DG104" s="651">
        <f t="shared" si="407"/>
        <v>0</v>
      </c>
      <c r="DH104" s="651">
        <f t="shared" si="407"/>
        <v>0</v>
      </c>
      <c r="DI104" s="651">
        <f t="shared" si="407"/>
        <v>0</v>
      </c>
      <c r="DJ104" s="651">
        <f t="shared" si="407"/>
        <v>0</v>
      </c>
      <c r="DK104" s="651">
        <f t="shared" si="407"/>
        <v>0</v>
      </c>
      <c r="DL104" s="651">
        <f t="shared" si="407"/>
        <v>0</v>
      </c>
      <c r="DM104" s="651">
        <f t="shared" si="407"/>
        <v>0</v>
      </c>
      <c r="DN104" s="651">
        <f t="shared" si="407"/>
        <v>0</v>
      </c>
      <c r="DO104" s="651">
        <f t="shared" si="407"/>
        <v>0</v>
      </c>
      <c r="DP104" s="651">
        <f t="shared" si="407"/>
        <v>0</v>
      </c>
      <c r="DQ104" s="651">
        <f t="shared" si="407"/>
        <v>0</v>
      </c>
      <c r="DR104" s="651">
        <f t="shared" si="407"/>
        <v>0</v>
      </c>
      <c r="DS104" s="651">
        <f t="shared" si="407"/>
        <v>0</v>
      </c>
      <c r="DT104" s="651">
        <f t="shared" si="407"/>
        <v>0</v>
      </c>
      <c r="DU104" s="651">
        <f t="shared" ref="DU104" si="408">DU102-DU80</f>
        <v>0</v>
      </c>
      <c r="DV104" s="651">
        <f t="shared" si="407"/>
        <v>0</v>
      </c>
      <c r="DW104" s="651">
        <f t="shared" si="407"/>
        <v>0</v>
      </c>
      <c r="DX104" s="651">
        <f t="shared" ref="DX104:DZ104" si="409">DX102-DX80</f>
        <v>0</v>
      </c>
      <c r="DY104" s="651">
        <f t="shared" si="409"/>
        <v>0</v>
      </c>
      <c r="DZ104" s="651">
        <f t="shared" si="409"/>
        <v>0</v>
      </c>
      <c r="EA104" s="650"/>
      <c r="EB104"/>
      <c r="EC104"/>
      <c r="ED104"/>
      <c r="EE104"/>
      <c r="EF104"/>
      <c r="EG104"/>
    </row>
    <row r="105" spans="1:137" s="410" customFormat="1">
      <c r="A105" s="400"/>
      <c r="B105" s="533"/>
      <c r="C105" s="658"/>
      <c r="D105" s="534"/>
      <c r="E105" s="535"/>
      <c r="F105" s="535"/>
      <c r="G105" s="536"/>
      <c r="H105" s="535"/>
      <c r="I105" s="535"/>
      <c r="J105" s="535"/>
      <c r="K105" s="536"/>
      <c r="L105" s="535"/>
      <c r="M105" s="535"/>
      <c r="N105" s="535"/>
      <c r="O105" s="536"/>
      <c r="P105" s="535"/>
      <c r="Q105" s="535"/>
      <c r="R105" s="535"/>
      <c r="S105" s="536"/>
      <c r="T105" s="535"/>
      <c r="U105" s="535"/>
      <c r="V105" s="535"/>
      <c r="W105" s="536"/>
      <c r="X105" s="535"/>
      <c r="Y105" s="535"/>
      <c r="Z105" s="535"/>
      <c r="AA105" s="536"/>
      <c r="AB105" s="535"/>
      <c r="AC105" s="535"/>
      <c r="AD105" s="535"/>
      <c r="AE105" s="536"/>
      <c r="AF105" s="535"/>
      <c r="AG105" s="535"/>
      <c r="AH105" s="535"/>
      <c r="AI105" s="536"/>
      <c r="AJ105" s="535"/>
      <c r="AK105" s="535"/>
      <c r="AL105" s="535"/>
      <c r="AM105" s="536"/>
      <c r="AN105" s="535"/>
      <c r="AO105" s="535"/>
      <c r="AP105" s="535"/>
      <c r="AQ105" s="536"/>
      <c r="AR105" s="535"/>
      <c r="AS105" s="535"/>
      <c r="AT105" s="535"/>
      <c r="AU105" s="536"/>
      <c r="AV105" s="535"/>
      <c r="AW105" s="535"/>
      <c r="AX105" s="535"/>
      <c r="AY105" s="536"/>
      <c r="AZ105" s="535"/>
      <c r="BA105" s="535"/>
      <c r="BB105" s="535"/>
      <c r="BC105" s="536"/>
      <c r="BD105" s="535"/>
      <c r="BE105" s="535"/>
      <c r="BF105" s="535"/>
      <c r="BG105" s="536"/>
      <c r="BH105" s="535"/>
      <c r="BI105" s="535"/>
      <c r="BJ105" s="535"/>
      <c r="BK105" s="536"/>
      <c r="BL105" s="535"/>
      <c r="BM105" s="535"/>
      <c r="BN105" s="535"/>
      <c r="BO105" s="536"/>
      <c r="BP105" s="535"/>
      <c r="BQ105" s="535"/>
      <c r="BR105" s="535"/>
      <c r="BS105" s="536"/>
      <c r="BT105" s="535"/>
      <c r="BU105" s="535"/>
      <c r="BV105" s="535"/>
      <c r="BW105" s="536"/>
      <c r="BX105" s="535"/>
      <c r="BY105" s="535"/>
      <c r="BZ105" s="535"/>
      <c r="CA105" s="536"/>
      <c r="CB105" s="535"/>
      <c r="CC105" s="535"/>
      <c r="CD105" s="535"/>
      <c r="CE105" s="536"/>
      <c r="CF105" s="535"/>
      <c r="CG105" s="535"/>
      <c r="CH105" s="535"/>
      <c r="CI105" s="536"/>
      <c r="CJ105" s="535"/>
      <c r="CK105" s="535"/>
      <c r="CL105" s="535"/>
      <c r="CM105" s="536"/>
      <c r="CN105" s="462"/>
      <c r="CO105" s="462"/>
      <c r="CP105" s="462"/>
      <c r="CQ105" s="461"/>
      <c r="CR105" s="535"/>
      <c r="CS105" s="535"/>
      <c r="CT105" s="535"/>
      <c r="CU105" s="536"/>
      <c r="CV105" s="406"/>
      <c r="CW105" s="535"/>
      <c r="CX105" s="535"/>
      <c r="CY105" s="535"/>
      <c r="CZ105" s="535"/>
      <c r="DA105" s="535"/>
      <c r="DB105" s="535"/>
      <c r="DC105" s="535"/>
      <c r="DD105" s="535"/>
      <c r="DE105" s="535"/>
      <c r="DF105" s="535"/>
      <c r="DG105" s="535"/>
      <c r="DH105" s="535"/>
      <c r="DI105" s="535"/>
      <c r="DJ105" s="535"/>
      <c r="DK105" s="535"/>
      <c r="DL105" s="535"/>
      <c r="DM105" s="535"/>
      <c r="DN105" s="535"/>
      <c r="DO105" s="535"/>
      <c r="DP105" s="535"/>
      <c r="DQ105" s="535"/>
      <c r="DR105" s="535"/>
      <c r="DS105" s="535"/>
      <c r="DT105" s="535"/>
      <c r="DU105" s="535"/>
      <c r="DV105" s="535"/>
      <c r="DW105" s="535"/>
      <c r="DX105" s="535"/>
      <c r="DY105" s="535"/>
      <c r="DZ105" s="535"/>
      <c r="EA105" s="407"/>
      <c r="EB105"/>
      <c r="EC105"/>
      <c r="ED105"/>
      <c r="EE105"/>
      <c r="EF105"/>
      <c r="EG105"/>
    </row>
    <row r="106" spans="1:137" s="410" customFormat="1">
      <c r="A106" s="400"/>
      <c r="B106" s="424" t="s">
        <v>350</v>
      </c>
      <c r="C106" s="658"/>
      <c r="D106" s="532"/>
      <c r="E106" s="408"/>
      <c r="F106" s="408"/>
      <c r="G106" s="464"/>
      <c r="H106" s="408"/>
      <c r="I106" s="408"/>
      <c r="J106" s="408"/>
      <c r="K106" s="464"/>
      <c r="L106" s="408"/>
      <c r="M106" s="408"/>
      <c r="N106" s="408"/>
      <c r="O106" s="464"/>
      <c r="P106" s="408"/>
      <c r="Q106" s="408"/>
      <c r="R106" s="408"/>
      <c r="S106" s="464"/>
      <c r="T106" s="408"/>
      <c r="U106" s="408"/>
      <c r="V106" s="408"/>
      <c r="W106" s="464"/>
      <c r="X106" s="408"/>
      <c r="Y106" s="408"/>
      <c r="Z106" s="408"/>
      <c r="AA106" s="464"/>
      <c r="AB106" s="408"/>
      <c r="AC106" s="408"/>
      <c r="AD106" s="408"/>
      <c r="AE106" s="464"/>
      <c r="AF106" s="408"/>
      <c r="AG106" s="408"/>
      <c r="AH106" s="408"/>
      <c r="AI106" s="464"/>
      <c r="AJ106" s="408"/>
      <c r="AK106" s="408"/>
      <c r="AL106" s="408"/>
      <c r="AM106" s="464"/>
      <c r="AN106" s="408"/>
      <c r="AO106" s="408"/>
      <c r="AP106" s="408"/>
      <c r="AQ106" s="464"/>
      <c r="AR106" s="408"/>
      <c r="AS106" s="408"/>
      <c r="AT106" s="408"/>
      <c r="AU106" s="464"/>
      <c r="AV106" s="408"/>
      <c r="AW106" s="408"/>
      <c r="AX106" s="408"/>
      <c r="AY106" s="464"/>
      <c r="AZ106" s="408"/>
      <c r="BA106" s="408"/>
      <c r="BB106" s="408"/>
      <c r="BC106" s="464"/>
      <c r="BD106" s="408"/>
      <c r="BE106" s="408"/>
      <c r="BF106" s="408"/>
      <c r="BG106" s="464"/>
      <c r="BH106" s="408"/>
      <c r="BI106" s="408"/>
      <c r="BJ106" s="408"/>
      <c r="BK106" s="464"/>
      <c r="BL106" s="408"/>
      <c r="BM106" s="408"/>
      <c r="BN106" s="408"/>
      <c r="BO106" s="464"/>
      <c r="BP106" s="408"/>
      <c r="BQ106" s="408"/>
      <c r="BR106" s="408"/>
      <c r="BS106" s="464"/>
      <c r="BT106" s="462"/>
      <c r="BU106" s="462"/>
      <c r="BV106" s="462"/>
      <c r="BW106" s="461"/>
      <c r="BX106" s="462"/>
      <c r="BY106" s="462"/>
      <c r="BZ106" s="462"/>
      <c r="CA106" s="461"/>
      <c r="CB106" s="462"/>
      <c r="CC106" s="462"/>
      <c r="CD106" s="462"/>
      <c r="CE106" s="461"/>
      <c r="CF106" s="462"/>
      <c r="CG106" s="462"/>
      <c r="CH106" s="462"/>
      <c r="CI106" s="461"/>
      <c r="CJ106" s="462"/>
      <c r="CK106" s="462"/>
      <c r="CL106" s="462"/>
      <c r="CM106" s="461"/>
      <c r="CN106" s="462"/>
      <c r="CO106" s="462"/>
      <c r="CP106" s="462"/>
      <c r="CQ106" s="461"/>
      <c r="CR106" s="462"/>
      <c r="CS106" s="462"/>
      <c r="CT106" s="462"/>
      <c r="CU106" s="461"/>
      <c r="CV106" s="406"/>
      <c r="CW106" s="535"/>
      <c r="CX106" s="408"/>
      <c r="CY106" s="408"/>
      <c r="CZ106" s="408"/>
      <c r="DA106" s="408"/>
      <c r="DB106" s="408"/>
      <c r="DC106" s="408"/>
      <c r="DD106" s="408"/>
      <c r="DE106" s="408"/>
      <c r="DF106" s="408"/>
      <c r="DG106" s="408"/>
      <c r="DH106" s="408"/>
      <c r="DI106" s="408"/>
      <c r="DJ106" s="408"/>
      <c r="DK106" s="408"/>
      <c r="DL106" s="408"/>
      <c r="DM106" s="408"/>
      <c r="DN106" s="408"/>
      <c r="DO106" s="408"/>
      <c r="DP106" s="408"/>
      <c r="DQ106" s="408"/>
      <c r="DR106" s="408"/>
      <c r="DS106" s="408"/>
      <c r="DT106" s="408"/>
      <c r="DU106" s="408"/>
      <c r="DV106" s="408"/>
      <c r="DW106" s="408"/>
      <c r="DX106" s="408"/>
      <c r="DY106" s="408"/>
      <c r="DZ106" s="408"/>
      <c r="EA106" s="407"/>
      <c r="EB106"/>
      <c r="EC106"/>
      <c r="ED106"/>
      <c r="EE106"/>
      <c r="EF106"/>
      <c r="EG106"/>
    </row>
    <row r="107" spans="1:137" s="590" customFormat="1">
      <c r="A107" s="586"/>
      <c r="B107" s="670" t="s">
        <v>353</v>
      </c>
      <c r="C107" s="910"/>
      <c r="D107" s="587"/>
      <c r="E107" s="462"/>
      <c r="F107" s="462"/>
      <c r="G107" s="461">
        <f t="shared" ref="G107:AL107" si="410">G68/G114*365</f>
        <v>25.100443909412384</v>
      </c>
      <c r="H107" s="462">
        <f t="shared" si="410"/>
        <v>30.276996000592508</v>
      </c>
      <c r="I107" s="462">
        <f t="shared" si="410"/>
        <v>35.62463662790698</v>
      </c>
      <c r="J107" s="462">
        <f t="shared" si="410"/>
        <v>31.61240786240786</v>
      </c>
      <c r="K107" s="461">
        <f t="shared" si="410"/>
        <v>29.529900655801566</v>
      </c>
      <c r="L107" s="462">
        <f t="shared" si="410"/>
        <v>32.35364287025142</v>
      </c>
      <c r="M107" s="462">
        <f t="shared" si="410"/>
        <v>30.870433454716316</v>
      </c>
      <c r="N107" s="462">
        <f t="shared" si="410"/>
        <v>29.383167799268165</v>
      </c>
      <c r="O107" s="461">
        <f t="shared" si="410"/>
        <v>32.761177136389364</v>
      </c>
      <c r="P107" s="462">
        <f t="shared" si="410"/>
        <v>37.455262274913323</v>
      </c>
      <c r="Q107" s="462">
        <f t="shared" si="410"/>
        <v>31.752430439155212</v>
      </c>
      <c r="R107" s="462">
        <f t="shared" si="410"/>
        <v>38.620081560674535</v>
      </c>
      <c r="S107" s="461">
        <f t="shared" si="410"/>
        <v>36.841790069686418</v>
      </c>
      <c r="T107" s="462">
        <f t="shared" si="410"/>
        <v>43.722574607465944</v>
      </c>
      <c r="U107" s="462">
        <f t="shared" si="410"/>
        <v>38.799280609588727</v>
      </c>
      <c r="V107" s="462">
        <f t="shared" si="410"/>
        <v>34.651695288419198</v>
      </c>
      <c r="W107" s="461">
        <f t="shared" si="410"/>
        <v>32.096721711543154</v>
      </c>
      <c r="X107" s="462">
        <f t="shared" si="410"/>
        <v>38.236777251184833</v>
      </c>
      <c r="Y107" s="462">
        <f t="shared" si="410"/>
        <v>34.124036180308423</v>
      </c>
      <c r="Z107" s="462">
        <f t="shared" si="410"/>
        <v>30.92539612676056</v>
      </c>
      <c r="AA107" s="461">
        <f t="shared" si="410"/>
        <v>23.299633395064067</v>
      </c>
      <c r="AB107" s="462">
        <f t="shared" si="410"/>
        <v>29.344697720515363</v>
      </c>
      <c r="AC107" s="462">
        <f t="shared" si="410"/>
        <v>29.668674698795183</v>
      </c>
      <c r="AD107" s="462">
        <f t="shared" si="410"/>
        <v>30.866807610993657</v>
      </c>
      <c r="AE107" s="461">
        <f t="shared" si="410"/>
        <v>31.618328726344885</v>
      </c>
      <c r="AF107" s="462">
        <f t="shared" si="410"/>
        <v>38.347557386698057</v>
      </c>
      <c r="AG107" s="462">
        <f t="shared" si="410"/>
        <v>43.34833266372037</v>
      </c>
      <c r="AH107" s="462">
        <f t="shared" si="410"/>
        <v>40.730932608778851</v>
      </c>
      <c r="AI107" s="461">
        <f t="shared" si="410"/>
        <v>39.037933433415112</v>
      </c>
      <c r="AJ107" s="462">
        <f t="shared" si="410"/>
        <v>45.585297086567586</v>
      </c>
      <c r="AK107" s="462">
        <f t="shared" si="410"/>
        <v>45.718430034129689</v>
      </c>
      <c r="AL107" s="462">
        <f t="shared" si="410"/>
        <v>46.804321486268179</v>
      </c>
      <c r="AM107" s="461">
        <f t="shared" ref="AM107:BR107" si="411">AM68/AM114*365</f>
        <v>49.3413593118728</v>
      </c>
      <c r="AN107" s="462">
        <f t="shared" si="411"/>
        <v>58.873177751360828</v>
      </c>
      <c r="AO107" s="462">
        <f t="shared" si="411"/>
        <v>53.997530343643646</v>
      </c>
      <c r="AP107" s="462">
        <f t="shared" si="411"/>
        <v>52.822935165506991</v>
      </c>
      <c r="AQ107" s="461">
        <f t="shared" si="411"/>
        <v>51.675460244518199</v>
      </c>
      <c r="AR107" s="462">
        <f t="shared" si="411"/>
        <v>64.485927085301029</v>
      </c>
      <c r="AS107" s="462">
        <f t="shared" si="411"/>
        <v>59.588419684497566</v>
      </c>
      <c r="AT107" s="462">
        <f t="shared" si="411"/>
        <v>58.329383313180159</v>
      </c>
      <c r="AU107" s="461">
        <f t="shared" si="411"/>
        <v>53.222437002189203</v>
      </c>
      <c r="AV107" s="462">
        <f t="shared" si="411"/>
        <v>58.828083839193681</v>
      </c>
      <c r="AW107" s="462">
        <f t="shared" si="411"/>
        <v>59.14703355340508</v>
      </c>
      <c r="AX107" s="462">
        <f t="shared" si="411"/>
        <v>57.290430308910807</v>
      </c>
      <c r="AY107" s="461">
        <f t="shared" si="411"/>
        <v>59.222750468879489</v>
      </c>
      <c r="AZ107" s="462">
        <f t="shared" si="411"/>
        <v>61.665463041631263</v>
      </c>
      <c r="BA107" s="462">
        <f t="shared" si="411"/>
        <v>63.14330287951708</v>
      </c>
      <c r="BB107" s="462">
        <f t="shared" si="411"/>
        <v>61.578799395044015</v>
      </c>
      <c r="BC107" s="461">
        <f t="shared" si="411"/>
        <v>54.963029688848849</v>
      </c>
      <c r="BD107" s="462">
        <f t="shared" si="411"/>
        <v>62.81627835738869</v>
      </c>
      <c r="BE107" s="462">
        <f t="shared" si="411"/>
        <v>60.882409680813751</v>
      </c>
      <c r="BF107" s="462">
        <f t="shared" si="411"/>
        <v>54.321683347063264</v>
      </c>
      <c r="BG107" s="461">
        <f t="shared" si="411"/>
        <v>42.096449400634512</v>
      </c>
      <c r="BH107" s="462">
        <f t="shared" si="411"/>
        <v>49.529174391972951</v>
      </c>
      <c r="BI107" s="462">
        <f t="shared" si="411"/>
        <v>62.398408674481061</v>
      </c>
      <c r="BJ107" s="462">
        <f t="shared" si="411"/>
        <v>77.010554803788906</v>
      </c>
      <c r="BK107" s="461">
        <f t="shared" si="411"/>
        <v>67.439042859306383</v>
      </c>
      <c r="BL107" s="462">
        <f t="shared" si="411"/>
        <v>72.948906098304391</v>
      </c>
      <c r="BM107" s="462">
        <f t="shared" si="411"/>
        <v>72.29582944919548</v>
      </c>
      <c r="BN107" s="462">
        <f t="shared" si="411"/>
        <v>73.059029279575753</v>
      </c>
      <c r="BO107" s="461">
        <f t="shared" si="411"/>
        <v>66.112988253608833</v>
      </c>
      <c r="BP107" s="462">
        <f t="shared" si="411"/>
        <v>76.539597139295338</v>
      </c>
      <c r="BQ107" s="462">
        <f t="shared" si="411"/>
        <v>71.381150381150377</v>
      </c>
      <c r="BR107" s="462">
        <f t="shared" si="411"/>
        <v>65.726972535784938</v>
      </c>
      <c r="BS107" s="461">
        <f t="shared" ref="BS107:CP107" si="412">BS68/BS114*365</f>
        <v>60.690542117025316</v>
      </c>
      <c r="BT107" s="462">
        <f t="shared" si="412"/>
        <v>68.500027409275305</v>
      </c>
      <c r="BU107" s="462">
        <f t="shared" si="412"/>
        <v>66.073639288830719</v>
      </c>
      <c r="BV107" s="462">
        <f t="shared" si="412"/>
        <v>63.612009174058414</v>
      </c>
      <c r="BW107" s="461">
        <f t="shared" si="412"/>
        <v>58.297764227642269</v>
      </c>
      <c r="BX107" s="462">
        <f t="shared" si="412"/>
        <v>67.569434693476367</v>
      </c>
      <c r="BY107" s="462">
        <f t="shared" si="412"/>
        <v>68.301440084924494</v>
      </c>
      <c r="BZ107" s="462">
        <f t="shared" si="412"/>
        <v>67.65023451576964</v>
      </c>
      <c r="CA107" s="461">
        <f t="shared" si="412"/>
        <v>61.278339563779141</v>
      </c>
      <c r="CB107" s="462">
        <f t="shared" si="412"/>
        <v>73.5796521330969</v>
      </c>
      <c r="CC107" s="462">
        <f t="shared" si="412"/>
        <v>71.954356742383368</v>
      </c>
      <c r="CD107" s="462">
        <f t="shared" si="412"/>
        <v>65.270473007586645</v>
      </c>
      <c r="CE107" s="461">
        <f t="shared" si="412"/>
        <v>63.440235517934759</v>
      </c>
      <c r="CF107" s="462">
        <f t="shared" si="412"/>
        <v>69.604092526690394</v>
      </c>
      <c r="CG107" s="462">
        <f t="shared" si="412"/>
        <v>71.410181465404648</v>
      </c>
      <c r="CH107" s="462">
        <f t="shared" si="412"/>
        <v>71.755892042574757</v>
      </c>
      <c r="CI107" s="461">
        <f t="shared" si="412"/>
        <v>75.745961711037978</v>
      </c>
      <c r="CJ107" s="462">
        <f t="shared" si="412"/>
        <v>81.773075256391735</v>
      </c>
      <c r="CK107" s="462">
        <f t="shared" si="412"/>
        <v>76.644528117700389</v>
      </c>
      <c r="CL107" s="462">
        <f t="shared" si="412"/>
        <v>72.059629998545077</v>
      </c>
      <c r="CM107" s="461">
        <f t="shared" si="412"/>
        <v>67.974258626391787</v>
      </c>
      <c r="CN107" s="462">
        <f t="shared" si="412"/>
        <v>76.662920494277586</v>
      </c>
      <c r="CO107" s="462">
        <f t="shared" si="412"/>
        <v>76.359453715789812</v>
      </c>
      <c r="CP107" s="462">
        <f t="shared" si="412"/>
        <v>78.846535541971519</v>
      </c>
      <c r="CQ107" s="461">
        <f t="shared" ref="CQ107" si="413">CQ68/CQ114*365</f>
        <v>75.199095853785479</v>
      </c>
      <c r="CR107" s="661">
        <f>CQ107+7</f>
        <v>82.199095853785479</v>
      </c>
      <c r="CS107" s="661">
        <f>CR107-1</f>
        <v>81.199095853785479</v>
      </c>
      <c r="CT107" s="661">
        <f>CS107-0.5</f>
        <v>80.699095853785479</v>
      </c>
      <c r="CU107" s="669">
        <f>CT107-1</f>
        <v>79.699095853785479</v>
      </c>
      <c r="CV107" s="588"/>
      <c r="CW107" s="462"/>
      <c r="CX107" s="462">
        <f t="shared" ref="CX107:DT107" si="414">CX68/CX114*365</f>
        <v>25.100443909412384</v>
      </c>
      <c r="CY107" s="462">
        <f t="shared" si="414"/>
        <v>29.529900655801566</v>
      </c>
      <c r="CZ107" s="462">
        <f t="shared" si="414"/>
        <v>32.761177136389364</v>
      </c>
      <c r="DA107" s="462">
        <f t="shared" si="414"/>
        <v>36.841790069686418</v>
      </c>
      <c r="DB107" s="462">
        <f t="shared" si="414"/>
        <v>32.096721711543154</v>
      </c>
      <c r="DC107" s="462">
        <f t="shared" si="414"/>
        <v>23.299633395064067</v>
      </c>
      <c r="DD107" s="462">
        <f t="shared" si="414"/>
        <v>31.618328726344885</v>
      </c>
      <c r="DE107" s="462">
        <f t="shared" si="414"/>
        <v>39.037933433415112</v>
      </c>
      <c r="DF107" s="462">
        <f t="shared" si="414"/>
        <v>49.3413593118728</v>
      </c>
      <c r="DG107" s="462">
        <f t="shared" si="414"/>
        <v>51.675460244518199</v>
      </c>
      <c r="DH107" s="462">
        <f t="shared" si="414"/>
        <v>53.222437002189203</v>
      </c>
      <c r="DI107" s="462">
        <f t="shared" si="414"/>
        <v>59.222750468879489</v>
      </c>
      <c r="DJ107" s="462">
        <f t="shared" si="414"/>
        <v>54.963029688848849</v>
      </c>
      <c r="DK107" s="462">
        <f t="shared" si="414"/>
        <v>42.096449400634512</v>
      </c>
      <c r="DL107" s="462">
        <f t="shared" si="414"/>
        <v>67.439042859306383</v>
      </c>
      <c r="DM107" s="462">
        <f t="shared" si="414"/>
        <v>66.112988253608833</v>
      </c>
      <c r="DN107" s="462">
        <f t="shared" si="414"/>
        <v>60.690542117025316</v>
      </c>
      <c r="DO107" s="462">
        <f t="shared" si="414"/>
        <v>58.297764227642269</v>
      </c>
      <c r="DP107" s="462">
        <f t="shared" si="414"/>
        <v>61.278339563779141</v>
      </c>
      <c r="DQ107" s="462">
        <f t="shared" si="414"/>
        <v>63.440235517934759</v>
      </c>
      <c r="DR107" s="462">
        <f t="shared" si="414"/>
        <v>75.745961711037978</v>
      </c>
      <c r="DS107" s="462">
        <f t="shared" si="414"/>
        <v>67.974258626391787</v>
      </c>
      <c r="DT107" s="462">
        <f t="shared" si="414"/>
        <v>75.199095853785479</v>
      </c>
      <c r="DU107" s="462">
        <f>DU68/DU114*365</f>
        <v>79.699095853785479</v>
      </c>
      <c r="DV107" s="661">
        <f>DU107+0.5</f>
        <v>80.199095853785479</v>
      </c>
      <c r="DW107" s="661">
        <f t="shared" ref="DW107:DZ107" si="415">DV107+0.5</f>
        <v>80.699095853785479</v>
      </c>
      <c r="DX107" s="661">
        <f t="shared" si="415"/>
        <v>81.199095853785479</v>
      </c>
      <c r="DY107" s="661">
        <f t="shared" si="415"/>
        <v>81.699095853785479</v>
      </c>
      <c r="DZ107" s="661">
        <f t="shared" si="415"/>
        <v>82.199095853785479</v>
      </c>
      <c r="EA107" s="589"/>
      <c r="EB107"/>
      <c r="EC107"/>
      <c r="ED107"/>
      <c r="EE107"/>
      <c r="EF107"/>
      <c r="EG107"/>
    </row>
    <row r="108" spans="1:137" s="590" customFormat="1">
      <c r="A108" s="586"/>
      <c r="B108" s="670" t="s">
        <v>354</v>
      </c>
      <c r="C108" s="910"/>
      <c r="D108" s="587"/>
      <c r="E108" s="462"/>
      <c r="F108" s="462"/>
      <c r="G108" s="461">
        <f t="shared" ref="G108:AL108" si="416">G83/G115*365</f>
        <v>63.736406938078552</v>
      </c>
      <c r="H108" s="462">
        <f t="shared" si="416"/>
        <v>66.722153900210813</v>
      </c>
      <c r="I108" s="462">
        <f t="shared" si="416"/>
        <v>80.253366712707177</v>
      </c>
      <c r="J108" s="462">
        <f t="shared" si="416"/>
        <v>64.133675464320632</v>
      </c>
      <c r="K108" s="461">
        <f t="shared" si="416"/>
        <v>76.985040726817047</v>
      </c>
      <c r="L108" s="462">
        <f t="shared" si="416"/>
        <v>79.281673366086054</v>
      </c>
      <c r="M108" s="462">
        <f t="shared" si="416"/>
        <v>75.620244077530515</v>
      </c>
      <c r="N108" s="462">
        <f t="shared" si="416"/>
        <v>75.058602074158273</v>
      </c>
      <c r="O108" s="461">
        <f t="shared" si="416"/>
        <v>69.071794162401446</v>
      </c>
      <c r="P108" s="462">
        <f t="shared" si="416"/>
        <v>67.853201634877379</v>
      </c>
      <c r="Q108" s="462">
        <f t="shared" si="416"/>
        <v>63.833749409621483</v>
      </c>
      <c r="R108" s="462">
        <f t="shared" si="416"/>
        <v>64.950607395541326</v>
      </c>
      <c r="S108" s="461">
        <f t="shared" si="416"/>
        <v>66.374532081171594</v>
      </c>
      <c r="T108" s="462">
        <f t="shared" si="416"/>
        <v>86.955271969170511</v>
      </c>
      <c r="U108" s="462">
        <f t="shared" si="416"/>
        <v>83.928550648746153</v>
      </c>
      <c r="V108" s="462">
        <f t="shared" si="416"/>
        <v>77.035972003689423</v>
      </c>
      <c r="W108" s="461">
        <f t="shared" si="416"/>
        <v>79.957824022628543</v>
      </c>
      <c r="X108" s="462">
        <f t="shared" si="416"/>
        <v>77.619115278961829</v>
      </c>
      <c r="Y108" s="462">
        <f t="shared" si="416"/>
        <v>74.860498584095438</v>
      </c>
      <c r="Z108" s="462">
        <f t="shared" si="416"/>
        <v>71.147344663995213</v>
      </c>
      <c r="AA108" s="461">
        <f t="shared" si="416"/>
        <v>70.770436517360935</v>
      </c>
      <c r="AB108" s="462">
        <f t="shared" si="416"/>
        <v>66.286693966155212</v>
      </c>
      <c r="AC108" s="462">
        <f t="shared" si="416"/>
        <v>70.597553485515419</v>
      </c>
      <c r="AD108" s="462">
        <f t="shared" si="416"/>
        <v>76.173247338891514</v>
      </c>
      <c r="AE108" s="461">
        <f t="shared" si="416"/>
        <v>79.262217050983708</v>
      </c>
      <c r="AF108" s="462">
        <f t="shared" si="416"/>
        <v>81.586879898995207</v>
      </c>
      <c r="AG108" s="462">
        <f t="shared" si="416"/>
        <v>84.178355196770937</v>
      </c>
      <c r="AH108" s="462">
        <f t="shared" si="416"/>
        <v>81.392935876545579</v>
      </c>
      <c r="AI108" s="461">
        <f t="shared" si="416"/>
        <v>72.786119758286034</v>
      </c>
      <c r="AJ108" s="462">
        <f t="shared" si="416"/>
        <v>71.115023474178386</v>
      </c>
      <c r="AK108" s="462">
        <f t="shared" si="416"/>
        <v>70.089906700593716</v>
      </c>
      <c r="AL108" s="462">
        <f t="shared" si="416"/>
        <v>68.317624489115033</v>
      </c>
      <c r="AM108" s="461">
        <f t="shared" ref="AM108:BR108" si="417">AM83/AM115*365</f>
        <v>67.674816724401822</v>
      </c>
      <c r="AN108" s="462">
        <f t="shared" si="417"/>
        <v>77.725868129321341</v>
      </c>
      <c r="AO108" s="462">
        <f t="shared" si="417"/>
        <v>74.57427031046663</v>
      </c>
      <c r="AP108" s="462">
        <f t="shared" si="417"/>
        <v>71.002402897823032</v>
      </c>
      <c r="AQ108" s="461">
        <f t="shared" si="417"/>
        <v>77.213736474026646</v>
      </c>
      <c r="AR108" s="462">
        <f t="shared" si="417"/>
        <v>82.014170040485851</v>
      </c>
      <c r="AS108" s="462">
        <f t="shared" si="417"/>
        <v>85.47650604310644</v>
      </c>
      <c r="AT108" s="462">
        <f t="shared" si="417"/>
        <v>81.497482589164591</v>
      </c>
      <c r="AU108" s="461">
        <f t="shared" si="417"/>
        <v>82.59426146108899</v>
      </c>
      <c r="AV108" s="462">
        <f t="shared" si="417"/>
        <v>81.055474577724439</v>
      </c>
      <c r="AW108" s="462">
        <f t="shared" si="417"/>
        <v>83.760400269844837</v>
      </c>
      <c r="AX108" s="462">
        <f t="shared" si="417"/>
        <v>80.736203151974152</v>
      </c>
      <c r="AY108" s="461">
        <f t="shared" si="417"/>
        <v>82.563711492832724</v>
      </c>
      <c r="AZ108" s="462">
        <f t="shared" si="417"/>
        <v>85.32987434678347</v>
      </c>
      <c r="BA108" s="462">
        <f t="shared" si="417"/>
        <v>83.900405457534575</v>
      </c>
      <c r="BB108" s="462">
        <f t="shared" si="417"/>
        <v>83.012393175174608</v>
      </c>
      <c r="BC108" s="461">
        <f t="shared" si="417"/>
        <v>83.04007148257611</v>
      </c>
      <c r="BD108" s="462">
        <f t="shared" si="417"/>
        <v>83.401879881735127</v>
      </c>
      <c r="BE108" s="462">
        <f t="shared" si="417"/>
        <v>87.901322154143827</v>
      </c>
      <c r="BF108" s="462">
        <f t="shared" si="417"/>
        <v>76.500089296708083</v>
      </c>
      <c r="BG108" s="461">
        <f t="shared" si="417"/>
        <v>76.625907561086194</v>
      </c>
      <c r="BH108" s="462">
        <f t="shared" si="417"/>
        <v>79.253120950750386</v>
      </c>
      <c r="BI108" s="462">
        <f t="shared" si="417"/>
        <v>92.94594739969051</v>
      </c>
      <c r="BJ108" s="462">
        <f t="shared" si="417"/>
        <v>109.05714297158174</v>
      </c>
      <c r="BK108" s="461">
        <f t="shared" si="417"/>
        <v>104.64301028474286</v>
      </c>
      <c r="BL108" s="462">
        <f t="shared" si="417"/>
        <v>102.39244128180677</v>
      </c>
      <c r="BM108" s="462">
        <f t="shared" si="417"/>
        <v>104.558276006608</v>
      </c>
      <c r="BN108" s="462">
        <f t="shared" si="417"/>
        <v>103.98014963055616</v>
      </c>
      <c r="BO108" s="461">
        <f t="shared" si="417"/>
        <v>97.992433380853157</v>
      </c>
      <c r="BP108" s="462">
        <f t="shared" si="417"/>
        <v>98.20905119621132</v>
      </c>
      <c r="BQ108" s="462">
        <f t="shared" si="417"/>
        <v>95.348567373710253</v>
      </c>
      <c r="BR108" s="462">
        <f t="shared" si="417"/>
        <v>89.073600840945346</v>
      </c>
      <c r="BS108" s="461">
        <f t="shared" ref="BS108:CP108" si="418">BS83/BS115*365</f>
        <v>83.042091054117066</v>
      </c>
      <c r="BT108" s="462">
        <f t="shared" si="418"/>
        <v>80.797562313573565</v>
      </c>
      <c r="BU108" s="462">
        <f t="shared" si="418"/>
        <v>79.889219661585315</v>
      </c>
      <c r="BV108" s="462">
        <f t="shared" si="418"/>
        <v>80.953973659519761</v>
      </c>
      <c r="BW108" s="461">
        <f t="shared" si="418"/>
        <v>82.190927697986481</v>
      </c>
      <c r="BX108" s="462">
        <f t="shared" si="418"/>
        <v>84.362843551797056</v>
      </c>
      <c r="BY108" s="462">
        <f t="shared" si="418"/>
        <v>87.02856090244029</v>
      </c>
      <c r="BZ108" s="462">
        <f t="shared" si="418"/>
        <v>87.07239576118576</v>
      </c>
      <c r="CA108" s="461">
        <f t="shared" si="418"/>
        <v>85.912299501624403</v>
      </c>
      <c r="CB108" s="462">
        <f t="shared" si="418"/>
        <v>94.413011090878996</v>
      </c>
      <c r="CC108" s="462">
        <f t="shared" si="418"/>
        <v>94.454282933677959</v>
      </c>
      <c r="CD108" s="462">
        <f t="shared" si="418"/>
        <v>85.118935012172628</v>
      </c>
      <c r="CE108" s="461">
        <f t="shared" si="418"/>
        <v>85.293187960969334</v>
      </c>
      <c r="CF108" s="462">
        <f t="shared" si="418"/>
        <v>83.798255382331121</v>
      </c>
      <c r="CG108" s="462">
        <f t="shared" si="418"/>
        <v>87.920337941144027</v>
      </c>
      <c r="CH108" s="462">
        <f t="shared" si="418"/>
        <v>84.268220168742445</v>
      </c>
      <c r="CI108" s="461">
        <f t="shared" si="418"/>
        <v>107.78880081011377</v>
      </c>
      <c r="CJ108" s="462">
        <f t="shared" si="418"/>
        <v>101.09008707300738</v>
      </c>
      <c r="CK108" s="462">
        <f t="shared" si="418"/>
        <v>96.135420956639408</v>
      </c>
      <c r="CL108" s="462">
        <f t="shared" si="418"/>
        <v>91.207324159238098</v>
      </c>
      <c r="CM108" s="461">
        <f t="shared" si="418"/>
        <v>94.462587035402578</v>
      </c>
      <c r="CN108" s="462">
        <f t="shared" si="418"/>
        <v>93.042584414325844</v>
      </c>
      <c r="CO108" s="462">
        <f t="shared" si="418"/>
        <v>95.676685520829025</v>
      </c>
      <c r="CP108" s="462">
        <f t="shared" si="418"/>
        <v>99.164722855178184</v>
      </c>
      <c r="CQ108" s="461">
        <f>CQ83/CQ115*365</f>
        <v>107.93913066131744</v>
      </c>
      <c r="CR108" s="661">
        <f>CQ108-3.5</f>
        <v>104.43913066131744</v>
      </c>
      <c r="CS108" s="661">
        <f>CR108+0.5</f>
        <v>104.93913066131744</v>
      </c>
      <c r="CT108" s="661">
        <f>CS108-2</f>
        <v>102.93913066131744</v>
      </c>
      <c r="CU108" s="669">
        <f>CT108+6</f>
        <v>108.93913066131744</v>
      </c>
      <c r="CV108" s="588"/>
      <c r="CW108" s="462"/>
      <c r="CX108" s="462">
        <f t="shared" ref="CX108:DT108" si="419">CX83/CX115*365</f>
        <v>63.736406938078552</v>
      </c>
      <c r="CY108" s="462">
        <f t="shared" si="419"/>
        <v>76.985040726817047</v>
      </c>
      <c r="CZ108" s="462">
        <f t="shared" si="419"/>
        <v>69.071794162401446</v>
      </c>
      <c r="DA108" s="462">
        <f t="shared" si="419"/>
        <v>66.374532081171594</v>
      </c>
      <c r="DB108" s="462">
        <f t="shared" si="419"/>
        <v>79.957824022628543</v>
      </c>
      <c r="DC108" s="462">
        <f t="shared" si="419"/>
        <v>70.770436517360935</v>
      </c>
      <c r="DD108" s="462">
        <f t="shared" si="419"/>
        <v>79.262217050983708</v>
      </c>
      <c r="DE108" s="462">
        <f t="shared" si="419"/>
        <v>72.786119758286034</v>
      </c>
      <c r="DF108" s="462">
        <f t="shared" si="419"/>
        <v>67.674816724401822</v>
      </c>
      <c r="DG108" s="462">
        <f t="shared" si="419"/>
        <v>77.213736474026646</v>
      </c>
      <c r="DH108" s="462">
        <f t="shared" si="419"/>
        <v>82.59426146108899</v>
      </c>
      <c r="DI108" s="462">
        <f t="shared" si="419"/>
        <v>82.563711492832724</v>
      </c>
      <c r="DJ108" s="462">
        <f t="shared" si="419"/>
        <v>83.04007148257611</v>
      </c>
      <c r="DK108" s="462">
        <f t="shared" si="419"/>
        <v>76.625907561086194</v>
      </c>
      <c r="DL108" s="462">
        <f t="shared" si="419"/>
        <v>104.64301028474286</v>
      </c>
      <c r="DM108" s="462">
        <f t="shared" si="419"/>
        <v>97.992433380853157</v>
      </c>
      <c r="DN108" s="462">
        <f t="shared" si="419"/>
        <v>83.042091054117066</v>
      </c>
      <c r="DO108" s="462">
        <f t="shared" si="419"/>
        <v>82.190927697986481</v>
      </c>
      <c r="DP108" s="462">
        <f t="shared" si="419"/>
        <v>85.912299501624403</v>
      </c>
      <c r="DQ108" s="462">
        <f t="shared" si="419"/>
        <v>85.293187960969334</v>
      </c>
      <c r="DR108" s="462">
        <f t="shared" si="419"/>
        <v>107.78880081011377</v>
      </c>
      <c r="DS108" s="462">
        <f t="shared" si="419"/>
        <v>94.462587035402578</v>
      </c>
      <c r="DT108" s="462">
        <f t="shared" si="419"/>
        <v>107.93913066131744</v>
      </c>
      <c r="DU108" s="462">
        <f>DU83/DU115*365</f>
        <v>108.93913066131744</v>
      </c>
      <c r="DV108" s="661">
        <f t="shared" ref="DV108:DZ109" si="420">DU108</f>
        <v>108.93913066131744</v>
      </c>
      <c r="DW108" s="661">
        <f t="shared" si="420"/>
        <v>108.93913066131744</v>
      </c>
      <c r="DX108" s="661">
        <f t="shared" si="420"/>
        <v>108.93913066131744</v>
      </c>
      <c r="DY108" s="661">
        <f t="shared" si="420"/>
        <v>108.93913066131744</v>
      </c>
      <c r="DZ108" s="661">
        <f t="shared" si="420"/>
        <v>108.93913066131744</v>
      </c>
      <c r="EA108" s="589"/>
      <c r="EB108"/>
      <c r="EC108"/>
      <c r="ED108"/>
      <c r="EE108"/>
      <c r="EF108"/>
      <c r="EG108"/>
    </row>
    <row r="109" spans="1:137" s="590" customFormat="1">
      <c r="A109" s="586"/>
      <c r="B109" s="670" t="s">
        <v>355</v>
      </c>
      <c r="C109" s="910"/>
      <c r="D109" s="587"/>
      <c r="E109" s="462"/>
      <c r="F109" s="462"/>
      <c r="G109" s="461">
        <f t="shared" ref="G109:AL109" si="421">G69/G115*365</f>
        <v>30.834906084299448</v>
      </c>
      <c r="H109" s="462">
        <f t="shared" si="421"/>
        <v>33.601546029515106</v>
      </c>
      <c r="I109" s="462">
        <f t="shared" si="421"/>
        <v>33.115935773480658</v>
      </c>
      <c r="J109" s="462">
        <f t="shared" si="421"/>
        <v>32.497963506028029</v>
      </c>
      <c r="K109" s="461">
        <f t="shared" si="421"/>
        <v>26.04284147869674</v>
      </c>
      <c r="L109" s="462">
        <f t="shared" si="421"/>
        <v>26.789489355366975</v>
      </c>
      <c r="M109" s="462">
        <f t="shared" si="421"/>
        <v>26.438262742282845</v>
      </c>
      <c r="N109" s="462">
        <f t="shared" si="421"/>
        <v>28.986361699104989</v>
      </c>
      <c r="O109" s="461">
        <f t="shared" si="421"/>
        <v>27.265181906211094</v>
      </c>
      <c r="P109" s="462">
        <f t="shared" si="421"/>
        <v>27.026907356948229</v>
      </c>
      <c r="Q109" s="462">
        <f t="shared" si="421"/>
        <v>30.66088657985291</v>
      </c>
      <c r="R109" s="462">
        <f t="shared" si="421"/>
        <v>31.866239487384863</v>
      </c>
      <c r="S109" s="461">
        <f t="shared" si="421"/>
        <v>27.733959414198463</v>
      </c>
      <c r="T109" s="462">
        <f t="shared" si="421"/>
        <v>38.070313980668395</v>
      </c>
      <c r="U109" s="462">
        <f t="shared" si="421"/>
        <v>36.081631465642644</v>
      </c>
      <c r="V109" s="462">
        <f t="shared" si="421"/>
        <v>34.735499972871793</v>
      </c>
      <c r="W109" s="461">
        <f t="shared" si="421"/>
        <v>30.309122133548847</v>
      </c>
      <c r="X109" s="462">
        <f t="shared" si="421"/>
        <v>31.116794543904518</v>
      </c>
      <c r="Y109" s="462">
        <f t="shared" si="421"/>
        <v>30.838865419432704</v>
      </c>
      <c r="Z109" s="462">
        <f t="shared" si="421"/>
        <v>31.017686886831562</v>
      </c>
      <c r="AA109" s="461">
        <f t="shared" si="421"/>
        <v>28.016909704080177</v>
      </c>
      <c r="AB109" s="462">
        <f t="shared" si="421"/>
        <v>27.64196556317529</v>
      </c>
      <c r="AC109" s="462">
        <f t="shared" si="421"/>
        <v>26.770652062647159</v>
      </c>
      <c r="AD109" s="462">
        <f t="shared" si="421"/>
        <v>28.019506056315876</v>
      </c>
      <c r="AE109" s="461">
        <f t="shared" si="421"/>
        <v>27.759149566321135</v>
      </c>
      <c r="AF109" s="462">
        <f t="shared" si="421"/>
        <v>27.554053343153242</v>
      </c>
      <c r="AG109" s="462">
        <f t="shared" si="421"/>
        <v>28.728557013118063</v>
      </c>
      <c r="AH109" s="462">
        <f t="shared" si="421"/>
        <v>30.104715805616792</v>
      </c>
      <c r="AI109" s="461">
        <f t="shared" si="421"/>
        <v>30.127037172678996</v>
      </c>
      <c r="AJ109" s="462">
        <f t="shared" si="421"/>
        <v>30.019996522343931</v>
      </c>
      <c r="AK109" s="462">
        <f t="shared" si="421"/>
        <v>29.81297709923664</v>
      </c>
      <c r="AL109" s="462">
        <f t="shared" si="421"/>
        <v>30.201017599466184</v>
      </c>
      <c r="AM109" s="461">
        <f t="shared" ref="AM109:BR109" si="422">AM69/AM115*365</f>
        <v>29.595786675259809</v>
      </c>
      <c r="AN109" s="462">
        <f t="shared" si="422"/>
        <v>30.41079222835954</v>
      </c>
      <c r="AO109" s="462">
        <f t="shared" si="422"/>
        <v>29.259713701431494</v>
      </c>
      <c r="AP109" s="462">
        <f t="shared" si="422"/>
        <v>28.98217551913352</v>
      </c>
      <c r="AQ109" s="461">
        <f t="shared" si="422"/>
        <v>28.370968303120975</v>
      </c>
      <c r="AR109" s="462">
        <f t="shared" si="422"/>
        <v>40.0925864472025</v>
      </c>
      <c r="AS109" s="462">
        <f t="shared" si="422"/>
        <v>40.451891823661207</v>
      </c>
      <c r="AT109" s="462">
        <f t="shared" si="422"/>
        <v>38.272784829208</v>
      </c>
      <c r="AU109" s="461">
        <f t="shared" si="422"/>
        <v>35.227768249077009</v>
      </c>
      <c r="AV109" s="462">
        <f t="shared" si="422"/>
        <v>35.603904084140737</v>
      </c>
      <c r="AW109" s="462">
        <f t="shared" si="422"/>
        <v>36.657999775129305</v>
      </c>
      <c r="AX109" s="462">
        <f t="shared" si="422"/>
        <v>38.60987358690204</v>
      </c>
      <c r="AY109" s="461">
        <f t="shared" si="422"/>
        <v>37.875148181855565</v>
      </c>
      <c r="AZ109" s="462">
        <f t="shared" si="422"/>
        <v>40.317061253344058</v>
      </c>
      <c r="BA109" s="462">
        <f t="shared" si="422"/>
        <v>38.487588761094621</v>
      </c>
      <c r="BB109" s="462">
        <f t="shared" si="422"/>
        <v>38.860348923054637</v>
      </c>
      <c r="BC109" s="461">
        <f t="shared" si="422"/>
        <v>37.43075125438174</v>
      </c>
      <c r="BD109" s="462">
        <f t="shared" si="422"/>
        <v>37.996337319624018</v>
      </c>
      <c r="BE109" s="462">
        <f t="shared" si="422"/>
        <v>39.101257658819733</v>
      </c>
      <c r="BF109" s="462">
        <f t="shared" si="422"/>
        <v>38.991324583399653</v>
      </c>
      <c r="BG109" s="461">
        <f t="shared" si="422"/>
        <v>37.457865104617646</v>
      </c>
      <c r="BH109" s="462">
        <f t="shared" si="422"/>
        <v>32.803382456007085</v>
      </c>
      <c r="BI109" s="462">
        <f t="shared" si="422"/>
        <v>32.765719678177192</v>
      </c>
      <c r="BJ109" s="462">
        <f t="shared" si="422"/>
        <v>35.254189456288138</v>
      </c>
      <c r="BK109" s="461">
        <f t="shared" si="422"/>
        <v>33.660114760510368</v>
      </c>
      <c r="BL109" s="462">
        <f t="shared" si="422"/>
        <v>34.402524631706228</v>
      </c>
      <c r="BM109" s="462">
        <f t="shared" si="422"/>
        <v>34.09078580762877</v>
      </c>
      <c r="BN109" s="462">
        <f t="shared" si="422"/>
        <v>37.368262571514613</v>
      </c>
      <c r="BO109" s="461">
        <f t="shared" si="422"/>
        <v>34.470665643162626</v>
      </c>
      <c r="BP109" s="462">
        <f t="shared" si="422"/>
        <v>36.561096595084514</v>
      </c>
      <c r="BQ109" s="462">
        <f t="shared" si="422"/>
        <v>34.685570173756282</v>
      </c>
      <c r="BR109" s="462">
        <f t="shared" si="422"/>
        <v>31.911700739451934</v>
      </c>
      <c r="BS109" s="461">
        <f t="shared" ref="BS109:CQ109" si="423">BS69/BS115*365</f>
        <v>29.069210946128361</v>
      </c>
      <c r="BT109" s="462">
        <f t="shared" si="423"/>
        <v>30.083999040010976</v>
      </c>
      <c r="BU109" s="462">
        <f t="shared" si="423"/>
        <v>29.518982360690515</v>
      </c>
      <c r="BV109" s="462">
        <f t="shared" si="423"/>
        <v>30.142909267818052</v>
      </c>
      <c r="BW109" s="461">
        <f t="shared" si="423"/>
        <v>28.580375417665277</v>
      </c>
      <c r="BX109" s="462">
        <f t="shared" si="423"/>
        <v>28.905479210711768</v>
      </c>
      <c r="BY109" s="462">
        <f t="shared" si="423"/>
        <v>28.123717127769684</v>
      </c>
      <c r="BZ109" s="462">
        <f t="shared" si="423"/>
        <v>28.737619476381763</v>
      </c>
      <c r="CA109" s="461">
        <f t="shared" si="423"/>
        <v>28.440832780527632</v>
      </c>
      <c r="CB109" s="462">
        <f t="shared" si="423"/>
        <v>31.231335871544445</v>
      </c>
      <c r="CC109" s="462">
        <f t="shared" si="423"/>
        <v>30.747140190494427</v>
      </c>
      <c r="CD109" s="462">
        <f t="shared" si="423"/>
        <v>30.099241731147949</v>
      </c>
      <c r="CE109" s="461">
        <f t="shared" si="423"/>
        <v>28.185823140470628</v>
      </c>
      <c r="CF109" s="462">
        <f t="shared" si="423"/>
        <v>28.581956817619403</v>
      </c>
      <c r="CG109" s="462">
        <f t="shared" si="423"/>
        <v>30.244550226187293</v>
      </c>
      <c r="CH109" s="462">
        <f t="shared" si="423"/>
        <v>30.684049819204496</v>
      </c>
      <c r="CI109" s="461">
        <f t="shared" si="423"/>
        <v>41.789528646698628</v>
      </c>
      <c r="CJ109" s="462">
        <f t="shared" si="423"/>
        <v>42.021783474395662</v>
      </c>
      <c r="CK109" s="462">
        <f t="shared" si="423"/>
        <v>39.974554333117609</v>
      </c>
      <c r="CL109" s="462">
        <f t="shared" si="423"/>
        <v>35.547682147361854</v>
      </c>
      <c r="CM109" s="461">
        <f t="shared" si="423"/>
        <v>32.788074923997257</v>
      </c>
      <c r="CN109" s="462">
        <f t="shared" si="423"/>
        <v>33.193761854000243</v>
      </c>
      <c r="CO109" s="462">
        <f t="shared" si="423"/>
        <v>35.232649353866478</v>
      </c>
      <c r="CP109" s="462">
        <f t="shared" si="423"/>
        <v>38.06153680208179</v>
      </c>
      <c r="CQ109" s="461">
        <f t="shared" si="423"/>
        <v>36.432962967787311</v>
      </c>
      <c r="CR109" s="661">
        <f>CQ109+0.5</f>
        <v>36.932962967787311</v>
      </c>
      <c r="CS109" s="661">
        <f>CR109+0.5</f>
        <v>37.432962967787311</v>
      </c>
      <c r="CT109" s="661">
        <f>CS109-0.5</f>
        <v>36.932962967787311</v>
      </c>
      <c r="CU109" s="669">
        <f>CT109+2.5</f>
        <v>39.432962967787311</v>
      </c>
      <c r="CV109" s="588"/>
      <c r="CW109" s="462"/>
      <c r="CX109" s="462">
        <f t="shared" ref="CX109:DU109" si="424">CX69/CX115*365</f>
        <v>30.834906084299448</v>
      </c>
      <c r="CY109" s="462">
        <f t="shared" si="424"/>
        <v>26.04284147869674</v>
      </c>
      <c r="CZ109" s="462">
        <f t="shared" si="424"/>
        <v>27.265181906211094</v>
      </c>
      <c r="DA109" s="462">
        <f t="shared" si="424"/>
        <v>27.733959414198463</v>
      </c>
      <c r="DB109" s="462">
        <f t="shared" si="424"/>
        <v>30.309122133548847</v>
      </c>
      <c r="DC109" s="462">
        <f t="shared" si="424"/>
        <v>28.016909704080177</v>
      </c>
      <c r="DD109" s="462">
        <f t="shared" si="424"/>
        <v>27.759149566321135</v>
      </c>
      <c r="DE109" s="462">
        <f t="shared" si="424"/>
        <v>30.127037172678996</v>
      </c>
      <c r="DF109" s="462">
        <f t="shared" si="424"/>
        <v>29.595786675259809</v>
      </c>
      <c r="DG109" s="462">
        <f t="shared" si="424"/>
        <v>28.370968303120975</v>
      </c>
      <c r="DH109" s="462">
        <f t="shared" si="424"/>
        <v>35.227768249077009</v>
      </c>
      <c r="DI109" s="462">
        <f t="shared" si="424"/>
        <v>37.875148181855565</v>
      </c>
      <c r="DJ109" s="462">
        <f t="shared" si="424"/>
        <v>37.43075125438174</v>
      </c>
      <c r="DK109" s="462">
        <f t="shared" si="424"/>
        <v>37.457865104617646</v>
      </c>
      <c r="DL109" s="462">
        <f t="shared" si="424"/>
        <v>33.660114760510368</v>
      </c>
      <c r="DM109" s="462">
        <f t="shared" si="424"/>
        <v>34.470665643162626</v>
      </c>
      <c r="DN109" s="462">
        <f t="shared" si="424"/>
        <v>29.069210946128361</v>
      </c>
      <c r="DO109" s="462">
        <f t="shared" si="424"/>
        <v>28.580375417665277</v>
      </c>
      <c r="DP109" s="462">
        <f t="shared" si="424"/>
        <v>28.440832780527632</v>
      </c>
      <c r="DQ109" s="462">
        <f t="shared" si="424"/>
        <v>28.185823140470628</v>
      </c>
      <c r="DR109" s="462">
        <f t="shared" si="424"/>
        <v>41.789528646698628</v>
      </c>
      <c r="DS109" s="462">
        <f t="shared" si="424"/>
        <v>32.788074923997257</v>
      </c>
      <c r="DT109" s="462">
        <f t="shared" si="424"/>
        <v>36.432962967787311</v>
      </c>
      <c r="DU109" s="462">
        <f t="shared" si="424"/>
        <v>39.432962967787311</v>
      </c>
      <c r="DV109" s="661">
        <f t="shared" si="420"/>
        <v>39.432962967787311</v>
      </c>
      <c r="DW109" s="661">
        <f t="shared" si="420"/>
        <v>39.432962967787311</v>
      </c>
      <c r="DX109" s="661">
        <f t="shared" si="420"/>
        <v>39.432962967787311</v>
      </c>
      <c r="DY109" s="661">
        <f t="shared" si="420"/>
        <v>39.432962967787311</v>
      </c>
      <c r="DZ109" s="661">
        <f t="shared" si="420"/>
        <v>39.432962967787311</v>
      </c>
      <c r="EA109" s="589"/>
      <c r="EB109"/>
      <c r="EC109"/>
      <c r="ED109"/>
      <c r="EE109"/>
      <c r="EF109"/>
      <c r="EG109"/>
    </row>
    <row r="110" spans="1:137" s="418" customFormat="1">
      <c r="A110" s="411"/>
      <c r="B110" s="1182" t="s">
        <v>472</v>
      </c>
      <c r="C110" s="898"/>
      <c r="D110" s="413"/>
      <c r="E110" s="414"/>
      <c r="F110" s="414"/>
      <c r="G110" s="415"/>
      <c r="H110" s="414"/>
      <c r="I110" s="414"/>
      <c r="J110" s="414"/>
      <c r="K110" s="415"/>
      <c r="L110" s="414"/>
      <c r="M110" s="414"/>
      <c r="N110" s="414"/>
      <c r="O110" s="415"/>
      <c r="P110" s="414"/>
      <c r="Q110" s="414"/>
      <c r="R110" s="414"/>
      <c r="S110" s="415"/>
      <c r="T110" s="414"/>
      <c r="U110" s="414"/>
      <c r="V110" s="414"/>
      <c r="W110" s="415"/>
      <c r="X110" s="414">
        <f t="shared" ref="X110:BS110" si="425">X146/X9</f>
        <v>-6.1490002738975619E-2</v>
      </c>
      <c r="Y110" s="414">
        <f t="shared" si="425"/>
        <v>-7.5617063775146199E-3</v>
      </c>
      <c r="Z110" s="414">
        <f t="shared" si="425"/>
        <v>-3.8641875505254643E-2</v>
      </c>
      <c r="AA110" s="415">
        <f t="shared" si="425"/>
        <v>0.11856448096595675</v>
      </c>
      <c r="AB110" s="414">
        <f t="shared" si="425"/>
        <v>-7.4818721160184565E-2</v>
      </c>
      <c r="AC110" s="414">
        <f t="shared" si="425"/>
        <v>3.6046511627906973E-2</v>
      </c>
      <c r="AD110" s="414">
        <f t="shared" si="425"/>
        <v>2.321843186283265E-2</v>
      </c>
      <c r="AE110" s="415">
        <f t="shared" si="425"/>
        <v>-2.9855868222374741E-2</v>
      </c>
      <c r="AF110" s="414">
        <f t="shared" si="425"/>
        <v>-2.9815428300993846E-2</v>
      </c>
      <c r="AG110" s="414">
        <f t="shared" si="425"/>
        <v>-1.7265581134194265E-2</v>
      </c>
      <c r="AH110" s="414">
        <f t="shared" si="425"/>
        <v>-2.2660818713450284E-2</v>
      </c>
      <c r="AI110" s="415">
        <f t="shared" si="425"/>
        <v>-7.7054794520547976E-2</v>
      </c>
      <c r="AJ110" s="414">
        <f t="shared" si="425"/>
        <v>-6.3426582441665588E-2</v>
      </c>
      <c r="AK110" s="414">
        <f t="shared" si="425"/>
        <v>2.339181286549705E-3</v>
      </c>
      <c r="AL110" s="414">
        <f t="shared" si="425"/>
        <v>-4.4125758411472779E-3</v>
      </c>
      <c r="AM110" s="415">
        <f t="shared" si="425"/>
        <v>-5.2704056084126184E-2</v>
      </c>
      <c r="AN110" s="414">
        <f t="shared" si="425"/>
        <v>-4.462407263868895E-2</v>
      </c>
      <c r="AO110" s="414">
        <f t="shared" si="425"/>
        <v>4.0640394088669922E-2</v>
      </c>
      <c r="AP110" s="414">
        <f t="shared" si="425"/>
        <v>-1.4170040485829951E-2</v>
      </c>
      <c r="AQ110" s="415">
        <f t="shared" si="425"/>
        <v>9.5479082321187556E-2</v>
      </c>
      <c r="AR110" s="414">
        <f t="shared" si="425"/>
        <v>-3.544070143054915E-2</v>
      </c>
      <c r="AS110" s="414">
        <f t="shared" si="425"/>
        <v>3.3741227280906977E-2</v>
      </c>
      <c r="AT110" s="414">
        <f t="shared" si="425"/>
        <v>-5.128937101532019E-2</v>
      </c>
      <c r="AU110" s="415">
        <f t="shared" si="425"/>
        <v>3.90267175572519E-2</v>
      </c>
      <c r="AV110" s="414">
        <f t="shared" si="425"/>
        <v>-6.6741689750692515E-2</v>
      </c>
      <c r="AW110" s="414">
        <f t="shared" si="425"/>
        <v>3.0632326516642421E-2</v>
      </c>
      <c r="AX110" s="414">
        <f t="shared" si="425"/>
        <v>-7.1711643706359698E-2</v>
      </c>
      <c r="AY110" s="415">
        <f t="shared" si="425"/>
        <v>8.5711908130148978E-3</v>
      </c>
      <c r="AZ110" s="414">
        <f t="shared" si="425"/>
        <v>-3.4512443261856318E-2</v>
      </c>
      <c r="BA110" s="414">
        <f t="shared" si="425"/>
        <v>-5.6439199589533055E-3</v>
      </c>
      <c r="BB110" s="414">
        <f t="shared" si="425"/>
        <v>1.2865408038976841E-2</v>
      </c>
      <c r="BC110" s="415">
        <f t="shared" si="425"/>
        <v>6.0383130599460995E-2</v>
      </c>
      <c r="BD110" s="414">
        <f t="shared" si="425"/>
        <v>-6.6915738208019201E-2</v>
      </c>
      <c r="BE110" s="414">
        <f t="shared" si="425"/>
        <v>1.1670842674403275E-2</v>
      </c>
      <c r="BF110" s="414">
        <f t="shared" si="425"/>
        <v>-6.8646062723061729E-2</v>
      </c>
      <c r="BG110" s="415">
        <f t="shared" si="425"/>
        <v>8.4487385936661302E-2</v>
      </c>
      <c r="BH110" s="414">
        <f t="shared" si="425"/>
        <v>-3.209273947528981E-2</v>
      </c>
      <c r="BI110" s="414">
        <f t="shared" si="425"/>
        <v>6.2104344029687834E-2</v>
      </c>
      <c r="BJ110" s="414">
        <f t="shared" si="425"/>
        <v>-1.3329441525588605E-2</v>
      </c>
      <c r="BK110" s="415">
        <f t="shared" si="425"/>
        <v>8.3451556371509734E-5</v>
      </c>
      <c r="BL110" s="414">
        <f t="shared" si="425"/>
        <v>-5.8594964252409086E-2</v>
      </c>
      <c r="BM110" s="414">
        <f t="shared" si="425"/>
        <v>-1.308292888795105E-2</v>
      </c>
      <c r="BN110" s="414">
        <f t="shared" si="425"/>
        <v>-4.5502870508186265E-2</v>
      </c>
      <c r="BO110" s="415">
        <f t="shared" si="425"/>
        <v>3.3520281726881429E-2</v>
      </c>
      <c r="BP110" s="414">
        <f t="shared" si="425"/>
        <v>-0.1258090614886731</v>
      </c>
      <c r="BQ110" s="414">
        <f t="shared" si="425"/>
        <v>2.4411700021992517E-2</v>
      </c>
      <c r="BR110" s="414">
        <f t="shared" si="425"/>
        <v>4.0741154146668171E-3</v>
      </c>
      <c r="BS110" s="415">
        <f t="shared" si="425"/>
        <v>-1.9225348142301393E-2</v>
      </c>
      <c r="BT110" s="414">
        <f t="shared" ref="BT110:CU110" si="426">BT146/BT9</f>
        <v>-0.10457516339869281</v>
      </c>
      <c r="BU110" s="414">
        <f t="shared" si="426"/>
        <v>1.1312217194570135E-2</v>
      </c>
      <c r="BV110" s="414">
        <f t="shared" si="426"/>
        <v>1.6104294478527608E-2</v>
      </c>
      <c r="BW110" s="415">
        <f t="shared" si="426"/>
        <v>7.3352335524402318E-2</v>
      </c>
      <c r="BX110" s="414">
        <f t="shared" si="426"/>
        <v>-0.10253362865323319</v>
      </c>
      <c r="BY110" s="414">
        <f t="shared" si="426"/>
        <v>1.272506468134537E-2</v>
      </c>
      <c r="BZ110" s="414">
        <f t="shared" si="426"/>
        <v>-1.9765253017384569E-2</v>
      </c>
      <c r="CA110" s="415">
        <f t="shared" si="426"/>
        <v>-3.7710830592977626E-2</v>
      </c>
      <c r="CB110" s="414">
        <f t="shared" si="426"/>
        <v>-0.11976392687491004</v>
      </c>
      <c r="CC110" s="414">
        <f t="shared" si="426"/>
        <v>-1.2744651797906239E-2</v>
      </c>
      <c r="CD110" s="414">
        <f t="shared" si="426"/>
        <v>-3.2527926775257114E-2</v>
      </c>
      <c r="CE110" s="415">
        <f t="shared" si="426"/>
        <v>4.7693157287012258E-3</v>
      </c>
      <c r="CF110" s="414">
        <f t="shared" si="426"/>
        <v>-0.1214091321439371</v>
      </c>
      <c r="CG110" s="414">
        <f t="shared" si="426"/>
        <v>1.2106895024361431E-2</v>
      </c>
      <c r="CH110" s="414">
        <f t="shared" si="426"/>
        <v>-6.2845010615711239E-2</v>
      </c>
      <c r="CI110" s="415">
        <f t="shared" si="426"/>
        <v>7.2158635956855538E-2</v>
      </c>
      <c r="CJ110" s="414">
        <f t="shared" si="426"/>
        <v>-0.11068500396720445</v>
      </c>
      <c r="CK110" s="414">
        <f t="shared" si="426"/>
        <v>1.803194229778465E-2</v>
      </c>
      <c r="CL110" s="414">
        <f t="shared" si="426"/>
        <v>-2.4794508174509993E-2</v>
      </c>
      <c r="CM110" s="415">
        <f t="shared" si="426"/>
        <v>6.5382912793271353E-2</v>
      </c>
      <c r="CN110" s="414">
        <f t="shared" si="426"/>
        <v>-0.10835064395513087</v>
      </c>
      <c r="CO110" s="414">
        <f t="shared" si="426"/>
        <v>-4.3938569694940777E-3</v>
      </c>
      <c r="CP110" s="414">
        <f t="shared" si="426"/>
        <v>-3.1826835526860338E-2</v>
      </c>
      <c r="CQ110" s="415">
        <f t="shared" si="426"/>
        <v>7.8642128054438584E-2</v>
      </c>
      <c r="CR110" s="414">
        <f t="shared" si="426"/>
        <v>-0.11037373968348187</v>
      </c>
      <c r="CS110" s="414">
        <f t="shared" si="426"/>
        <v>-4.4029805933048306E-4</v>
      </c>
      <c r="CT110" s="414">
        <f t="shared" si="426"/>
        <v>-1.3506715421254773E-2</v>
      </c>
      <c r="CU110" s="415">
        <f t="shared" si="426"/>
        <v>3.3237586567991445E-2</v>
      </c>
      <c r="CV110" s="416"/>
      <c r="CW110" s="414"/>
      <c r="CX110" s="414"/>
      <c r="CY110" s="414"/>
      <c r="CZ110" s="414"/>
      <c r="DA110" s="414"/>
      <c r="DB110" s="414"/>
      <c r="DC110" s="414">
        <f t="shared" ref="DC110:DZ110" si="427">DC146/DC9</f>
        <v>-1.2850069919498087E-3</v>
      </c>
      <c r="DD110" s="414">
        <f t="shared" si="427"/>
        <v>-1.1949819264299383E-2</v>
      </c>
      <c r="DE110" s="414">
        <f t="shared" si="427"/>
        <v>-3.6871590201750216E-2</v>
      </c>
      <c r="DF110" s="414">
        <f t="shared" si="427"/>
        <v>-3.020331030887528E-2</v>
      </c>
      <c r="DG110" s="414">
        <f t="shared" si="427"/>
        <v>1.9572802314696616E-2</v>
      </c>
      <c r="DH110" s="414">
        <f t="shared" si="427"/>
        <v>-3.2372257673855304E-3</v>
      </c>
      <c r="DI110" s="414">
        <f t="shared" si="427"/>
        <v>-2.3334932612203953E-2</v>
      </c>
      <c r="DJ110" s="414">
        <f t="shared" si="427"/>
        <v>9.0079945952032427E-3</v>
      </c>
      <c r="DK110" s="414">
        <f t="shared" si="427"/>
        <v>-1.7914474059157654E-2</v>
      </c>
      <c r="DL110" s="414">
        <f t="shared" si="427"/>
        <v>4.2909788479983842E-3</v>
      </c>
      <c r="DM110" s="414">
        <f t="shared" si="427"/>
        <v>-1.8893291819983015E-2</v>
      </c>
      <c r="DN110" s="414">
        <f t="shared" si="427"/>
        <v>-2.8124868230564887E-2</v>
      </c>
      <c r="DO110" s="414">
        <f t="shared" si="427"/>
        <v>-3.5638712551509079E-3</v>
      </c>
      <c r="DP110" s="414">
        <f t="shared" si="427"/>
        <v>-3.6643089583949649E-2</v>
      </c>
      <c r="DQ110" s="414">
        <f t="shared" si="427"/>
        <v>-4.0240334252447288E-2</v>
      </c>
      <c r="DR110" s="414">
        <f t="shared" si="427"/>
        <v>-2.2621896500149563E-2</v>
      </c>
      <c r="DS110" s="414">
        <f t="shared" si="427"/>
        <v>-1.2821078161172967E-2</v>
      </c>
      <c r="DT110" s="414">
        <f t="shared" si="427"/>
        <v>-1.4776565673058276E-2</v>
      </c>
      <c r="DU110" s="414">
        <f t="shared" si="427"/>
        <v>-2.19857787613775E-2</v>
      </c>
      <c r="DV110" s="414">
        <f t="shared" si="427"/>
        <v>-4.4372694397916707E-3</v>
      </c>
      <c r="DW110" s="414">
        <f t="shared" si="427"/>
        <v>-3.9457786476052069E-3</v>
      </c>
      <c r="DX110" s="414">
        <f t="shared" si="427"/>
        <v>-3.5741197942358873E-3</v>
      </c>
      <c r="DY110" s="414">
        <f t="shared" si="427"/>
        <v>-2.7184124544004074E-3</v>
      </c>
      <c r="DZ110" s="414">
        <f t="shared" si="427"/>
        <v>-1.7172827959516235E-3</v>
      </c>
      <c r="EA110" s="1183"/>
      <c r="EB110"/>
      <c r="EC110"/>
      <c r="ED110"/>
      <c r="EE110"/>
      <c r="EF110"/>
      <c r="EG110"/>
    </row>
    <row r="111" spans="1:137" s="1192" customFormat="1">
      <c r="A111" s="1184"/>
      <c r="B111" s="1185" t="s">
        <v>473</v>
      </c>
      <c r="C111" s="1186"/>
      <c r="D111" s="1187"/>
      <c r="E111" s="1188"/>
      <c r="F111" s="1188"/>
      <c r="G111" s="1189"/>
      <c r="H111" s="1188"/>
      <c r="I111" s="1188"/>
      <c r="J111" s="1188"/>
      <c r="K111" s="1189"/>
      <c r="L111" s="1188"/>
      <c r="M111" s="1188"/>
      <c r="N111" s="1188"/>
      <c r="O111" s="1189"/>
      <c r="P111" s="1188"/>
      <c r="Q111" s="1188"/>
      <c r="R111" s="1188"/>
      <c r="S111" s="1189"/>
      <c r="T111" s="1188"/>
      <c r="U111" s="1188"/>
      <c r="V111" s="1188"/>
      <c r="W111" s="1189"/>
      <c r="X111" s="1188">
        <f>X146/(X9-T9)</f>
        <v>-0.25097820011179417</v>
      </c>
      <c r="Y111" s="1188">
        <f t="shared" ref="Y111:CJ111" si="428">Y146/(Y9-U9)</f>
        <v>-8.8186356073211236E-2</v>
      </c>
      <c r="Z111" s="1188">
        <f t="shared" si="428"/>
        <v>-0.82986111111111238</v>
      </c>
      <c r="AA111" s="1189">
        <f t="shared" si="428"/>
        <v>-0.87826086956521743</v>
      </c>
      <c r="AB111" s="1188">
        <f t="shared" si="428"/>
        <v>0.36790923824959448</v>
      </c>
      <c r="AC111" s="1188">
        <f t="shared" si="428"/>
        <v>-0.21941354903943378</v>
      </c>
      <c r="AD111" s="1188">
        <f t="shared" si="428"/>
        <v>-0.2218430034129692</v>
      </c>
      <c r="AE111" s="1189">
        <f t="shared" si="428"/>
        <v>1.2888888888888888</v>
      </c>
      <c r="AF111" s="1188">
        <f t="shared" si="428"/>
        <v>-0.69741697416974102</v>
      </c>
      <c r="AG111" s="1188">
        <f t="shared" si="428"/>
        <v>-0.11141304347826085</v>
      </c>
      <c r="AH111" s="1188">
        <f t="shared" si="428"/>
        <v>-0.12489927477840444</v>
      </c>
      <c r="AI111" s="1189">
        <f t="shared" si="428"/>
        <v>-0.45762711864406791</v>
      </c>
      <c r="AJ111" s="1188">
        <f t="shared" si="428"/>
        <v>-0.3469675599435823</v>
      </c>
      <c r="AK111" s="1188">
        <f t="shared" si="428"/>
        <v>3.1523642732048988E-2</v>
      </c>
      <c r="AL111" s="1188">
        <f t="shared" si="428"/>
        <v>-7.7669902912621422E-2</v>
      </c>
      <c r="AM111" s="1189">
        <f t="shared" si="428"/>
        <v>-0.42959183673469381</v>
      </c>
      <c r="AN111" s="1188">
        <f t="shared" si="428"/>
        <v>-0.31632653061224486</v>
      </c>
      <c r="AO111" s="1188">
        <f t="shared" si="428"/>
        <v>0.29345189975747749</v>
      </c>
      <c r="AP111" s="1188">
        <f t="shared" si="428"/>
        <v>-0.10383944153577662</v>
      </c>
      <c r="AQ111" s="1189">
        <f t="shared" si="428"/>
        <v>0.93915929203539705</v>
      </c>
      <c r="AR111" s="1188">
        <f t="shared" si="428"/>
        <v>-0.21286031042128609</v>
      </c>
      <c r="AS111" s="1188">
        <f t="shared" si="428"/>
        <v>0.17186067827681029</v>
      </c>
      <c r="AT111" s="1188">
        <f t="shared" si="428"/>
        <v>-0.2553292278540974</v>
      </c>
      <c r="AU111" s="1189">
        <f t="shared" si="428"/>
        <v>0.25755667506297231</v>
      </c>
      <c r="AV111" s="1188">
        <f t="shared" si="428"/>
        <v>-1.07531380753138</v>
      </c>
      <c r="AW111" s="1188">
        <f t="shared" si="428"/>
        <v>0.62478184991274044</v>
      </c>
      <c r="AX111" s="1188">
        <f t="shared" si="428"/>
        <v>-8.5393258426967602</v>
      </c>
      <c r="AY111" s="1189">
        <f t="shared" si="428"/>
        <v>6.7013662979830829E-2</v>
      </c>
      <c r="AZ111" s="1188">
        <f t="shared" si="428"/>
        <v>-0.35970636215334451</v>
      </c>
      <c r="BA111" s="1188">
        <f t="shared" si="428"/>
        <v>-3.9366053169734141E-2</v>
      </c>
      <c r="BB111" s="1188">
        <f t="shared" si="428"/>
        <v>6.6587864460204801E-2</v>
      </c>
      <c r="BC111" s="1189">
        <f t="shared" si="428"/>
        <v>0.48422897196261672</v>
      </c>
      <c r="BD111" s="1188">
        <f t="shared" si="428"/>
        <v>-0.45364088647670708</v>
      </c>
      <c r="BE111" s="1188">
        <f t="shared" si="428"/>
        <v>0.11621799080761662</v>
      </c>
      <c r="BF111" s="1188">
        <f t="shared" si="428"/>
        <v>-27.393939393937885</v>
      </c>
      <c r="BG111" s="1189">
        <f t="shared" si="428"/>
        <v>-0.17829632985953781</v>
      </c>
      <c r="BH111" s="1188">
        <f t="shared" si="428"/>
        <v>3.8710627023844563E-2</v>
      </c>
      <c r="BI111" s="1188">
        <f t="shared" si="428"/>
        <v>-9.4770153231179238E-2</v>
      </c>
      <c r="BJ111" s="1188">
        <f t="shared" si="428"/>
        <v>4.7388446904185269E-2</v>
      </c>
      <c r="BK111" s="1189">
        <f t="shared" si="428"/>
        <v>3.7481259370307393E-4</v>
      </c>
      <c r="BL111" s="1188">
        <f t="shared" si="428"/>
        <v>-0.16135245024609463</v>
      </c>
      <c r="BM111" s="1188">
        <f t="shared" si="428"/>
        <v>-3.6795252225519305E-2</v>
      </c>
      <c r="BN111" s="1188">
        <f t="shared" si="428"/>
        <v>-0.16758026624902109</v>
      </c>
      <c r="BO111" s="1189">
        <f t="shared" si="428"/>
        <v>0.15338704864219627</v>
      </c>
      <c r="BP111" s="1188">
        <f t="shared" si="428"/>
        <v>-0.49075743913435504</v>
      </c>
      <c r="BQ111" s="1188">
        <f t="shared" si="428"/>
        <v>0.11181062704608412</v>
      </c>
      <c r="BR111" s="1188">
        <f t="shared" si="428"/>
        <v>1.9165135206090853E-2</v>
      </c>
      <c r="BS111" s="1189">
        <f t="shared" si="428"/>
        <v>-0.14190595089471489</v>
      </c>
      <c r="BT111" s="1188">
        <f t="shared" si="428"/>
        <v>-1.0982976386600773</v>
      </c>
      <c r="BU111" s="1188">
        <f t="shared" si="428"/>
        <v>0.55851063829787029</v>
      </c>
      <c r="BV111" s="1188">
        <f t="shared" si="428"/>
        <v>-0.28260869565217422</v>
      </c>
      <c r="BW111" s="1189">
        <f t="shared" si="428"/>
        <v>-2.309523809523804</v>
      </c>
      <c r="BX111" s="1188">
        <f t="shared" si="428"/>
        <v>3.0912052117263911</v>
      </c>
      <c r="BY111" s="1188">
        <f t="shared" si="428"/>
        <v>0.64266666666666661</v>
      </c>
      <c r="BZ111" s="1188">
        <f t="shared" si="428"/>
        <v>-0.32162162162162172</v>
      </c>
      <c r="CA111" s="1189">
        <f t="shared" si="428"/>
        <v>-0.42754058929645189</v>
      </c>
      <c r="CB111" s="1188">
        <f t="shared" si="428"/>
        <v>-1.0712446351931342</v>
      </c>
      <c r="CC111" s="1188">
        <f t="shared" si="428"/>
        <v>-9.2378752886836085E-2</v>
      </c>
      <c r="CD111" s="1188">
        <f t="shared" si="428"/>
        <v>-0.29260734838424091</v>
      </c>
      <c r="CE111" s="1189">
        <f t="shared" si="428"/>
        <v>8.9201877934272034E-2</v>
      </c>
      <c r="CF111" s="1188">
        <f t="shared" si="428"/>
        <v>2.4114114114114149</v>
      </c>
      <c r="CG111" s="1188">
        <f t="shared" si="428"/>
        <v>-0.14900060569351911</v>
      </c>
      <c r="CH111" s="1188">
        <f t="shared" si="428"/>
        <v>0.79945982444294428</v>
      </c>
      <c r="CI111" s="1189">
        <f t="shared" si="428"/>
        <v>1.1676829268292699</v>
      </c>
      <c r="CJ111" s="1188">
        <f t="shared" si="428"/>
        <v>-0.88291139240506367</v>
      </c>
      <c r="CK111" s="1188">
        <f t="shared" ref="CK111:CU111" si="429">CK146/(CK9-CG9)</f>
        <v>0.14127144298688207</v>
      </c>
      <c r="CL111" s="1188">
        <f t="shared" si="429"/>
        <v>-0.1662628709872806</v>
      </c>
      <c r="CM111" s="1189">
        <f t="shared" si="429"/>
        <v>1.0868285504047086</v>
      </c>
      <c r="CN111" s="1188">
        <f t="shared" si="429"/>
        <v>-1.884393063583814</v>
      </c>
      <c r="CO111" s="1188">
        <f t="shared" si="429"/>
        <v>-0.17355371900826441</v>
      </c>
      <c r="CP111" s="1188">
        <f t="shared" si="429"/>
        <v>-0.38069306930693042</v>
      </c>
      <c r="CQ111" s="1189">
        <f t="shared" si="429"/>
        <v>0.62125839951130091</v>
      </c>
      <c r="CR111" s="1188">
        <f t="shared" si="429"/>
        <v>-1.1324298872659639</v>
      </c>
      <c r="CS111" s="1188">
        <f t="shared" si="429"/>
        <v>-3.5501508980299006E-3</v>
      </c>
      <c r="CT111" s="1188">
        <f t="shared" si="429"/>
        <v>-0.17052605334827345</v>
      </c>
      <c r="CU111" s="1189">
        <f t="shared" si="429"/>
        <v>0.43321111746159713</v>
      </c>
      <c r="CV111" s="1190"/>
      <c r="CW111" s="1188"/>
      <c r="CX111" s="1188"/>
      <c r="CY111" s="1188"/>
      <c r="CZ111" s="1188"/>
      <c r="DA111" s="1188"/>
      <c r="DB111" s="1188"/>
      <c r="DC111" s="1188">
        <f>DC146/(DC9-DB9)</f>
        <v>-1.8152696209289929E-2</v>
      </c>
      <c r="DD111" s="1188">
        <f t="shared" ref="DD111:DZ111" si="430">DD146/(DD9-DC9)</f>
        <v>9.5448369565217503E-2</v>
      </c>
      <c r="DE111" s="1188">
        <f t="shared" si="430"/>
        <v>-0.26527924130663866</v>
      </c>
      <c r="DF111" s="1188">
        <f t="shared" si="430"/>
        <v>-0.27417923691215623</v>
      </c>
      <c r="DG111" s="1188">
        <f t="shared" si="430"/>
        <v>0.15128261346195995</v>
      </c>
      <c r="DH111" s="1188">
        <f t="shared" si="430"/>
        <v>-1.8087182823682487E-2</v>
      </c>
      <c r="DI111" s="1188">
        <f t="shared" si="430"/>
        <v>-0.36694101508916394</v>
      </c>
      <c r="DJ111" s="1188">
        <f t="shared" si="430"/>
        <v>6.4585575888051611E-2</v>
      </c>
      <c r="DK111" s="1188">
        <f t="shared" si="430"/>
        <v>1.457496136012348</v>
      </c>
      <c r="DL111" s="1188">
        <f t="shared" si="430"/>
        <v>-1.3055832885339073E-2</v>
      </c>
      <c r="DM111" s="1188">
        <f t="shared" si="430"/>
        <v>-6.3157894736842135E-2</v>
      </c>
      <c r="DN111" s="1188">
        <f t="shared" si="430"/>
        <v>-0.13687666735070791</v>
      </c>
      <c r="DO111" s="1188">
        <f t="shared" si="430"/>
        <v>-0.37372262773722137</v>
      </c>
      <c r="DP111" s="1188">
        <f t="shared" si="430"/>
        <v>-1.0753749013417537</v>
      </c>
      <c r="DQ111" s="1188">
        <f t="shared" si="430"/>
        <v>-0.38480138169257339</v>
      </c>
      <c r="DR111" s="1188">
        <f t="shared" si="430"/>
        <v>0.643845335225258</v>
      </c>
      <c r="DS111" s="1188">
        <f t="shared" si="430"/>
        <v>-0.11099446459247954</v>
      </c>
      <c r="DT111" s="1188">
        <f t="shared" si="430"/>
        <v>-0.19881916792530563</v>
      </c>
      <c r="DU111" s="1188">
        <f>DU146/(DU9-DT9)</f>
        <v>-0.23299091065062319</v>
      </c>
      <c r="DV111" s="1188">
        <f t="shared" si="430"/>
        <v>-8.4128182265532078E-2</v>
      </c>
      <c r="DW111" s="1188">
        <f t="shared" si="430"/>
        <v>-8.7128819540453262E-2</v>
      </c>
      <c r="DX111" s="1188">
        <f t="shared" si="430"/>
        <v>-9.0131716146794993E-2</v>
      </c>
      <c r="DY111" s="1188">
        <f t="shared" si="430"/>
        <v>-9.8857869846274454E-2</v>
      </c>
      <c r="DZ111" s="1188">
        <f t="shared" si="430"/>
        <v>-0.12603192130741769</v>
      </c>
      <c r="EA111" s="1191"/>
      <c r="EB111"/>
      <c r="EC111"/>
      <c r="ED111"/>
      <c r="EE111"/>
      <c r="EF111"/>
      <c r="EG111"/>
    </row>
    <row r="112" spans="1:137" s="410" customFormat="1">
      <c r="A112" s="400"/>
      <c r="B112" s="533"/>
      <c r="C112" s="658"/>
      <c r="D112" s="534"/>
      <c r="E112" s="535"/>
      <c r="F112" s="535"/>
      <c r="G112" s="536"/>
      <c r="H112" s="535"/>
      <c r="I112" s="535"/>
      <c r="J112" s="535"/>
      <c r="K112" s="536"/>
      <c r="L112" s="535"/>
      <c r="M112" s="535"/>
      <c r="N112" s="535"/>
      <c r="O112" s="536"/>
      <c r="P112" s="535"/>
      <c r="Q112" s="535"/>
      <c r="R112" s="535"/>
      <c r="S112" s="536"/>
      <c r="T112" s="535"/>
      <c r="U112" s="535"/>
      <c r="V112" s="535"/>
      <c r="W112" s="536"/>
      <c r="X112" s="535"/>
      <c r="Y112" s="535"/>
      <c r="Z112" s="535"/>
      <c r="AA112" s="536"/>
      <c r="AB112" s="535"/>
      <c r="AC112" s="535"/>
      <c r="AD112" s="535"/>
      <c r="AE112" s="536"/>
      <c r="AF112" s="535"/>
      <c r="AG112" s="535"/>
      <c r="AH112" s="535"/>
      <c r="AI112" s="536"/>
      <c r="AJ112" s="535"/>
      <c r="AK112" s="535"/>
      <c r="AL112" s="535"/>
      <c r="AM112" s="536"/>
      <c r="AN112" s="535"/>
      <c r="AO112" s="535"/>
      <c r="AP112" s="535"/>
      <c r="AQ112" s="536"/>
      <c r="AR112" s="535"/>
      <c r="AS112" s="535"/>
      <c r="AT112" s="535"/>
      <c r="AU112" s="536"/>
      <c r="AV112" s="535"/>
      <c r="AW112" s="535"/>
      <c r="AX112" s="535"/>
      <c r="AY112" s="536"/>
      <c r="AZ112" s="535"/>
      <c r="BA112" s="535"/>
      <c r="BB112" s="535"/>
      <c r="BC112" s="536"/>
      <c r="BD112" s="535"/>
      <c r="BE112" s="535"/>
      <c r="BF112" s="535"/>
      <c r="BG112" s="536"/>
      <c r="BH112" s="535"/>
      <c r="BI112" s="535"/>
      <c r="BJ112" s="535"/>
      <c r="BK112" s="536"/>
      <c r="BL112" s="535"/>
      <c r="BM112" s="535"/>
      <c r="BN112" s="535"/>
      <c r="BO112" s="536"/>
      <c r="BP112" s="535"/>
      <c r="BQ112" s="535"/>
      <c r="BR112" s="535"/>
      <c r="BS112" s="536"/>
      <c r="BT112" s="535"/>
      <c r="BU112" s="535"/>
      <c r="BV112" s="535"/>
      <c r="BW112" s="536"/>
      <c r="BX112" s="535"/>
      <c r="BY112" s="535"/>
      <c r="BZ112" s="535"/>
      <c r="CA112" s="536"/>
      <c r="CB112" s="535"/>
      <c r="CC112" s="535"/>
      <c r="CD112" s="535"/>
      <c r="CE112" s="536"/>
      <c r="CF112" s="535"/>
      <c r="CG112" s="535"/>
      <c r="CH112" s="535"/>
      <c r="CI112" s="536"/>
      <c r="CJ112" s="535"/>
      <c r="CK112" s="535"/>
      <c r="CL112" s="535"/>
      <c r="CM112" s="536"/>
      <c r="CN112" s="535"/>
      <c r="CO112" s="535"/>
      <c r="CP112" s="535"/>
      <c r="CQ112" s="536"/>
      <c r="CR112" s="535"/>
      <c r="CS112" s="535"/>
      <c r="CT112" s="535"/>
      <c r="CU112" s="536"/>
      <c r="CV112" s="406"/>
      <c r="CW112" s="535"/>
      <c r="CX112" s="535"/>
      <c r="CY112" s="535"/>
      <c r="CZ112" s="535"/>
      <c r="DA112" s="535"/>
      <c r="DB112" s="535"/>
      <c r="DC112" s="535"/>
      <c r="DD112" s="535"/>
      <c r="DE112" s="535"/>
      <c r="DF112" s="535"/>
      <c r="DG112" s="535"/>
      <c r="DH112" s="535"/>
      <c r="DI112" s="535"/>
      <c r="DJ112" s="535"/>
      <c r="DK112" s="535"/>
      <c r="DL112" s="535"/>
      <c r="DM112" s="535"/>
      <c r="DN112" s="535"/>
      <c r="DO112" s="535"/>
      <c r="DP112" s="535"/>
      <c r="DQ112" s="535"/>
      <c r="DR112" s="535"/>
      <c r="DS112" s="535"/>
      <c r="DT112" s="535"/>
      <c r="DU112" s="535"/>
      <c r="DV112" s="535"/>
      <c r="DW112" s="535"/>
      <c r="DX112" s="535"/>
      <c r="DY112" s="535"/>
      <c r="DZ112" s="535"/>
      <c r="EA112" s="407"/>
      <c r="EB112"/>
      <c r="EC112"/>
      <c r="ED112"/>
      <c r="EE112"/>
      <c r="EF112"/>
      <c r="EG112"/>
    </row>
    <row r="113" spans="1:137" s="410" customFormat="1">
      <c r="A113" s="400"/>
      <c r="B113" s="424" t="s">
        <v>351</v>
      </c>
      <c r="C113" s="658"/>
      <c r="D113" s="534"/>
      <c r="E113" s="535"/>
      <c r="F113" s="535"/>
      <c r="G113" s="536"/>
      <c r="H113" s="535"/>
      <c r="I113" s="535"/>
      <c r="J113" s="535"/>
      <c r="K113" s="536"/>
      <c r="L113" s="535"/>
      <c r="M113" s="535"/>
      <c r="N113" s="535"/>
      <c r="O113" s="536"/>
      <c r="P113" s="535"/>
      <c r="Q113" s="535"/>
      <c r="R113" s="535"/>
      <c r="S113" s="536"/>
      <c r="T113" s="535"/>
      <c r="U113" s="535"/>
      <c r="V113" s="535"/>
      <c r="W113" s="536"/>
      <c r="X113" s="535"/>
      <c r="Y113" s="535"/>
      <c r="Z113" s="535"/>
      <c r="AA113" s="536"/>
      <c r="AB113" s="535"/>
      <c r="AC113" s="535"/>
      <c r="AD113" s="535"/>
      <c r="AE113" s="536"/>
      <c r="AF113" s="535"/>
      <c r="AG113" s="535"/>
      <c r="AH113" s="535"/>
      <c r="AI113" s="536"/>
      <c r="AJ113" s="535"/>
      <c r="AK113" s="535"/>
      <c r="AL113" s="535"/>
      <c r="AM113" s="536"/>
      <c r="AN113" s="535"/>
      <c r="AO113" s="535"/>
      <c r="AP113" s="535"/>
      <c r="AQ113" s="536"/>
      <c r="AR113" s="535"/>
      <c r="AS113" s="535"/>
      <c r="AT113" s="535"/>
      <c r="AU113" s="536"/>
      <c r="AV113" s="535"/>
      <c r="AW113" s="535"/>
      <c r="AX113" s="535"/>
      <c r="AY113" s="536"/>
      <c r="AZ113" s="535"/>
      <c r="BA113" s="535"/>
      <c r="BB113" s="535"/>
      <c r="BC113" s="536"/>
      <c r="BD113" s="535"/>
      <c r="BE113" s="535"/>
      <c r="BF113" s="535"/>
      <c r="BG113" s="536"/>
      <c r="BH113" s="535"/>
      <c r="BI113" s="535"/>
      <c r="BJ113" s="535"/>
      <c r="BK113" s="536"/>
      <c r="BL113" s="535"/>
      <c r="BM113" s="535"/>
      <c r="BN113" s="535"/>
      <c r="BO113" s="536"/>
      <c r="BP113" s="535"/>
      <c r="BQ113" s="535"/>
      <c r="BR113" s="535"/>
      <c r="BS113" s="536"/>
      <c r="BT113" s="535"/>
      <c r="BU113" s="535"/>
      <c r="BV113" s="535"/>
      <c r="BW113" s="536"/>
      <c r="BX113" s="535"/>
      <c r="BY113" s="535"/>
      <c r="BZ113" s="535"/>
      <c r="CA113" s="536"/>
      <c r="CB113" s="535"/>
      <c r="CC113" s="535"/>
      <c r="CD113" s="535"/>
      <c r="CE113" s="536"/>
      <c r="CF113" s="535"/>
      <c r="CG113" s="535"/>
      <c r="CH113" s="535"/>
      <c r="CI113" s="536"/>
      <c r="CJ113" s="535"/>
      <c r="CK113" s="535"/>
      <c r="CL113" s="535"/>
      <c r="CM113" s="536"/>
      <c r="CN113" s="535"/>
      <c r="CO113" s="535"/>
      <c r="CP113" s="535"/>
      <c r="CQ113" s="536"/>
      <c r="CR113" s="535"/>
      <c r="CS113" s="535"/>
      <c r="CT113" s="535"/>
      <c r="CU113" s="536"/>
      <c r="CV113" s="406"/>
      <c r="CW113" s="535"/>
      <c r="CX113" s="535"/>
      <c r="CY113" s="535"/>
      <c r="CZ113" s="535"/>
      <c r="DA113" s="535"/>
      <c r="DB113" s="535"/>
      <c r="DC113" s="535"/>
      <c r="DD113" s="535"/>
      <c r="DE113" s="535"/>
      <c r="DF113" s="535"/>
      <c r="DG113" s="535"/>
      <c r="DH113" s="535"/>
      <c r="DI113" s="535"/>
      <c r="DJ113" s="535"/>
      <c r="DK113" s="535"/>
      <c r="DL113" s="535"/>
      <c r="DM113" s="535"/>
      <c r="DN113" s="535"/>
      <c r="DO113" s="535"/>
      <c r="DP113" s="535"/>
      <c r="DQ113" s="535"/>
      <c r="DR113" s="535"/>
      <c r="DS113" s="535"/>
      <c r="DT113" s="535"/>
      <c r="DU113" s="535"/>
      <c r="DV113" s="535"/>
      <c r="DW113" s="535"/>
      <c r="DX113" s="535"/>
      <c r="DY113" s="535"/>
      <c r="DZ113" s="535"/>
      <c r="EA113" s="407"/>
      <c r="EB113"/>
      <c r="EC113"/>
      <c r="ED113"/>
      <c r="EE113"/>
      <c r="EF113"/>
      <c r="EG113"/>
    </row>
    <row r="114" spans="1:137" s="410" customFormat="1">
      <c r="A114" s="400"/>
      <c r="B114" s="662" t="s">
        <v>115</v>
      </c>
      <c r="C114" s="658"/>
      <c r="D114" s="500"/>
      <c r="E114" s="501"/>
      <c r="F114" s="452"/>
      <c r="G114" s="514">
        <f t="shared" ref="G114:AL114" si="431">SUM(D9:G9)</f>
        <v>1329.1</v>
      </c>
      <c r="H114" s="452">
        <f t="shared" si="431"/>
        <v>1350.1999999999998</v>
      </c>
      <c r="I114" s="452">
        <f t="shared" si="431"/>
        <v>1376</v>
      </c>
      <c r="J114" s="452">
        <f t="shared" si="431"/>
        <v>1465.2</v>
      </c>
      <c r="K114" s="514">
        <f t="shared" si="431"/>
        <v>1540.1000000000001</v>
      </c>
      <c r="L114" s="452">
        <f t="shared" si="431"/>
        <v>1634.7</v>
      </c>
      <c r="M114" s="452">
        <f t="shared" si="431"/>
        <v>1702.6000000000001</v>
      </c>
      <c r="N114" s="452">
        <f t="shared" si="431"/>
        <v>1721.7</v>
      </c>
      <c r="O114" s="514">
        <f t="shared" si="431"/>
        <v>1767</v>
      </c>
      <c r="P114" s="452">
        <f t="shared" si="431"/>
        <v>1788.2</v>
      </c>
      <c r="Q114" s="452">
        <f t="shared" si="431"/>
        <v>1789.8</v>
      </c>
      <c r="R114" s="452">
        <f t="shared" si="431"/>
        <v>1814.6</v>
      </c>
      <c r="S114" s="514">
        <f t="shared" si="431"/>
        <v>1836.8</v>
      </c>
      <c r="T114" s="452">
        <f t="shared" si="431"/>
        <v>1923.4</v>
      </c>
      <c r="U114" s="452">
        <f t="shared" si="431"/>
        <v>2112.8999999999996</v>
      </c>
      <c r="V114" s="452">
        <f t="shared" si="431"/>
        <v>2271</v>
      </c>
      <c r="W114" s="514">
        <f t="shared" si="431"/>
        <v>2458.6</v>
      </c>
      <c r="X114" s="452">
        <f t="shared" si="431"/>
        <v>2637.5</v>
      </c>
      <c r="Y114" s="452">
        <f t="shared" si="431"/>
        <v>2697.6</v>
      </c>
      <c r="Z114" s="452">
        <f t="shared" si="431"/>
        <v>2726.4</v>
      </c>
      <c r="AA114" s="514">
        <f t="shared" si="431"/>
        <v>2645.8999999999996</v>
      </c>
      <c r="AB114" s="452">
        <f t="shared" si="431"/>
        <v>2522.5</v>
      </c>
      <c r="AC114" s="452">
        <f t="shared" si="431"/>
        <v>2423.6</v>
      </c>
      <c r="AD114" s="452">
        <f t="shared" si="431"/>
        <v>2365</v>
      </c>
      <c r="AE114" s="514">
        <f t="shared" si="431"/>
        <v>2351.5</v>
      </c>
      <c r="AF114" s="452">
        <f t="shared" si="431"/>
        <v>2378.6</v>
      </c>
      <c r="AG114" s="452">
        <f t="shared" si="431"/>
        <v>2489</v>
      </c>
      <c r="AH114" s="452">
        <f t="shared" si="431"/>
        <v>2613.1</v>
      </c>
      <c r="AI114" s="514">
        <f t="shared" si="431"/>
        <v>2731.1</v>
      </c>
      <c r="AJ114" s="452">
        <f t="shared" si="431"/>
        <v>2872.8999999999996</v>
      </c>
      <c r="AK114" s="452">
        <f t="shared" si="431"/>
        <v>2930</v>
      </c>
      <c r="AL114" s="452">
        <f t="shared" si="431"/>
        <v>2971.2</v>
      </c>
      <c r="AM114" s="514">
        <f t="shared" ref="AM114:BR114" si="432">SUM(AJ9:AM9)</f>
        <v>3069.2</v>
      </c>
      <c r="AN114" s="452">
        <f t="shared" si="432"/>
        <v>3196.6</v>
      </c>
      <c r="AO114" s="452">
        <f t="shared" si="432"/>
        <v>3320.3</v>
      </c>
      <c r="AP114" s="452">
        <f t="shared" si="432"/>
        <v>3434.9000000000005</v>
      </c>
      <c r="AQ114" s="514">
        <f t="shared" si="432"/>
        <v>3525.3</v>
      </c>
      <c r="AR114" s="452">
        <f t="shared" si="432"/>
        <v>3705.7</v>
      </c>
      <c r="AS114" s="452">
        <f t="shared" si="432"/>
        <v>3923.9</v>
      </c>
      <c r="AT114" s="452">
        <f t="shared" si="432"/>
        <v>4135</v>
      </c>
      <c r="AU114" s="514">
        <f t="shared" si="432"/>
        <v>4293.8</v>
      </c>
      <c r="AV114" s="452">
        <f t="shared" si="432"/>
        <v>4365.5</v>
      </c>
      <c r="AW114" s="452">
        <f t="shared" si="432"/>
        <v>4422.8</v>
      </c>
      <c r="AX114" s="452">
        <f t="shared" si="432"/>
        <v>4431.7</v>
      </c>
      <c r="AY114" s="514">
        <f t="shared" si="432"/>
        <v>4585.3999999999996</v>
      </c>
      <c r="AZ114" s="452">
        <f t="shared" si="432"/>
        <v>4708</v>
      </c>
      <c r="BA114" s="452">
        <f t="shared" si="432"/>
        <v>4903.6000000000004</v>
      </c>
      <c r="BB114" s="452">
        <f t="shared" si="432"/>
        <v>5157.3999999999996</v>
      </c>
      <c r="BC114" s="514">
        <f t="shared" si="432"/>
        <v>5328.6</v>
      </c>
      <c r="BD114" s="452">
        <f t="shared" si="432"/>
        <v>5549.7</v>
      </c>
      <c r="BE114" s="452">
        <f t="shared" si="432"/>
        <v>5702</v>
      </c>
      <c r="BF114" s="452">
        <f t="shared" si="432"/>
        <v>5705.2999999999993</v>
      </c>
      <c r="BG114" s="514">
        <f t="shared" si="432"/>
        <v>5263.9</v>
      </c>
      <c r="BH114" s="452">
        <f t="shared" si="432"/>
        <v>4584.5</v>
      </c>
      <c r="BI114" s="452">
        <f t="shared" si="432"/>
        <v>3984.1000000000004</v>
      </c>
      <c r="BJ114" s="452">
        <f t="shared" si="432"/>
        <v>3695</v>
      </c>
      <c r="BK114" s="514">
        <f t="shared" si="432"/>
        <v>3961.8</v>
      </c>
      <c r="BL114" s="452">
        <f t="shared" si="432"/>
        <v>4429.1000000000004</v>
      </c>
      <c r="BM114" s="452">
        <f t="shared" si="432"/>
        <v>4934.5999999999995</v>
      </c>
      <c r="BN114" s="452">
        <f t="shared" si="432"/>
        <v>5317.7000000000007</v>
      </c>
      <c r="BO114" s="514">
        <f t="shared" si="432"/>
        <v>5652.7999999999993</v>
      </c>
      <c r="BP114" s="452">
        <f t="shared" si="432"/>
        <v>6096.4</v>
      </c>
      <c r="BQ114" s="452">
        <f t="shared" si="432"/>
        <v>6493.5000000000009</v>
      </c>
      <c r="BR114" s="452">
        <f t="shared" si="432"/>
        <v>6874.4000000000005</v>
      </c>
      <c r="BS114" s="514">
        <f t="shared" ref="BS114:CU114" si="433">SUM(BP9:BS9)</f>
        <v>7114.7</v>
      </c>
      <c r="BT114" s="452">
        <f t="shared" si="433"/>
        <v>7296.8</v>
      </c>
      <c r="BU114" s="452">
        <f t="shared" si="433"/>
        <v>7334.4</v>
      </c>
      <c r="BV114" s="452">
        <f t="shared" si="433"/>
        <v>7237.8</v>
      </c>
      <c r="BW114" s="514">
        <f t="shared" si="433"/>
        <v>7183.2000000000007</v>
      </c>
      <c r="BX114" s="452">
        <f t="shared" si="433"/>
        <v>7121.8000000000011</v>
      </c>
      <c r="BY114" s="452">
        <f t="shared" si="433"/>
        <v>7159.3000000000011</v>
      </c>
      <c r="BZ114" s="452">
        <f t="shared" si="433"/>
        <v>7270.3</v>
      </c>
      <c r="CA114" s="514">
        <f t="shared" si="433"/>
        <v>7436.6</v>
      </c>
      <c r="CB114" s="452">
        <f t="shared" si="433"/>
        <v>7669.6</v>
      </c>
      <c r="CC114" s="452">
        <f t="shared" si="433"/>
        <v>7972.7000000000007</v>
      </c>
      <c r="CD114" s="452">
        <f t="shared" si="433"/>
        <v>8198.6</v>
      </c>
      <c r="CE114" s="514">
        <f t="shared" si="433"/>
        <v>8305.1</v>
      </c>
      <c r="CF114" s="452">
        <f t="shared" si="433"/>
        <v>8205.2000000000007</v>
      </c>
      <c r="CG114" s="452">
        <f t="shared" si="433"/>
        <v>8040.1</v>
      </c>
      <c r="CH114" s="452">
        <f t="shared" si="433"/>
        <v>7892</v>
      </c>
      <c r="CI114" s="514">
        <f t="shared" si="433"/>
        <v>8023.2000000000007</v>
      </c>
      <c r="CJ114" s="452">
        <f t="shared" si="433"/>
        <v>8307.6</v>
      </c>
      <c r="CK114" s="452">
        <f t="shared" si="433"/>
        <v>8604.9</v>
      </c>
      <c r="CL114" s="452">
        <f t="shared" si="433"/>
        <v>8935.0999999999985</v>
      </c>
      <c r="CM114" s="514">
        <f t="shared" si="433"/>
        <v>9071</v>
      </c>
      <c r="CN114" s="452">
        <f t="shared" si="433"/>
        <v>9209.4</v>
      </c>
      <c r="CO114" s="452">
        <f t="shared" si="433"/>
        <v>9269.9</v>
      </c>
      <c r="CP114" s="452">
        <f t="shared" si="433"/>
        <v>9471.9</v>
      </c>
      <c r="CQ114" s="514">
        <f t="shared" si="433"/>
        <v>9799.2999999999993</v>
      </c>
      <c r="CR114" s="452">
        <f t="shared" si="433"/>
        <v>10059.236395907936</v>
      </c>
      <c r="CS114" s="452">
        <f t="shared" si="433"/>
        <v>10397.574036611892</v>
      </c>
      <c r="CT114" s="452">
        <f t="shared" si="433"/>
        <v>10605.414206056525</v>
      </c>
      <c r="CU114" s="514">
        <f t="shared" si="433"/>
        <v>10820.342663215657</v>
      </c>
      <c r="CV114" s="406"/>
      <c r="CW114" s="502"/>
      <c r="CX114" s="452">
        <f t="shared" ref="CX114:DZ114" si="434">CX9</f>
        <v>1329.1</v>
      </c>
      <c r="CY114" s="452">
        <f t="shared" si="434"/>
        <v>1540.1000000000001</v>
      </c>
      <c r="CZ114" s="452">
        <f t="shared" si="434"/>
        <v>1767</v>
      </c>
      <c r="DA114" s="452">
        <f t="shared" si="434"/>
        <v>1836.8</v>
      </c>
      <c r="DB114" s="452">
        <f t="shared" si="434"/>
        <v>2458.6</v>
      </c>
      <c r="DC114" s="452">
        <f t="shared" si="434"/>
        <v>2645.8999999999996</v>
      </c>
      <c r="DD114" s="452">
        <f t="shared" si="434"/>
        <v>2351.5</v>
      </c>
      <c r="DE114" s="452">
        <f t="shared" si="434"/>
        <v>2731.1</v>
      </c>
      <c r="DF114" s="452">
        <f t="shared" si="434"/>
        <v>3069.2</v>
      </c>
      <c r="DG114" s="452">
        <f t="shared" si="434"/>
        <v>3525.3</v>
      </c>
      <c r="DH114" s="452">
        <f t="shared" si="434"/>
        <v>4293.8</v>
      </c>
      <c r="DI114" s="452">
        <f t="shared" si="434"/>
        <v>4585.3999999999996</v>
      </c>
      <c r="DJ114" s="452">
        <f t="shared" si="434"/>
        <v>5328.6</v>
      </c>
      <c r="DK114" s="452">
        <f t="shared" si="434"/>
        <v>5263.9</v>
      </c>
      <c r="DL114" s="452">
        <f t="shared" si="434"/>
        <v>3961.8</v>
      </c>
      <c r="DM114" s="452">
        <f t="shared" si="434"/>
        <v>5652.7999999999993</v>
      </c>
      <c r="DN114" s="452">
        <f t="shared" si="434"/>
        <v>7114.7</v>
      </c>
      <c r="DO114" s="452">
        <f t="shared" si="434"/>
        <v>7183.2000000000007</v>
      </c>
      <c r="DP114" s="452">
        <f t="shared" si="434"/>
        <v>7436.6</v>
      </c>
      <c r="DQ114" s="452">
        <f t="shared" si="434"/>
        <v>8305.1</v>
      </c>
      <c r="DR114" s="452">
        <f t="shared" si="434"/>
        <v>8023.2000000000007</v>
      </c>
      <c r="DS114" s="452">
        <f t="shared" si="434"/>
        <v>9071</v>
      </c>
      <c r="DT114" s="452">
        <f t="shared" si="434"/>
        <v>9799.2999999999993</v>
      </c>
      <c r="DU114" s="452">
        <f t="shared" si="434"/>
        <v>10820.342663215657</v>
      </c>
      <c r="DV114" s="452">
        <f t="shared" si="434"/>
        <v>11422.830125400336</v>
      </c>
      <c r="DW114" s="452">
        <f t="shared" si="434"/>
        <v>11964.670850628036</v>
      </c>
      <c r="DX114" s="452">
        <f t="shared" si="434"/>
        <v>12458.71376217756</v>
      </c>
      <c r="DY114" s="452">
        <f t="shared" si="434"/>
        <v>12810.992873956444</v>
      </c>
      <c r="DZ114" s="452">
        <f t="shared" si="434"/>
        <v>12987.963968631469</v>
      </c>
      <c r="EA114" s="501"/>
      <c r="EB114"/>
      <c r="EC114"/>
      <c r="ED114"/>
      <c r="EE114"/>
      <c r="EF114"/>
      <c r="EG114"/>
    </row>
    <row r="115" spans="1:137" s="410" customFormat="1">
      <c r="A115" s="400"/>
      <c r="B115" s="662" t="s">
        <v>236</v>
      </c>
      <c r="C115" s="658"/>
      <c r="D115" s="500"/>
      <c r="E115" s="501"/>
      <c r="F115" s="452"/>
      <c r="G115" s="514">
        <f t="shared" ref="G115:AL115" si="435">-SUM(D11:G11)</f>
        <v>1112.7</v>
      </c>
      <c r="H115" s="452">
        <f t="shared" si="435"/>
        <v>1138.4000000000001</v>
      </c>
      <c r="I115" s="452">
        <f t="shared" si="435"/>
        <v>1158.4000000000001</v>
      </c>
      <c r="J115" s="452">
        <f t="shared" si="435"/>
        <v>1227.5999999999999</v>
      </c>
      <c r="K115" s="514">
        <f t="shared" si="435"/>
        <v>1276.8</v>
      </c>
      <c r="L115" s="452">
        <f t="shared" si="435"/>
        <v>1343.4</v>
      </c>
      <c r="M115" s="452">
        <f t="shared" si="435"/>
        <v>1393</v>
      </c>
      <c r="N115" s="452">
        <f t="shared" si="435"/>
        <v>1407.8</v>
      </c>
      <c r="O115" s="514">
        <f t="shared" si="435"/>
        <v>1445.8</v>
      </c>
      <c r="P115" s="452">
        <f t="shared" si="435"/>
        <v>1468</v>
      </c>
      <c r="Q115" s="452">
        <f t="shared" si="435"/>
        <v>1482.1000000000001</v>
      </c>
      <c r="R115" s="452">
        <f t="shared" si="435"/>
        <v>1498.2</v>
      </c>
      <c r="S115" s="514">
        <f t="shared" si="435"/>
        <v>1522.7</v>
      </c>
      <c r="T115" s="452">
        <f t="shared" si="435"/>
        <v>1582.9</v>
      </c>
      <c r="U115" s="452">
        <f t="shared" si="435"/>
        <v>1718.6999999999998</v>
      </c>
      <c r="V115" s="452">
        <f t="shared" si="435"/>
        <v>1843.1000000000001</v>
      </c>
      <c r="W115" s="514">
        <f t="shared" si="435"/>
        <v>1979.8</v>
      </c>
      <c r="X115" s="452">
        <f t="shared" si="435"/>
        <v>2111.4</v>
      </c>
      <c r="Y115" s="452">
        <f t="shared" si="435"/>
        <v>2154.1000000000004</v>
      </c>
      <c r="Z115" s="452">
        <f t="shared" si="435"/>
        <v>2171.1</v>
      </c>
      <c r="AA115" s="514">
        <f t="shared" si="435"/>
        <v>2105.3000000000002</v>
      </c>
      <c r="AB115" s="452">
        <f t="shared" si="435"/>
        <v>2026.9</v>
      </c>
      <c r="AC115" s="452">
        <f t="shared" si="435"/>
        <v>1953.7999999999997</v>
      </c>
      <c r="AD115" s="452">
        <f t="shared" si="435"/>
        <v>1907.1</v>
      </c>
      <c r="AE115" s="514">
        <f t="shared" si="435"/>
        <v>1890.8000000000002</v>
      </c>
      <c r="AF115" s="452">
        <f t="shared" si="435"/>
        <v>1900.9</v>
      </c>
      <c r="AG115" s="452">
        <f t="shared" si="435"/>
        <v>1982</v>
      </c>
      <c r="AH115" s="452">
        <f t="shared" si="435"/>
        <v>2086.6</v>
      </c>
      <c r="AI115" s="514">
        <f t="shared" si="435"/>
        <v>2184.4</v>
      </c>
      <c r="AJ115" s="452">
        <f t="shared" si="435"/>
        <v>2300.4000000000005</v>
      </c>
      <c r="AK115" s="452">
        <f t="shared" si="435"/>
        <v>2358</v>
      </c>
      <c r="AL115" s="452">
        <f t="shared" si="435"/>
        <v>2397.7999999999997</v>
      </c>
      <c r="AM115" s="514">
        <f t="shared" ref="AM115:BR115" si="436">-SUM(AJ11:AM11)</f>
        <v>2482.6000000000004</v>
      </c>
      <c r="AN115" s="452">
        <f t="shared" si="436"/>
        <v>2588.8999999999996</v>
      </c>
      <c r="AO115" s="452">
        <f t="shared" si="436"/>
        <v>2689.5</v>
      </c>
      <c r="AP115" s="452">
        <f t="shared" si="436"/>
        <v>2788.3</v>
      </c>
      <c r="AQ115" s="514">
        <f t="shared" si="436"/>
        <v>2874.1000000000004</v>
      </c>
      <c r="AR115" s="452">
        <f t="shared" si="436"/>
        <v>3013.3999999999996</v>
      </c>
      <c r="AS115" s="452">
        <f t="shared" si="436"/>
        <v>3168.9</v>
      </c>
      <c r="AT115" s="452">
        <f t="shared" si="436"/>
        <v>3316.8999999999996</v>
      </c>
      <c r="AU115" s="514">
        <f t="shared" si="436"/>
        <v>3439.8999999999996</v>
      </c>
      <c r="AV115" s="452">
        <f t="shared" si="436"/>
        <v>3498.8999999999996</v>
      </c>
      <c r="AW115" s="452">
        <f t="shared" si="436"/>
        <v>3557.6</v>
      </c>
      <c r="AX115" s="452">
        <f t="shared" si="436"/>
        <v>3591.4</v>
      </c>
      <c r="AY115" s="514">
        <f t="shared" si="436"/>
        <v>3728.5266666666666</v>
      </c>
      <c r="AZ115" s="452">
        <f t="shared" si="436"/>
        <v>3847.6266666666666</v>
      </c>
      <c r="BA115" s="452">
        <f t="shared" si="436"/>
        <v>4026.7266666666665</v>
      </c>
      <c r="BB115" s="452">
        <f t="shared" si="436"/>
        <v>4235.126666666667</v>
      </c>
      <c r="BC115" s="514">
        <f t="shared" si="436"/>
        <v>4364.7000000000007</v>
      </c>
      <c r="BD115" s="452">
        <f t="shared" si="436"/>
        <v>4532.2000000000007</v>
      </c>
      <c r="BE115" s="452">
        <f t="shared" si="436"/>
        <v>4651.5</v>
      </c>
      <c r="BF115" s="452">
        <f t="shared" si="436"/>
        <v>4677.7200300000004</v>
      </c>
      <c r="BG115" s="514">
        <f t="shared" si="436"/>
        <v>4396.62003</v>
      </c>
      <c r="BH115" s="452">
        <f t="shared" si="436"/>
        <v>3921.12003</v>
      </c>
      <c r="BI115" s="452">
        <f t="shared" si="436"/>
        <v>3492.2931992307695</v>
      </c>
      <c r="BJ115" s="452">
        <f t="shared" si="436"/>
        <v>3257.1731692307694</v>
      </c>
      <c r="BK115" s="514">
        <f t="shared" si="436"/>
        <v>3408.173169230769</v>
      </c>
      <c r="BL115" s="452">
        <f t="shared" si="436"/>
        <v>3716.5731692307691</v>
      </c>
      <c r="BM115" s="452">
        <f t="shared" si="436"/>
        <v>4055.7</v>
      </c>
      <c r="BN115" s="452">
        <f t="shared" si="436"/>
        <v>4317.2999999999993</v>
      </c>
      <c r="BO115" s="514">
        <f t="shared" si="436"/>
        <v>4559.5</v>
      </c>
      <c r="BP115" s="452">
        <f t="shared" si="436"/>
        <v>4898.7999999999993</v>
      </c>
      <c r="BQ115" s="452">
        <f t="shared" si="436"/>
        <v>5214.2</v>
      </c>
      <c r="BR115" s="452">
        <f t="shared" si="436"/>
        <v>5517.5999999999995</v>
      </c>
      <c r="BS115" s="514">
        <f t="shared" ref="BS115:CU115" si="437">-SUM(BP11:BS11)</f>
        <v>5704.3</v>
      </c>
      <c r="BT115" s="452">
        <f t="shared" si="437"/>
        <v>5833.4</v>
      </c>
      <c r="BU115" s="452">
        <f t="shared" si="437"/>
        <v>5844.9</v>
      </c>
      <c r="BV115" s="452">
        <f t="shared" si="437"/>
        <v>5755.4</v>
      </c>
      <c r="BW115" s="514">
        <f t="shared" si="437"/>
        <v>5716.2999999999993</v>
      </c>
      <c r="BX115" s="452">
        <f t="shared" si="437"/>
        <v>5676</v>
      </c>
      <c r="BY115" s="452">
        <f t="shared" si="437"/>
        <v>5700.1</v>
      </c>
      <c r="BZ115" s="452">
        <f t="shared" si="437"/>
        <v>5775.2000000000007</v>
      </c>
      <c r="CA115" s="514">
        <f t="shared" si="437"/>
        <v>5879.0999999999995</v>
      </c>
      <c r="CB115" s="452">
        <f t="shared" si="437"/>
        <v>6041</v>
      </c>
      <c r="CC115" s="452">
        <f t="shared" si="437"/>
        <v>6267.9</v>
      </c>
      <c r="CD115" s="452">
        <f t="shared" si="437"/>
        <v>6448.9</v>
      </c>
      <c r="CE115" s="514">
        <f t="shared" si="437"/>
        <v>6548.7000000000007</v>
      </c>
      <c r="CF115" s="452">
        <f t="shared" si="437"/>
        <v>6465.5999999999995</v>
      </c>
      <c r="CG115" s="452">
        <f t="shared" si="437"/>
        <v>6344.2999999999993</v>
      </c>
      <c r="CH115" s="452">
        <f t="shared" si="437"/>
        <v>6222.5000000000009</v>
      </c>
      <c r="CI115" s="514">
        <f t="shared" si="437"/>
        <v>6320.1</v>
      </c>
      <c r="CJ115" s="452">
        <f t="shared" si="437"/>
        <v>6569.2</v>
      </c>
      <c r="CK115" s="452">
        <f t="shared" si="437"/>
        <v>6798.8</v>
      </c>
      <c r="CL115" s="452">
        <f t="shared" si="437"/>
        <v>7056.1</v>
      </c>
      <c r="CM115" s="514">
        <f t="shared" si="437"/>
        <v>7137.9</v>
      </c>
      <c r="CN115" s="452">
        <f t="shared" si="437"/>
        <v>7223.3</v>
      </c>
      <c r="CO115" s="452">
        <f t="shared" si="437"/>
        <v>7266.3</v>
      </c>
      <c r="CP115" s="452">
        <f t="shared" si="437"/>
        <v>7416.7</v>
      </c>
      <c r="CQ115" s="514">
        <f t="shared" si="437"/>
        <v>7677.1</v>
      </c>
      <c r="CR115" s="452">
        <f t="shared" si="437"/>
        <v>7873.0632844282409</v>
      </c>
      <c r="CS115" s="452">
        <f t="shared" si="437"/>
        <v>8124.5225965135014</v>
      </c>
      <c r="CT115" s="452">
        <f t="shared" si="437"/>
        <v>8288.5091028615298</v>
      </c>
      <c r="CU115" s="514">
        <f t="shared" si="437"/>
        <v>8453.95251552439</v>
      </c>
      <c r="CV115" s="406"/>
      <c r="CW115" s="502"/>
      <c r="CX115" s="452">
        <f t="shared" ref="CX115:DZ115" si="438">-CX11</f>
        <v>1112.7</v>
      </c>
      <c r="CY115" s="452">
        <f t="shared" si="438"/>
        <v>1276.8</v>
      </c>
      <c r="CZ115" s="452">
        <f t="shared" si="438"/>
        <v>1445.8</v>
      </c>
      <c r="DA115" s="452">
        <f t="shared" si="438"/>
        <v>1522.7</v>
      </c>
      <c r="DB115" s="452">
        <f t="shared" si="438"/>
        <v>1979.8</v>
      </c>
      <c r="DC115" s="452">
        <f t="shared" si="438"/>
        <v>2105.3000000000002</v>
      </c>
      <c r="DD115" s="452">
        <f t="shared" si="438"/>
        <v>1890.8000000000002</v>
      </c>
      <c r="DE115" s="452">
        <f t="shared" si="438"/>
        <v>2184.4</v>
      </c>
      <c r="DF115" s="452">
        <f t="shared" si="438"/>
        <v>2482.6000000000004</v>
      </c>
      <c r="DG115" s="452">
        <f t="shared" si="438"/>
        <v>2874.1000000000004</v>
      </c>
      <c r="DH115" s="452">
        <f t="shared" si="438"/>
        <v>3439.8999999999996</v>
      </c>
      <c r="DI115" s="452">
        <f t="shared" si="438"/>
        <v>3728.5266666666666</v>
      </c>
      <c r="DJ115" s="452">
        <f t="shared" si="438"/>
        <v>4364.7000000000007</v>
      </c>
      <c r="DK115" s="452">
        <f t="shared" si="438"/>
        <v>4396.62003</v>
      </c>
      <c r="DL115" s="452">
        <f t="shared" si="438"/>
        <v>3408.173169230769</v>
      </c>
      <c r="DM115" s="452">
        <f t="shared" si="438"/>
        <v>4559.5</v>
      </c>
      <c r="DN115" s="452">
        <f t="shared" si="438"/>
        <v>5704.3</v>
      </c>
      <c r="DO115" s="452">
        <f t="shared" si="438"/>
        <v>5716.2999999999993</v>
      </c>
      <c r="DP115" s="452">
        <f t="shared" si="438"/>
        <v>5879.0999999999995</v>
      </c>
      <c r="DQ115" s="452">
        <f t="shared" si="438"/>
        <v>6548.7000000000007</v>
      </c>
      <c r="DR115" s="452">
        <f t="shared" si="438"/>
        <v>6320.1</v>
      </c>
      <c r="DS115" s="452">
        <f t="shared" si="438"/>
        <v>7137.9</v>
      </c>
      <c r="DT115" s="452">
        <f t="shared" si="438"/>
        <v>7677.1</v>
      </c>
      <c r="DU115" s="452">
        <f t="shared" si="438"/>
        <v>8453.95251552439</v>
      </c>
      <c r="DV115" s="452">
        <f t="shared" si="438"/>
        <v>8960.7948339060131</v>
      </c>
      <c r="DW115" s="452">
        <f t="shared" si="438"/>
        <v>9424.1471326114533</v>
      </c>
      <c r="DX115" s="452">
        <f t="shared" si="438"/>
        <v>9853.5350948688265</v>
      </c>
      <c r="DY115" s="452">
        <f t="shared" si="438"/>
        <v>10174.354271054217</v>
      </c>
      <c r="DZ115" s="452">
        <f t="shared" si="438"/>
        <v>10358.674573169308</v>
      </c>
      <c r="EA115" s="501"/>
      <c r="EB115"/>
      <c r="EC115"/>
      <c r="ED115"/>
      <c r="EE115"/>
      <c r="EF115"/>
      <c r="EG115"/>
    </row>
    <row r="116" spans="1:137" s="410" customFormat="1">
      <c r="A116" s="400"/>
      <c r="B116" s="662" t="s">
        <v>94</v>
      </c>
      <c r="C116" s="658"/>
      <c r="D116" s="500"/>
      <c r="E116" s="501"/>
      <c r="F116" s="501"/>
      <c r="G116" s="514">
        <f t="shared" ref="G116:AL116" si="439">SUM(D58:G58)</f>
        <v>118.50000000000004</v>
      </c>
      <c r="H116" s="452">
        <f t="shared" si="439"/>
        <v>127.9</v>
      </c>
      <c r="I116" s="452">
        <f t="shared" si="439"/>
        <v>148.30000000000001</v>
      </c>
      <c r="J116" s="452">
        <f t="shared" si="439"/>
        <v>178.5</v>
      </c>
      <c r="K116" s="514">
        <f t="shared" si="439"/>
        <v>209.2</v>
      </c>
      <c r="L116" s="452">
        <f t="shared" si="439"/>
        <v>230.40000000000003</v>
      </c>
      <c r="M116" s="452">
        <f t="shared" si="439"/>
        <v>244.09999999999997</v>
      </c>
      <c r="N116" s="452">
        <f t="shared" si="439"/>
        <v>251.89999999999998</v>
      </c>
      <c r="O116" s="514">
        <f t="shared" si="439"/>
        <v>259.60000000000002</v>
      </c>
      <c r="P116" s="452">
        <f t="shared" si="439"/>
        <v>259.60000000000002</v>
      </c>
      <c r="Q116" s="452">
        <f t="shared" si="439"/>
        <v>248.20000000000005</v>
      </c>
      <c r="R116" s="452">
        <f t="shared" si="439"/>
        <v>247.70000000000005</v>
      </c>
      <c r="S116" s="514">
        <f t="shared" si="439"/>
        <v>251</v>
      </c>
      <c r="T116" s="452">
        <f t="shared" si="439"/>
        <v>253.2</v>
      </c>
      <c r="U116" s="452">
        <f t="shared" si="439"/>
        <v>289.09999999999991</v>
      </c>
      <c r="V116" s="452">
        <f t="shared" si="439"/>
        <v>312.29999999999995</v>
      </c>
      <c r="W116" s="514">
        <f t="shared" si="439"/>
        <v>341.39999999999986</v>
      </c>
      <c r="X116" s="452">
        <f t="shared" si="439"/>
        <v>393.79999999999995</v>
      </c>
      <c r="Y116" s="452">
        <f t="shared" si="439"/>
        <v>412.29999999999995</v>
      </c>
      <c r="Z116" s="452">
        <f t="shared" si="439"/>
        <v>419.89999999999986</v>
      </c>
      <c r="AA116" s="514">
        <f t="shared" si="439"/>
        <v>398.7</v>
      </c>
      <c r="AB116" s="452">
        <f t="shared" si="439"/>
        <v>362.39999999999986</v>
      </c>
      <c r="AC116" s="452">
        <f t="shared" si="439"/>
        <v>334.99999999999989</v>
      </c>
      <c r="AD116" s="452">
        <f t="shared" si="439"/>
        <v>322.49999999999989</v>
      </c>
      <c r="AE116" s="514">
        <f t="shared" si="439"/>
        <v>317.29999999999984</v>
      </c>
      <c r="AF116" s="452">
        <f t="shared" si="439"/>
        <v>319.39999999999986</v>
      </c>
      <c r="AG116" s="452">
        <f t="shared" si="439"/>
        <v>336.69999999999982</v>
      </c>
      <c r="AH116" s="452">
        <f t="shared" si="439"/>
        <v>342.79999999999984</v>
      </c>
      <c r="AI116" s="514">
        <f t="shared" si="439"/>
        <v>359.69999999999982</v>
      </c>
      <c r="AJ116" s="452">
        <f t="shared" si="439"/>
        <v>375.09999999999991</v>
      </c>
      <c r="AK116" s="452">
        <f t="shared" si="439"/>
        <v>373.5</v>
      </c>
      <c r="AL116" s="452">
        <f t="shared" si="439"/>
        <v>378.80000000000007</v>
      </c>
      <c r="AM116" s="514">
        <f t="shared" ref="AM116:BR116" si="440">SUM(AJ58:AM58)</f>
        <v>394.5</v>
      </c>
      <c r="AN116" s="452">
        <f t="shared" si="440"/>
        <v>408.20000000000005</v>
      </c>
      <c r="AO116" s="452">
        <f t="shared" si="440"/>
        <v>423.10000000000008</v>
      </c>
      <c r="AP116" s="452">
        <f t="shared" si="440"/>
        <v>447.59999999999991</v>
      </c>
      <c r="AQ116" s="514">
        <f t="shared" si="440"/>
        <v>466.20000000000005</v>
      </c>
      <c r="AR116" s="452">
        <f t="shared" si="440"/>
        <v>477.60000000000008</v>
      </c>
      <c r="AS116" s="452">
        <f t="shared" si="440"/>
        <v>516.40000000000009</v>
      </c>
      <c r="AT116" s="452">
        <f t="shared" si="440"/>
        <v>546.30000000000018</v>
      </c>
      <c r="AU116" s="514">
        <f t="shared" si="440"/>
        <v>562.3240000000003</v>
      </c>
      <c r="AV116" s="452">
        <f t="shared" si="440"/>
        <v>581.8240000000003</v>
      </c>
      <c r="AW116" s="452">
        <f t="shared" si="440"/>
        <v>583.52400000000023</v>
      </c>
      <c r="AX116" s="452">
        <f t="shared" si="440"/>
        <v>556.24330000000009</v>
      </c>
      <c r="AY116" s="514">
        <f t="shared" si="440"/>
        <v>556.93703333333349</v>
      </c>
      <c r="AZ116" s="452">
        <f t="shared" si="440"/>
        <v>578.83703333333324</v>
      </c>
      <c r="BA116" s="452">
        <f t="shared" si="440"/>
        <v>594.53703333333306</v>
      </c>
      <c r="BB116" s="452">
        <f t="shared" si="440"/>
        <v>638.41773333333299</v>
      </c>
      <c r="BC116" s="514">
        <f t="shared" si="440"/>
        <v>684.29999999999961</v>
      </c>
      <c r="BD116" s="452">
        <f t="shared" si="440"/>
        <v>713.69999999999982</v>
      </c>
      <c r="BE116" s="452">
        <f t="shared" si="440"/>
        <v>737.29999999999973</v>
      </c>
      <c r="BF116" s="452">
        <f t="shared" si="440"/>
        <v>719.8799700000003</v>
      </c>
      <c r="BG116" s="514">
        <f t="shared" si="440"/>
        <v>590.47997000000009</v>
      </c>
      <c r="BH116" s="452">
        <f t="shared" si="440"/>
        <v>459.77997000000011</v>
      </c>
      <c r="BI116" s="452">
        <f t="shared" si="440"/>
        <v>315.4068007692311</v>
      </c>
      <c r="BJ116" s="452">
        <f t="shared" si="440"/>
        <v>261.32683076923081</v>
      </c>
      <c r="BK116" s="514">
        <f t="shared" si="440"/>
        <v>328.52683076923074</v>
      </c>
      <c r="BL116" s="452">
        <f t="shared" si="440"/>
        <v>430.02683076923063</v>
      </c>
      <c r="BM116" s="452">
        <f t="shared" si="440"/>
        <v>574.29999999999995</v>
      </c>
      <c r="BN116" s="452">
        <f t="shared" si="440"/>
        <v>667.50000000000023</v>
      </c>
      <c r="BO116" s="514">
        <f t="shared" si="440"/>
        <v>749.40000000000032</v>
      </c>
      <c r="BP116" s="452">
        <f t="shared" si="440"/>
        <v>825.30000000000052</v>
      </c>
      <c r="BQ116" s="452">
        <f t="shared" si="440"/>
        <v>893.90000000000043</v>
      </c>
      <c r="BR116" s="452">
        <f t="shared" si="440"/>
        <v>975.20000000000027</v>
      </c>
      <c r="BS116" s="514">
        <f t="shared" ref="BS116:CU116" si="441">SUM(BP58:BS58)</f>
        <v>1042.1000000000001</v>
      </c>
      <c r="BT116" s="452">
        <f t="shared" si="441"/>
        <v>1098.7999999999997</v>
      </c>
      <c r="BU116" s="452">
        <f t="shared" si="441"/>
        <v>1122.5</v>
      </c>
      <c r="BV116" s="452">
        <f t="shared" si="441"/>
        <v>1087.7</v>
      </c>
      <c r="BW116" s="514">
        <f t="shared" si="441"/>
        <v>1062.78</v>
      </c>
      <c r="BX116" s="452">
        <f t="shared" si="441"/>
        <v>1044.2399999999998</v>
      </c>
      <c r="BY116" s="452">
        <f t="shared" si="441"/>
        <v>1069.94</v>
      </c>
      <c r="BZ116" s="452">
        <f t="shared" si="441"/>
        <v>1134.44</v>
      </c>
      <c r="CA116" s="514">
        <f t="shared" si="441"/>
        <v>1183.1650000000004</v>
      </c>
      <c r="CB116" s="452">
        <f t="shared" si="441"/>
        <v>1241.9140000000002</v>
      </c>
      <c r="CC116" s="452">
        <f t="shared" si="441"/>
        <v>1300.8942000000002</v>
      </c>
      <c r="CD116" s="452">
        <f t="shared" si="441"/>
        <v>1338.9942000000001</v>
      </c>
      <c r="CE116" s="514">
        <f t="shared" si="441"/>
        <v>1360.3892000000001</v>
      </c>
      <c r="CF116" s="452">
        <f t="shared" si="441"/>
        <v>1356.8802000000001</v>
      </c>
      <c r="CG116" s="452">
        <f t="shared" si="441"/>
        <v>1324.2000000000003</v>
      </c>
      <c r="CH116" s="452">
        <f t="shared" si="441"/>
        <v>1319.9</v>
      </c>
      <c r="CI116" s="514">
        <f t="shared" si="441"/>
        <v>1335.1000000000001</v>
      </c>
      <c r="CJ116" s="452">
        <f t="shared" si="441"/>
        <v>1372.3</v>
      </c>
      <c r="CK116" s="452">
        <f t="shared" si="441"/>
        <v>1419.1999999999998</v>
      </c>
      <c r="CL116" s="452">
        <f t="shared" si="441"/>
        <v>1457.9999999999995</v>
      </c>
      <c r="CM116" s="514">
        <f t="shared" si="441"/>
        <v>1499.6</v>
      </c>
      <c r="CN116" s="452">
        <f t="shared" si="441"/>
        <v>1518.7999999999997</v>
      </c>
      <c r="CO116" s="452">
        <f t="shared" si="441"/>
        <v>1532.1999999999998</v>
      </c>
      <c r="CP116" s="452">
        <f t="shared" si="441"/>
        <v>1572.2999999999997</v>
      </c>
      <c r="CQ116" s="514">
        <f t="shared" si="441"/>
        <v>1626.4999999999995</v>
      </c>
      <c r="CR116" s="452">
        <f t="shared" si="441"/>
        <v>1687.8482072012553</v>
      </c>
      <c r="CS116" s="452">
        <f t="shared" si="441"/>
        <v>1756.7226765435239</v>
      </c>
      <c r="CT116" s="452">
        <f t="shared" si="441"/>
        <v>1792.242815474224</v>
      </c>
      <c r="CU116" s="514">
        <f t="shared" si="441"/>
        <v>1861.6613780073562</v>
      </c>
      <c r="CV116" s="406"/>
      <c r="CW116" s="452"/>
      <c r="CX116" s="452">
        <f t="shared" ref="CX116:DZ116" si="442">CX58</f>
        <v>118.49999999999986</v>
      </c>
      <c r="CY116" s="452">
        <f t="shared" si="442"/>
        <v>209.20000000000019</v>
      </c>
      <c r="CZ116" s="452">
        <f t="shared" si="442"/>
        <v>259.60000000000002</v>
      </c>
      <c r="DA116" s="452">
        <f t="shared" si="442"/>
        <v>250.99999999999989</v>
      </c>
      <c r="DB116" s="452">
        <f t="shared" si="442"/>
        <v>275.49999999999994</v>
      </c>
      <c r="DC116" s="452">
        <f t="shared" si="442"/>
        <v>398.69999999999942</v>
      </c>
      <c r="DD116" s="452">
        <f t="shared" si="442"/>
        <v>317.29999999999978</v>
      </c>
      <c r="DE116" s="452">
        <f t="shared" si="442"/>
        <v>359.69999999999982</v>
      </c>
      <c r="DF116" s="452">
        <f t="shared" si="442"/>
        <v>394.49999999999949</v>
      </c>
      <c r="DG116" s="452">
        <f t="shared" si="442"/>
        <v>466.19999999999976</v>
      </c>
      <c r="DH116" s="452">
        <f t="shared" si="442"/>
        <v>562.32400000000052</v>
      </c>
      <c r="DI116" s="452">
        <f t="shared" si="442"/>
        <v>556.93703333333303</v>
      </c>
      <c r="DJ116" s="452">
        <f t="shared" si="442"/>
        <v>684.29999999999961</v>
      </c>
      <c r="DK116" s="452">
        <f t="shared" si="442"/>
        <v>590.47996999999964</v>
      </c>
      <c r="DL116" s="452">
        <f t="shared" si="442"/>
        <v>328.52683076923125</v>
      </c>
      <c r="DM116" s="452">
        <f t="shared" si="442"/>
        <v>749.3999999999993</v>
      </c>
      <c r="DN116" s="452">
        <f t="shared" si="442"/>
        <v>1042.0999999999997</v>
      </c>
      <c r="DO116" s="452">
        <f t="shared" si="442"/>
        <v>1062.7800000000016</v>
      </c>
      <c r="DP116" s="452">
        <f t="shared" si="442"/>
        <v>1183.1650000000009</v>
      </c>
      <c r="DQ116" s="452">
        <f t="shared" si="442"/>
        <v>1360.3891999999996</v>
      </c>
      <c r="DR116" s="452">
        <f t="shared" si="442"/>
        <v>1335.1000000000004</v>
      </c>
      <c r="DS116" s="452">
        <f t="shared" si="442"/>
        <v>1499.6000000000004</v>
      </c>
      <c r="DT116" s="452">
        <f t="shared" si="442"/>
        <v>1626.4999999999989</v>
      </c>
      <c r="DU116" s="452">
        <f t="shared" si="442"/>
        <v>1861.6613780073581</v>
      </c>
      <c r="DV116" s="452">
        <f t="shared" si="442"/>
        <v>1951.2132953067885</v>
      </c>
      <c r="DW116" s="452">
        <f t="shared" si="442"/>
        <v>2005.4519611195151</v>
      </c>
      <c r="DX116" s="452">
        <f t="shared" si="442"/>
        <v>2047.9963125412619</v>
      </c>
      <c r="DY116" s="452">
        <f t="shared" si="442"/>
        <v>2063.6902051522625</v>
      </c>
      <c r="DZ116" s="452">
        <f t="shared" si="442"/>
        <v>2048.4207611951479</v>
      </c>
      <c r="EA116" s="499"/>
      <c r="EB116"/>
      <c r="EC116"/>
      <c r="ED116"/>
      <c r="EE116"/>
      <c r="EF116"/>
      <c r="EG116"/>
    </row>
    <row r="117" spans="1:137" s="410" customFormat="1">
      <c r="A117" s="400"/>
      <c r="B117" s="662" t="s">
        <v>439</v>
      </c>
      <c r="C117" s="658"/>
      <c r="D117" s="500"/>
      <c r="E117" s="501"/>
      <c r="F117" s="501"/>
      <c r="G117" s="514">
        <f>D18*(1-D28)+E18*(1-E28)+F18*(1-F28)+G18*(1-G28)</f>
        <v>79.810547967747283</v>
      </c>
      <c r="H117" s="452">
        <f t="shared" ref="H117:BS117" si="443">E18*(1-E28)+F18*(1-F28)+G18*(1-G28)+H18*(1-H28)</f>
        <v>75.060388545025319</v>
      </c>
      <c r="I117" s="452">
        <f t="shared" si="443"/>
        <v>77.949244850010672</v>
      </c>
      <c r="J117" s="452">
        <f t="shared" si="443"/>
        <v>86.189438554611158</v>
      </c>
      <c r="K117" s="514">
        <f t="shared" si="443"/>
        <v>125.05866550940809</v>
      </c>
      <c r="L117" s="452">
        <f t="shared" si="443"/>
        <v>140.65434929653679</v>
      </c>
      <c r="M117" s="452">
        <f t="shared" si="443"/>
        <v>150.01935612620929</v>
      </c>
      <c r="N117" s="452">
        <f t="shared" si="443"/>
        <v>154.22887993573309</v>
      </c>
      <c r="O117" s="514">
        <f t="shared" si="443"/>
        <v>124.95096134894354</v>
      </c>
      <c r="P117" s="452">
        <f t="shared" si="443"/>
        <v>125.0879901187848</v>
      </c>
      <c r="Q117" s="452">
        <f t="shared" si="443"/>
        <v>117.21600617875788</v>
      </c>
      <c r="R117" s="452">
        <f t="shared" si="443"/>
        <v>116.09113055686731</v>
      </c>
      <c r="S117" s="514">
        <f t="shared" si="443"/>
        <v>119.40094952577721</v>
      </c>
      <c r="T117" s="452">
        <f t="shared" si="443"/>
        <v>129.22785155095508</v>
      </c>
      <c r="U117" s="452">
        <f t="shared" si="443"/>
        <v>149.93686552620153</v>
      </c>
      <c r="V117" s="452">
        <f t="shared" si="443"/>
        <v>160.99738929624027</v>
      </c>
      <c r="W117" s="514">
        <f t="shared" si="443"/>
        <v>176.85000513967535</v>
      </c>
      <c r="X117" s="452">
        <f t="shared" si="443"/>
        <v>193.44782482666139</v>
      </c>
      <c r="Y117" s="452">
        <f t="shared" si="443"/>
        <v>201.04244102760055</v>
      </c>
      <c r="Z117" s="452">
        <f t="shared" si="443"/>
        <v>204.05269764135713</v>
      </c>
      <c r="AA117" s="514">
        <f t="shared" si="443"/>
        <v>187.67949405865744</v>
      </c>
      <c r="AB117" s="452">
        <f t="shared" si="443"/>
        <v>165.24026589808079</v>
      </c>
      <c r="AC117" s="452">
        <f t="shared" si="443"/>
        <v>147.87772896820911</v>
      </c>
      <c r="AD117" s="452">
        <f t="shared" si="443"/>
        <v>139.91780459846117</v>
      </c>
      <c r="AE117" s="514">
        <f t="shared" si="443"/>
        <v>137.66355706092281</v>
      </c>
      <c r="AF117" s="452">
        <f t="shared" si="443"/>
        <v>140.60751230034623</v>
      </c>
      <c r="AG117" s="452">
        <f t="shared" si="443"/>
        <v>153.28623238408395</v>
      </c>
      <c r="AH117" s="452">
        <f t="shared" si="443"/>
        <v>158.16232784023049</v>
      </c>
      <c r="AI117" s="514">
        <f t="shared" si="443"/>
        <v>168.45708359107053</v>
      </c>
      <c r="AJ117" s="452">
        <f t="shared" si="443"/>
        <v>179.75526673083118</v>
      </c>
      <c r="AK117" s="452">
        <f t="shared" si="443"/>
        <v>179.43693275380372</v>
      </c>
      <c r="AL117" s="452">
        <f t="shared" si="443"/>
        <v>183.57934408498761</v>
      </c>
      <c r="AM117" s="514">
        <f t="shared" si="443"/>
        <v>193.03213566263432</v>
      </c>
      <c r="AN117" s="452">
        <f t="shared" si="443"/>
        <v>199.18570684844477</v>
      </c>
      <c r="AO117" s="452">
        <f t="shared" si="443"/>
        <v>206.81209251516245</v>
      </c>
      <c r="AP117" s="452">
        <f t="shared" si="443"/>
        <v>213.45035570936716</v>
      </c>
      <c r="AQ117" s="514">
        <f t="shared" si="443"/>
        <v>216.35153094235929</v>
      </c>
      <c r="AR117" s="452">
        <f t="shared" si="443"/>
        <v>222.43524726122604</v>
      </c>
      <c r="AS117" s="452">
        <f t="shared" si="443"/>
        <v>239.47442882810336</v>
      </c>
      <c r="AT117" s="452">
        <f t="shared" si="443"/>
        <v>256.97517345056229</v>
      </c>
      <c r="AU117" s="514">
        <f t="shared" si="443"/>
        <v>272.68629496300406</v>
      </c>
      <c r="AV117" s="452">
        <f t="shared" si="443"/>
        <v>280.06971128616544</v>
      </c>
      <c r="AW117" s="452">
        <f t="shared" si="443"/>
        <v>283.42889106570703</v>
      </c>
      <c r="AX117" s="452">
        <f t="shared" si="443"/>
        <v>269.39742863953063</v>
      </c>
      <c r="AY117" s="514">
        <f t="shared" si="443"/>
        <v>262.84254062475611</v>
      </c>
      <c r="AZ117" s="452">
        <f t="shared" si="443"/>
        <v>270.51823883622808</v>
      </c>
      <c r="BA117" s="452">
        <f t="shared" si="443"/>
        <v>276.07529684749642</v>
      </c>
      <c r="BB117" s="452">
        <f t="shared" si="443"/>
        <v>296.18872185935209</v>
      </c>
      <c r="BC117" s="514">
        <f t="shared" si="443"/>
        <v>321.5549024590922</v>
      </c>
      <c r="BD117" s="452">
        <f t="shared" si="443"/>
        <v>339.78666527021323</v>
      </c>
      <c r="BE117" s="452">
        <f t="shared" si="443"/>
        <v>353.3792061006688</v>
      </c>
      <c r="BF117" s="452">
        <f t="shared" si="443"/>
        <v>337.03919221833752</v>
      </c>
      <c r="BG117" s="514">
        <f t="shared" si="443"/>
        <v>248.38458325450785</v>
      </c>
      <c r="BH117" s="452">
        <f t="shared" si="443"/>
        <v>157.29499171509167</v>
      </c>
      <c r="BI117" s="452">
        <f t="shared" si="443"/>
        <v>57.665334258767459</v>
      </c>
      <c r="BJ117" s="452">
        <f t="shared" si="443"/>
        <v>28.294619241439101</v>
      </c>
      <c r="BK117" s="514">
        <f t="shared" si="443"/>
        <v>82.524675130894025</v>
      </c>
      <c r="BL117" s="452">
        <f t="shared" si="443"/>
        <v>167.85502619502367</v>
      </c>
      <c r="BM117" s="452">
        <f t="shared" si="443"/>
        <v>274.33842277912396</v>
      </c>
      <c r="BN117" s="452">
        <f t="shared" si="443"/>
        <v>344.75443451758179</v>
      </c>
      <c r="BO117" s="514">
        <f t="shared" si="443"/>
        <v>411.88106214683273</v>
      </c>
      <c r="BP117" s="452">
        <f t="shared" si="443"/>
        <v>460.10318482944297</v>
      </c>
      <c r="BQ117" s="452">
        <f t="shared" si="443"/>
        <v>509.06384768212985</v>
      </c>
      <c r="BR117" s="452">
        <f t="shared" si="443"/>
        <v>564.09678756531639</v>
      </c>
      <c r="BS117" s="514">
        <f t="shared" si="443"/>
        <v>595.21197409515321</v>
      </c>
      <c r="BT117" s="452">
        <f t="shared" ref="BT117:CU117" si="444">BQ18*(1-BQ28)+BR18*(1-BR28)+BS18*(1-BS28)+BT18*(1-BT28)</f>
        <v>626.00369795975109</v>
      </c>
      <c r="BU117" s="452">
        <f t="shared" si="444"/>
        <v>642.68988478399524</v>
      </c>
      <c r="BV117" s="452">
        <f t="shared" si="444"/>
        <v>593.13925562656493</v>
      </c>
      <c r="BW117" s="514">
        <f t="shared" si="444"/>
        <v>577.36602878067379</v>
      </c>
      <c r="BX117" s="452">
        <f t="shared" si="444"/>
        <v>567.51587785717788</v>
      </c>
      <c r="BY117" s="452">
        <f t="shared" si="444"/>
        <v>576.14846426081863</v>
      </c>
      <c r="BZ117" s="452">
        <f t="shared" si="444"/>
        <v>640.31741660483556</v>
      </c>
      <c r="CA117" s="514">
        <f t="shared" si="444"/>
        <v>684.01612335728794</v>
      </c>
      <c r="CB117" s="452">
        <f t="shared" si="444"/>
        <v>722.2844686529279</v>
      </c>
      <c r="CC117" s="452">
        <f t="shared" si="444"/>
        <v>754.98618364210802</v>
      </c>
      <c r="CD117" s="452">
        <f t="shared" si="444"/>
        <v>770.8978358307661</v>
      </c>
      <c r="CE117" s="514">
        <f t="shared" si="444"/>
        <v>764.62107386404955</v>
      </c>
      <c r="CF117" s="452">
        <f t="shared" si="444"/>
        <v>755.75860281436303</v>
      </c>
      <c r="CG117" s="452">
        <f t="shared" si="444"/>
        <v>728.3491451463583</v>
      </c>
      <c r="CH117" s="452">
        <f t="shared" si="444"/>
        <v>724.42060757298975</v>
      </c>
      <c r="CI117" s="514">
        <f t="shared" si="444"/>
        <v>733.24216466002383</v>
      </c>
      <c r="CJ117" s="452">
        <f t="shared" si="444"/>
        <v>737.18189924620322</v>
      </c>
      <c r="CK117" s="452">
        <f t="shared" si="444"/>
        <v>753.92092037984446</v>
      </c>
      <c r="CL117" s="452">
        <f t="shared" si="444"/>
        <v>758.08015168378097</v>
      </c>
      <c r="CM117" s="514">
        <f t="shared" si="444"/>
        <v>768.09657292447957</v>
      </c>
      <c r="CN117" s="452">
        <f t="shared" si="444"/>
        <v>786.26394379948749</v>
      </c>
      <c r="CO117" s="452">
        <f t="shared" si="444"/>
        <v>800.75619394100534</v>
      </c>
      <c r="CP117" s="452">
        <f t="shared" si="444"/>
        <v>830.98523408265964</v>
      </c>
      <c r="CQ117" s="514">
        <f t="shared" si="444"/>
        <v>875.67473634895612</v>
      </c>
      <c r="CR117" s="452">
        <f t="shared" si="444"/>
        <v>907.46382760488621</v>
      </c>
      <c r="CS117" s="452">
        <f t="shared" si="444"/>
        <v>943.91080486662031</v>
      </c>
      <c r="CT117" s="452">
        <f t="shared" si="444"/>
        <v>964.63965611076969</v>
      </c>
      <c r="CU117" s="514">
        <f t="shared" si="444"/>
        <v>981.47208468138774</v>
      </c>
      <c r="CV117" s="406"/>
      <c r="CW117" s="452"/>
      <c r="CX117" s="452">
        <f>CX18*(1-CX28)</f>
        <v>82.70208657996703</v>
      </c>
      <c r="CY117" s="452">
        <f t="shared" ref="CY117:DZ117" si="445">CY18*(1-CY28)</f>
        <v>124.45396825396844</v>
      </c>
      <c r="CZ117" s="452">
        <f t="shared" si="445"/>
        <v>130.99280089988756</v>
      </c>
      <c r="DA117" s="452">
        <f t="shared" si="445"/>
        <v>125.4155388471177</v>
      </c>
      <c r="DB117" s="452">
        <f t="shared" si="445"/>
        <v>189.85767790262165</v>
      </c>
      <c r="DC117" s="452">
        <f t="shared" si="445"/>
        <v>187.69819169576968</v>
      </c>
      <c r="DD117" s="452">
        <f t="shared" si="445"/>
        <v>137.65172031076563</v>
      </c>
      <c r="DE117" s="452">
        <f t="shared" si="445"/>
        <v>168.45044890979034</v>
      </c>
      <c r="DF117" s="452">
        <f t="shared" si="445"/>
        <v>193.00740163615066</v>
      </c>
      <c r="DG117" s="452">
        <f t="shared" si="445"/>
        <v>216.34996759559272</v>
      </c>
      <c r="DH117" s="452">
        <f t="shared" si="445"/>
        <v>272.83873953847547</v>
      </c>
      <c r="DI117" s="452">
        <f t="shared" si="445"/>
        <v>262.78697176811778</v>
      </c>
      <c r="DJ117" s="452">
        <f t="shared" si="445"/>
        <v>321.56054252461917</v>
      </c>
      <c r="DK117" s="452">
        <f t="shared" si="445"/>
        <v>248.47891637573153</v>
      </c>
      <c r="DL117" s="452">
        <f t="shared" si="445"/>
        <v>95.441511091777528</v>
      </c>
      <c r="DM117" s="452">
        <f t="shared" si="445"/>
        <v>411.77425622414069</v>
      </c>
      <c r="DN117" s="452">
        <f t="shared" si="445"/>
        <v>595.11251417644701</v>
      </c>
      <c r="DO117" s="452">
        <f t="shared" si="445"/>
        <v>576.80561708689152</v>
      </c>
      <c r="DP117" s="452">
        <f t="shared" si="445"/>
        <v>684.14000289325338</v>
      </c>
      <c r="DQ117" s="452">
        <f t="shared" si="445"/>
        <v>764.56168195454973</v>
      </c>
      <c r="DR117" s="452">
        <f t="shared" si="445"/>
        <v>733.29163747862447</v>
      </c>
      <c r="DS117" s="452">
        <f t="shared" si="445"/>
        <v>768.0967022845474</v>
      </c>
      <c r="DT117" s="452">
        <f t="shared" si="445"/>
        <v>875.69562099817347</v>
      </c>
      <c r="DU117" s="452">
        <f t="shared" si="445"/>
        <v>981.47208468138956</v>
      </c>
      <c r="DV117" s="452">
        <f t="shared" si="445"/>
        <v>1010.1005634870526</v>
      </c>
      <c r="DW117" s="452">
        <f t="shared" si="445"/>
        <v>1030.4263874083465</v>
      </c>
      <c r="DX117" s="452">
        <f t="shared" si="445"/>
        <v>1043.9841974088527</v>
      </c>
      <c r="DY117" s="452">
        <f t="shared" si="445"/>
        <v>1043.1090339856949</v>
      </c>
      <c r="DZ117" s="452">
        <f t="shared" si="445"/>
        <v>1025.9989133046035</v>
      </c>
      <c r="EA117" s="499"/>
      <c r="EB117"/>
      <c r="EC117"/>
      <c r="ED117"/>
      <c r="EE117"/>
      <c r="EF117"/>
      <c r="EG117"/>
    </row>
    <row r="118" spans="1:137" s="410" customFormat="1">
      <c r="A118" s="400"/>
      <c r="B118" s="533"/>
      <c r="C118" s="658"/>
      <c r="D118" s="534"/>
      <c r="E118" s="535"/>
      <c r="F118" s="535"/>
      <c r="G118" s="536"/>
      <c r="H118" s="535"/>
      <c r="I118" s="535"/>
      <c r="J118" s="535"/>
      <c r="K118" s="536"/>
      <c r="L118" s="535"/>
      <c r="M118" s="535"/>
      <c r="N118" s="535"/>
      <c r="O118" s="536"/>
      <c r="P118" s="535"/>
      <c r="Q118" s="535"/>
      <c r="R118" s="535"/>
      <c r="S118" s="536"/>
      <c r="T118" s="535"/>
      <c r="U118" s="535"/>
      <c r="V118" s="535"/>
      <c r="W118" s="536"/>
      <c r="X118" s="535"/>
      <c r="Y118" s="535"/>
      <c r="Z118" s="535"/>
      <c r="AA118" s="536"/>
      <c r="AB118" s="535"/>
      <c r="AC118" s="535"/>
      <c r="AD118" s="535"/>
      <c r="AE118" s="536"/>
      <c r="AF118" s="535"/>
      <c r="AG118" s="535"/>
      <c r="AH118" s="535"/>
      <c r="AI118" s="536"/>
      <c r="AJ118" s="535"/>
      <c r="AK118" s="535"/>
      <c r="AL118" s="535"/>
      <c r="AM118" s="536"/>
      <c r="AN118" s="535"/>
      <c r="AO118" s="535"/>
      <c r="AP118" s="535"/>
      <c r="AQ118" s="536"/>
      <c r="AR118" s="535"/>
      <c r="AS118" s="535"/>
      <c r="AT118" s="535"/>
      <c r="AU118" s="536"/>
      <c r="AV118" s="535"/>
      <c r="AW118" s="535"/>
      <c r="AX118" s="535"/>
      <c r="AY118" s="536"/>
      <c r="AZ118" s="535"/>
      <c r="BA118" s="535"/>
      <c r="BB118" s="535"/>
      <c r="BC118" s="536"/>
      <c r="BD118" s="535"/>
      <c r="BE118" s="535"/>
      <c r="BF118" s="535"/>
      <c r="BG118" s="536"/>
      <c r="BH118" s="535"/>
      <c r="BI118" s="535"/>
      <c r="BJ118" s="535"/>
      <c r="BK118" s="536"/>
      <c r="BL118" s="535"/>
      <c r="BM118" s="535"/>
      <c r="BN118" s="535"/>
      <c r="BO118" s="536"/>
      <c r="BP118" s="535"/>
      <c r="BQ118" s="535"/>
      <c r="BR118" s="535"/>
      <c r="BS118" s="536"/>
      <c r="BT118" s="535"/>
      <c r="BU118" s="535"/>
      <c r="BV118" s="535"/>
      <c r="BW118" s="536"/>
      <c r="BX118" s="535"/>
      <c r="BY118" s="535"/>
      <c r="BZ118" s="535"/>
      <c r="CA118" s="536"/>
      <c r="CB118" s="535"/>
      <c r="CC118" s="535"/>
      <c r="CD118" s="535"/>
      <c r="CE118" s="536"/>
      <c r="CF118" s="535"/>
      <c r="CG118" s="535"/>
      <c r="CH118" s="535"/>
      <c r="CI118" s="536"/>
      <c r="CJ118" s="535"/>
      <c r="CK118" s="535"/>
      <c r="CL118" s="535"/>
      <c r="CM118" s="536"/>
      <c r="CN118" s="535"/>
      <c r="CO118" s="535"/>
      <c r="CP118" s="535"/>
      <c r="CQ118" s="536"/>
      <c r="CR118" s="535"/>
      <c r="CS118" s="535"/>
      <c r="CT118" s="535"/>
      <c r="CU118" s="536"/>
      <c r="CV118" s="406"/>
      <c r="CW118" s="535"/>
      <c r="CX118" s="535"/>
      <c r="CY118" s="535"/>
      <c r="CZ118" s="535"/>
      <c r="DA118" s="535"/>
      <c r="DB118" s="535"/>
      <c r="DC118" s="535"/>
      <c r="DD118" s="535"/>
      <c r="DE118" s="535"/>
      <c r="DF118" s="535"/>
      <c r="DG118" s="535"/>
      <c r="DH118" s="535"/>
      <c r="DI118" s="535"/>
      <c r="DJ118" s="535"/>
      <c r="DK118" s="535"/>
      <c r="DL118" s="535"/>
      <c r="DM118" s="535"/>
      <c r="DN118" s="535"/>
      <c r="DO118" s="535"/>
      <c r="DP118" s="535"/>
      <c r="DQ118" s="535"/>
      <c r="DR118" s="535"/>
      <c r="DS118" s="535"/>
      <c r="DT118" s="535"/>
      <c r="DU118" s="535"/>
      <c r="DV118" s="535"/>
      <c r="DW118" s="535"/>
      <c r="DX118" s="535"/>
      <c r="DY118" s="535"/>
      <c r="DZ118" s="535"/>
      <c r="EA118" s="407"/>
      <c r="EB118"/>
      <c r="EC118"/>
      <c r="ED118"/>
      <c r="EE118"/>
      <c r="EF118"/>
      <c r="EG118"/>
    </row>
    <row r="119" spans="1:137" s="410" customFormat="1">
      <c r="A119" s="400"/>
      <c r="B119" s="424" t="s">
        <v>352</v>
      </c>
      <c r="C119" s="658"/>
      <c r="D119" s="534"/>
      <c r="E119" s="535"/>
      <c r="F119" s="535"/>
      <c r="G119" s="536"/>
      <c r="H119" s="535"/>
      <c r="I119" s="535"/>
      <c r="J119" s="535"/>
      <c r="K119" s="536"/>
      <c r="L119" s="535"/>
      <c r="M119" s="535"/>
      <c r="N119" s="535"/>
      <c r="O119" s="536"/>
      <c r="P119" s="535"/>
      <c r="Q119" s="535"/>
      <c r="R119" s="535"/>
      <c r="S119" s="536"/>
      <c r="T119" s="535"/>
      <c r="U119" s="535"/>
      <c r="V119" s="535"/>
      <c r="W119" s="536"/>
      <c r="X119" s="535"/>
      <c r="Y119" s="535"/>
      <c r="Z119" s="535"/>
      <c r="AA119" s="536"/>
      <c r="AB119" s="535"/>
      <c r="AC119" s="535"/>
      <c r="AD119" s="535"/>
      <c r="AE119" s="536"/>
      <c r="AF119" s="535"/>
      <c r="AG119" s="535"/>
      <c r="AH119" s="535"/>
      <c r="AI119" s="536"/>
      <c r="AJ119" s="535"/>
      <c r="AK119" s="535"/>
      <c r="AL119" s="535"/>
      <c r="AM119" s="536"/>
      <c r="AN119" s="535"/>
      <c r="AO119" s="535"/>
      <c r="AP119" s="535"/>
      <c r="AQ119" s="536"/>
      <c r="AR119" s="535"/>
      <c r="AS119" s="535"/>
      <c r="AT119" s="535"/>
      <c r="AU119" s="536"/>
      <c r="AV119" s="535"/>
      <c r="AW119" s="535"/>
      <c r="AX119" s="535"/>
      <c r="AY119" s="536"/>
      <c r="AZ119" s="535"/>
      <c r="BA119" s="535"/>
      <c r="BB119" s="535"/>
      <c r="BC119" s="536"/>
      <c r="BD119" s="535"/>
      <c r="BE119" s="535"/>
      <c r="BF119" s="535"/>
      <c r="BG119" s="536"/>
      <c r="BH119" s="535"/>
      <c r="BI119" s="535"/>
      <c r="BJ119" s="535"/>
      <c r="BK119" s="536"/>
      <c r="BL119" s="535"/>
      <c r="BM119" s="535"/>
      <c r="BN119" s="535"/>
      <c r="BO119" s="536"/>
      <c r="BP119" s="535"/>
      <c r="BQ119" s="535"/>
      <c r="BR119" s="535"/>
      <c r="BS119" s="536"/>
      <c r="BT119" s="535"/>
      <c r="BU119" s="535"/>
      <c r="BV119" s="535"/>
      <c r="BW119" s="536"/>
      <c r="BX119" s="535"/>
      <c r="BY119" s="535"/>
      <c r="BZ119" s="535"/>
      <c r="CA119" s="536"/>
      <c r="CB119" s="535"/>
      <c r="CC119" s="535"/>
      <c r="CD119" s="535"/>
      <c r="CE119" s="536"/>
      <c r="CF119" s="535"/>
      <c r="CG119" s="535"/>
      <c r="CH119" s="535"/>
      <c r="CI119" s="536"/>
      <c r="CJ119" s="535"/>
      <c r="CK119" s="535"/>
      <c r="CL119" s="535"/>
      <c r="CM119" s="536"/>
      <c r="CN119" s="535"/>
      <c r="CO119" s="535"/>
      <c r="CP119" s="535"/>
      <c r="CQ119" s="536"/>
      <c r="CR119" s="535"/>
      <c r="CS119" s="535"/>
      <c r="CT119" s="535"/>
      <c r="CU119" s="536"/>
      <c r="CV119" s="406"/>
      <c r="CW119" s="535"/>
      <c r="CX119" s="535"/>
      <c r="CY119" s="535"/>
      <c r="CZ119" s="535"/>
      <c r="DA119" s="535"/>
      <c r="DB119" s="535"/>
      <c r="DC119" s="535"/>
      <c r="DD119" s="535"/>
      <c r="DE119" s="535"/>
      <c r="DF119" s="535"/>
      <c r="DG119" s="535"/>
      <c r="DH119" s="535"/>
      <c r="DI119" s="535"/>
      <c r="DJ119" s="535"/>
      <c r="DK119" s="535"/>
      <c r="DL119" s="535"/>
      <c r="DM119" s="535"/>
      <c r="DN119" s="535"/>
      <c r="DO119" s="535"/>
      <c r="DP119" s="535"/>
      <c r="DQ119" s="535"/>
      <c r="DR119" s="535"/>
      <c r="DS119" s="535"/>
      <c r="DT119" s="535"/>
      <c r="DU119" s="535"/>
      <c r="DV119" s="535"/>
      <c r="DW119" s="535"/>
      <c r="DX119" s="535"/>
      <c r="DY119" s="535"/>
      <c r="DZ119" s="535"/>
      <c r="EA119" s="407"/>
      <c r="EB119"/>
      <c r="EC119"/>
      <c r="ED119"/>
      <c r="EE119"/>
      <c r="EF119"/>
      <c r="EG119"/>
    </row>
    <row r="120" spans="1:137" s="410" customFormat="1">
      <c r="A120" s="400"/>
      <c r="B120" s="562" t="s">
        <v>105</v>
      </c>
      <c r="C120" s="658"/>
      <c r="D120" s="532">
        <f t="shared" ref="D120:AI120" si="446">+D87+D82</f>
        <v>135.1</v>
      </c>
      <c r="E120" s="408">
        <f t="shared" si="446"/>
        <v>168.70000000000002</v>
      </c>
      <c r="F120" s="408">
        <f t="shared" si="446"/>
        <v>159</v>
      </c>
      <c r="G120" s="464">
        <f t="shared" si="446"/>
        <v>134.69999999999999</v>
      </c>
      <c r="H120" s="408">
        <f t="shared" si="446"/>
        <v>134.6</v>
      </c>
      <c r="I120" s="408">
        <f t="shared" si="446"/>
        <v>358.4</v>
      </c>
      <c r="J120" s="408">
        <f t="shared" si="446"/>
        <v>395</v>
      </c>
      <c r="K120" s="464">
        <f t="shared" si="446"/>
        <v>317.3</v>
      </c>
      <c r="L120" s="408">
        <f t="shared" si="446"/>
        <v>300.7</v>
      </c>
      <c r="M120" s="408">
        <f t="shared" si="446"/>
        <v>304.09999999999997</v>
      </c>
      <c r="N120" s="408">
        <f t="shared" si="446"/>
        <v>293.60000000000002</v>
      </c>
      <c r="O120" s="464">
        <f t="shared" si="446"/>
        <v>338.09999999999997</v>
      </c>
      <c r="P120" s="408">
        <f t="shared" si="446"/>
        <v>358.5</v>
      </c>
      <c r="Q120" s="408">
        <f t="shared" si="446"/>
        <v>374.6</v>
      </c>
      <c r="R120" s="408">
        <f t="shared" si="446"/>
        <v>351.7</v>
      </c>
      <c r="S120" s="464">
        <f t="shared" si="446"/>
        <v>393.5</v>
      </c>
      <c r="T120" s="408">
        <f t="shared" si="446"/>
        <v>996.2</v>
      </c>
      <c r="U120" s="408">
        <f t="shared" si="446"/>
        <v>919.1</v>
      </c>
      <c r="V120" s="408">
        <f t="shared" si="446"/>
        <v>895.9</v>
      </c>
      <c r="W120" s="464">
        <f t="shared" si="446"/>
        <v>980.3</v>
      </c>
      <c r="X120" s="408">
        <f t="shared" si="446"/>
        <v>903</v>
      </c>
      <c r="Y120" s="408">
        <f t="shared" si="446"/>
        <v>897.30000000000007</v>
      </c>
      <c r="Z120" s="408">
        <f t="shared" si="446"/>
        <v>893.9</v>
      </c>
      <c r="AA120" s="464">
        <f t="shared" si="446"/>
        <v>794.8</v>
      </c>
      <c r="AB120" s="408">
        <f t="shared" si="446"/>
        <v>795.1</v>
      </c>
      <c r="AC120" s="408">
        <f t="shared" si="446"/>
        <v>734.1</v>
      </c>
      <c r="AD120" s="408">
        <f t="shared" si="446"/>
        <v>736.1</v>
      </c>
      <c r="AE120" s="464">
        <f t="shared" si="446"/>
        <v>737</v>
      </c>
      <c r="AF120" s="408">
        <f t="shared" si="446"/>
        <v>697</v>
      </c>
      <c r="AG120" s="408">
        <f t="shared" si="446"/>
        <v>667.6</v>
      </c>
      <c r="AH120" s="408">
        <f t="shared" si="446"/>
        <v>660.9</v>
      </c>
      <c r="AI120" s="464">
        <f t="shared" si="446"/>
        <v>771.9</v>
      </c>
      <c r="AJ120" s="408">
        <f t="shared" ref="AJ120:BO120" si="447">+AJ87+AJ82</f>
        <v>648.80000000000007</v>
      </c>
      <c r="AK120" s="408">
        <f t="shared" si="447"/>
        <v>639</v>
      </c>
      <c r="AL120" s="408">
        <f t="shared" si="447"/>
        <v>647.79999999999995</v>
      </c>
      <c r="AM120" s="464">
        <f t="shared" si="447"/>
        <v>644</v>
      </c>
      <c r="AN120" s="408">
        <f t="shared" si="447"/>
        <v>612.20000000000005</v>
      </c>
      <c r="AO120" s="408">
        <f t="shared" si="447"/>
        <v>582.9</v>
      </c>
      <c r="AP120" s="408">
        <f t="shared" si="447"/>
        <v>590.29999999999995</v>
      </c>
      <c r="AQ120" s="464">
        <f t="shared" si="447"/>
        <v>584.5</v>
      </c>
      <c r="AR120" s="408">
        <f t="shared" si="447"/>
        <v>915.40000000000009</v>
      </c>
      <c r="AS120" s="408">
        <f t="shared" si="447"/>
        <v>829</v>
      </c>
      <c r="AT120" s="408">
        <f t="shared" si="447"/>
        <v>800.6</v>
      </c>
      <c r="AU120" s="464">
        <f t="shared" si="447"/>
        <v>740.5</v>
      </c>
      <c r="AV120" s="408">
        <f t="shared" si="447"/>
        <v>773</v>
      </c>
      <c r="AW120" s="408">
        <f t="shared" si="447"/>
        <v>685.8</v>
      </c>
      <c r="AX120" s="408">
        <f t="shared" si="447"/>
        <v>763</v>
      </c>
      <c r="AY120" s="464">
        <f t="shared" si="447"/>
        <v>721.09999999999991</v>
      </c>
      <c r="AZ120" s="408">
        <f t="shared" si="447"/>
        <v>695</v>
      </c>
      <c r="BA120" s="408">
        <f t="shared" si="447"/>
        <v>645.4</v>
      </c>
      <c r="BB120" s="408">
        <f t="shared" si="447"/>
        <v>601.5</v>
      </c>
      <c r="BC120" s="464">
        <f t="shared" si="447"/>
        <v>636.30000000000007</v>
      </c>
      <c r="BD120" s="408">
        <f t="shared" si="447"/>
        <v>729.59999999999991</v>
      </c>
      <c r="BE120" s="408">
        <f t="shared" si="447"/>
        <v>626.9</v>
      </c>
      <c r="BF120" s="408">
        <f t="shared" si="447"/>
        <v>791</v>
      </c>
      <c r="BG120" s="464">
        <f t="shared" si="447"/>
        <v>780.30000000000007</v>
      </c>
      <c r="BH120" s="408">
        <f t="shared" si="447"/>
        <v>716.9</v>
      </c>
      <c r="BI120" s="408">
        <f t="shared" si="447"/>
        <v>862</v>
      </c>
      <c r="BJ120" s="408">
        <f t="shared" si="447"/>
        <v>847.69999999999993</v>
      </c>
      <c r="BK120" s="464">
        <f t="shared" si="447"/>
        <v>842.30000000000007</v>
      </c>
      <c r="BL120" s="408">
        <f t="shared" si="447"/>
        <v>906.4</v>
      </c>
      <c r="BM120" s="408">
        <f t="shared" si="447"/>
        <v>966.3</v>
      </c>
      <c r="BN120" s="408">
        <f t="shared" si="447"/>
        <v>1191.3</v>
      </c>
      <c r="BO120" s="464">
        <f t="shared" si="447"/>
        <v>1180.4000000000001</v>
      </c>
      <c r="BP120" s="408">
        <f t="shared" ref="BP120:CP120" si="448">+BP87+BP82</f>
        <v>1435.7</v>
      </c>
      <c r="BQ120" s="408">
        <f t="shared" si="448"/>
        <v>1448.9</v>
      </c>
      <c r="BR120" s="408">
        <f t="shared" si="448"/>
        <v>1392.5</v>
      </c>
      <c r="BS120" s="464">
        <f t="shared" si="448"/>
        <v>1329.1</v>
      </c>
      <c r="BT120" s="408">
        <f t="shared" si="448"/>
        <v>1410</v>
      </c>
      <c r="BU120" s="408">
        <f t="shared" si="448"/>
        <v>1153.2</v>
      </c>
      <c r="BV120" s="408">
        <f t="shared" si="448"/>
        <v>1102.8</v>
      </c>
      <c r="BW120" s="464">
        <f t="shared" si="448"/>
        <v>1067.2</v>
      </c>
      <c r="BX120" s="408">
        <f t="shared" si="448"/>
        <v>1200.7</v>
      </c>
      <c r="BY120" s="408">
        <f t="shared" si="448"/>
        <v>1230.0999999999999</v>
      </c>
      <c r="BZ120" s="408">
        <f t="shared" si="448"/>
        <v>1272.3</v>
      </c>
      <c r="CA120" s="464">
        <f t="shared" si="448"/>
        <v>1222.5999999999999</v>
      </c>
      <c r="CB120" s="408">
        <f t="shared" si="448"/>
        <v>1366.1</v>
      </c>
      <c r="CC120" s="408">
        <f t="shared" si="448"/>
        <v>1245.3000000000002</v>
      </c>
      <c r="CD120" s="408">
        <f t="shared" si="448"/>
        <v>1311.5</v>
      </c>
      <c r="CE120" s="464">
        <f t="shared" si="448"/>
        <v>1340</v>
      </c>
      <c r="CF120" s="408">
        <f t="shared" si="448"/>
        <v>1838.3999999999999</v>
      </c>
      <c r="CG120" s="408">
        <f t="shared" si="448"/>
        <v>1803.8</v>
      </c>
      <c r="CH120" s="408">
        <f t="shared" si="448"/>
        <v>1809.1</v>
      </c>
      <c r="CI120" s="464">
        <f t="shared" si="448"/>
        <v>2566.1</v>
      </c>
      <c r="CJ120" s="408">
        <f t="shared" si="448"/>
        <v>2598.4</v>
      </c>
      <c r="CK120" s="408">
        <f t="shared" si="448"/>
        <v>2634.8</v>
      </c>
      <c r="CL120" s="408">
        <f t="shared" si="448"/>
        <v>2615.3000000000002</v>
      </c>
      <c r="CM120" s="464">
        <f t="shared" si="448"/>
        <v>2219.5</v>
      </c>
      <c r="CN120" s="408">
        <f t="shared" si="448"/>
        <v>2295.4</v>
      </c>
      <c r="CO120" s="408">
        <f t="shared" si="448"/>
        <v>2219.7000000000003</v>
      </c>
      <c r="CP120" s="408">
        <f t="shared" si="448"/>
        <v>2395.1</v>
      </c>
      <c r="CQ120" s="464">
        <f t="shared" ref="CQ120" si="449">+CQ87+CQ82</f>
        <v>2188.2999999999997</v>
      </c>
      <c r="CR120" s="408">
        <f t="shared" ref="CR120:CU120" si="450">+CR87+CR82</f>
        <v>2188.2999999999997</v>
      </c>
      <c r="CS120" s="408">
        <f t="shared" si="450"/>
        <v>2188.2999999999997</v>
      </c>
      <c r="CT120" s="408">
        <f t="shared" si="450"/>
        <v>2188.2999999999997</v>
      </c>
      <c r="CU120" s="464">
        <f t="shared" si="450"/>
        <v>2188.2999999999997</v>
      </c>
      <c r="CV120" s="406"/>
      <c r="CW120" s="535"/>
      <c r="CX120" s="408">
        <f t="shared" ref="CX120:DW120" si="451">+CX87+CX82</f>
        <v>134.69999999999999</v>
      </c>
      <c r="CY120" s="408">
        <f t="shared" si="451"/>
        <v>317.3</v>
      </c>
      <c r="CZ120" s="408">
        <f t="shared" si="451"/>
        <v>338.09999999999997</v>
      </c>
      <c r="DA120" s="408">
        <f t="shared" si="451"/>
        <v>393.5</v>
      </c>
      <c r="DB120" s="408">
        <f t="shared" si="451"/>
        <v>980.3</v>
      </c>
      <c r="DC120" s="408">
        <f t="shared" si="451"/>
        <v>794.8</v>
      </c>
      <c r="DD120" s="408">
        <f t="shared" si="451"/>
        <v>737</v>
      </c>
      <c r="DE120" s="408">
        <f t="shared" si="451"/>
        <v>771.9</v>
      </c>
      <c r="DF120" s="408">
        <f t="shared" si="451"/>
        <v>644</v>
      </c>
      <c r="DG120" s="408">
        <f t="shared" si="451"/>
        <v>584.5</v>
      </c>
      <c r="DH120" s="408">
        <f t="shared" si="451"/>
        <v>740.5</v>
      </c>
      <c r="DI120" s="408">
        <f t="shared" si="451"/>
        <v>721.09999999999991</v>
      </c>
      <c r="DJ120" s="408">
        <f t="shared" si="451"/>
        <v>636.30000000000007</v>
      </c>
      <c r="DK120" s="408">
        <f t="shared" si="451"/>
        <v>780.30000000000007</v>
      </c>
      <c r="DL120" s="408">
        <f t="shared" si="451"/>
        <v>842.30000000000007</v>
      </c>
      <c r="DM120" s="408">
        <f t="shared" si="451"/>
        <v>1180.4000000000001</v>
      </c>
      <c r="DN120" s="408">
        <f t="shared" si="451"/>
        <v>1329.1</v>
      </c>
      <c r="DO120" s="408">
        <f t="shared" si="451"/>
        <v>1067.2</v>
      </c>
      <c r="DP120" s="408">
        <f t="shared" si="451"/>
        <v>1222.5999999999999</v>
      </c>
      <c r="DQ120" s="408">
        <f t="shared" si="451"/>
        <v>1340</v>
      </c>
      <c r="DR120" s="408">
        <f t="shared" si="451"/>
        <v>2566.1</v>
      </c>
      <c r="DS120" s="408">
        <f t="shared" si="451"/>
        <v>2219.5</v>
      </c>
      <c r="DT120" s="408">
        <f t="shared" si="451"/>
        <v>2188.2999999999997</v>
      </c>
      <c r="DU120" s="408">
        <f>+DU87+DU82</f>
        <v>2188.2999999999997</v>
      </c>
      <c r="DV120" s="408">
        <f t="shared" si="451"/>
        <v>2188.2999999999997</v>
      </c>
      <c r="DW120" s="408">
        <f t="shared" si="451"/>
        <v>2188.2999999999997</v>
      </c>
      <c r="DX120" s="408">
        <f t="shared" ref="DX120:DZ120" si="452">+DX87+DX82</f>
        <v>2188.2999999999997</v>
      </c>
      <c r="DY120" s="408">
        <f t="shared" si="452"/>
        <v>2188.2999999999997</v>
      </c>
      <c r="DZ120" s="408">
        <f t="shared" si="452"/>
        <v>2188.2999999999997</v>
      </c>
      <c r="EA120" s="407"/>
      <c r="EB120"/>
      <c r="EC120"/>
      <c r="ED120"/>
      <c r="EE120"/>
      <c r="EF120"/>
      <c r="EG120"/>
    </row>
    <row r="121" spans="1:137" s="960" customFormat="1">
      <c r="A121" s="951"/>
      <c r="B121" s="952" t="s">
        <v>410</v>
      </c>
      <c r="C121" s="953"/>
      <c r="D121" s="954">
        <f>D120/(D120+D92+D100)</f>
        <v>0.19559866801795278</v>
      </c>
      <c r="E121" s="955">
        <f t="shared" ref="E121:BP121" si="453">E120/(E120+E92+E100)</f>
        <v>0.22344370860927154</v>
      </c>
      <c r="F121" s="955">
        <f t="shared" si="453"/>
        <v>0.21431459765467045</v>
      </c>
      <c r="G121" s="956">
        <f t="shared" si="453"/>
        <v>0.18334013883217637</v>
      </c>
      <c r="H121" s="955">
        <f t="shared" si="453"/>
        <v>0.18216267424550006</v>
      </c>
      <c r="I121" s="955">
        <f t="shared" si="453"/>
        <v>0.36634979045282634</v>
      </c>
      <c r="J121" s="955">
        <f t="shared" si="453"/>
        <v>0.38301173276447203</v>
      </c>
      <c r="K121" s="956">
        <f t="shared" si="453"/>
        <v>0.33291365019410352</v>
      </c>
      <c r="L121" s="955">
        <f t="shared" si="453"/>
        <v>0.31951971097651688</v>
      </c>
      <c r="M121" s="955">
        <f t="shared" si="453"/>
        <v>0.30961107717369168</v>
      </c>
      <c r="N121" s="955">
        <f t="shared" si="453"/>
        <v>0.29922543823889114</v>
      </c>
      <c r="O121" s="956">
        <f t="shared" si="453"/>
        <v>0.32123515439429928</v>
      </c>
      <c r="P121" s="955">
        <f t="shared" si="453"/>
        <v>0.33336432955179468</v>
      </c>
      <c r="Q121" s="955">
        <f t="shared" si="453"/>
        <v>0.3436066776738213</v>
      </c>
      <c r="R121" s="955">
        <f t="shared" si="453"/>
        <v>0.3253469010175763</v>
      </c>
      <c r="S121" s="956">
        <f t="shared" si="453"/>
        <v>0.3360949777929621</v>
      </c>
      <c r="T121" s="955">
        <f t="shared" si="453"/>
        <v>0.5108717948717949</v>
      </c>
      <c r="U121" s="955">
        <f t="shared" si="453"/>
        <v>0.48317737356744822</v>
      </c>
      <c r="V121" s="955">
        <f t="shared" si="453"/>
        <v>0.46744234582072419</v>
      </c>
      <c r="W121" s="956">
        <f t="shared" si="453"/>
        <v>0.48105800372951218</v>
      </c>
      <c r="X121" s="955">
        <f t="shared" si="453"/>
        <v>0.45557741789011658</v>
      </c>
      <c r="Y121" s="955">
        <f t="shared" si="453"/>
        <v>0.45024838175523108</v>
      </c>
      <c r="Z121" s="955">
        <f t="shared" si="453"/>
        <v>0.45237854251012144</v>
      </c>
      <c r="AA121" s="956">
        <f t="shared" si="453"/>
        <v>0.42004016488743262</v>
      </c>
      <c r="AB121" s="955">
        <f t="shared" si="453"/>
        <v>0.41853976943727961</v>
      </c>
      <c r="AC121" s="955">
        <f t="shared" si="453"/>
        <v>0.39569857697283317</v>
      </c>
      <c r="AD121" s="955">
        <f t="shared" si="453"/>
        <v>0.39093950820542778</v>
      </c>
      <c r="AE121" s="956">
        <f t="shared" si="453"/>
        <v>0.39781928101047181</v>
      </c>
      <c r="AF121" s="955">
        <f t="shared" si="453"/>
        <v>0.44791465844097428</v>
      </c>
      <c r="AG121" s="955">
        <f t="shared" si="453"/>
        <v>0.4134770221726744</v>
      </c>
      <c r="AH121" s="955">
        <f t="shared" si="453"/>
        <v>0.40156762668611007</v>
      </c>
      <c r="AI121" s="956">
        <f t="shared" si="453"/>
        <v>0.43664441678922955</v>
      </c>
      <c r="AJ121" s="955">
        <f t="shared" si="453"/>
        <v>0.38518166706245549</v>
      </c>
      <c r="AK121" s="955">
        <f t="shared" si="453"/>
        <v>0.36089461199593359</v>
      </c>
      <c r="AL121" s="955">
        <f t="shared" si="453"/>
        <v>0.35164477255455429</v>
      </c>
      <c r="AM121" s="956">
        <f t="shared" si="453"/>
        <v>0.33513738551207323</v>
      </c>
      <c r="AN121" s="955">
        <f t="shared" si="453"/>
        <v>0.31128285961254892</v>
      </c>
      <c r="AO121" s="955">
        <f t="shared" si="453"/>
        <v>0.29671672181216591</v>
      </c>
      <c r="AP121" s="955">
        <f t="shared" si="453"/>
        <v>0.28949046147810309</v>
      </c>
      <c r="AQ121" s="956">
        <f t="shared" si="453"/>
        <v>0.27301602129945352</v>
      </c>
      <c r="AR121" s="955">
        <f t="shared" si="453"/>
        <v>0.34997706071264717</v>
      </c>
      <c r="AS121" s="955">
        <f t="shared" si="453"/>
        <v>0.32845992313483102</v>
      </c>
      <c r="AT121" s="955">
        <f t="shared" si="453"/>
        <v>0.31328507141459599</v>
      </c>
      <c r="AU121" s="956">
        <f t="shared" si="453"/>
        <v>0.29375595049190734</v>
      </c>
      <c r="AV121" s="955">
        <f t="shared" si="453"/>
        <v>0.29281412174703586</v>
      </c>
      <c r="AW121" s="955">
        <f t="shared" si="453"/>
        <v>0.25690204158082036</v>
      </c>
      <c r="AX121" s="955">
        <f t="shared" si="453"/>
        <v>0.27403656215206695</v>
      </c>
      <c r="AY121" s="956">
        <f t="shared" si="453"/>
        <v>0.26140071050532876</v>
      </c>
      <c r="AZ121" s="955">
        <f t="shared" si="453"/>
        <v>0.24827635480298643</v>
      </c>
      <c r="BA121" s="955">
        <f t="shared" si="453"/>
        <v>0.22791962425398171</v>
      </c>
      <c r="BB121" s="955">
        <f t="shared" si="453"/>
        <v>0.20283257460799189</v>
      </c>
      <c r="BC121" s="956">
        <f t="shared" si="453"/>
        <v>0.20690664325431665</v>
      </c>
      <c r="BD121" s="955">
        <f t="shared" si="453"/>
        <v>0.21903332332632841</v>
      </c>
      <c r="BE121" s="955">
        <f t="shared" si="453"/>
        <v>0.19493765353400291</v>
      </c>
      <c r="BF121" s="955">
        <f t="shared" si="453"/>
        <v>0.25947187141216993</v>
      </c>
      <c r="BG121" s="956">
        <f t="shared" si="453"/>
        <v>0.27691816310596923</v>
      </c>
      <c r="BH121" s="955">
        <f t="shared" si="453"/>
        <v>0.26514535098749903</v>
      </c>
      <c r="BI121" s="955">
        <f t="shared" si="453"/>
        <v>0.29271936973648466</v>
      </c>
      <c r="BJ121" s="955">
        <f t="shared" si="453"/>
        <v>0.28084415584415584</v>
      </c>
      <c r="BK121" s="956">
        <f t="shared" si="453"/>
        <v>0.27481239804241436</v>
      </c>
      <c r="BL121" s="955">
        <f t="shared" si="453"/>
        <v>0.28781912866759812</v>
      </c>
      <c r="BM121" s="955">
        <f t="shared" si="453"/>
        <v>0.31950138870519773</v>
      </c>
      <c r="BN121" s="955">
        <f t="shared" si="453"/>
        <v>0.34073163058089978</v>
      </c>
      <c r="BO121" s="956">
        <f t="shared" si="453"/>
        <v>0.33820411437739956</v>
      </c>
      <c r="BP121" s="955">
        <f t="shared" si="453"/>
        <v>0.37886264678717513</v>
      </c>
      <c r="BQ121" s="955">
        <f t="shared" ref="BQ121:CU121" si="454">BQ120/(BQ120+BQ92+BQ100)</f>
        <v>0.36705173025282467</v>
      </c>
      <c r="BR121" s="955">
        <f t="shared" si="454"/>
        <v>0.36091959981338451</v>
      </c>
      <c r="BS121" s="956">
        <f t="shared" si="454"/>
        <v>0.3514185241003675</v>
      </c>
      <c r="BT121" s="955">
        <f t="shared" si="454"/>
        <v>0.3413382395661857</v>
      </c>
      <c r="BU121" s="955">
        <f t="shared" si="454"/>
        <v>0.28211463659270497</v>
      </c>
      <c r="BV121" s="955">
        <f t="shared" si="454"/>
        <v>0.26205356082028375</v>
      </c>
      <c r="BW121" s="956">
        <f t="shared" si="454"/>
        <v>0.25329314314195528</v>
      </c>
      <c r="BX121" s="955">
        <f t="shared" si="454"/>
        <v>0.27524471035921422</v>
      </c>
      <c r="BY121" s="955">
        <f t="shared" si="454"/>
        <v>0.27420253672454914</v>
      </c>
      <c r="BZ121" s="955">
        <f t="shared" si="454"/>
        <v>0.27029955385595922</v>
      </c>
      <c r="CA121" s="956">
        <f t="shared" si="454"/>
        <v>0.25182286302780638</v>
      </c>
      <c r="CB121" s="955">
        <f t="shared" si="454"/>
        <v>0.26768428890543561</v>
      </c>
      <c r="CC121" s="955">
        <f t="shared" si="454"/>
        <v>0.24232340922358439</v>
      </c>
      <c r="CD121" s="955">
        <f t="shared" si="454"/>
        <v>0.25656826496077623</v>
      </c>
      <c r="CE121" s="956">
        <f t="shared" si="454"/>
        <v>0.2663539326959391</v>
      </c>
      <c r="CF121" s="955">
        <f t="shared" si="454"/>
        <v>0.34038771315891792</v>
      </c>
      <c r="CG121" s="955">
        <f t="shared" si="454"/>
        <v>0.32469893615106293</v>
      </c>
      <c r="CH121" s="955">
        <f t="shared" si="454"/>
        <v>0.32322672860460955</v>
      </c>
      <c r="CI121" s="956">
        <f t="shared" si="454"/>
        <v>0.41404737317671353</v>
      </c>
      <c r="CJ121" s="955">
        <f t="shared" si="454"/>
        <v>0.40858558062740785</v>
      </c>
      <c r="CK121" s="955">
        <f t="shared" si="454"/>
        <v>0.41227370166956145</v>
      </c>
      <c r="CL121" s="955">
        <f t="shared" si="454"/>
        <v>0.40825788323446771</v>
      </c>
      <c r="CM121" s="956">
        <f t="shared" si="454"/>
        <v>0.40198138153366902</v>
      </c>
      <c r="CN121" s="955">
        <f t="shared" si="454"/>
        <v>0.39746497896140326</v>
      </c>
      <c r="CO121" s="955">
        <f t="shared" si="454"/>
        <v>0.37548210298396373</v>
      </c>
      <c r="CP121" s="955">
        <f t="shared" si="454"/>
        <v>0.37948791076464811</v>
      </c>
      <c r="CQ121" s="956">
        <f t="shared" ref="CQ121" si="455">CQ120/(CQ120+CQ92+CQ100)</f>
        <v>0.36385554188420732</v>
      </c>
      <c r="CR121" s="955">
        <f t="shared" si="454"/>
        <v>0.35298373718261589</v>
      </c>
      <c r="CS121" s="955">
        <f t="shared" si="454"/>
        <v>0.34219377370985959</v>
      </c>
      <c r="CT121" s="955">
        <f t="shared" si="454"/>
        <v>0.33294568642442901</v>
      </c>
      <c r="CU121" s="956">
        <f t="shared" si="454"/>
        <v>0.32299328006036898</v>
      </c>
      <c r="CV121" s="957"/>
      <c r="CW121" s="958"/>
      <c r="CX121" s="955">
        <f t="shared" ref="CX121:DZ121" si="456">CX120/(CX120+CX92+CX100)</f>
        <v>0.18334013883217637</v>
      </c>
      <c r="CY121" s="955">
        <f t="shared" si="456"/>
        <v>0.33291365019410352</v>
      </c>
      <c r="CZ121" s="955">
        <f t="shared" si="456"/>
        <v>0.32123515439429928</v>
      </c>
      <c r="DA121" s="955">
        <f t="shared" si="456"/>
        <v>0.3360949777929621</v>
      </c>
      <c r="DB121" s="955">
        <f t="shared" si="456"/>
        <v>0.48105800372951218</v>
      </c>
      <c r="DC121" s="955">
        <f t="shared" si="456"/>
        <v>0.42004016488743257</v>
      </c>
      <c r="DD121" s="955">
        <f t="shared" si="456"/>
        <v>0.3978192810104717</v>
      </c>
      <c r="DE121" s="955">
        <f t="shared" si="456"/>
        <v>0.43664441678922955</v>
      </c>
      <c r="DF121" s="955">
        <f t="shared" si="456"/>
        <v>0.33513738551207328</v>
      </c>
      <c r="DG121" s="955">
        <f t="shared" si="456"/>
        <v>0.27301602129945352</v>
      </c>
      <c r="DH121" s="955">
        <f t="shared" si="456"/>
        <v>0.29375595049190734</v>
      </c>
      <c r="DI121" s="955">
        <f t="shared" si="456"/>
        <v>0.26140071050532876</v>
      </c>
      <c r="DJ121" s="955">
        <f t="shared" si="456"/>
        <v>0.20690664325431665</v>
      </c>
      <c r="DK121" s="955">
        <f t="shared" si="456"/>
        <v>0.27691816310596923</v>
      </c>
      <c r="DL121" s="955">
        <f t="shared" si="456"/>
        <v>0.27481239804241436</v>
      </c>
      <c r="DM121" s="955">
        <f t="shared" si="456"/>
        <v>0.33820411437739956</v>
      </c>
      <c r="DN121" s="955">
        <f t="shared" si="456"/>
        <v>0.3514185241003675</v>
      </c>
      <c r="DO121" s="955">
        <f t="shared" si="456"/>
        <v>0.25329314314195528</v>
      </c>
      <c r="DP121" s="955">
        <f t="shared" si="456"/>
        <v>0.25182286302780638</v>
      </c>
      <c r="DQ121" s="955">
        <f t="shared" si="456"/>
        <v>0.2663539326959391</v>
      </c>
      <c r="DR121" s="955">
        <f t="shared" si="456"/>
        <v>0.41404737317671353</v>
      </c>
      <c r="DS121" s="955">
        <f t="shared" si="456"/>
        <v>0.40198138153366902</v>
      </c>
      <c r="DT121" s="955">
        <f t="shared" si="456"/>
        <v>0.36385554188420732</v>
      </c>
      <c r="DU121" s="955">
        <f t="shared" si="456"/>
        <v>0.32299328006036898</v>
      </c>
      <c r="DV121" s="955">
        <f t="shared" si="456"/>
        <v>0.28544094444725943</v>
      </c>
      <c r="DW121" s="955">
        <f t="shared" si="456"/>
        <v>0.25504806816557901</v>
      </c>
      <c r="DX121" s="955">
        <f t="shared" si="456"/>
        <v>0.23012711876513178</v>
      </c>
      <c r="DY121" s="955">
        <f t="shared" si="456"/>
        <v>0.20961781874449165</v>
      </c>
      <c r="DZ121" s="955">
        <f t="shared" si="456"/>
        <v>0.19271736106860923</v>
      </c>
      <c r="EA121" s="959"/>
      <c r="EB121"/>
      <c r="EC121"/>
      <c r="ED121"/>
      <c r="EE121"/>
      <c r="EF121"/>
      <c r="EG121"/>
    </row>
    <row r="122" spans="1:137" s="410" customFormat="1">
      <c r="A122" s="626"/>
      <c r="B122" s="667" t="s">
        <v>93</v>
      </c>
      <c r="C122" s="900"/>
      <c r="D122" s="664">
        <f t="shared" ref="D122:AI122" si="457">D120-D66</f>
        <v>129.4</v>
      </c>
      <c r="E122" s="665">
        <f t="shared" si="457"/>
        <v>163.80000000000001</v>
      </c>
      <c r="F122" s="665">
        <f t="shared" si="457"/>
        <v>153.19999999999999</v>
      </c>
      <c r="G122" s="666">
        <f t="shared" si="457"/>
        <v>129.6</v>
      </c>
      <c r="H122" s="665">
        <f t="shared" si="457"/>
        <v>124.1</v>
      </c>
      <c r="I122" s="665">
        <f t="shared" si="457"/>
        <v>344.79999999999995</v>
      </c>
      <c r="J122" s="665">
        <f t="shared" si="457"/>
        <v>378.8</v>
      </c>
      <c r="K122" s="666">
        <f t="shared" si="457"/>
        <v>310.5</v>
      </c>
      <c r="L122" s="665">
        <f t="shared" si="457"/>
        <v>287.5</v>
      </c>
      <c r="M122" s="665">
        <f t="shared" si="457"/>
        <v>274.7</v>
      </c>
      <c r="N122" s="665">
        <f t="shared" si="457"/>
        <v>274.20000000000005</v>
      </c>
      <c r="O122" s="666">
        <f t="shared" si="457"/>
        <v>327.49999999999994</v>
      </c>
      <c r="P122" s="665">
        <f t="shared" si="457"/>
        <v>351</v>
      </c>
      <c r="Q122" s="665">
        <f t="shared" si="457"/>
        <v>360.70000000000005</v>
      </c>
      <c r="R122" s="665">
        <f t="shared" si="457"/>
        <v>340</v>
      </c>
      <c r="S122" s="666">
        <f t="shared" si="457"/>
        <v>349.5</v>
      </c>
      <c r="T122" s="665">
        <f t="shared" si="457"/>
        <v>948.90000000000009</v>
      </c>
      <c r="U122" s="665">
        <f t="shared" si="457"/>
        <v>881.9</v>
      </c>
      <c r="V122" s="665">
        <f t="shared" si="457"/>
        <v>870.69999999999993</v>
      </c>
      <c r="W122" s="666">
        <f t="shared" si="457"/>
        <v>958.59999999999991</v>
      </c>
      <c r="X122" s="665">
        <f t="shared" si="457"/>
        <v>889.6</v>
      </c>
      <c r="Y122" s="665">
        <f t="shared" si="457"/>
        <v>876.00000000000011</v>
      </c>
      <c r="Z122" s="665">
        <f t="shared" si="457"/>
        <v>865.8</v>
      </c>
      <c r="AA122" s="666">
        <f t="shared" si="457"/>
        <v>773.4</v>
      </c>
      <c r="AB122" s="665">
        <f t="shared" si="457"/>
        <v>779.6</v>
      </c>
      <c r="AC122" s="665">
        <f t="shared" si="457"/>
        <v>710.5</v>
      </c>
      <c r="AD122" s="665">
        <f t="shared" si="457"/>
        <v>697.5</v>
      </c>
      <c r="AE122" s="666">
        <f t="shared" si="457"/>
        <v>704.1</v>
      </c>
      <c r="AF122" s="665">
        <f t="shared" si="457"/>
        <v>675.3</v>
      </c>
      <c r="AG122" s="665">
        <f t="shared" si="457"/>
        <v>637.4</v>
      </c>
      <c r="AH122" s="665">
        <f t="shared" si="457"/>
        <v>614.6</v>
      </c>
      <c r="AI122" s="666">
        <f t="shared" si="457"/>
        <v>735.3</v>
      </c>
      <c r="AJ122" s="665">
        <f t="shared" ref="AJ122:BO122" si="458">AJ120-AJ66</f>
        <v>622.90000000000009</v>
      </c>
      <c r="AK122" s="665">
        <f t="shared" si="458"/>
        <v>565.6</v>
      </c>
      <c r="AL122" s="665">
        <f t="shared" si="458"/>
        <v>541</v>
      </c>
      <c r="AM122" s="666">
        <f t="shared" si="458"/>
        <v>530.9</v>
      </c>
      <c r="AN122" s="665">
        <f t="shared" si="458"/>
        <v>533.5</v>
      </c>
      <c r="AO122" s="665">
        <f t="shared" si="458"/>
        <v>438.9</v>
      </c>
      <c r="AP122" s="665">
        <f t="shared" si="458"/>
        <v>401.29999999999995</v>
      </c>
      <c r="AQ122" s="666">
        <f t="shared" si="458"/>
        <v>354.8</v>
      </c>
      <c r="AR122" s="665">
        <f t="shared" si="458"/>
        <v>798.60000000000014</v>
      </c>
      <c r="AS122" s="665">
        <f t="shared" si="458"/>
        <v>736.3</v>
      </c>
      <c r="AT122" s="665">
        <f t="shared" si="458"/>
        <v>661.1</v>
      </c>
      <c r="AU122" s="666">
        <f t="shared" si="458"/>
        <v>650.79999999999995</v>
      </c>
      <c r="AV122" s="665">
        <f t="shared" si="458"/>
        <v>716.2</v>
      </c>
      <c r="AW122" s="665">
        <f t="shared" si="458"/>
        <v>618.59999999999991</v>
      </c>
      <c r="AX122" s="665">
        <f t="shared" si="458"/>
        <v>696</v>
      </c>
      <c r="AY122" s="666">
        <f t="shared" si="458"/>
        <v>597.79999999999995</v>
      </c>
      <c r="AZ122" s="665">
        <f t="shared" si="458"/>
        <v>576.9</v>
      </c>
      <c r="BA122" s="665">
        <f t="shared" si="458"/>
        <v>526.9</v>
      </c>
      <c r="BB122" s="665">
        <f t="shared" si="458"/>
        <v>464.1</v>
      </c>
      <c r="BC122" s="666">
        <f t="shared" si="458"/>
        <v>447.80000000000007</v>
      </c>
      <c r="BD122" s="665">
        <f t="shared" si="458"/>
        <v>526.19999999999993</v>
      </c>
      <c r="BE122" s="665">
        <f t="shared" si="458"/>
        <v>401</v>
      </c>
      <c r="BF122" s="665">
        <f t="shared" si="458"/>
        <v>655.20000000000005</v>
      </c>
      <c r="BG122" s="666">
        <f t="shared" si="458"/>
        <v>676.90000000000009</v>
      </c>
      <c r="BH122" s="665">
        <f t="shared" si="458"/>
        <v>626.1</v>
      </c>
      <c r="BI122" s="665">
        <f t="shared" si="458"/>
        <v>605.1</v>
      </c>
      <c r="BJ122" s="665">
        <f t="shared" si="458"/>
        <v>588.89999999999986</v>
      </c>
      <c r="BK122" s="666">
        <f t="shared" si="458"/>
        <v>484.90000000000009</v>
      </c>
      <c r="BL122" s="665">
        <f t="shared" si="458"/>
        <v>532.29999999999995</v>
      </c>
      <c r="BM122" s="665">
        <f t="shared" si="458"/>
        <v>778.8</v>
      </c>
      <c r="BN122" s="665">
        <f t="shared" si="458"/>
        <v>759.09999999999991</v>
      </c>
      <c r="BO122" s="666">
        <f t="shared" si="458"/>
        <v>730.50000000000011</v>
      </c>
      <c r="BP122" s="665">
        <f t="shared" ref="BP122:CP122" si="459">BP120-BP66</f>
        <v>1212.8</v>
      </c>
      <c r="BQ122" s="665">
        <f t="shared" si="459"/>
        <v>1076.5</v>
      </c>
      <c r="BR122" s="665">
        <f t="shared" si="459"/>
        <v>1015.5</v>
      </c>
      <c r="BS122" s="666">
        <f t="shared" si="459"/>
        <v>969.49999999999989</v>
      </c>
      <c r="BT122" s="665">
        <f t="shared" si="459"/>
        <v>1013.1</v>
      </c>
      <c r="BU122" s="665">
        <f t="shared" si="459"/>
        <v>671.30000000000007</v>
      </c>
      <c r="BV122" s="665">
        <f t="shared" si="459"/>
        <v>481.29999999999995</v>
      </c>
      <c r="BW122" s="666">
        <f t="shared" si="459"/>
        <v>351.5</v>
      </c>
      <c r="BX122" s="665">
        <f t="shared" si="459"/>
        <v>505.30000000000007</v>
      </c>
      <c r="BY122" s="665">
        <f t="shared" si="459"/>
        <v>413.09999999999991</v>
      </c>
      <c r="BZ122" s="665">
        <f t="shared" si="459"/>
        <v>351.9</v>
      </c>
      <c r="CA122" s="666">
        <f t="shared" si="459"/>
        <v>283.09999999999991</v>
      </c>
      <c r="CB122" s="665">
        <f t="shared" si="459"/>
        <v>557.99999999999989</v>
      </c>
      <c r="CC122" s="665">
        <f t="shared" si="459"/>
        <v>473.9000000000002</v>
      </c>
      <c r="CD122" s="665">
        <f t="shared" si="459"/>
        <v>528.70000000000005</v>
      </c>
      <c r="CE122" s="666">
        <f t="shared" si="459"/>
        <v>542.20000000000005</v>
      </c>
      <c r="CF122" s="665">
        <f t="shared" si="459"/>
        <v>802.89999999999986</v>
      </c>
      <c r="CG122" s="665">
        <f t="shared" si="459"/>
        <v>695.89999999999986</v>
      </c>
      <c r="CH122" s="665">
        <f t="shared" si="459"/>
        <v>775.8</v>
      </c>
      <c r="CI122" s="666">
        <f t="shared" si="459"/>
        <v>1988.3999999999999</v>
      </c>
      <c r="CJ122" s="665">
        <f t="shared" si="459"/>
        <v>2206.1</v>
      </c>
      <c r="CK122" s="665">
        <f t="shared" si="459"/>
        <v>2139.8000000000002</v>
      </c>
      <c r="CL122" s="665">
        <f t="shared" si="459"/>
        <v>2096.6000000000004</v>
      </c>
      <c r="CM122" s="666">
        <f t="shared" si="459"/>
        <v>1775.8</v>
      </c>
      <c r="CN122" s="665">
        <f t="shared" si="459"/>
        <v>1937</v>
      </c>
      <c r="CO122" s="665">
        <f t="shared" si="459"/>
        <v>1832.6000000000004</v>
      </c>
      <c r="CP122" s="665">
        <f t="shared" si="459"/>
        <v>1980.8</v>
      </c>
      <c r="CQ122" s="666">
        <f t="shared" ref="CQ122" si="460">CQ120-CQ66</f>
        <v>1642.9999999999998</v>
      </c>
      <c r="CR122" s="665">
        <f t="shared" ref="CR122:CU122" si="461">CR120-CR66</f>
        <v>1782.0057883037521</v>
      </c>
      <c r="CS122" s="665">
        <f t="shared" si="461"/>
        <v>1593.9399924240993</v>
      </c>
      <c r="CT122" s="665">
        <f t="shared" si="461"/>
        <v>1481.6466624108202</v>
      </c>
      <c r="CU122" s="666">
        <f t="shared" si="461"/>
        <v>1208.7518765117356</v>
      </c>
      <c r="CV122" s="406"/>
      <c r="CW122" s="665"/>
      <c r="CX122" s="665">
        <f t="shared" ref="CX122:DW122" si="462">CX120-CX66</f>
        <v>129.6</v>
      </c>
      <c r="CY122" s="665">
        <f t="shared" si="462"/>
        <v>310.5</v>
      </c>
      <c r="CZ122" s="665">
        <f t="shared" si="462"/>
        <v>327.49999999999994</v>
      </c>
      <c r="DA122" s="665">
        <f t="shared" si="462"/>
        <v>349.5</v>
      </c>
      <c r="DB122" s="665">
        <f t="shared" si="462"/>
        <v>958.59999999999991</v>
      </c>
      <c r="DC122" s="665">
        <f t="shared" si="462"/>
        <v>773.4</v>
      </c>
      <c r="DD122" s="665">
        <f t="shared" si="462"/>
        <v>704.1</v>
      </c>
      <c r="DE122" s="665">
        <f t="shared" si="462"/>
        <v>735.3</v>
      </c>
      <c r="DF122" s="665">
        <f t="shared" si="462"/>
        <v>530.9</v>
      </c>
      <c r="DG122" s="665">
        <f t="shared" si="462"/>
        <v>354.8</v>
      </c>
      <c r="DH122" s="665">
        <f t="shared" si="462"/>
        <v>650.79999999999995</v>
      </c>
      <c r="DI122" s="665">
        <f t="shared" si="462"/>
        <v>597.79999999999995</v>
      </c>
      <c r="DJ122" s="665">
        <f t="shared" si="462"/>
        <v>447.80000000000007</v>
      </c>
      <c r="DK122" s="665">
        <f t="shared" si="462"/>
        <v>676.90000000000009</v>
      </c>
      <c r="DL122" s="665">
        <f t="shared" si="462"/>
        <v>484.90000000000009</v>
      </c>
      <c r="DM122" s="665">
        <f t="shared" si="462"/>
        <v>730.50000000000011</v>
      </c>
      <c r="DN122" s="665">
        <f t="shared" si="462"/>
        <v>969.49999999999989</v>
      </c>
      <c r="DO122" s="665">
        <f t="shared" si="462"/>
        <v>351.5</v>
      </c>
      <c r="DP122" s="665">
        <f t="shared" si="462"/>
        <v>283.09999999999991</v>
      </c>
      <c r="DQ122" s="665">
        <f t="shared" si="462"/>
        <v>542.20000000000005</v>
      </c>
      <c r="DR122" s="665">
        <f t="shared" si="462"/>
        <v>1988.3999999999999</v>
      </c>
      <c r="DS122" s="665">
        <f t="shared" si="462"/>
        <v>1775.8</v>
      </c>
      <c r="DT122" s="665">
        <f t="shared" si="462"/>
        <v>1642.9999999999998</v>
      </c>
      <c r="DU122" s="665">
        <f>DU120-DU66</f>
        <v>1208.7518765117356</v>
      </c>
      <c r="DV122" s="665">
        <f t="shared" si="462"/>
        <v>442.17580630393832</v>
      </c>
      <c r="DW122" s="665">
        <f t="shared" si="462"/>
        <v>-345.0108503808392</v>
      </c>
      <c r="DX122" s="665">
        <f t="shared" ref="DX122:DZ122" si="463">DX120-DX66</f>
        <v>-1145.4974403024758</v>
      </c>
      <c r="DY122" s="665">
        <f t="shared" si="463"/>
        <v>-1952.7795737694792</v>
      </c>
      <c r="DZ122" s="665">
        <f t="shared" si="463"/>
        <v>-2754.6419565751262</v>
      </c>
      <c r="EA122" s="501"/>
      <c r="EB122"/>
      <c r="EC122"/>
      <c r="ED122"/>
      <c r="EE122"/>
      <c r="EF122"/>
      <c r="EG122"/>
    </row>
    <row r="123" spans="1:137" s="546" customFormat="1">
      <c r="A123" s="540"/>
      <c r="B123" s="668" t="s">
        <v>107</v>
      </c>
      <c r="C123" s="911"/>
      <c r="D123" s="542"/>
      <c r="E123" s="543"/>
      <c r="F123" s="543"/>
      <c r="G123" s="544">
        <f>G122/G116</f>
        <v>1.093670886075949</v>
      </c>
      <c r="H123" s="543">
        <f t="shared" ref="H123:BS123" si="464">H122/H116</f>
        <v>0.97028928850664575</v>
      </c>
      <c r="I123" s="543">
        <f t="shared" si="464"/>
        <v>2.3250168577208354</v>
      </c>
      <c r="J123" s="543">
        <f t="shared" si="464"/>
        <v>2.1221288515406163</v>
      </c>
      <c r="K123" s="544">
        <f t="shared" si="464"/>
        <v>1.4842256214149141</v>
      </c>
      <c r="L123" s="543">
        <f t="shared" si="464"/>
        <v>1.2478298611111109</v>
      </c>
      <c r="M123" s="543">
        <f t="shared" si="464"/>
        <v>1.1253584596476855</v>
      </c>
      <c r="N123" s="543">
        <f t="shared" si="464"/>
        <v>1.088527193330687</v>
      </c>
      <c r="O123" s="544">
        <f t="shared" si="464"/>
        <v>1.2615562403697993</v>
      </c>
      <c r="P123" s="543">
        <f t="shared" si="464"/>
        <v>1.3520801232665638</v>
      </c>
      <c r="Q123" s="543">
        <f t="shared" si="464"/>
        <v>1.4532634971796936</v>
      </c>
      <c r="R123" s="543">
        <f t="shared" si="464"/>
        <v>1.3726281792490913</v>
      </c>
      <c r="S123" s="544">
        <f t="shared" si="464"/>
        <v>1.3924302788844622</v>
      </c>
      <c r="T123" s="543">
        <f t="shared" si="464"/>
        <v>3.7476303317535549</v>
      </c>
      <c r="U123" s="543">
        <f t="shared" si="464"/>
        <v>3.0505015565548264</v>
      </c>
      <c r="V123" s="543">
        <f t="shared" si="464"/>
        <v>2.788024335574768</v>
      </c>
      <c r="W123" s="544">
        <f t="shared" si="464"/>
        <v>2.807850029291155</v>
      </c>
      <c r="X123" s="543">
        <f t="shared" si="464"/>
        <v>2.2590147282884718</v>
      </c>
      <c r="Y123" s="543">
        <f t="shared" si="464"/>
        <v>2.1246665049721081</v>
      </c>
      <c r="Z123" s="543">
        <f t="shared" si="464"/>
        <v>2.0619195046439636</v>
      </c>
      <c r="AA123" s="544">
        <f t="shared" si="464"/>
        <v>1.9398043641835967</v>
      </c>
      <c r="AB123" s="543">
        <f t="shared" si="464"/>
        <v>2.151214128035321</v>
      </c>
      <c r="AC123" s="543">
        <f t="shared" si="464"/>
        <v>2.1208955223880603</v>
      </c>
      <c r="AD123" s="543">
        <f t="shared" si="464"/>
        <v>2.1627906976744193</v>
      </c>
      <c r="AE123" s="544">
        <f t="shared" si="464"/>
        <v>2.2190356129845585</v>
      </c>
      <c r="AF123" s="543">
        <f t="shared" si="464"/>
        <v>2.1142767689417665</v>
      </c>
      <c r="AG123" s="543">
        <f t="shared" si="464"/>
        <v>1.893079893079894</v>
      </c>
      <c r="AH123" s="543">
        <f t="shared" si="464"/>
        <v>1.7928821470245049</v>
      </c>
      <c r="AI123" s="544">
        <f t="shared" si="464"/>
        <v>2.0442035029191001</v>
      </c>
      <c r="AJ123" s="543">
        <f t="shared" si="464"/>
        <v>1.6606238336443622</v>
      </c>
      <c r="AK123" s="543">
        <f t="shared" si="464"/>
        <v>1.5143239625167337</v>
      </c>
      <c r="AL123" s="543">
        <f t="shared" si="464"/>
        <v>1.4281942977824706</v>
      </c>
      <c r="AM123" s="544">
        <f t="shared" si="464"/>
        <v>1.3457541191381495</v>
      </c>
      <c r="AN123" s="543">
        <f t="shared" si="464"/>
        <v>1.3069573738363547</v>
      </c>
      <c r="AO123" s="543">
        <f t="shared" si="464"/>
        <v>1.0373434176317653</v>
      </c>
      <c r="AP123" s="543">
        <f t="shared" si="464"/>
        <v>0.8965594280607686</v>
      </c>
      <c r="AQ123" s="544">
        <f t="shared" si="464"/>
        <v>0.76104676104676094</v>
      </c>
      <c r="AR123" s="543">
        <f t="shared" si="464"/>
        <v>1.6721105527638191</v>
      </c>
      <c r="AS123" s="543">
        <f t="shared" si="464"/>
        <v>1.4258326878388843</v>
      </c>
      <c r="AT123" s="543">
        <f t="shared" si="464"/>
        <v>1.2101409481969609</v>
      </c>
      <c r="AU123" s="544">
        <f t="shared" si="464"/>
        <v>1.1573398965720822</v>
      </c>
      <c r="AV123" s="543">
        <f t="shared" si="464"/>
        <v>1.230956440435595</v>
      </c>
      <c r="AW123" s="543">
        <f t="shared" si="464"/>
        <v>1.0601106381228529</v>
      </c>
      <c r="AX123" s="543">
        <f t="shared" si="464"/>
        <v>1.2512510263044965</v>
      </c>
      <c r="AY123" s="544">
        <f t="shared" si="464"/>
        <v>1.0733708915388456</v>
      </c>
      <c r="AZ123" s="543">
        <f t="shared" si="464"/>
        <v>0.99665357739435134</v>
      </c>
      <c r="BA123" s="543">
        <f t="shared" si="464"/>
        <v>0.88623579433879995</v>
      </c>
      <c r="BB123" s="543">
        <f t="shared" si="464"/>
        <v>0.72695349105799734</v>
      </c>
      <c r="BC123" s="544">
        <f t="shared" si="464"/>
        <v>0.65439134882361583</v>
      </c>
      <c r="BD123" s="543">
        <f t="shared" si="464"/>
        <v>0.73728457335014719</v>
      </c>
      <c r="BE123" s="543">
        <f t="shared" si="464"/>
        <v>0.54387630543876331</v>
      </c>
      <c r="BF123" s="543">
        <f t="shared" si="464"/>
        <v>0.91015172987796811</v>
      </c>
      <c r="BG123" s="544">
        <f t="shared" si="464"/>
        <v>1.1463555656257061</v>
      </c>
      <c r="BH123" s="543">
        <f t="shared" si="464"/>
        <v>1.3617383114797277</v>
      </c>
      <c r="BI123" s="543">
        <f t="shared" si="464"/>
        <v>1.9184748030931786</v>
      </c>
      <c r="BJ123" s="543">
        <f t="shared" si="464"/>
        <v>2.2534999497240227</v>
      </c>
      <c r="BK123" s="544">
        <f t="shared" si="464"/>
        <v>1.4759829474646824</v>
      </c>
      <c r="BL123" s="543">
        <f t="shared" si="464"/>
        <v>1.2378297397114115</v>
      </c>
      <c r="BM123" s="543">
        <f t="shared" si="464"/>
        <v>1.3560856695107086</v>
      </c>
      <c r="BN123" s="543">
        <f t="shared" si="464"/>
        <v>1.1372284644194752</v>
      </c>
      <c r="BO123" s="544">
        <f t="shared" si="464"/>
        <v>0.97477982385908701</v>
      </c>
      <c r="BP123" s="543">
        <f t="shared" si="464"/>
        <v>1.4695262328850105</v>
      </c>
      <c r="BQ123" s="543">
        <f t="shared" si="464"/>
        <v>1.2042734086586862</v>
      </c>
      <c r="BR123" s="543">
        <f t="shared" si="464"/>
        <v>1.0413248564397044</v>
      </c>
      <c r="BS123" s="544">
        <f t="shared" si="464"/>
        <v>0.93033298147970422</v>
      </c>
      <c r="BT123" s="543">
        <f t="shared" ref="BT123:CP123" si="465">BT122/BT116</f>
        <v>0.92200582453585755</v>
      </c>
      <c r="BU123" s="543">
        <f t="shared" si="465"/>
        <v>0.59804008908685979</v>
      </c>
      <c r="BV123" s="543">
        <f t="shared" si="465"/>
        <v>0.44249333455916146</v>
      </c>
      <c r="BW123" s="544">
        <f t="shared" si="465"/>
        <v>0.330736370650558</v>
      </c>
      <c r="BX123" s="543">
        <f t="shared" si="465"/>
        <v>0.48389259174136229</v>
      </c>
      <c r="BY123" s="543">
        <f t="shared" si="465"/>
        <v>0.38609641662149269</v>
      </c>
      <c r="BZ123" s="543">
        <f t="shared" si="465"/>
        <v>0.31019710165367931</v>
      </c>
      <c r="CA123" s="544">
        <f t="shared" si="465"/>
        <v>0.23927347411392308</v>
      </c>
      <c r="CB123" s="543">
        <f t="shared" si="465"/>
        <v>0.44930647371718152</v>
      </c>
      <c r="CC123" s="543">
        <f t="shared" si="465"/>
        <v>0.36428788751614094</v>
      </c>
      <c r="CD123" s="543">
        <f t="shared" si="465"/>
        <v>0.39484861099473023</v>
      </c>
      <c r="CE123" s="544">
        <f t="shared" si="465"/>
        <v>0.39856241140403059</v>
      </c>
      <c r="CF123" s="543">
        <f t="shared" si="465"/>
        <v>0.5917250469127634</v>
      </c>
      <c r="CG123" s="543">
        <f t="shared" si="465"/>
        <v>0.52552484518954823</v>
      </c>
      <c r="CH123" s="543">
        <f t="shared" si="465"/>
        <v>0.58777180089400705</v>
      </c>
      <c r="CI123" s="544">
        <f t="shared" si="465"/>
        <v>1.4893266421990861</v>
      </c>
      <c r="CJ123" s="543">
        <f t="shared" si="465"/>
        <v>1.6075930918895285</v>
      </c>
      <c r="CK123" s="543">
        <f t="shared" si="465"/>
        <v>1.5077508455467872</v>
      </c>
      <c r="CL123" s="543">
        <f t="shared" si="465"/>
        <v>1.4379972565157757</v>
      </c>
      <c r="CM123" s="544">
        <f t="shared" si="465"/>
        <v>1.1841824486529742</v>
      </c>
      <c r="CN123" s="543">
        <f t="shared" si="465"/>
        <v>1.2753489597050305</v>
      </c>
      <c r="CO123" s="543">
        <f t="shared" si="465"/>
        <v>1.1960579558804338</v>
      </c>
      <c r="CP123" s="543">
        <f t="shared" si="465"/>
        <v>1.2598104687400624</v>
      </c>
      <c r="CQ123" s="544">
        <f t="shared" ref="CQ123" si="466">CQ122/CQ116</f>
        <v>1.0101444820166001</v>
      </c>
      <c r="CR123" s="543">
        <f t="shared" ref="CR123:CU123" si="467">CR122/CR116</f>
        <v>1.0557855740230493</v>
      </c>
      <c r="CS123" s="543">
        <f t="shared" si="467"/>
        <v>0.90733728989045037</v>
      </c>
      <c r="CT123" s="543">
        <f t="shared" si="467"/>
        <v>0.82669973600579305</v>
      </c>
      <c r="CU123" s="544">
        <f t="shared" si="467"/>
        <v>0.64928664836219174</v>
      </c>
      <c r="CV123" s="545"/>
      <c r="CW123" s="543"/>
      <c r="CX123" s="543">
        <f>CX122/CX116</f>
        <v>1.0936708860759505</v>
      </c>
      <c r="CY123" s="543">
        <f t="shared" ref="CY123:DW123" si="468">CY122/CY116</f>
        <v>1.4842256214149125</v>
      </c>
      <c r="CZ123" s="543">
        <f t="shared" si="468"/>
        <v>1.2615562403697993</v>
      </c>
      <c r="DA123" s="543">
        <f t="shared" si="468"/>
        <v>1.3924302788844627</v>
      </c>
      <c r="DB123" s="543">
        <f t="shared" si="468"/>
        <v>3.4794918330308535</v>
      </c>
      <c r="DC123" s="543">
        <f t="shared" si="468"/>
        <v>1.9398043641835994</v>
      </c>
      <c r="DD123" s="543">
        <f t="shared" si="468"/>
        <v>2.219035612984559</v>
      </c>
      <c r="DE123" s="543">
        <f t="shared" si="468"/>
        <v>2.0442035029191001</v>
      </c>
      <c r="DF123" s="543">
        <f t="shared" si="468"/>
        <v>1.3457541191381512</v>
      </c>
      <c r="DG123" s="543">
        <f t="shared" si="468"/>
        <v>0.7610467610467615</v>
      </c>
      <c r="DH123" s="543">
        <f t="shared" si="468"/>
        <v>1.1573398965720818</v>
      </c>
      <c r="DI123" s="543">
        <f t="shared" si="468"/>
        <v>1.0733708915388465</v>
      </c>
      <c r="DJ123" s="543">
        <f t="shared" si="468"/>
        <v>0.65439134882361583</v>
      </c>
      <c r="DK123" s="543">
        <f t="shared" si="468"/>
        <v>1.146355565625707</v>
      </c>
      <c r="DL123" s="543">
        <f t="shared" si="468"/>
        <v>1.4759829474646802</v>
      </c>
      <c r="DM123" s="543">
        <f t="shared" si="468"/>
        <v>0.97477982385908835</v>
      </c>
      <c r="DN123" s="543">
        <f t="shared" si="468"/>
        <v>0.93033298147970467</v>
      </c>
      <c r="DO123" s="543">
        <f t="shared" si="468"/>
        <v>0.3307363706505575</v>
      </c>
      <c r="DP123" s="543">
        <f t="shared" si="468"/>
        <v>0.239273474113923</v>
      </c>
      <c r="DQ123" s="543">
        <f t="shared" si="468"/>
        <v>0.3985624114040307</v>
      </c>
      <c r="DR123" s="543">
        <f t="shared" si="468"/>
        <v>1.4893266421990856</v>
      </c>
      <c r="DS123" s="543">
        <f t="shared" si="468"/>
        <v>1.1841824486529737</v>
      </c>
      <c r="DT123" s="543">
        <f t="shared" si="468"/>
        <v>1.0101444820166006</v>
      </c>
      <c r="DU123" s="543">
        <f>DU122/DU116</f>
        <v>0.64928664836219108</v>
      </c>
      <c r="DV123" s="543">
        <f t="shared" si="468"/>
        <v>0.22661582276396655</v>
      </c>
      <c r="DW123" s="543">
        <f t="shared" si="468"/>
        <v>-0.17203645715265192</v>
      </c>
      <c r="DX123" s="543">
        <f t="shared" ref="DX123:DZ123" si="469">DX122/DX116</f>
        <v>-0.55932592909851586</v>
      </c>
      <c r="DY123" s="543">
        <f t="shared" si="469"/>
        <v>-0.94625616233198129</v>
      </c>
      <c r="DZ123" s="543">
        <f t="shared" si="469"/>
        <v>-1.344763736415137</v>
      </c>
      <c r="EA123" s="541"/>
      <c r="EB123"/>
      <c r="EC123"/>
      <c r="ED123"/>
      <c r="EE123"/>
      <c r="EF123"/>
      <c r="EG123"/>
    </row>
    <row r="124" spans="1:137">
      <c r="A124" s="374"/>
      <c r="B124" s="493"/>
      <c r="C124" s="901"/>
      <c r="D124" s="507"/>
      <c r="E124" s="506"/>
      <c r="F124" s="506"/>
      <c r="G124" s="508"/>
      <c r="H124" s="506"/>
      <c r="I124" s="506"/>
      <c r="J124" s="506"/>
      <c r="K124" s="508"/>
      <c r="L124" s="506"/>
      <c r="M124" s="506"/>
      <c r="N124" s="506"/>
      <c r="O124" s="508"/>
      <c r="P124" s="506"/>
      <c r="Q124" s="506"/>
      <c r="R124" s="506"/>
      <c r="S124" s="508"/>
      <c r="T124" s="506"/>
      <c r="U124" s="506"/>
      <c r="V124" s="506"/>
      <c r="W124" s="508"/>
      <c r="X124" s="506"/>
      <c r="Y124" s="506"/>
      <c r="Z124" s="506"/>
      <c r="AA124" s="508"/>
      <c r="AB124" s="506"/>
      <c r="AC124" s="506"/>
      <c r="AD124" s="506"/>
      <c r="AE124" s="508"/>
      <c r="AF124" s="506"/>
      <c r="AG124" s="506"/>
      <c r="AH124" s="506"/>
      <c r="AI124" s="508"/>
      <c r="AJ124" s="506"/>
      <c r="AK124" s="506"/>
      <c r="AL124" s="506"/>
      <c r="AM124" s="508"/>
      <c r="AN124" s="506"/>
      <c r="AO124" s="506"/>
      <c r="AP124" s="506"/>
      <c r="AQ124" s="508"/>
      <c r="AR124" s="506"/>
      <c r="AS124" s="506"/>
      <c r="AT124" s="506"/>
      <c r="AU124" s="508"/>
      <c r="AV124" s="506"/>
      <c r="AW124" s="506"/>
      <c r="AX124" s="506"/>
      <c r="AY124" s="508"/>
      <c r="AZ124" s="506"/>
      <c r="BA124" s="506"/>
      <c r="BB124" s="506"/>
      <c r="BC124" s="508"/>
      <c r="BD124" s="506"/>
      <c r="BE124" s="506"/>
      <c r="BF124" s="506"/>
      <c r="BG124" s="508"/>
      <c r="BH124" s="506"/>
      <c r="BI124" s="506"/>
      <c r="BJ124" s="506"/>
      <c r="BK124" s="508"/>
      <c r="BL124" s="506"/>
      <c r="BM124" s="506"/>
      <c r="BN124" s="506"/>
      <c r="BO124" s="508"/>
      <c r="BP124" s="506"/>
      <c r="BQ124" s="506"/>
      <c r="BR124" s="506"/>
      <c r="BS124" s="508"/>
      <c r="BT124" s="506"/>
      <c r="BU124" s="506"/>
      <c r="BV124" s="506"/>
      <c r="BW124" s="508"/>
      <c r="BX124" s="506"/>
      <c r="BY124" s="506"/>
      <c r="BZ124" s="506"/>
      <c r="CA124" s="508"/>
      <c r="CB124" s="506"/>
      <c r="CC124" s="506"/>
      <c r="CD124" s="506"/>
      <c r="CE124" s="508"/>
      <c r="CF124" s="506"/>
      <c r="CG124" s="506"/>
      <c r="CH124" s="506"/>
      <c r="CI124" s="508"/>
      <c r="CJ124" s="506"/>
      <c r="CK124" s="506"/>
      <c r="CL124" s="506"/>
      <c r="CM124" s="508"/>
      <c r="CN124" s="506"/>
      <c r="CO124" s="506"/>
      <c r="CP124" s="506"/>
      <c r="CQ124" s="508"/>
      <c r="CR124" s="506"/>
      <c r="CS124" s="506"/>
      <c r="CT124" s="506"/>
      <c r="CU124" s="508"/>
      <c r="CV124" s="376"/>
      <c r="CW124" s="504"/>
      <c r="CX124" s="506"/>
      <c r="CY124" s="506"/>
      <c r="CZ124" s="506"/>
      <c r="DA124" s="506"/>
      <c r="DB124" s="506"/>
      <c r="DC124" s="506"/>
      <c r="DD124" s="506"/>
      <c r="DE124" s="506"/>
      <c r="DF124" s="506"/>
      <c r="DG124" s="506"/>
      <c r="DH124" s="506"/>
      <c r="DI124" s="506"/>
      <c r="DJ124" s="506"/>
      <c r="DK124" s="506"/>
      <c r="DL124" s="506"/>
      <c r="DM124" s="506"/>
      <c r="DN124" s="506"/>
      <c r="DO124" s="506"/>
      <c r="DP124" s="506"/>
      <c r="DQ124" s="506"/>
      <c r="DR124" s="506"/>
      <c r="DS124" s="506"/>
      <c r="DT124" s="506"/>
      <c r="DU124" s="506"/>
      <c r="DV124" s="506"/>
      <c r="DW124" s="506"/>
      <c r="DX124" s="506"/>
      <c r="DY124" s="506"/>
      <c r="DZ124" s="506"/>
      <c r="EA124" s="547"/>
    </row>
    <row r="125" spans="1:137" s="599" customFormat="1">
      <c r="A125" s="694"/>
      <c r="B125" s="594" t="s">
        <v>440</v>
      </c>
      <c r="C125" s="916"/>
      <c r="D125" s="695"/>
      <c r="E125" s="618"/>
      <c r="F125" s="618"/>
      <c r="G125" s="696">
        <f>G117/(G120+G92+G100)</f>
        <v>0.1086301183717807</v>
      </c>
      <c r="H125" s="618">
        <f t="shared" ref="H125:BS125" si="470">H117/(H120+H92+H100)</f>
        <v>0.10158396067806919</v>
      </c>
      <c r="I125" s="618">
        <f t="shared" si="470"/>
        <v>7.9678263160595605E-2</v>
      </c>
      <c r="J125" s="618">
        <f t="shared" si="470"/>
        <v>8.3573585333667377E-2</v>
      </c>
      <c r="K125" s="696">
        <f t="shared" si="470"/>
        <v>0.13121253332222022</v>
      </c>
      <c r="L125" s="618">
        <f t="shared" si="470"/>
        <v>0.14945738954047053</v>
      </c>
      <c r="M125" s="618">
        <f t="shared" si="470"/>
        <v>0.15273809420302309</v>
      </c>
      <c r="N125" s="618">
        <f t="shared" si="470"/>
        <v>0.15718393796956082</v>
      </c>
      <c r="O125" s="696">
        <f t="shared" si="470"/>
        <v>0.11871825306312925</v>
      </c>
      <c r="P125" s="618">
        <f t="shared" si="470"/>
        <v>0.11631764005838273</v>
      </c>
      <c r="Q125" s="618">
        <f t="shared" si="470"/>
        <v>0.10751789229385239</v>
      </c>
      <c r="R125" s="618">
        <f t="shared" si="470"/>
        <v>0.10739235019136661</v>
      </c>
      <c r="S125" s="696">
        <f t="shared" si="470"/>
        <v>0.10198236208214657</v>
      </c>
      <c r="T125" s="618">
        <f t="shared" si="470"/>
        <v>6.627069310305389E-2</v>
      </c>
      <c r="U125" s="618">
        <f t="shared" si="470"/>
        <v>7.8822871162970001E-2</v>
      </c>
      <c r="V125" s="618">
        <f t="shared" si="470"/>
        <v>8.4001559687071001E-2</v>
      </c>
      <c r="W125" s="696">
        <f t="shared" si="470"/>
        <v>8.678477040910558E-2</v>
      </c>
      <c r="X125" s="618">
        <f t="shared" si="470"/>
        <v>9.7597409225902529E-2</v>
      </c>
      <c r="Y125" s="618">
        <f t="shared" si="470"/>
        <v>0.10087934217853406</v>
      </c>
      <c r="Z125" s="618">
        <f t="shared" si="470"/>
        <v>0.10326553524360178</v>
      </c>
      <c r="AA125" s="696">
        <f t="shared" si="470"/>
        <v>9.9185865161535491E-2</v>
      </c>
      <c r="AB125" s="618">
        <f t="shared" si="470"/>
        <v>8.6982295045576044E-2</v>
      </c>
      <c r="AC125" s="618">
        <f t="shared" si="470"/>
        <v>7.9709858219172661E-2</v>
      </c>
      <c r="AD125" s="618">
        <f t="shared" si="470"/>
        <v>7.4309737425493211E-2</v>
      </c>
      <c r="AE125" s="696">
        <f t="shared" si="470"/>
        <v>7.4308300259593452E-2</v>
      </c>
      <c r="AF125" s="618">
        <f t="shared" si="470"/>
        <v>9.0358918000351035E-2</v>
      </c>
      <c r="AG125" s="618">
        <f t="shared" si="470"/>
        <v>9.4937589733732161E-2</v>
      </c>
      <c r="AH125" s="618">
        <f t="shared" si="470"/>
        <v>9.6100575914588954E-2</v>
      </c>
      <c r="AI125" s="696">
        <f t="shared" si="470"/>
        <v>9.5291935508015915E-2</v>
      </c>
      <c r="AJ125" s="618">
        <f t="shared" si="470"/>
        <v>0.10671768388199428</v>
      </c>
      <c r="AK125" s="618">
        <f t="shared" si="470"/>
        <v>0.10134244479487389</v>
      </c>
      <c r="AL125" s="618">
        <f t="shared" si="470"/>
        <v>9.9652233245569211E-2</v>
      </c>
      <c r="AM125" s="696">
        <f t="shared" si="470"/>
        <v>0.10045385910836506</v>
      </c>
      <c r="AN125" s="618">
        <f t="shared" si="470"/>
        <v>0.10127915129325507</v>
      </c>
      <c r="AO125" s="618">
        <f t="shared" si="470"/>
        <v>0.10527467167989944</v>
      </c>
      <c r="AP125" s="618">
        <f t="shared" si="470"/>
        <v>0.10467870909193623</v>
      </c>
      <c r="AQ125" s="696">
        <f t="shared" si="470"/>
        <v>0.10105634590235849</v>
      </c>
      <c r="AR125" s="618">
        <f t="shared" si="470"/>
        <v>8.5041767571962842E-2</v>
      </c>
      <c r="AS125" s="618">
        <f t="shared" si="470"/>
        <v>9.4882692986292386E-2</v>
      </c>
      <c r="AT125" s="618">
        <f t="shared" si="470"/>
        <v>0.10055768869127854</v>
      </c>
      <c r="AU125" s="696">
        <f t="shared" si="470"/>
        <v>0.10817450609449542</v>
      </c>
      <c r="AV125" s="618">
        <f t="shared" si="470"/>
        <v>0.10609103045045852</v>
      </c>
      <c r="AW125" s="618">
        <f t="shared" si="470"/>
        <v>0.106173025310248</v>
      </c>
      <c r="AX125" s="618">
        <f t="shared" si="470"/>
        <v>9.675589147704293E-2</v>
      </c>
      <c r="AY125" s="696">
        <f t="shared" si="470"/>
        <v>9.5281135584990975E-2</v>
      </c>
      <c r="AZ125" s="618">
        <f t="shared" si="470"/>
        <v>9.6637816181269626E-2</v>
      </c>
      <c r="BA125" s="618">
        <f t="shared" si="470"/>
        <v>9.749454280026007E-2</v>
      </c>
      <c r="BB125" s="618">
        <f t="shared" si="470"/>
        <v>9.9878172941949783E-2</v>
      </c>
      <c r="BC125" s="696">
        <f t="shared" si="470"/>
        <v>0.10456049896240763</v>
      </c>
      <c r="BD125" s="618">
        <f t="shared" si="470"/>
        <v>0.10200740476439905</v>
      </c>
      <c r="BE125" s="618">
        <f t="shared" si="470"/>
        <v>0.10988501075924897</v>
      </c>
      <c r="BF125" s="618">
        <f t="shared" si="470"/>
        <v>0.11055902647805069</v>
      </c>
      <c r="BG125" s="696">
        <f t="shared" si="470"/>
        <v>8.8148407713289745E-2</v>
      </c>
      <c r="BH125" s="618">
        <f t="shared" si="470"/>
        <v>5.8175527670349753E-2</v>
      </c>
      <c r="BI125" s="618">
        <f t="shared" si="470"/>
        <v>1.958208851493054E-2</v>
      </c>
      <c r="BJ125" s="618">
        <f t="shared" si="470"/>
        <v>9.3740456007948263E-3</v>
      </c>
      <c r="BK125" s="696">
        <f t="shared" si="470"/>
        <v>2.6924853223782717E-2</v>
      </c>
      <c r="BL125" s="618">
        <f t="shared" si="470"/>
        <v>5.3300846626134789E-2</v>
      </c>
      <c r="BM125" s="618">
        <f t="shared" si="470"/>
        <v>9.0708379440260542E-2</v>
      </c>
      <c r="BN125" s="618">
        <f t="shared" si="470"/>
        <v>9.8605507112542332E-2</v>
      </c>
      <c r="BO125" s="696">
        <f t="shared" si="470"/>
        <v>0.11801073352439191</v>
      </c>
      <c r="BP125" s="618">
        <f t="shared" si="470"/>
        <v>0.12141527505724845</v>
      </c>
      <c r="BQ125" s="618">
        <f t="shared" si="470"/>
        <v>0.12896180971832849</v>
      </c>
      <c r="BR125" s="618">
        <f t="shared" si="470"/>
        <v>0.14620724367977719</v>
      </c>
      <c r="BS125" s="696">
        <f t="shared" si="470"/>
        <v>0.15737605406920843</v>
      </c>
      <c r="BT125" s="618">
        <f t="shared" ref="BT125:DZ125" si="471">BT117/(BT120+BT92+BT100)</f>
        <v>0.15154539022943522</v>
      </c>
      <c r="BU125" s="618">
        <f t="shared" si="471"/>
        <v>0.15722530635418336</v>
      </c>
      <c r="BV125" s="618">
        <f t="shared" si="471"/>
        <v>0.14094509793184065</v>
      </c>
      <c r="BW125" s="696">
        <f t="shared" si="471"/>
        <v>0.13703416058212659</v>
      </c>
      <c r="BX125" s="618">
        <f t="shared" si="471"/>
        <v>0.13009556377534282</v>
      </c>
      <c r="BY125" s="618">
        <f t="shared" si="471"/>
        <v>0.12842969712240446</v>
      </c>
      <c r="BZ125" s="618">
        <f t="shared" si="471"/>
        <v>0.13603514268214054</v>
      </c>
      <c r="CA125" s="696">
        <f t="shared" si="471"/>
        <v>0.14088900584084202</v>
      </c>
      <c r="CB125" s="618">
        <f t="shared" si="471"/>
        <v>0.14153005225005447</v>
      </c>
      <c r="CC125" s="618">
        <f t="shared" si="471"/>
        <v>0.14691305383189493</v>
      </c>
      <c r="CD125" s="618">
        <f t="shared" si="471"/>
        <v>0.15081046145719937</v>
      </c>
      <c r="CE125" s="696">
        <f t="shared" si="471"/>
        <v>0.15198494779543414</v>
      </c>
      <c r="CF125" s="618">
        <f t="shared" si="471"/>
        <v>0.139931974821671</v>
      </c>
      <c r="CG125" s="618">
        <f t="shared" si="471"/>
        <v>0.13110887713469269</v>
      </c>
      <c r="CH125" s="618">
        <f t="shared" si="471"/>
        <v>0.1294301603668018</v>
      </c>
      <c r="CI125" s="696">
        <f t="shared" si="471"/>
        <v>0.11831066294372398</v>
      </c>
      <c r="CJ125" s="618">
        <f t="shared" si="471"/>
        <v>0.11591821672241578</v>
      </c>
      <c r="CK125" s="618">
        <f t="shared" si="471"/>
        <v>0.11796787938785532</v>
      </c>
      <c r="CL125" s="618">
        <f t="shared" si="471"/>
        <v>0.11833908081232922</v>
      </c>
      <c r="CM125" s="696">
        <f t="shared" si="471"/>
        <v>0.13911264768436984</v>
      </c>
      <c r="CN125" s="618">
        <f t="shared" si="471"/>
        <v>0.13614724312990034</v>
      </c>
      <c r="CO125" s="618">
        <f t="shared" si="471"/>
        <v>0.13545507036014029</v>
      </c>
      <c r="CP125" s="618">
        <f t="shared" si="471"/>
        <v>0.1316641686603067</v>
      </c>
      <c r="CQ125" s="696">
        <f t="shared" ref="CQ125" si="472">CQ117/(CQ120+CQ92+CQ100)</f>
        <v>0.14560119988509795</v>
      </c>
      <c r="CR125" s="618">
        <f t="shared" si="471"/>
        <v>0.1463784550683242</v>
      </c>
      <c r="CS125" s="618">
        <f t="shared" si="471"/>
        <v>0.147603345228177</v>
      </c>
      <c r="CT125" s="618">
        <f t="shared" si="471"/>
        <v>0.1467680905067977</v>
      </c>
      <c r="CU125" s="696">
        <f t="shared" si="471"/>
        <v>0.14486536942783426</v>
      </c>
      <c r="CV125" s="598"/>
      <c r="CW125" s="618"/>
      <c r="CX125" s="618">
        <f t="shared" si="471"/>
        <v>0.11256579090780866</v>
      </c>
      <c r="CY125" s="618">
        <f t="shared" si="471"/>
        <v>0.1305780802161037</v>
      </c>
      <c r="CZ125" s="618">
        <f t="shared" si="471"/>
        <v>0.12445871819466751</v>
      </c>
      <c r="DA125" s="618">
        <f t="shared" si="471"/>
        <v>0.107119524126339</v>
      </c>
      <c r="DB125" s="618">
        <f t="shared" si="471"/>
        <v>9.3167964423702843E-2</v>
      </c>
      <c r="DC125" s="618">
        <f t="shared" si="471"/>
        <v>9.9195746589033754E-2</v>
      </c>
      <c r="DD125" s="618">
        <f t="shared" si="471"/>
        <v>7.4301910995771131E-2</v>
      </c>
      <c r="DE125" s="618">
        <f t="shared" si="471"/>
        <v>9.5288182435677313E-2</v>
      </c>
      <c r="DF125" s="618">
        <f t="shared" si="471"/>
        <v>0.10044098752922079</v>
      </c>
      <c r="DG125" s="618">
        <f t="shared" si="471"/>
        <v>0.10105561567359181</v>
      </c>
      <c r="DH125" s="618">
        <f t="shared" si="471"/>
        <v>0.10823498077533936</v>
      </c>
      <c r="DI125" s="618">
        <f t="shared" si="471"/>
        <v>9.5260991723380622E-2</v>
      </c>
      <c r="DJ125" s="618">
        <f t="shared" si="471"/>
        <v>0.10456233295113294</v>
      </c>
      <c r="DK125" s="618">
        <f t="shared" si="471"/>
        <v>8.8181885291976542E-2</v>
      </c>
      <c r="DL125" s="618">
        <f t="shared" si="471"/>
        <v>3.1139155331738184E-2</v>
      </c>
      <c r="DM125" s="618">
        <f t="shared" si="471"/>
        <v>0.11798013186182471</v>
      </c>
      <c r="DN125" s="618">
        <f t="shared" si="471"/>
        <v>0.15734975653114594</v>
      </c>
      <c r="DO125" s="618">
        <f t="shared" si="471"/>
        <v>0.1369011504252941</v>
      </c>
      <c r="DP125" s="618">
        <f t="shared" si="471"/>
        <v>0.14091452170818813</v>
      </c>
      <c r="DQ125" s="618">
        <f t="shared" si="471"/>
        <v>0.15197314237105683</v>
      </c>
      <c r="DR125" s="618">
        <f t="shared" si="471"/>
        <v>0.11831864552062482</v>
      </c>
      <c r="DS125" s="618">
        <f t="shared" si="471"/>
        <v>0.13911267111322265</v>
      </c>
      <c r="DT125" s="618">
        <f t="shared" si="471"/>
        <v>0.14560467244158384</v>
      </c>
      <c r="DU125" s="618">
        <f t="shared" si="471"/>
        <v>0.14486536942783454</v>
      </c>
      <c r="DV125" s="618">
        <f t="shared" si="471"/>
        <v>0.13175709858266837</v>
      </c>
      <c r="DW125" s="618">
        <f t="shared" si="471"/>
        <v>0.12009699743880425</v>
      </c>
      <c r="DX125" s="618">
        <f t="shared" si="471"/>
        <v>0.10978799770873639</v>
      </c>
      <c r="DY125" s="618">
        <f t="shared" si="471"/>
        <v>9.9919682135335738E-2</v>
      </c>
      <c r="DZ125" s="618">
        <f t="shared" si="471"/>
        <v>9.0356808038808217E-2</v>
      </c>
      <c r="EA125" s="594"/>
      <c r="EB125"/>
      <c r="EC125"/>
      <c r="ED125"/>
      <c r="EE125"/>
      <c r="EF125"/>
      <c r="EG125"/>
    </row>
    <row r="126" spans="1:137">
      <c r="A126" s="374"/>
      <c r="B126" s="493"/>
      <c r="C126" s="901"/>
      <c r="D126" s="507"/>
      <c r="E126" s="506"/>
      <c r="F126" s="506"/>
      <c r="G126" s="508"/>
      <c r="H126" s="506"/>
      <c r="I126" s="506"/>
      <c r="J126" s="506"/>
      <c r="K126" s="508"/>
      <c r="L126" s="506"/>
      <c r="M126" s="506"/>
      <c r="N126" s="506"/>
      <c r="O126" s="508"/>
      <c r="P126" s="506"/>
      <c r="Q126" s="506"/>
      <c r="R126" s="506"/>
      <c r="S126" s="508"/>
      <c r="T126" s="506"/>
      <c r="U126" s="506"/>
      <c r="V126" s="506"/>
      <c r="W126" s="508"/>
      <c r="X126" s="506"/>
      <c r="Y126" s="506"/>
      <c r="Z126" s="506"/>
      <c r="AA126" s="508"/>
      <c r="AB126" s="506"/>
      <c r="AC126" s="506"/>
      <c r="AD126" s="506"/>
      <c r="AE126" s="508"/>
      <c r="AF126" s="506"/>
      <c r="AG126" s="506"/>
      <c r="AH126" s="506"/>
      <c r="AI126" s="508"/>
      <c r="AJ126" s="506"/>
      <c r="AK126" s="506"/>
      <c r="AL126" s="506"/>
      <c r="AM126" s="508"/>
      <c r="AN126" s="506"/>
      <c r="AO126" s="506"/>
      <c r="AP126" s="506"/>
      <c r="AQ126" s="508"/>
      <c r="AR126" s="506"/>
      <c r="AS126" s="506"/>
      <c r="AT126" s="506"/>
      <c r="AU126" s="508"/>
      <c r="AV126" s="506"/>
      <c r="AW126" s="506"/>
      <c r="AX126" s="506"/>
      <c r="AY126" s="508"/>
      <c r="AZ126" s="506"/>
      <c r="BA126" s="506"/>
      <c r="BB126" s="506"/>
      <c r="BC126" s="508"/>
      <c r="BD126" s="506"/>
      <c r="BE126" s="506"/>
      <c r="BF126" s="506"/>
      <c r="BG126" s="508"/>
      <c r="BH126" s="506"/>
      <c r="BI126" s="506"/>
      <c r="BJ126" s="506"/>
      <c r="BK126" s="508"/>
      <c r="BL126" s="506"/>
      <c r="BM126" s="506"/>
      <c r="BN126" s="506"/>
      <c r="BO126" s="508"/>
      <c r="BP126" s="506"/>
      <c r="BQ126" s="506"/>
      <c r="BR126" s="506"/>
      <c r="BS126" s="508"/>
      <c r="BT126" s="506"/>
      <c r="BU126" s="506"/>
      <c r="BV126" s="506"/>
      <c r="BW126" s="508"/>
      <c r="BX126" s="506"/>
      <c r="BY126" s="506"/>
      <c r="BZ126" s="506"/>
      <c r="CA126" s="508"/>
      <c r="CB126" s="506"/>
      <c r="CC126" s="506"/>
      <c r="CD126" s="506"/>
      <c r="CE126" s="508"/>
      <c r="CF126" s="506"/>
      <c r="CG126" s="506"/>
      <c r="CH126" s="506"/>
      <c r="CI126" s="508"/>
      <c r="CJ126" s="506"/>
      <c r="CK126" s="506"/>
      <c r="CL126" s="506"/>
      <c r="CM126" s="508"/>
      <c r="CN126" s="506"/>
      <c r="CO126" s="506"/>
      <c r="CP126" s="506"/>
      <c r="CQ126" s="508"/>
      <c r="CR126" s="506"/>
      <c r="CS126" s="506"/>
      <c r="CT126" s="506"/>
      <c r="CU126" s="508"/>
      <c r="CV126" s="376"/>
      <c r="CW126" s="504"/>
      <c r="CX126" s="506"/>
      <c r="CY126" s="506"/>
      <c r="CZ126" s="506"/>
      <c r="DA126" s="506"/>
      <c r="DB126" s="506"/>
      <c r="DC126" s="506"/>
      <c r="DD126" s="506"/>
      <c r="DE126" s="506"/>
      <c r="DF126" s="506"/>
      <c r="DG126" s="506"/>
      <c r="DH126" s="506"/>
      <c r="DI126" s="506"/>
      <c r="DJ126" s="506"/>
      <c r="DK126" s="506"/>
      <c r="DL126" s="506"/>
      <c r="DM126" s="506"/>
      <c r="DN126" s="506"/>
      <c r="DO126" s="506"/>
      <c r="DP126" s="506"/>
      <c r="DQ126" s="506"/>
      <c r="DR126" s="506"/>
      <c r="DS126" s="506"/>
      <c r="DT126" s="506"/>
      <c r="DU126" s="506"/>
      <c r="DV126" s="506"/>
      <c r="DW126" s="506"/>
      <c r="DX126" s="506"/>
      <c r="DY126" s="506"/>
      <c r="DZ126" s="506"/>
      <c r="EA126" s="547"/>
    </row>
    <row r="127" spans="1:137">
      <c r="A127" s="374"/>
      <c r="B127" s="364" t="s">
        <v>291</v>
      </c>
      <c r="C127" s="896"/>
      <c r="D127" s="365" t="str">
        <f t="shared" ref="D127:AI127" si="473">D$4</f>
        <v>1Q95</v>
      </c>
      <c r="E127" s="366" t="str">
        <f t="shared" si="473"/>
        <v>2Q95</v>
      </c>
      <c r="F127" s="366" t="str">
        <f t="shared" si="473"/>
        <v>3Q95</v>
      </c>
      <c r="G127" s="367" t="str">
        <f t="shared" si="473"/>
        <v>4Q95</v>
      </c>
      <c r="H127" s="366" t="str">
        <f t="shared" si="473"/>
        <v>1Q96</v>
      </c>
      <c r="I127" s="366" t="str">
        <f t="shared" si="473"/>
        <v>2Q96</v>
      </c>
      <c r="J127" s="366" t="str">
        <f t="shared" si="473"/>
        <v>3Q96</v>
      </c>
      <c r="K127" s="367" t="str">
        <f t="shared" si="473"/>
        <v>4Q96</v>
      </c>
      <c r="L127" s="366" t="str">
        <f t="shared" si="473"/>
        <v>1Q97</v>
      </c>
      <c r="M127" s="366" t="str">
        <f t="shared" si="473"/>
        <v>2Q97</v>
      </c>
      <c r="N127" s="366" t="str">
        <f t="shared" si="473"/>
        <v>3Q97</v>
      </c>
      <c r="O127" s="367" t="str">
        <f t="shared" si="473"/>
        <v>4Q97</v>
      </c>
      <c r="P127" s="366" t="str">
        <f t="shared" si="473"/>
        <v>1Q98</v>
      </c>
      <c r="Q127" s="366" t="str">
        <f t="shared" si="473"/>
        <v>2Q98</v>
      </c>
      <c r="R127" s="366" t="str">
        <f t="shared" si="473"/>
        <v>3Q98</v>
      </c>
      <c r="S127" s="367" t="str">
        <f t="shared" si="473"/>
        <v>4Q98</v>
      </c>
      <c r="T127" s="366" t="str">
        <f t="shared" si="473"/>
        <v>1Q99</v>
      </c>
      <c r="U127" s="366" t="str">
        <f t="shared" si="473"/>
        <v>2Q99</v>
      </c>
      <c r="V127" s="366" t="str">
        <f t="shared" si="473"/>
        <v>3Q99</v>
      </c>
      <c r="W127" s="367" t="str">
        <f t="shared" si="473"/>
        <v>4Q99</v>
      </c>
      <c r="X127" s="366" t="str">
        <f t="shared" si="473"/>
        <v>1Q00</v>
      </c>
      <c r="Y127" s="366" t="str">
        <f t="shared" si="473"/>
        <v>2Q00</v>
      </c>
      <c r="Z127" s="366" t="str">
        <f t="shared" si="473"/>
        <v>3Q00</v>
      </c>
      <c r="AA127" s="367" t="str">
        <f t="shared" si="473"/>
        <v>4Q00</v>
      </c>
      <c r="AB127" s="366" t="str">
        <f t="shared" si="473"/>
        <v>1Q01</v>
      </c>
      <c r="AC127" s="366" t="str">
        <f t="shared" si="473"/>
        <v>2Q01</v>
      </c>
      <c r="AD127" s="366" t="str">
        <f t="shared" si="473"/>
        <v>3Q01</v>
      </c>
      <c r="AE127" s="367" t="str">
        <f t="shared" si="473"/>
        <v>4Q01</v>
      </c>
      <c r="AF127" s="366" t="str">
        <f t="shared" si="473"/>
        <v>1Q02</v>
      </c>
      <c r="AG127" s="366" t="str">
        <f t="shared" si="473"/>
        <v>2Q02</v>
      </c>
      <c r="AH127" s="366" t="str">
        <f t="shared" si="473"/>
        <v>3Q02</v>
      </c>
      <c r="AI127" s="367" t="str">
        <f t="shared" si="473"/>
        <v>4Q02</v>
      </c>
      <c r="AJ127" s="366" t="str">
        <f t="shared" ref="AJ127:BO127" si="474">AJ$4</f>
        <v>1Q03</v>
      </c>
      <c r="AK127" s="366" t="str">
        <f t="shared" si="474"/>
        <v>2Q03</v>
      </c>
      <c r="AL127" s="366" t="str">
        <f t="shared" si="474"/>
        <v>3Q03</v>
      </c>
      <c r="AM127" s="367" t="str">
        <f t="shared" si="474"/>
        <v>4Q03</v>
      </c>
      <c r="AN127" s="366" t="str">
        <f t="shared" si="474"/>
        <v>1Q04</v>
      </c>
      <c r="AO127" s="366" t="str">
        <f t="shared" si="474"/>
        <v>2Q04</v>
      </c>
      <c r="AP127" s="366" t="str">
        <f t="shared" si="474"/>
        <v>3Q04</v>
      </c>
      <c r="AQ127" s="367" t="str">
        <f t="shared" si="474"/>
        <v>4Q04</v>
      </c>
      <c r="AR127" s="366" t="str">
        <f t="shared" si="474"/>
        <v>1Q05</v>
      </c>
      <c r="AS127" s="366" t="str">
        <f t="shared" si="474"/>
        <v>2Q05</v>
      </c>
      <c r="AT127" s="366" t="str">
        <f t="shared" si="474"/>
        <v>3Q05</v>
      </c>
      <c r="AU127" s="367" t="str">
        <f t="shared" si="474"/>
        <v>4Q05</v>
      </c>
      <c r="AV127" s="366" t="str">
        <f t="shared" si="474"/>
        <v>1Q06</v>
      </c>
      <c r="AW127" s="366" t="str">
        <f t="shared" si="474"/>
        <v>2Q06</v>
      </c>
      <c r="AX127" s="366" t="str">
        <f t="shared" si="474"/>
        <v>3Q06</v>
      </c>
      <c r="AY127" s="367" t="str">
        <f t="shared" si="474"/>
        <v>4Q06</v>
      </c>
      <c r="AZ127" s="366" t="str">
        <f t="shared" si="474"/>
        <v>1Q07</v>
      </c>
      <c r="BA127" s="366" t="str">
        <f t="shared" si="474"/>
        <v>2Q07</v>
      </c>
      <c r="BB127" s="366" t="str">
        <f t="shared" si="474"/>
        <v>3Q07</v>
      </c>
      <c r="BC127" s="367" t="str">
        <f t="shared" si="474"/>
        <v>4Q07</v>
      </c>
      <c r="BD127" s="366" t="str">
        <f t="shared" si="474"/>
        <v>1Q08</v>
      </c>
      <c r="BE127" s="366" t="str">
        <f t="shared" si="474"/>
        <v>2Q08</v>
      </c>
      <c r="BF127" s="366" t="str">
        <f t="shared" si="474"/>
        <v>3Q08</v>
      </c>
      <c r="BG127" s="367" t="str">
        <f t="shared" si="474"/>
        <v>4Q08</v>
      </c>
      <c r="BH127" s="366" t="str">
        <f t="shared" si="474"/>
        <v>1Q09</v>
      </c>
      <c r="BI127" s="366" t="str">
        <f t="shared" si="474"/>
        <v>2Q09</v>
      </c>
      <c r="BJ127" s="366" t="str">
        <f t="shared" si="474"/>
        <v>3Q09</v>
      </c>
      <c r="BK127" s="367" t="str">
        <f t="shared" si="474"/>
        <v>4Q09</v>
      </c>
      <c r="BL127" s="366" t="str">
        <f t="shared" si="474"/>
        <v>1Q10</v>
      </c>
      <c r="BM127" s="366" t="str">
        <f t="shared" si="474"/>
        <v>2Q10</v>
      </c>
      <c r="BN127" s="366" t="str">
        <f t="shared" si="474"/>
        <v>3Q10</v>
      </c>
      <c r="BO127" s="367" t="str">
        <f t="shared" si="474"/>
        <v>4Q10</v>
      </c>
      <c r="BP127" s="366" t="str">
        <f t="shared" ref="BP127:CU127" si="475">BP$4</f>
        <v>1Q11</v>
      </c>
      <c r="BQ127" s="366" t="str">
        <f t="shared" si="475"/>
        <v>2Q11</v>
      </c>
      <c r="BR127" s="366" t="str">
        <f t="shared" si="475"/>
        <v>3Q11</v>
      </c>
      <c r="BS127" s="367" t="str">
        <f t="shared" si="475"/>
        <v>4Q11</v>
      </c>
      <c r="BT127" s="366" t="str">
        <f t="shared" si="475"/>
        <v>1Q12</v>
      </c>
      <c r="BU127" s="366" t="str">
        <f t="shared" si="475"/>
        <v>2Q12</v>
      </c>
      <c r="BV127" s="366" t="str">
        <f t="shared" si="475"/>
        <v>3Q12</v>
      </c>
      <c r="BW127" s="367" t="str">
        <f t="shared" si="475"/>
        <v>4Q12</v>
      </c>
      <c r="BX127" s="366" t="str">
        <f t="shared" si="475"/>
        <v>1Q13</v>
      </c>
      <c r="BY127" s="366" t="str">
        <f t="shared" si="475"/>
        <v>2Q13</v>
      </c>
      <c r="BZ127" s="366" t="str">
        <f t="shared" si="475"/>
        <v>3Q13</v>
      </c>
      <c r="CA127" s="367" t="str">
        <f t="shared" si="475"/>
        <v>4Q13</v>
      </c>
      <c r="CB127" s="366" t="str">
        <f t="shared" si="475"/>
        <v>1Q14</v>
      </c>
      <c r="CC127" s="366" t="str">
        <f t="shared" si="475"/>
        <v>2Q14</v>
      </c>
      <c r="CD127" s="366" t="str">
        <f t="shared" si="475"/>
        <v>3Q14</v>
      </c>
      <c r="CE127" s="367" t="str">
        <f t="shared" si="475"/>
        <v>4Q14</v>
      </c>
      <c r="CF127" s="366" t="str">
        <f t="shared" si="475"/>
        <v>1Q15</v>
      </c>
      <c r="CG127" s="366" t="str">
        <f t="shared" si="475"/>
        <v>2Q15</v>
      </c>
      <c r="CH127" s="366" t="str">
        <f t="shared" si="475"/>
        <v>3Q15</v>
      </c>
      <c r="CI127" s="367" t="str">
        <f t="shared" si="475"/>
        <v>4Q15</v>
      </c>
      <c r="CJ127" s="366" t="str">
        <f t="shared" si="475"/>
        <v>1Q16</v>
      </c>
      <c r="CK127" s="366" t="str">
        <f t="shared" si="475"/>
        <v>2Q16</v>
      </c>
      <c r="CL127" s="366" t="str">
        <f t="shared" si="475"/>
        <v>3Q16</v>
      </c>
      <c r="CM127" s="367" t="str">
        <f t="shared" si="475"/>
        <v>4Q16</v>
      </c>
      <c r="CN127" s="366" t="str">
        <f t="shared" si="475"/>
        <v>1Q17</v>
      </c>
      <c r="CO127" s="366" t="str">
        <f t="shared" si="475"/>
        <v>2Q17</v>
      </c>
      <c r="CP127" s="366" t="str">
        <f t="shared" si="475"/>
        <v>3Q17</v>
      </c>
      <c r="CQ127" s="367" t="str">
        <f t="shared" si="475"/>
        <v>4Q17</v>
      </c>
      <c r="CR127" s="366" t="str">
        <f t="shared" si="475"/>
        <v>1Q18e</v>
      </c>
      <c r="CS127" s="366" t="str">
        <f t="shared" si="475"/>
        <v>2Q18e</v>
      </c>
      <c r="CT127" s="366" t="str">
        <f t="shared" si="475"/>
        <v>3Q18e</v>
      </c>
      <c r="CU127" s="367" t="str">
        <f t="shared" si="475"/>
        <v>4Q18e</v>
      </c>
      <c r="CV127" s="376"/>
      <c r="CW127" s="366">
        <f t="shared" ref="CW127:DZ127" si="476">CW$4</f>
        <v>1994</v>
      </c>
      <c r="CX127" s="366">
        <f t="shared" si="476"/>
        <v>1995</v>
      </c>
      <c r="CY127" s="366">
        <f t="shared" si="476"/>
        <v>1996</v>
      </c>
      <c r="CZ127" s="366">
        <f t="shared" si="476"/>
        <v>1997</v>
      </c>
      <c r="DA127" s="366">
        <f t="shared" si="476"/>
        <v>1998</v>
      </c>
      <c r="DB127" s="366">
        <f t="shared" si="476"/>
        <v>1999</v>
      </c>
      <c r="DC127" s="366">
        <f t="shared" si="476"/>
        <v>2000</v>
      </c>
      <c r="DD127" s="366">
        <f t="shared" si="476"/>
        <v>2001</v>
      </c>
      <c r="DE127" s="366">
        <f t="shared" si="476"/>
        <v>2002</v>
      </c>
      <c r="DF127" s="366">
        <f t="shared" si="476"/>
        <v>2003</v>
      </c>
      <c r="DG127" s="366">
        <f t="shared" si="476"/>
        <v>2004</v>
      </c>
      <c r="DH127" s="366">
        <f t="shared" si="476"/>
        <v>2005</v>
      </c>
      <c r="DI127" s="366">
        <f t="shared" si="476"/>
        <v>2006</v>
      </c>
      <c r="DJ127" s="366">
        <f t="shared" si="476"/>
        <v>2007</v>
      </c>
      <c r="DK127" s="366">
        <f t="shared" si="476"/>
        <v>2008</v>
      </c>
      <c r="DL127" s="366">
        <f t="shared" si="476"/>
        <v>2009</v>
      </c>
      <c r="DM127" s="366">
        <f t="shared" si="476"/>
        <v>2010</v>
      </c>
      <c r="DN127" s="366">
        <f t="shared" si="476"/>
        <v>2011</v>
      </c>
      <c r="DO127" s="366">
        <f t="shared" si="476"/>
        <v>2012</v>
      </c>
      <c r="DP127" s="366">
        <f t="shared" si="476"/>
        <v>2013</v>
      </c>
      <c r="DQ127" s="366">
        <f t="shared" si="476"/>
        <v>2014</v>
      </c>
      <c r="DR127" s="366">
        <f t="shared" si="476"/>
        <v>2015</v>
      </c>
      <c r="DS127" s="366">
        <f t="shared" si="476"/>
        <v>2016</v>
      </c>
      <c r="DT127" s="366">
        <f t="shared" si="476"/>
        <v>2017</v>
      </c>
      <c r="DU127" s="366" t="str">
        <f t="shared" si="476"/>
        <v>2018e</v>
      </c>
      <c r="DV127" s="366" t="str">
        <f t="shared" si="476"/>
        <v>2019e</v>
      </c>
      <c r="DW127" s="366" t="str">
        <f t="shared" si="476"/>
        <v>2020e</v>
      </c>
      <c r="DX127" s="366" t="str">
        <f t="shared" si="476"/>
        <v>2021e</v>
      </c>
      <c r="DY127" s="366" t="str">
        <f t="shared" si="476"/>
        <v>2022e</v>
      </c>
      <c r="DZ127" s="366" t="str">
        <f t="shared" si="476"/>
        <v>2023e</v>
      </c>
      <c r="EA127" s="386"/>
    </row>
    <row r="128" spans="1:137">
      <c r="A128" s="374"/>
      <c r="B128" s="548"/>
      <c r="C128" s="912"/>
      <c r="D128" s="549"/>
      <c r="E128" s="550"/>
      <c r="F128" s="550"/>
      <c r="G128" s="551"/>
      <c r="H128" s="550"/>
      <c r="I128" s="550"/>
      <c r="J128" s="550"/>
      <c r="K128" s="551"/>
      <c r="L128" s="550"/>
      <c r="M128" s="550"/>
      <c r="N128" s="550"/>
      <c r="O128" s="551"/>
      <c r="P128" s="550"/>
      <c r="Q128" s="550"/>
      <c r="R128" s="550"/>
      <c r="S128" s="551"/>
      <c r="T128" s="550"/>
      <c r="U128" s="550"/>
      <c r="V128" s="550"/>
      <c r="W128" s="551"/>
      <c r="X128" s="550"/>
      <c r="Y128" s="550"/>
      <c r="Z128" s="550"/>
      <c r="AA128" s="551"/>
      <c r="AB128" s="550"/>
      <c r="AC128" s="550"/>
      <c r="AD128" s="550"/>
      <c r="AE128" s="551"/>
      <c r="AF128" s="550"/>
      <c r="AG128" s="550"/>
      <c r="AH128" s="550"/>
      <c r="AI128" s="551"/>
      <c r="AJ128" s="550"/>
      <c r="AK128" s="550"/>
      <c r="AL128" s="550"/>
      <c r="AM128" s="551"/>
      <c r="AN128" s="550"/>
      <c r="AO128" s="550"/>
      <c r="AP128" s="550"/>
      <c r="AQ128" s="551"/>
      <c r="AR128" s="550"/>
      <c r="AS128" s="550"/>
      <c r="AT128" s="550"/>
      <c r="AU128" s="551"/>
      <c r="AV128" s="550"/>
      <c r="AW128" s="550"/>
      <c r="AX128" s="550"/>
      <c r="AY128" s="551"/>
      <c r="AZ128" s="550"/>
      <c r="BA128" s="550"/>
      <c r="BB128" s="550"/>
      <c r="BC128" s="551"/>
      <c r="BD128" s="550"/>
      <c r="BE128" s="550"/>
      <c r="BF128" s="550"/>
      <c r="BG128" s="551"/>
      <c r="BH128" s="550"/>
      <c r="BI128" s="550"/>
      <c r="BJ128" s="550"/>
      <c r="BK128" s="551"/>
      <c r="BL128" s="550"/>
      <c r="BM128" s="550"/>
      <c r="BN128" s="550"/>
      <c r="BO128" s="551"/>
      <c r="BP128" s="550"/>
      <c r="BQ128" s="550"/>
      <c r="BR128" s="550"/>
      <c r="BS128" s="551"/>
      <c r="BT128" s="550"/>
      <c r="BU128" s="550"/>
      <c r="BV128" s="550"/>
      <c r="BW128" s="551"/>
      <c r="BX128" s="550"/>
      <c r="BY128" s="550"/>
      <c r="BZ128" s="550"/>
      <c r="CA128" s="551"/>
      <c r="CB128" s="550"/>
      <c r="CC128" s="550"/>
      <c r="CD128" s="550"/>
      <c r="CE128" s="551"/>
      <c r="CF128" s="550"/>
      <c r="CG128" s="550"/>
      <c r="CH128" s="550"/>
      <c r="CI128" s="551"/>
      <c r="CJ128" s="550"/>
      <c r="CK128" s="550"/>
      <c r="CL128" s="550"/>
      <c r="CM128" s="551"/>
      <c r="CN128" s="550"/>
      <c r="CO128" s="550"/>
      <c r="CP128" s="550"/>
      <c r="CQ128" s="551"/>
      <c r="CR128" s="550"/>
      <c r="CS128" s="550"/>
      <c r="CT128" s="550"/>
      <c r="CU128" s="551"/>
      <c r="CV128" s="376"/>
      <c r="CW128" s="552"/>
      <c r="CX128" s="550"/>
      <c r="CY128" s="550"/>
      <c r="CZ128" s="550"/>
      <c r="DA128" s="550"/>
      <c r="DB128" s="550"/>
      <c r="DC128" s="550"/>
      <c r="DD128" s="550"/>
      <c r="DE128" s="550"/>
      <c r="DF128" s="550"/>
      <c r="DG128" s="550"/>
      <c r="DH128" s="550"/>
      <c r="DI128" s="550"/>
      <c r="DJ128" s="550"/>
      <c r="DK128" s="550"/>
      <c r="DL128" s="550"/>
      <c r="DM128" s="550"/>
      <c r="DN128" s="550"/>
      <c r="DO128" s="550"/>
      <c r="DP128" s="550"/>
      <c r="DQ128" s="550"/>
      <c r="DR128" s="550"/>
      <c r="DS128" s="550"/>
      <c r="DT128" s="550"/>
      <c r="DU128" s="550"/>
      <c r="DV128" s="550"/>
      <c r="DW128" s="550"/>
      <c r="DX128" s="550"/>
      <c r="DY128" s="550"/>
      <c r="DZ128" s="550"/>
      <c r="EA128" s="553"/>
    </row>
    <row r="129" spans="1:137" s="410" customFormat="1">
      <c r="A129" s="400"/>
      <c r="B129" s="554" t="s">
        <v>318</v>
      </c>
      <c r="C129" s="658"/>
      <c r="D129" s="555"/>
      <c r="E129" s="556"/>
      <c r="F129" s="556"/>
      <c r="G129" s="557"/>
      <c r="H129" s="452">
        <f t="shared" ref="H129:S129" si="477">H34</f>
        <v>12.299999999999997</v>
      </c>
      <c r="I129" s="452">
        <f t="shared" si="477"/>
        <v>21.800000000000008</v>
      </c>
      <c r="J129" s="452">
        <f t="shared" si="477"/>
        <v>18.800000000000011</v>
      </c>
      <c r="K129" s="514">
        <f t="shared" si="477"/>
        <v>15.399999999999984</v>
      </c>
      <c r="L129" s="452">
        <f t="shared" si="477"/>
        <v>24.799999999999997</v>
      </c>
      <c r="M129" s="452">
        <f t="shared" si="477"/>
        <v>29.599999999999969</v>
      </c>
      <c r="N129" s="452">
        <f t="shared" si="477"/>
        <v>21.600000000000016</v>
      </c>
      <c r="O129" s="514">
        <f t="shared" si="477"/>
        <v>27.200000000000003</v>
      </c>
      <c r="P129" s="452">
        <f t="shared" si="477"/>
        <v>25.999999999999993</v>
      </c>
      <c r="Q129" s="452">
        <f t="shared" si="477"/>
        <v>19.600000000000016</v>
      </c>
      <c r="R129" s="452">
        <f t="shared" si="477"/>
        <v>17.300000000000011</v>
      </c>
      <c r="S129" s="514">
        <f t="shared" si="477"/>
        <v>31.79999999999999</v>
      </c>
      <c r="T129" s="556"/>
      <c r="U129" s="452">
        <f>T34</f>
        <v>32.09999999999998</v>
      </c>
      <c r="V129" s="452">
        <f>U34</f>
        <v>36.299999999999947</v>
      </c>
      <c r="W129" s="514">
        <f>V34</f>
        <v>27.400000000000055</v>
      </c>
      <c r="X129" s="452">
        <f>X34</f>
        <v>41.000000000000043</v>
      </c>
      <c r="Y129" s="452">
        <f>Y34</f>
        <v>40.099999999999923</v>
      </c>
      <c r="Z129" s="510">
        <v>5.2</v>
      </c>
      <c r="AA129" s="514">
        <f>DC129-Z129-Y129-X129</f>
        <v>7.7000000000000313</v>
      </c>
      <c r="AB129" s="452">
        <f t="shared" ref="AB129:AM129" si="478">AB34</f>
        <v>21.099999999999923</v>
      </c>
      <c r="AC129" s="452">
        <f t="shared" si="478"/>
        <v>24.699999999999982</v>
      </c>
      <c r="AD129" s="452">
        <f t="shared" si="478"/>
        <v>18.39999999999997</v>
      </c>
      <c r="AE129" s="514">
        <f t="shared" si="478"/>
        <v>2.0999999999999446</v>
      </c>
      <c r="AF129" s="452">
        <f t="shared" si="478"/>
        <v>-237.50000000000003</v>
      </c>
      <c r="AG129" s="452">
        <f t="shared" si="478"/>
        <v>45.699999999999939</v>
      </c>
      <c r="AH129" s="452">
        <f t="shared" si="478"/>
        <v>31.899999999999984</v>
      </c>
      <c r="AI129" s="514">
        <f t="shared" si="478"/>
        <v>40.799999999999969</v>
      </c>
      <c r="AJ129" s="452">
        <f t="shared" si="478"/>
        <v>44.20000000000001</v>
      </c>
      <c r="AK129" s="452">
        <f t="shared" si="478"/>
        <v>44.800000000000054</v>
      </c>
      <c r="AL129" s="452">
        <f t="shared" si="478"/>
        <v>35.900000000000063</v>
      </c>
      <c r="AM129" s="514">
        <f t="shared" si="478"/>
        <v>49.999999999999908</v>
      </c>
      <c r="AN129" s="452">
        <f>+AN34</f>
        <v>51.10000000000003</v>
      </c>
      <c r="AO129" s="452">
        <f>+AO34</f>
        <v>54.700000000000081</v>
      </c>
      <c r="AP129" s="564">
        <f>150.6-AO129-AN129</f>
        <v>44.799999999999891</v>
      </c>
      <c r="AQ129" s="572">
        <f>218.3-AP129-AO129-AN129</f>
        <v>67.700000000000017</v>
      </c>
      <c r="AR129" s="452">
        <f>+AR34</f>
        <v>77.600000000000051</v>
      </c>
      <c r="AS129" s="564">
        <f>113.5-AR129</f>
        <v>35.899999999999949</v>
      </c>
      <c r="AT129" s="564">
        <f>175-AS129-AR129</f>
        <v>61.5</v>
      </c>
      <c r="AU129" s="514">
        <f>+AU34</f>
        <v>64.600000000000023</v>
      </c>
      <c r="AV129" s="452">
        <f>+AV34</f>
        <v>61.30000000000009</v>
      </c>
      <c r="AW129" s="452">
        <f>+AW34</f>
        <v>70.200000000000017</v>
      </c>
      <c r="AX129" s="452">
        <f>+AX34</f>
        <v>39.19999999999996</v>
      </c>
      <c r="AY129" s="572">
        <f>211.6-SUM(AV129:AX129)</f>
        <v>40.89999999999992</v>
      </c>
      <c r="AZ129" s="452">
        <f>+AZ34</f>
        <v>58.399999999999849</v>
      </c>
      <c r="BA129" s="452">
        <f>+BA34</f>
        <v>75.699999999999918</v>
      </c>
      <c r="BB129" s="452">
        <f>+BB34</f>
        <v>83.199999999999818</v>
      </c>
      <c r="BC129" s="572">
        <f>+BC34</f>
        <v>71.200000000000045</v>
      </c>
      <c r="BD129" s="452">
        <f>+BD34</f>
        <v>88.700000000000017</v>
      </c>
      <c r="BE129" s="564">
        <f>176.2-BD129</f>
        <v>87.499999999999972</v>
      </c>
      <c r="BF129" s="564">
        <f>45.8-SUM(BD129:BE129)</f>
        <v>-130.39999999999998</v>
      </c>
      <c r="BG129" s="514">
        <f>+BG34</f>
        <v>-81.400000000000034</v>
      </c>
      <c r="BH129" s="452">
        <f>+BH34</f>
        <v>-6.9999999999999734</v>
      </c>
      <c r="BI129" s="564">
        <f>-40.2-BH129</f>
        <v>-33.200000000000031</v>
      </c>
      <c r="BJ129" s="452">
        <f>BJ34</f>
        <v>17.19999999999995</v>
      </c>
      <c r="BK129" s="572">
        <f>36.4-SUM(BH129:BJ129)</f>
        <v>59.400000000000048</v>
      </c>
      <c r="BL129" s="452">
        <f>+BL34</f>
        <v>81.399999999999977</v>
      </c>
      <c r="BM129" s="564">
        <f>169.1-BL129</f>
        <v>87.700000000000017</v>
      </c>
      <c r="BN129" s="452">
        <f>+BN34</f>
        <v>111.7000000000002</v>
      </c>
      <c r="BO129" s="572">
        <f>396.2-SUM(BL129:BN129)</f>
        <v>115.39999999999981</v>
      </c>
      <c r="BP129" s="452">
        <f>+BP34</f>
        <v>129.70000000000016</v>
      </c>
      <c r="BQ129" s="452">
        <f>+BQ34</f>
        <v>120.20999999999992</v>
      </c>
      <c r="BR129" s="564">
        <f>443.4-BQ129-BP129</f>
        <v>193.4899999999999</v>
      </c>
      <c r="BS129" s="572">
        <f>570.6-BR129-BQ129-BP129</f>
        <v>127.20000000000005</v>
      </c>
      <c r="BT129" s="452">
        <f>+BT34</f>
        <v>162.99999999999997</v>
      </c>
      <c r="BU129" s="452">
        <f>+BU34</f>
        <v>121.39500000000005</v>
      </c>
      <c r="BV129" s="452">
        <f>+BV34</f>
        <v>101.10000000000004</v>
      </c>
      <c r="BW129" s="514">
        <f>+BW34</f>
        <v>137.69199999999984</v>
      </c>
      <c r="BX129" s="564">
        <v>142</v>
      </c>
      <c r="BY129" s="564">
        <f>328.7-BX129</f>
        <v>186.7</v>
      </c>
      <c r="BZ129" s="564">
        <f>501.6-BY129-BX129</f>
        <v>172.90000000000003</v>
      </c>
      <c r="CA129" s="572">
        <f>651-BZ129-BY129-BX129</f>
        <v>149.39999999999998</v>
      </c>
      <c r="CB129" s="564">
        <v>167.2</v>
      </c>
      <c r="CC129" s="564">
        <f>367.1-CB129</f>
        <v>199.90000000000003</v>
      </c>
      <c r="CD129" s="564">
        <f>540.1-CC129-CB129</f>
        <v>173</v>
      </c>
      <c r="CE129" s="572">
        <f>687.5-CD129-CC129-CB129</f>
        <v>147.39999999999998</v>
      </c>
      <c r="CF129" s="564">
        <v>187.7</v>
      </c>
      <c r="CG129" s="564">
        <f>345.1-CF129</f>
        <v>157.40000000000003</v>
      </c>
      <c r="CH129" s="564">
        <f>511-CG129-CF129</f>
        <v>165.89999999999998</v>
      </c>
      <c r="CI129" s="572">
        <f>646.4-SUM(CF129:CH129)</f>
        <v>135.39999999999998</v>
      </c>
      <c r="CJ129" s="564">
        <v>173.2</v>
      </c>
      <c r="CK129" s="564">
        <f>348.6-CJ129</f>
        <v>175.40000000000003</v>
      </c>
      <c r="CL129" s="564">
        <f>441.7-CK129-CJ129</f>
        <v>93.099999999999966</v>
      </c>
      <c r="CM129" s="572">
        <f>160.2-SUM(CJ129:CL129)</f>
        <v>-281.5</v>
      </c>
      <c r="CN129" s="564">
        <v>199.6</v>
      </c>
      <c r="CO129" s="564">
        <f>420.7-CN129</f>
        <v>221.1</v>
      </c>
      <c r="CP129" s="564">
        <f>615.3-CO129-CN129</f>
        <v>194.59999999999994</v>
      </c>
      <c r="CQ129" s="572">
        <f>483.3-CP129-CO129-CN129</f>
        <v>-131.99999999999994</v>
      </c>
      <c r="CR129" s="932">
        <f>+CR34</f>
        <v>225.36131810183346</v>
      </c>
      <c r="CS129" s="932">
        <f>+CS34</f>
        <v>235.54053940822479</v>
      </c>
      <c r="CT129" s="932">
        <f>+CT34</f>
        <v>217.62806140139068</v>
      </c>
      <c r="CU129" s="919">
        <f>+CU34</f>
        <v>242.45878152710981</v>
      </c>
      <c r="CV129" s="406"/>
      <c r="CW129" s="564">
        <v>64.400000000000006</v>
      </c>
      <c r="CX129" s="452">
        <f>CX34</f>
        <v>83.772881355932057</v>
      </c>
      <c r="CY129" s="452">
        <f>CY34</f>
        <v>81.800000000000182</v>
      </c>
      <c r="CZ129" s="452">
        <f>CZ34</f>
        <v>119.90000000000005</v>
      </c>
      <c r="DA129" s="452">
        <f>DA34</f>
        <v>111.49999999999991</v>
      </c>
      <c r="DB129" s="452">
        <f>W34</f>
        <v>36.399999999999892</v>
      </c>
      <c r="DC129" s="564">
        <v>94</v>
      </c>
      <c r="DD129" s="452">
        <f>+SUM(AB129:AE129)</f>
        <v>66.299999999999812</v>
      </c>
      <c r="DE129" s="452">
        <f>+SUM(AF129:AI129)</f>
        <v>-119.10000000000015</v>
      </c>
      <c r="DF129" s="452">
        <f>+SUM(AJ129:AM129)</f>
        <v>174.90000000000003</v>
      </c>
      <c r="DG129" s="452">
        <f>+SUM(AN129:AQ129)</f>
        <v>218.3</v>
      </c>
      <c r="DH129" s="452">
        <f t="shared" ref="DH129:DH135" si="479">SUM(AR129:AU129)</f>
        <v>239.60000000000002</v>
      </c>
      <c r="DI129" s="452">
        <f t="shared" ref="DI129:DI135" si="480">SUM(AV129:AY129)</f>
        <v>211.6</v>
      </c>
      <c r="DJ129" s="452">
        <f t="shared" ref="DJ129:DJ134" si="481">SUM(AZ129:BC129)</f>
        <v>288.49999999999966</v>
      </c>
      <c r="DK129" s="452">
        <f t="shared" ref="DK129:DK134" si="482">SUM(BD129:BG129)</f>
        <v>-35.600000000000023</v>
      </c>
      <c r="DL129" s="452">
        <f t="shared" ref="DL129:DL136" si="483">SUM(BH129:BK129)</f>
        <v>36.399999999999991</v>
      </c>
      <c r="DM129" s="452">
        <f t="shared" ref="DM129:DM139" si="484">SUM(BL129:BO129)</f>
        <v>396.2</v>
      </c>
      <c r="DN129" s="452">
        <f t="shared" ref="DN129:DN139" si="485">SUM(BP129:BS129)</f>
        <v>570.6</v>
      </c>
      <c r="DO129" s="452">
        <f t="shared" ref="DO129:DO139" si="486">SUM(BT129:BW129)</f>
        <v>523.1869999999999</v>
      </c>
      <c r="DP129" s="452">
        <f t="shared" ref="DP129:DP139" si="487">SUM(BX129:CA129)</f>
        <v>651</v>
      </c>
      <c r="DQ129" s="452">
        <f t="shared" ref="DQ129:DQ139" si="488">SUM(CB129:CE129)</f>
        <v>687.5</v>
      </c>
      <c r="DR129" s="452">
        <f t="shared" ref="DR129:DR139" si="489">SUM(CF129:CI129)</f>
        <v>646.4</v>
      </c>
      <c r="DS129" s="452">
        <f t="shared" ref="DS129:DS139" si="490">SUM(CJ129:CM129)</f>
        <v>160.19999999999999</v>
      </c>
      <c r="DT129" s="452">
        <f t="shared" ref="DT129:DT139" si="491">SUM(CN129:CQ129)</f>
        <v>483.3</v>
      </c>
      <c r="DU129" s="452">
        <f>SUM(CR129:CU129)</f>
        <v>920.98870043855868</v>
      </c>
      <c r="DV129" s="452">
        <f>+DV34</f>
        <v>948.60597924422336</v>
      </c>
      <c r="DW129" s="452">
        <f>+DW34</f>
        <v>967.87004316551736</v>
      </c>
      <c r="DX129" s="452">
        <f>+DX34</f>
        <v>980.31300516602369</v>
      </c>
      <c r="DY129" s="452">
        <f>+DY34</f>
        <v>978.26725134286562</v>
      </c>
      <c r="DZ129" s="452">
        <f>+DZ34</f>
        <v>959.92801074177441</v>
      </c>
      <c r="EA129" s="558"/>
      <c r="EB129"/>
      <c r="EC129"/>
      <c r="ED129"/>
      <c r="EE129"/>
      <c r="EF129"/>
      <c r="EG129"/>
    </row>
    <row r="130" spans="1:137" s="410" customFormat="1">
      <c r="A130" s="400"/>
      <c r="B130" s="401" t="s">
        <v>84</v>
      </c>
      <c r="C130" s="658"/>
      <c r="D130" s="636"/>
      <c r="E130" s="564"/>
      <c r="F130" s="564"/>
      <c r="G130" s="572"/>
      <c r="H130" s="564">
        <v>18.399999999999999</v>
      </c>
      <c r="I130" s="564">
        <v>17.5</v>
      </c>
      <c r="J130" s="564">
        <v>17.8</v>
      </c>
      <c r="K130" s="572">
        <v>17.600000000000001</v>
      </c>
      <c r="L130" s="564">
        <v>16.8</v>
      </c>
      <c r="M130" s="564">
        <v>17.7</v>
      </c>
      <c r="N130" s="564">
        <v>17</v>
      </c>
      <c r="O130" s="572">
        <v>18.899999999999999</v>
      </c>
      <c r="P130" s="564">
        <v>19.3</v>
      </c>
      <c r="Q130" s="564">
        <v>19.3</v>
      </c>
      <c r="R130" s="564">
        <v>18.899999999999999</v>
      </c>
      <c r="S130" s="514">
        <f>DA130-P130-Q130-R130</f>
        <v>17.300000000000004</v>
      </c>
      <c r="T130" s="564"/>
      <c r="U130" s="564">
        <v>20.5</v>
      </c>
      <c r="V130" s="564">
        <v>22.8</v>
      </c>
      <c r="W130" s="572">
        <v>22.6</v>
      </c>
      <c r="X130" s="564">
        <v>26.2</v>
      </c>
      <c r="Y130" s="564">
        <f>52.1-X130</f>
        <v>25.900000000000002</v>
      </c>
      <c r="Z130" s="564">
        <f>77.2-Y130-X130</f>
        <v>25.099999999999998</v>
      </c>
      <c r="AA130" s="514">
        <f>DC130-X130-Y130-Z130</f>
        <v>24.999999999999996</v>
      </c>
      <c r="AB130" s="564">
        <v>27</v>
      </c>
      <c r="AC130" s="564">
        <f>52.8-AB130</f>
        <v>25.799999999999997</v>
      </c>
      <c r="AD130" s="564">
        <f>78.4-AC130-AB130</f>
        <v>25.600000000000009</v>
      </c>
      <c r="AE130" s="514">
        <f>DD130-AD130-AC130-AB130</f>
        <v>25.799999999999997</v>
      </c>
      <c r="AF130" s="564">
        <v>27</v>
      </c>
      <c r="AG130" s="564">
        <f>54.2-AF130</f>
        <v>27.200000000000003</v>
      </c>
      <c r="AH130" s="564">
        <f>80.8-AG130-AF130</f>
        <v>26.599999999999994</v>
      </c>
      <c r="AI130" s="514">
        <f>DE130-AH130-AG130-AF130</f>
        <v>27.299999999999997</v>
      </c>
      <c r="AJ130" s="564">
        <v>29.7</v>
      </c>
      <c r="AK130" s="564">
        <f>60.2-AJ130</f>
        <v>30.500000000000004</v>
      </c>
      <c r="AL130" s="564">
        <f>90.5-AK130-AJ130</f>
        <v>30.3</v>
      </c>
      <c r="AM130" s="514">
        <f>+DF130-AL130-AK130-AJ130</f>
        <v>34</v>
      </c>
      <c r="AN130" s="564">
        <f>33.7</f>
        <v>33.700000000000003</v>
      </c>
      <c r="AO130" s="564">
        <f>67.3-AN130</f>
        <v>33.599999999999994</v>
      </c>
      <c r="AP130" s="564">
        <f>130.3-AO130-AN130-AO135-AN135-AP135</f>
        <v>43.100000000000023</v>
      </c>
      <c r="AQ130" s="572">
        <f>177-AP130-AO130-AN130-AN135-AO135-AP135-AQ135</f>
        <v>46.699999999999989</v>
      </c>
      <c r="AR130" s="564">
        <v>38</v>
      </c>
      <c r="AS130" s="564">
        <f>130.6-SUM(AR135:AS136)-AR130</f>
        <v>49.5</v>
      </c>
      <c r="AT130" s="564">
        <f>138.2-AS130-AR130</f>
        <v>50.699999999999989</v>
      </c>
      <c r="AU130" s="572">
        <f>185.6-AT130-AS130-AR130</f>
        <v>47.400000000000006</v>
      </c>
      <c r="AV130" s="564">
        <v>47.9</v>
      </c>
      <c r="AW130" s="564">
        <f>95.9-AV130</f>
        <v>48.000000000000007</v>
      </c>
      <c r="AX130" s="564">
        <f>173.6-AW130-AV130-SUM(AV135:AX135)</f>
        <v>46.71929999999999</v>
      </c>
      <c r="AY130" s="572">
        <f>239.1-SUM(AV130:AX130)-DI135</f>
        <v>56.044399999999982</v>
      </c>
      <c r="AZ130" s="564">
        <v>60.2</v>
      </c>
      <c r="BA130" s="564">
        <f>117.8-AZ130</f>
        <v>57.599999999999994</v>
      </c>
      <c r="BB130" s="564">
        <f>177.3-SUM(AZ130:BA130)</f>
        <v>59.500000000000014</v>
      </c>
      <c r="BC130" s="572">
        <f>243.1-SUM(AZ130:BB130)</f>
        <v>65.799999999999983</v>
      </c>
      <c r="BD130" s="564">
        <v>66.8</v>
      </c>
      <c r="BE130" s="564">
        <f>135.5-BD130</f>
        <v>68.7</v>
      </c>
      <c r="BF130" s="564">
        <f>202.3-SUM(BD130:BE130)</f>
        <v>66.800000000000011</v>
      </c>
      <c r="BG130" s="572">
        <f>259.7-SUM(BD130:BF130)</f>
        <v>57.399999999999977</v>
      </c>
      <c r="BH130" s="564">
        <v>57.3</v>
      </c>
      <c r="BI130" s="564">
        <f>114.1-BH130</f>
        <v>56.8</v>
      </c>
      <c r="BJ130" s="564">
        <f>172.9-SUM(BH130:BI130)</f>
        <v>58.800000000000011</v>
      </c>
      <c r="BK130" s="572">
        <f>234.6-SUM(BH130:BJ130)</f>
        <v>61.699999999999989</v>
      </c>
      <c r="BL130" s="564">
        <v>57.1</v>
      </c>
      <c r="BM130" s="564">
        <v>57.4</v>
      </c>
      <c r="BN130" s="564">
        <f>171-BM130-BL130</f>
        <v>56.499999999999993</v>
      </c>
      <c r="BO130" s="572">
        <f>224.5-BN130-BM130-BL130</f>
        <v>53.499999999999993</v>
      </c>
      <c r="BP130" s="564">
        <v>60.9</v>
      </c>
      <c r="BQ130" s="564">
        <f>125-BP130</f>
        <v>64.099999999999994</v>
      </c>
      <c r="BR130" s="564">
        <f>187-BQ130-BP130</f>
        <v>62.000000000000007</v>
      </c>
      <c r="BS130" s="572">
        <f>252.2-SUM(BP130:BR130)</f>
        <v>65.199999999999989</v>
      </c>
      <c r="BT130" s="564">
        <v>71.2</v>
      </c>
      <c r="BU130" s="564">
        <v>55.6</v>
      </c>
      <c r="BV130" s="564">
        <v>63</v>
      </c>
      <c r="BW130" s="572">
        <f>260.2-SUM(BT130:BV130)</f>
        <v>70.399999999999977</v>
      </c>
      <c r="BX130" s="564">
        <v>68.2</v>
      </c>
      <c r="BY130" s="564">
        <f>137.5-BX130</f>
        <v>69.3</v>
      </c>
      <c r="BZ130" s="564">
        <f>202.4-((BX130+BY130))</f>
        <v>64.900000000000006</v>
      </c>
      <c r="CA130" s="572">
        <f>272.7-(SUM(BX130:BZ130))</f>
        <v>70.299999999999983</v>
      </c>
      <c r="CB130" s="564">
        <v>74.099999999999994</v>
      </c>
      <c r="CC130" s="564">
        <f>151.4-(CB130)</f>
        <v>77.300000000000011</v>
      </c>
      <c r="CD130" s="564">
        <f>226.3-(SUM(CB130:CC130))</f>
        <v>74.900000000000006</v>
      </c>
      <c r="CE130" s="572">
        <f>303.2-(SUM(CB130:CD130))</f>
        <v>76.899999999999977</v>
      </c>
      <c r="CF130" s="564">
        <v>72.7</v>
      </c>
      <c r="CG130" s="564">
        <f>149.3-(CF130)</f>
        <v>76.600000000000009</v>
      </c>
      <c r="CH130" s="564">
        <f>223.3-(SUM(CF130:CG130))</f>
        <v>74</v>
      </c>
      <c r="CI130" s="572">
        <f>320.2-SUM(CF136:CI136)-SUM(CF130:CH130)</f>
        <v>69.699999999999989</v>
      </c>
      <c r="CJ130" s="564">
        <f>94.4-CJ136</f>
        <v>94.4</v>
      </c>
      <c r="CK130" s="564">
        <f>193.4-CJ130</f>
        <v>99</v>
      </c>
      <c r="CL130" s="564">
        <f>291.2-(SUM(CJ130:CK130))</f>
        <v>97.799999999999983</v>
      </c>
      <c r="CM130" s="572">
        <f>391.4-SUM(CJ136:CM136)-SUM(CJ130:CL130)</f>
        <v>96.199999999999989</v>
      </c>
      <c r="CN130" s="564">
        <v>97.3</v>
      </c>
      <c r="CO130" s="564">
        <f>197.1-CN130</f>
        <v>99.8</v>
      </c>
      <c r="CP130" s="564">
        <f>302-CO130-CN130</f>
        <v>104.89999999999999</v>
      </c>
      <c r="CQ130" s="572">
        <f>407.8-CP130-CO130-CN130</f>
        <v>105.80000000000003</v>
      </c>
      <c r="CR130" s="932">
        <f>-CR152*CR185</f>
        <v>117.34520141994922</v>
      </c>
      <c r="CS130" s="932">
        <f>-CS152*CS185</f>
        <v>120.03365619097397</v>
      </c>
      <c r="CT130" s="932">
        <f>-CT152*CT185</f>
        <v>115.4577674555639</v>
      </c>
      <c r="CU130" s="919">
        <f>-CU152*CU185</f>
        <v>145.6690797722749</v>
      </c>
      <c r="CV130" s="406"/>
      <c r="CW130" s="564"/>
      <c r="CX130" s="436"/>
      <c r="CY130" s="436">
        <f>SUM(H130:K130)</f>
        <v>71.300000000000011</v>
      </c>
      <c r="CZ130" s="436">
        <f>SUM(L130:O130)</f>
        <v>70.400000000000006</v>
      </c>
      <c r="DA130" s="637">
        <v>74.8</v>
      </c>
      <c r="DB130" s="436"/>
      <c r="DC130" s="637">
        <v>102.2</v>
      </c>
      <c r="DD130" s="637">
        <v>104.2</v>
      </c>
      <c r="DE130" s="637">
        <v>108.1</v>
      </c>
      <c r="DF130" s="637">
        <v>124.5</v>
      </c>
      <c r="DG130" s="436">
        <f>+SUM(AN130:AQ130)</f>
        <v>157.10000000000002</v>
      </c>
      <c r="DH130" s="436">
        <f>SUM(AR130:AU130)</f>
        <v>185.6</v>
      </c>
      <c r="DI130" s="436">
        <f t="shared" si="480"/>
        <v>198.66370000000001</v>
      </c>
      <c r="DJ130" s="436">
        <f>SUM(AZ130:BC130)</f>
        <v>243.1</v>
      </c>
      <c r="DK130" s="436">
        <f>SUM(BD130:BG130)</f>
        <v>259.7</v>
      </c>
      <c r="DL130" s="436">
        <f>SUM(BH130:BK130)</f>
        <v>234.6</v>
      </c>
      <c r="DM130" s="436">
        <f>SUM(BL130:BO130)</f>
        <v>224.5</v>
      </c>
      <c r="DN130" s="436">
        <f>SUM(BP130:BS130)</f>
        <v>252.2</v>
      </c>
      <c r="DO130" s="436">
        <f>SUM(BT130:BW130)</f>
        <v>260.2</v>
      </c>
      <c r="DP130" s="436">
        <f>SUM(BX130:CA130)</f>
        <v>272.7</v>
      </c>
      <c r="DQ130" s="436">
        <f>SUM(CB130:CE130)</f>
        <v>303.2</v>
      </c>
      <c r="DR130" s="436">
        <f>SUM(CF130:CI130)</f>
        <v>293</v>
      </c>
      <c r="DS130" s="436">
        <f>SUM(CJ130:CM130)</f>
        <v>387.4</v>
      </c>
      <c r="DT130" s="436">
        <f>SUM(CN130:CQ130)</f>
        <v>407.8</v>
      </c>
      <c r="DU130" s="436">
        <f t="shared" ref="DU130:DU139" si="492">SUM(CR130:CU130)</f>
        <v>498.50570483876197</v>
      </c>
      <c r="DV130" s="452">
        <f>-DV152*DV185</f>
        <v>548.29584601921613</v>
      </c>
      <c r="DW130" s="452">
        <f>-DW152*DW185</f>
        <v>574.30420083014565</v>
      </c>
      <c r="DX130" s="452">
        <f t="shared" ref="DX130:DZ130" si="493">-DX152*DX185</f>
        <v>598.01826058452286</v>
      </c>
      <c r="DY130" s="452">
        <f t="shared" si="493"/>
        <v>614.92765794990919</v>
      </c>
      <c r="DZ130" s="452">
        <f t="shared" si="493"/>
        <v>623.4222704943104</v>
      </c>
      <c r="EA130" s="512"/>
      <c r="EB130"/>
      <c r="EC130"/>
      <c r="ED130"/>
      <c r="EE130"/>
      <c r="EF130"/>
      <c r="EG130"/>
    </row>
    <row r="131" spans="1:137" s="410" customFormat="1">
      <c r="A131" s="400"/>
      <c r="B131" s="401" t="s">
        <v>319</v>
      </c>
      <c r="C131" s="658"/>
      <c r="D131" s="636"/>
      <c r="E131" s="564"/>
      <c r="F131" s="564"/>
      <c r="G131" s="572"/>
      <c r="H131" s="564"/>
      <c r="I131" s="564"/>
      <c r="J131" s="564"/>
      <c r="K131" s="572"/>
      <c r="L131" s="564"/>
      <c r="M131" s="564"/>
      <c r="N131" s="564"/>
      <c r="O131" s="572"/>
      <c r="P131" s="564"/>
      <c r="Q131" s="564"/>
      <c r="R131" s="564"/>
      <c r="S131" s="572"/>
      <c r="T131" s="564"/>
      <c r="U131" s="564"/>
      <c r="V131" s="564"/>
      <c r="W131" s="572"/>
      <c r="X131" s="564"/>
      <c r="Y131" s="564"/>
      <c r="Z131" s="564"/>
      <c r="AA131" s="572"/>
      <c r="AB131" s="564"/>
      <c r="AC131" s="564"/>
      <c r="AD131" s="564"/>
      <c r="AE131" s="572"/>
      <c r="AF131" s="564"/>
      <c r="AG131" s="564"/>
      <c r="AH131" s="564"/>
      <c r="AI131" s="514">
        <f>DE131-AH131-AG131-AF131</f>
        <v>0</v>
      </c>
      <c r="AJ131" s="564"/>
      <c r="AK131" s="564"/>
      <c r="AL131" s="564"/>
      <c r="AM131" s="572"/>
      <c r="AN131" s="564"/>
      <c r="AO131" s="564"/>
      <c r="AP131" s="564"/>
      <c r="AQ131" s="572"/>
      <c r="AR131" s="564"/>
      <c r="AS131" s="564"/>
      <c r="AT131" s="564"/>
      <c r="AU131" s="572">
        <f>-6.3-0.5</f>
        <v>-6.8</v>
      </c>
      <c r="AV131" s="564"/>
      <c r="AW131" s="564"/>
      <c r="AX131" s="564">
        <f>11.5-AW131-AV131</f>
        <v>11.5</v>
      </c>
      <c r="AY131" s="572">
        <f>79.4-SUM(AV131:AX131)</f>
        <v>67.900000000000006</v>
      </c>
      <c r="AZ131" s="564"/>
      <c r="BA131" s="564"/>
      <c r="BB131" s="564"/>
      <c r="BC131" s="572"/>
      <c r="BD131" s="564"/>
      <c r="BE131" s="564"/>
      <c r="BF131" s="564">
        <f>17.8-SUM(BD131:BE131)</f>
        <v>17.8</v>
      </c>
      <c r="BG131" s="572">
        <f>115.9-SUM(BD131:BF131)</f>
        <v>98.100000000000009</v>
      </c>
      <c r="BH131" s="564"/>
      <c r="BI131" s="564">
        <f>44+12.5+4.2-BH131</f>
        <v>60.7</v>
      </c>
      <c r="BJ131" s="564">
        <f>39.4-SUM(BH131:BI131)</f>
        <v>-21.300000000000004</v>
      </c>
      <c r="BK131" s="572">
        <f>12.7-SUM(BH131:BJ131)+38.4</f>
        <v>11.7</v>
      </c>
      <c r="BL131" s="564">
        <f>4.4</f>
        <v>4.4000000000000004</v>
      </c>
      <c r="BM131" s="564">
        <f>22.5-BM138-BM133</f>
        <v>24.4</v>
      </c>
      <c r="BN131" s="564">
        <f>13.6+28-8-SUM(BL131:BM131)</f>
        <v>4.8000000000000043</v>
      </c>
      <c r="BO131" s="572">
        <f>18.3+14-SUM(BL131:BN131)</f>
        <v>-1.3000000000000043</v>
      </c>
      <c r="BP131" s="564">
        <v>4.8</v>
      </c>
      <c r="BQ131" s="564">
        <f>296.7-SUM(BP129:BQ129)-4.8</f>
        <v>41.98999999999991</v>
      </c>
      <c r="BR131" s="564">
        <f>0-BQ131-BP131</f>
        <v>-46.789999999999907</v>
      </c>
      <c r="BS131" s="572">
        <f>21.5-SUM(BP131:BR131)</f>
        <v>21.5</v>
      </c>
      <c r="BT131" s="564"/>
      <c r="BU131" s="564">
        <v>5.5</v>
      </c>
      <c r="BV131" s="564">
        <v>30.33</v>
      </c>
      <c r="BW131" s="572">
        <f>522.4+23.3-SUM(BT131:BV131)-SUM(BT129:BW129)</f>
        <v>-13.31699999999995</v>
      </c>
      <c r="BX131" s="564"/>
      <c r="BY131" s="564"/>
      <c r="BZ131" s="564"/>
      <c r="CA131" s="572">
        <f>48.5-(SUM(BX131:BZ131))</f>
        <v>48.5</v>
      </c>
      <c r="CB131" s="564">
        <v>34.299999999999997</v>
      </c>
      <c r="CC131" s="564">
        <f>38.9-(CB131)</f>
        <v>4.6000000000000014</v>
      </c>
      <c r="CD131" s="564">
        <f>44.2-(SUM(CB131:CC131))</f>
        <v>5.3000000000000043</v>
      </c>
      <c r="CE131" s="572">
        <f>45.8-(SUM(CB131:CD131))</f>
        <v>1.5999999999999943</v>
      </c>
      <c r="CF131" s="564">
        <v>8.1</v>
      </c>
      <c r="CG131" s="564">
        <f>19.1-(CF131)</f>
        <v>11.000000000000002</v>
      </c>
      <c r="CH131" s="564">
        <f>19.9-(SUM(CF131:CG131))</f>
        <v>0.79999999999999716</v>
      </c>
      <c r="CI131" s="572">
        <f>36.3-(SUM(CF131:CH131))</f>
        <v>16.399999999999999</v>
      </c>
      <c r="CJ131" s="564">
        <v>0.1</v>
      </c>
      <c r="CK131" s="564">
        <f>9.8-(CJ131)</f>
        <v>9.7000000000000011</v>
      </c>
      <c r="CL131" s="564">
        <f>(106.5+12)-(SUM(CJ131:CK131))</f>
        <v>108.7</v>
      </c>
      <c r="CM131" s="442">
        <f>12-SUM(CJ131:CL131)</f>
        <v>-106.5</v>
      </c>
      <c r="CN131" s="637"/>
      <c r="CO131" s="637"/>
      <c r="CP131" s="637">
        <f>3.5-CO131-CN131</f>
        <v>3.5</v>
      </c>
      <c r="CQ131" s="442">
        <f>27-CP131-CO131-CN131</f>
        <v>23.5</v>
      </c>
      <c r="CR131" s="939"/>
      <c r="CS131" s="939"/>
      <c r="CT131" s="939"/>
      <c r="CU131" s="928"/>
      <c r="CV131" s="406"/>
      <c r="CW131" s="564"/>
      <c r="CX131" s="436"/>
      <c r="CY131" s="436"/>
      <c r="CZ131" s="436"/>
      <c r="DA131" s="436"/>
      <c r="DB131" s="436"/>
      <c r="DC131" s="436"/>
      <c r="DD131" s="436"/>
      <c r="DE131" s="436"/>
      <c r="DF131" s="436">
        <f>+SUM(AJ131:AM131)</f>
        <v>0</v>
      </c>
      <c r="DG131" s="452">
        <f>+SUM(AN131:AQ131)</f>
        <v>0</v>
      </c>
      <c r="DH131" s="436">
        <f>SUM(AR131:AU131)</f>
        <v>-6.8</v>
      </c>
      <c r="DI131" s="436">
        <f t="shared" si="480"/>
        <v>79.400000000000006</v>
      </c>
      <c r="DJ131" s="436">
        <f>SUM(AZ131:BC131)</f>
        <v>0</v>
      </c>
      <c r="DK131" s="436">
        <f>SUM(BD131:BG131)</f>
        <v>115.9</v>
      </c>
      <c r="DL131" s="436">
        <f>SUM(BH131:BK131)</f>
        <v>51.099999999999994</v>
      </c>
      <c r="DM131" s="436">
        <f>SUM(BL131:BO131)</f>
        <v>32.299999999999997</v>
      </c>
      <c r="DN131" s="436">
        <f>SUM(BP131:BS131)</f>
        <v>21.5</v>
      </c>
      <c r="DO131" s="436">
        <f>SUM(BT131:BW131)</f>
        <v>22.513000000000048</v>
      </c>
      <c r="DP131" s="436">
        <f>SUM(BX131:CA131)</f>
        <v>48.5</v>
      </c>
      <c r="DQ131" s="436">
        <f>SUM(CB131:CE131)</f>
        <v>45.8</v>
      </c>
      <c r="DR131" s="436">
        <f>SUM(CF131:CI131)</f>
        <v>36.299999999999997</v>
      </c>
      <c r="DS131" s="436">
        <f>SUM(CJ131:CM131)</f>
        <v>12</v>
      </c>
      <c r="DT131" s="436">
        <f>SUM(CN131:CQ131)</f>
        <v>27</v>
      </c>
      <c r="DU131" s="436">
        <f t="shared" si="492"/>
        <v>0</v>
      </c>
      <c r="DV131" s="437"/>
      <c r="DW131" s="437"/>
      <c r="DX131" s="437"/>
      <c r="DY131" s="437"/>
      <c r="DZ131" s="437"/>
      <c r="EA131" s="512"/>
      <c r="EB131"/>
      <c r="EC131"/>
      <c r="ED131"/>
      <c r="EE131"/>
      <c r="EF131"/>
      <c r="EG131"/>
    </row>
    <row r="132" spans="1:137" s="410" customFormat="1">
      <c r="A132" s="400"/>
      <c r="B132" s="401" t="s">
        <v>320</v>
      </c>
      <c r="C132" s="658"/>
      <c r="D132" s="636"/>
      <c r="E132" s="564"/>
      <c r="F132" s="564"/>
      <c r="G132" s="572"/>
      <c r="H132" s="564"/>
      <c r="I132" s="564"/>
      <c r="J132" s="564"/>
      <c r="K132" s="572"/>
      <c r="L132" s="564"/>
      <c r="M132" s="564"/>
      <c r="N132" s="564"/>
      <c r="O132" s="572"/>
      <c r="P132" s="564"/>
      <c r="Q132" s="564"/>
      <c r="R132" s="564"/>
      <c r="S132" s="572"/>
      <c r="T132" s="564"/>
      <c r="U132" s="564"/>
      <c r="V132" s="564"/>
      <c r="W132" s="572"/>
      <c r="X132" s="564"/>
      <c r="Y132" s="564"/>
      <c r="Z132" s="564"/>
      <c r="AA132" s="514">
        <f>DC132-X132-Y132-Z132</f>
        <v>-8.5</v>
      </c>
      <c r="AB132" s="564"/>
      <c r="AC132" s="564"/>
      <c r="AD132" s="564"/>
      <c r="AE132" s="514">
        <f>DD132-AD132-AC132-AB132</f>
        <v>3.1</v>
      </c>
      <c r="AF132" s="564"/>
      <c r="AG132" s="564"/>
      <c r="AH132" s="564"/>
      <c r="AI132" s="514">
        <f>DE132-AH132-AG132-AF132</f>
        <v>30.4</v>
      </c>
      <c r="AJ132" s="564"/>
      <c r="AK132" s="564"/>
      <c r="AL132" s="564"/>
      <c r="AM132" s="514">
        <f>+DF132-AL132-AK132-AJ132</f>
        <v>40</v>
      </c>
      <c r="AN132" s="564"/>
      <c r="AO132" s="564"/>
      <c r="AP132" s="564"/>
      <c r="AQ132" s="572"/>
      <c r="AR132" s="564">
        <v>-23</v>
      </c>
      <c r="AS132" s="564">
        <f>-23-AR132</f>
        <v>0</v>
      </c>
      <c r="AT132" s="564">
        <f>-25.7-AS132-AR132</f>
        <v>-2.6999999999999993</v>
      </c>
      <c r="AU132" s="572">
        <f>-32.4-AT132-AS132-AR132</f>
        <v>-6.6999999999999993</v>
      </c>
      <c r="AV132" s="564">
        <v>-2.6</v>
      </c>
      <c r="AW132" s="564">
        <f>-7.4-AV132</f>
        <v>-4.8000000000000007</v>
      </c>
      <c r="AX132" s="564">
        <f>-1.6-AW132-AV132</f>
        <v>5.8000000000000007</v>
      </c>
      <c r="AY132" s="572">
        <f>-46.4-SUM(AV132:AX132)</f>
        <v>-44.8</v>
      </c>
      <c r="AZ132" s="564">
        <v>-7</v>
      </c>
      <c r="BA132" s="564">
        <f>-5.9-AZ132</f>
        <v>1.0999999999999996</v>
      </c>
      <c r="BB132" s="564">
        <f>-27-SUM(AZ132:BA132)</f>
        <v>-21.1</v>
      </c>
      <c r="BC132" s="572">
        <f>-29.9-SUM(AZ132:BB132)</f>
        <v>-2.8999999999999986</v>
      </c>
      <c r="BD132" s="564">
        <v>4</v>
      </c>
      <c r="BE132" s="564">
        <f>-14.9-BD132</f>
        <v>-18.899999999999999</v>
      </c>
      <c r="BF132" s="564">
        <f>-25.2-SUM(BD132:BE132)</f>
        <v>-10.3</v>
      </c>
      <c r="BG132" s="572">
        <f>-78.3-SUM(BD132:BF132)</f>
        <v>-53.099999999999994</v>
      </c>
      <c r="BH132" s="564">
        <v>-12.1</v>
      </c>
      <c r="BI132" s="564">
        <f>-39.3-BH132</f>
        <v>-27.199999999999996</v>
      </c>
      <c r="BJ132" s="564">
        <f>-46.1-SUM(BH132:BI132)</f>
        <v>-6.8000000000000043</v>
      </c>
      <c r="BK132" s="572">
        <f>-57.7-SUM(BH132:BJ132)</f>
        <v>-11.600000000000001</v>
      </c>
      <c r="BL132" s="564">
        <v>-3.8</v>
      </c>
      <c r="BM132" s="564">
        <f>-15.7-BL132</f>
        <v>-11.899999999999999</v>
      </c>
      <c r="BN132" s="564">
        <f>-39.9-SUM(BL132:BM132)</f>
        <v>-24.2</v>
      </c>
      <c r="BO132" s="572">
        <f>-52.2-SUM(BL132:BN132)</f>
        <v>-12.300000000000004</v>
      </c>
      <c r="BP132" s="564">
        <v>-18.2</v>
      </c>
      <c r="BQ132" s="564">
        <f>-14.6-BP132</f>
        <v>3.5999999999999996</v>
      </c>
      <c r="BR132" s="564">
        <f>-24.1-BQ132-BP132</f>
        <v>-9.5000000000000036</v>
      </c>
      <c r="BS132" s="572">
        <f>-1.1-SUM(BP132:BR132)</f>
        <v>23</v>
      </c>
      <c r="BT132" s="564">
        <v>-22.1</v>
      </c>
      <c r="BU132" s="564">
        <v>16.5</v>
      </c>
      <c r="BV132" s="564">
        <v>5.2</v>
      </c>
      <c r="BW132" s="572">
        <f>-10.7-SUM(BT132:BV132)</f>
        <v>-10.299999999999997</v>
      </c>
      <c r="BX132" s="564">
        <v>-17</v>
      </c>
      <c r="BY132" s="564">
        <f>-10.3-(BX132)</f>
        <v>6.6999999999999993</v>
      </c>
      <c r="BZ132" s="564">
        <f>-9-SUM(BX132:BY132)</f>
        <v>1.3000000000000007</v>
      </c>
      <c r="CA132" s="572">
        <f>-22.9-(SUM(BX132:BZ132))</f>
        <v>-13.899999999999999</v>
      </c>
      <c r="CB132" s="564">
        <v>15.6</v>
      </c>
      <c r="CC132" s="564">
        <f>37.6-(CB132)</f>
        <v>22</v>
      </c>
      <c r="CD132" s="564">
        <f>44.8-(SUM(CB132:CC132))</f>
        <v>7.1999999999999957</v>
      </c>
      <c r="CE132" s="572">
        <f>42.3-(SUM(CB132:CD132))</f>
        <v>-2.5</v>
      </c>
      <c r="CF132" s="564">
        <v>10.4</v>
      </c>
      <c r="CG132" s="564">
        <f>22.3-(CF132)</f>
        <v>11.9</v>
      </c>
      <c r="CH132" s="564">
        <f>26.8-(SUM(CF132:CG132))</f>
        <v>4.5</v>
      </c>
      <c r="CI132" s="572">
        <f>13.3-(SUM(CF132:CH132))</f>
        <v>-13.5</v>
      </c>
      <c r="CJ132" s="564"/>
      <c r="CK132" s="564">
        <f>23.5-(CJ132)</f>
        <v>23.5</v>
      </c>
      <c r="CL132" s="564">
        <f>0.7-(SUM(CJ132:CK132))</f>
        <v>-22.8</v>
      </c>
      <c r="CM132" s="442">
        <f>-268.9-SUM(CJ132:CL132)</f>
        <v>-269.59999999999997</v>
      </c>
      <c r="CN132" s="637">
        <v>20.6</v>
      </c>
      <c r="CO132" s="637">
        <f>38.8-CN132</f>
        <v>18.199999999999996</v>
      </c>
      <c r="CP132" s="637">
        <f>39.5-CO132-CN132</f>
        <v>0.70000000000000284</v>
      </c>
      <c r="CQ132" s="442">
        <f>41.8+273.5-CP132-CO132-CN132</f>
        <v>275.8</v>
      </c>
      <c r="CR132" s="939">
        <f>-CR25*0.235-CR27</f>
        <v>14.972582381364603</v>
      </c>
      <c r="CS132" s="939">
        <f>-CS25*0.235-CS27</f>
        <v>15.608783713014063</v>
      </c>
      <c r="CT132" s="939">
        <f>-CT25*0.235-CT27</f>
        <v>14.489253837586929</v>
      </c>
      <c r="CU132" s="928">
        <f>-CU25*0.235-CU27</f>
        <v>16.041173845444376</v>
      </c>
      <c r="CV132" s="406"/>
      <c r="CW132" s="564"/>
      <c r="CX132" s="436"/>
      <c r="CY132" s="436"/>
      <c r="CZ132" s="436"/>
      <c r="DA132" s="436"/>
      <c r="DB132" s="436"/>
      <c r="DC132" s="637">
        <v>-8.5</v>
      </c>
      <c r="DD132" s="637">
        <v>3.1</v>
      </c>
      <c r="DE132" s="637">
        <v>30.4</v>
      </c>
      <c r="DF132" s="637">
        <v>40</v>
      </c>
      <c r="DG132" s="436">
        <f>SUM(AN132:AQ132)</f>
        <v>0</v>
      </c>
      <c r="DH132" s="436">
        <f>SUM(AR132:AU132)</f>
        <v>-32.4</v>
      </c>
      <c r="DI132" s="436">
        <f t="shared" si="480"/>
        <v>-46.4</v>
      </c>
      <c r="DJ132" s="436">
        <f>SUM(AZ132:BC132)</f>
        <v>-29.9</v>
      </c>
      <c r="DK132" s="436">
        <f>SUM(BD132:BG132)</f>
        <v>-78.3</v>
      </c>
      <c r="DL132" s="436">
        <f>SUM(BH132:BK132)</f>
        <v>-57.7</v>
      </c>
      <c r="DM132" s="436">
        <f>SUM(BL132:BO132)</f>
        <v>-52.2</v>
      </c>
      <c r="DN132" s="436">
        <f>SUM(BP132:BS132)</f>
        <v>-1.1000000000000014</v>
      </c>
      <c r="DO132" s="436">
        <f>SUM(BT132:BW132)</f>
        <v>-10.7</v>
      </c>
      <c r="DP132" s="436">
        <f>SUM(BX132:CA132)</f>
        <v>-22.9</v>
      </c>
      <c r="DQ132" s="436">
        <f>SUM(CB132:CE132)</f>
        <v>42.3</v>
      </c>
      <c r="DR132" s="436">
        <f>SUM(CF132:CI132)</f>
        <v>13.3</v>
      </c>
      <c r="DS132" s="436">
        <f>SUM(CJ132:CM132)</f>
        <v>-268.89999999999998</v>
      </c>
      <c r="DT132" s="436">
        <f>SUM(CN132:CQ132)</f>
        <v>315.3</v>
      </c>
      <c r="DU132" s="436">
        <f t="shared" si="492"/>
        <v>61.111793777409972</v>
      </c>
      <c r="DV132" s="939">
        <f>-DV25*0.235-DV27</f>
        <v>63.015373702763497</v>
      </c>
      <c r="DW132" s="939">
        <f>-DW25*0.235-DW27</f>
        <v>64.405752697844378</v>
      </c>
      <c r="DX132" s="939">
        <f>-DX25*0.235-DX27</f>
        <v>65.37913157287602</v>
      </c>
      <c r="DY132" s="939">
        <f>-DY25*0.235-DY27</f>
        <v>65.456750396428674</v>
      </c>
      <c r="DZ132" s="939">
        <f>-DZ25*0.235-DZ27</f>
        <v>64.526300218235463</v>
      </c>
      <c r="EA132" s="512"/>
      <c r="EB132"/>
      <c r="EC132"/>
      <c r="ED132"/>
      <c r="EE132"/>
      <c r="EF132"/>
      <c r="EG132"/>
    </row>
    <row r="133" spans="1:137" s="410" customFormat="1">
      <c r="A133" s="400"/>
      <c r="B133" s="401" t="s">
        <v>258</v>
      </c>
      <c r="C133" s="658"/>
      <c r="D133" s="636"/>
      <c r="E133" s="564"/>
      <c r="F133" s="564"/>
      <c r="G133" s="572"/>
      <c r="H133" s="564"/>
      <c r="I133" s="564"/>
      <c r="J133" s="564"/>
      <c r="K133" s="572"/>
      <c r="L133" s="564"/>
      <c r="M133" s="564"/>
      <c r="N133" s="564"/>
      <c r="O133" s="572"/>
      <c r="P133" s="564"/>
      <c r="Q133" s="564"/>
      <c r="R133" s="564"/>
      <c r="S133" s="572"/>
      <c r="T133" s="564"/>
      <c r="U133" s="564"/>
      <c r="V133" s="564"/>
      <c r="W133" s="572"/>
      <c r="X133" s="564">
        <v>-2.7</v>
      </c>
      <c r="Y133" s="564">
        <f>-7.4-X133</f>
        <v>-4.7</v>
      </c>
      <c r="Z133" s="564">
        <f>-11.3-Y133-X133</f>
        <v>-3.9000000000000004</v>
      </c>
      <c r="AA133" s="514">
        <f>DC133-X133-Y133-Z133</f>
        <v>-10.000000000000002</v>
      </c>
      <c r="AB133" s="564">
        <v>-4</v>
      </c>
      <c r="AC133" s="564">
        <f>-6-AB133</f>
        <v>-2</v>
      </c>
      <c r="AD133" s="564">
        <f>-10.2-AC133-AB133</f>
        <v>-4.1999999999999993</v>
      </c>
      <c r="AE133" s="514">
        <f>DD133-AD133-AC133-AB133</f>
        <v>-15.7</v>
      </c>
      <c r="AF133" s="564"/>
      <c r="AG133" s="564">
        <v>-8.3000000000000007</v>
      </c>
      <c r="AH133" s="564">
        <f>-13.8-AG133-AF133</f>
        <v>-5.5</v>
      </c>
      <c r="AI133" s="514">
        <f>DE133-AH133-AG133-AF133</f>
        <v>9.7000000000000011</v>
      </c>
      <c r="AJ133" s="564">
        <v>-1.1000000000000001</v>
      </c>
      <c r="AK133" s="564">
        <f>-0.3-AJ133</f>
        <v>0.8</v>
      </c>
      <c r="AL133" s="564">
        <f>-2-AJ133-AK133</f>
        <v>-1.7</v>
      </c>
      <c r="AM133" s="514">
        <f>+DF133-AL133-AK133-AJ133</f>
        <v>-1.6999999999999997</v>
      </c>
      <c r="AN133" s="564">
        <v>-6.5</v>
      </c>
      <c r="AO133" s="564">
        <f>8-AN133</f>
        <v>14.5</v>
      </c>
      <c r="AP133" s="564">
        <f>4-AO133-AN133</f>
        <v>-4</v>
      </c>
      <c r="AQ133" s="572">
        <f>13.8+5.8-AP133-AO133-AN133</f>
        <v>15.600000000000001</v>
      </c>
      <c r="AR133" s="564">
        <v>-0.4</v>
      </c>
      <c r="AS133" s="564">
        <f>4.8-AR133</f>
        <v>5.2</v>
      </c>
      <c r="AT133" s="564">
        <f>-3.5-AS133-AR133</f>
        <v>-8.2999999999999989</v>
      </c>
      <c r="AU133" s="572">
        <f>8.1-AT133-AS133-AR133</f>
        <v>11.6</v>
      </c>
      <c r="AV133" s="564">
        <v>2.5</v>
      </c>
      <c r="AW133" s="564">
        <f>20.4-AV133</f>
        <v>17.899999999999999</v>
      </c>
      <c r="AX133" s="564">
        <f>14.6-AW133-AV133</f>
        <v>-5.7999999999999989</v>
      </c>
      <c r="AY133" s="572">
        <f>38.8-SUM(AV133:AX133)</f>
        <v>24.199999999999996</v>
      </c>
      <c r="AZ133" s="564">
        <v>6.8</v>
      </c>
      <c r="BA133" s="564">
        <f>11.8-AZ133</f>
        <v>5.0000000000000009</v>
      </c>
      <c r="BB133" s="564">
        <f>20.8-SUM(AZ133:BA133)-SUM(AZ138:BB138)</f>
        <v>-9.9999999999999645E-2</v>
      </c>
      <c r="BC133" s="572">
        <f>16-SUM(AZ133:BB133)</f>
        <v>4.2999999999999989</v>
      </c>
      <c r="BD133" s="564">
        <v>4.4000000000000004</v>
      </c>
      <c r="BE133" s="564">
        <f>28.1-BD133</f>
        <v>23.700000000000003</v>
      </c>
      <c r="BF133" s="564">
        <f>16.9-SUM(BD133:BE133)</f>
        <v>-11.200000000000003</v>
      </c>
      <c r="BG133" s="572">
        <f>28.3-SUM(BD133:BF133)</f>
        <v>11.400000000000002</v>
      </c>
      <c r="BH133" s="564">
        <v>45.1</v>
      </c>
      <c r="BI133" s="564">
        <f>36-BH133</f>
        <v>-9.1000000000000014</v>
      </c>
      <c r="BJ133" s="564">
        <f>18.1+8.3+17.9-SUM(BH133:BI133)</f>
        <v>8.2999999999999972</v>
      </c>
      <c r="BK133" s="572">
        <f>21.3-SUM(BH133:BJ133)</f>
        <v>-22.999999999999996</v>
      </c>
      <c r="BL133" s="564">
        <v>-11</v>
      </c>
      <c r="BM133" s="564">
        <f>-8-BL133</f>
        <v>3</v>
      </c>
      <c r="BN133" s="564">
        <f>BM76-BN76</f>
        <v>0</v>
      </c>
      <c r="BO133" s="572">
        <f>-8-SUM(BL133:BN133)</f>
        <v>0</v>
      </c>
      <c r="BP133" s="564">
        <v>-12.3</v>
      </c>
      <c r="BQ133" s="564">
        <f>-20.3-BP133</f>
        <v>-8</v>
      </c>
      <c r="BR133" s="564">
        <f>-21.8-BQ133-BP133</f>
        <v>-1.5</v>
      </c>
      <c r="BS133" s="572">
        <f>-7.8-SUM(BP133:BR133)</f>
        <v>14</v>
      </c>
      <c r="BT133" s="564"/>
      <c r="BU133" s="564">
        <v>-7.9</v>
      </c>
      <c r="BV133" s="564">
        <v>-8</v>
      </c>
      <c r="BW133" s="572">
        <f>-13-SUM(BT133:BV133)</f>
        <v>2.9000000000000004</v>
      </c>
      <c r="BX133" s="564">
        <v>-15.6</v>
      </c>
      <c r="BY133" s="564">
        <f>-26-BX133</f>
        <v>-10.4</v>
      </c>
      <c r="BZ133" s="564">
        <f>-28.2-SUM(BX133:BY133)</f>
        <v>-2.1999999999999993</v>
      </c>
      <c r="CA133" s="572">
        <f>-21.3-(SUM(BX133:BZ133))</f>
        <v>6.8999999999999986</v>
      </c>
      <c r="CB133" s="564">
        <v>-9</v>
      </c>
      <c r="CC133" s="564">
        <f>-20.8-(CB133)</f>
        <v>-11.8</v>
      </c>
      <c r="CD133" s="564">
        <f>-10.3-(SUM(CB133:CC133))</f>
        <v>10.5</v>
      </c>
      <c r="CE133" s="572">
        <f>-2.1-(SUM(CB133:CD133))</f>
        <v>8.2000000000000011</v>
      </c>
      <c r="CF133" s="564">
        <v>-9.8000000000000007</v>
      </c>
      <c r="CG133" s="564">
        <f>-18.7-(CF133)</f>
        <v>-8.8999999999999986</v>
      </c>
      <c r="CH133" s="564">
        <f>-8.8-10.8-(SUM(CF133:CG133))</f>
        <v>-0.90000000000000213</v>
      </c>
      <c r="CI133" s="572">
        <f>-21.9-SUM(CF133:CH133)</f>
        <v>-2.2999999999999972</v>
      </c>
      <c r="CJ133" s="564"/>
      <c r="CK133" s="564">
        <f>-24.3-(CJ133)</f>
        <v>-24.3</v>
      </c>
      <c r="CL133" s="564">
        <f>-22.3-(SUM(CJ133:CK133))</f>
        <v>2</v>
      </c>
      <c r="CM133" s="442">
        <f>-17-SUM(CJ133:CL133)</f>
        <v>5.3000000000000007</v>
      </c>
      <c r="CN133" s="637">
        <v>-9.5</v>
      </c>
      <c r="CO133" s="637">
        <f>-10.4-CN133</f>
        <v>-0.90000000000000036</v>
      </c>
      <c r="CP133" s="637">
        <f>-23.7-CO133-CN133</f>
        <v>-13.299999999999997</v>
      </c>
      <c r="CQ133" s="442">
        <f>0-CP133-CO133-CN133</f>
        <v>23.699999999999996</v>
      </c>
      <c r="CR133" s="939"/>
      <c r="CS133" s="939"/>
      <c r="CT133" s="939"/>
      <c r="CU133" s="928"/>
      <c r="CV133" s="406"/>
      <c r="CW133" s="564"/>
      <c r="CX133" s="436"/>
      <c r="CY133" s="436"/>
      <c r="CZ133" s="436"/>
      <c r="DA133" s="436"/>
      <c r="DB133" s="436"/>
      <c r="DC133" s="637">
        <v>-21.3</v>
      </c>
      <c r="DD133" s="637">
        <v>-25.9</v>
      </c>
      <c r="DE133" s="637">
        <v>-4.0999999999999996</v>
      </c>
      <c r="DF133" s="637">
        <v>-3.7</v>
      </c>
      <c r="DG133" s="436">
        <f>+SUM(AN133:AQ133)</f>
        <v>19.600000000000001</v>
      </c>
      <c r="DH133" s="436">
        <f>SUM(AR133:AU133)</f>
        <v>8.1000000000000014</v>
      </c>
      <c r="DI133" s="436">
        <f t="shared" si="480"/>
        <v>38.799999999999997</v>
      </c>
      <c r="DJ133" s="436">
        <f>SUM(AZ133:BC133)</f>
        <v>16</v>
      </c>
      <c r="DK133" s="436">
        <f>SUM(BD133:BG133)</f>
        <v>28.3</v>
      </c>
      <c r="DL133" s="436">
        <f>SUM(BH133:BK133)</f>
        <v>21.3</v>
      </c>
      <c r="DM133" s="436">
        <f>SUM(BL133:BO133)</f>
        <v>-8</v>
      </c>
      <c r="DN133" s="436">
        <f>SUM(BP133:BS133)</f>
        <v>-7.8000000000000007</v>
      </c>
      <c r="DO133" s="436">
        <f>SUM(BT133:BW133)</f>
        <v>-13</v>
      </c>
      <c r="DP133" s="436">
        <f>SUM(BX133:CA133)</f>
        <v>-21.3</v>
      </c>
      <c r="DQ133" s="436">
        <f>SUM(CB133:CE133)</f>
        <v>-2.0999999999999996</v>
      </c>
      <c r="DR133" s="436">
        <f>SUM(CF133:CI133)</f>
        <v>-21.9</v>
      </c>
      <c r="DS133" s="436">
        <f>SUM(CJ133:CM133)</f>
        <v>-17</v>
      </c>
      <c r="DT133" s="436">
        <f>SUM(CN133:CQ133)</f>
        <v>0</v>
      </c>
      <c r="DU133" s="436">
        <f t="shared" si="492"/>
        <v>0</v>
      </c>
      <c r="DV133" s="559"/>
      <c r="DW133" s="559"/>
      <c r="DX133" s="559"/>
      <c r="DY133" s="559"/>
      <c r="DZ133" s="559"/>
      <c r="EA133" s="512"/>
      <c r="EB133"/>
      <c r="EC133"/>
      <c r="ED133"/>
      <c r="EE133"/>
      <c r="EF133"/>
      <c r="EG133"/>
    </row>
    <row r="134" spans="1:137" s="410" customFormat="1" hidden="1" outlineLevel="1">
      <c r="A134" s="400"/>
      <c r="B134" s="401" t="s">
        <v>108</v>
      </c>
      <c r="C134" s="658"/>
      <c r="D134" s="636"/>
      <c r="E134" s="564"/>
      <c r="F134" s="564"/>
      <c r="G134" s="572"/>
      <c r="H134" s="564">
        <v>2.6</v>
      </c>
      <c r="I134" s="564">
        <v>2.8</v>
      </c>
      <c r="J134" s="564">
        <v>4</v>
      </c>
      <c r="K134" s="572">
        <v>4.0999999999999996</v>
      </c>
      <c r="L134" s="564">
        <v>4.0999999999999996</v>
      </c>
      <c r="M134" s="564">
        <v>4.0999999999999996</v>
      </c>
      <c r="N134" s="564">
        <v>4.2</v>
      </c>
      <c r="O134" s="572">
        <v>4.3</v>
      </c>
      <c r="P134" s="564">
        <v>4.2</v>
      </c>
      <c r="Q134" s="564">
        <v>4.2</v>
      </c>
      <c r="R134" s="564">
        <v>4.3</v>
      </c>
      <c r="S134" s="514">
        <f>DA134-P134-Q134-R134</f>
        <v>4.1000000000000023</v>
      </c>
      <c r="T134" s="564"/>
      <c r="U134" s="564">
        <v>5.7</v>
      </c>
      <c r="V134" s="564">
        <v>7.7</v>
      </c>
      <c r="W134" s="572">
        <v>7.7</v>
      </c>
      <c r="X134" s="564">
        <v>11</v>
      </c>
      <c r="Y134" s="564">
        <f>21.7-X134</f>
        <v>10.7</v>
      </c>
      <c r="Z134" s="564">
        <f>32.5-Y134-X134</f>
        <v>10.8</v>
      </c>
      <c r="AA134" s="514">
        <f>DC134-X134-Y134-Z134</f>
        <v>10.799999999999997</v>
      </c>
      <c r="AB134" s="564">
        <v>10.6</v>
      </c>
      <c r="AC134" s="564">
        <f>20.9-AB134</f>
        <v>10.299999999999999</v>
      </c>
      <c r="AD134" s="564">
        <f>31.4-AC134-AB134</f>
        <v>10.500000000000002</v>
      </c>
      <c r="AE134" s="514">
        <f>DD134-AD134-AC134-AB134</f>
        <v>10.600000000000003</v>
      </c>
      <c r="AF134" s="564"/>
      <c r="AG134" s="564"/>
      <c r="AH134" s="564"/>
      <c r="AI134" s="572"/>
      <c r="AJ134" s="564"/>
      <c r="AK134" s="564"/>
      <c r="AL134" s="564"/>
      <c r="AM134" s="572"/>
      <c r="AN134" s="564"/>
      <c r="AO134" s="564"/>
      <c r="AP134" s="564"/>
      <c r="AQ134" s="572"/>
      <c r="AR134" s="564"/>
      <c r="AS134" s="564"/>
      <c r="AT134" s="564"/>
      <c r="AU134" s="572"/>
      <c r="AV134" s="564"/>
      <c r="AW134" s="564"/>
      <c r="AX134" s="564"/>
      <c r="AY134" s="572"/>
      <c r="AZ134" s="564"/>
      <c r="BA134" s="564"/>
      <c r="BB134" s="564"/>
      <c r="BC134" s="572"/>
      <c r="BD134" s="564"/>
      <c r="BE134" s="564"/>
      <c r="BF134" s="564">
        <f>146.8-SUM(BD134:BE134)</f>
        <v>146.80000000000001</v>
      </c>
      <c r="BG134" s="572">
        <f>156.8-SUM(BD134:BF134)</f>
        <v>10</v>
      </c>
      <c r="BH134" s="564"/>
      <c r="BI134" s="564"/>
      <c r="BJ134" s="564"/>
      <c r="BK134" s="572"/>
      <c r="BL134" s="564"/>
      <c r="BM134" s="564"/>
      <c r="BN134" s="564"/>
      <c r="BO134" s="572"/>
      <c r="BP134" s="564"/>
      <c r="BQ134" s="564"/>
      <c r="BR134" s="564"/>
      <c r="BS134" s="572"/>
      <c r="BT134" s="564"/>
      <c r="BU134" s="564"/>
      <c r="BV134" s="564"/>
      <c r="BW134" s="572"/>
      <c r="BX134" s="564"/>
      <c r="BY134" s="564"/>
      <c r="BZ134" s="564"/>
      <c r="CA134" s="572"/>
      <c r="CB134" s="564"/>
      <c r="CC134" s="564"/>
      <c r="CD134" s="564"/>
      <c r="CE134" s="572"/>
      <c r="CF134" s="564"/>
      <c r="CG134" s="564"/>
      <c r="CH134" s="564"/>
      <c r="CI134" s="572"/>
      <c r="CJ134" s="564"/>
      <c r="CK134" s="564"/>
      <c r="CL134" s="564"/>
      <c r="CM134" s="442"/>
      <c r="CN134" s="637"/>
      <c r="CO134" s="637"/>
      <c r="CP134" s="637"/>
      <c r="CQ134" s="442"/>
      <c r="CR134" s="939"/>
      <c r="CS134" s="939"/>
      <c r="CT134" s="939"/>
      <c r="CU134" s="928"/>
      <c r="CV134" s="406"/>
      <c r="CW134" s="452">
        <f>CW21</f>
        <v>0</v>
      </c>
      <c r="CX134" s="436">
        <f>CX21</f>
        <v>-9.6</v>
      </c>
      <c r="CY134" s="436">
        <f>SUM(H134:K134)</f>
        <v>13.5</v>
      </c>
      <c r="CZ134" s="436">
        <f>SUM(L134:O134)</f>
        <v>16.7</v>
      </c>
      <c r="DA134" s="637">
        <v>16.8</v>
      </c>
      <c r="DB134" s="436">
        <f>W21</f>
        <v>-11</v>
      </c>
      <c r="DC134" s="637">
        <v>43.3</v>
      </c>
      <c r="DD134" s="637">
        <v>42</v>
      </c>
      <c r="DE134" s="452">
        <f>+SUM(AF134:AI134)</f>
        <v>0</v>
      </c>
      <c r="DF134" s="436">
        <f>+SUM(AJ134:AM134)</f>
        <v>0</v>
      </c>
      <c r="DG134" s="452">
        <f>+SUM(AN134:AQ134)</f>
        <v>0</v>
      </c>
      <c r="DH134" s="436">
        <f t="shared" si="479"/>
        <v>0</v>
      </c>
      <c r="DI134" s="452">
        <f t="shared" si="480"/>
        <v>0</v>
      </c>
      <c r="DJ134" s="436">
        <f t="shared" si="481"/>
        <v>0</v>
      </c>
      <c r="DK134" s="436">
        <f t="shared" si="482"/>
        <v>156.80000000000001</v>
      </c>
      <c r="DL134" s="436"/>
      <c r="DM134" s="436"/>
      <c r="DN134" s="436"/>
      <c r="DO134" s="436"/>
      <c r="DP134" s="436"/>
      <c r="DQ134" s="436"/>
      <c r="DR134" s="436"/>
      <c r="DS134" s="436"/>
      <c r="DT134" s="436"/>
      <c r="DU134" s="436">
        <f t="shared" si="492"/>
        <v>0</v>
      </c>
      <c r="DV134" s="437"/>
      <c r="DW134" s="437"/>
      <c r="DX134" s="437"/>
      <c r="DY134" s="437"/>
      <c r="DZ134" s="437"/>
      <c r="EA134" s="512"/>
      <c r="EB134"/>
      <c r="EC134"/>
      <c r="ED134"/>
      <c r="EE134"/>
      <c r="EF134"/>
      <c r="EG134"/>
    </row>
    <row r="135" spans="1:137" s="410" customFormat="1" hidden="1" outlineLevel="1">
      <c r="A135" s="400"/>
      <c r="B135" s="401" t="s">
        <v>321</v>
      </c>
      <c r="C135" s="658"/>
      <c r="D135" s="636"/>
      <c r="E135" s="564"/>
      <c r="F135" s="564"/>
      <c r="G135" s="572"/>
      <c r="H135" s="564"/>
      <c r="I135" s="564"/>
      <c r="J135" s="564"/>
      <c r="K135" s="572"/>
      <c r="L135" s="564"/>
      <c r="M135" s="564"/>
      <c r="N135" s="564"/>
      <c r="O135" s="572"/>
      <c r="P135" s="564"/>
      <c r="Q135" s="564"/>
      <c r="R135" s="564"/>
      <c r="S135" s="572"/>
      <c r="T135" s="564"/>
      <c r="U135" s="564"/>
      <c r="V135" s="564"/>
      <c r="W135" s="572"/>
      <c r="X135" s="564"/>
      <c r="Y135" s="564"/>
      <c r="Z135" s="564"/>
      <c r="AA135" s="572"/>
      <c r="AB135" s="564"/>
      <c r="AC135" s="564">
        <f>12.1-AB135</f>
        <v>12.1</v>
      </c>
      <c r="AD135" s="564">
        <f>18.1-AC135-AB135</f>
        <v>6.0000000000000018</v>
      </c>
      <c r="AE135" s="514">
        <f>DD135-AD135-AC135-AB135</f>
        <v>5.5999999999999961</v>
      </c>
      <c r="AF135" s="564">
        <v>6.5</v>
      </c>
      <c r="AG135" s="564">
        <f>13.7-AF135</f>
        <v>7.1999999999999993</v>
      </c>
      <c r="AH135" s="564">
        <f>21.2-AG135-AF135</f>
        <v>7.5</v>
      </c>
      <c r="AI135" s="514">
        <f t="shared" ref="AI135" si="494">DE135-AH135-AG135-AF135</f>
        <v>8.1000000000000014</v>
      </c>
      <c r="AJ135" s="564">
        <v>7.8</v>
      </c>
      <c r="AK135" s="564">
        <f>15.7-AJ135</f>
        <v>7.8999999999999995</v>
      </c>
      <c r="AL135" s="564">
        <f>25.6-AJ135-AK135</f>
        <v>9.9000000000000021</v>
      </c>
      <c r="AM135" s="514">
        <f>+DF135-AL135-AK135-AJ135</f>
        <v>11.199999999999996</v>
      </c>
      <c r="AN135" s="564">
        <v>9.8000000000000007</v>
      </c>
      <c r="AO135" s="564">
        <f>19.9-AN135</f>
        <v>10.099999999999998</v>
      </c>
      <c r="AP135" s="564"/>
      <c r="AQ135" s="572"/>
      <c r="AR135" s="564">
        <v>9.6999999999999993</v>
      </c>
      <c r="AS135" s="564">
        <f>19-AR135</f>
        <v>9.3000000000000007</v>
      </c>
      <c r="AT135" s="564">
        <f>29.3-AS135-AR135</f>
        <v>10.3</v>
      </c>
      <c r="AU135" s="572">
        <v>8.9</v>
      </c>
      <c r="AV135" s="564">
        <v>10</v>
      </c>
      <c r="AW135" s="564">
        <f>21.6-AV135</f>
        <v>11.600000000000001</v>
      </c>
      <c r="AX135" s="564">
        <v>9.3806999999999992</v>
      </c>
      <c r="AY135" s="572">
        <v>9.4556000000000004</v>
      </c>
      <c r="AZ135" s="564"/>
      <c r="BA135" s="564"/>
      <c r="BB135" s="564"/>
      <c r="BC135" s="572"/>
      <c r="BD135" s="564"/>
      <c r="BE135" s="564"/>
      <c r="BF135" s="564"/>
      <c r="BG135" s="572"/>
      <c r="BH135" s="564"/>
      <c r="BI135" s="564"/>
      <c r="BJ135" s="564"/>
      <c r="BK135" s="572"/>
      <c r="BL135" s="564"/>
      <c r="BM135" s="564"/>
      <c r="BN135" s="564"/>
      <c r="BO135" s="572"/>
      <c r="BP135" s="564"/>
      <c r="BQ135" s="564"/>
      <c r="BR135" s="564"/>
      <c r="BS135" s="572"/>
      <c r="BT135" s="564"/>
      <c r="BU135" s="564"/>
      <c r="BV135" s="564"/>
      <c r="BW135" s="572"/>
      <c r="BX135" s="564"/>
      <c r="BY135" s="564"/>
      <c r="BZ135" s="564"/>
      <c r="CA135" s="572"/>
      <c r="CB135" s="564"/>
      <c r="CC135" s="564"/>
      <c r="CD135" s="564"/>
      <c r="CE135" s="572"/>
      <c r="CF135" s="564"/>
      <c r="CG135" s="564"/>
      <c r="CH135" s="564"/>
      <c r="CI135" s="572"/>
      <c r="CJ135" s="564"/>
      <c r="CK135" s="564"/>
      <c r="CL135" s="564"/>
      <c r="CM135" s="442"/>
      <c r="CN135" s="637"/>
      <c r="CO135" s="637"/>
      <c r="CP135" s="637"/>
      <c r="CQ135" s="442"/>
      <c r="CR135" s="939"/>
      <c r="CS135" s="939"/>
      <c r="CT135" s="939"/>
      <c r="CU135" s="928"/>
      <c r="CV135" s="406"/>
      <c r="CW135" s="564"/>
      <c r="CX135" s="436"/>
      <c r="CY135" s="436"/>
      <c r="CZ135" s="436"/>
      <c r="DA135" s="436"/>
      <c r="DB135" s="436"/>
      <c r="DC135" s="436"/>
      <c r="DD135" s="637">
        <v>23.7</v>
      </c>
      <c r="DE135" s="637">
        <v>29.3</v>
      </c>
      <c r="DF135" s="637">
        <v>36.799999999999997</v>
      </c>
      <c r="DG135" s="436">
        <f>+SUM(AN135:AQ135)</f>
        <v>19.899999999999999</v>
      </c>
      <c r="DH135" s="436">
        <f t="shared" si="479"/>
        <v>38.200000000000003</v>
      </c>
      <c r="DI135" s="436">
        <f t="shared" si="480"/>
        <v>40.436300000000003</v>
      </c>
      <c r="DJ135" s="436"/>
      <c r="DK135" s="436"/>
      <c r="DL135" s="436"/>
      <c r="DM135" s="436"/>
      <c r="DN135" s="436"/>
      <c r="DO135" s="436"/>
      <c r="DP135" s="436"/>
      <c r="DQ135" s="436"/>
      <c r="DR135" s="436"/>
      <c r="DS135" s="436"/>
      <c r="DT135" s="436"/>
      <c r="DU135" s="436">
        <f t="shared" si="492"/>
        <v>0</v>
      </c>
      <c r="DV135" s="437"/>
      <c r="DW135" s="437"/>
      <c r="DX135" s="437"/>
      <c r="DY135" s="437"/>
      <c r="DZ135" s="437"/>
      <c r="EA135" s="512"/>
      <c r="EB135"/>
      <c r="EC135"/>
      <c r="ED135"/>
      <c r="EE135"/>
      <c r="EF135"/>
      <c r="EG135"/>
    </row>
    <row r="136" spans="1:137" s="410" customFormat="1" hidden="1" outlineLevel="1">
      <c r="A136" s="400"/>
      <c r="B136" s="401" t="s">
        <v>322</v>
      </c>
      <c r="C136" s="658"/>
      <c r="D136" s="636"/>
      <c r="E136" s="564"/>
      <c r="F136" s="564"/>
      <c r="G136" s="572"/>
      <c r="H136" s="564"/>
      <c r="I136" s="564"/>
      <c r="J136" s="564"/>
      <c r="K136" s="572"/>
      <c r="L136" s="564"/>
      <c r="M136" s="564"/>
      <c r="N136" s="564"/>
      <c r="O136" s="572"/>
      <c r="P136" s="564"/>
      <c r="Q136" s="564"/>
      <c r="R136" s="564"/>
      <c r="S136" s="572"/>
      <c r="T136" s="564"/>
      <c r="U136" s="564"/>
      <c r="V136" s="564"/>
      <c r="W136" s="572"/>
      <c r="X136" s="564"/>
      <c r="Y136" s="564"/>
      <c r="Z136" s="564"/>
      <c r="AA136" s="572"/>
      <c r="AB136" s="564"/>
      <c r="AC136" s="564"/>
      <c r="AD136" s="564"/>
      <c r="AE136" s="572"/>
      <c r="AF136" s="564"/>
      <c r="AG136" s="564"/>
      <c r="AH136" s="564"/>
      <c r="AI136" s="572"/>
      <c r="AJ136" s="564"/>
      <c r="AK136" s="564"/>
      <c r="AL136" s="564"/>
      <c r="AM136" s="572"/>
      <c r="AN136" s="564"/>
      <c r="AO136" s="564"/>
      <c r="AP136" s="564"/>
      <c r="AQ136" s="572"/>
      <c r="AR136" s="564">
        <v>15.8</v>
      </c>
      <c r="AS136" s="564">
        <v>8.3000000000000007</v>
      </c>
      <c r="AT136" s="564">
        <f>25.3-AS136-AR136</f>
        <v>1.1999999999999993</v>
      </c>
      <c r="AU136" s="572">
        <f>31.7-AT136-AS136-AR136</f>
        <v>6.3999999999999986</v>
      </c>
      <c r="AV136" s="564">
        <v>3.2</v>
      </c>
      <c r="AW136" s="564">
        <f>6.6-AV136</f>
        <v>3.3999999999999995</v>
      </c>
      <c r="AX136" s="564">
        <f>10.1-AW136-AV136</f>
        <v>3.5</v>
      </c>
      <c r="AY136" s="572">
        <f>17.5-SUM(AV136:AX136)</f>
        <v>7.4</v>
      </c>
      <c r="AZ136" s="564">
        <v>4.0999999999999996</v>
      </c>
      <c r="BA136" s="564">
        <f>8.3-AZ136</f>
        <v>4.2000000000000011</v>
      </c>
      <c r="BB136" s="564">
        <f>12.6-SUM(AZ136:BA136)</f>
        <v>4.2999999999999989</v>
      </c>
      <c r="BC136" s="572">
        <f>21.5-SUM(AZ136:BB136)</f>
        <v>8.9</v>
      </c>
      <c r="BD136" s="564">
        <v>5.4</v>
      </c>
      <c r="BE136" s="564">
        <f>17.7-BD136</f>
        <v>12.299999999999999</v>
      </c>
      <c r="BF136" s="564">
        <f>21.1-SUM(BD136:BE136)</f>
        <v>3.4000000000000021</v>
      </c>
      <c r="BG136" s="572">
        <f>27.1-SUM(BD136:BF136)</f>
        <v>6</v>
      </c>
      <c r="BH136" s="564">
        <v>5.8</v>
      </c>
      <c r="BI136" s="564">
        <f>11.9-BH136</f>
        <v>6.1000000000000005</v>
      </c>
      <c r="BJ136" s="564">
        <f>19.1-SUM(BH136:BI136)</f>
        <v>7.2000000000000011</v>
      </c>
      <c r="BK136" s="572">
        <f>26.3-SUM(BH136:BJ136)</f>
        <v>7.1999999999999993</v>
      </c>
      <c r="BL136" s="564">
        <v>6.5</v>
      </c>
      <c r="BM136" s="564">
        <v>7.1</v>
      </c>
      <c r="BN136" s="564">
        <f>28.4-SUM(BO136,BL136:BM136)</f>
        <v>7.3999999999999986</v>
      </c>
      <c r="BO136" s="572">
        <v>7.4</v>
      </c>
      <c r="BP136" s="564">
        <v>6.9</v>
      </c>
      <c r="BQ136" s="564">
        <f>15.1-BP136</f>
        <v>8.1999999999999993</v>
      </c>
      <c r="BR136" s="564">
        <f>23.1-BQ136-BP136</f>
        <v>8.0000000000000018</v>
      </c>
      <c r="BS136" s="572">
        <f>30.8-SUM(BP136:BR136)</f>
        <v>7.6999999999999993</v>
      </c>
      <c r="BT136" s="564">
        <v>4.4000000000000004</v>
      </c>
      <c r="BU136" s="564">
        <v>10.3</v>
      </c>
      <c r="BV136" s="564">
        <v>6.8</v>
      </c>
      <c r="BW136" s="572">
        <f>28.4-SUM(BT136:BV136)</f>
        <v>6.8999999999999986</v>
      </c>
      <c r="BX136" s="564">
        <v>6.7</v>
      </c>
      <c r="BY136" s="564">
        <f>13.4-BX136</f>
        <v>6.7</v>
      </c>
      <c r="BZ136" s="564">
        <f>20.1-((BX136+BY136))</f>
        <v>6.7000000000000011</v>
      </c>
      <c r="CA136" s="572">
        <f>26.7-(SUM(BX136:BZ136))</f>
        <v>6.5999999999999979</v>
      </c>
      <c r="CB136" s="564">
        <v>6</v>
      </c>
      <c r="CC136" s="564">
        <f>13.8-(CB136)</f>
        <v>7.8000000000000007</v>
      </c>
      <c r="CD136" s="564">
        <f>20.7-(SUM(CB136:CC136))</f>
        <v>6.8999999999999986</v>
      </c>
      <c r="CE136" s="572">
        <f>27.2-(SUM(CB136:CD136))</f>
        <v>6.5</v>
      </c>
      <c r="CF136" s="564">
        <v>4.4000000000000004</v>
      </c>
      <c r="CG136" s="564">
        <f>8.7-(CF136)</f>
        <v>4.2999999999999989</v>
      </c>
      <c r="CH136" s="564">
        <f>13-(SUM(CF136:CG136))</f>
        <v>4.3000000000000007</v>
      </c>
      <c r="CI136" s="572">
        <f>27.2-(SUM(CF136:CH136))</f>
        <v>14.2</v>
      </c>
      <c r="CJ136" s="564"/>
      <c r="CK136" s="564"/>
      <c r="CL136" s="564"/>
      <c r="CM136" s="442">
        <v>4</v>
      </c>
      <c r="CN136" s="637"/>
      <c r="CO136" s="637"/>
      <c r="CP136" s="637"/>
      <c r="CQ136" s="442"/>
      <c r="CR136" s="939"/>
      <c r="CS136" s="939"/>
      <c r="CT136" s="939"/>
      <c r="CU136" s="928"/>
      <c r="CV136" s="406"/>
      <c r="CW136" s="564"/>
      <c r="CX136" s="436"/>
      <c r="CY136" s="436"/>
      <c r="CZ136" s="436"/>
      <c r="DA136" s="436"/>
      <c r="DB136" s="436"/>
      <c r="DC136" s="436"/>
      <c r="DD136" s="436"/>
      <c r="DE136" s="436"/>
      <c r="DF136" s="436"/>
      <c r="DG136" s="436">
        <f>+SUM(AN136:AQ136)</f>
        <v>0</v>
      </c>
      <c r="DH136" s="436">
        <f>+SUM(AR136:AU136)</f>
        <v>31.7</v>
      </c>
      <c r="DI136" s="436">
        <f>+SUM(AV136:AY136)</f>
        <v>17.5</v>
      </c>
      <c r="DJ136" s="436">
        <f>+SUM(AZ136:BC136)</f>
        <v>21.5</v>
      </c>
      <c r="DK136" s="436">
        <f>+SUM(BD136:BG136)</f>
        <v>27.1</v>
      </c>
      <c r="DL136" s="436">
        <f t="shared" si="483"/>
        <v>26.3</v>
      </c>
      <c r="DM136" s="436">
        <f t="shared" si="484"/>
        <v>28.4</v>
      </c>
      <c r="DN136" s="436">
        <f t="shared" si="485"/>
        <v>30.8</v>
      </c>
      <c r="DO136" s="436">
        <f t="shared" si="486"/>
        <v>28.4</v>
      </c>
      <c r="DP136" s="436">
        <f t="shared" si="487"/>
        <v>26.7</v>
      </c>
      <c r="DQ136" s="436">
        <f t="shared" si="488"/>
        <v>27.2</v>
      </c>
      <c r="DR136" s="436">
        <f t="shared" si="489"/>
        <v>27.2</v>
      </c>
      <c r="DS136" s="436">
        <f t="shared" si="490"/>
        <v>4</v>
      </c>
      <c r="DT136" s="436">
        <f t="shared" si="491"/>
        <v>0</v>
      </c>
      <c r="DU136" s="436">
        <f t="shared" si="492"/>
        <v>0</v>
      </c>
      <c r="DV136" s="564"/>
      <c r="DW136" s="564"/>
      <c r="DX136" s="564"/>
      <c r="DY136" s="564"/>
      <c r="DZ136" s="564"/>
      <c r="EA136" s="512"/>
      <c r="EB136"/>
      <c r="EC136"/>
      <c r="ED136"/>
      <c r="EE136"/>
      <c r="EF136"/>
      <c r="EG136"/>
    </row>
    <row r="137" spans="1:137" s="410" customFormat="1" hidden="1" outlineLevel="1">
      <c r="A137" s="400"/>
      <c r="B137" s="401" t="s">
        <v>323</v>
      </c>
      <c r="C137" s="658"/>
      <c r="D137" s="636"/>
      <c r="E137" s="564"/>
      <c r="F137" s="564"/>
      <c r="G137" s="572"/>
      <c r="H137" s="564"/>
      <c r="I137" s="564"/>
      <c r="J137" s="564"/>
      <c r="K137" s="572"/>
      <c r="L137" s="564"/>
      <c r="M137" s="564"/>
      <c r="N137" s="564"/>
      <c r="O137" s="572"/>
      <c r="P137" s="564"/>
      <c r="Q137" s="564"/>
      <c r="R137" s="564"/>
      <c r="S137" s="572"/>
      <c r="T137" s="564"/>
      <c r="U137" s="564"/>
      <c r="V137" s="564"/>
      <c r="W137" s="572"/>
      <c r="X137" s="564"/>
      <c r="Y137" s="564"/>
      <c r="Z137" s="564"/>
      <c r="AA137" s="572"/>
      <c r="AB137" s="564"/>
      <c r="AC137" s="564"/>
      <c r="AD137" s="564"/>
      <c r="AE137" s="572"/>
      <c r="AF137" s="564">
        <v>269</v>
      </c>
      <c r="AG137" s="564"/>
      <c r="AH137" s="564"/>
      <c r="AI137" s="572"/>
      <c r="AJ137" s="564"/>
      <c r="AK137" s="564"/>
      <c r="AL137" s="564"/>
      <c r="AM137" s="572"/>
      <c r="AN137" s="564"/>
      <c r="AO137" s="564"/>
      <c r="AP137" s="564"/>
      <c r="AQ137" s="572"/>
      <c r="AR137" s="564"/>
      <c r="AS137" s="564"/>
      <c r="AT137" s="564"/>
      <c r="AU137" s="572"/>
      <c r="AV137" s="564"/>
      <c r="AW137" s="564"/>
      <c r="AX137" s="564"/>
      <c r="AY137" s="572"/>
      <c r="AZ137" s="564"/>
      <c r="BA137" s="564"/>
      <c r="BB137" s="564"/>
      <c r="BC137" s="572"/>
      <c r="BD137" s="564"/>
      <c r="BE137" s="564"/>
      <c r="BF137" s="564"/>
      <c r="BG137" s="572"/>
      <c r="BH137" s="564"/>
      <c r="BI137" s="564"/>
      <c r="BJ137" s="564"/>
      <c r="BK137" s="572"/>
      <c r="BL137" s="564"/>
      <c r="BM137" s="564"/>
      <c r="BN137" s="564"/>
      <c r="BO137" s="572"/>
      <c r="BP137" s="564"/>
      <c r="BQ137" s="564"/>
      <c r="BR137" s="564"/>
      <c r="BS137" s="572"/>
      <c r="BT137" s="564"/>
      <c r="BU137" s="564"/>
      <c r="BV137" s="564"/>
      <c r="BW137" s="572"/>
      <c r="BX137" s="564"/>
      <c r="BY137" s="564"/>
      <c r="BZ137" s="564"/>
      <c r="CA137" s="572"/>
      <c r="CB137" s="564"/>
      <c r="CC137" s="564"/>
      <c r="CD137" s="564"/>
      <c r="CE137" s="572"/>
      <c r="CF137" s="564"/>
      <c r="CG137" s="564"/>
      <c r="CH137" s="564"/>
      <c r="CI137" s="572"/>
      <c r="CJ137" s="564"/>
      <c r="CK137" s="564"/>
      <c r="CL137" s="564"/>
      <c r="CM137" s="442"/>
      <c r="CN137" s="637"/>
      <c r="CO137" s="637"/>
      <c r="CP137" s="637"/>
      <c r="CQ137" s="442"/>
      <c r="CR137" s="939"/>
      <c r="CS137" s="939"/>
      <c r="CT137" s="939"/>
      <c r="CU137" s="928"/>
      <c r="CV137" s="406"/>
      <c r="CW137" s="564"/>
      <c r="CX137" s="436"/>
      <c r="CY137" s="436"/>
      <c r="CZ137" s="436"/>
      <c r="DA137" s="436"/>
      <c r="DB137" s="436"/>
      <c r="DC137" s="436"/>
      <c r="DD137" s="436"/>
      <c r="DE137" s="637">
        <v>269</v>
      </c>
      <c r="DF137" s="436"/>
      <c r="DG137" s="436"/>
      <c r="DH137" s="436"/>
      <c r="DI137" s="436"/>
      <c r="DJ137" s="436"/>
      <c r="DK137" s="436"/>
      <c r="DL137" s="436"/>
      <c r="DM137" s="436"/>
      <c r="DN137" s="436"/>
      <c r="DO137" s="436"/>
      <c r="DP137" s="436"/>
      <c r="DQ137" s="436"/>
      <c r="DR137" s="436"/>
      <c r="DS137" s="436"/>
      <c r="DT137" s="436"/>
      <c r="DU137" s="436">
        <f t="shared" si="492"/>
        <v>0</v>
      </c>
      <c r="DV137" s="437"/>
      <c r="DW137" s="437"/>
      <c r="DX137" s="437"/>
      <c r="DY137" s="437"/>
      <c r="DZ137" s="437"/>
      <c r="EA137" s="512"/>
      <c r="EB137"/>
      <c r="EC137"/>
      <c r="ED137"/>
      <c r="EE137"/>
      <c r="EF137"/>
      <c r="EG137"/>
    </row>
    <row r="138" spans="1:137" s="410" customFormat="1" hidden="1" outlineLevel="1">
      <c r="A138" s="400"/>
      <c r="B138" s="401" t="s">
        <v>196</v>
      </c>
      <c r="C138" s="658"/>
      <c r="D138" s="636"/>
      <c r="E138" s="564"/>
      <c r="F138" s="564"/>
      <c r="G138" s="572"/>
      <c r="H138" s="564"/>
      <c r="I138" s="564"/>
      <c r="J138" s="564"/>
      <c r="K138" s="572"/>
      <c r="L138" s="564"/>
      <c r="M138" s="564"/>
      <c r="N138" s="564"/>
      <c r="O138" s="572"/>
      <c r="P138" s="564"/>
      <c r="Q138" s="564"/>
      <c r="R138" s="564"/>
      <c r="S138" s="572"/>
      <c r="T138" s="564"/>
      <c r="U138" s="564"/>
      <c r="V138" s="564"/>
      <c r="W138" s="572"/>
      <c r="X138" s="564"/>
      <c r="Y138" s="564"/>
      <c r="Z138" s="564"/>
      <c r="AA138" s="572"/>
      <c r="AB138" s="564"/>
      <c r="AC138" s="564"/>
      <c r="AD138" s="564"/>
      <c r="AE138" s="514">
        <f>DD138-AD138-AC138-AB138</f>
        <v>19.8</v>
      </c>
      <c r="AF138" s="564">
        <v>4</v>
      </c>
      <c r="AG138" s="564">
        <f>7.8-AF138</f>
        <v>3.8</v>
      </c>
      <c r="AH138" s="564">
        <f>17.3-AG138-AF138</f>
        <v>9.5</v>
      </c>
      <c r="AI138" s="514">
        <f>DE138-AH138-AG138-AF138</f>
        <v>3.5000000000000009</v>
      </c>
      <c r="AJ138" s="564">
        <v>3.7</v>
      </c>
      <c r="AK138" s="564">
        <f>6.8-AJ138</f>
        <v>3.0999999999999996</v>
      </c>
      <c r="AL138" s="564">
        <f>9.9-AJ138-AK138</f>
        <v>3.1000000000000005</v>
      </c>
      <c r="AM138" s="514">
        <f>+DF138-AL138-AK138-AJ138</f>
        <v>3.0000000000000009</v>
      </c>
      <c r="AN138" s="564">
        <v>18.899999999999999</v>
      </c>
      <c r="AO138" s="564">
        <f>24.5-AN138</f>
        <v>5.6000000000000014</v>
      </c>
      <c r="AP138" s="564">
        <f>27.7-AO138-AN138</f>
        <v>3.1999999999999993</v>
      </c>
      <c r="AQ138" s="572">
        <f>25.8-AP138-AO138-AN138</f>
        <v>-1.8999999999999986</v>
      </c>
      <c r="AR138" s="564"/>
      <c r="AS138" s="564"/>
      <c r="AT138" s="564"/>
      <c r="AU138" s="572"/>
      <c r="AV138" s="564">
        <v>2.9</v>
      </c>
      <c r="AW138" s="564">
        <f>5.9-AV138</f>
        <v>3.0000000000000004</v>
      </c>
      <c r="AX138" s="564">
        <f>9.1-AW138-AV138</f>
        <v>3.1999999999999997</v>
      </c>
      <c r="AY138" s="572">
        <f>12.7-3.6-SUM(AV138:AX138)</f>
        <v>0</v>
      </c>
      <c r="AZ138" s="564">
        <v>4.2</v>
      </c>
      <c r="BA138" s="564">
        <f>9.1-AZ138</f>
        <v>4.8999999999999995</v>
      </c>
      <c r="BB138" s="564"/>
      <c r="BC138" s="572">
        <f>16.3-SUM(AZ138:BB138)</f>
        <v>7.2000000000000011</v>
      </c>
      <c r="BD138" s="564">
        <v>5.5</v>
      </c>
      <c r="BE138" s="564">
        <f>7.1-BD138</f>
        <v>1.5999999999999996</v>
      </c>
      <c r="BF138" s="564">
        <f>12.6-SUM(BD138:BE138)</f>
        <v>5.5</v>
      </c>
      <c r="BG138" s="572">
        <f>21.2-SUM(BD138:BF138)</f>
        <v>8.6</v>
      </c>
      <c r="BH138" s="564">
        <v>5.2</v>
      </c>
      <c r="BI138" s="564">
        <f>0-BH138</f>
        <v>-5.2</v>
      </c>
      <c r="BJ138" s="564">
        <f>-20.2-SUM(BH129:BJ129)</f>
        <v>2.800000000000054</v>
      </c>
      <c r="BK138" s="572">
        <f>22-SUM(BH138:BJ138)</f>
        <v>19.199999999999946</v>
      </c>
      <c r="BL138" s="564">
        <v>4.9000000000000004</v>
      </c>
      <c r="BM138" s="564">
        <f>0-BL138</f>
        <v>-4.9000000000000004</v>
      </c>
      <c r="BN138" s="564">
        <f>4.4-SUM(BL138:BM138)-SUM(BL133:BM133)</f>
        <v>12.4</v>
      </c>
      <c r="BO138" s="572">
        <f>24.5-SUM(BL138:BN138)</f>
        <v>12.1</v>
      </c>
      <c r="BP138" s="564">
        <v>4.8</v>
      </c>
      <c r="BQ138" s="564">
        <f>11.2-BP138</f>
        <v>6.3999999999999995</v>
      </c>
      <c r="BR138" s="564">
        <f>0-BQ138-BP138</f>
        <v>-11.2</v>
      </c>
      <c r="BS138" s="572">
        <f>21.8+20.3-SUM(BP138:BR138)</f>
        <v>42.1</v>
      </c>
      <c r="BT138" s="564"/>
      <c r="BU138" s="564"/>
      <c r="BV138" s="564"/>
      <c r="BW138" s="572"/>
      <c r="BX138" s="564"/>
      <c r="BY138" s="564"/>
      <c r="BZ138" s="564"/>
      <c r="CA138" s="572"/>
      <c r="CB138" s="564"/>
      <c r="CC138" s="564"/>
      <c r="CD138" s="564"/>
      <c r="CE138" s="572"/>
      <c r="CF138" s="564"/>
      <c r="CG138" s="564"/>
      <c r="CH138" s="564"/>
      <c r="CI138" s="572"/>
      <c r="CJ138" s="564"/>
      <c r="CK138" s="564"/>
      <c r="CL138" s="564"/>
      <c r="CM138" s="442"/>
      <c r="CN138" s="637"/>
      <c r="CO138" s="637"/>
      <c r="CP138" s="637"/>
      <c r="CQ138" s="442"/>
      <c r="CR138" s="939"/>
      <c r="CS138" s="939"/>
      <c r="CT138" s="939"/>
      <c r="CU138" s="928"/>
      <c r="CV138" s="406"/>
      <c r="CW138" s="564"/>
      <c r="CX138" s="436"/>
      <c r="CY138" s="436"/>
      <c r="CZ138" s="436"/>
      <c r="DA138" s="436"/>
      <c r="DB138" s="436"/>
      <c r="DC138" s="436"/>
      <c r="DD138" s="637">
        <v>19.8</v>
      </c>
      <c r="DE138" s="637">
        <v>20.8</v>
      </c>
      <c r="DF138" s="637">
        <v>12.9</v>
      </c>
      <c r="DG138" s="436">
        <f>SUM(AN138:AQ138)</f>
        <v>25.8</v>
      </c>
      <c r="DH138" s="436">
        <f>SUM(AR138:AU138)</f>
        <v>0</v>
      </c>
      <c r="DI138" s="436">
        <f>SUM(AV138:AY138)</f>
        <v>9.1</v>
      </c>
      <c r="DJ138" s="436">
        <f>SUM(AZ138:BC138)</f>
        <v>16.3</v>
      </c>
      <c r="DK138" s="436">
        <f>SUM(BD138:BG138)</f>
        <v>21.2</v>
      </c>
      <c r="DL138" s="436">
        <f>SUM(BH138:BK138)</f>
        <v>22</v>
      </c>
      <c r="DM138" s="436">
        <f>SUM(BL138:BO138)</f>
        <v>24.5</v>
      </c>
      <c r="DN138" s="436">
        <f>SUM(BP138:BS138)</f>
        <v>42.1</v>
      </c>
      <c r="DO138" s="436"/>
      <c r="DP138" s="436"/>
      <c r="DQ138" s="436"/>
      <c r="DR138" s="436"/>
      <c r="DS138" s="436"/>
      <c r="DT138" s="436"/>
      <c r="DU138" s="436">
        <f t="shared" si="492"/>
        <v>0</v>
      </c>
      <c r="DV138" s="437"/>
      <c r="DW138" s="437"/>
      <c r="DX138" s="437"/>
      <c r="DY138" s="437"/>
      <c r="DZ138" s="437"/>
      <c r="EA138" s="512"/>
      <c r="EB138"/>
      <c r="EC138"/>
      <c r="ED138"/>
      <c r="EE138"/>
      <c r="EF138"/>
      <c r="EG138"/>
    </row>
    <row r="139" spans="1:137" s="410" customFormat="1" collapsed="1">
      <c r="A139" s="400"/>
      <c r="B139" s="401" t="s">
        <v>82</v>
      </c>
      <c r="C139" s="658"/>
      <c r="D139" s="636"/>
      <c r="E139" s="564"/>
      <c r="F139" s="564"/>
      <c r="G139" s="572"/>
      <c r="H139" s="564"/>
      <c r="I139" s="564"/>
      <c r="J139" s="564"/>
      <c r="K139" s="572"/>
      <c r="L139" s="564"/>
      <c r="M139" s="564"/>
      <c r="N139" s="564"/>
      <c r="O139" s="572"/>
      <c r="P139" s="564"/>
      <c r="Q139" s="564"/>
      <c r="R139" s="564"/>
      <c r="S139" s="572"/>
      <c r="T139" s="564"/>
      <c r="U139" s="564"/>
      <c r="V139" s="564"/>
      <c r="W139" s="572"/>
      <c r="X139" s="564"/>
      <c r="Y139" s="564"/>
      <c r="Z139" s="564">
        <v>32.6</v>
      </c>
      <c r="AA139" s="514">
        <f>DC139-X139-Y139-Z139</f>
        <v>14.699999999999996</v>
      </c>
      <c r="AB139" s="564"/>
      <c r="AC139" s="564"/>
      <c r="AD139" s="564"/>
      <c r="AE139" s="514">
        <f>DD139-AD139-AC139-AB139</f>
        <v>5</v>
      </c>
      <c r="AF139" s="564">
        <v>-1.8</v>
      </c>
      <c r="AG139" s="564">
        <f>0-AF139</f>
        <v>1.8</v>
      </c>
      <c r="AH139" s="564">
        <f>0-AG139-AF139</f>
        <v>0</v>
      </c>
      <c r="AI139" s="514">
        <f>DE139-AH139-AG139-AF139</f>
        <v>0</v>
      </c>
      <c r="AJ139" s="564"/>
      <c r="AK139" s="564"/>
      <c r="AL139" s="564"/>
      <c r="AM139" s="572"/>
      <c r="AN139" s="564"/>
      <c r="AO139" s="564"/>
      <c r="AP139" s="564"/>
      <c r="AQ139" s="572"/>
      <c r="AR139" s="564"/>
      <c r="AS139" s="564"/>
      <c r="AT139" s="564"/>
      <c r="AU139" s="572"/>
      <c r="AV139" s="564"/>
      <c r="AW139" s="564"/>
      <c r="AX139" s="564"/>
      <c r="AY139" s="572"/>
      <c r="AZ139" s="564"/>
      <c r="BA139" s="564"/>
      <c r="BB139" s="564"/>
      <c r="BC139" s="572"/>
      <c r="BD139" s="564"/>
      <c r="BE139" s="564"/>
      <c r="BF139" s="564"/>
      <c r="BG139" s="572"/>
      <c r="BH139" s="564"/>
      <c r="BI139" s="564"/>
      <c r="BJ139" s="564"/>
      <c r="BK139" s="572"/>
      <c r="BL139" s="564"/>
      <c r="BM139" s="564"/>
      <c r="BN139" s="564"/>
      <c r="BO139" s="572"/>
      <c r="BP139" s="564">
        <v>-0.3</v>
      </c>
      <c r="BQ139" s="564">
        <f>9.8-BP139</f>
        <v>10.100000000000001</v>
      </c>
      <c r="BR139" s="564">
        <f>16.4-BQ139-BP139+15.1</f>
        <v>21.699999999999996</v>
      </c>
      <c r="BS139" s="572">
        <f>0-SUM(BP139:BR139)</f>
        <v>-31.499999999999996</v>
      </c>
      <c r="BT139" s="564">
        <v>14.3</v>
      </c>
      <c r="BU139" s="564">
        <v>56.9</v>
      </c>
      <c r="BV139" s="564">
        <v>6.8</v>
      </c>
      <c r="BW139" s="572">
        <f>5.3+31.7+56.7-SUM(BT139:BV139)</f>
        <v>15.700000000000003</v>
      </c>
      <c r="BX139" s="564">
        <f>15.2+6.6</f>
        <v>21.799999999999997</v>
      </c>
      <c r="BY139" s="564">
        <f>22.4-BX139</f>
        <v>0.60000000000000142</v>
      </c>
      <c r="BZ139" s="564">
        <f>29.3-SUM(BX139:BY139)</f>
        <v>6.9000000000000021</v>
      </c>
      <c r="CA139" s="572">
        <f>36.6-(SUM(BX139:BZ139))</f>
        <v>7.3000000000000007</v>
      </c>
      <c r="CB139" s="564">
        <f>7.8</f>
        <v>7.8</v>
      </c>
      <c r="CC139" s="564">
        <f>15.8-(CB139)</f>
        <v>8</v>
      </c>
      <c r="CD139" s="564">
        <f>(24.1)-(SUM(CB139:CC139))</f>
        <v>8.3000000000000007</v>
      </c>
      <c r="CE139" s="572">
        <f>32.1-(SUM(CB139:CD139))</f>
        <v>8</v>
      </c>
      <c r="CF139" s="564">
        <f>10.9-10.8</f>
        <v>9.9999999999999645E-2</v>
      </c>
      <c r="CG139" s="564">
        <f>20.6-10.8-(CF139)</f>
        <v>9.7000000000000011</v>
      </c>
      <c r="CH139" s="564">
        <f>(30.5)-(SUM(CF139:CG139))</f>
        <v>20.7</v>
      </c>
      <c r="CI139" s="572">
        <f>-10.8+25.7+40.2-SUM(CF139:CH139)</f>
        <v>24.6</v>
      </c>
      <c r="CJ139" s="564">
        <f>23.9-6.1+0.3</f>
        <v>18.099999999999998</v>
      </c>
      <c r="CK139" s="564">
        <f>(20.3)-(CJ139)</f>
        <v>2.2000000000000028</v>
      </c>
      <c r="CL139" s="564">
        <f>(27.3)-(SUM(CJ139:CK139))</f>
        <v>7</v>
      </c>
      <c r="CM139" s="442">
        <f>43.6+703.6+127.1-SUM(CJ139:CL139)</f>
        <v>847.00000000000011</v>
      </c>
      <c r="CN139" s="637">
        <f>13.1</f>
        <v>13.1</v>
      </c>
      <c r="CO139" s="637">
        <f>24.3-CN139</f>
        <v>11.200000000000001</v>
      </c>
      <c r="CP139" s="637">
        <f>35.5-CO139-CN139</f>
        <v>11.199999999999998</v>
      </c>
      <c r="CQ139" s="442">
        <f>71+20.7-CP139-CO139-CN139</f>
        <v>56.199999999999996</v>
      </c>
      <c r="CR139" s="1115">
        <f>-CR23-Debt!I15</f>
        <v>-15.518078349811441</v>
      </c>
      <c r="CS139" s="1115">
        <f>-CS23-Debt!J15</f>
        <v>8.1876091501885604</v>
      </c>
      <c r="CT139" s="1115">
        <f>-CT23-Debt!K15</f>
        <v>-15.518078349811441</v>
      </c>
      <c r="CU139" s="1114">
        <f>-CU23-Debt!L15</f>
        <v>-2.3585908498114367</v>
      </c>
      <c r="CV139" s="406"/>
      <c r="CW139" s="564"/>
      <c r="CX139" s="436"/>
      <c r="CY139" s="436"/>
      <c r="CZ139" s="436"/>
      <c r="DA139" s="436"/>
      <c r="DB139" s="436"/>
      <c r="DC139" s="637">
        <v>47.3</v>
      </c>
      <c r="DD139" s="637">
        <v>5</v>
      </c>
      <c r="DE139" s="436"/>
      <c r="DF139" s="436"/>
      <c r="DG139" s="436"/>
      <c r="DH139" s="436"/>
      <c r="DI139" s="436"/>
      <c r="DJ139" s="436"/>
      <c r="DK139" s="436"/>
      <c r="DL139" s="436"/>
      <c r="DM139" s="436">
        <f t="shared" si="484"/>
        <v>0</v>
      </c>
      <c r="DN139" s="436">
        <f t="shared" si="485"/>
        <v>0</v>
      </c>
      <c r="DO139" s="436">
        <f t="shared" si="486"/>
        <v>93.7</v>
      </c>
      <c r="DP139" s="436">
        <f t="shared" si="487"/>
        <v>36.6</v>
      </c>
      <c r="DQ139" s="436">
        <f t="shared" si="488"/>
        <v>32.1</v>
      </c>
      <c r="DR139" s="436">
        <f t="shared" si="489"/>
        <v>55.1</v>
      </c>
      <c r="DS139" s="436">
        <f t="shared" si="490"/>
        <v>874.30000000000007</v>
      </c>
      <c r="DT139" s="436">
        <f t="shared" si="491"/>
        <v>91.699999999999989</v>
      </c>
      <c r="DU139" s="436">
        <f t="shared" si="492"/>
        <v>-25.207138399245757</v>
      </c>
      <c r="DV139" s="564"/>
      <c r="DW139" s="564"/>
      <c r="DX139" s="564"/>
      <c r="DY139" s="564"/>
      <c r="DZ139" s="564"/>
      <c r="EA139" s="512"/>
      <c r="EB139"/>
      <c r="EC139"/>
      <c r="ED139"/>
      <c r="EE139"/>
      <c r="EF139"/>
      <c r="EG139"/>
    </row>
    <row r="140" spans="1:137" s="410" customFormat="1">
      <c r="A140" s="400"/>
      <c r="B140" s="401"/>
      <c r="C140" s="658"/>
      <c r="D140" s="521"/>
      <c r="E140" s="522"/>
      <c r="F140" s="522"/>
      <c r="G140" s="523"/>
      <c r="H140" s="522"/>
      <c r="I140" s="522"/>
      <c r="J140" s="522"/>
      <c r="K140" s="523"/>
      <c r="L140" s="522"/>
      <c r="M140" s="522"/>
      <c r="N140" s="522"/>
      <c r="O140" s="523"/>
      <c r="P140" s="522"/>
      <c r="Q140" s="522"/>
      <c r="R140" s="522"/>
      <c r="S140" s="524"/>
      <c r="T140" s="522"/>
      <c r="U140" s="522"/>
      <c r="V140" s="522"/>
      <c r="W140" s="524"/>
      <c r="X140" s="522"/>
      <c r="Y140" s="522"/>
      <c r="Z140" s="522"/>
      <c r="AA140" s="524"/>
      <c r="AB140" s="522"/>
      <c r="AC140" s="522"/>
      <c r="AD140" s="522"/>
      <c r="AE140" s="524"/>
      <c r="AF140" s="522"/>
      <c r="AG140" s="522"/>
      <c r="AH140" s="522"/>
      <c r="AI140" s="524"/>
      <c r="AJ140" s="522"/>
      <c r="AK140" s="522"/>
      <c r="AL140" s="522"/>
      <c r="AM140" s="524"/>
      <c r="AN140" s="520"/>
      <c r="AO140" s="520"/>
      <c r="AP140" s="520"/>
      <c r="AQ140" s="524"/>
      <c r="AR140" s="520"/>
      <c r="AS140" s="520"/>
      <c r="AT140" s="520"/>
      <c r="AU140" s="524"/>
      <c r="AV140" s="520"/>
      <c r="AW140" s="520"/>
      <c r="AX140" s="520"/>
      <c r="AY140" s="524"/>
      <c r="AZ140" s="520"/>
      <c r="BA140" s="520"/>
      <c r="BB140" s="520"/>
      <c r="BC140" s="524"/>
      <c r="BD140" s="520"/>
      <c r="BE140" s="520"/>
      <c r="BF140" s="520"/>
      <c r="BG140" s="524"/>
      <c r="BH140" s="520"/>
      <c r="BI140" s="520"/>
      <c r="BJ140" s="520"/>
      <c r="BK140" s="524"/>
      <c r="BL140" s="520"/>
      <c r="BM140" s="520"/>
      <c r="BN140" s="520"/>
      <c r="BO140" s="524"/>
      <c r="BP140" s="520"/>
      <c r="BQ140" s="520"/>
      <c r="BR140" s="520"/>
      <c r="BS140" s="524"/>
      <c r="BT140" s="520"/>
      <c r="BU140" s="520"/>
      <c r="BV140" s="520"/>
      <c r="BW140" s="524"/>
      <c r="BX140" s="520"/>
      <c r="BY140" s="520"/>
      <c r="BZ140" s="520"/>
      <c r="CA140" s="524"/>
      <c r="CB140" s="520"/>
      <c r="CC140" s="520"/>
      <c r="CD140" s="520"/>
      <c r="CE140" s="524"/>
      <c r="CF140" s="520"/>
      <c r="CG140" s="520"/>
      <c r="CH140" s="520"/>
      <c r="CI140" s="524"/>
      <c r="CJ140" s="520"/>
      <c r="CK140" s="520"/>
      <c r="CL140" s="520"/>
      <c r="CM140" s="524"/>
      <c r="CN140" s="560"/>
      <c r="CO140" s="560"/>
      <c r="CP140" s="560"/>
      <c r="CQ140" s="1164"/>
      <c r="CR140" s="935"/>
      <c r="CS140" s="935"/>
      <c r="CT140" s="935"/>
      <c r="CU140" s="922"/>
      <c r="CV140" s="406"/>
      <c r="CW140" s="654"/>
      <c r="CX140" s="522"/>
      <c r="CY140" s="522"/>
      <c r="CZ140" s="522"/>
      <c r="DA140" s="561"/>
      <c r="DB140" s="561"/>
      <c r="DC140" s="520"/>
      <c r="DD140" s="520"/>
      <c r="DE140" s="520"/>
      <c r="DF140" s="520"/>
      <c r="DG140" s="520"/>
      <c r="DH140" s="520"/>
      <c r="DI140" s="520"/>
      <c r="DJ140" s="520"/>
      <c r="DK140" s="520"/>
      <c r="DL140" s="520"/>
      <c r="DM140" s="520"/>
      <c r="DN140" s="520"/>
      <c r="DO140" s="520"/>
      <c r="DP140" s="520"/>
      <c r="DQ140" s="520"/>
      <c r="DR140" s="520"/>
      <c r="DS140" s="520"/>
      <c r="DT140" s="520"/>
      <c r="DU140" s="520"/>
      <c r="DV140" s="520"/>
      <c r="DW140" s="520"/>
      <c r="DX140" s="520"/>
      <c r="DY140" s="520"/>
      <c r="DZ140" s="520"/>
      <c r="EA140" s="436"/>
      <c r="EB140"/>
      <c r="EC140"/>
      <c r="ED140"/>
      <c r="EE140"/>
      <c r="EF140"/>
      <c r="EG140"/>
    </row>
    <row r="141" spans="1:137" s="410" customFormat="1">
      <c r="A141" s="400"/>
      <c r="B141" s="562" t="s">
        <v>358</v>
      </c>
      <c r="C141" s="658"/>
      <c r="D141" s="432"/>
      <c r="E141" s="433"/>
      <c r="F141" s="433"/>
      <c r="G141" s="434"/>
      <c r="H141" s="433"/>
      <c r="I141" s="433"/>
      <c r="J141" s="433"/>
      <c r="K141" s="434"/>
      <c r="L141" s="433"/>
      <c r="M141" s="433"/>
      <c r="N141" s="433"/>
      <c r="O141" s="434"/>
      <c r="P141" s="433"/>
      <c r="Q141" s="433"/>
      <c r="R141" s="433"/>
      <c r="S141" s="434"/>
      <c r="T141" s="433"/>
      <c r="U141" s="433"/>
      <c r="V141" s="433"/>
      <c r="W141" s="434"/>
      <c r="X141" s="564">
        <v>-63</v>
      </c>
      <c r="Y141" s="564">
        <f>-43.5-X141</f>
        <v>19.5</v>
      </c>
      <c r="Z141" s="564">
        <f>-28.3-Y141-X141</f>
        <v>15.200000000000003</v>
      </c>
      <c r="AA141" s="514">
        <f>DC141-X141-Y141-Z141</f>
        <v>46.899999999999991</v>
      </c>
      <c r="AB141" s="564">
        <v>-37.5</v>
      </c>
      <c r="AC141" s="564">
        <f>-44.7-AB141</f>
        <v>-7.2000000000000028</v>
      </c>
      <c r="AD141" s="564">
        <f>-42.1-AC141-AB141</f>
        <v>2.6000000000000014</v>
      </c>
      <c r="AE141" s="514">
        <f>DD141-AD141-AC141-AB141</f>
        <v>-6.5</v>
      </c>
      <c r="AF141" s="564">
        <v>-48.4</v>
      </c>
      <c r="AG141" s="564">
        <f>-78.1-AF141</f>
        <v>-29.699999999999996</v>
      </c>
      <c r="AH141" s="564">
        <f>-76.3-AG141-AF141</f>
        <v>1.7999999999999972</v>
      </c>
      <c r="AI141" s="514">
        <f>DE141-AH141-AG141-AF141</f>
        <v>8.8999999999999915</v>
      </c>
      <c r="AJ141" s="564">
        <v>-62.6</v>
      </c>
      <c r="AK141" s="564">
        <f>-61.2-AJ141</f>
        <v>1.3999999999999986</v>
      </c>
      <c r="AL141" s="564">
        <f>-72-AK141-AJ141</f>
        <v>-10.800000000000004</v>
      </c>
      <c r="AM141" s="514">
        <f>+DF141-AL141-AK141-AJ141</f>
        <v>-18.399999999999999</v>
      </c>
      <c r="AN141" s="564">
        <v>-102.6</v>
      </c>
      <c r="AO141" s="564">
        <f>-81.3-AN141</f>
        <v>21.299999999999997</v>
      </c>
      <c r="AP141" s="564">
        <f>-83.1-AO141-AN141</f>
        <v>-1.7999999999999972</v>
      </c>
      <c r="AQ141" s="572">
        <f>-60.4-AP141-AO141-AN141</f>
        <v>22.699999999999989</v>
      </c>
      <c r="AR141" s="564">
        <v>-55.7</v>
      </c>
      <c r="AS141" s="564">
        <f>-69.5-AR141</f>
        <v>-13.799999999999997</v>
      </c>
      <c r="AT141" s="564">
        <f>-92.5-AS141-AR141</f>
        <v>-23</v>
      </c>
      <c r="AU141" s="572">
        <f>-79.6-AT141-AS141-AR141</f>
        <v>12.900000000000006</v>
      </c>
      <c r="AV141" s="564">
        <v>-67.3</v>
      </c>
      <c r="AW141" s="564">
        <f>-58.2-AV141</f>
        <v>9.0999999999999943</v>
      </c>
      <c r="AX141" s="564">
        <f>-28.1-AW141-AV141</f>
        <v>30.1</v>
      </c>
      <c r="AY141" s="572">
        <f>-57.4-SUM(AV141:AX141)</f>
        <v>-29.299999999999997</v>
      </c>
      <c r="AZ141" s="564">
        <v>-45.3</v>
      </c>
      <c r="BA141" s="564">
        <f>-90.1-AZ141</f>
        <v>-44.8</v>
      </c>
      <c r="BB141" s="564">
        <f>-83.9-SUM(AZ141:BA141)</f>
        <v>6.1999999999999886</v>
      </c>
      <c r="BC141" s="572">
        <f>-6.2-SUM(AZ141:BB141)</f>
        <v>77.7</v>
      </c>
      <c r="BD141" s="564">
        <v>-111.2</v>
      </c>
      <c r="BE141" s="564">
        <f>-110-BD141</f>
        <v>1.2000000000000028</v>
      </c>
      <c r="BF141" s="564">
        <f>-81-SUM(BD141:BE141)</f>
        <v>29</v>
      </c>
      <c r="BG141" s="572">
        <f>163.9-SUM(BD141:BF141)</f>
        <v>244.9</v>
      </c>
      <c r="BH141" s="564">
        <v>-37.6</v>
      </c>
      <c r="BI141" s="564">
        <f>-19.1-BH141</f>
        <v>18.5</v>
      </c>
      <c r="BJ141" s="564">
        <f>-94.3-SUM(BH141:BI141)</f>
        <v>-75.199999999999989</v>
      </c>
      <c r="BK141" s="572">
        <f>-106.6-SUM(BH141:BJ141)</f>
        <v>-12.300000000000011</v>
      </c>
      <c r="BL141" s="564">
        <v>-128.6</v>
      </c>
      <c r="BM141" s="564">
        <v>-102.4</v>
      </c>
      <c r="BN141" s="564">
        <f>-270.7-SUM(BL141:BM141)</f>
        <v>-39.699999999999989</v>
      </c>
      <c r="BO141" s="572">
        <f>-239-SUM(BL141:BN141)</f>
        <v>31.699999999999989</v>
      </c>
      <c r="BP141" s="564">
        <v>-179.5</v>
      </c>
      <c r="BQ141" s="564">
        <f>-156.3-BP141</f>
        <v>23.199999999999989</v>
      </c>
      <c r="BR141" s="564">
        <f>-192.3-BQ141-BP141</f>
        <v>-36</v>
      </c>
      <c r="BS141" s="572">
        <f>-150.6-SUM(BP141:BR141)</f>
        <v>41.700000000000017</v>
      </c>
      <c r="BT141" s="564">
        <v>-167.6</v>
      </c>
      <c r="BU141" s="564">
        <v>5.4</v>
      </c>
      <c r="BV141" s="564">
        <v>80.7</v>
      </c>
      <c r="BW141" s="572">
        <f>43.8-SUM(BT141:BV141)</f>
        <v>125.29999999999998</v>
      </c>
      <c r="BX141" s="564">
        <v>-197.2</v>
      </c>
      <c r="BY141" s="564">
        <f>-220.7-BX141</f>
        <v>-23.5</v>
      </c>
      <c r="BZ141" s="564">
        <f>-195.3-(SUM(BX141:BY141))</f>
        <v>25.399999999999977</v>
      </c>
      <c r="CA141" s="572">
        <f>-91.7-(SUM(BX141:BZ141))</f>
        <v>103.60000000000001</v>
      </c>
      <c r="CB141" s="564">
        <v>-246.5</v>
      </c>
      <c r="CC141" s="564">
        <f>-265.8-(CB141)</f>
        <v>-19.300000000000011</v>
      </c>
      <c r="CD141" s="564">
        <f>-225.7-(SUM(CB141:CC141))</f>
        <v>40.100000000000023</v>
      </c>
      <c r="CE141" s="572">
        <f>-248.7-(SUM(CB141:CD141))</f>
        <v>-23</v>
      </c>
      <c r="CF141" s="564">
        <v>-202.1</v>
      </c>
      <c r="CG141" s="564">
        <f>-174.8-(CF141)</f>
        <v>27.299999999999983</v>
      </c>
      <c r="CH141" s="564">
        <f>-169.5-(SUM(CF141:CG141))</f>
        <v>5.3000000000000114</v>
      </c>
      <c r="CI141" s="572">
        <f>-81.8-(SUM(CF141:CH141))</f>
        <v>87.7</v>
      </c>
      <c r="CJ141" s="564">
        <f>+DR68-CJ68</f>
        <v>-196.20000000000005</v>
      </c>
      <c r="CK141" s="564">
        <f>-123.1-(CJ141)</f>
        <v>73.100000000000051</v>
      </c>
      <c r="CL141" s="564">
        <f>-176.2-((CJ141+CK141))</f>
        <v>-53.099999999999994</v>
      </c>
      <c r="CM141" s="572">
        <f>-137.5-SUM(CJ141:CL141)</f>
        <v>38.699999999999989</v>
      </c>
      <c r="CN141" s="564">
        <v>-215.4</v>
      </c>
      <c r="CO141" s="564">
        <f>-174-CN141</f>
        <v>41.400000000000006</v>
      </c>
      <c r="CP141" s="564">
        <f>-232-CO141-CN141</f>
        <v>-57.999999999999972</v>
      </c>
      <c r="CQ141" s="919">
        <f>+CP68-CQ68</f>
        <v>27.199999999999818</v>
      </c>
      <c r="CR141" s="932">
        <f>+CQ68-CR68</f>
        <v>-246.47023759759986</v>
      </c>
      <c r="CS141" s="932">
        <f>+CR68-CS68</f>
        <v>-47.70814828097582</v>
      </c>
      <c r="CT141" s="932">
        <f>+CS68-CT68</f>
        <v>-31.708840378009882</v>
      </c>
      <c r="CU141" s="919">
        <f>+CT68-CU68</f>
        <v>-17.87449178842553</v>
      </c>
      <c r="CV141" s="406"/>
      <c r="CW141" s="564"/>
      <c r="CX141" s="436"/>
      <c r="CY141" s="436"/>
      <c r="CZ141" s="436"/>
      <c r="DA141" s="436"/>
      <c r="DB141" s="436"/>
      <c r="DC141" s="637">
        <v>18.600000000000001</v>
      </c>
      <c r="DD141" s="637">
        <v>-48.6</v>
      </c>
      <c r="DE141" s="637">
        <v>-67.400000000000006</v>
      </c>
      <c r="DF141" s="637">
        <v>-90.4</v>
      </c>
      <c r="DG141" s="436">
        <f>+SUM(AN141:AQ141)</f>
        <v>-60.400000000000006</v>
      </c>
      <c r="DH141" s="436">
        <f>+SUM(AR141:AU141)</f>
        <v>-79.599999999999994</v>
      </c>
      <c r="DI141" s="436">
        <f>+SUM(AV141:AY141)</f>
        <v>-57.4</v>
      </c>
      <c r="DJ141" s="436">
        <f>+SUM(AZ141:BC141)</f>
        <v>-6.2000000000000028</v>
      </c>
      <c r="DK141" s="436">
        <f>+SUM(BD141:BG141)</f>
        <v>163.9</v>
      </c>
      <c r="DL141" s="436">
        <f>+SUM(BH141:BK141)</f>
        <v>-106.6</v>
      </c>
      <c r="DM141" s="436">
        <f>+SUM(BL141:BO141)</f>
        <v>-239</v>
      </c>
      <c r="DN141" s="436">
        <f t="shared" ref="DN141:DN145" si="495">SUM(BP141:BS141)</f>
        <v>-150.6</v>
      </c>
      <c r="DO141" s="436">
        <f t="shared" ref="DO141:DO145" si="496">SUM(BT141:BW141)</f>
        <v>43.8</v>
      </c>
      <c r="DP141" s="436">
        <f t="shared" ref="DP141:DP145" si="497">SUM(BX141:CA141)</f>
        <v>-91.7</v>
      </c>
      <c r="DQ141" s="436">
        <f t="shared" ref="DQ141:DQ145" si="498">SUM(CB141:CE141)</f>
        <v>-248.7</v>
      </c>
      <c r="DR141" s="436">
        <f t="shared" ref="DR141:DR145" si="499">SUM(CF141:CI141)</f>
        <v>-81.8</v>
      </c>
      <c r="DS141" s="436">
        <f t="shared" ref="DS141:DS145" si="500">SUM(CJ141:CM141)</f>
        <v>-137.5</v>
      </c>
      <c r="DT141" s="436">
        <f t="shared" ref="DT141:DT145" si="501">SUM(CN141:CQ141)</f>
        <v>-204.80000000000015</v>
      </c>
      <c r="DU141" s="436">
        <f t="shared" ref="DU141:DU145" si="502">SUM(CR141:CU141)</f>
        <v>-343.76171804501109</v>
      </c>
      <c r="DV141" s="437">
        <f>+DU68-DV68</f>
        <v>-147.20307140290652</v>
      </c>
      <c r="DW141" s="437">
        <f>+DV68-DW68</f>
        <v>-135.44512790502722</v>
      </c>
      <c r="DX141" s="437">
        <f t="shared" ref="DX141:DZ141" si="503">+DW68-DX68</f>
        <v>-126.29636481125226</v>
      </c>
      <c r="DY141" s="437">
        <f t="shared" si="503"/>
        <v>-95.918470689310197</v>
      </c>
      <c r="DZ141" s="437">
        <f t="shared" si="503"/>
        <v>-57.403727154849093</v>
      </c>
      <c r="EA141" s="512"/>
      <c r="EB141"/>
      <c r="EC141"/>
      <c r="ED141"/>
      <c r="EE141"/>
      <c r="EF141"/>
      <c r="EG141"/>
    </row>
    <row r="142" spans="1:137" s="410" customFormat="1">
      <c r="A142" s="400"/>
      <c r="B142" s="562" t="s">
        <v>95</v>
      </c>
      <c r="C142" s="658"/>
      <c r="D142" s="432"/>
      <c r="E142" s="433"/>
      <c r="F142" s="433"/>
      <c r="G142" s="434"/>
      <c r="H142" s="433"/>
      <c r="I142" s="433"/>
      <c r="J142" s="433"/>
      <c r="K142" s="434"/>
      <c r="L142" s="433"/>
      <c r="M142" s="433"/>
      <c r="N142" s="433"/>
      <c r="O142" s="434"/>
      <c r="P142" s="433"/>
      <c r="Q142" s="433"/>
      <c r="R142" s="433"/>
      <c r="S142" s="434"/>
      <c r="T142" s="433"/>
      <c r="U142" s="433"/>
      <c r="V142" s="433"/>
      <c r="W142" s="434"/>
      <c r="X142" s="564">
        <v>-16.8</v>
      </c>
      <c r="Y142" s="564">
        <f>-21.3-X142</f>
        <v>-4.5</v>
      </c>
      <c r="Z142" s="564">
        <f>-27.3-Y142-X142</f>
        <v>-6</v>
      </c>
      <c r="AA142" s="514">
        <f>DC142-X142-Y142-Z142</f>
        <v>12.600000000000001</v>
      </c>
      <c r="AB142" s="564">
        <v>6.1</v>
      </c>
      <c r="AC142" s="564">
        <f>10.5-AB142</f>
        <v>4.4000000000000004</v>
      </c>
      <c r="AD142" s="564">
        <f>8-AC142-AB142</f>
        <v>-2.5</v>
      </c>
      <c r="AE142" s="514">
        <f>DD142-AD142-AC142-AB142</f>
        <v>2.0999999999999996</v>
      </c>
      <c r="AF142" s="564">
        <v>-0.5</v>
      </c>
      <c r="AG142" s="564">
        <f>-8.3-AF142</f>
        <v>-7.8000000000000007</v>
      </c>
      <c r="AH142" s="564">
        <f>-24.9-AG142-AF142</f>
        <v>-16.599999999999998</v>
      </c>
      <c r="AI142" s="514">
        <f>DE142-AH142-AG142-AF142</f>
        <v>-4.4000000000000021</v>
      </c>
      <c r="AJ142" s="564">
        <v>-8</v>
      </c>
      <c r="AK142" s="564">
        <f>-6.9-AJ142</f>
        <v>1.0999999999999996</v>
      </c>
      <c r="AL142" s="564">
        <f>-12-AK142-AJ142</f>
        <v>-5.0999999999999996</v>
      </c>
      <c r="AM142" s="514">
        <f>+DF142-AL142-AK142-AJ142</f>
        <v>2.9000000000000004</v>
      </c>
      <c r="AN142" s="564">
        <v>-14.2</v>
      </c>
      <c r="AO142" s="564">
        <f>-16.1-AN142</f>
        <v>-1.9000000000000021</v>
      </c>
      <c r="AP142" s="564">
        <f>-20-AO142-AN142</f>
        <v>-3.8999999999999986</v>
      </c>
      <c r="AQ142" s="572">
        <f>-12.7-AP142-AO142-AN142</f>
        <v>7.3000000000000007</v>
      </c>
      <c r="AR142" s="564">
        <v>2.4</v>
      </c>
      <c r="AS142" s="564">
        <f>-33.5-AR142</f>
        <v>-35.9</v>
      </c>
      <c r="AT142" s="564">
        <f>-31.4-AS142-AR142</f>
        <v>2.1</v>
      </c>
      <c r="AU142" s="572">
        <f>-30.1-AT142-AS142-AR142</f>
        <v>1.2999999999999958</v>
      </c>
      <c r="AV142" s="564">
        <v>-4.3</v>
      </c>
      <c r="AW142" s="564">
        <f>-9.9-AV142</f>
        <v>-5.6000000000000005</v>
      </c>
      <c r="AX142" s="564">
        <f>-30.7-AW142-AV142</f>
        <v>-20.799999999999997</v>
      </c>
      <c r="AY142" s="572">
        <f>-32.7-SUM(AV142:AX142)</f>
        <v>-2.0000000000000071</v>
      </c>
      <c r="AZ142" s="564">
        <v>-35.299999999999997</v>
      </c>
      <c r="BA142" s="564">
        <f>-30.4-AZ142</f>
        <v>4.8999999999999986</v>
      </c>
      <c r="BB142" s="564">
        <f>-43.8-SUM(AZ142:BA142)</f>
        <v>-13.399999999999999</v>
      </c>
      <c r="BC142" s="572">
        <f>-34.7-SUM(AZ142:BB142)</f>
        <v>9.0999999999999943</v>
      </c>
      <c r="BD142" s="564">
        <v>-5.3</v>
      </c>
      <c r="BE142" s="564">
        <f>-29.9-BD142</f>
        <v>-24.599999999999998</v>
      </c>
      <c r="BF142" s="564">
        <f>-71.3-SUM(BD142:BE142)</f>
        <v>-41.4</v>
      </c>
      <c r="BG142" s="572">
        <f>-26.3-SUM(BD142:BF142)</f>
        <v>45</v>
      </c>
      <c r="BH142" s="564">
        <v>83.4</v>
      </c>
      <c r="BI142" s="564">
        <f>135.1-BH142</f>
        <v>51.699999999999989</v>
      </c>
      <c r="BJ142" s="564">
        <f>145.9-SUM(BH142:BI142)</f>
        <v>10.800000000000011</v>
      </c>
      <c r="BK142" s="572">
        <f>143-SUM(BH142:BJ142)</f>
        <v>-2.9000000000000057</v>
      </c>
      <c r="BL142" s="564">
        <v>-47.9</v>
      </c>
      <c r="BM142" s="564">
        <v>-3.3</v>
      </c>
      <c r="BN142" s="564">
        <f>-85.9-SUM(BL142:BM142)</f>
        <v>-34.70000000000001</v>
      </c>
      <c r="BO142" s="572">
        <f>-79-SUM(BL142:BN142)</f>
        <v>6.9000000000000057</v>
      </c>
      <c r="BP142" s="564">
        <v>-33.6</v>
      </c>
      <c r="BQ142" s="564">
        <f>-31-BP142</f>
        <v>2.6000000000000014</v>
      </c>
      <c r="BR142" s="564">
        <f>-47.5-BQ142-BP142</f>
        <v>-16.5</v>
      </c>
      <c r="BS142" s="572">
        <f>-38.6-SUM(BP142:BR142)</f>
        <v>8.8999999999999986</v>
      </c>
      <c r="BT142" s="564">
        <v>-19.899999999999999</v>
      </c>
      <c r="BU142" s="564">
        <v>-7.4</v>
      </c>
      <c r="BV142" s="564">
        <v>-11.2</v>
      </c>
      <c r="BW142" s="572">
        <f>-5.3-SUM(BT142:BV142)</f>
        <v>33.200000000000003</v>
      </c>
      <c r="BX142" s="564">
        <v>-18.600000000000001</v>
      </c>
      <c r="BY142" s="564">
        <f>-8.9-BX142</f>
        <v>9.7000000000000011</v>
      </c>
      <c r="BZ142" s="564">
        <f>-13-(SUM(BX142:BY142))</f>
        <v>-4.0999999999999996</v>
      </c>
      <c r="CA142" s="572">
        <f>-14.8-(SUM(BX142:BZ142))</f>
        <v>-1.8000000000000007</v>
      </c>
      <c r="CB142" s="564">
        <v>-7.9</v>
      </c>
      <c r="CC142" s="564">
        <f>-18-(CB142)</f>
        <v>-10.1</v>
      </c>
      <c r="CD142" s="564">
        <f>-50.8-(SUM(CB142:CC142))</f>
        <v>-32.799999999999997</v>
      </c>
      <c r="CE142" s="572">
        <f>-39.7-(SUM(CB142:CD142))</f>
        <v>11.099999999999994</v>
      </c>
      <c r="CF142" s="564">
        <v>-30.6</v>
      </c>
      <c r="CG142" s="564">
        <f>-41.1-(CF142)</f>
        <v>-10.5</v>
      </c>
      <c r="CH142" s="564">
        <f>-44.7-(SUM(CF142:CG142))</f>
        <v>-3.6000000000000014</v>
      </c>
      <c r="CI142" s="572">
        <f>-52.9-(SUM(CF142:CH142))</f>
        <v>-8.1999999999999957</v>
      </c>
      <c r="CJ142" s="564">
        <f>DR69-CJ69</f>
        <v>-32.699999999999932</v>
      </c>
      <c r="CK142" s="564">
        <f>-14.1-(CJ142)</f>
        <v>18.59999999999993</v>
      </c>
      <c r="CL142" s="564">
        <f>-45.5-((CJ142+CK142))</f>
        <v>-31.4</v>
      </c>
      <c r="CM142" s="572">
        <f>-36.5-SUM(CJ142:CL142)</f>
        <v>9</v>
      </c>
      <c r="CN142" s="564">
        <v>-5.5</v>
      </c>
      <c r="CO142" s="564">
        <f>-31.2-CN142</f>
        <v>-25.7</v>
      </c>
      <c r="CP142" s="564">
        <f>-70.8-CO142-CN142</f>
        <v>-39.599999999999994</v>
      </c>
      <c r="CQ142" s="919">
        <f>CP69-CQ69</f>
        <v>7.1000000000000227</v>
      </c>
      <c r="CR142" s="932">
        <f>CQ69-CR69</f>
        <v>-30.345355415984045</v>
      </c>
      <c r="CS142" s="932">
        <f>CR69-CS69</f>
        <v>-36.573695231251918</v>
      </c>
      <c r="CT142" s="932">
        <f>CS69-CT69</f>
        <v>-5.4636884052378036</v>
      </c>
      <c r="CU142" s="919">
        <f>CT69-CU69</f>
        <v>-74.644374580692443</v>
      </c>
      <c r="CV142" s="406"/>
      <c r="CW142" s="564"/>
      <c r="CX142" s="436"/>
      <c r="CY142" s="436"/>
      <c r="CZ142" s="436"/>
      <c r="DA142" s="436"/>
      <c r="DB142" s="436"/>
      <c r="DC142" s="637">
        <v>-14.7</v>
      </c>
      <c r="DD142" s="637">
        <v>10.1</v>
      </c>
      <c r="DE142" s="637">
        <v>-29.3</v>
      </c>
      <c r="DF142" s="637">
        <v>-9.1</v>
      </c>
      <c r="DG142" s="436">
        <f>+SUM(AN142:AQ142)</f>
        <v>-12.7</v>
      </c>
      <c r="DH142" s="436">
        <f>+SUM(AR142:AU142)</f>
        <v>-30.1</v>
      </c>
      <c r="DI142" s="436">
        <f>+SUM(AV142:AY142)</f>
        <v>-32.700000000000003</v>
      </c>
      <c r="DJ142" s="436">
        <f>+SUM(AZ142:BC142)</f>
        <v>-34.700000000000003</v>
      </c>
      <c r="DK142" s="436">
        <f>+SUM(BD142:BG142)</f>
        <v>-26.299999999999997</v>
      </c>
      <c r="DL142" s="436">
        <f>+SUM(BH142:BK142)</f>
        <v>143</v>
      </c>
      <c r="DM142" s="436">
        <f>+SUM(BL142:BO142)</f>
        <v>-79</v>
      </c>
      <c r="DN142" s="436">
        <f t="shared" si="495"/>
        <v>-38.6</v>
      </c>
      <c r="DO142" s="436">
        <f t="shared" si="496"/>
        <v>-5.2999999999999972</v>
      </c>
      <c r="DP142" s="436">
        <f t="shared" si="497"/>
        <v>-14.8</v>
      </c>
      <c r="DQ142" s="436">
        <f t="shared" si="498"/>
        <v>-39.700000000000003</v>
      </c>
      <c r="DR142" s="436">
        <f t="shared" si="499"/>
        <v>-52.9</v>
      </c>
      <c r="DS142" s="436">
        <f t="shared" si="500"/>
        <v>-36.5</v>
      </c>
      <c r="DT142" s="436">
        <f t="shared" si="501"/>
        <v>-63.699999999999974</v>
      </c>
      <c r="DU142" s="436">
        <f t="shared" si="502"/>
        <v>-147.02711363316621</v>
      </c>
      <c r="DV142" s="437">
        <f>DU69-DV69</f>
        <v>-54.756970880137033</v>
      </c>
      <c r="DW142" s="437">
        <f>DV69-DW69</f>
        <v>-50.058504207919896</v>
      </c>
      <c r="DX142" s="437">
        <f t="shared" ref="DX142:DZ142" si="504">DW69-DX69</f>
        <v>-46.389149628790847</v>
      </c>
      <c r="DY142" s="437">
        <f t="shared" si="504"/>
        <v>-34.659864914724722</v>
      </c>
      <c r="DZ142" s="437">
        <f t="shared" si="504"/>
        <v>-19.913138760317224</v>
      </c>
      <c r="EA142" s="512"/>
      <c r="EB142"/>
      <c r="EC142"/>
      <c r="ED142"/>
      <c r="EE142"/>
      <c r="EF142"/>
      <c r="EG142"/>
    </row>
    <row r="143" spans="1:137" s="410" customFormat="1">
      <c r="A143" s="400"/>
      <c r="B143" s="562" t="s">
        <v>324</v>
      </c>
      <c r="C143" s="658"/>
      <c r="D143" s="432"/>
      <c r="E143" s="433"/>
      <c r="F143" s="433"/>
      <c r="G143" s="434"/>
      <c r="H143" s="433"/>
      <c r="I143" s="433"/>
      <c r="J143" s="433"/>
      <c r="K143" s="434"/>
      <c r="L143" s="433"/>
      <c r="M143" s="433"/>
      <c r="N143" s="433"/>
      <c r="O143" s="434"/>
      <c r="P143" s="433"/>
      <c r="Q143" s="433"/>
      <c r="R143" s="433"/>
      <c r="S143" s="434"/>
      <c r="T143" s="433"/>
      <c r="U143" s="433"/>
      <c r="V143" s="433"/>
      <c r="W143" s="434"/>
      <c r="X143" s="564">
        <v>-3.2</v>
      </c>
      <c r="Y143" s="564">
        <f>-7.6-X143</f>
        <v>-4.3999999999999995</v>
      </c>
      <c r="Z143" s="564">
        <f>-8.4-Y143-X143</f>
        <v>-0.80000000000000071</v>
      </c>
      <c r="AA143" s="514">
        <f>DC143-X143-Y143-Z143</f>
        <v>20</v>
      </c>
      <c r="AB143" s="564">
        <v>-3.8</v>
      </c>
      <c r="AC143" s="564">
        <f>-2.3-AB143</f>
        <v>1.5</v>
      </c>
      <c r="AD143" s="564">
        <f>-3.6-AC143-AB143</f>
        <v>-1.2999999999999998</v>
      </c>
      <c r="AE143" s="514">
        <f>DD143-AD143-AC143-AB143</f>
        <v>3.6999999999999997</v>
      </c>
      <c r="AF143" s="564">
        <v>-0.5</v>
      </c>
      <c r="AG143" s="564">
        <f>0.7-AF143</f>
        <v>1.2</v>
      </c>
      <c r="AH143" s="564">
        <f>-13.3-AG143-AF143</f>
        <v>-14</v>
      </c>
      <c r="AI143" s="514">
        <f>DE143-AH143-AG143-AF143</f>
        <v>9.9</v>
      </c>
      <c r="AJ143" s="564">
        <v>4.2</v>
      </c>
      <c r="AK143" s="564">
        <f>-2.1-AJ143</f>
        <v>-6.3000000000000007</v>
      </c>
      <c r="AL143" s="564">
        <f>9.6-AK143-AJ143</f>
        <v>11.7</v>
      </c>
      <c r="AM143" s="514">
        <f>+DF143-AL143-AK143-AJ143</f>
        <v>-2.2999999999999989</v>
      </c>
      <c r="AN143" s="564">
        <f>-8.3-40.5</f>
        <v>-48.8</v>
      </c>
      <c r="AO143" s="564">
        <f>-10.2-6-AN143</f>
        <v>32.599999999999994</v>
      </c>
      <c r="AP143" s="564">
        <f>-8.5-AO143-AN143</f>
        <v>7.7000000000000028</v>
      </c>
      <c r="AQ143" s="572">
        <f>-7-AP143-AO143-AN143</f>
        <v>1.5</v>
      </c>
      <c r="AR143" s="564">
        <v>7.3</v>
      </c>
      <c r="AS143" s="564">
        <f>-11.2-AR143</f>
        <v>-18.5</v>
      </c>
      <c r="AT143" s="564">
        <f>-19-AS143-AR143</f>
        <v>-7.8</v>
      </c>
      <c r="AU143" s="572">
        <f>19.9-AT143-AS143-AR143</f>
        <v>38.900000000000006</v>
      </c>
      <c r="AV143" s="564">
        <v>3.7</v>
      </c>
      <c r="AW143" s="564">
        <f>-0.1-AV143</f>
        <v>-3.8000000000000003</v>
      </c>
      <c r="AX143" s="564">
        <f>-32.4-AW143-AV143</f>
        <v>-32.299999999999997</v>
      </c>
      <c r="AY143" s="572">
        <f>-25.2-SUM(AV143:AX143)</f>
        <v>7.1999999999999993</v>
      </c>
      <c r="AZ143" s="564">
        <v>-12.2</v>
      </c>
      <c r="BA143" s="564">
        <f>-4.4-AZ143</f>
        <v>7.7999999999999989</v>
      </c>
      <c r="BB143" s="564">
        <f>-4.7-SUM(AZ143:BA143)</f>
        <v>-0.29999999999999982</v>
      </c>
      <c r="BC143" s="572">
        <f>9-SUM(AZ143:BB143)</f>
        <v>13.7</v>
      </c>
      <c r="BD143" s="564">
        <v>8</v>
      </c>
      <c r="BE143" s="564">
        <f>-2.8-BD143</f>
        <v>-10.8</v>
      </c>
      <c r="BF143" s="564">
        <f>-5.3-SUM(BD143:BE143)</f>
        <v>-2.4999999999999991</v>
      </c>
      <c r="BG143" s="572">
        <f>16-SUM(BD143:BF143)</f>
        <v>21.3</v>
      </c>
      <c r="BH143" s="564">
        <v>14.9</v>
      </c>
      <c r="BI143" s="564">
        <f>4.9-BH143</f>
        <v>-10</v>
      </c>
      <c r="BJ143" s="564">
        <f>-51.4-6.5-SUM(BH143:BI143)</f>
        <v>-62.8</v>
      </c>
      <c r="BK143" s="572">
        <f>1.2-SUM(BH143:BJ143)</f>
        <v>59.1</v>
      </c>
      <c r="BL143" s="564">
        <v>-3.4</v>
      </c>
      <c r="BM143" s="564">
        <v>-13.7</v>
      </c>
      <c r="BN143" s="564">
        <f>-1.2-SUM(BL143:BM143)</f>
        <v>15.899999999999999</v>
      </c>
      <c r="BO143" s="572">
        <f>0.6-SUM(BL143:BN143)</f>
        <v>1.7999999999999994</v>
      </c>
      <c r="BP143" s="564">
        <f>-7.2-8.5</f>
        <v>-15.7</v>
      </c>
      <c r="BQ143" s="564">
        <f>-5.7-BP143</f>
        <v>10</v>
      </c>
      <c r="BR143" s="564">
        <f>-12.1+9.1-BQ143-BP143</f>
        <v>2.6999999999999993</v>
      </c>
      <c r="BS143" s="572">
        <f>-2.4-SUM(BP143:BR143)</f>
        <v>0.60000000000000009</v>
      </c>
      <c r="BT143" s="564">
        <v>-11.7</v>
      </c>
      <c r="BU143" s="564">
        <v>-3.5</v>
      </c>
      <c r="BV143" s="564">
        <v>40.9</v>
      </c>
      <c r="BW143" s="572">
        <f>-15.4-SUM(BT143:BV143)</f>
        <v>-41.1</v>
      </c>
      <c r="BX143" s="564">
        <v>-11.9</v>
      </c>
      <c r="BY143" s="564">
        <f>-26.7-BX143</f>
        <v>-14.799999999999999</v>
      </c>
      <c r="BZ143" s="564">
        <f>(-39.7-25.9)-(SUM(BX143:BY143))</f>
        <v>-38.899999999999991</v>
      </c>
      <c r="CA143" s="572">
        <f>-14.2-(SUM(BX143:BZ143))</f>
        <v>51.399999999999991</v>
      </c>
      <c r="CB143" s="564">
        <v>-30.9</v>
      </c>
      <c r="CC143" s="564">
        <f>-17-(CB143)</f>
        <v>13.899999999999999</v>
      </c>
      <c r="CD143" s="564">
        <f>(-30.5-30.6)-(SUM(CB143:CC143))</f>
        <v>-44.1</v>
      </c>
      <c r="CE143" s="572">
        <f>12.7-(SUM(CB143:CD143))-28.7</f>
        <v>45.099999999999994</v>
      </c>
      <c r="CF143" s="564">
        <v>-7.8</v>
      </c>
      <c r="CG143" s="564">
        <f>-17.2-(CF143)</f>
        <v>-9.3999999999999986</v>
      </c>
      <c r="CH143" s="564">
        <f>(-10.3+13.9)-(SUM(CF143:CG143))</f>
        <v>20.799999999999997</v>
      </c>
      <c r="CI143" s="572">
        <f>34.6-(SUM(CF143:CH143))</f>
        <v>31.000000000000004</v>
      </c>
      <c r="CJ143" s="564">
        <f>DR72-CJ72+DR71-CJ71</f>
        <v>-3.5999999999999943</v>
      </c>
      <c r="CK143" s="564">
        <f>-0.9-(CJ143)</f>
        <v>2.6999999999999944</v>
      </c>
      <c r="CL143" s="564">
        <f>(3.9-33.1)-((CJ143+CK143))</f>
        <v>-28.300000000000004</v>
      </c>
      <c r="CM143" s="572">
        <f>-14.2-SUM(CJ143:CL143)</f>
        <v>15.000000000000004</v>
      </c>
      <c r="CN143" s="564">
        <v>-16.5</v>
      </c>
      <c r="CO143" s="564">
        <f>-13.4-20.2-CN143</f>
        <v>-17.100000000000001</v>
      </c>
      <c r="CP143" s="564">
        <f>-9.1-18.1-CO143-CN143</f>
        <v>6.3999999999999986</v>
      </c>
      <c r="CQ143" s="919"/>
      <c r="CR143" s="932"/>
      <c r="CS143" s="932"/>
      <c r="CT143" s="932"/>
      <c r="CU143" s="919"/>
      <c r="CV143" s="406"/>
      <c r="CW143" s="564"/>
      <c r="CX143" s="436"/>
      <c r="CY143" s="436"/>
      <c r="CZ143" s="436"/>
      <c r="DA143" s="436"/>
      <c r="DB143" s="436"/>
      <c r="DC143" s="637">
        <v>11.6</v>
      </c>
      <c r="DD143" s="637">
        <v>0.1</v>
      </c>
      <c r="DE143" s="637">
        <v>-3.4</v>
      </c>
      <c r="DF143" s="637">
        <v>7.3</v>
      </c>
      <c r="DG143" s="436">
        <f>+SUM(AN143:AQ143)</f>
        <v>-7</v>
      </c>
      <c r="DH143" s="436">
        <f>+SUM(AR143:AU143)</f>
        <v>19.900000000000006</v>
      </c>
      <c r="DI143" s="436">
        <f>+SUM(AV143:AY143)</f>
        <v>-25.2</v>
      </c>
      <c r="DJ143" s="436">
        <f>+SUM(AZ143:BC143)</f>
        <v>9</v>
      </c>
      <c r="DK143" s="436">
        <f>+SUM(BD143:BG143)</f>
        <v>16</v>
      </c>
      <c r="DL143" s="436">
        <f>+SUM(BH143:BK143)</f>
        <v>1.2000000000000028</v>
      </c>
      <c r="DM143" s="436">
        <f>+SUM(BL143:BO143)</f>
        <v>0.60000000000000009</v>
      </c>
      <c r="DN143" s="436">
        <f t="shared" si="495"/>
        <v>-2.4</v>
      </c>
      <c r="DO143" s="436">
        <f t="shared" si="496"/>
        <v>-15.400000000000002</v>
      </c>
      <c r="DP143" s="436">
        <f t="shared" si="497"/>
        <v>-14.200000000000003</v>
      </c>
      <c r="DQ143" s="436">
        <f t="shared" si="498"/>
        <v>-16.000000000000007</v>
      </c>
      <c r="DR143" s="436">
        <f t="shared" si="499"/>
        <v>34.6</v>
      </c>
      <c r="DS143" s="436">
        <f t="shared" si="500"/>
        <v>-14.2</v>
      </c>
      <c r="DT143" s="436">
        <f t="shared" si="501"/>
        <v>-27.200000000000003</v>
      </c>
      <c r="DU143" s="436">
        <f t="shared" si="502"/>
        <v>0</v>
      </c>
      <c r="DV143" s="437"/>
      <c r="DW143" s="437"/>
      <c r="DX143" s="437"/>
      <c r="DY143" s="437"/>
      <c r="DZ143" s="437"/>
      <c r="EA143" s="512"/>
      <c r="EB143"/>
      <c r="EC143"/>
      <c r="ED143"/>
      <c r="EE143"/>
      <c r="EF143"/>
      <c r="EG143"/>
    </row>
    <row r="144" spans="1:137" s="410" customFormat="1">
      <c r="A144" s="400"/>
      <c r="B144" s="562" t="s">
        <v>100</v>
      </c>
      <c r="C144" s="658"/>
      <c r="D144" s="432"/>
      <c r="E144" s="433"/>
      <c r="F144" s="433"/>
      <c r="G144" s="434"/>
      <c r="H144" s="433"/>
      <c r="I144" s="433"/>
      <c r="J144" s="433"/>
      <c r="K144" s="434"/>
      <c r="L144" s="433"/>
      <c r="M144" s="433"/>
      <c r="N144" s="433"/>
      <c r="O144" s="434"/>
      <c r="P144" s="433"/>
      <c r="Q144" s="433"/>
      <c r="R144" s="433"/>
      <c r="S144" s="434"/>
      <c r="T144" s="433"/>
      <c r="U144" s="433"/>
      <c r="V144" s="433"/>
      <c r="W144" s="434"/>
      <c r="X144" s="564">
        <v>17.5</v>
      </c>
      <c r="Y144" s="564">
        <f>19.1-X144</f>
        <v>1.6000000000000014</v>
      </c>
      <c r="Z144" s="564">
        <f>-1.2-Y144-X144</f>
        <v>-20.3</v>
      </c>
      <c r="AA144" s="514">
        <f>DC144-X144-Y144-Z144</f>
        <v>8.1999999999999993</v>
      </c>
      <c r="AB144" s="564">
        <v>-35.4</v>
      </c>
      <c r="AC144" s="564">
        <f>-8-AB144</f>
        <v>27.4</v>
      </c>
      <c r="AD144" s="564">
        <f>7.4-AC144-AB144</f>
        <v>15.399999999999999</v>
      </c>
      <c r="AE144" s="514">
        <f>DD144-AD144-AC144-AB144</f>
        <v>15.600000000000001</v>
      </c>
      <c r="AF144" s="564">
        <v>16.399999999999999</v>
      </c>
      <c r="AG144" s="564">
        <f>35.5-AF144</f>
        <v>19.100000000000001</v>
      </c>
      <c r="AH144" s="564">
        <f>43.7-AG144-AF144</f>
        <v>8.2000000000000028</v>
      </c>
      <c r="AI144" s="514">
        <f>DE144-AH144-AG144-AF144</f>
        <v>-58.4</v>
      </c>
      <c r="AJ144" s="564">
        <v>9.9</v>
      </c>
      <c r="AK144" s="564">
        <f>6.7-AJ144</f>
        <v>-3.2</v>
      </c>
      <c r="AL144" s="564">
        <f>-0.5-AK144-AJ144</f>
        <v>-7.2</v>
      </c>
      <c r="AM144" s="514">
        <f>+DF144-AL144-AK144-AJ144</f>
        <v>0.20000000000000107</v>
      </c>
      <c r="AN144" s="564">
        <v>91.2</v>
      </c>
      <c r="AO144" s="564">
        <f>92.6-AN144</f>
        <v>1.3999999999999915</v>
      </c>
      <c r="AP144" s="564">
        <f>82.8-AO144-AN144</f>
        <v>-9.7999999999999972</v>
      </c>
      <c r="AQ144" s="572">
        <f>113.1-AP144-AO144-AN144</f>
        <v>30.299999999999997</v>
      </c>
      <c r="AR144" s="564">
        <v>19.5</v>
      </c>
      <c r="AS144" s="564">
        <f>108.9-AR144</f>
        <v>89.4</v>
      </c>
      <c r="AT144" s="564">
        <f>108.9-AS144-AR144</f>
        <v>0</v>
      </c>
      <c r="AU144" s="572">
        <f>137.6-AT144-AS144-AR144</f>
        <v>28.699999999999989</v>
      </c>
      <c r="AV144" s="564">
        <v>-0.3</v>
      </c>
      <c r="AW144" s="564">
        <f>26.1-AV144</f>
        <v>26.400000000000002</v>
      </c>
      <c r="AX144" s="564">
        <f>-18-AW144-AV144</f>
        <v>-44.100000000000009</v>
      </c>
      <c r="AY144" s="572">
        <f>-8.1-SUM(AV144:AX144)</f>
        <v>9.9000000000000075</v>
      </c>
      <c r="AZ144" s="564">
        <v>49.9</v>
      </c>
      <c r="BA144" s="564">
        <f>68.9-AZ144</f>
        <v>19.000000000000007</v>
      </c>
      <c r="BB144" s="564">
        <f>91.1-SUM(AZ144:BA144)</f>
        <v>22.199999999999989</v>
      </c>
      <c r="BC144" s="572">
        <f>94.2-SUM(AZ144:BB144)</f>
        <v>3.1000000000000085</v>
      </c>
      <c r="BD144" s="564">
        <v>22.2</v>
      </c>
      <c r="BE144" s="564">
        <f>86.7-BD144</f>
        <v>64.5</v>
      </c>
      <c r="BF144" s="564">
        <f>9.6-SUM(BD144:BE144)</f>
        <v>-77.100000000000009</v>
      </c>
      <c r="BG144" s="572">
        <f>-195.6-SUM(BD144:BF144)</f>
        <v>-205.2</v>
      </c>
      <c r="BH144" s="564">
        <v>-54.3</v>
      </c>
      <c r="BI144" s="564">
        <f>-45.9-BH144</f>
        <v>8.3999999999999986</v>
      </c>
      <c r="BJ144" s="564">
        <f>24.5-SUM(BH144:BI144)</f>
        <v>70.400000000000006</v>
      </c>
      <c r="BK144" s="572">
        <f>98.9-SUM(BH144:BJ144)</f>
        <v>74.400000000000006</v>
      </c>
      <c r="BL144" s="564">
        <v>102.2</v>
      </c>
      <c r="BM144" s="564">
        <v>75.3</v>
      </c>
      <c r="BN144" s="564">
        <f>164.5-SUM(BL144:BM144)</f>
        <v>-13</v>
      </c>
      <c r="BO144" s="572">
        <f>169.4-SUM(BL144:BN144)</f>
        <v>4.9000000000000057</v>
      </c>
      <c r="BP144" s="564">
        <v>8.8000000000000007</v>
      </c>
      <c r="BQ144" s="564">
        <f>25.3-BP144</f>
        <v>16.5</v>
      </c>
      <c r="BR144" s="564">
        <f>84.8-BQ144-BP144</f>
        <v>59.5</v>
      </c>
      <c r="BS144" s="572">
        <f>53-SUM(BP144:BR144)</f>
        <v>-31.799999999999997</v>
      </c>
      <c r="BT144" s="564">
        <v>-4</v>
      </c>
      <c r="BU144" s="564">
        <v>29.9</v>
      </c>
      <c r="BV144" s="564">
        <v>-28</v>
      </c>
      <c r="BW144" s="572">
        <f>-27.1-SUM(BT144:BV144)</f>
        <v>-25</v>
      </c>
      <c r="BX144" s="564">
        <v>54.8</v>
      </c>
      <c r="BY144" s="564">
        <f>102.6-BX144</f>
        <v>47.8</v>
      </c>
      <c r="BZ144" s="564">
        <f>85.5-(SUM(BX144:BY144))</f>
        <v>-17.099999999999994</v>
      </c>
      <c r="CA144" s="572">
        <f>33.1-(SUM(BX144:BZ144))</f>
        <v>-52.4</v>
      </c>
      <c r="CB144" s="564">
        <v>69.3</v>
      </c>
      <c r="CC144" s="564">
        <f>120-(CB144)</f>
        <v>50.7</v>
      </c>
      <c r="CD144" s="564">
        <f>74.4-(SUM(CB144:CC144))</f>
        <v>-45.599999999999994</v>
      </c>
      <c r="CE144" s="572">
        <f>129.1-(SUM(CB144:CD144))</f>
        <v>54.699999999999989</v>
      </c>
      <c r="CF144" s="564">
        <v>32.5</v>
      </c>
      <c r="CG144" s="564">
        <f>28.8-(CF144)</f>
        <v>-3.6999999999999993</v>
      </c>
      <c r="CH144" s="564">
        <f>-53.3-(SUM(CF144:CG144))</f>
        <v>-82.1</v>
      </c>
      <c r="CI144" s="572">
        <f>23.1-(SUM(CF144:CH144))</f>
        <v>76.400000000000006</v>
      </c>
      <c r="CJ144" s="564">
        <f>+CJ83-DR83+CJ82-DR82</f>
        <v>-22</v>
      </c>
      <c r="CK144" s="564">
        <f>-54.3-(CJ144)</f>
        <v>-32.299999999999997</v>
      </c>
      <c r="CL144" s="564">
        <f>-14-((CJ144+CK144))</f>
        <v>40.299999999999997</v>
      </c>
      <c r="CM144" s="572">
        <f>134.9-SUM(CJ144:CL144)</f>
        <v>148.9</v>
      </c>
      <c r="CN144" s="564">
        <v>-16.3</v>
      </c>
      <c r="CO144" s="564">
        <f>-0.7-CN144</f>
        <v>15.600000000000001</v>
      </c>
      <c r="CP144" s="564">
        <f>49.8-CO144-CN144</f>
        <v>50.5</v>
      </c>
      <c r="CQ144" s="919">
        <f>+CQ83-CP83+CQ82-CP82</f>
        <v>36.700000000000216</v>
      </c>
      <c r="CR144" s="932">
        <f>+CR83-CQ83+CR82-CQ82</f>
        <v>-17.544150500762044</v>
      </c>
      <c r="CS144" s="932">
        <f>+CS83-CR83+CS82-CR82</f>
        <v>83.080693833245277</v>
      </c>
      <c r="CT144" s="932">
        <f>+CT83-CS83+CT82-CS82</f>
        <v>1.7303649606178624</v>
      </c>
      <c r="CU144" s="919">
        <f>+CU83-CT83+CU82-CT82</f>
        <v>185.62826346932255</v>
      </c>
      <c r="CV144" s="406"/>
      <c r="CW144" s="564"/>
      <c r="CX144" s="436"/>
      <c r="CY144" s="436"/>
      <c r="CZ144" s="436"/>
      <c r="DA144" s="436"/>
      <c r="DB144" s="436"/>
      <c r="DC144" s="637">
        <v>7</v>
      </c>
      <c r="DD144" s="637">
        <v>23</v>
      </c>
      <c r="DE144" s="637">
        <v>-14.7</v>
      </c>
      <c r="DF144" s="637">
        <v>-0.3</v>
      </c>
      <c r="DG144" s="436">
        <f>+SUM(AN144:AQ144)</f>
        <v>113.1</v>
      </c>
      <c r="DH144" s="436">
        <f>+SUM(AR144:AU144)</f>
        <v>137.6</v>
      </c>
      <c r="DI144" s="436">
        <f>+SUM(AV144:AY144)</f>
        <v>-8.1</v>
      </c>
      <c r="DJ144" s="436">
        <f>+SUM(AZ144:BC144)</f>
        <v>94.2</v>
      </c>
      <c r="DK144" s="436">
        <f>+SUM(BD144:BG144)</f>
        <v>-195.6</v>
      </c>
      <c r="DL144" s="436">
        <f>+SUM(BH144:BK144)</f>
        <v>98.9</v>
      </c>
      <c r="DM144" s="436">
        <f>+SUM(BL144:BO144)</f>
        <v>169.4</v>
      </c>
      <c r="DN144" s="436">
        <f t="shared" si="495"/>
        <v>53</v>
      </c>
      <c r="DO144" s="436">
        <f t="shared" si="496"/>
        <v>-27.1</v>
      </c>
      <c r="DP144" s="436">
        <f t="shared" si="497"/>
        <v>33.1</v>
      </c>
      <c r="DQ144" s="436">
        <f t="shared" si="498"/>
        <v>129.1</v>
      </c>
      <c r="DR144" s="436">
        <f t="shared" si="499"/>
        <v>23.100000000000009</v>
      </c>
      <c r="DS144" s="436">
        <f t="shared" si="500"/>
        <v>134.9</v>
      </c>
      <c r="DT144" s="436">
        <f t="shared" si="501"/>
        <v>86.500000000000213</v>
      </c>
      <c r="DU144" s="436">
        <f t="shared" si="502"/>
        <v>252.89517176242364</v>
      </c>
      <c r="DV144" s="437">
        <f>+DV83-DU83+DV82-DU82</f>
        <v>151.27386725167298</v>
      </c>
      <c r="DW144" s="437">
        <f>+DW83-DV83+DW82-DV82</f>
        <v>138.29368934491458</v>
      </c>
      <c r="DX144" s="437">
        <f t="shared" ref="DX144:DZ144" si="505">+DX83-DW83+DX82-DW82</f>
        <v>128.15657897192523</v>
      </c>
      <c r="DY144" s="437">
        <f t="shared" si="505"/>
        <v>95.752773022236852</v>
      </c>
      <c r="DZ144" s="437">
        <f t="shared" si="505"/>
        <v>55.012858837395925</v>
      </c>
      <c r="EA144" s="512"/>
      <c r="EB144"/>
      <c r="EC144"/>
      <c r="ED144"/>
      <c r="EE144"/>
      <c r="EF144"/>
      <c r="EG144"/>
    </row>
    <row r="145" spans="1:137" s="410" customFormat="1">
      <c r="A145" s="400"/>
      <c r="B145" s="563" t="s">
        <v>82</v>
      </c>
      <c r="C145" s="899"/>
      <c r="D145" s="439"/>
      <c r="E145" s="440"/>
      <c r="F145" s="440"/>
      <c r="G145" s="441"/>
      <c r="H145" s="440"/>
      <c r="I145" s="440"/>
      <c r="J145" s="440"/>
      <c r="K145" s="441"/>
      <c r="L145" s="440"/>
      <c r="M145" s="440"/>
      <c r="N145" s="440"/>
      <c r="O145" s="441"/>
      <c r="P145" s="440"/>
      <c r="Q145" s="440"/>
      <c r="R145" s="440"/>
      <c r="S145" s="441"/>
      <c r="T145" s="440"/>
      <c r="U145" s="440"/>
      <c r="V145" s="440"/>
      <c r="W145" s="441"/>
      <c r="X145" s="639">
        <v>20.6</v>
      </c>
      <c r="Y145" s="639">
        <f>3.1-X145</f>
        <v>-17.5</v>
      </c>
      <c r="Z145" s="639">
        <f>-8.9-Y145-X145</f>
        <v>-12.000000000000002</v>
      </c>
      <c r="AA145" s="575">
        <f>DC145-X145-Y145-Z145</f>
        <v>-17</v>
      </c>
      <c r="AB145" s="639">
        <v>25.2</v>
      </c>
      <c r="AC145" s="639">
        <f>20.8-AB145</f>
        <v>-4.3999999999999986</v>
      </c>
      <c r="AD145" s="639">
        <f>19.6-AC145-AB145</f>
        <v>-1.1999999999999993</v>
      </c>
      <c r="AE145" s="575">
        <f>DD145-AD145-AC145-AB145</f>
        <v>-32.299999999999997</v>
      </c>
      <c r="AF145" s="639">
        <v>14.1</v>
      </c>
      <c r="AG145" s="639">
        <f>19-AF145</f>
        <v>4.9000000000000004</v>
      </c>
      <c r="AH145" s="639">
        <f>24.1-AG145-AF145</f>
        <v>5.1000000000000032</v>
      </c>
      <c r="AI145" s="575">
        <f>DE145-AH145-AG145-AF145</f>
        <v>-10.000000000000004</v>
      </c>
      <c r="AJ145" s="639">
        <v>7.3</v>
      </c>
      <c r="AK145" s="639">
        <f>16.1-AJ145</f>
        <v>8.8000000000000007</v>
      </c>
      <c r="AL145" s="639">
        <f>24.3-AK145-AJ145</f>
        <v>8.1999999999999993</v>
      </c>
      <c r="AM145" s="575">
        <f>+DF145-AL145-AK145-AJ145</f>
        <v>-24.5</v>
      </c>
      <c r="AN145" s="639">
        <v>34.1</v>
      </c>
      <c r="AO145" s="639">
        <f>17-AN145</f>
        <v>-17.100000000000001</v>
      </c>
      <c r="AP145" s="639">
        <f>12.9-AO145-AN145</f>
        <v>-4.1000000000000014</v>
      </c>
      <c r="AQ145" s="640">
        <f>36-AP145-AO145-AN145</f>
        <v>23.1</v>
      </c>
      <c r="AR145" s="639">
        <v>-11.9</v>
      </c>
      <c r="AS145" s="639">
        <f>-39.8-SUM(AR141:AS144)-AR145-AS148-AR148</f>
        <v>16.299999999999997</v>
      </c>
      <c r="AT145" s="639">
        <f>-20.8-AS145-AR145</f>
        <v>-25.199999999999996</v>
      </c>
      <c r="AU145" s="640">
        <f>-61.7-AT145-AS145-AR145</f>
        <v>-40.900000000000006</v>
      </c>
      <c r="AV145" s="639">
        <f>3-11.9</f>
        <v>-8.9</v>
      </c>
      <c r="AW145" s="639">
        <f>-6.6+7.4-AV145</f>
        <v>9.7000000000000011</v>
      </c>
      <c r="AX145" s="639">
        <f>-7.2-0.9-AW145-AV145</f>
        <v>-8.9</v>
      </c>
      <c r="AY145" s="640">
        <f>0.5+15.9-SUM(AV145:AX145)</f>
        <v>24.5</v>
      </c>
      <c r="AZ145" s="639">
        <f>-0.5-0.7</f>
        <v>-1.2</v>
      </c>
      <c r="BA145" s="639">
        <f>-5.2+9.4-AZ145</f>
        <v>5.4</v>
      </c>
      <c r="BB145" s="639">
        <f>-8.2+14.6-SUM(AZ145:BA145)</f>
        <v>2.2000000000000002</v>
      </c>
      <c r="BC145" s="640">
        <f>-15.1+0.8-SUM(AZ145:BB145)</f>
        <v>-20.7</v>
      </c>
      <c r="BD145" s="639">
        <f>-11.4-2.6</f>
        <v>-14</v>
      </c>
      <c r="BE145" s="639">
        <f>-7.2-19.4-BD145</f>
        <v>-12.599999999999998</v>
      </c>
      <c r="BF145" s="639">
        <f>1.7-26.7-SUM(BD145:BE145)</f>
        <v>1.5999999999999979</v>
      </c>
      <c r="BG145" s="640">
        <f>-23-29.3-SUM(BD145:BF145)</f>
        <v>-27.299999999999997</v>
      </c>
      <c r="BH145" s="639">
        <f>3.8-36.5</f>
        <v>-32.700000000000003</v>
      </c>
      <c r="BI145" s="639">
        <f>-6.1-38.3-BH145</f>
        <v>-11.699999999999996</v>
      </c>
      <c r="BJ145" s="639">
        <f>-1.3-SUM(BH145:BI145)</f>
        <v>43.1</v>
      </c>
      <c r="BK145" s="640">
        <f>-6.9-112.6-SUM(BH145:BJ145)</f>
        <v>-118.2</v>
      </c>
      <c r="BL145" s="639">
        <f>10.1-7.8</f>
        <v>2.2999999999999998</v>
      </c>
      <c r="BM145" s="639">
        <v>25.5</v>
      </c>
      <c r="BN145" s="639">
        <f>42.6-7.5-SUM(BL145:BM145)</f>
        <v>7.3000000000000007</v>
      </c>
      <c r="BO145" s="640">
        <f>3.9+37.3-SUM(BL145:BN145)</f>
        <v>6.0999999999999943</v>
      </c>
      <c r="BP145" s="639">
        <v>2.2999999999999998</v>
      </c>
      <c r="BQ145" s="639">
        <f>-2.7-2.9-BP145</f>
        <v>-7.8999999999999995</v>
      </c>
      <c r="BR145" s="639">
        <f>-8-BQ145-BP145</f>
        <v>-2.4000000000000004</v>
      </c>
      <c r="BS145" s="640">
        <f>-15.4-46.1-SUM(BP145:BR145)</f>
        <v>-53.5</v>
      </c>
      <c r="BT145" s="639">
        <v>3.2</v>
      </c>
      <c r="BU145" s="639">
        <v>-3.4</v>
      </c>
      <c r="BV145" s="639">
        <v>-55.1</v>
      </c>
      <c r="BW145" s="640">
        <f>44.9-66.5-SUM(BT145:BV145)</f>
        <v>33.700000000000003</v>
      </c>
      <c r="BX145" s="639">
        <f>-27.7+10.8</f>
        <v>-16.899999999999999</v>
      </c>
      <c r="BY145" s="639">
        <f>-27.5+15.5-BX145</f>
        <v>4.8999999999999986</v>
      </c>
      <c r="BZ145" s="639">
        <f>-13-(SUM(BX145:BY145))</f>
        <v>-1</v>
      </c>
      <c r="CA145" s="640">
        <f>(-30-154.9)-(SUM(BX145:BZ145))</f>
        <v>-171.9</v>
      </c>
      <c r="CB145" s="639">
        <f>-31.4-2.2</f>
        <v>-33.6</v>
      </c>
      <c r="CC145" s="639">
        <f>(-37-59.8)-(CB145)</f>
        <v>-63.199999999999996</v>
      </c>
      <c r="CD145" s="639">
        <f>-80.5-(SUM(CB145:CC145))</f>
        <v>16.299999999999997</v>
      </c>
      <c r="CE145" s="640">
        <f>-158.9-(SUM(CB145:CD145))</f>
        <v>-78.400000000000006</v>
      </c>
      <c r="CF145" s="639">
        <f>-23.1-9.8</f>
        <v>-32.900000000000006</v>
      </c>
      <c r="CG145" s="639">
        <f>(20.1-32.1)-(CF145)</f>
        <v>20.900000000000006</v>
      </c>
      <c r="CH145" s="639">
        <f>-70.8-(SUM(CF145:CG145))</f>
        <v>-58.8</v>
      </c>
      <c r="CI145" s="640">
        <f>-95.1-9.4-SUM(CF145:CH145)</f>
        <v>-33.700000000000003</v>
      </c>
      <c r="CJ145" s="639">
        <f>-251.1-SUM(CJ141:CJ144)</f>
        <v>3.3999999999999773</v>
      </c>
      <c r="CK145" s="639">
        <f>(-1.7-15)-(CJ145)</f>
        <v>-20.099999999999977</v>
      </c>
      <c r="CL145" s="639">
        <f>0.9-((CJ145+CK145))</f>
        <v>17.599999999999998</v>
      </c>
      <c r="CM145" s="640">
        <f>-71.8+8.8-SUM(CJ145:CL145)</f>
        <v>-63.9</v>
      </c>
      <c r="CN145" s="564">
        <f>1.6-8.7</f>
        <v>-7.1</v>
      </c>
      <c r="CO145" s="564">
        <f>-31.8-CN145</f>
        <v>-24.700000000000003</v>
      </c>
      <c r="CP145" s="564">
        <f>-68-CO145-CN145</f>
        <v>-36.199999999999996</v>
      </c>
      <c r="CQ145" s="920">
        <f>-144.8-SUM(CN141:CQ144)-SUM(CN145:CP145)</f>
        <v>132.39999999999992</v>
      </c>
      <c r="CR145" s="932"/>
      <c r="CS145" s="932"/>
      <c r="CT145" s="932"/>
      <c r="CU145" s="919"/>
      <c r="CV145" s="406"/>
      <c r="CW145" s="639"/>
      <c r="CX145" s="443"/>
      <c r="CY145" s="443"/>
      <c r="CZ145" s="443"/>
      <c r="DA145" s="443"/>
      <c r="DB145" s="443"/>
      <c r="DC145" s="641">
        <v>-25.9</v>
      </c>
      <c r="DD145" s="641">
        <v>-12.7</v>
      </c>
      <c r="DE145" s="641">
        <v>14.1</v>
      </c>
      <c r="DF145" s="641">
        <v>-0.2</v>
      </c>
      <c r="DG145" s="443">
        <f>+SUM(AN145:AQ145)</f>
        <v>36</v>
      </c>
      <c r="DH145" s="443">
        <f>+SUM(AR145:AU145)</f>
        <v>-61.7</v>
      </c>
      <c r="DI145" s="443">
        <f>+SUM(AV145:AY145)</f>
        <v>16.399999999999999</v>
      </c>
      <c r="DJ145" s="443">
        <f>+SUM(AZ145:BC145)</f>
        <v>-14.299999999999999</v>
      </c>
      <c r="DK145" s="443">
        <f>+SUM(BD145:BG145)</f>
        <v>-52.3</v>
      </c>
      <c r="DL145" s="443">
        <f>+SUM(BH145:BK145)</f>
        <v>-119.5</v>
      </c>
      <c r="DM145" s="443">
        <f>+SUM(BL145:BO145)</f>
        <v>41.199999999999996</v>
      </c>
      <c r="DN145" s="443">
        <f t="shared" si="495"/>
        <v>-61.5</v>
      </c>
      <c r="DO145" s="443">
        <f t="shared" si="496"/>
        <v>-21.6</v>
      </c>
      <c r="DP145" s="443">
        <f t="shared" si="497"/>
        <v>-184.9</v>
      </c>
      <c r="DQ145" s="443">
        <f t="shared" si="498"/>
        <v>-158.9</v>
      </c>
      <c r="DR145" s="443">
        <f t="shared" si="499"/>
        <v>-104.5</v>
      </c>
      <c r="DS145" s="443">
        <f t="shared" si="500"/>
        <v>-63</v>
      </c>
      <c r="DT145" s="515">
        <f t="shared" si="501"/>
        <v>64.39999999999992</v>
      </c>
      <c r="DU145" s="515">
        <f t="shared" si="502"/>
        <v>0</v>
      </c>
      <c r="DV145" s="515"/>
      <c r="DW145" s="515"/>
      <c r="DX145" s="515"/>
      <c r="DY145" s="515"/>
      <c r="DZ145" s="515"/>
      <c r="EA145" s="512"/>
      <c r="EB145"/>
      <c r="EC145"/>
      <c r="ED145"/>
      <c r="EE145"/>
      <c r="EF145"/>
      <c r="EG145"/>
    </row>
    <row r="146" spans="1:137" s="410" customFormat="1">
      <c r="A146" s="400"/>
      <c r="B146" s="554" t="s">
        <v>109</v>
      </c>
      <c r="C146" s="658"/>
      <c r="D146" s="516"/>
      <c r="E146" s="437"/>
      <c r="F146" s="437"/>
      <c r="G146" s="517"/>
      <c r="H146" s="437"/>
      <c r="I146" s="437"/>
      <c r="J146" s="437"/>
      <c r="K146" s="517"/>
      <c r="L146" s="437"/>
      <c r="M146" s="437"/>
      <c r="N146" s="437"/>
      <c r="O146" s="517"/>
      <c r="P146" s="437"/>
      <c r="Q146" s="437"/>
      <c r="R146" s="437"/>
      <c r="S146" s="514"/>
      <c r="T146" s="437"/>
      <c r="U146" s="437"/>
      <c r="V146" s="437"/>
      <c r="W146" s="514"/>
      <c r="X146" s="437">
        <f>+SUM(X141:X145)</f>
        <v>-44.9</v>
      </c>
      <c r="Y146" s="437">
        <f t="shared" ref="Y146:CJ146" si="506">+SUM(Y141:Y145)</f>
        <v>-5.2999999999999972</v>
      </c>
      <c r="Z146" s="437">
        <f t="shared" si="506"/>
        <v>-23.9</v>
      </c>
      <c r="AA146" s="514">
        <f t="shared" si="506"/>
        <v>70.7</v>
      </c>
      <c r="AB146" s="437">
        <f t="shared" si="506"/>
        <v>-45.399999999999991</v>
      </c>
      <c r="AC146" s="437">
        <f t="shared" si="506"/>
        <v>21.699999999999996</v>
      </c>
      <c r="AD146" s="437">
        <f t="shared" si="506"/>
        <v>13</v>
      </c>
      <c r="AE146" s="514">
        <f t="shared" si="506"/>
        <v>-17.399999999999999</v>
      </c>
      <c r="AF146" s="437">
        <f t="shared" si="506"/>
        <v>-18.899999999999999</v>
      </c>
      <c r="AG146" s="437">
        <f t="shared" si="506"/>
        <v>-12.299999999999995</v>
      </c>
      <c r="AH146" s="437">
        <f t="shared" si="506"/>
        <v>-15.499999999999995</v>
      </c>
      <c r="AI146" s="514">
        <f t="shared" si="506"/>
        <v>-54.000000000000014</v>
      </c>
      <c r="AJ146" s="437">
        <f t="shared" si="506"/>
        <v>-49.199999999999996</v>
      </c>
      <c r="AK146" s="437">
        <f t="shared" si="506"/>
        <v>1.799999999999998</v>
      </c>
      <c r="AL146" s="437">
        <f t="shared" si="506"/>
        <v>-3.2000000000000064</v>
      </c>
      <c r="AM146" s="514">
        <f t="shared" si="506"/>
        <v>-42.099999999999994</v>
      </c>
      <c r="AN146" s="452">
        <f t="shared" si="506"/>
        <v>-40.29999999999999</v>
      </c>
      <c r="AO146" s="452">
        <f t="shared" si="506"/>
        <v>36.299999999999976</v>
      </c>
      <c r="AP146" s="452">
        <f t="shared" si="506"/>
        <v>-11.899999999999991</v>
      </c>
      <c r="AQ146" s="514">
        <f t="shared" si="506"/>
        <v>84.899999999999977</v>
      </c>
      <c r="AR146" s="452">
        <f t="shared" si="506"/>
        <v>-38.400000000000006</v>
      </c>
      <c r="AS146" s="452">
        <f t="shared" si="506"/>
        <v>37.500000000000014</v>
      </c>
      <c r="AT146" s="452">
        <f t="shared" si="506"/>
        <v>-53.899999999999991</v>
      </c>
      <c r="AU146" s="514">
        <f t="shared" si="506"/>
        <v>40.899999999999991</v>
      </c>
      <c r="AV146" s="452">
        <f t="shared" si="506"/>
        <v>-77.099999999999994</v>
      </c>
      <c r="AW146" s="452">
        <f t="shared" si="506"/>
        <v>35.799999999999997</v>
      </c>
      <c r="AX146" s="452">
        <f t="shared" si="506"/>
        <v>-76</v>
      </c>
      <c r="AY146" s="514">
        <f t="shared" si="506"/>
        <v>10.300000000000002</v>
      </c>
      <c r="AZ146" s="452">
        <f t="shared" si="506"/>
        <v>-44.1</v>
      </c>
      <c r="BA146" s="452">
        <f t="shared" si="506"/>
        <v>-7.699999999999994</v>
      </c>
      <c r="BB146" s="452">
        <f t="shared" si="506"/>
        <v>16.899999999999977</v>
      </c>
      <c r="BC146" s="514">
        <f t="shared" si="506"/>
        <v>82.9</v>
      </c>
      <c r="BD146" s="452">
        <f t="shared" si="506"/>
        <v>-100.3</v>
      </c>
      <c r="BE146" s="452">
        <f t="shared" si="506"/>
        <v>17.700000000000006</v>
      </c>
      <c r="BF146" s="452">
        <f t="shared" si="506"/>
        <v>-90.4</v>
      </c>
      <c r="BG146" s="514">
        <f t="shared" si="506"/>
        <v>78.7</v>
      </c>
      <c r="BH146" s="452">
        <f t="shared" si="506"/>
        <v>-26.299999999999997</v>
      </c>
      <c r="BI146" s="452">
        <f t="shared" si="506"/>
        <v>56.9</v>
      </c>
      <c r="BJ146" s="452">
        <f t="shared" si="506"/>
        <v>-13.699999999999967</v>
      </c>
      <c r="BK146" s="514">
        <f t="shared" si="506"/>
        <v>9.9999999999980105E-2</v>
      </c>
      <c r="BL146" s="452">
        <f t="shared" si="506"/>
        <v>-75.400000000000006</v>
      </c>
      <c r="BM146" s="452">
        <f t="shared" si="506"/>
        <v>-18.600000000000009</v>
      </c>
      <c r="BN146" s="452">
        <f t="shared" si="506"/>
        <v>-64.2</v>
      </c>
      <c r="BO146" s="514">
        <f t="shared" si="506"/>
        <v>51.399999999999991</v>
      </c>
      <c r="BP146" s="452">
        <f t="shared" si="506"/>
        <v>-217.69999999999996</v>
      </c>
      <c r="BQ146" s="452">
        <f t="shared" si="506"/>
        <v>44.399999999999991</v>
      </c>
      <c r="BR146" s="452">
        <f t="shared" si="506"/>
        <v>7.3000000000000025</v>
      </c>
      <c r="BS146" s="514">
        <f t="shared" si="506"/>
        <v>-34.09999999999998</v>
      </c>
      <c r="BT146" s="452">
        <f t="shared" si="506"/>
        <v>-200</v>
      </c>
      <c r="BU146" s="452">
        <f t="shared" si="506"/>
        <v>21</v>
      </c>
      <c r="BV146" s="452">
        <f t="shared" si="506"/>
        <v>27.300000000000004</v>
      </c>
      <c r="BW146" s="514">
        <f t="shared" si="506"/>
        <v>126.10000000000001</v>
      </c>
      <c r="BX146" s="452">
        <f t="shared" si="506"/>
        <v>-189.79999999999998</v>
      </c>
      <c r="BY146" s="452">
        <f t="shared" si="506"/>
        <v>24.099999999999998</v>
      </c>
      <c r="BZ146" s="452">
        <f t="shared" si="506"/>
        <v>-35.70000000000001</v>
      </c>
      <c r="CA146" s="514">
        <f t="shared" si="506"/>
        <v>-71.100000000000023</v>
      </c>
      <c r="CB146" s="452">
        <f t="shared" si="506"/>
        <v>-249.6</v>
      </c>
      <c r="CC146" s="452">
        <f t="shared" si="506"/>
        <v>-28.000000000000007</v>
      </c>
      <c r="CD146" s="452">
        <f t="shared" si="506"/>
        <v>-66.09999999999998</v>
      </c>
      <c r="CE146" s="514">
        <f t="shared" si="506"/>
        <v>9.4999999999999716</v>
      </c>
      <c r="CF146" s="452">
        <f t="shared" si="506"/>
        <v>-240.9</v>
      </c>
      <c r="CG146" s="452">
        <f t="shared" si="506"/>
        <v>24.599999999999991</v>
      </c>
      <c r="CH146" s="452">
        <f t="shared" si="506"/>
        <v>-118.39999999999998</v>
      </c>
      <c r="CI146" s="514">
        <f t="shared" si="506"/>
        <v>153.19999999999999</v>
      </c>
      <c r="CJ146" s="452">
        <f t="shared" si="506"/>
        <v>-251.1</v>
      </c>
      <c r="CK146" s="452">
        <f t="shared" ref="CK146:CP146" si="507">+SUM(CK141:CK145)</f>
        <v>42</v>
      </c>
      <c r="CL146" s="452">
        <f t="shared" si="507"/>
        <v>-54.90000000000002</v>
      </c>
      <c r="CM146" s="518">
        <f t="shared" si="507"/>
        <v>147.69999999999999</v>
      </c>
      <c r="CN146" s="519">
        <f t="shared" si="507"/>
        <v>-260.8</v>
      </c>
      <c r="CO146" s="519">
        <f t="shared" si="507"/>
        <v>-10.499999999999996</v>
      </c>
      <c r="CP146" s="519">
        <f t="shared" si="507"/>
        <v>-76.899999999999949</v>
      </c>
      <c r="CQ146" s="921">
        <f>+SUM(CQ141:CQ145)</f>
        <v>203.39999999999998</v>
      </c>
      <c r="CR146" s="943">
        <f>+SUM(CR141:CR145)</f>
        <v>-294.35974351434595</v>
      </c>
      <c r="CS146" s="943">
        <f>+SUM(CS141:CS145)</f>
        <v>-1.2011496789824605</v>
      </c>
      <c r="CT146" s="943">
        <f>+SUM(CT141:CT145)</f>
        <v>-35.442163822629823</v>
      </c>
      <c r="CU146" s="921">
        <f>+SUM(CU141:CU145)</f>
        <v>93.109397100204575</v>
      </c>
      <c r="CV146" s="406"/>
      <c r="CW146" s="564">
        <f>2.1-12.3-3.5+57.6+2.9-10.9</f>
        <v>35.9</v>
      </c>
      <c r="CX146" s="564">
        <f>6.9-6.5+1-28.6+2.7+4.1</f>
        <v>-20.400000000000006</v>
      </c>
      <c r="CY146" s="437"/>
      <c r="CZ146" s="437"/>
      <c r="DA146" s="527"/>
      <c r="DB146" s="527"/>
      <c r="DC146" s="452">
        <f>+SUM(DC141:DC145)</f>
        <v>-3.3999999999999986</v>
      </c>
      <c r="DD146" s="452">
        <f t="shared" ref="DD146:DW146" si="508">+SUM(DD141:DD145)</f>
        <v>-28.099999999999998</v>
      </c>
      <c r="DE146" s="452">
        <f t="shared" si="508"/>
        <v>-100.70000000000002</v>
      </c>
      <c r="DF146" s="452">
        <f t="shared" si="508"/>
        <v>-92.7</v>
      </c>
      <c r="DG146" s="452">
        <f t="shared" si="508"/>
        <v>68.999999999999986</v>
      </c>
      <c r="DH146" s="452">
        <f t="shared" si="508"/>
        <v>-13.899999999999991</v>
      </c>
      <c r="DI146" s="452">
        <f t="shared" si="508"/>
        <v>-107</v>
      </c>
      <c r="DJ146" s="452">
        <f t="shared" si="508"/>
        <v>48</v>
      </c>
      <c r="DK146" s="452">
        <f t="shared" si="508"/>
        <v>-94.299999999999969</v>
      </c>
      <c r="DL146" s="452">
        <f t="shared" si="508"/>
        <v>17</v>
      </c>
      <c r="DM146" s="452">
        <f t="shared" si="508"/>
        <v>-106.79999999999998</v>
      </c>
      <c r="DN146" s="452">
        <f t="shared" si="508"/>
        <v>-200.1</v>
      </c>
      <c r="DO146" s="452">
        <f t="shared" si="508"/>
        <v>-25.600000000000005</v>
      </c>
      <c r="DP146" s="452">
        <f t="shared" si="508"/>
        <v>-272.5</v>
      </c>
      <c r="DQ146" s="452">
        <f t="shared" si="508"/>
        <v>-334.2</v>
      </c>
      <c r="DR146" s="452">
        <f t="shared" si="508"/>
        <v>-181.5</v>
      </c>
      <c r="DS146" s="452">
        <f t="shared" si="508"/>
        <v>-116.29999999999998</v>
      </c>
      <c r="DT146" s="452">
        <f t="shared" si="508"/>
        <v>-144.79999999999995</v>
      </c>
      <c r="DU146" s="452">
        <f t="shared" ref="DU146" si="509">+SUM(DU141:DU145)</f>
        <v>-237.89365991575366</v>
      </c>
      <c r="DV146" s="452">
        <f t="shared" si="508"/>
        <v>-50.686175031370567</v>
      </c>
      <c r="DW146" s="452">
        <f t="shared" si="508"/>
        <v>-47.209942768032533</v>
      </c>
      <c r="DX146" s="452">
        <f t="shared" ref="DX146:DZ146" si="510">+SUM(DX141:DX145)</f>
        <v>-44.528935468117879</v>
      </c>
      <c r="DY146" s="452">
        <f t="shared" si="510"/>
        <v>-34.825562581798067</v>
      </c>
      <c r="DZ146" s="452">
        <f t="shared" si="510"/>
        <v>-22.304007077770393</v>
      </c>
      <c r="EA146" s="436"/>
      <c r="EB146"/>
      <c r="EC146"/>
      <c r="ED146"/>
      <c r="EE146"/>
      <c r="EF146"/>
      <c r="EG146"/>
    </row>
    <row r="147" spans="1:137" s="410" customFormat="1" hidden="1" outlineLevel="1">
      <c r="A147" s="400"/>
      <c r="B147" s="565"/>
      <c r="C147" s="658"/>
      <c r="D147" s="521"/>
      <c r="E147" s="522"/>
      <c r="F147" s="522"/>
      <c r="G147" s="523"/>
      <c r="H147" s="522"/>
      <c r="I147" s="522"/>
      <c r="J147" s="522"/>
      <c r="K147" s="523"/>
      <c r="L147" s="522"/>
      <c r="M147" s="522"/>
      <c r="N147" s="522"/>
      <c r="O147" s="523"/>
      <c r="P147" s="522"/>
      <c r="Q147" s="522"/>
      <c r="R147" s="522"/>
      <c r="S147" s="524"/>
      <c r="T147" s="522"/>
      <c r="U147" s="522"/>
      <c r="V147" s="522"/>
      <c r="W147" s="524"/>
      <c r="X147" s="522"/>
      <c r="Y147" s="522"/>
      <c r="Z147" s="522"/>
      <c r="AA147" s="524"/>
      <c r="AB147" s="522"/>
      <c r="AC147" s="522"/>
      <c r="AD147" s="522"/>
      <c r="AE147" s="524"/>
      <c r="AF147" s="522"/>
      <c r="AG147" s="522"/>
      <c r="AH147" s="522"/>
      <c r="AI147" s="524"/>
      <c r="AJ147" s="522"/>
      <c r="AK147" s="522"/>
      <c r="AL147" s="522"/>
      <c r="AM147" s="524"/>
      <c r="AN147" s="520"/>
      <c r="AO147" s="520"/>
      <c r="AP147" s="520"/>
      <c r="AQ147" s="524"/>
      <c r="AR147" s="520"/>
      <c r="AS147" s="520"/>
      <c r="AT147" s="520"/>
      <c r="AU147" s="524"/>
      <c r="AV147" s="520"/>
      <c r="AW147" s="520"/>
      <c r="AX147" s="520"/>
      <c r="AY147" s="524"/>
      <c r="AZ147" s="520"/>
      <c r="BA147" s="520"/>
      <c r="BB147" s="520"/>
      <c r="BC147" s="524"/>
      <c r="BD147" s="520"/>
      <c r="BE147" s="520"/>
      <c r="BF147" s="520"/>
      <c r="BG147" s="524"/>
      <c r="BH147" s="520"/>
      <c r="BI147" s="520"/>
      <c r="BJ147" s="520"/>
      <c r="BK147" s="524"/>
      <c r="BL147" s="520"/>
      <c r="BM147" s="520"/>
      <c r="BN147" s="520"/>
      <c r="BO147" s="524"/>
      <c r="BP147" s="520"/>
      <c r="BQ147" s="520"/>
      <c r="BR147" s="520"/>
      <c r="BS147" s="524"/>
      <c r="BT147" s="520"/>
      <c r="BU147" s="520"/>
      <c r="BV147" s="520"/>
      <c r="BW147" s="524"/>
      <c r="BX147" s="520"/>
      <c r="BY147" s="520"/>
      <c r="BZ147" s="520"/>
      <c r="CA147" s="524"/>
      <c r="CB147" s="520"/>
      <c r="CC147" s="520"/>
      <c r="CD147" s="520"/>
      <c r="CE147" s="524"/>
      <c r="CF147" s="520"/>
      <c r="CG147" s="520"/>
      <c r="CH147" s="520"/>
      <c r="CI147" s="524"/>
      <c r="CJ147" s="520"/>
      <c r="CK147" s="520"/>
      <c r="CL147" s="520"/>
      <c r="CM147" s="524"/>
      <c r="CN147" s="520"/>
      <c r="CO147" s="520"/>
      <c r="CP147" s="520"/>
      <c r="CQ147" s="524"/>
      <c r="CR147" s="935"/>
      <c r="CS147" s="935"/>
      <c r="CT147" s="935"/>
      <c r="CU147" s="922"/>
      <c r="CV147" s="406"/>
      <c r="CW147" s="566"/>
      <c r="CX147" s="566"/>
      <c r="CY147" s="522"/>
      <c r="CZ147" s="522"/>
      <c r="DA147" s="561"/>
      <c r="DB147" s="561"/>
      <c r="DC147" s="566"/>
      <c r="DD147" s="520"/>
      <c r="DE147" s="520"/>
      <c r="DF147" s="520"/>
      <c r="DG147" s="520"/>
      <c r="DH147" s="520"/>
      <c r="DI147" s="520"/>
      <c r="DJ147" s="520"/>
      <c r="DK147" s="520"/>
      <c r="DL147" s="520"/>
      <c r="DM147" s="520"/>
      <c r="DN147" s="520"/>
      <c r="DO147" s="520"/>
      <c r="DP147" s="520"/>
      <c r="DQ147" s="520"/>
      <c r="DR147" s="520"/>
      <c r="DS147" s="520"/>
      <c r="DT147" s="520"/>
      <c r="DU147" s="520"/>
      <c r="DV147" s="520"/>
      <c r="DW147" s="520"/>
      <c r="DX147" s="520"/>
      <c r="DY147" s="520"/>
      <c r="DZ147" s="520"/>
      <c r="EA147" s="558"/>
      <c r="EB147"/>
      <c r="EC147"/>
      <c r="ED147"/>
      <c r="EE147"/>
      <c r="EF147"/>
      <c r="EG147"/>
    </row>
    <row r="148" spans="1:137" s="410" customFormat="1" hidden="1" outlineLevel="1">
      <c r="A148" s="400"/>
      <c r="B148" s="401" t="s">
        <v>325</v>
      </c>
      <c r="C148" s="658"/>
      <c r="D148" s="432"/>
      <c r="E148" s="433"/>
      <c r="F148" s="433"/>
      <c r="G148" s="434"/>
      <c r="H148" s="433"/>
      <c r="I148" s="433"/>
      <c r="J148" s="433"/>
      <c r="K148" s="434"/>
      <c r="L148" s="433"/>
      <c r="M148" s="433"/>
      <c r="N148" s="433"/>
      <c r="O148" s="434"/>
      <c r="P148" s="433"/>
      <c r="Q148" s="433"/>
      <c r="R148" s="433"/>
      <c r="S148" s="434"/>
      <c r="T148" s="433"/>
      <c r="U148" s="433"/>
      <c r="V148" s="433"/>
      <c r="W148" s="434"/>
      <c r="X148" s="433">
        <v>-7.3</v>
      </c>
      <c r="Y148" s="433">
        <f>17.3-X148</f>
        <v>24.6</v>
      </c>
      <c r="Z148" s="433">
        <f>15-Y148-X148</f>
        <v>-2.3000000000000016</v>
      </c>
      <c r="AA148" s="514">
        <f>DC148-X148-Y148-Z148</f>
        <v>22.899999999999995</v>
      </c>
      <c r="AB148" s="433">
        <v>-7.4</v>
      </c>
      <c r="AC148" s="433">
        <f>7-AB148</f>
        <v>14.4</v>
      </c>
      <c r="AD148" s="433">
        <f>10.5-AC148-AB148</f>
        <v>3.5</v>
      </c>
      <c r="AE148" s="514">
        <f>DD148-AD148-AC148-AB148</f>
        <v>17.100000000000001</v>
      </c>
      <c r="AF148" s="433">
        <v>-16</v>
      </c>
      <c r="AG148" s="433">
        <f>7.9-AF148</f>
        <v>23.9</v>
      </c>
      <c r="AH148" s="433">
        <f>-0.8-AG148-AF148</f>
        <v>-8.6999999999999993</v>
      </c>
      <c r="AI148" s="514">
        <f>DE148-AH148-AG148-AF148</f>
        <v>28.5</v>
      </c>
      <c r="AJ148" s="433">
        <v>-5.9</v>
      </c>
      <c r="AK148" s="433">
        <f>31.3-AJ148</f>
        <v>37.200000000000003</v>
      </c>
      <c r="AL148" s="433">
        <f>22.1-AK148-AJ148</f>
        <v>-9.2000000000000011</v>
      </c>
      <c r="AM148" s="514">
        <f>+DF148-AL148-AK148-AJ148</f>
        <v>-7.9000000000000039</v>
      </c>
      <c r="AN148" s="433"/>
      <c r="AO148" s="433"/>
      <c r="AP148" s="433">
        <f>24-AO148-AN148</f>
        <v>24</v>
      </c>
      <c r="AQ148" s="434">
        <f>-83.1-AP148-AO148-AN148</f>
        <v>-107.1</v>
      </c>
      <c r="AR148" s="433">
        <v>-34.299999999999997</v>
      </c>
      <c r="AS148" s="433">
        <f>-38.9-AR148</f>
        <v>-4.6000000000000014</v>
      </c>
      <c r="AT148" s="433">
        <f>-31.2-AS148-AR148</f>
        <v>7.6999999999999993</v>
      </c>
      <c r="AU148" s="434">
        <f>-53.6-AT148-AS148-AR148</f>
        <v>-22.4</v>
      </c>
      <c r="AV148" s="433"/>
      <c r="AW148" s="433"/>
      <c r="AX148" s="433"/>
      <c r="AY148" s="434"/>
      <c r="AZ148" s="433"/>
      <c r="BA148" s="433"/>
      <c r="BB148" s="433"/>
      <c r="BC148" s="434"/>
      <c r="BD148" s="433"/>
      <c r="BE148" s="433"/>
      <c r="BF148" s="433"/>
      <c r="BG148" s="434"/>
      <c r="BH148" s="433"/>
      <c r="BI148" s="433"/>
      <c r="BJ148" s="433"/>
      <c r="BK148" s="434"/>
      <c r="BL148" s="433"/>
      <c r="BM148" s="433">
        <f>-94-BM146-BL146</f>
        <v>0</v>
      </c>
      <c r="BN148" s="433"/>
      <c r="BO148" s="434"/>
      <c r="BP148" s="433"/>
      <c r="BQ148" s="433"/>
      <c r="BR148" s="433"/>
      <c r="BS148" s="434"/>
      <c r="BT148" s="433"/>
      <c r="BU148" s="433"/>
      <c r="BV148" s="433"/>
      <c r="BW148" s="434"/>
      <c r="BX148" s="433"/>
      <c r="BY148" s="433"/>
      <c r="BZ148" s="433"/>
      <c r="CA148" s="434"/>
      <c r="CB148" s="433"/>
      <c r="CC148" s="433"/>
      <c r="CD148" s="433"/>
      <c r="CE148" s="434"/>
      <c r="CF148" s="433"/>
      <c r="CG148" s="433"/>
      <c r="CH148" s="433"/>
      <c r="CI148" s="434"/>
      <c r="CJ148" s="433"/>
      <c r="CK148" s="433"/>
      <c r="CL148" s="433"/>
      <c r="CM148" s="514"/>
      <c r="CN148" s="452"/>
      <c r="CO148" s="452"/>
      <c r="CP148" s="452"/>
      <c r="CQ148" s="514"/>
      <c r="CR148" s="932"/>
      <c r="CS148" s="932"/>
      <c r="CT148" s="932"/>
      <c r="CU148" s="919"/>
      <c r="CV148" s="406"/>
      <c r="CW148" s="564">
        <v>-13.1</v>
      </c>
      <c r="CX148" s="637">
        <v>-19.2</v>
      </c>
      <c r="CY148" s="436"/>
      <c r="CZ148" s="436"/>
      <c r="DA148" s="436"/>
      <c r="DB148" s="436"/>
      <c r="DC148" s="637">
        <v>37.9</v>
      </c>
      <c r="DD148" s="637">
        <v>27.6</v>
      </c>
      <c r="DE148" s="637">
        <v>27.7</v>
      </c>
      <c r="DF148" s="637">
        <v>14.2</v>
      </c>
      <c r="DG148" s="436">
        <f>SUM(AN148:AQ148)</f>
        <v>-83.1</v>
      </c>
      <c r="DH148" s="436">
        <f>+SUM(AR148:AU148)</f>
        <v>-53.599999999999994</v>
      </c>
      <c r="DI148" s="436"/>
      <c r="DJ148" s="436"/>
      <c r="DK148" s="436"/>
      <c r="DL148" s="436"/>
      <c r="DM148" s="436"/>
      <c r="DN148" s="436"/>
      <c r="DO148" s="436"/>
      <c r="DP148" s="436"/>
      <c r="DQ148" s="436"/>
      <c r="DR148" s="436"/>
      <c r="DS148" s="436"/>
      <c r="DT148" s="436"/>
      <c r="DU148" s="436"/>
      <c r="DV148" s="437"/>
      <c r="DW148" s="437"/>
      <c r="DX148" s="437"/>
      <c r="DY148" s="437"/>
      <c r="DZ148" s="437"/>
      <c r="EA148" s="512"/>
      <c r="EB148"/>
      <c r="EC148"/>
      <c r="ED148"/>
      <c r="EE148"/>
      <c r="EF148"/>
      <c r="EG148"/>
    </row>
    <row r="149" spans="1:137" s="410" customFormat="1" collapsed="1">
      <c r="A149" s="400"/>
      <c r="B149" s="401"/>
      <c r="C149" s="658"/>
      <c r="D149" s="432"/>
      <c r="E149" s="433"/>
      <c r="F149" s="433"/>
      <c r="G149" s="434"/>
      <c r="H149" s="433"/>
      <c r="I149" s="433"/>
      <c r="J149" s="433"/>
      <c r="K149" s="434"/>
      <c r="L149" s="433"/>
      <c r="M149" s="433"/>
      <c r="N149" s="433"/>
      <c r="O149" s="434"/>
      <c r="P149" s="433"/>
      <c r="Q149" s="433"/>
      <c r="R149" s="433"/>
      <c r="S149" s="434"/>
      <c r="T149" s="433"/>
      <c r="U149" s="433"/>
      <c r="V149" s="433"/>
      <c r="W149" s="434"/>
      <c r="X149" s="433"/>
      <c r="Y149" s="433"/>
      <c r="Z149" s="433"/>
      <c r="AA149" s="514"/>
      <c r="AB149" s="433"/>
      <c r="AC149" s="433"/>
      <c r="AD149" s="433"/>
      <c r="AE149" s="514"/>
      <c r="AF149" s="433"/>
      <c r="AG149" s="433"/>
      <c r="AH149" s="433"/>
      <c r="AI149" s="514"/>
      <c r="AJ149" s="433"/>
      <c r="AK149" s="433"/>
      <c r="AL149" s="433"/>
      <c r="AM149" s="514"/>
      <c r="AN149" s="433"/>
      <c r="AO149" s="433"/>
      <c r="AP149" s="433"/>
      <c r="AQ149" s="434"/>
      <c r="AR149" s="433"/>
      <c r="AS149" s="433"/>
      <c r="AT149" s="433"/>
      <c r="AU149" s="434"/>
      <c r="AV149" s="433"/>
      <c r="AW149" s="433"/>
      <c r="AX149" s="433"/>
      <c r="AY149" s="434"/>
      <c r="AZ149" s="433"/>
      <c r="BA149" s="433"/>
      <c r="BB149" s="433"/>
      <c r="BC149" s="434"/>
      <c r="BD149" s="433"/>
      <c r="BE149" s="433"/>
      <c r="BF149" s="433"/>
      <c r="BG149" s="434"/>
      <c r="BH149" s="433"/>
      <c r="BI149" s="433"/>
      <c r="BJ149" s="433"/>
      <c r="BK149" s="434"/>
      <c r="BL149" s="433"/>
      <c r="BM149" s="433"/>
      <c r="BN149" s="433"/>
      <c r="BO149" s="434"/>
      <c r="BP149" s="433"/>
      <c r="BQ149" s="433"/>
      <c r="BR149" s="433"/>
      <c r="BS149" s="434"/>
      <c r="BT149" s="433"/>
      <c r="BU149" s="433"/>
      <c r="BV149" s="433"/>
      <c r="BW149" s="434"/>
      <c r="BX149" s="433"/>
      <c r="BY149" s="433"/>
      <c r="BZ149" s="433"/>
      <c r="CA149" s="434"/>
      <c r="CB149" s="433"/>
      <c r="CC149" s="433"/>
      <c r="CD149" s="433"/>
      <c r="CE149" s="434"/>
      <c r="CF149" s="433"/>
      <c r="CG149" s="433"/>
      <c r="CH149" s="433"/>
      <c r="CI149" s="434"/>
      <c r="CJ149" s="433"/>
      <c r="CK149" s="433"/>
      <c r="CL149" s="433"/>
      <c r="CM149" s="514"/>
      <c r="CN149" s="452"/>
      <c r="CO149" s="452"/>
      <c r="CP149" s="452"/>
      <c r="CQ149" s="514"/>
      <c r="CR149" s="932"/>
      <c r="CS149" s="932"/>
      <c r="CT149" s="932"/>
      <c r="CU149" s="919"/>
      <c r="CV149" s="406"/>
      <c r="CW149" s="564"/>
      <c r="CX149" s="637"/>
      <c r="CY149" s="436"/>
      <c r="CZ149" s="436"/>
      <c r="DA149" s="436"/>
      <c r="DB149" s="436"/>
      <c r="DC149" s="637"/>
      <c r="DD149" s="637"/>
      <c r="DE149" s="637"/>
      <c r="DF149" s="637"/>
      <c r="DG149" s="436"/>
      <c r="DH149" s="436"/>
      <c r="DI149" s="436"/>
      <c r="DJ149" s="436"/>
      <c r="DK149" s="436"/>
      <c r="DL149" s="436"/>
      <c r="DM149" s="436"/>
      <c r="DN149" s="436"/>
      <c r="DO149" s="436"/>
      <c r="DP149" s="436"/>
      <c r="DQ149" s="436"/>
      <c r="DR149" s="436"/>
      <c r="DS149" s="436"/>
      <c r="DT149" s="436"/>
      <c r="DU149" s="436"/>
      <c r="DV149" s="437"/>
      <c r="DW149" s="437"/>
      <c r="DX149" s="437"/>
      <c r="DY149" s="437"/>
      <c r="DZ149" s="437"/>
      <c r="EA149" s="512"/>
      <c r="EB149"/>
      <c r="EC149"/>
      <c r="ED149"/>
      <c r="EE149"/>
      <c r="EF149"/>
      <c r="EG149"/>
    </row>
    <row r="150" spans="1:137" s="673" customFormat="1">
      <c r="A150" s="400"/>
      <c r="B150" s="424" t="s">
        <v>326</v>
      </c>
      <c r="C150" s="658"/>
      <c r="D150" s="521"/>
      <c r="E150" s="522"/>
      <c r="F150" s="522"/>
      <c r="G150" s="523"/>
      <c r="H150" s="522">
        <f t="shared" ref="H150:AM150" si="511">SUM(H129:H139)+H146+H148</f>
        <v>33.299999999999997</v>
      </c>
      <c r="I150" s="522">
        <f t="shared" si="511"/>
        <v>42.100000000000009</v>
      </c>
      <c r="J150" s="522">
        <f t="shared" si="511"/>
        <v>40.600000000000009</v>
      </c>
      <c r="K150" s="523">
        <f t="shared" si="511"/>
        <v>37.099999999999987</v>
      </c>
      <c r="L150" s="522">
        <f t="shared" si="511"/>
        <v>45.699999999999996</v>
      </c>
      <c r="M150" s="522">
        <f t="shared" si="511"/>
        <v>51.39999999999997</v>
      </c>
      <c r="N150" s="522">
        <f t="shared" si="511"/>
        <v>42.800000000000018</v>
      </c>
      <c r="O150" s="523">
        <f t="shared" si="511"/>
        <v>50.4</v>
      </c>
      <c r="P150" s="522">
        <f t="shared" si="511"/>
        <v>49.5</v>
      </c>
      <c r="Q150" s="522">
        <f t="shared" si="511"/>
        <v>43.100000000000023</v>
      </c>
      <c r="R150" s="522">
        <f t="shared" si="511"/>
        <v>40.500000000000007</v>
      </c>
      <c r="S150" s="523">
        <f t="shared" si="511"/>
        <v>53.199999999999996</v>
      </c>
      <c r="T150" s="522">
        <f t="shared" si="511"/>
        <v>0</v>
      </c>
      <c r="U150" s="522">
        <f t="shared" si="511"/>
        <v>58.299999999999983</v>
      </c>
      <c r="V150" s="522">
        <f t="shared" si="511"/>
        <v>66.799999999999955</v>
      </c>
      <c r="W150" s="523">
        <f t="shared" si="511"/>
        <v>57.70000000000006</v>
      </c>
      <c r="X150" s="522">
        <f t="shared" si="511"/>
        <v>23.300000000000043</v>
      </c>
      <c r="Y150" s="522">
        <f t="shared" si="511"/>
        <v>91.299999999999926</v>
      </c>
      <c r="Z150" s="522">
        <f t="shared" si="511"/>
        <v>43.600000000000009</v>
      </c>
      <c r="AA150" s="523">
        <f t="shared" si="511"/>
        <v>133.30000000000004</v>
      </c>
      <c r="AB150" s="522">
        <f t="shared" si="511"/>
        <v>1.8999999999999329</v>
      </c>
      <c r="AC150" s="522">
        <f t="shared" si="511"/>
        <v>106.99999999999997</v>
      </c>
      <c r="AD150" s="522">
        <f t="shared" si="511"/>
        <v>72.799999999999983</v>
      </c>
      <c r="AE150" s="523">
        <f t="shared" si="511"/>
        <v>55.999999999999943</v>
      </c>
      <c r="AF150" s="522">
        <f t="shared" si="511"/>
        <v>32.299999999999976</v>
      </c>
      <c r="AG150" s="522">
        <f t="shared" si="511"/>
        <v>88.999999999999943</v>
      </c>
      <c r="AH150" s="522">
        <f t="shared" si="511"/>
        <v>45.799999999999983</v>
      </c>
      <c r="AI150" s="523">
        <f t="shared" si="511"/>
        <v>94.299999999999969</v>
      </c>
      <c r="AJ150" s="522">
        <f t="shared" si="511"/>
        <v>29.200000000000017</v>
      </c>
      <c r="AK150" s="522">
        <f t="shared" si="511"/>
        <v>126.10000000000005</v>
      </c>
      <c r="AL150" s="522">
        <f t="shared" si="511"/>
        <v>65.100000000000051</v>
      </c>
      <c r="AM150" s="523">
        <f t="shared" si="511"/>
        <v>86.499999999999915</v>
      </c>
      <c r="AN150" s="522">
        <f t="shared" ref="AN150:BS150" si="512">SUM(AN129:AN139)+AN146+AN148</f>
        <v>66.700000000000045</v>
      </c>
      <c r="AO150" s="522">
        <f t="shared" si="512"/>
        <v>154.80000000000004</v>
      </c>
      <c r="AP150" s="522">
        <f t="shared" si="512"/>
        <v>99.199999999999932</v>
      </c>
      <c r="AQ150" s="523">
        <f t="shared" si="512"/>
        <v>105.89999999999998</v>
      </c>
      <c r="AR150" s="522">
        <f t="shared" si="512"/>
        <v>45.000000000000043</v>
      </c>
      <c r="AS150" s="522">
        <f t="shared" si="512"/>
        <v>141.09999999999997</v>
      </c>
      <c r="AT150" s="522">
        <f t="shared" si="512"/>
        <v>66.5</v>
      </c>
      <c r="AU150" s="523">
        <f t="shared" si="512"/>
        <v>143.9</v>
      </c>
      <c r="AV150" s="522">
        <f t="shared" si="512"/>
        <v>48.100000000000108</v>
      </c>
      <c r="AW150" s="522">
        <f t="shared" si="512"/>
        <v>185.10000000000002</v>
      </c>
      <c r="AX150" s="522">
        <f t="shared" si="512"/>
        <v>37.499999999999957</v>
      </c>
      <c r="AY150" s="523">
        <f t="shared" si="512"/>
        <v>171.39999999999992</v>
      </c>
      <c r="AZ150" s="522">
        <f t="shared" si="512"/>
        <v>82.599999999999852</v>
      </c>
      <c r="BA150" s="522">
        <f t="shared" si="512"/>
        <v>140.7999999999999</v>
      </c>
      <c r="BB150" s="522">
        <f t="shared" si="512"/>
        <v>142.69999999999982</v>
      </c>
      <c r="BC150" s="523">
        <f t="shared" si="512"/>
        <v>237.40000000000003</v>
      </c>
      <c r="BD150" s="522">
        <f t="shared" si="512"/>
        <v>74.500000000000014</v>
      </c>
      <c r="BE150" s="522">
        <f t="shared" si="512"/>
        <v>192.60000000000002</v>
      </c>
      <c r="BF150" s="522">
        <f t="shared" si="512"/>
        <v>-1.9999999999999574</v>
      </c>
      <c r="BG150" s="523">
        <f t="shared" si="512"/>
        <v>135.69999999999996</v>
      </c>
      <c r="BH150" s="522">
        <f t="shared" si="512"/>
        <v>68.000000000000028</v>
      </c>
      <c r="BI150" s="522">
        <f t="shared" si="512"/>
        <v>105.79999999999997</v>
      </c>
      <c r="BJ150" s="522">
        <f t="shared" si="512"/>
        <v>52.500000000000036</v>
      </c>
      <c r="BK150" s="523">
        <f t="shared" si="512"/>
        <v>124.69999999999997</v>
      </c>
      <c r="BL150" s="522">
        <f t="shared" si="512"/>
        <v>64.099999999999966</v>
      </c>
      <c r="BM150" s="522">
        <f t="shared" si="512"/>
        <v>144.19999999999999</v>
      </c>
      <c r="BN150" s="522">
        <f t="shared" si="512"/>
        <v>104.40000000000022</v>
      </c>
      <c r="BO150" s="523">
        <f t="shared" si="512"/>
        <v>226.19999999999976</v>
      </c>
      <c r="BP150" s="522">
        <f t="shared" si="512"/>
        <v>-41.399999999999778</v>
      </c>
      <c r="BQ150" s="522">
        <f t="shared" si="512"/>
        <v>290.99999999999983</v>
      </c>
      <c r="BR150" s="522">
        <f t="shared" si="512"/>
        <v>223.5</v>
      </c>
      <c r="BS150" s="523">
        <f t="shared" si="512"/>
        <v>235.10000000000008</v>
      </c>
      <c r="BT150" s="522">
        <f t="shared" ref="BT150:CP150" si="513">SUM(BT129:BT139)+BT146+BT148</f>
        <v>30.800000000000011</v>
      </c>
      <c r="BU150" s="522">
        <f t="shared" si="513"/>
        <v>279.29500000000007</v>
      </c>
      <c r="BV150" s="522">
        <f t="shared" si="513"/>
        <v>232.53000000000003</v>
      </c>
      <c r="BW150" s="523">
        <f t="shared" si="513"/>
        <v>336.07499999999987</v>
      </c>
      <c r="BX150" s="522">
        <f t="shared" si="513"/>
        <v>16.299999999999983</v>
      </c>
      <c r="BY150" s="522">
        <f t="shared" si="513"/>
        <v>283.70000000000005</v>
      </c>
      <c r="BZ150" s="522">
        <f t="shared" si="513"/>
        <v>214.80000000000004</v>
      </c>
      <c r="CA150" s="523">
        <f t="shared" si="513"/>
        <v>203.99999999999994</v>
      </c>
      <c r="CB150" s="522">
        <f t="shared" si="513"/>
        <v>46.400000000000006</v>
      </c>
      <c r="CC150" s="522">
        <f t="shared" si="513"/>
        <v>279.80000000000007</v>
      </c>
      <c r="CD150" s="522">
        <f t="shared" si="513"/>
        <v>220.00000000000006</v>
      </c>
      <c r="CE150" s="523">
        <f t="shared" si="513"/>
        <v>255.59999999999991</v>
      </c>
      <c r="CF150" s="522">
        <f t="shared" si="513"/>
        <v>32.69999999999996</v>
      </c>
      <c r="CG150" s="522">
        <f t="shared" si="513"/>
        <v>286.60000000000002</v>
      </c>
      <c r="CH150" s="522">
        <f t="shared" si="513"/>
        <v>150.90000000000003</v>
      </c>
      <c r="CI150" s="523">
        <f t="shared" si="513"/>
        <v>397.69999999999993</v>
      </c>
      <c r="CJ150" s="522">
        <f t="shared" si="513"/>
        <v>34.700000000000074</v>
      </c>
      <c r="CK150" s="522">
        <f t="shared" si="513"/>
        <v>327.5</v>
      </c>
      <c r="CL150" s="522">
        <f t="shared" si="513"/>
        <v>230.89999999999992</v>
      </c>
      <c r="CM150" s="523">
        <f t="shared" si="513"/>
        <v>442.60000000000008</v>
      </c>
      <c r="CN150" s="522">
        <f t="shared" si="513"/>
        <v>60.300000000000011</v>
      </c>
      <c r="CO150" s="522">
        <f t="shared" si="513"/>
        <v>338.9</v>
      </c>
      <c r="CP150" s="522">
        <f t="shared" si="513"/>
        <v>224.69999999999996</v>
      </c>
      <c r="CQ150" s="523">
        <f t="shared" ref="CQ150" si="514">SUM(CQ129:CQ139)+CQ146+CQ148</f>
        <v>556.40000000000009</v>
      </c>
      <c r="CR150" s="936">
        <f>SUM(CR129:CR139)+CR146+CR148</f>
        <v>47.801280038989887</v>
      </c>
      <c r="CS150" s="936">
        <f>SUM(CS129:CS139)+CS146+CS148</f>
        <v>378.16943878341897</v>
      </c>
      <c r="CT150" s="936">
        <f>SUM(CT129:CT139)+CT146+CT148</f>
        <v>296.61484052210022</v>
      </c>
      <c r="CU150" s="925">
        <f>SUM(CU129:CU139)+CU146+CU148</f>
        <v>494.91984139522219</v>
      </c>
      <c r="CV150" s="537"/>
      <c r="CW150" s="522">
        <f t="shared" ref="CW150:DW150" si="515">SUM(CW129:CW139)+CW146+CW148</f>
        <v>87.200000000000017</v>
      </c>
      <c r="CX150" s="522">
        <f t="shared" si="515"/>
        <v>34.572881355932054</v>
      </c>
      <c r="CY150" s="522">
        <f t="shared" si="515"/>
        <v>166.60000000000019</v>
      </c>
      <c r="CZ150" s="522">
        <f t="shared" si="515"/>
        <v>207.00000000000006</v>
      </c>
      <c r="DA150" s="522">
        <f t="shared" si="515"/>
        <v>203.09999999999991</v>
      </c>
      <c r="DB150" s="522">
        <f t="shared" si="515"/>
        <v>25.399999999999892</v>
      </c>
      <c r="DC150" s="522">
        <f t="shared" si="515"/>
        <v>291.5</v>
      </c>
      <c r="DD150" s="522">
        <f t="shared" si="515"/>
        <v>237.69999999999982</v>
      </c>
      <c r="DE150" s="522">
        <f t="shared" si="515"/>
        <v>261.39999999999986</v>
      </c>
      <c r="DF150" s="522">
        <f t="shared" si="515"/>
        <v>306.90000000000003</v>
      </c>
      <c r="DG150" s="522">
        <f t="shared" si="515"/>
        <v>426.6</v>
      </c>
      <c r="DH150" s="522">
        <f t="shared" si="515"/>
        <v>396.50000000000011</v>
      </c>
      <c r="DI150" s="522">
        <f t="shared" si="515"/>
        <v>442.1</v>
      </c>
      <c r="DJ150" s="522">
        <f t="shared" si="515"/>
        <v>603.49999999999966</v>
      </c>
      <c r="DK150" s="522">
        <f t="shared" si="515"/>
        <v>400.80000000000007</v>
      </c>
      <c r="DL150" s="522">
        <f t="shared" si="515"/>
        <v>351.00000000000006</v>
      </c>
      <c r="DM150" s="522">
        <f t="shared" si="515"/>
        <v>538.9</v>
      </c>
      <c r="DN150" s="522">
        <f t="shared" si="515"/>
        <v>708.19999999999993</v>
      </c>
      <c r="DO150" s="522">
        <f t="shared" si="515"/>
        <v>878.69999999999993</v>
      </c>
      <c r="DP150" s="522">
        <f t="shared" si="515"/>
        <v>718.80000000000018</v>
      </c>
      <c r="DQ150" s="522">
        <f t="shared" si="515"/>
        <v>801.8</v>
      </c>
      <c r="DR150" s="522">
        <f t="shared" si="515"/>
        <v>867.89999999999986</v>
      </c>
      <c r="DS150" s="522">
        <f t="shared" si="515"/>
        <v>1035.7</v>
      </c>
      <c r="DT150" s="522">
        <f t="shared" si="515"/>
        <v>1180.3000000000002</v>
      </c>
      <c r="DU150" s="522">
        <f t="shared" ref="DU150" si="516">SUM(DU129:DU139)+DU146+DU148</f>
        <v>1217.5054007397314</v>
      </c>
      <c r="DV150" s="522">
        <f t="shared" si="515"/>
        <v>1509.2310239348326</v>
      </c>
      <c r="DW150" s="522">
        <f t="shared" si="515"/>
        <v>1559.3700539254748</v>
      </c>
      <c r="DX150" s="522">
        <f t="shared" ref="DX150:DZ150" si="517">SUM(DX129:DX139)+DX146+DX148</f>
        <v>1599.1814618553049</v>
      </c>
      <c r="DY150" s="522">
        <f t="shared" si="517"/>
        <v>1623.8260971074053</v>
      </c>
      <c r="DZ150" s="522">
        <f t="shared" si="517"/>
        <v>1625.5725743765499</v>
      </c>
      <c r="EA150" s="558"/>
      <c r="EB150"/>
      <c r="EC150"/>
      <c r="ED150"/>
      <c r="EE150"/>
      <c r="EF150"/>
      <c r="EG150"/>
    </row>
    <row r="151" spans="1:137" s="410" customFormat="1">
      <c r="A151" s="400"/>
      <c r="B151" s="567"/>
      <c r="C151" s="658"/>
      <c r="D151" s="525"/>
      <c r="E151" s="452"/>
      <c r="F151" s="452"/>
      <c r="G151" s="514"/>
      <c r="H151" s="568"/>
      <c r="I151" s="568"/>
      <c r="J151" s="568"/>
      <c r="K151" s="569"/>
      <c r="L151" s="568"/>
      <c r="M151" s="568"/>
      <c r="N151" s="568"/>
      <c r="O151" s="569"/>
      <c r="P151" s="568"/>
      <c r="Q151" s="568"/>
      <c r="R151" s="568"/>
      <c r="S151" s="569"/>
      <c r="T151" s="568"/>
      <c r="U151" s="568"/>
      <c r="V151" s="568"/>
      <c r="W151" s="569"/>
      <c r="X151" s="568"/>
      <c r="Y151" s="568"/>
      <c r="Z151" s="568"/>
      <c r="AA151" s="569"/>
      <c r="AB151" s="568"/>
      <c r="AC151" s="568"/>
      <c r="AD151" s="568"/>
      <c r="AE151" s="569"/>
      <c r="AF151" s="568"/>
      <c r="AG151" s="568"/>
      <c r="AH151" s="568"/>
      <c r="AI151" s="569"/>
      <c r="AJ151" s="568"/>
      <c r="AK151" s="568"/>
      <c r="AL151" s="568"/>
      <c r="AM151" s="569"/>
      <c r="AN151" s="568"/>
      <c r="AO151" s="568"/>
      <c r="AP151" s="568"/>
      <c r="AQ151" s="569"/>
      <c r="AR151" s="568"/>
      <c r="AS151" s="568"/>
      <c r="AT151" s="568"/>
      <c r="AU151" s="569"/>
      <c r="AV151" s="568"/>
      <c r="AW151" s="568"/>
      <c r="AX151" s="568"/>
      <c r="AY151" s="569"/>
      <c r="AZ151" s="568"/>
      <c r="BA151" s="568"/>
      <c r="BB151" s="568"/>
      <c r="BC151" s="569"/>
      <c r="BD151" s="568"/>
      <c r="BE151" s="568"/>
      <c r="BF151" s="568"/>
      <c r="BG151" s="569"/>
      <c r="BH151" s="568"/>
      <c r="BI151" s="568"/>
      <c r="BJ151" s="568"/>
      <c r="BK151" s="569"/>
      <c r="BL151" s="568"/>
      <c r="BM151" s="568"/>
      <c r="BN151" s="568"/>
      <c r="BO151" s="569"/>
      <c r="BP151" s="568"/>
      <c r="BQ151" s="568"/>
      <c r="BR151" s="568"/>
      <c r="BS151" s="569"/>
      <c r="BT151" s="568"/>
      <c r="BU151" s="568"/>
      <c r="BV151" s="568"/>
      <c r="BW151" s="569"/>
      <c r="BX151" s="568"/>
      <c r="BY151" s="568"/>
      <c r="BZ151" s="568"/>
      <c r="CA151" s="569"/>
      <c r="CB151" s="568"/>
      <c r="CC151" s="568"/>
      <c r="CD151" s="568"/>
      <c r="CE151" s="569"/>
      <c r="CF151" s="568"/>
      <c r="CG151" s="568"/>
      <c r="CH151" s="568"/>
      <c r="CI151" s="569"/>
      <c r="CJ151" s="568"/>
      <c r="CK151" s="568"/>
      <c r="CL151" s="568"/>
      <c r="CM151" s="569"/>
      <c r="CN151" s="568"/>
      <c r="CO151" s="568"/>
      <c r="CP151" s="568"/>
      <c r="CQ151" s="569"/>
      <c r="CR151" s="940"/>
      <c r="CS151" s="940"/>
      <c r="CT151" s="940"/>
      <c r="CU151" s="929"/>
      <c r="CV151" s="406"/>
      <c r="CW151" s="570"/>
      <c r="CX151" s="568"/>
      <c r="CY151" s="568"/>
      <c r="CZ151" s="568"/>
      <c r="DA151" s="568"/>
      <c r="DB151" s="568"/>
      <c r="DC151" s="568"/>
      <c r="DD151" s="568"/>
      <c r="DE151" s="568"/>
      <c r="DF151" s="568"/>
      <c r="DG151" s="568"/>
      <c r="DH151" s="568"/>
      <c r="DI151" s="568"/>
      <c r="DJ151" s="568"/>
      <c r="DK151" s="568"/>
      <c r="DL151" s="568"/>
      <c r="DM151" s="568"/>
      <c r="DN151" s="568"/>
      <c r="DO151" s="568"/>
      <c r="DP151" s="568"/>
      <c r="DQ151" s="568"/>
      <c r="DR151" s="568"/>
      <c r="DS151" s="568"/>
      <c r="DT151" s="568"/>
      <c r="DU151" s="568"/>
      <c r="DV151" s="568"/>
      <c r="DW151" s="568"/>
      <c r="DX151" s="568"/>
      <c r="DY151" s="568"/>
      <c r="DZ151" s="568"/>
      <c r="EA151" s="452"/>
      <c r="EB151"/>
      <c r="EC151"/>
      <c r="ED151"/>
      <c r="EE151"/>
      <c r="EF151"/>
      <c r="EG151"/>
    </row>
    <row r="152" spans="1:137" s="410" customFormat="1">
      <c r="A152" s="400"/>
      <c r="B152" s="401" t="s">
        <v>106</v>
      </c>
      <c r="C152" s="658"/>
      <c r="D152" s="432"/>
      <c r="E152" s="433"/>
      <c r="F152" s="433"/>
      <c r="G152" s="434"/>
      <c r="H152" s="564">
        <f>-11.6</f>
        <v>-11.6</v>
      </c>
      <c r="I152" s="564">
        <f>-32-H152</f>
        <v>-20.399999999999999</v>
      </c>
      <c r="J152" s="564">
        <f>-57.8-I152-H152</f>
        <v>-25.799999999999997</v>
      </c>
      <c r="K152" s="572">
        <f>-91.9-J152-I152-H152</f>
        <v>-34.100000000000009</v>
      </c>
      <c r="L152" s="564">
        <v>-23.4</v>
      </c>
      <c r="M152" s="564">
        <f>-59.5-L152</f>
        <v>-36.1</v>
      </c>
      <c r="N152" s="564">
        <f>-88.5-M152-L152</f>
        <v>-29</v>
      </c>
      <c r="O152" s="572">
        <v>-23.4</v>
      </c>
      <c r="P152" s="564">
        <v>-29.5</v>
      </c>
      <c r="Q152" s="564">
        <f>-55.7-P152</f>
        <v>-26.200000000000003</v>
      </c>
      <c r="R152" s="564">
        <f>-78.8-Q152-P152</f>
        <v>-23.099999999999994</v>
      </c>
      <c r="S152" s="514">
        <f>DA152-P152-Q152-R152</f>
        <v>-43.400000000000006</v>
      </c>
      <c r="T152" s="564"/>
      <c r="U152" s="564">
        <v>-27.4</v>
      </c>
      <c r="V152" s="564">
        <v>-30.5</v>
      </c>
      <c r="W152" s="572">
        <v>-34.9</v>
      </c>
      <c r="X152" s="564">
        <v>-28.3</v>
      </c>
      <c r="Y152" s="564">
        <f>-78.6-X152</f>
        <v>-50.3</v>
      </c>
      <c r="Z152" s="564">
        <f>-111.5-Y152-X152</f>
        <v>-32.900000000000006</v>
      </c>
      <c r="AA152" s="514">
        <f t="shared" ref="AA152:AA159" si="518">DC152-X152-Y152-Z152</f>
        <v>-55.59999999999998</v>
      </c>
      <c r="AB152" s="564">
        <v>-17.2</v>
      </c>
      <c r="AC152" s="564">
        <f>-50.6-AB152</f>
        <v>-33.400000000000006</v>
      </c>
      <c r="AD152" s="564">
        <f>-93.2-AC152-AB152</f>
        <v>-42.599999999999994</v>
      </c>
      <c r="AE152" s="514">
        <f t="shared" ref="AE152:AE159" si="519">DD152-AD152-AC152-AB152</f>
        <v>-47.7</v>
      </c>
      <c r="AF152" s="564">
        <v>-26.1</v>
      </c>
      <c r="AG152" s="564">
        <f>-55.3-AF152</f>
        <v>-29.199999999999996</v>
      </c>
      <c r="AH152" s="564">
        <f>-81.4-AG152-AF152</f>
        <v>-26.100000000000009</v>
      </c>
      <c r="AI152" s="514">
        <f>DE152-AH152-AG152-AF152</f>
        <v>-56.999999999999993</v>
      </c>
      <c r="AJ152" s="564">
        <v>-25.3</v>
      </c>
      <c r="AK152" s="564">
        <f>-64.8-AJ152</f>
        <v>-39.5</v>
      </c>
      <c r="AL152" s="564">
        <f>-104.1-AJ152-AK152</f>
        <v>-39.299999999999997</v>
      </c>
      <c r="AM152" s="514">
        <f>+DF152-AL152-AK152-AJ152</f>
        <v>-67.899999999999991</v>
      </c>
      <c r="AN152" s="564">
        <v>-40.5</v>
      </c>
      <c r="AO152" s="564">
        <f>-84.2-AN152</f>
        <v>-43.7</v>
      </c>
      <c r="AP152" s="564">
        <f>-126.7-AO152-AN152</f>
        <v>-42.5</v>
      </c>
      <c r="AQ152" s="572">
        <f>-204.9-AP152-AO152-AN152</f>
        <v>-78.2</v>
      </c>
      <c r="AR152" s="564">
        <v>-49.3</v>
      </c>
      <c r="AS152" s="564">
        <f>-99.2-AR152</f>
        <v>-49.900000000000006</v>
      </c>
      <c r="AT152" s="564">
        <f>-150.2-AS152-AR152</f>
        <v>-50.999999999999986</v>
      </c>
      <c r="AU152" s="572">
        <f>-246.7-SUM(AR152:AT152)</f>
        <v>-96.5</v>
      </c>
      <c r="AV152" s="564">
        <v>-53.1</v>
      </c>
      <c r="AW152" s="564">
        <f>-113.2-AV152</f>
        <v>-60.1</v>
      </c>
      <c r="AX152" s="564">
        <f>-191.9-AW152-AV152-SUM(AV157:AX157)</f>
        <v>-30.852162888974284</v>
      </c>
      <c r="AY152" s="572">
        <f>-268.3-SUM(AV152:AX152)</f>
        <v>-124.24783711102572</v>
      </c>
      <c r="AZ152" s="564">
        <v>-58.3</v>
      </c>
      <c r="BA152" s="564">
        <f>-122.5-AZ152</f>
        <v>-64.2</v>
      </c>
      <c r="BB152" s="564">
        <f>-194.6-SUM(AZ152:BA152)</f>
        <v>-72.099999999999994</v>
      </c>
      <c r="BC152" s="572">
        <f>-293.9-SUM(AZ152:BB152)</f>
        <v>-99.299999999999983</v>
      </c>
      <c r="BD152" s="564">
        <v>-75.400000000000006</v>
      </c>
      <c r="BE152" s="564">
        <f>-162.2-BD152</f>
        <v>-86.799999999999983</v>
      </c>
      <c r="BF152" s="564">
        <f>-265.6-SUM(BD152:BE152)</f>
        <v>-103.40000000000003</v>
      </c>
      <c r="BG152" s="572">
        <f>-369.7-SUM(BD152:BF152)</f>
        <v>-104.09999999999997</v>
      </c>
      <c r="BH152" s="564">
        <v>-38.6</v>
      </c>
      <c r="BI152" s="564">
        <f>-88.3-BH152</f>
        <v>-49.699999999999996</v>
      </c>
      <c r="BJ152" s="564">
        <f>-127.2-SUM(BH152:BI152)</f>
        <v>-38.900000000000006</v>
      </c>
      <c r="BK152" s="572">
        <f>-172-SUM(BH152:BJ152)</f>
        <v>-44.8</v>
      </c>
      <c r="BL152" s="564">
        <v>-55.3</v>
      </c>
      <c r="BM152" s="564">
        <f>-107.4-BL152</f>
        <v>-52.100000000000009</v>
      </c>
      <c r="BN152" s="564">
        <f>-187.8-SUM(BL152:BM152)</f>
        <v>-80.400000000000006</v>
      </c>
      <c r="BO152" s="572">
        <f>-276.6-SUM(BL152:BN152)</f>
        <v>-88.800000000000011</v>
      </c>
      <c r="BP152" s="564">
        <v>-70.2</v>
      </c>
      <c r="BQ152" s="564">
        <f>-159.9-BP152</f>
        <v>-89.7</v>
      </c>
      <c r="BR152" s="564">
        <f>-274.1-BP152-BQ152</f>
        <v>-114.20000000000003</v>
      </c>
      <c r="BS152" s="572">
        <f>-393.7-SUM(BP152:BR152)</f>
        <v>-119.59999999999997</v>
      </c>
      <c r="BT152" s="564">
        <v>-95</v>
      </c>
      <c r="BU152" s="564">
        <v>-93.4</v>
      </c>
      <c r="BV152" s="564">
        <v>-94.6</v>
      </c>
      <c r="BW152" s="572">
        <f>-407.4-SUM(BT152:BV152)</f>
        <v>-124.39999999999998</v>
      </c>
      <c r="BX152" s="564">
        <v>-87.4</v>
      </c>
      <c r="BY152" s="564">
        <f>-194.8-(BX152)</f>
        <v>-107.4</v>
      </c>
      <c r="BZ152" s="564">
        <f>-297.9-((BX152+BY152))</f>
        <v>-103.09999999999997</v>
      </c>
      <c r="CA152" s="572">
        <f>-417.8-(SUM(BX152:BZ152))</f>
        <v>-119.90000000000003</v>
      </c>
      <c r="CB152" s="564">
        <v>-126.2</v>
      </c>
      <c r="CC152" s="564">
        <f>-257.3-(CB152)</f>
        <v>-131.10000000000002</v>
      </c>
      <c r="CD152" s="564">
        <f>-397.9-(SUM(CB152:CC152))</f>
        <v>-140.59999999999997</v>
      </c>
      <c r="CE152" s="572">
        <f>-563-(SUM(CB152:CD152))</f>
        <v>-165.10000000000002</v>
      </c>
      <c r="CF152" s="564">
        <v>-140</v>
      </c>
      <c r="CG152" s="564">
        <f>-285-(CF152)</f>
        <v>-145</v>
      </c>
      <c r="CH152" s="564">
        <f>-418.8-(SUM(CF152:CG152))</f>
        <v>-133.80000000000001</v>
      </c>
      <c r="CI152" s="572">
        <f>-577.3-(SUM(CF152:CH152))</f>
        <v>-158.49999999999994</v>
      </c>
      <c r="CJ152" s="564">
        <v>-104.3</v>
      </c>
      <c r="CK152" s="564">
        <f>-234.7-CJ152</f>
        <v>-130.39999999999998</v>
      </c>
      <c r="CL152" s="564">
        <f>-354.8-CK152-CJ152</f>
        <v>-120.10000000000004</v>
      </c>
      <c r="CM152" s="572">
        <f>-500.6-SUM(CJ152:CL152)</f>
        <v>-145.80000000000001</v>
      </c>
      <c r="CN152" s="564">
        <v>-130.9</v>
      </c>
      <c r="CO152" s="564">
        <f>-254.2-CN152</f>
        <v>-123.29999999999998</v>
      </c>
      <c r="CP152" s="564">
        <f>-389.7-CO152-CN152</f>
        <v>-135.49999999999997</v>
      </c>
      <c r="CQ152" s="572">
        <f>-560-CP152-CO152-CN152</f>
        <v>-170.30000000000004</v>
      </c>
      <c r="CR152" s="932">
        <f>-CR182*CR9</f>
        <v>-146.68150177493652</v>
      </c>
      <c r="CS152" s="932">
        <f>-CS182*CS9</f>
        <v>-150.04207023871746</v>
      </c>
      <c r="CT152" s="932">
        <f>-CT182*CT9</f>
        <v>-144.32220931945486</v>
      </c>
      <c r="CU152" s="919">
        <f>-CU182*CU9</f>
        <v>-182.0863497153436</v>
      </c>
      <c r="CV152" s="406"/>
      <c r="CW152" s="564">
        <v>-98.8</v>
      </c>
      <c r="CX152" s="637">
        <v>-92.5</v>
      </c>
      <c r="CY152" s="436">
        <f>SUM(H152:K152)</f>
        <v>-91.9</v>
      </c>
      <c r="CZ152" s="436">
        <f>SUM(L152:O152)</f>
        <v>-111.9</v>
      </c>
      <c r="DA152" s="637">
        <v>-122.2</v>
      </c>
      <c r="DB152" s="637">
        <v>-55.6</v>
      </c>
      <c r="DC152" s="637">
        <v>-167.1</v>
      </c>
      <c r="DD152" s="637">
        <v>-140.9</v>
      </c>
      <c r="DE152" s="637">
        <v>-138.4</v>
      </c>
      <c r="DF152" s="637">
        <v>-172</v>
      </c>
      <c r="DG152" s="436">
        <f>+SUM(AN152:AQ152)</f>
        <v>-204.9</v>
      </c>
      <c r="DH152" s="436">
        <f t="shared" ref="DH152:DH159" si="520">+SUM(AR152:AU152)</f>
        <v>-246.7</v>
      </c>
      <c r="DI152" s="436">
        <f>SUM(AV152:AY152)</f>
        <v>-268.3</v>
      </c>
      <c r="DJ152" s="436">
        <f>SUM(AZ152:BC152)</f>
        <v>-293.89999999999998</v>
      </c>
      <c r="DK152" s="436">
        <f>SUM(BD152:BG152)</f>
        <v>-369.7</v>
      </c>
      <c r="DL152" s="436">
        <f>SUM(BH152:BK152)</f>
        <v>-172</v>
      </c>
      <c r="DM152" s="436">
        <f>SUM(BL152:BO152)</f>
        <v>-276.60000000000002</v>
      </c>
      <c r="DN152" s="436">
        <f>SUM(BP152:BS152)</f>
        <v>-393.7</v>
      </c>
      <c r="DO152" s="436">
        <f>SUM(BT152:BW152)</f>
        <v>-407.4</v>
      </c>
      <c r="DP152" s="436">
        <f>SUM(BX152:CA152)</f>
        <v>-417.8</v>
      </c>
      <c r="DQ152" s="436">
        <f>SUM(CB152:CE152)</f>
        <v>-563</v>
      </c>
      <c r="DR152" s="436">
        <f>SUM(CF152:CI152)</f>
        <v>-577.29999999999995</v>
      </c>
      <c r="DS152" s="436">
        <f>SUM(CJ152:CM152)</f>
        <v>-500.6</v>
      </c>
      <c r="DT152" s="436">
        <f>SUM(CN152:CQ152)</f>
        <v>-560</v>
      </c>
      <c r="DU152" s="436">
        <f t="shared" ref="DU152:DU156" si="521">SUM(CR152:CU152)</f>
        <v>-623.13213104845249</v>
      </c>
      <c r="DV152" s="452">
        <f>-DV182*DV9</f>
        <v>-685.36980752402019</v>
      </c>
      <c r="DW152" s="452">
        <f>-DW182*DW9</f>
        <v>-717.88025103768211</v>
      </c>
      <c r="DX152" s="452">
        <f>-DX182*DX9</f>
        <v>-747.52282573065361</v>
      </c>
      <c r="DY152" s="452">
        <f>-DY182*DY9</f>
        <v>-768.6595724373866</v>
      </c>
      <c r="DZ152" s="452">
        <f>-DZ182*DZ9</f>
        <v>-779.27783811788811</v>
      </c>
      <c r="EA152" s="512"/>
      <c r="EB152"/>
      <c r="EC152"/>
      <c r="ED152"/>
      <c r="EE152"/>
      <c r="EF152"/>
      <c r="EG152"/>
    </row>
    <row r="153" spans="1:137" s="410" customFormat="1">
      <c r="A153" s="400"/>
      <c r="B153" s="401" t="s">
        <v>328</v>
      </c>
      <c r="C153" s="658"/>
      <c r="D153" s="432"/>
      <c r="E153" s="433"/>
      <c r="F153" s="433"/>
      <c r="G153" s="434"/>
      <c r="H153" s="564"/>
      <c r="I153" s="564"/>
      <c r="J153" s="564"/>
      <c r="K153" s="572"/>
      <c r="L153" s="564"/>
      <c r="M153" s="564"/>
      <c r="N153" s="564"/>
      <c r="O153" s="572"/>
      <c r="P153" s="564"/>
      <c r="Q153" s="564"/>
      <c r="R153" s="564"/>
      <c r="S153" s="514">
        <f>DA153-P153-Q153-R153</f>
        <v>-65.400000000000006</v>
      </c>
      <c r="T153" s="564"/>
      <c r="U153" s="564">
        <v>-543</v>
      </c>
      <c r="V153" s="564"/>
      <c r="W153" s="572"/>
      <c r="X153" s="564"/>
      <c r="Y153" s="564"/>
      <c r="Z153" s="564"/>
      <c r="AA153" s="514">
        <f t="shared" ref="AA153:AA158" si="522">DC153-X153-Y153-Z153</f>
        <v>0</v>
      </c>
      <c r="AB153" s="564"/>
      <c r="AC153" s="564"/>
      <c r="AD153" s="564"/>
      <c r="AE153" s="514">
        <f>DD153-AD153-AC153-AB153</f>
        <v>-3.3</v>
      </c>
      <c r="AF153" s="564"/>
      <c r="AG153" s="564"/>
      <c r="AH153" s="564"/>
      <c r="AI153" s="572"/>
      <c r="AJ153" s="564"/>
      <c r="AK153" s="564">
        <v>-12.8</v>
      </c>
      <c r="AL153" s="564">
        <f>+-12.8-AK153</f>
        <v>0</v>
      </c>
      <c r="AM153" s="514">
        <f>+DF153-AL153-AK153-AJ153</f>
        <v>0</v>
      </c>
      <c r="AN153" s="564"/>
      <c r="AO153" s="564"/>
      <c r="AP153" s="564"/>
      <c r="AQ153" s="572"/>
      <c r="AR153" s="564">
        <v>-477.2</v>
      </c>
      <c r="AS153" s="564">
        <f>-477.2-AR153</f>
        <v>0</v>
      </c>
      <c r="AT153" s="564">
        <f>-385.2-AR153-AS153-AR154</f>
        <v>47.8</v>
      </c>
      <c r="AU153" s="572">
        <f>-477.2-SUM(AR153:AT153)</f>
        <v>-47.800000000000011</v>
      </c>
      <c r="AV153" s="564"/>
      <c r="AW153" s="564"/>
      <c r="AX153" s="564">
        <v>-64.400000000000006</v>
      </c>
      <c r="AY153" s="572">
        <f>-63.7-AX153</f>
        <v>0.70000000000000284</v>
      </c>
      <c r="AZ153" s="564"/>
      <c r="BA153" s="564"/>
      <c r="BB153" s="564"/>
      <c r="BC153" s="572">
        <v>-138.80000000000001</v>
      </c>
      <c r="BD153" s="564"/>
      <c r="BE153" s="564"/>
      <c r="BF153" s="564">
        <f>-58.8-SUM(BD153:BE153)</f>
        <v>-58.8</v>
      </c>
      <c r="BG153" s="572">
        <f>-141.2-SUM(BD153:BF153)</f>
        <v>-82.399999999999991</v>
      </c>
      <c r="BH153" s="564">
        <v>-12.2</v>
      </c>
      <c r="BI153" s="564">
        <f>-22.3-BH153</f>
        <v>-10.100000000000001</v>
      </c>
      <c r="BJ153" s="564">
        <f>-23-SUM(BH153:BI153)</f>
        <v>-0.69999999999999929</v>
      </c>
      <c r="BK153" s="572">
        <f>-7.5+1.6-SUM(BH153:BJ153)</f>
        <v>17.100000000000001</v>
      </c>
      <c r="BL153" s="564"/>
      <c r="BM153" s="564">
        <v>-164.7</v>
      </c>
      <c r="BN153" s="564">
        <f>-164.7-BM153-BL153</f>
        <v>0</v>
      </c>
      <c r="BO153" s="572">
        <f>-164.7-SUM(BL153:BN153)</f>
        <v>0</v>
      </c>
      <c r="BP153" s="564">
        <v>-203.7</v>
      </c>
      <c r="BQ153" s="564">
        <f>-203.7-BP153</f>
        <v>0</v>
      </c>
      <c r="BR153" s="564">
        <v>0</v>
      </c>
      <c r="BS153" s="572"/>
      <c r="BT153" s="564"/>
      <c r="BU153" s="564"/>
      <c r="BV153" s="564"/>
      <c r="BW153" s="572"/>
      <c r="BX153" s="564"/>
      <c r="BY153" s="564"/>
      <c r="BZ153" s="564"/>
      <c r="CA153" s="572"/>
      <c r="CB153" s="564">
        <v>-106.4</v>
      </c>
      <c r="CC153" s="564">
        <f>-106.4-(CB153)</f>
        <v>0</v>
      </c>
      <c r="CD153" s="564">
        <f>-106.4-(SUM(CB153:CC153))</f>
        <v>0</v>
      </c>
      <c r="CE153" s="572">
        <f>-110.5-(SUM(CB153:CD153))</f>
        <v>-4.0999999999999943</v>
      </c>
      <c r="CF153" s="564">
        <v>-12.6</v>
      </c>
      <c r="CG153" s="564">
        <f>-12.6-(CF153)</f>
        <v>0</v>
      </c>
      <c r="CH153" s="564">
        <f>-12.6-(SUM(CF153:CG153))</f>
        <v>0</v>
      </c>
      <c r="CI153" s="572">
        <f>-1199.6-(SUM(CF153:CH153))</f>
        <v>-1187</v>
      </c>
      <c r="CJ153" s="564"/>
      <c r="CK153" s="564"/>
      <c r="CL153" s="564"/>
      <c r="CM153" s="442"/>
      <c r="CN153" s="637"/>
      <c r="CO153" s="637"/>
      <c r="CP153" s="637">
        <f>-180.6-CO153-CN153</f>
        <v>-180.6</v>
      </c>
      <c r="CQ153" s="442">
        <f>-185.7-CP153-CO153-CN153</f>
        <v>-5.0999999999999943</v>
      </c>
      <c r="CR153" s="939"/>
      <c r="CS153" s="939"/>
      <c r="CT153" s="939"/>
      <c r="CU153" s="928"/>
      <c r="CV153" s="406"/>
      <c r="CW153" s="564">
        <v>0</v>
      </c>
      <c r="CX153" s="637">
        <v>-46.5</v>
      </c>
      <c r="CY153" s="436"/>
      <c r="CZ153" s="436"/>
      <c r="DA153" s="637">
        <v>-65.400000000000006</v>
      </c>
      <c r="DB153" s="436"/>
      <c r="DC153" s="436"/>
      <c r="DD153" s="637">
        <v>-3.3</v>
      </c>
      <c r="DE153" s="436"/>
      <c r="DF153" s="637">
        <v>-12.8</v>
      </c>
      <c r="DG153" s="436"/>
      <c r="DH153" s="436">
        <f>+SUM(AR153:AU153)</f>
        <v>-477.2</v>
      </c>
      <c r="DI153" s="436">
        <f>+SUM(AV153:AY153)</f>
        <v>-63.7</v>
      </c>
      <c r="DJ153" s="436">
        <f>+SUM(AZ153:BC153)</f>
        <v>-138.80000000000001</v>
      </c>
      <c r="DK153" s="436">
        <f>+SUM(BD153:BG153)</f>
        <v>-141.19999999999999</v>
      </c>
      <c r="DL153" s="436">
        <f>+SUM(BH153:BK153)</f>
        <v>-5.8999999999999986</v>
      </c>
      <c r="DM153" s="436">
        <f>+SUM(BL153:BO153)</f>
        <v>-164.7</v>
      </c>
      <c r="DN153" s="436">
        <f>+SUM(BP153:BS153)</f>
        <v>-203.7</v>
      </c>
      <c r="DO153" s="436">
        <f>+SUM(BT153:BW153)</f>
        <v>0</v>
      </c>
      <c r="DP153" s="436">
        <f>+SUM(BX153:CA153)</f>
        <v>0</v>
      </c>
      <c r="DQ153" s="436">
        <f>+SUM(CB153:CE153)</f>
        <v>-110.5</v>
      </c>
      <c r="DR153" s="436">
        <f>+SUM(CF153:CI153)</f>
        <v>-1199.5999999999999</v>
      </c>
      <c r="DS153" s="436">
        <f>+SUM(CJ153:CM153)</f>
        <v>0</v>
      </c>
      <c r="DT153" s="436">
        <f>+SUM(CN153:CQ153)</f>
        <v>-185.7</v>
      </c>
      <c r="DU153" s="436">
        <f t="shared" si="521"/>
        <v>0</v>
      </c>
      <c r="DV153" s="559"/>
      <c r="DW153" s="559"/>
      <c r="DX153" s="559"/>
      <c r="DY153" s="559"/>
      <c r="DZ153" s="559"/>
      <c r="EA153" s="512"/>
      <c r="EB153"/>
      <c r="EC153"/>
      <c r="ED153"/>
      <c r="EE153"/>
      <c r="EF153"/>
      <c r="EG153"/>
    </row>
    <row r="154" spans="1:137" s="410" customFormat="1">
      <c r="A154" s="400"/>
      <c r="B154" s="401" t="s">
        <v>327</v>
      </c>
      <c r="C154" s="658"/>
      <c r="D154" s="432"/>
      <c r="E154" s="433"/>
      <c r="F154" s="433"/>
      <c r="G154" s="434"/>
      <c r="H154" s="564"/>
      <c r="I154" s="564"/>
      <c r="J154" s="564"/>
      <c r="K154" s="572"/>
      <c r="L154" s="564"/>
      <c r="M154" s="564"/>
      <c r="N154" s="564"/>
      <c r="O154" s="572"/>
      <c r="P154" s="564"/>
      <c r="Q154" s="564"/>
      <c r="R154" s="564">
        <v>49.4</v>
      </c>
      <c r="S154" s="514">
        <f>DA154-P154-Q154-R154</f>
        <v>2.3999999999999986</v>
      </c>
      <c r="T154" s="564"/>
      <c r="U154" s="564"/>
      <c r="V154" s="564">
        <v>11.5</v>
      </c>
      <c r="W154" s="572"/>
      <c r="X154" s="564">
        <v>122.3</v>
      </c>
      <c r="Y154" s="564">
        <f>122.3-X154</f>
        <v>0</v>
      </c>
      <c r="Z154" s="564">
        <f>122.3-Y154-X154</f>
        <v>0</v>
      </c>
      <c r="AA154" s="514">
        <f t="shared" si="522"/>
        <v>9.6000000000000085</v>
      </c>
      <c r="AB154" s="564"/>
      <c r="AC154" s="564">
        <f>12.8-AB154</f>
        <v>12.8</v>
      </c>
      <c r="AD154" s="564">
        <f>13.9-AC154-AB154</f>
        <v>1.0999999999999996</v>
      </c>
      <c r="AE154" s="514">
        <f>DD154-AD154-AC154-AB154</f>
        <v>0.5</v>
      </c>
      <c r="AF154" s="564"/>
      <c r="AG154" s="564">
        <f>0.5-AF154</f>
        <v>0.5</v>
      </c>
      <c r="AH154" s="564">
        <f>2.6-AG154-AF154</f>
        <v>2.1</v>
      </c>
      <c r="AI154" s="514">
        <f>DE154-AH154-AG154-AF154</f>
        <v>0.69999999999999973</v>
      </c>
      <c r="AJ154" s="564"/>
      <c r="AK154" s="564"/>
      <c r="AL154" s="564">
        <v>5.4</v>
      </c>
      <c r="AM154" s="514">
        <f>+DF154-AL154-AK154-AJ154</f>
        <v>0</v>
      </c>
      <c r="AN154" s="564"/>
      <c r="AO154" s="564"/>
      <c r="AP154" s="564"/>
      <c r="AQ154" s="572"/>
      <c r="AR154" s="564">
        <v>44.2</v>
      </c>
      <c r="AS154" s="564">
        <v>0</v>
      </c>
      <c r="AT154" s="564"/>
      <c r="AU154" s="572">
        <f>54.2-SUM(AR154:AT154)</f>
        <v>10</v>
      </c>
      <c r="AV154" s="564"/>
      <c r="AW154" s="564"/>
      <c r="AX154" s="564"/>
      <c r="AY154" s="572"/>
      <c r="AZ154" s="564">
        <v>2.1</v>
      </c>
      <c r="BA154" s="564">
        <f>2.3-AZ154</f>
        <v>0.19999999999999973</v>
      </c>
      <c r="BB154" s="564">
        <f>7.2-SUM(AZ154:BA154)</f>
        <v>4.9000000000000004</v>
      </c>
      <c r="BC154" s="572">
        <f>17.3-SUM(AZ154:BB154)</f>
        <v>10.100000000000001</v>
      </c>
      <c r="BD154" s="564"/>
      <c r="BE154" s="564"/>
      <c r="BF154" s="564">
        <f>5.5-SUM(BD154:BE154)</f>
        <v>5.5</v>
      </c>
      <c r="BG154" s="572">
        <f>5.5-SUM(BD154:BF154)</f>
        <v>0</v>
      </c>
      <c r="BH154" s="564">
        <v>5.2</v>
      </c>
      <c r="BI154" s="564">
        <f>13.7-BH154</f>
        <v>8.5</v>
      </c>
      <c r="BJ154" s="564">
        <f>20.5-SUM(BH154:BI154)</f>
        <v>6.8000000000000007</v>
      </c>
      <c r="BK154" s="572">
        <f>23.1-SUM(BH154:BJ154)</f>
        <v>2.6000000000000014</v>
      </c>
      <c r="BL154" s="564">
        <v>5</v>
      </c>
      <c r="BM154" s="564">
        <f>5-BL154</f>
        <v>0</v>
      </c>
      <c r="BN154" s="564">
        <f>5.4-BL154</f>
        <v>0.40000000000000036</v>
      </c>
      <c r="BO154" s="572">
        <f>5-SUM(BL154:BN154)</f>
        <v>-0.40000000000000036</v>
      </c>
      <c r="BP154" s="564">
        <v>6.1</v>
      </c>
      <c r="BQ154" s="564">
        <f>5.5-BP154</f>
        <v>-0.59999999999999964</v>
      </c>
      <c r="BR154" s="564">
        <f>6.9-BP154-BQ154</f>
        <v>1.4000000000000004</v>
      </c>
      <c r="BS154" s="572">
        <f>7.9+25-SUM(BP154:BR154)</f>
        <v>26</v>
      </c>
      <c r="BT154" s="564">
        <v>1.6</v>
      </c>
      <c r="BU154" s="564"/>
      <c r="BV154" s="564">
        <v>55.2</v>
      </c>
      <c r="BW154" s="572">
        <f>56.8-SUM(BT154:BV154)</f>
        <v>0</v>
      </c>
      <c r="BX154" s="564"/>
      <c r="BY154" s="564"/>
      <c r="BZ154" s="564"/>
      <c r="CA154" s="572">
        <f>9.1-(SUM(BX154:BZ154))</f>
        <v>9.1</v>
      </c>
      <c r="CB154" s="564"/>
      <c r="CC154" s="564"/>
      <c r="CD154" s="564"/>
      <c r="CE154" s="572"/>
      <c r="CF154" s="564"/>
      <c r="CG154" s="564"/>
      <c r="CH154" s="564"/>
      <c r="CI154" s="572">
        <f>13.1-SUM(CF154:CH154)</f>
        <v>13.1</v>
      </c>
      <c r="CJ154" s="564"/>
      <c r="CK154" s="564"/>
      <c r="CL154" s="564">
        <f>5.4-CK153-CJ153</f>
        <v>5.4</v>
      </c>
      <c r="CM154" s="442">
        <f>85.8-SUM(CJ154:CL154)</f>
        <v>80.399999999999991</v>
      </c>
      <c r="CN154" s="637"/>
      <c r="CO154" s="637"/>
      <c r="CP154" s="637"/>
      <c r="CQ154" s="442"/>
      <c r="CR154" s="939"/>
      <c r="CS154" s="939"/>
      <c r="CT154" s="939"/>
      <c r="CU154" s="928"/>
      <c r="CV154" s="406"/>
      <c r="CW154" s="564">
        <v>0</v>
      </c>
      <c r="CX154" s="637">
        <v>0</v>
      </c>
      <c r="CY154" s="436"/>
      <c r="CZ154" s="436"/>
      <c r="DA154" s="637">
        <v>51.8</v>
      </c>
      <c r="DB154" s="436"/>
      <c r="DC154" s="637">
        <v>131.9</v>
      </c>
      <c r="DD154" s="637">
        <v>14.4</v>
      </c>
      <c r="DE154" s="637">
        <v>3.3</v>
      </c>
      <c r="DF154" s="637">
        <v>5.4</v>
      </c>
      <c r="DG154" s="436"/>
      <c r="DH154" s="436">
        <f>+SUM(AR154:AU154)</f>
        <v>54.2</v>
      </c>
      <c r="DI154" s="436">
        <f>+SUM(AV154:AY154)</f>
        <v>0</v>
      </c>
      <c r="DJ154" s="436">
        <f>+SUM(AZ154:BC154)</f>
        <v>17.3</v>
      </c>
      <c r="DK154" s="436">
        <f>+SUM(BD154:BG154)</f>
        <v>5.5</v>
      </c>
      <c r="DL154" s="436">
        <f>+SUM(BH154:BK154)</f>
        <v>23.1</v>
      </c>
      <c r="DM154" s="436">
        <f>+SUM(BL154:BO154)</f>
        <v>5</v>
      </c>
      <c r="DN154" s="436">
        <f>+SUM(BP154:BS154)</f>
        <v>32.9</v>
      </c>
      <c r="DO154" s="436">
        <f>+SUM(BT154:BW154)</f>
        <v>56.800000000000004</v>
      </c>
      <c r="DP154" s="436">
        <f>+SUM(BX154:CA154)</f>
        <v>9.1</v>
      </c>
      <c r="DQ154" s="436">
        <f>+SUM(CB154:CE154)</f>
        <v>0</v>
      </c>
      <c r="DR154" s="436">
        <f>+SUM(CF154:CI154)</f>
        <v>13.1</v>
      </c>
      <c r="DS154" s="436">
        <f>+SUM(CJ154:CM154)</f>
        <v>85.8</v>
      </c>
      <c r="DT154" s="436">
        <f>+SUM(CN154:CQ154)</f>
        <v>0</v>
      </c>
      <c r="DU154" s="436">
        <f t="shared" si="521"/>
        <v>0</v>
      </c>
      <c r="DV154" s="559"/>
      <c r="DW154" s="559"/>
      <c r="DX154" s="559"/>
      <c r="DY154" s="559"/>
      <c r="DZ154" s="559"/>
      <c r="EA154" s="512"/>
      <c r="EB154"/>
      <c r="EC154"/>
      <c r="ED154"/>
      <c r="EE154"/>
      <c r="EF154"/>
      <c r="EG154"/>
    </row>
    <row r="155" spans="1:137" s="410" customFormat="1">
      <c r="A155" s="400"/>
      <c r="B155" s="401" t="s">
        <v>329</v>
      </c>
      <c r="C155" s="658"/>
      <c r="D155" s="432"/>
      <c r="E155" s="433"/>
      <c r="F155" s="433"/>
      <c r="G155" s="434"/>
      <c r="H155" s="564"/>
      <c r="I155" s="564"/>
      <c r="J155" s="564"/>
      <c r="K155" s="572"/>
      <c r="L155" s="564">
        <v>0.4</v>
      </c>
      <c r="M155" s="564">
        <f>7.5-L155</f>
        <v>7.1</v>
      </c>
      <c r="N155" s="564">
        <f>9-M155-L155</f>
        <v>1.5000000000000004</v>
      </c>
      <c r="O155" s="572"/>
      <c r="P155" s="564">
        <v>0.2</v>
      </c>
      <c r="Q155" s="564">
        <f>0.8-P155</f>
        <v>0.60000000000000009</v>
      </c>
      <c r="R155" s="564">
        <f>2-Q155-P155</f>
        <v>1.2</v>
      </c>
      <c r="S155" s="514">
        <f>DA155-P155-Q155-R155</f>
        <v>11.900000000000002</v>
      </c>
      <c r="T155" s="564"/>
      <c r="U155" s="564">
        <v>2.4</v>
      </c>
      <c r="V155" s="564">
        <v>0.4</v>
      </c>
      <c r="W155" s="572">
        <f>3.5-V155-U155</f>
        <v>0.70000000000000018</v>
      </c>
      <c r="X155" s="564">
        <v>2.6</v>
      </c>
      <c r="Y155" s="564">
        <f>1.8-X155</f>
        <v>-0.8</v>
      </c>
      <c r="Z155" s="564">
        <f>0-Y155-X155</f>
        <v>-1.8</v>
      </c>
      <c r="AA155" s="514">
        <f t="shared" si="522"/>
        <v>16.2</v>
      </c>
      <c r="AB155" s="564">
        <v>4</v>
      </c>
      <c r="AC155" s="564">
        <f>1-AB155</f>
        <v>-3</v>
      </c>
      <c r="AD155" s="564">
        <f>1.4-AC155-AB155</f>
        <v>0.40000000000000036</v>
      </c>
      <c r="AE155" s="514">
        <f>DD155-AD155-AC155-AB155</f>
        <v>5.0999999999999996</v>
      </c>
      <c r="AF155" s="564">
        <v>7</v>
      </c>
      <c r="AG155" s="564">
        <f>8.3-AF155</f>
        <v>1.3000000000000007</v>
      </c>
      <c r="AH155" s="564">
        <f>9-AG155-AF155</f>
        <v>0.69999999999999929</v>
      </c>
      <c r="AI155" s="514">
        <f>DE155-AH155-AG155-AF155</f>
        <v>3.3000000000000007</v>
      </c>
      <c r="AJ155" s="564">
        <v>0.4</v>
      </c>
      <c r="AK155" s="564">
        <f>1.3-AJ155</f>
        <v>0.9</v>
      </c>
      <c r="AL155" s="564">
        <f>1.8-AJ155-AK155</f>
        <v>0.49999999999999989</v>
      </c>
      <c r="AM155" s="514">
        <f>+DF155-AL155-AK155-AJ155</f>
        <v>6.1999999999999993</v>
      </c>
      <c r="AN155" s="564"/>
      <c r="AO155" s="564">
        <v>2.5</v>
      </c>
      <c r="AP155" s="564">
        <f>2.9-AO155-AN155</f>
        <v>0.39999999999999991</v>
      </c>
      <c r="AQ155" s="572">
        <f>4.2-AP155-AO155-AN155</f>
        <v>1.3000000000000003</v>
      </c>
      <c r="AR155" s="564">
        <f>2.9+4.2</f>
        <v>7.1</v>
      </c>
      <c r="AS155" s="564">
        <f>6-7.1-AR155</f>
        <v>-8.1999999999999993</v>
      </c>
      <c r="AT155" s="564">
        <f>8-AS155-AR155:AR155</f>
        <v>9.1</v>
      </c>
      <c r="AU155" s="572">
        <f>15.4-SUM(AR155:AT155)</f>
        <v>7.4</v>
      </c>
      <c r="AV155" s="564">
        <f>-24.1+1.1</f>
        <v>-23</v>
      </c>
      <c r="AW155" s="564">
        <f>-17.4+2.6-AV155</f>
        <v>8.2000000000000011</v>
      </c>
      <c r="AX155" s="564">
        <f>-27.5+5.8-AW155-AV155</f>
        <v>-6.8999999999999986</v>
      </c>
      <c r="AY155" s="572">
        <f>3.6-41.5+28.8-SUM(AV155:AX155)</f>
        <v>12.599999999999998</v>
      </c>
      <c r="AZ155" s="564"/>
      <c r="BA155" s="564"/>
      <c r="BB155" s="564"/>
      <c r="BC155" s="572"/>
      <c r="BD155" s="564">
        <v>0.3</v>
      </c>
      <c r="BE155" s="564">
        <f>2-BD155</f>
        <v>1.7</v>
      </c>
      <c r="BF155" s="564">
        <f>4.2-SUM(BD155:BE155)</f>
        <v>2.2000000000000002</v>
      </c>
      <c r="BG155" s="572">
        <f>5.7-SUM(BD155:BF155)</f>
        <v>1.5</v>
      </c>
      <c r="BH155" s="564"/>
      <c r="BI155" s="564"/>
      <c r="BJ155" s="564"/>
      <c r="BK155" s="572"/>
      <c r="BL155" s="564">
        <v>2</v>
      </c>
      <c r="BM155" s="564">
        <f>3.9-BL155</f>
        <v>1.9</v>
      </c>
      <c r="BN155" s="564">
        <f>5-SUM(BL155:BM155)</f>
        <v>1.1000000000000001</v>
      </c>
      <c r="BO155" s="572">
        <f>6.8-SUM(BL155:BN155)</f>
        <v>1.7999999999999998</v>
      </c>
      <c r="BP155" s="564"/>
      <c r="BQ155" s="564"/>
      <c r="BR155" s="564"/>
      <c r="BS155" s="572"/>
      <c r="BT155" s="564">
        <v>1</v>
      </c>
      <c r="BU155" s="564">
        <v>1.5</v>
      </c>
      <c r="BV155" s="564">
        <v>1.4</v>
      </c>
      <c r="BW155" s="572">
        <f>5.4-SUM(BT155:BV155)</f>
        <v>1.5000000000000004</v>
      </c>
      <c r="BX155" s="564">
        <v>13.8</v>
      </c>
      <c r="BY155" s="564">
        <f>15.7-(BX155)</f>
        <v>1.8999999999999986</v>
      </c>
      <c r="BZ155" s="564">
        <f>22.8-((BX155+BY155))</f>
        <v>7.1000000000000014</v>
      </c>
      <c r="CA155" s="572">
        <f>23.9-(SUM(BX155:BZ155))</f>
        <v>1.0999999999999979</v>
      </c>
      <c r="CB155" s="564">
        <v>1.5</v>
      </c>
      <c r="CC155" s="564">
        <f>2-(CB155)</f>
        <v>0.5</v>
      </c>
      <c r="CD155" s="564">
        <f>3.2-(SUM(CB155:CC155))</f>
        <v>1.2000000000000002</v>
      </c>
      <c r="CE155" s="572">
        <f>8.4-(SUM(CB155:CD155))</f>
        <v>5.2</v>
      </c>
      <c r="CF155" s="564">
        <v>0.8</v>
      </c>
      <c r="CG155" s="564">
        <f>2.5-(CF155)</f>
        <v>1.7</v>
      </c>
      <c r="CH155" s="564">
        <f>3.4-(SUM(CF155:CG155))</f>
        <v>0.89999999999999991</v>
      </c>
      <c r="CI155" s="572">
        <f>4.7-(SUM(CF155:CH155))</f>
        <v>1.3000000000000003</v>
      </c>
      <c r="CJ155" s="564">
        <v>1.1000000000000001</v>
      </c>
      <c r="CK155" s="564">
        <f>5.8-CJ155</f>
        <v>4.6999999999999993</v>
      </c>
      <c r="CL155" s="564">
        <f>7-CK155-CJ155</f>
        <v>1.2000000000000006</v>
      </c>
      <c r="CM155" s="442">
        <f>10.6-SUM(CJ155:CL155)</f>
        <v>3.5999999999999996</v>
      </c>
      <c r="CN155" s="637">
        <v>-0.3</v>
      </c>
      <c r="CO155" s="637">
        <f>1-CN155</f>
        <v>1.3</v>
      </c>
      <c r="CP155" s="637">
        <f>1.6-CO155-CN155</f>
        <v>0.60000000000000009</v>
      </c>
      <c r="CQ155" s="442">
        <f>4.5-CP155-CO155-CN155</f>
        <v>2.8999999999999995</v>
      </c>
      <c r="CR155" s="939"/>
      <c r="CS155" s="939"/>
      <c r="CT155" s="939"/>
      <c r="CU155" s="928"/>
      <c r="CV155" s="406"/>
      <c r="CW155" s="564">
        <v>0</v>
      </c>
      <c r="CX155" s="637">
        <v>15.6</v>
      </c>
      <c r="CY155" s="436"/>
      <c r="CZ155" s="436"/>
      <c r="DA155" s="637">
        <v>13.9</v>
      </c>
      <c r="DB155" s="436"/>
      <c r="DC155" s="637">
        <v>16.2</v>
      </c>
      <c r="DD155" s="637">
        <v>6.5</v>
      </c>
      <c r="DE155" s="637">
        <v>12.3</v>
      </c>
      <c r="DF155" s="637">
        <v>8</v>
      </c>
      <c r="DG155" s="436">
        <f>+SUM(AN155:AQ155)</f>
        <v>4.2</v>
      </c>
      <c r="DH155" s="436">
        <f>+SUM(AR155:AU155)</f>
        <v>15.4</v>
      </c>
      <c r="DI155" s="436">
        <f>+SUM(AV155:AY155)</f>
        <v>-9.0999999999999979</v>
      </c>
      <c r="DJ155" s="436">
        <f>+SUM(AZ155:BC155)</f>
        <v>0</v>
      </c>
      <c r="DK155" s="436">
        <f>+SUM(BD155:BG155)</f>
        <v>5.7</v>
      </c>
      <c r="DL155" s="436">
        <f>+SUM(BH155:BK155)</f>
        <v>0</v>
      </c>
      <c r="DM155" s="436">
        <f>+SUM(BL155:BO155)</f>
        <v>6.8</v>
      </c>
      <c r="DN155" s="436">
        <f>+SUM(BP155:BS155)</f>
        <v>0</v>
      </c>
      <c r="DO155" s="436">
        <f>+SUM(BT155:BW155)</f>
        <v>5.4</v>
      </c>
      <c r="DP155" s="436">
        <f>+SUM(BX155:CA155)</f>
        <v>23.9</v>
      </c>
      <c r="DQ155" s="436">
        <f>+SUM(CB155:CE155)</f>
        <v>8.4</v>
      </c>
      <c r="DR155" s="436">
        <f>+SUM(CF155:CI155)</f>
        <v>4.7</v>
      </c>
      <c r="DS155" s="436">
        <f>+SUM(CJ155:CM155)</f>
        <v>10.6</v>
      </c>
      <c r="DT155" s="436">
        <f>+SUM(CN155:CQ155)</f>
        <v>4.5</v>
      </c>
      <c r="DU155" s="436">
        <f t="shared" si="521"/>
        <v>0</v>
      </c>
      <c r="DV155" s="559"/>
      <c r="DW155" s="559"/>
      <c r="DX155" s="559"/>
      <c r="DY155" s="559"/>
      <c r="DZ155" s="559"/>
      <c r="EA155" s="512"/>
      <c r="EB155"/>
      <c r="EC155"/>
      <c r="ED155"/>
      <c r="EE155"/>
      <c r="EF155"/>
      <c r="EG155"/>
    </row>
    <row r="156" spans="1:137" s="410" customFormat="1">
      <c r="A156" s="400"/>
      <c r="B156" s="401" t="s">
        <v>330</v>
      </c>
      <c r="C156" s="658"/>
      <c r="D156" s="432"/>
      <c r="E156" s="433"/>
      <c r="F156" s="433"/>
      <c r="G156" s="434"/>
      <c r="H156" s="564"/>
      <c r="I156" s="564"/>
      <c r="J156" s="564"/>
      <c r="K156" s="572"/>
      <c r="L156" s="564"/>
      <c r="M156" s="564"/>
      <c r="N156" s="564"/>
      <c r="O156" s="572"/>
      <c r="P156" s="564">
        <v>-3.7</v>
      </c>
      <c r="Q156" s="564">
        <f>7.6-P156</f>
        <v>11.3</v>
      </c>
      <c r="R156" s="564"/>
      <c r="S156" s="514">
        <f>DA156-P156-Q156-R156</f>
        <v>-13.3</v>
      </c>
      <c r="T156" s="564"/>
      <c r="U156" s="564">
        <v>0.8</v>
      </c>
      <c r="V156" s="564">
        <v>4.5</v>
      </c>
      <c r="W156" s="572">
        <f>10.2-V156-U156</f>
        <v>4.8999999999999995</v>
      </c>
      <c r="X156" s="564"/>
      <c r="Y156" s="564"/>
      <c r="Z156" s="564"/>
      <c r="AA156" s="514">
        <f t="shared" si="522"/>
        <v>0</v>
      </c>
      <c r="AB156" s="564"/>
      <c r="AC156" s="564"/>
      <c r="AD156" s="564"/>
      <c r="AE156" s="514">
        <f>DD156-AD156-AC156-AB156</f>
        <v>0</v>
      </c>
      <c r="AF156" s="564"/>
      <c r="AG156" s="564"/>
      <c r="AH156" s="564"/>
      <c r="AI156" s="572"/>
      <c r="AJ156" s="564"/>
      <c r="AK156" s="564"/>
      <c r="AL156" s="564">
        <v>-14.4</v>
      </c>
      <c r="AM156" s="572"/>
      <c r="AN156" s="564">
        <v>-7.8</v>
      </c>
      <c r="AO156" s="564">
        <f>-9-AN156</f>
        <v>-1.2000000000000002</v>
      </c>
      <c r="AP156" s="564">
        <f>-9-AO156-AN156</f>
        <v>0</v>
      </c>
      <c r="AQ156" s="572">
        <f>-9-AP156-AO156-AN156</f>
        <v>0</v>
      </c>
      <c r="AR156" s="564"/>
      <c r="AS156" s="564"/>
      <c r="AT156" s="564"/>
      <c r="AU156" s="572"/>
      <c r="AV156" s="564"/>
      <c r="AW156" s="564"/>
      <c r="AX156" s="564"/>
      <c r="AY156" s="572"/>
      <c r="AZ156" s="564"/>
      <c r="BA156" s="564"/>
      <c r="BB156" s="564"/>
      <c r="BC156" s="572"/>
      <c r="BD156" s="564"/>
      <c r="BE156" s="564"/>
      <c r="BF156" s="564"/>
      <c r="BG156" s="572"/>
      <c r="BH156" s="564"/>
      <c r="BI156" s="564"/>
      <c r="BJ156" s="564"/>
      <c r="BK156" s="572"/>
      <c r="BL156" s="564"/>
      <c r="BM156" s="564"/>
      <c r="BN156" s="564"/>
      <c r="BO156" s="572"/>
      <c r="BP156" s="564"/>
      <c r="BQ156" s="564"/>
      <c r="BR156" s="564"/>
      <c r="BS156" s="572"/>
      <c r="BT156" s="564"/>
      <c r="BU156" s="564"/>
      <c r="BV156" s="564"/>
      <c r="BW156" s="572"/>
      <c r="BX156" s="564"/>
      <c r="BY156" s="564"/>
      <c r="BZ156" s="564"/>
      <c r="CA156" s="572"/>
      <c r="CB156" s="564"/>
      <c r="CC156" s="564"/>
      <c r="CD156" s="564"/>
      <c r="CE156" s="572"/>
      <c r="CF156" s="564"/>
      <c r="CG156" s="564"/>
      <c r="CH156" s="564"/>
      <c r="CI156" s="572"/>
      <c r="CJ156" s="564"/>
      <c r="CK156" s="564"/>
      <c r="CL156" s="564"/>
      <c r="CM156" s="442"/>
      <c r="CN156" s="637">
        <v>-1.5</v>
      </c>
      <c r="CO156" s="637">
        <f>-2-CN156</f>
        <v>-0.5</v>
      </c>
      <c r="CP156" s="637">
        <f>-2-CO156-CN156</f>
        <v>0</v>
      </c>
      <c r="CQ156" s="442">
        <f>-8.5-2.6-CP156-CO156-CN156</f>
        <v>-9.1</v>
      </c>
      <c r="CR156" s="939"/>
      <c r="CS156" s="939"/>
      <c r="CT156" s="939"/>
      <c r="CU156" s="928"/>
      <c r="CV156" s="406"/>
      <c r="CW156" s="564">
        <v>-0.6</v>
      </c>
      <c r="CX156" s="637">
        <v>-0.9</v>
      </c>
      <c r="CY156" s="436"/>
      <c r="CZ156" s="436"/>
      <c r="DA156" s="637">
        <v>-5.7</v>
      </c>
      <c r="DB156" s="436"/>
      <c r="DC156" s="436"/>
      <c r="DD156" s="637"/>
      <c r="DE156" s="436"/>
      <c r="DF156" s="637">
        <v>-14.4</v>
      </c>
      <c r="DG156" s="436">
        <f>+SUM(AN156:AQ156)</f>
        <v>-9</v>
      </c>
      <c r="DH156" s="436">
        <f>+SUM(AR156:AU156)</f>
        <v>0</v>
      </c>
      <c r="DI156" s="436">
        <f>+SUM(AV156:AY156)</f>
        <v>0</v>
      </c>
      <c r="DJ156" s="436">
        <f>+SUM(AZ156:BC156)</f>
        <v>0</v>
      </c>
      <c r="DK156" s="436">
        <f>+SUM(BD156:BG156)</f>
        <v>0</v>
      </c>
      <c r="DL156" s="436">
        <f>+SUM(BH156:BK156)</f>
        <v>0</v>
      </c>
      <c r="DM156" s="436">
        <f>+SUM(BL156:BO156)</f>
        <v>0</v>
      </c>
      <c r="DN156" s="436">
        <f>+SUM(BP156:BS156)</f>
        <v>0</v>
      </c>
      <c r="DO156" s="436">
        <f>+SUM(BT156:BW156)</f>
        <v>0</v>
      </c>
      <c r="DP156" s="436">
        <f>+SUM(BX156:CA156)</f>
        <v>0</v>
      </c>
      <c r="DQ156" s="436">
        <f>+SUM(CB156:CE156)</f>
        <v>0</v>
      </c>
      <c r="DR156" s="436">
        <f>+SUM(CF156:CI156)</f>
        <v>0</v>
      </c>
      <c r="DS156" s="436">
        <f>+SUM(CJ156:CM156)</f>
        <v>0</v>
      </c>
      <c r="DT156" s="436">
        <f>+SUM(CN156:CQ156)</f>
        <v>-11.1</v>
      </c>
      <c r="DU156" s="436">
        <f t="shared" si="521"/>
        <v>0</v>
      </c>
      <c r="DV156" s="559"/>
      <c r="DW156" s="559"/>
      <c r="DX156" s="559"/>
      <c r="DY156" s="559"/>
      <c r="DZ156" s="559"/>
      <c r="EA156" s="512"/>
      <c r="EB156"/>
      <c r="EC156"/>
      <c r="ED156"/>
      <c r="EE156"/>
      <c r="EF156"/>
      <c r="EG156"/>
    </row>
    <row r="157" spans="1:137" s="410" customFormat="1" hidden="1" outlineLevel="1">
      <c r="A157" s="400"/>
      <c r="B157" s="401" t="s">
        <v>331</v>
      </c>
      <c r="C157" s="658"/>
      <c r="D157" s="432"/>
      <c r="E157" s="433"/>
      <c r="F157" s="433"/>
      <c r="G157" s="434"/>
      <c r="H157" s="564"/>
      <c r="I157" s="564"/>
      <c r="J157" s="564"/>
      <c r="K157" s="572"/>
      <c r="L157" s="564"/>
      <c r="M157" s="564"/>
      <c r="N157" s="564"/>
      <c r="O157" s="572"/>
      <c r="P157" s="564"/>
      <c r="Q157" s="564"/>
      <c r="R157" s="564"/>
      <c r="S157" s="572"/>
      <c r="T157" s="564"/>
      <c r="U157" s="564"/>
      <c r="V157" s="564"/>
      <c r="W157" s="572"/>
      <c r="X157" s="564"/>
      <c r="Y157" s="564"/>
      <c r="Z157" s="564"/>
      <c r="AA157" s="514">
        <f t="shared" si="522"/>
        <v>0</v>
      </c>
      <c r="AB157" s="564"/>
      <c r="AC157" s="564">
        <f>-10.3-AB157</f>
        <v>-10.3</v>
      </c>
      <c r="AD157" s="564">
        <f>-22.2-AC157-AB157</f>
        <v>-11.899999999999999</v>
      </c>
      <c r="AE157" s="514">
        <f t="shared" si="519"/>
        <v>-19.8</v>
      </c>
      <c r="AF157" s="564">
        <v>-7.8</v>
      </c>
      <c r="AG157" s="564">
        <f>-16.1-AF157</f>
        <v>-8.3000000000000007</v>
      </c>
      <c r="AH157" s="564">
        <f>-17.3-AG157-AF157</f>
        <v>-1.2000000000000002</v>
      </c>
      <c r="AI157" s="514">
        <f>DE157-AH157-AG157-AF157</f>
        <v>-10.399999999999999</v>
      </c>
      <c r="AJ157" s="564">
        <v>-9.4</v>
      </c>
      <c r="AK157" s="564">
        <f>-20.7-AJ157</f>
        <v>-11.299999999999999</v>
      </c>
      <c r="AL157" s="564">
        <f>-28.8-AJ157-AK157</f>
        <v>-8.1</v>
      </c>
      <c r="AM157" s="514">
        <f>+DF157-AL157-AK157-AJ157</f>
        <v>-13.6</v>
      </c>
      <c r="AN157" s="564">
        <v>-13.7</v>
      </c>
      <c r="AO157" s="564">
        <f>-30.1-AN157</f>
        <v>-16.400000000000002</v>
      </c>
      <c r="AP157" s="564">
        <f>-40.5-AO157-AN157</f>
        <v>-10.399999999999999</v>
      </c>
      <c r="AQ157" s="572">
        <f>-47.5-AP157-AO157-AN157</f>
        <v>-7</v>
      </c>
      <c r="AR157" s="564">
        <v>-3.5</v>
      </c>
      <c r="AS157" s="564">
        <f>-14.2-AR157</f>
        <v>-10.7</v>
      </c>
      <c r="AT157" s="564">
        <f>-29.5-AS157-AR157</f>
        <v>-15.3</v>
      </c>
      <c r="AU157" s="572">
        <f>-45.8-SUM(AR157:AT157)</f>
        <v>-16.299999999999997</v>
      </c>
      <c r="AV157" s="564">
        <v>-17.2</v>
      </c>
      <c r="AW157" s="564">
        <f>-32.3-AV157</f>
        <v>-15.099999999999998</v>
      </c>
      <c r="AX157" s="564">
        <f>-(-AW157/AV75*AW75)</f>
        <v>-15.547837111025736</v>
      </c>
      <c r="AY157" s="572">
        <f>0-AX157-AW157-AV157</f>
        <v>47.847837111025733</v>
      </c>
      <c r="AZ157" s="564"/>
      <c r="BA157" s="564"/>
      <c r="BB157" s="564"/>
      <c r="BC157" s="572"/>
      <c r="BD157" s="564"/>
      <c r="BE157" s="564"/>
      <c r="BF157" s="564"/>
      <c r="BG157" s="572"/>
      <c r="BH157" s="564"/>
      <c r="BI157" s="564"/>
      <c r="BJ157" s="564"/>
      <c r="BK157" s="572"/>
      <c r="BL157" s="564"/>
      <c r="BM157" s="564"/>
      <c r="BN157" s="564"/>
      <c r="BO157" s="572"/>
      <c r="BP157" s="564"/>
      <c r="BQ157" s="564"/>
      <c r="BR157" s="564"/>
      <c r="BS157" s="572"/>
      <c r="BT157" s="564"/>
      <c r="BU157" s="564"/>
      <c r="BV157" s="564"/>
      <c r="BW157" s="572"/>
      <c r="BX157" s="564"/>
      <c r="BY157" s="564"/>
      <c r="BZ157" s="564"/>
      <c r="CA157" s="572"/>
      <c r="CB157" s="564"/>
      <c r="CC157" s="564"/>
      <c r="CD157" s="564"/>
      <c r="CE157" s="572"/>
      <c r="CF157" s="564"/>
      <c r="CG157" s="564"/>
      <c r="CH157" s="564"/>
      <c r="CI157" s="572"/>
      <c r="CJ157" s="564"/>
      <c r="CK157" s="564"/>
      <c r="CL157" s="564"/>
      <c r="CM157" s="442"/>
      <c r="CN157" s="637"/>
      <c r="CO157" s="637"/>
      <c r="CP157" s="637"/>
      <c r="CQ157" s="442"/>
      <c r="CR157" s="939"/>
      <c r="CS157" s="939"/>
      <c r="CT157" s="939"/>
      <c r="CU157" s="928"/>
      <c r="CV157" s="406"/>
      <c r="CW157" s="564"/>
      <c r="CX157" s="637"/>
      <c r="CY157" s="436"/>
      <c r="CZ157" s="436"/>
      <c r="DA157" s="436"/>
      <c r="DB157" s="436"/>
      <c r="DC157" s="436"/>
      <c r="DD157" s="637">
        <v>-42</v>
      </c>
      <c r="DE157" s="637">
        <v>-27.7</v>
      </c>
      <c r="DF157" s="637">
        <v>-42.4</v>
      </c>
      <c r="DG157" s="436">
        <f>+SUM(AN157:AQ157)</f>
        <v>-47.5</v>
      </c>
      <c r="DH157" s="436">
        <f t="shared" si="520"/>
        <v>-45.8</v>
      </c>
      <c r="DI157" s="436">
        <f t="shared" ref="DI157:DI159" si="523">+SUM(AV157:AY157)</f>
        <v>0</v>
      </c>
      <c r="DJ157" s="436"/>
      <c r="DK157" s="436"/>
      <c r="DL157" s="436"/>
      <c r="DM157" s="436"/>
      <c r="DN157" s="436"/>
      <c r="DO157" s="436"/>
      <c r="DP157" s="436"/>
      <c r="DQ157" s="436"/>
      <c r="DR157" s="436"/>
      <c r="DS157" s="436"/>
      <c r="DT157" s="436"/>
      <c r="DU157" s="436"/>
      <c r="DV157" s="559"/>
      <c r="DW157" s="559"/>
      <c r="DX157" s="559"/>
      <c r="DY157" s="559"/>
      <c r="DZ157" s="559"/>
      <c r="EA157" s="512"/>
      <c r="EB157"/>
      <c r="EC157"/>
      <c r="ED157"/>
      <c r="EE157"/>
      <c r="EF157"/>
      <c r="EG157"/>
    </row>
    <row r="158" spans="1:137" s="410" customFormat="1" hidden="1" outlineLevel="1">
      <c r="A158" s="400"/>
      <c r="B158" s="401" t="s">
        <v>332</v>
      </c>
      <c r="C158" s="658"/>
      <c r="D158" s="432"/>
      <c r="E158" s="433"/>
      <c r="F158" s="433"/>
      <c r="G158" s="434"/>
      <c r="H158" s="564"/>
      <c r="I158" s="564"/>
      <c r="J158" s="564"/>
      <c r="K158" s="572"/>
      <c r="L158" s="564"/>
      <c r="M158" s="564"/>
      <c r="N158" s="564"/>
      <c r="O158" s="572">
        <v>0.4</v>
      </c>
      <c r="P158" s="564"/>
      <c r="Q158" s="564"/>
      <c r="R158" s="564"/>
      <c r="S158" s="572"/>
      <c r="T158" s="564"/>
      <c r="U158" s="564"/>
      <c r="V158" s="564"/>
      <c r="W158" s="572"/>
      <c r="X158" s="564">
        <v>-43</v>
      </c>
      <c r="Y158" s="564">
        <f>-43-X158</f>
        <v>0</v>
      </c>
      <c r="Z158" s="564">
        <f>-43-Y158-X158</f>
        <v>0</v>
      </c>
      <c r="AA158" s="514">
        <f t="shared" si="522"/>
        <v>0</v>
      </c>
      <c r="AB158" s="564"/>
      <c r="AC158" s="564"/>
      <c r="AD158" s="564"/>
      <c r="AE158" s="514">
        <f>DD158-AD158-AC158-AB158</f>
        <v>0</v>
      </c>
      <c r="AF158" s="564">
        <v>20.5</v>
      </c>
      <c r="AG158" s="564">
        <f>20.5-AF158</f>
        <v>0</v>
      </c>
      <c r="AH158" s="564">
        <f>20.5-AG158-AF158</f>
        <v>0</v>
      </c>
      <c r="AI158" s="514">
        <f>DE158-AH158-AG158-AF158</f>
        <v>0</v>
      </c>
      <c r="AJ158" s="564"/>
      <c r="AK158" s="564"/>
      <c r="AL158" s="564"/>
      <c r="AM158" s="572"/>
      <c r="AN158" s="564"/>
      <c r="AO158" s="564"/>
      <c r="AP158" s="564"/>
      <c r="AQ158" s="572"/>
      <c r="AR158" s="564"/>
      <c r="AS158" s="564"/>
      <c r="AT158" s="564"/>
      <c r="AU158" s="572"/>
      <c r="AV158" s="564"/>
      <c r="AW158" s="564"/>
      <c r="AX158" s="564"/>
      <c r="AY158" s="572"/>
      <c r="AZ158" s="564"/>
      <c r="BA158" s="564"/>
      <c r="BB158" s="564"/>
      <c r="BC158" s="572"/>
      <c r="BD158" s="564"/>
      <c r="BE158" s="564"/>
      <c r="BF158" s="564"/>
      <c r="BG158" s="572"/>
      <c r="BH158" s="564"/>
      <c r="BI158" s="564"/>
      <c r="BJ158" s="564"/>
      <c r="BK158" s="572"/>
      <c r="BL158" s="564"/>
      <c r="BM158" s="564"/>
      <c r="BN158" s="564"/>
      <c r="BO158" s="572"/>
      <c r="BP158" s="564"/>
      <c r="BQ158" s="564">
        <v>2.1</v>
      </c>
      <c r="BR158" s="564">
        <f>2.1-BQ158</f>
        <v>0</v>
      </c>
      <c r="BS158" s="572">
        <v>-2.1</v>
      </c>
      <c r="BT158" s="564"/>
      <c r="BU158" s="564"/>
      <c r="BV158" s="564"/>
      <c r="BW158" s="572"/>
      <c r="BX158" s="564"/>
      <c r="BY158" s="564"/>
      <c r="BZ158" s="564"/>
      <c r="CA158" s="572"/>
      <c r="CB158" s="564"/>
      <c r="CC158" s="564"/>
      <c r="CD158" s="564"/>
      <c r="CE158" s="572"/>
      <c r="CF158" s="564"/>
      <c r="CG158" s="564"/>
      <c r="CH158" s="564"/>
      <c r="CI158" s="572"/>
      <c r="CJ158" s="564"/>
      <c r="CK158" s="564"/>
      <c r="CL158" s="564"/>
      <c r="CM158" s="442"/>
      <c r="CN158" s="637"/>
      <c r="CO158" s="637"/>
      <c r="CP158" s="637"/>
      <c r="CQ158" s="442"/>
      <c r="CR158" s="939"/>
      <c r="CS158" s="939"/>
      <c r="CT158" s="939"/>
      <c r="CU158" s="928"/>
      <c r="CV158" s="406"/>
      <c r="CW158" s="564">
        <v>11.8</v>
      </c>
      <c r="CX158" s="637">
        <v>0</v>
      </c>
      <c r="CY158" s="436"/>
      <c r="CZ158" s="436"/>
      <c r="DA158" s="436"/>
      <c r="DB158" s="436"/>
      <c r="DC158" s="637">
        <v>-43</v>
      </c>
      <c r="DD158" s="436"/>
      <c r="DE158" s="637">
        <v>20.5</v>
      </c>
      <c r="DF158" s="436"/>
      <c r="DG158" s="436"/>
      <c r="DH158" s="436">
        <f>+SUM(AR158:AU158)</f>
        <v>0</v>
      </c>
      <c r="DI158" s="436">
        <f>+SUM(AV158:AY158)</f>
        <v>0</v>
      </c>
      <c r="DJ158" s="436">
        <f>+SUM(AZ158:BC158)</f>
        <v>0</v>
      </c>
      <c r="DK158" s="436">
        <f>+SUM(BD158:BG158)</f>
        <v>0</v>
      </c>
      <c r="DL158" s="436">
        <f t="shared" ref="DL158" si="524">+SUM(BH158:BK158)</f>
        <v>0</v>
      </c>
      <c r="DM158" s="436">
        <f t="shared" ref="DM158" si="525">+SUM(BL158:BO158)</f>
        <v>0</v>
      </c>
      <c r="DN158" s="436">
        <f>+SUM(BP158:BS158)</f>
        <v>0</v>
      </c>
      <c r="DO158" s="436"/>
      <c r="DP158" s="436"/>
      <c r="DQ158" s="436"/>
      <c r="DR158" s="436"/>
      <c r="DS158" s="436"/>
      <c r="DT158" s="436"/>
      <c r="DU158" s="436"/>
      <c r="DV158" s="559"/>
      <c r="DW158" s="559"/>
      <c r="DX158" s="559"/>
      <c r="DY158" s="559"/>
      <c r="DZ158" s="559"/>
      <c r="EA158" s="512"/>
      <c r="EB158"/>
      <c r="EC158"/>
      <c r="ED158"/>
      <c r="EE158"/>
      <c r="EF158"/>
      <c r="EG158"/>
    </row>
    <row r="159" spans="1:137" s="410" customFormat="1" collapsed="1">
      <c r="A159" s="400"/>
      <c r="B159" s="419" t="s">
        <v>82</v>
      </c>
      <c r="C159" s="899"/>
      <c r="D159" s="439"/>
      <c r="E159" s="440"/>
      <c r="F159" s="440"/>
      <c r="G159" s="441"/>
      <c r="H159" s="639"/>
      <c r="I159" s="639"/>
      <c r="J159" s="639"/>
      <c r="K159" s="640"/>
      <c r="L159" s="639"/>
      <c r="M159" s="639"/>
      <c r="N159" s="639"/>
      <c r="O159" s="640"/>
      <c r="P159" s="639"/>
      <c r="Q159" s="639"/>
      <c r="R159" s="639"/>
      <c r="S159" s="640"/>
      <c r="T159" s="639"/>
      <c r="U159" s="639"/>
      <c r="V159" s="639"/>
      <c r="W159" s="640"/>
      <c r="X159" s="639"/>
      <c r="Y159" s="639"/>
      <c r="Z159" s="639">
        <f>4.2-Y159-X159</f>
        <v>4.2</v>
      </c>
      <c r="AA159" s="575">
        <f t="shared" si="518"/>
        <v>-4.2</v>
      </c>
      <c r="AB159" s="639"/>
      <c r="AC159" s="639"/>
      <c r="AD159" s="639"/>
      <c r="AE159" s="575">
        <f t="shared" si="519"/>
        <v>0</v>
      </c>
      <c r="AF159" s="639"/>
      <c r="AG159" s="639"/>
      <c r="AH159" s="639"/>
      <c r="AI159" s="640"/>
      <c r="AJ159" s="639"/>
      <c r="AK159" s="639"/>
      <c r="AL159" s="639"/>
      <c r="AM159" s="575">
        <f>+DF159-AL159-AK159-AJ159</f>
        <v>0</v>
      </c>
      <c r="AN159" s="639"/>
      <c r="AO159" s="639"/>
      <c r="AP159" s="639"/>
      <c r="AQ159" s="640"/>
      <c r="AR159" s="639"/>
      <c r="AS159" s="639"/>
      <c r="AT159" s="639"/>
      <c r="AU159" s="640"/>
      <c r="AV159" s="639"/>
      <c r="AW159" s="639"/>
      <c r="AX159" s="639"/>
      <c r="AY159" s="640"/>
      <c r="AZ159" s="639">
        <f>-12.5+14.4</f>
        <v>1.9000000000000004</v>
      </c>
      <c r="BA159" s="639">
        <f>-12.6+14.7-AZ159</f>
        <v>0.19999999999999929</v>
      </c>
      <c r="BB159" s="639">
        <f>-12.8+36.3-SUM(AZ159:BA159)</f>
        <v>21.4</v>
      </c>
      <c r="BC159" s="640">
        <f>-13+60.4-SUM(AZ159:BB159)</f>
        <v>23.9</v>
      </c>
      <c r="BD159" s="639">
        <v>3.7</v>
      </c>
      <c r="BE159" s="639">
        <f>14.6-BD159</f>
        <v>10.899999999999999</v>
      </c>
      <c r="BF159" s="639">
        <f>14.6-SUM(BD159:BE159)</f>
        <v>0</v>
      </c>
      <c r="BG159" s="640">
        <f>14.6-SUM(BD159:BF159)</f>
        <v>0</v>
      </c>
      <c r="BH159" s="639"/>
      <c r="BI159" s="639"/>
      <c r="BJ159" s="639"/>
      <c r="BK159" s="640"/>
      <c r="BL159" s="639"/>
      <c r="BM159" s="639"/>
      <c r="BN159" s="639"/>
      <c r="BO159" s="640"/>
      <c r="BP159" s="639"/>
      <c r="BQ159" s="639"/>
      <c r="BR159" s="639"/>
      <c r="BS159" s="640"/>
      <c r="BT159" s="639"/>
      <c r="BU159" s="639"/>
      <c r="BV159" s="639"/>
      <c r="BW159" s="640"/>
      <c r="BX159" s="639"/>
      <c r="BY159" s="639"/>
      <c r="BZ159" s="639"/>
      <c r="CA159" s="640"/>
      <c r="CB159" s="639"/>
      <c r="CC159" s="639"/>
      <c r="CD159" s="639"/>
      <c r="CE159" s="640"/>
      <c r="CF159" s="639"/>
      <c r="CG159" s="639"/>
      <c r="CH159" s="639"/>
      <c r="CI159" s="640"/>
      <c r="CJ159" s="639"/>
      <c r="CK159" s="639"/>
      <c r="CL159" s="639"/>
      <c r="CM159" s="659"/>
      <c r="CN159" s="641"/>
      <c r="CO159" s="641"/>
      <c r="CP159" s="641"/>
      <c r="CQ159" s="1165"/>
      <c r="CR159" s="945"/>
      <c r="CS159" s="945"/>
      <c r="CT159" s="945"/>
      <c r="CU159" s="946"/>
      <c r="CV159" s="406"/>
      <c r="CW159" s="639"/>
      <c r="CX159" s="641"/>
      <c r="CY159" s="443"/>
      <c r="CZ159" s="443"/>
      <c r="DA159" s="443"/>
      <c r="DB159" s="443"/>
      <c r="DC159" s="443"/>
      <c r="DD159" s="443"/>
      <c r="DE159" s="443"/>
      <c r="DF159" s="443"/>
      <c r="DG159" s="443"/>
      <c r="DH159" s="443">
        <f t="shared" si="520"/>
        <v>0</v>
      </c>
      <c r="DI159" s="443">
        <f t="shared" si="523"/>
        <v>0</v>
      </c>
      <c r="DJ159" s="443">
        <f t="shared" ref="DJ159" si="526">+SUM(AZ159:BC159)</f>
        <v>47.4</v>
      </c>
      <c r="DK159" s="443">
        <f t="shared" ref="DK159" si="527">+SUM(BD159:BG159)</f>
        <v>14.599999999999998</v>
      </c>
      <c r="DL159" s="443"/>
      <c r="DM159" s="443"/>
      <c r="DN159" s="443"/>
      <c r="DO159" s="443"/>
      <c r="DP159" s="443"/>
      <c r="DQ159" s="443"/>
      <c r="DR159" s="443"/>
      <c r="DS159" s="443"/>
      <c r="DT159" s="443"/>
      <c r="DU159" s="443"/>
      <c r="DV159" s="571"/>
      <c r="DW159" s="571"/>
      <c r="DX159" s="571"/>
      <c r="DY159" s="571"/>
      <c r="DZ159" s="571"/>
      <c r="EA159" s="512"/>
      <c r="EB159"/>
      <c r="EC159"/>
      <c r="ED159"/>
      <c r="EE159"/>
      <c r="EF159"/>
      <c r="EG159"/>
    </row>
    <row r="160" spans="1:137" s="673" customFormat="1">
      <c r="A160" s="400"/>
      <c r="B160" s="424" t="s">
        <v>333</v>
      </c>
      <c r="C160" s="658"/>
      <c r="D160" s="521"/>
      <c r="E160" s="522"/>
      <c r="F160" s="522"/>
      <c r="G160" s="523"/>
      <c r="H160" s="522"/>
      <c r="I160" s="522"/>
      <c r="J160" s="522"/>
      <c r="K160" s="523"/>
      <c r="L160" s="522">
        <f t="shared" ref="L160:AQ160" si="528">SUM(L152:L159)</f>
        <v>-23</v>
      </c>
      <c r="M160" s="522">
        <f t="shared" si="528"/>
        <v>-29</v>
      </c>
      <c r="N160" s="522">
        <f t="shared" si="528"/>
        <v>-27.5</v>
      </c>
      <c r="O160" s="523">
        <f t="shared" si="528"/>
        <v>-23</v>
      </c>
      <c r="P160" s="522">
        <f t="shared" si="528"/>
        <v>-33</v>
      </c>
      <c r="Q160" s="522">
        <f t="shared" si="528"/>
        <v>-14.3</v>
      </c>
      <c r="R160" s="522">
        <f t="shared" si="528"/>
        <v>27.500000000000004</v>
      </c>
      <c r="S160" s="524">
        <f t="shared" si="528"/>
        <v>-107.8</v>
      </c>
      <c r="T160" s="522">
        <f t="shared" si="528"/>
        <v>0</v>
      </c>
      <c r="U160" s="522">
        <f t="shared" si="528"/>
        <v>-567.20000000000005</v>
      </c>
      <c r="V160" s="522">
        <f t="shared" si="528"/>
        <v>-14.100000000000001</v>
      </c>
      <c r="W160" s="524">
        <f t="shared" si="528"/>
        <v>-29.299999999999997</v>
      </c>
      <c r="X160" s="522">
        <f t="shared" si="528"/>
        <v>53.599999999999994</v>
      </c>
      <c r="Y160" s="522">
        <f t="shared" si="528"/>
        <v>-51.099999999999994</v>
      </c>
      <c r="Z160" s="522">
        <f t="shared" si="528"/>
        <v>-30.500000000000004</v>
      </c>
      <c r="AA160" s="524">
        <f t="shared" si="528"/>
        <v>-33.999999999999972</v>
      </c>
      <c r="AB160" s="522">
        <f t="shared" si="528"/>
        <v>-13.2</v>
      </c>
      <c r="AC160" s="522">
        <f t="shared" si="528"/>
        <v>-33.900000000000006</v>
      </c>
      <c r="AD160" s="522">
        <f t="shared" si="528"/>
        <v>-52.999999999999993</v>
      </c>
      <c r="AE160" s="524">
        <f t="shared" si="528"/>
        <v>-65.2</v>
      </c>
      <c r="AF160" s="522">
        <f t="shared" si="528"/>
        <v>-6.4000000000000021</v>
      </c>
      <c r="AG160" s="522">
        <f t="shared" si="528"/>
        <v>-35.699999999999996</v>
      </c>
      <c r="AH160" s="522">
        <f t="shared" si="528"/>
        <v>-24.500000000000007</v>
      </c>
      <c r="AI160" s="524">
        <f t="shared" si="528"/>
        <v>-63.399999999999984</v>
      </c>
      <c r="AJ160" s="522">
        <f t="shared" si="528"/>
        <v>-34.300000000000004</v>
      </c>
      <c r="AK160" s="522">
        <f t="shared" si="528"/>
        <v>-62.699999999999996</v>
      </c>
      <c r="AL160" s="522">
        <f t="shared" si="528"/>
        <v>-55.9</v>
      </c>
      <c r="AM160" s="524">
        <f t="shared" si="528"/>
        <v>-75.299999999999983</v>
      </c>
      <c r="AN160" s="522">
        <f t="shared" si="528"/>
        <v>-62</v>
      </c>
      <c r="AO160" s="522">
        <f t="shared" si="528"/>
        <v>-58.800000000000011</v>
      </c>
      <c r="AP160" s="522">
        <f t="shared" si="528"/>
        <v>-52.5</v>
      </c>
      <c r="AQ160" s="524">
        <f t="shared" si="528"/>
        <v>-83.9</v>
      </c>
      <c r="AR160" s="522">
        <f t="shared" ref="AR160:BW160" si="529">SUM(AR152:AR159)</f>
        <v>-478.7</v>
      </c>
      <c r="AS160" s="522">
        <f t="shared" si="529"/>
        <v>-68.800000000000011</v>
      </c>
      <c r="AT160" s="522">
        <f t="shared" si="529"/>
        <v>-9.3999999999999897</v>
      </c>
      <c r="AU160" s="524">
        <f t="shared" si="529"/>
        <v>-143.19999999999999</v>
      </c>
      <c r="AV160" s="522">
        <f t="shared" si="529"/>
        <v>-93.3</v>
      </c>
      <c r="AW160" s="522">
        <f t="shared" si="529"/>
        <v>-67</v>
      </c>
      <c r="AX160" s="522">
        <f t="shared" si="529"/>
        <v>-117.70000000000002</v>
      </c>
      <c r="AY160" s="524">
        <f t="shared" si="529"/>
        <v>-63.099999999999987</v>
      </c>
      <c r="AZ160" s="522">
        <f t="shared" si="529"/>
        <v>-54.3</v>
      </c>
      <c r="BA160" s="522">
        <f t="shared" si="529"/>
        <v>-63.8</v>
      </c>
      <c r="BB160" s="522">
        <f t="shared" si="529"/>
        <v>-45.79999999999999</v>
      </c>
      <c r="BC160" s="524">
        <f t="shared" si="529"/>
        <v>-204.1</v>
      </c>
      <c r="BD160" s="522">
        <f t="shared" si="529"/>
        <v>-71.400000000000006</v>
      </c>
      <c r="BE160" s="522">
        <f t="shared" si="529"/>
        <v>-74.199999999999989</v>
      </c>
      <c r="BF160" s="522">
        <f t="shared" si="529"/>
        <v>-154.50000000000006</v>
      </c>
      <c r="BG160" s="524">
        <f t="shared" si="529"/>
        <v>-184.99999999999994</v>
      </c>
      <c r="BH160" s="522">
        <f t="shared" si="529"/>
        <v>-45.599999999999994</v>
      </c>
      <c r="BI160" s="522">
        <f t="shared" si="529"/>
        <v>-51.3</v>
      </c>
      <c r="BJ160" s="522">
        <f t="shared" si="529"/>
        <v>-32.800000000000011</v>
      </c>
      <c r="BK160" s="524">
        <f t="shared" si="529"/>
        <v>-25.099999999999994</v>
      </c>
      <c r="BL160" s="522">
        <f t="shared" si="529"/>
        <v>-48.3</v>
      </c>
      <c r="BM160" s="522">
        <f t="shared" si="529"/>
        <v>-214.9</v>
      </c>
      <c r="BN160" s="522">
        <f>SUM(BN152:BN159)</f>
        <v>-78.900000000000006</v>
      </c>
      <c r="BO160" s="524">
        <f t="shared" si="529"/>
        <v>-87.40000000000002</v>
      </c>
      <c r="BP160" s="522">
        <f t="shared" si="529"/>
        <v>-267.79999999999995</v>
      </c>
      <c r="BQ160" s="522">
        <f t="shared" si="529"/>
        <v>-88.2</v>
      </c>
      <c r="BR160" s="522">
        <f t="shared" si="529"/>
        <v>-112.80000000000003</v>
      </c>
      <c r="BS160" s="524">
        <f t="shared" si="529"/>
        <v>-95.69999999999996</v>
      </c>
      <c r="BT160" s="520">
        <f t="shared" si="529"/>
        <v>-92.4</v>
      </c>
      <c r="BU160" s="520">
        <f t="shared" si="529"/>
        <v>-91.9</v>
      </c>
      <c r="BV160" s="520">
        <f t="shared" si="529"/>
        <v>-37.999999999999993</v>
      </c>
      <c r="BW160" s="524">
        <f t="shared" si="529"/>
        <v>-122.89999999999998</v>
      </c>
      <c r="BX160" s="520">
        <f t="shared" ref="BX160:CP160" si="530">SUM(BX152:BX159)</f>
        <v>-73.600000000000009</v>
      </c>
      <c r="BY160" s="520">
        <f t="shared" si="530"/>
        <v>-105.5</v>
      </c>
      <c r="BZ160" s="520">
        <f t="shared" si="530"/>
        <v>-95.999999999999972</v>
      </c>
      <c r="CA160" s="524">
        <f t="shared" si="530"/>
        <v>-109.70000000000005</v>
      </c>
      <c r="CB160" s="520">
        <f t="shared" si="530"/>
        <v>-231.10000000000002</v>
      </c>
      <c r="CC160" s="520">
        <f t="shared" si="530"/>
        <v>-130.60000000000002</v>
      </c>
      <c r="CD160" s="520">
        <f t="shared" si="530"/>
        <v>-139.39999999999998</v>
      </c>
      <c r="CE160" s="524">
        <f t="shared" si="530"/>
        <v>-164.00000000000003</v>
      </c>
      <c r="CF160" s="520">
        <f t="shared" si="530"/>
        <v>-151.79999999999998</v>
      </c>
      <c r="CG160" s="520">
        <f t="shared" si="530"/>
        <v>-143.30000000000001</v>
      </c>
      <c r="CH160" s="520">
        <f t="shared" si="530"/>
        <v>-132.9</v>
      </c>
      <c r="CI160" s="524">
        <f t="shared" si="530"/>
        <v>-1331.1000000000001</v>
      </c>
      <c r="CJ160" s="520">
        <f t="shared" si="530"/>
        <v>-103.2</v>
      </c>
      <c r="CK160" s="520">
        <f t="shared" si="530"/>
        <v>-125.69999999999997</v>
      </c>
      <c r="CL160" s="520">
        <f t="shared" si="530"/>
        <v>-113.50000000000003</v>
      </c>
      <c r="CM160" s="523">
        <f t="shared" si="530"/>
        <v>-61.800000000000018</v>
      </c>
      <c r="CN160" s="522">
        <f t="shared" si="530"/>
        <v>-132.70000000000002</v>
      </c>
      <c r="CO160" s="522">
        <f t="shared" si="530"/>
        <v>-122.49999999999999</v>
      </c>
      <c r="CP160" s="522">
        <f t="shared" si="530"/>
        <v>-315.49999999999994</v>
      </c>
      <c r="CQ160" s="523">
        <f t="shared" ref="CQ160" si="531">SUM(CQ152:CQ159)</f>
        <v>-181.60000000000002</v>
      </c>
      <c r="CR160" s="936">
        <f>SUM(CR152:CR159)</f>
        <v>-146.68150177493652</v>
      </c>
      <c r="CS160" s="936">
        <f>SUM(CS152:CS159)</f>
        <v>-150.04207023871746</v>
      </c>
      <c r="CT160" s="936">
        <f>SUM(CT152:CT159)</f>
        <v>-144.32220931945486</v>
      </c>
      <c r="CU160" s="925">
        <f>SUM(CU152:CU159)</f>
        <v>-182.0863497153436</v>
      </c>
      <c r="CV160" s="537"/>
      <c r="CW160" s="522">
        <f t="shared" ref="CW160:DW160" si="532">SUM(CW152:CW159)</f>
        <v>-87.6</v>
      </c>
      <c r="CX160" s="522">
        <f t="shared" si="532"/>
        <v>-124.30000000000001</v>
      </c>
      <c r="CY160" s="522">
        <f t="shared" si="532"/>
        <v>-91.9</v>
      </c>
      <c r="CZ160" s="522">
        <f t="shared" si="532"/>
        <v>-111.9</v>
      </c>
      <c r="DA160" s="520">
        <f t="shared" si="532"/>
        <v>-127.60000000000001</v>
      </c>
      <c r="DB160" s="520">
        <f t="shared" si="532"/>
        <v>-55.6</v>
      </c>
      <c r="DC160" s="520">
        <f t="shared" si="532"/>
        <v>-61.999999999999986</v>
      </c>
      <c r="DD160" s="520">
        <f t="shared" si="532"/>
        <v>-165.3</v>
      </c>
      <c r="DE160" s="520">
        <f t="shared" si="532"/>
        <v>-130</v>
      </c>
      <c r="DF160" s="520">
        <f t="shared" si="532"/>
        <v>-228.20000000000002</v>
      </c>
      <c r="DG160" s="520">
        <f t="shared" si="532"/>
        <v>-257.20000000000005</v>
      </c>
      <c r="DH160" s="520">
        <f t="shared" si="532"/>
        <v>-700.09999999999991</v>
      </c>
      <c r="DI160" s="520">
        <f t="shared" si="532"/>
        <v>-341.1</v>
      </c>
      <c r="DJ160" s="520">
        <f t="shared" si="532"/>
        <v>-368</v>
      </c>
      <c r="DK160" s="520">
        <f t="shared" si="532"/>
        <v>-485.09999999999997</v>
      </c>
      <c r="DL160" s="520">
        <f t="shared" si="532"/>
        <v>-154.80000000000001</v>
      </c>
      <c r="DM160" s="520">
        <f t="shared" si="532"/>
        <v>-429.5</v>
      </c>
      <c r="DN160" s="520">
        <f t="shared" si="532"/>
        <v>-564.5</v>
      </c>
      <c r="DO160" s="520">
        <f t="shared" si="532"/>
        <v>-345.2</v>
      </c>
      <c r="DP160" s="520">
        <f t="shared" si="532"/>
        <v>-384.8</v>
      </c>
      <c r="DQ160" s="520">
        <f t="shared" si="532"/>
        <v>-665.1</v>
      </c>
      <c r="DR160" s="520">
        <f t="shared" si="532"/>
        <v>-1759.1</v>
      </c>
      <c r="DS160" s="520">
        <f t="shared" si="532"/>
        <v>-404.2</v>
      </c>
      <c r="DT160" s="520">
        <f t="shared" si="532"/>
        <v>-752.30000000000007</v>
      </c>
      <c r="DU160" s="520">
        <f t="shared" ref="DU160" si="533">SUM(DU152:DU159)</f>
        <v>-623.13213104845249</v>
      </c>
      <c r="DV160" s="520">
        <f t="shared" si="532"/>
        <v>-685.36980752402019</v>
      </c>
      <c r="DW160" s="520">
        <f t="shared" si="532"/>
        <v>-717.88025103768211</v>
      </c>
      <c r="DX160" s="520">
        <f t="shared" ref="DX160:DZ160" si="534">SUM(DX152:DX159)</f>
        <v>-747.52282573065361</v>
      </c>
      <c r="DY160" s="520">
        <f t="shared" si="534"/>
        <v>-768.6595724373866</v>
      </c>
      <c r="DZ160" s="520">
        <f t="shared" si="534"/>
        <v>-779.27783811788811</v>
      </c>
      <c r="EA160" s="558"/>
      <c r="EB160"/>
      <c r="EC160"/>
      <c r="ED160"/>
      <c r="EE160"/>
      <c r="EF160"/>
      <c r="EG160"/>
    </row>
    <row r="161" spans="1:137" s="410" customFormat="1">
      <c r="A161" s="400"/>
      <c r="B161" s="424"/>
      <c r="C161" s="658"/>
      <c r="D161" s="521"/>
      <c r="E161" s="522"/>
      <c r="F161" s="522"/>
      <c r="G161" s="523"/>
      <c r="H161" s="522"/>
      <c r="I161" s="522"/>
      <c r="J161" s="522"/>
      <c r="K161" s="523"/>
      <c r="L161" s="522"/>
      <c r="M161" s="522"/>
      <c r="N161" s="522"/>
      <c r="O161" s="523"/>
      <c r="P161" s="522"/>
      <c r="Q161" s="522"/>
      <c r="R161" s="522"/>
      <c r="S161" s="524"/>
      <c r="T161" s="522"/>
      <c r="U161" s="522"/>
      <c r="V161" s="522"/>
      <c r="W161" s="524"/>
      <c r="X161" s="522"/>
      <c r="Y161" s="522"/>
      <c r="Z161" s="522"/>
      <c r="AA161" s="524"/>
      <c r="AB161" s="522"/>
      <c r="AC161" s="522"/>
      <c r="AD161" s="522"/>
      <c r="AE161" s="524"/>
      <c r="AF161" s="522"/>
      <c r="AG161" s="522"/>
      <c r="AH161" s="522"/>
      <c r="AI161" s="524"/>
      <c r="AJ161" s="522"/>
      <c r="AK161" s="522"/>
      <c r="AL161" s="522"/>
      <c r="AM161" s="524"/>
      <c r="AN161" s="522"/>
      <c r="AO161" s="522"/>
      <c r="AP161" s="522"/>
      <c r="AQ161" s="524"/>
      <c r="AR161" s="522"/>
      <c r="AS161" s="522"/>
      <c r="AT161" s="522"/>
      <c r="AU161" s="524"/>
      <c r="AV161" s="522"/>
      <c r="AW161" s="522"/>
      <c r="AX161" s="522"/>
      <c r="AY161" s="524"/>
      <c r="AZ161" s="522"/>
      <c r="BA161" s="522"/>
      <c r="BB161" s="522"/>
      <c r="BC161" s="524"/>
      <c r="BD161" s="522"/>
      <c r="BE161" s="522"/>
      <c r="BF161" s="522"/>
      <c r="BG161" s="524"/>
      <c r="BH161" s="522"/>
      <c r="BI161" s="522"/>
      <c r="BJ161" s="522"/>
      <c r="BK161" s="524"/>
      <c r="BL161" s="522"/>
      <c r="BM161" s="522"/>
      <c r="BN161" s="522"/>
      <c r="BO161" s="524"/>
      <c r="BP161" s="522"/>
      <c r="BQ161" s="522"/>
      <c r="BR161" s="522"/>
      <c r="BS161" s="524"/>
      <c r="BT161" s="520"/>
      <c r="BU161" s="520"/>
      <c r="BV161" s="520"/>
      <c r="BW161" s="524"/>
      <c r="BX161" s="520"/>
      <c r="BY161" s="520"/>
      <c r="BZ161" s="520"/>
      <c r="CA161" s="524"/>
      <c r="CB161" s="520"/>
      <c r="CC161" s="520"/>
      <c r="CD161" s="520"/>
      <c r="CE161" s="524"/>
      <c r="CF161" s="520"/>
      <c r="CG161" s="520"/>
      <c r="CH161" s="520"/>
      <c r="CI161" s="524"/>
      <c r="CJ161" s="520"/>
      <c r="CK161" s="520"/>
      <c r="CL161" s="520"/>
      <c r="CM161" s="524"/>
      <c r="CN161" s="520"/>
      <c r="CO161" s="520"/>
      <c r="CP161" s="520"/>
      <c r="CQ161" s="524"/>
      <c r="CR161" s="935"/>
      <c r="CS161" s="935"/>
      <c r="CT161" s="935"/>
      <c r="CU161" s="922"/>
      <c r="CV161" s="406"/>
      <c r="CW161" s="522"/>
      <c r="CX161" s="522"/>
      <c r="CY161" s="522"/>
      <c r="CZ161" s="522"/>
      <c r="DA161" s="520"/>
      <c r="DB161" s="520"/>
      <c r="DC161" s="520"/>
      <c r="DD161" s="520"/>
      <c r="DE161" s="520"/>
      <c r="DF161" s="520"/>
      <c r="DG161" s="520"/>
      <c r="DH161" s="520"/>
      <c r="DI161" s="520"/>
      <c r="DJ161" s="520"/>
      <c r="DK161" s="520"/>
      <c r="DL161" s="520"/>
      <c r="DM161" s="520"/>
      <c r="DN161" s="520"/>
      <c r="DO161" s="520"/>
      <c r="DP161" s="520"/>
      <c r="DQ161" s="520"/>
      <c r="DR161" s="520"/>
      <c r="DS161" s="520"/>
      <c r="DT161" s="520"/>
      <c r="DU161" s="520"/>
      <c r="DV161" s="520"/>
      <c r="DW161" s="520"/>
      <c r="DX161" s="520"/>
      <c r="DY161" s="520"/>
      <c r="DZ161" s="520"/>
      <c r="EA161" s="558"/>
      <c r="EB161"/>
      <c r="EC161"/>
      <c r="ED161"/>
      <c r="EE161"/>
      <c r="EF161"/>
      <c r="EG161"/>
    </row>
    <row r="162" spans="1:137" s="410" customFormat="1">
      <c r="A162" s="400"/>
      <c r="B162" s="401" t="s">
        <v>334</v>
      </c>
      <c r="C162" s="658"/>
      <c r="D162" s="432"/>
      <c r="E162" s="433"/>
      <c r="F162" s="433"/>
      <c r="G162" s="434"/>
      <c r="H162" s="433"/>
      <c r="I162" s="433"/>
      <c r="J162" s="433"/>
      <c r="K162" s="434"/>
      <c r="L162" s="564">
        <f>-12.4+0.1</f>
        <v>-12.3</v>
      </c>
      <c r="M162" s="564">
        <f>0.4-19.7-L162</f>
        <v>-7</v>
      </c>
      <c r="N162" s="564">
        <f>0.8-31.1</f>
        <v>-30.3</v>
      </c>
      <c r="O162" s="572"/>
      <c r="P162" s="564">
        <f>-22+43.4</f>
        <v>21.4</v>
      </c>
      <c r="Q162" s="564">
        <f>61.4-1.4-P162</f>
        <v>38.6</v>
      </c>
      <c r="R162" s="564">
        <f>34.4-1.7</f>
        <v>32.699999999999996</v>
      </c>
      <c r="S162" s="572">
        <f>-36.7-R162-Q162-P162</f>
        <v>-129.4</v>
      </c>
      <c r="T162" s="564"/>
      <c r="U162" s="564">
        <f>3.6+473.7</f>
        <v>477.3</v>
      </c>
      <c r="V162" s="564">
        <v>-75.3</v>
      </c>
      <c r="W162" s="572">
        <v>-28.7</v>
      </c>
      <c r="X162" s="564">
        <f>3.6+0.5-79.3</f>
        <v>-75.2</v>
      </c>
      <c r="Y162" s="564">
        <f>-41.3+50.1-88.5-X162</f>
        <v>-4.4999999999999858</v>
      </c>
      <c r="Z162" s="564">
        <f>-47.3+121.2-154.4-Y162-X162</f>
        <v>-0.80000000000001137</v>
      </c>
      <c r="AA162" s="514">
        <f>DC162-X162-Y162-Z162</f>
        <v>-99.4</v>
      </c>
      <c r="AB162" s="564">
        <f>4.8+13.7-11.5</f>
        <v>7</v>
      </c>
      <c r="AC162" s="564">
        <f>-25+15.2-42.1-AB162</f>
        <v>-58.900000000000006</v>
      </c>
      <c r="AD162" s="564">
        <f>-12.5+23.2-65.3-AC162-AB162</f>
        <v>-2.6999999999999886</v>
      </c>
      <c r="AE162" s="514">
        <f>DD162-AD162-AC162-AB162</f>
        <v>7.7999999999999972</v>
      </c>
      <c r="AF162" s="564">
        <f>18.7+0.4-57.5</f>
        <v>-38.400000000000006</v>
      </c>
      <c r="AG162" s="564">
        <f>-20.1+0.4-62.7-AF162</f>
        <v>-44</v>
      </c>
      <c r="AH162" s="564">
        <f>-24+2.3-65.1-AG162-AF162</f>
        <v>-4.3999999999999915</v>
      </c>
      <c r="AI162" s="514">
        <f>DE162-AH162-AG162-AF162</f>
        <v>-19</v>
      </c>
      <c r="AJ162" s="564">
        <v>0.4</v>
      </c>
      <c r="AK162" s="564">
        <f>-10.3-AJ162</f>
        <v>-10.700000000000001</v>
      </c>
      <c r="AL162" s="564">
        <f>-10-AK162-AJ162</f>
        <v>0.30000000000000104</v>
      </c>
      <c r="AM162" s="514">
        <f>+DF162-AL162-AK162-AJ162</f>
        <v>-11.3</v>
      </c>
      <c r="AN162" s="564">
        <f>-0.8+0.2-34.2</f>
        <v>-34.800000000000004</v>
      </c>
      <c r="AO162" s="564">
        <f>1.2-59.2-AN162</f>
        <v>-23.199999999999996</v>
      </c>
      <c r="AP162" s="564">
        <f>-2.7-58.6+0.3-AO162-AN162</f>
        <v>-3.0000000000000071</v>
      </c>
      <c r="AQ162" s="572">
        <f>-61.8+0.6+5.3-AP162-AO162-AN162</f>
        <v>5.1000000000000085</v>
      </c>
      <c r="AR162" s="564">
        <f>215.9+124.8</f>
        <v>340.7</v>
      </c>
      <c r="AS162" s="564">
        <f>178.9+124.8-47.3-AR162</f>
        <v>-84.300000000000011</v>
      </c>
      <c r="AT162" s="564">
        <f>239.1-AS162-AR162</f>
        <v>-17.300000000000011</v>
      </c>
      <c r="AU162" s="572">
        <f>136.2+168.7-160.2-SUM(AR162:AT162)</f>
        <v>-94.399999999999977</v>
      </c>
      <c r="AV162" s="564">
        <f>-36.8+125.6-54.3</f>
        <v>34.5</v>
      </c>
      <c r="AW162" s="564">
        <f>-56-AV162</f>
        <v>-90.5</v>
      </c>
      <c r="AX162" s="564">
        <f>-56.6+115-42.5-AW162-AV162</f>
        <v>71.900000000000006</v>
      </c>
      <c r="AY162" s="572">
        <f>289.1-296.6-SUM(AV162:AX162)</f>
        <v>-23.400000000000006</v>
      </c>
      <c r="AZ162" s="564">
        <f>-39.7+20-7.5</f>
        <v>-27.200000000000003</v>
      </c>
      <c r="BA162" s="564">
        <f>-65.9+20.7-20-AZ162</f>
        <v>-38</v>
      </c>
      <c r="BB162" s="564">
        <f>-117+20-23.8-SUM(AZ162:BA162)</f>
        <v>-55.599999999999994</v>
      </c>
      <c r="BC162" s="572">
        <f>-92.6-9.1-SUM(AZ162:BB162)</f>
        <v>19.100000000000009</v>
      </c>
      <c r="BD162" s="564">
        <f>79-5.1</f>
        <v>73.900000000000006</v>
      </c>
      <c r="BE162" s="564">
        <f>-7.1-7.3-BD162</f>
        <v>-88.300000000000011</v>
      </c>
      <c r="BF162" s="564">
        <f>80.7-7.3-SUM(BD162:BE162)</f>
        <v>87.800000000000011</v>
      </c>
      <c r="BG162" s="572">
        <f>114.8-7.3-SUM(BD162:BF162)</f>
        <v>34.099999999999994</v>
      </c>
      <c r="BH162" s="564">
        <f>70.2+20-136.7+30</f>
        <v>-16.499999999999986</v>
      </c>
      <c r="BI162" s="564">
        <f>-87.1+381.6-158-56.4-BH162</f>
        <v>96.59999999999998</v>
      </c>
      <c r="BJ162" s="564">
        <f>-109.3+218.9-25.2-SUM(BH162:BI162)</f>
        <v>4.3000000000000114</v>
      </c>
      <c r="BK162" s="572">
        <f>-114.7+381.6-164.5-56.4-SUM(BH162:BJ162)</f>
        <v>-38.39999999999997</v>
      </c>
      <c r="BL162" s="564">
        <f>13.9-2.5</f>
        <v>11.4</v>
      </c>
      <c r="BM162" s="564">
        <f>67.8-11.2-BL162</f>
        <v>45.199999999999996</v>
      </c>
      <c r="BN162" s="564">
        <f>-5+246.6-197.3+30-SUM(BL162:BM162)</f>
        <v>17.699999999999989</v>
      </c>
      <c r="BO162" s="572">
        <f>-29.8+256.1-325.7+30-SUM(BL162:BN162)</f>
        <v>-143.69999999999996</v>
      </c>
      <c r="BP162" s="564">
        <f>42.3+206.7-3.9</f>
        <v>245.1</v>
      </c>
      <c r="BQ162" s="564">
        <f>37+353.9-139.7-268.8-BP162</f>
        <v>-262.70000000000005</v>
      </c>
      <c r="BR162" s="564">
        <f>29.4+357.9-196.3-BP162-BQ162</f>
        <v>208.6</v>
      </c>
      <c r="BS162" s="572">
        <f>67.6+364.6-309.1-SUM(BP162:BR162)</f>
        <v>-67.89999999999992</v>
      </c>
      <c r="BT162" s="564">
        <v>91.5</v>
      </c>
      <c r="BU162" s="564">
        <v>102.9</v>
      </c>
      <c r="BV162" s="564">
        <v>-49.4</v>
      </c>
      <c r="BW162" s="572">
        <f>12.8+313.9-246.4-SUM(BT162:BV162)</f>
        <v>-64.700000000000017</v>
      </c>
      <c r="BX162" s="564">
        <f>-11+161-15.6</f>
        <v>134.4</v>
      </c>
      <c r="BY162" s="564">
        <f>(77.4+165.7-76.8)-(BX162)</f>
        <v>31.900000000000006</v>
      </c>
      <c r="BZ162" s="564">
        <f>(14.3+272-76.9)-((BX162+BY162))</f>
        <v>43.099999999999994</v>
      </c>
      <c r="CA162" s="572">
        <f>(-44.4+289.5-77)-(SUM(BX162:BZ162))</f>
        <v>-41.300000000000011</v>
      </c>
      <c r="CB162" s="564">
        <f>111.3+100-100.1</f>
        <v>111.20000000000002</v>
      </c>
      <c r="CC162" s="564">
        <f>(304.5+97.8-420.2)-(CB162)</f>
        <v>-129.1</v>
      </c>
      <c r="CD162" s="564">
        <f>(369.9+107.8-422.7)-(SUM(CB162:CC162))</f>
        <v>72.899999999999977</v>
      </c>
      <c r="CE162" s="572">
        <f>(493.2+130.5-431.6-110)-(SUM(CB162:CD162))</f>
        <v>27.100000000000023</v>
      </c>
      <c r="CF162" s="564">
        <f>-512.3+1012.8-3.1</f>
        <v>497.4</v>
      </c>
      <c r="CG162" s="564">
        <f>(-539+1015.9-15.5)-(CF162)</f>
        <v>-36</v>
      </c>
      <c r="CH162" s="564">
        <f>(-531+1027.5-22.4)-(SUM(CF162:CG162))</f>
        <v>12.700000000000045</v>
      </c>
      <c r="CI162" s="572">
        <f>(-316.7+1569.2-29.8-0)-(SUM(CF162:CH162))</f>
        <v>748.6</v>
      </c>
      <c r="CJ162" s="564">
        <f>19.7+0-8.7</f>
        <v>11</v>
      </c>
      <c r="CK162" s="564">
        <f>65.2-9.3-CJ162</f>
        <v>44.900000000000006</v>
      </c>
      <c r="CL162" s="564">
        <f>(51.6+4.6-16.6)-SUM(CJ162:CK162)</f>
        <v>-16.300000000000004</v>
      </c>
      <c r="CM162" s="572">
        <f>-129.1+4.6-193.6-SUM(CJ162:CL162)</f>
        <v>-357.70000000000005</v>
      </c>
      <c r="CN162" s="564">
        <f>74.4-6.4</f>
        <v>68</v>
      </c>
      <c r="CO162" s="564">
        <f>-32-12.5-CN162</f>
        <v>-112.5</v>
      </c>
      <c r="CP162" s="564">
        <f>124.9-14.5-CO162-CN162</f>
        <v>154.9</v>
      </c>
      <c r="CQ162" s="572">
        <f>-88.3+3-19.3-CP162-CO162-CN162</f>
        <v>-215</v>
      </c>
      <c r="CR162" s="933"/>
      <c r="CS162" s="933"/>
      <c r="CT162" s="933"/>
      <c r="CU162" s="920"/>
      <c r="CV162" s="406"/>
      <c r="CW162" s="564">
        <f>-0.3+63.5-118.6</f>
        <v>-55.399999999999991</v>
      </c>
      <c r="CX162" s="637">
        <v>20</v>
      </c>
      <c r="CY162" s="436"/>
      <c r="CZ162" s="436"/>
      <c r="DA162" s="637">
        <v>-36.700000000000003</v>
      </c>
      <c r="DB162" s="436"/>
      <c r="DC162" s="637">
        <f>-74.5+86.9-192.3</f>
        <v>-179.9</v>
      </c>
      <c r="DD162" s="637">
        <f>-16.5+34-64.3</f>
        <v>-46.8</v>
      </c>
      <c r="DE162" s="637">
        <f>-22.8+2.3+-85.3</f>
        <v>-105.8</v>
      </c>
      <c r="DF162" s="637">
        <f>-16.1+0.3-5.5</f>
        <v>-21.3</v>
      </c>
      <c r="DG162" s="436">
        <f>+SUM(AN162:AQ162)</f>
        <v>-55.9</v>
      </c>
      <c r="DH162" s="436">
        <f>+SUM(AR162:AU162)</f>
        <v>144.69999999999999</v>
      </c>
      <c r="DI162" s="436">
        <f>+SUM(AV162:AY162)</f>
        <v>-7.5</v>
      </c>
      <c r="DJ162" s="436">
        <f>+SUM(AZ162:BC162)</f>
        <v>-101.69999999999999</v>
      </c>
      <c r="DK162" s="436">
        <f>+SUM(BD162:BG162)</f>
        <v>107.5</v>
      </c>
      <c r="DL162" s="436">
        <f>+SUM(BH162:BK162)</f>
        <v>46.000000000000036</v>
      </c>
      <c r="DM162" s="436">
        <f>+SUM(BL162:BO162)</f>
        <v>-69.399999999999977</v>
      </c>
      <c r="DN162" s="436">
        <f>+SUM(BP162:BS162)</f>
        <v>123.10000000000002</v>
      </c>
      <c r="DO162" s="436">
        <f>+SUM(BT162:BW162)</f>
        <v>80.299999999999983</v>
      </c>
      <c r="DP162" s="436">
        <f>+SUM(BX162:CA162)</f>
        <v>168.1</v>
      </c>
      <c r="DQ162" s="436">
        <f>+SUM(CB162:CE162)</f>
        <v>82.100000000000023</v>
      </c>
      <c r="DR162" s="436">
        <f>+SUM(CF162:CI162)</f>
        <v>1222.7</v>
      </c>
      <c r="DS162" s="436">
        <f>+SUM(CJ162:CM162)</f>
        <v>-318.10000000000002</v>
      </c>
      <c r="DT162" s="436">
        <f>+SUM(CN162:CQ162)</f>
        <v>-104.6</v>
      </c>
      <c r="DU162" s="436">
        <f t="shared" ref="DU162:DU165" si="535">SUM(CR162:CU162)</f>
        <v>0</v>
      </c>
      <c r="DV162" s="433"/>
      <c r="DW162" s="433"/>
      <c r="DX162" s="433"/>
      <c r="DY162" s="433"/>
      <c r="DZ162" s="433"/>
      <c r="EA162" s="512"/>
      <c r="EB162"/>
      <c r="EC162"/>
      <c r="ED162"/>
      <c r="EE162"/>
      <c r="EF162"/>
      <c r="EG162"/>
    </row>
    <row r="163" spans="1:137" s="410" customFormat="1">
      <c r="A163" s="400"/>
      <c r="B163" s="401" t="s">
        <v>335</v>
      </c>
      <c r="C163" s="658"/>
      <c r="D163" s="432"/>
      <c r="E163" s="433"/>
      <c r="F163" s="433"/>
      <c r="G163" s="434"/>
      <c r="H163" s="433"/>
      <c r="I163" s="433"/>
      <c r="J163" s="433"/>
      <c r="K163" s="434"/>
      <c r="L163" s="564">
        <v>0</v>
      </c>
      <c r="M163" s="564">
        <v>0</v>
      </c>
      <c r="N163" s="564">
        <v>0</v>
      </c>
      <c r="O163" s="572"/>
      <c r="P163" s="564">
        <v>0</v>
      </c>
      <c r="Q163" s="564">
        <v>-10.9</v>
      </c>
      <c r="R163" s="564">
        <v>-13</v>
      </c>
      <c r="S163" s="572">
        <f>-36.7-R163-Q163-P163</f>
        <v>-12.800000000000002</v>
      </c>
      <c r="T163" s="564"/>
      <c r="U163" s="564"/>
      <c r="V163" s="564"/>
      <c r="W163" s="572"/>
      <c r="X163" s="564">
        <v>-6.1</v>
      </c>
      <c r="Y163" s="564">
        <f>-18.6-X163</f>
        <v>-12.500000000000002</v>
      </c>
      <c r="Z163" s="564">
        <f>-22.1-Y163-X163</f>
        <v>-3.5</v>
      </c>
      <c r="AA163" s="514">
        <f>DC163-X163-Y163-Z163</f>
        <v>0</v>
      </c>
      <c r="AB163" s="564"/>
      <c r="AC163" s="564"/>
      <c r="AD163" s="564">
        <f>-0.7-AC163-AB163</f>
        <v>-0.7</v>
      </c>
      <c r="AE163" s="514">
        <f>DD163-AD163-AC163-AB163</f>
        <v>0</v>
      </c>
      <c r="AF163" s="564"/>
      <c r="AG163" s="564"/>
      <c r="AH163" s="564"/>
      <c r="AI163" s="514">
        <f>DE163-AH163-AG163-AF163</f>
        <v>-18.100000000000001</v>
      </c>
      <c r="AJ163" s="564">
        <v>-0.2</v>
      </c>
      <c r="AK163" s="564">
        <f>-2.5-AJ163</f>
        <v>-2.2999999999999998</v>
      </c>
      <c r="AL163" s="564">
        <f>-2.5-AK163-AJ163</f>
        <v>0</v>
      </c>
      <c r="AM163" s="514">
        <f>+DF163-AL163-AK163-AJ163</f>
        <v>0</v>
      </c>
      <c r="AN163" s="564">
        <v>2.2000000000000002</v>
      </c>
      <c r="AO163" s="564">
        <v>3.2</v>
      </c>
      <c r="AP163" s="564">
        <f>9.8-AO163-AN163</f>
        <v>4.4000000000000004</v>
      </c>
      <c r="AQ163" s="572">
        <f>14.4-AP163-AO163-AN163</f>
        <v>4.5999999999999996</v>
      </c>
      <c r="AR163" s="564">
        <f>+AR239</f>
        <v>4.5</v>
      </c>
      <c r="AS163" s="564">
        <v>-4.5</v>
      </c>
      <c r="AT163" s="564">
        <f>+AT99-AS99+AT94-AS94+AT95-AS95+AT98-AS98</f>
        <v>9.1999999999996813</v>
      </c>
      <c r="AU163" s="572">
        <f>17.6-AT163-AS163-AR163</f>
        <v>8.4000000000003201</v>
      </c>
      <c r="AV163" s="564">
        <v>0</v>
      </c>
      <c r="AW163" s="564">
        <v>0</v>
      </c>
      <c r="AX163" s="564">
        <f>11.2-AW163-AV163</f>
        <v>11.2</v>
      </c>
      <c r="AY163" s="572">
        <f>27.1-SUM(AV163:AX163)</f>
        <v>15.900000000000002</v>
      </c>
      <c r="AZ163" s="564">
        <v>0</v>
      </c>
      <c r="BA163" s="564">
        <f>-16.3-AZ163</f>
        <v>-16.3</v>
      </c>
      <c r="BB163" s="564">
        <f>-37.8-SUM(AZ163:BA163)</f>
        <v>-21.499999999999996</v>
      </c>
      <c r="BC163" s="572">
        <f>-47-SUM(AZ163:BB163)</f>
        <v>-9.2000000000000028</v>
      </c>
      <c r="BD163" s="564">
        <f>-13.5</f>
        <v>-13.5</v>
      </c>
      <c r="BE163" s="564">
        <f>-27.7-BD163</f>
        <v>-14.2</v>
      </c>
      <c r="BF163" s="564">
        <f>-48.4-SUM(BD163:BE163)</f>
        <v>-20.7</v>
      </c>
      <c r="BG163" s="572">
        <f>-55.9-SUM(BD163:BF163)</f>
        <v>-7.5</v>
      </c>
      <c r="BH163" s="564">
        <v>0.5</v>
      </c>
      <c r="BI163" s="564">
        <f>0-BH163</f>
        <v>-0.5</v>
      </c>
      <c r="BJ163" s="564">
        <f>0-SUM(BH163:BI163)</f>
        <v>0</v>
      </c>
      <c r="BK163" s="572">
        <f>8.7-SUM(BH163:BJ163)</f>
        <v>8.6999999999999993</v>
      </c>
      <c r="BL163" s="564">
        <v>15.1</v>
      </c>
      <c r="BM163" s="564">
        <f>-154.8-BL163</f>
        <v>-169.9</v>
      </c>
      <c r="BN163" s="564">
        <f>40.4-SUM(BL163:BM164)</f>
        <v>171.50000000000003</v>
      </c>
      <c r="BO163" s="572">
        <f>67.1-SUM(BL163:BN163)</f>
        <v>50.399999999999977</v>
      </c>
      <c r="BP163" s="564">
        <f>-181.9</f>
        <v>-181.9</v>
      </c>
      <c r="BQ163" s="564">
        <f>38.2-14.4-BP163</f>
        <v>205.70000000000002</v>
      </c>
      <c r="BR163" s="564">
        <f>-268.8+43.7-14.4-BP163-BQ163</f>
        <v>-263.30000000000007</v>
      </c>
      <c r="BS163" s="572">
        <f>-357.6-SUM(BP163:BR163)</f>
        <v>-118.09999999999997</v>
      </c>
      <c r="BT163" s="564">
        <v>0</v>
      </c>
      <c r="BU163" s="564">
        <v>-152.1</v>
      </c>
      <c r="BV163" s="564">
        <v>-48.2</v>
      </c>
      <c r="BW163" s="572">
        <f>-295.9-SUM(BT163:BV163)</f>
        <v>-95.599999999999966</v>
      </c>
      <c r="BX163" s="564">
        <v>-49.9</v>
      </c>
      <c r="BY163" s="564">
        <f>-150.5-(BX163)</f>
        <v>-100.6</v>
      </c>
      <c r="BZ163" s="564">
        <f>-225.5-((BX163+BY163))</f>
        <v>-75</v>
      </c>
      <c r="CA163" s="572">
        <f>-225.5-(SUM(BX163:BZ163))</f>
        <v>0</v>
      </c>
      <c r="CB163" s="564">
        <v>0</v>
      </c>
      <c r="CC163" s="564">
        <f>-25-(CB163)</f>
        <v>-25</v>
      </c>
      <c r="CD163" s="564">
        <f>-90-(SUM(CB163:CC163))</f>
        <v>-65</v>
      </c>
      <c r="CE163" s="572">
        <f>-139.9-(SUM(CB163:CD163))</f>
        <v>-49.900000000000006</v>
      </c>
      <c r="CF163" s="564">
        <v>-33.700000000000003</v>
      </c>
      <c r="CG163" s="564">
        <f>-62.9-(CF163)</f>
        <v>-29.199999999999996</v>
      </c>
      <c r="CH163" s="564">
        <f>-130.3-(SUM(CF163:CG163))</f>
        <v>-67.400000000000006</v>
      </c>
      <c r="CI163" s="572">
        <f>-349.8-(SUM(CF163:CH163))</f>
        <v>-219.5</v>
      </c>
      <c r="CJ163" s="564">
        <v>-79.5</v>
      </c>
      <c r="CK163" s="564">
        <f>-183.8-CJ163</f>
        <v>-104.30000000000001</v>
      </c>
      <c r="CL163" s="564">
        <f>-250-CK163-CJ163</f>
        <v>-66.199999999999989</v>
      </c>
      <c r="CM163" s="572">
        <f>-288-SUM(CJ163:CL163)</f>
        <v>-38</v>
      </c>
      <c r="CN163" s="564">
        <v>-31</v>
      </c>
      <c r="CO163" s="564">
        <f>-84.7-CN163</f>
        <v>-53.7</v>
      </c>
      <c r="CP163" s="564">
        <f>-100-CO163-CN163</f>
        <v>-15.299999999999997</v>
      </c>
      <c r="CQ163" s="572">
        <f>-100-CP163-CO163-CN163</f>
        <v>0</v>
      </c>
      <c r="CR163" s="932">
        <f t="shared" ref="CR163:CU163" si="536">-CR54</f>
        <v>-25</v>
      </c>
      <c r="CS163" s="932">
        <f t="shared" si="536"/>
        <v>-25</v>
      </c>
      <c r="CT163" s="932">
        <f t="shared" si="536"/>
        <v>-25</v>
      </c>
      <c r="CU163" s="919">
        <f t="shared" si="536"/>
        <v>-25</v>
      </c>
      <c r="CV163" s="406"/>
      <c r="CW163" s="564"/>
      <c r="CX163" s="637">
        <v>5</v>
      </c>
      <c r="CY163" s="436"/>
      <c r="CZ163" s="436"/>
      <c r="DA163" s="637"/>
      <c r="DB163" s="436"/>
      <c r="DC163" s="637">
        <v>-22.1</v>
      </c>
      <c r="DD163" s="637">
        <v>-0.7</v>
      </c>
      <c r="DE163" s="637">
        <v>-18.100000000000001</v>
      </c>
      <c r="DF163" s="637">
        <v>-2.5</v>
      </c>
      <c r="DG163" s="436">
        <f>+SUM(AN163:AQ163)</f>
        <v>14.4</v>
      </c>
      <c r="DH163" s="436">
        <f>+SUM(AR163:AU163)</f>
        <v>17.600000000000001</v>
      </c>
      <c r="DI163" s="436">
        <f>+SUM(AV163:AY163)</f>
        <v>27.1</v>
      </c>
      <c r="DJ163" s="436">
        <f>+SUM(AZ163:BC163)</f>
        <v>-47</v>
      </c>
      <c r="DK163" s="436">
        <f>+SUM(BD163:BG163)</f>
        <v>-55.9</v>
      </c>
      <c r="DL163" s="436">
        <f>+SUM(BH163:BK163)</f>
        <v>8.6999999999999993</v>
      </c>
      <c r="DM163" s="436">
        <f>+SUM(BL163:BO163)</f>
        <v>67.099999999999994</v>
      </c>
      <c r="DN163" s="436">
        <f>+SUM(BP163:BS163)</f>
        <v>-357.6</v>
      </c>
      <c r="DO163" s="436">
        <f>+SUM(BT163:BW163)</f>
        <v>-295.89999999999998</v>
      </c>
      <c r="DP163" s="436">
        <f>+SUM(BX163:CA163)</f>
        <v>-225.5</v>
      </c>
      <c r="DQ163" s="436">
        <f>+SUM(CB163:CE163)</f>
        <v>-139.9</v>
      </c>
      <c r="DR163" s="436">
        <f>+SUM(CF163:CI163)</f>
        <v>-349.8</v>
      </c>
      <c r="DS163" s="436">
        <f>+SUM(CJ163:CM163)</f>
        <v>-288</v>
      </c>
      <c r="DT163" s="452">
        <f>+SUM(CN163:CQ163)</f>
        <v>-100</v>
      </c>
      <c r="DU163" s="452">
        <f t="shared" si="535"/>
        <v>-100</v>
      </c>
      <c r="DV163" s="437">
        <f>-DV54</f>
        <v>0</v>
      </c>
      <c r="DW163" s="437">
        <f>-DW54</f>
        <v>0</v>
      </c>
      <c r="DX163" s="437">
        <f>-DX54</f>
        <v>0</v>
      </c>
      <c r="DY163" s="437">
        <f>-DY54</f>
        <v>0</v>
      </c>
      <c r="DZ163" s="437">
        <f>-DZ54</f>
        <v>0</v>
      </c>
      <c r="EA163" s="512"/>
      <c r="EB163"/>
      <c r="EC163"/>
      <c r="ED163"/>
      <c r="EE163"/>
      <c r="EF163"/>
      <c r="EG163"/>
    </row>
    <row r="164" spans="1:137" s="410" customFormat="1">
      <c r="A164" s="400"/>
      <c r="B164" s="401" t="s">
        <v>82</v>
      </c>
      <c r="C164" s="658"/>
      <c r="D164" s="432"/>
      <c r="E164" s="433"/>
      <c r="F164" s="433"/>
      <c r="G164" s="434"/>
      <c r="H164" s="433"/>
      <c r="I164" s="433"/>
      <c r="J164" s="433"/>
      <c r="K164" s="434"/>
      <c r="L164" s="564">
        <f>0.4</f>
        <v>0.4</v>
      </c>
      <c r="M164" s="564">
        <f>10.8-L164</f>
        <v>10.4</v>
      </c>
      <c r="N164" s="564">
        <v>0</v>
      </c>
      <c r="O164" s="572"/>
      <c r="P164" s="564">
        <f>-1.2+0.2</f>
        <v>-1</v>
      </c>
      <c r="Q164" s="564">
        <f>0.4-P164</f>
        <v>1.4</v>
      </c>
      <c r="R164" s="564">
        <v>0</v>
      </c>
      <c r="S164" s="572">
        <f>74-R164-Q164-P164</f>
        <v>73.599999999999994</v>
      </c>
      <c r="T164" s="564"/>
      <c r="U164" s="564">
        <f>-0.2+0.1</f>
        <v>-0.1</v>
      </c>
      <c r="V164" s="564">
        <v>0.2</v>
      </c>
      <c r="W164" s="572">
        <f>0.6-V164-U164</f>
        <v>0.5</v>
      </c>
      <c r="X164" s="564">
        <v>0.1</v>
      </c>
      <c r="Y164" s="564">
        <f>0.2-X164</f>
        <v>0.1</v>
      </c>
      <c r="Z164" s="564">
        <f>0.4-Y164-X164</f>
        <v>0.20000000000000004</v>
      </c>
      <c r="AA164" s="514">
        <f>DC164-X164-Y164-Z164</f>
        <v>0.7</v>
      </c>
      <c r="AB164" s="564">
        <v>2.2999999999999998</v>
      </c>
      <c r="AC164" s="564">
        <f>2.4-AB164</f>
        <v>0.10000000000000009</v>
      </c>
      <c r="AD164" s="564">
        <f>3.9-AC164-AB164</f>
        <v>1.5</v>
      </c>
      <c r="AE164" s="514">
        <f>DD164-AD164-AC164-AB164</f>
        <v>-1.1000000000000001</v>
      </c>
      <c r="AF164" s="564">
        <v>4.5</v>
      </c>
      <c r="AG164" s="564">
        <f>7.6-AF164</f>
        <v>3.0999999999999996</v>
      </c>
      <c r="AH164" s="564">
        <f>9.6-AG164-AF164</f>
        <v>2</v>
      </c>
      <c r="AI164" s="514">
        <f>DE164-AH164-AG164-AF164</f>
        <v>0.20000000000000107</v>
      </c>
      <c r="AJ164" s="564">
        <v>0.1</v>
      </c>
      <c r="AK164" s="564">
        <f>0.8-AJ164</f>
        <v>0.70000000000000007</v>
      </c>
      <c r="AL164" s="564">
        <f>28.1-AJ164-AK164</f>
        <v>27.3</v>
      </c>
      <c r="AM164" s="514">
        <f>+DF164-AL164-AK164-AJ164</f>
        <v>11.199999999999998</v>
      </c>
      <c r="AN164" s="564"/>
      <c r="AO164" s="564">
        <f>-0.8-AN164</f>
        <v>-0.8</v>
      </c>
      <c r="AP164" s="564">
        <f>0-AO164-AN164</f>
        <v>0.8</v>
      </c>
      <c r="AQ164" s="572"/>
      <c r="AR164" s="564">
        <f>1.9-AR163</f>
        <v>-2.6</v>
      </c>
      <c r="AS164" s="564">
        <f>3.3-AR164-AS163-AR163</f>
        <v>5.9</v>
      </c>
      <c r="AT164" s="564">
        <f>15.3-AS164-AR164-AT163-AS163-AR163</f>
        <v>2.8000000000003187</v>
      </c>
      <c r="AU164" s="572">
        <f>0-SUM(AR164:AT164)</f>
        <v>-6.1000000000003194</v>
      </c>
      <c r="AV164" s="564">
        <v>2.4</v>
      </c>
      <c r="AW164" s="564">
        <f>7.3-AV164</f>
        <v>4.9000000000000004</v>
      </c>
      <c r="AX164" s="564">
        <f>0-AW164-AV164</f>
        <v>-7.3000000000000007</v>
      </c>
      <c r="AY164" s="572">
        <f>-27.7-SUM(AV164:AX164)</f>
        <v>-27.7</v>
      </c>
      <c r="AZ164" s="564">
        <f>13.1</f>
        <v>13.1</v>
      </c>
      <c r="BA164" s="564">
        <f>17.5-AZ164</f>
        <v>4.4000000000000004</v>
      </c>
      <c r="BB164" s="564">
        <f>34.5-SUM(AZ164:BA164)</f>
        <v>17</v>
      </c>
      <c r="BC164" s="572">
        <f>46.3-SUM(AZ164:BB164)</f>
        <v>11.799999999999997</v>
      </c>
      <c r="BD164" s="564">
        <v>2.7</v>
      </c>
      <c r="BE164" s="564">
        <f>7.1-BD164</f>
        <v>4.3999999999999995</v>
      </c>
      <c r="BF164" s="564">
        <f>16.2-SUM(BD164:BE164)-12.9</f>
        <v>-3.8000000000000007</v>
      </c>
      <c r="BG164" s="572">
        <f>17.1-12.5-SUM(BD164:BF164)</f>
        <v>1.3000000000000025</v>
      </c>
      <c r="BH164" s="564"/>
      <c r="BI164" s="564">
        <f>31.2-50+30+2.6-BH164</f>
        <v>13.799999999999999</v>
      </c>
      <c r="BJ164" s="564">
        <f>-50+30+5.8-SUM(BH164:BI164)</f>
        <v>-28</v>
      </c>
      <c r="BK164" s="572">
        <f>-48.5+31.2-50+50+30-SUM(BH164:BJ164)</f>
        <v>26.900000000000006</v>
      </c>
      <c r="BL164" s="564"/>
      <c r="BM164" s="564">
        <v>23.7</v>
      </c>
      <c r="BN164" s="564"/>
      <c r="BO164" s="572">
        <f>0-SUM(BL164:BN164)</f>
        <v>-23.7</v>
      </c>
      <c r="BP164" s="564">
        <f>27.9-12.5</f>
        <v>15.399999999999999</v>
      </c>
      <c r="BQ164" s="564">
        <f>19.5-BP164</f>
        <v>4.1000000000000014</v>
      </c>
      <c r="BR164" s="564">
        <f>-29.4+19.5-BP164-BQ164</f>
        <v>-29.4</v>
      </c>
      <c r="BS164" s="572">
        <f>53-14.4-29.4+19.5-SUM(BP164:BR164)</f>
        <v>38.6</v>
      </c>
      <c r="BT164" s="564">
        <v>17.8</v>
      </c>
      <c r="BU164" s="564">
        <v>-35.4</v>
      </c>
      <c r="BV164" s="564">
        <v>42.3</v>
      </c>
      <c r="BW164" s="572">
        <f>30+52-18.1-15-SUM(BT164:BV164)</f>
        <v>24.2</v>
      </c>
      <c r="BX164" s="564">
        <f>11.4-27.2</f>
        <v>-15.799999999999999</v>
      </c>
      <c r="BY164" s="564">
        <f>(20-29)-(BX164)</f>
        <v>6.7999999999999989</v>
      </c>
      <c r="BZ164" s="564">
        <f>(25.3-10.7-29.2)-((BX164+BY164))</f>
        <v>-5.5999999999999979</v>
      </c>
      <c r="CA164" s="572">
        <f>(33-40.9-13.3)-(SUM(BX164:BZ164))</f>
        <v>-6.6000000000000014</v>
      </c>
      <c r="CB164" s="564">
        <f>9.4-22.2-14</f>
        <v>-26.799999999999997</v>
      </c>
      <c r="CC164" s="564">
        <f>(12.8-23.4-18.8)-(CB164)</f>
        <v>-2.6000000000000014</v>
      </c>
      <c r="CD164" s="564">
        <f>(16.2-23.5-20.4)-(SUM(CB164:CC164))</f>
        <v>1.6999999999999993</v>
      </c>
      <c r="CE164" s="572">
        <f>(16.9-23.6-21.1)-(SUM(CB164:CD164))</f>
        <v>-0.10000000000000497</v>
      </c>
      <c r="CF164" s="564">
        <f>11.5-13.1-15.9</f>
        <v>-17.5</v>
      </c>
      <c r="CG164" s="564">
        <f>(13.6-13.2-18.1)-(CF164)</f>
        <v>-0.20000000000000284</v>
      </c>
      <c r="CH164" s="564">
        <f>(15.1-13.1-18.4)-(SUM(CF164:CG164))</f>
        <v>1.3000000000000043</v>
      </c>
      <c r="CI164" s="572">
        <f>(3.7-23.3)-(SUM(CF164:CH164))</f>
        <v>-3.2000000000000028</v>
      </c>
      <c r="CJ164" s="564">
        <f>-7.6-20.5</f>
        <v>-28.1</v>
      </c>
      <c r="CK164" s="564">
        <f>-3.3-23.5-CJ164</f>
        <v>1.3000000000000007</v>
      </c>
      <c r="CL164" s="564">
        <f>-25.7-CK164-CJ164+8.9+0.9</f>
        <v>10.900000000000002</v>
      </c>
      <c r="CM164" s="572">
        <f>6.7-29.9+8.9-SUM(CJ164:CL164)</f>
        <v>1.5999999999999996</v>
      </c>
      <c r="CN164" s="564">
        <f>-1.3-21.8</f>
        <v>-23.1</v>
      </c>
      <c r="CO164" s="564">
        <f>-2.4-1.9-21.7-CN164</f>
        <v>-2.8999999999999986</v>
      </c>
      <c r="CP164" s="564">
        <f>-2.4-2.1-23.6-CO164-CN164</f>
        <v>-2.1000000000000014</v>
      </c>
      <c r="CQ164" s="572">
        <f>-2.4-2.1-29.3-CP164-CO164-CN164</f>
        <v>-5.6999999999999957</v>
      </c>
      <c r="CR164" s="932">
        <f>-CR29</f>
        <v>14.2</v>
      </c>
      <c r="CS164" s="932">
        <f>-CS29</f>
        <v>14.2</v>
      </c>
      <c r="CT164" s="932">
        <f>-CT29</f>
        <v>14.2</v>
      </c>
      <c r="CU164" s="919">
        <f>-CU29</f>
        <v>14.2</v>
      </c>
      <c r="CV164" s="406"/>
      <c r="CW164" s="564">
        <v>3.9</v>
      </c>
      <c r="CX164" s="637">
        <v>4</v>
      </c>
      <c r="CY164" s="436"/>
      <c r="CZ164" s="436"/>
      <c r="DA164" s="637">
        <v>74</v>
      </c>
      <c r="DB164" s="436"/>
      <c r="DC164" s="637">
        <v>1.1000000000000001</v>
      </c>
      <c r="DD164" s="637">
        <v>2.8</v>
      </c>
      <c r="DE164" s="637">
        <v>9.8000000000000007</v>
      </c>
      <c r="DF164" s="637">
        <v>39.299999999999997</v>
      </c>
      <c r="DG164" s="436">
        <f>+SUM(AN164:AQ164)</f>
        <v>0</v>
      </c>
      <c r="DH164" s="436">
        <f>+SUM(AR164:AU164)</f>
        <v>0</v>
      </c>
      <c r="DI164" s="436">
        <f>+SUM(AV164:AY164)</f>
        <v>-27.7</v>
      </c>
      <c r="DJ164" s="436">
        <f>+SUM(AZ164:BC164)</f>
        <v>46.3</v>
      </c>
      <c r="DK164" s="436">
        <f>+SUM(BD164:BG164)</f>
        <v>4.6000000000000014</v>
      </c>
      <c r="DL164" s="436">
        <f>+SUM(BH164:BK164)</f>
        <v>12.700000000000005</v>
      </c>
      <c r="DM164" s="436">
        <f>+SUM(BL164:BO164)</f>
        <v>0</v>
      </c>
      <c r="DN164" s="436">
        <f>+SUM(BP164:BS164)</f>
        <v>28.700000000000003</v>
      </c>
      <c r="DO164" s="436">
        <f>+SUM(BT164:BW164)</f>
        <v>48.9</v>
      </c>
      <c r="DP164" s="436">
        <f>+SUM(BX164:CA164)</f>
        <v>-21.2</v>
      </c>
      <c r="DQ164" s="436">
        <f>+SUM(CB164:CE164)</f>
        <v>-27.800000000000004</v>
      </c>
      <c r="DR164" s="436">
        <f>+SUM(CF164:CI164)</f>
        <v>-19.600000000000001</v>
      </c>
      <c r="DS164" s="436">
        <f>+SUM(CJ164:CM164)</f>
        <v>-14.299999999999999</v>
      </c>
      <c r="DT164" s="436">
        <f>+SUM(CN164:CQ164)</f>
        <v>-33.799999999999997</v>
      </c>
      <c r="DU164" s="436">
        <f t="shared" si="535"/>
        <v>56.8</v>
      </c>
      <c r="DV164" s="437">
        <f>-DV29</f>
        <v>59.64</v>
      </c>
      <c r="DW164" s="437">
        <f>-DW29</f>
        <v>62.622</v>
      </c>
      <c r="DX164" s="437">
        <f>-DX29</f>
        <v>65.753100000000003</v>
      </c>
      <c r="DY164" s="437">
        <f>-DY29</f>
        <v>69.040755000000004</v>
      </c>
      <c r="DZ164" s="437">
        <f>-DZ29</f>
        <v>72.492792750000007</v>
      </c>
      <c r="EA164" s="512"/>
      <c r="EB164"/>
      <c r="EC164"/>
      <c r="ED164"/>
      <c r="EE164"/>
      <c r="EF164"/>
      <c r="EG164"/>
    </row>
    <row r="165" spans="1:137" s="410" customFormat="1">
      <c r="A165" s="400"/>
      <c r="B165" s="419" t="s">
        <v>110</v>
      </c>
      <c r="C165" s="899"/>
      <c r="D165" s="439"/>
      <c r="E165" s="440"/>
      <c r="F165" s="440"/>
      <c r="G165" s="441"/>
      <c r="H165" s="440"/>
      <c r="I165" s="440"/>
      <c r="J165" s="440"/>
      <c r="K165" s="441"/>
      <c r="L165" s="639">
        <v>-3.5</v>
      </c>
      <c r="M165" s="639">
        <f>-7.1-L165</f>
        <v>-3.5999999999999996</v>
      </c>
      <c r="N165" s="639">
        <f>-10.7-M165-L165</f>
        <v>-3.5999999999999996</v>
      </c>
      <c r="O165" s="640"/>
      <c r="P165" s="639">
        <v>-3.5</v>
      </c>
      <c r="Q165" s="639">
        <f>-7.1-P165</f>
        <v>-3.5999999999999996</v>
      </c>
      <c r="R165" s="639">
        <f>-10.6-Q165-P165</f>
        <v>-3.5</v>
      </c>
      <c r="S165" s="640">
        <f>-14.1-R165-Q165-P165</f>
        <v>-3.5</v>
      </c>
      <c r="T165" s="639"/>
      <c r="U165" s="639">
        <v>-3.5</v>
      </c>
      <c r="V165" s="639">
        <v>-4</v>
      </c>
      <c r="W165" s="640">
        <f>-11.5-V165-U165</f>
        <v>-4</v>
      </c>
      <c r="X165" s="639">
        <v>-4</v>
      </c>
      <c r="Y165" s="639">
        <f>-8-X165</f>
        <v>-4</v>
      </c>
      <c r="Z165" s="639">
        <f>-12-Y165-X165</f>
        <v>-4</v>
      </c>
      <c r="AA165" s="575">
        <f>DC165-X165-Y165-Z165</f>
        <v>-3.9000000000000004</v>
      </c>
      <c r="AB165" s="639">
        <v>-4</v>
      </c>
      <c r="AC165" s="639">
        <f>-7.9-AB165</f>
        <v>-3.9000000000000004</v>
      </c>
      <c r="AD165" s="639">
        <f>-11.8-AC165-AB165</f>
        <v>-3.9000000000000004</v>
      </c>
      <c r="AE165" s="575">
        <f>DD165-AD165-AC165-AB165</f>
        <v>-4</v>
      </c>
      <c r="AF165" s="639">
        <v>-4.0999999999999996</v>
      </c>
      <c r="AG165" s="639">
        <f>-8-AF165</f>
        <v>-3.9000000000000004</v>
      </c>
      <c r="AH165" s="639">
        <f>-11.9-AG165-AF165</f>
        <v>-3.9000000000000004</v>
      </c>
      <c r="AI165" s="575">
        <f>DE165-AH165-AG165-AF165</f>
        <v>-4.0999999999999996</v>
      </c>
      <c r="AJ165" s="639">
        <v>-4.8</v>
      </c>
      <c r="AK165" s="639">
        <f>-9.6-AJ165</f>
        <v>-4.8</v>
      </c>
      <c r="AL165" s="639">
        <f>-14.5-AJ165-AK165</f>
        <v>-4.8999999999999995</v>
      </c>
      <c r="AM165" s="575">
        <f>+DF165-AL165-AK165-AJ165</f>
        <v>-4.8999999999999995</v>
      </c>
      <c r="AN165" s="639">
        <v>-6.9</v>
      </c>
      <c r="AO165" s="639">
        <f>-13.9-AN165</f>
        <v>-7</v>
      </c>
      <c r="AP165" s="639">
        <f>-20.9-AO165-AN165</f>
        <v>-6.9999999999999982</v>
      </c>
      <c r="AQ165" s="640">
        <f>-27.9-AP165-AO165-AN165</f>
        <v>-6.9999999999999982</v>
      </c>
      <c r="AR165" s="639">
        <v>-10.5</v>
      </c>
      <c r="AS165" s="639">
        <f>-18.8-AR165</f>
        <v>-8.3000000000000007</v>
      </c>
      <c r="AT165" s="639">
        <f>-23.7-AS165-AR165</f>
        <v>-4.8999999999999986</v>
      </c>
      <c r="AU165" s="640">
        <f>-40-AT165-AS165-AR165</f>
        <v>-16.3</v>
      </c>
      <c r="AV165" s="639">
        <v>-18.2</v>
      </c>
      <c r="AW165" s="639">
        <f>-34.5-AV165</f>
        <v>-16.3</v>
      </c>
      <c r="AX165" s="639">
        <f>-43.7-AW165-AV165</f>
        <v>-9.2000000000000028</v>
      </c>
      <c r="AY165" s="640">
        <f>-51.8-SUM(AV165:AX165)</f>
        <v>-8.0999999999999943</v>
      </c>
      <c r="AZ165" s="639">
        <f>-10.9-9.8</f>
        <v>-20.700000000000003</v>
      </c>
      <c r="BA165" s="639">
        <f>-19.7-15.5-AZ165</f>
        <v>-14.5</v>
      </c>
      <c r="BB165" s="639">
        <f>-29.6-16-SUM(AZ165:BA165)</f>
        <v>-10.399999999999999</v>
      </c>
      <c r="BC165" s="640">
        <f>-39.4-17.5-SUM(AZ165:BB165)</f>
        <v>-11.299999999999997</v>
      </c>
      <c r="BD165" s="639">
        <f>-12.8-8.2</f>
        <v>-21</v>
      </c>
      <c r="BE165" s="639">
        <f>-25.8-12-BD165</f>
        <v>-16.799999999999997</v>
      </c>
      <c r="BF165" s="639">
        <f>-38.3-SUM(BD165:BE165)</f>
        <v>-0.5</v>
      </c>
      <c r="BG165" s="640">
        <f>-51.1-SUM(BD165:BF165)</f>
        <v>-12.800000000000004</v>
      </c>
      <c r="BH165" s="639">
        <f>-13.8-4.6</f>
        <v>-18.399999999999999</v>
      </c>
      <c r="BI165" s="639">
        <f>-13.8-8.3-BH165</f>
        <v>-3.7000000000000028</v>
      </c>
      <c r="BJ165" s="639">
        <f>-13.8-8.7-SUM(BH165:BI165)</f>
        <v>-0.39999999999999858</v>
      </c>
      <c r="BK165" s="640">
        <f>-13.8-8.8-SUM(BH165:BJ165)</f>
        <v>-0.10000000000000142</v>
      </c>
      <c r="BL165" s="639">
        <v>-5</v>
      </c>
      <c r="BM165" s="639">
        <f>-7.8-BL165</f>
        <v>-2.8</v>
      </c>
      <c r="BN165" s="639">
        <f>-8.2-SUM(BL165:BM165)</f>
        <v>-0.39999999999999947</v>
      </c>
      <c r="BO165" s="640">
        <f>-10.9-SUM(BL165:BN165)</f>
        <v>-2.7000000000000011</v>
      </c>
      <c r="BP165" s="639"/>
      <c r="BQ165" s="639">
        <v>-9.1999999999999993</v>
      </c>
      <c r="BR165" s="639">
        <f>-10.1-BQ165</f>
        <v>-0.90000000000000036</v>
      </c>
      <c r="BS165" s="640">
        <f>-13.9-SUM(BP165:BR165)</f>
        <v>-3.8000000000000007</v>
      </c>
      <c r="BT165" s="639">
        <v>-12</v>
      </c>
      <c r="BU165" s="639">
        <v>-2.4</v>
      </c>
      <c r="BV165" s="639">
        <v>-6.1</v>
      </c>
      <c r="BW165" s="640">
        <f>-21.9-SUM(BT165:BV165)</f>
        <v>-1.3999999999999986</v>
      </c>
      <c r="BX165" s="639">
        <v>-9</v>
      </c>
      <c r="BY165" s="639">
        <f>-9-BX165</f>
        <v>0</v>
      </c>
      <c r="BZ165" s="639">
        <f>-28.5-((BX165+BY165))</f>
        <v>-19.5</v>
      </c>
      <c r="CA165" s="640">
        <f>-56.8-(SUM(BX165:BZ165))</f>
        <v>-28.299999999999997</v>
      </c>
      <c r="CB165" s="639">
        <v>-28.4</v>
      </c>
      <c r="CC165" s="639">
        <f>-56.8-(CB165)</f>
        <v>-28.4</v>
      </c>
      <c r="CD165" s="639">
        <f>-86.8-(SUM(CB165:CC165))</f>
        <v>-30</v>
      </c>
      <c r="CE165" s="640">
        <f>-116.1-(SUM(CB165:CD165))</f>
        <v>-29.299999999999997</v>
      </c>
      <c r="CF165" s="639">
        <v>-29.4</v>
      </c>
      <c r="CG165" s="639">
        <f>-58.7-(CF165)</f>
        <v>-29.300000000000004</v>
      </c>
      <c r="CH165" s="639">
        <f>-87.9-(SUM(CF165:CG165))</f>
        <v>-29.200000000000003</v>
      </c>
      <c r="CI165" s="640">
        <f>-116.7-(SUM(CF165:CH165))</f>
        <v>-28.799999999999997</v>
      </c>
      <c r="CJ165" s="639">
        <v>-28.2</v>
      </c>
      <c r="CK165" s="639">
        <f>-56.2-CJ165</f>
        <v>-28.000000000000004</v>
      </c>
      <c r="CL165" s="639">
        <f>-83.8-SUM(CJ165:CK165)</f>
        <v>-27.599999999999994</v>
      </c>
      <c r="CM165" s="572">
        <f>-113.4-SUM(CJ165:CL165)</f>
        <v>-29.600000000000009</v>
      </c>
      <c r="CN165" s="564">
        <v>-29.7</v>
      </c>
      <c r="CO165" s="564">
        <f>-59.1-CN165</f>
        <v>-29.400000000000002</v>
      </c>
      <c r="CP165" s="564">
        <f>-88.5-CO165-CN165</f>
        <v>-29.399999999999995</v>
      </c>
      <c r="CQ165" s="572">
        <f>-124.1-CP165-CO165-CN165</f>
        <v>-35.599999999999994</v>
      </c>
      <c r="CR165" s="932">
        <f>-CR50*CR40</f>
        <v>-29.325566567805907</v>
      </c>
      <c r="CS165" s="932">
        <f>-CS50*CS40</f>
        <v>-29.261572665048796</v>
      </c>
      <c r="CT165" s="932">
        <f>-CT50*CT40</f>
        <v>-29.199301189366189</v>
      </c>
      <c r="CU165" s="919">
        <f>-CU50*CU40</f>
        <v>-29.138705780794098</v>
      </c>
      <c r="CV165" s="406"/>
      <c r="CW165" s="639">
        <v>-13.3</v>
      </c>
      <c r="CX165" s="641">
        <v>-13.9</v>
      </c>
      <c r="CY165" s="443"/>
      <c r="CZ165" s="443"/>
      <c r="DA165" s="641">
        <v>-14.1</v>
      </c>
      <c r="DB165" s="443"/>
      <c r="DC165" s="641">
        <v>-15.9</v>
      </c>
      <c r="DD165" s="641">
        <v>-15.8</v>
      </c>
      <c r="DE165" s="641">
        <v>-16</v>
      </c>
      <c r="DF165" s="641">
        <v>-19.399999999999999</v>
      </c>
      <c r="DG165" s="443">
        <f>+SUM(AN165:AQ165)</f>
        <v>-27.9</v>
      </c>
      <c r="DH165" s="443">
        <f>+SUM(AR165:AU165)</f>
        <v>-40</v>
      </c>
      <c r="DI165" s="443">
        <f>+SUM(AV165:AY165)</f>
        <v>-51.8</v>
      </c>
      <c r="DJ165" s="443">
        <f>+SUM(AZ165:BC165)</f>
        <v>-56.9</v>
      </c>
      <c r="DK165" s="443">
        <f>+SUM(BD165:BG165)</f>
        <v>-51.1</v>
      </c>
      <c r="DL165" s="443">
        <f>+SUM(BH165:BK165)</f>
        <v>-22.6</v>
      </c>
      <c r="DM165" s="443">
        <f>+SUM(BL165:BO165)</f>
        <v>-10.9</v>
      </c>
      <c r="DN165" s="443">
        <f>+SUM(BP165:BS165)</f>
        <v>-13.9</v>
      </c>
      <c r="DO165" s="443">
        <f>+SUM(BT165:BW165)</f>
        <v>-21.9</v>
      </c>
      <c r="DP165" s="443">
        <f>+SUM(BX165:CA165)</f>
        <v>-56.8</v>
      </c>
      <c r="DQ165" s="443">
        <f>+SUM(CB165:CE165)</f>
        <v>-116.1</v>
      </c>
      <c r="DR165" s="443">
        <f>+SUM(CF165:CI165)</f>
        <v>-116.7</v>
      </c>
      <c r="DS165" s="443">
        <f>+SUM(CJ165:CM165)</f>
        <v>-113.4</v>
      </c>
      <c r="DT165" s="443">
        <f>+SUM(CN165:CQ165)</f>
        <v>-124.1</v>
      </c>
      <c r="DU165" s="443">
        <f t="shared" si="535"/>
        <v>-116.92514620301499</v>
      </c>
      <c r="DV165" s="444">
        <f>DU165</f>
        <v>-116.92514620301499</v>
      </c>
      <c r="DW165" s="444">
        <f>DV165</f>
        <v>-116.92514620301499</v>
      </c>
      <c r="DX165" s="444">
        <f t="shared" ref="DX165:DZ165" si="537">DW165</f>
        <v>-116.92514620301499</v>
      </c>
      <c r="DY165" s="444">
        <f t="shared" si="537"/>
        <v>-116.92514620301499</v>
      </c>
      <c r="DZ165" s="444">
        <f t="shared" si="537"/>
        <v>-116.92514620301499</v>
      </c>
      <c r="EA165" s="512"/>
      <c r="EB165"/>
      <c r="EC165"/>
      <c r="ED165"/>
      <c r="EE165"/>
      <c r="EF165"/>
      <c r="EG165"/>
    </row>
    <row r="166" spans="1:137" s="673" customFormat="1">
      <c r="A166" s="400"/>
      <c r="B166" s="424" t="s">
        <v>336</v>
      </c>
      <c r="C166" s="658"/>
      <c r="D166" s="521"/>
      <c r="E166" s="522"/>
      <c r="F166" s="522"/>
      <c r="G166" s="523"/>
      <c r="H166" s="522"/>
      <c r="I166" s="522"/>
      <c r="J166" s="522"/>
      <c r="K166" s="523"/>
      <c r="L166" s="522">
        <f>SUM(L162:L165)</f>
        <v>-15.4</v>
      </c>
      <c r="M166" s="522">
        <f t="shared" ref="M166:BX166" si="538">SUM(M162:M165)</f>
        <v>-0.19999999999999929</v>
      </c>
      <c r="N166" s="522">
        <f t="shared" si="538"/>
        <v>-33.9</v>
      </c>
      <c r="O166" s="523">
        <f t="shared" si="538"/>
        <v>0</v>
      </c>
      <c r="P166" s="522">
        <f t="shared" si="538"/>
        <v>16.899999999999999</v>
      </c>
      <c r="Q166" s="522">
        <f t="shared" si="538"/>
        <v>25.5</v>
      </c>
      <c r="R166" s="522">
        <f t="shared" si="538"/>
        <v>16.199999999999996</v>
      </c>
      <c r="S166" s="524">
        <f t="shared" si="538"/>
        <v>-72.100000000000023</v>
      </c>
      <c r="T166" s="522">
        <f t="shared" si="538"/>
        <v>0</v>
      </c>
      <c r="U166" s="522">
        <f t="shared" si="538"/>
        <v>473.7</v>
      </c>
      <c r="V166" s="522">
        <f t="shared" si="538"/>
        <v>-79.099999999999994</v>
      </c>
      <c r="W166" s="524">
        <f t="shared" si="538"/>
        <v>-32.200000000000003</v>
      </c>
      <c r="X166" s="522">
        <f t="shared" si="538"/>
        <v>-85.2</v>
      </c>
      <c r="Y166" s="522">
        <f t="shared" si="538"/>
        <v>-20.899999999999984</v>
      </c>
      <c r="Z166" s="522">
        <f t="shared" si="538"/>
        <v>-8.1000000000000121</v>
      </c>
      <c r="AA166" s="524">
        <f t="shared" si="538"/>
        <v>-102.60000000000001</v>
      </c>
      <c r="AB166" s="522">
        <f t="shared" si="538"/>
        <v>5.3000000000000007</v>
      </c>
      <c r="AC166" s="522">
        <f t="shared" si="538"/>
        <v>-62.7</v>
      </c>
      <c r="AD166" s="522">
        <f t="shared" si="538"/>
        <v>-5.7999999999999892</v>
      </c>
      <c r="AE166" s="524">
        <f t="shared" si="538"/>
        <v>2.6999999999999975</v>
      </c>
      <c r="AF166" s="522">
        <f t="shared" si="538"/>
        <v>-38.000000000000007</v>
      </c>
      <c r="AG166" s="522">
        <f t="shared" si="538"/>
        <v>-44.8</v>
      </c>
      <c r="AH166" s="522">
        <f t="shared" si="538"/>
        <v>-6.2999999999999918</v>
      </c>
      <c r="AI166" s="524">
        <f t="shared" si="538"/>
        <v>-41</v>
      </c>
      <c r="AJ166" s="522">
        <f t="shared" si="538"/>
        <v>-4.5</v>
      </c>
      <c r="AK166" s="522">
        <f t="shared" si="538"/>
        <v>-17.100000000000001</v>
      </c>
      <c r="AL166" s="522">
        <f t="shared" si="538"/>
        <v>22.700000000000003</v>
      </c>
      <c r="AM166" s="524">
        <f t="shared" si="538"/>
        <v>-5.0000000000000027</v>
      </c>
      <c r="AN166" s="522">
        <f t="shared" si="538"/>
        <v>-39.5</v>
      </c>
      <c r="AO166" s="522">
        <f t="shared" si="538"/>
        <v>-27.799999999999997</v>
      </c>
      <c r="AP166" s="522">
        <f t="shared" si="538"/>
        <v>-4.8000000000000052</v>
      </c>
      <c r="AQ166" s="524">
        <f t="shared" si="538"/>
        <v>2.7000000000000099</v>
      </c>
      <c r="AR166" s="522">
        <f t="shared" si="538"/>
        <v>332.09999999999997</v>
      </c>
      <c r="AS166" s="522">
        <f t="shared" si="538"/>
        <v>-91.2</v>
      </c>
      <c r="AT166" s="522">
        <f t="shared" si="538"/>
        <v>-10.20000000000001</v>
      </c>
      <c r="AU166" s="524">
        <f t="shared" si="538"/>
        <v>-108.39999999999998</v>
      </c>
      <c r="AV166" s="522">
        <f t="shared" si="538"/>
        <v>18.7</v>
      </c>
      <c r="AW166" s="522">
        <f t="shared" si="538"/>
        <v>-101.89999999999999</v>
      </c>
      <c r="AX166" s="522">
        <f t="shared" si="538"/>
        <v>66.600000000000009</v>
      </c>
      <c r="AY166" s="524">
        <f t="shared" si="538"/>
        <v>-43.3</v>
      </c>
      <c r="AZ166" s="522">
        <f t="shared" si="538"/>
        <v>-34.800000000000004</v>
      </c>
      <c r="BA166" s="522">
        <f t="shared" si="538"/>
        <v>-64.400000000000006</v>
      </c>
      <c r="BB166" s="522">
        <f t="shared" si="538"/>
        <v>-70.5</v>
      </c>
      <c r="BC166" s="524">
        <f t="shared" si="538"/>
        <v>10.400000000000006</v>
      </c>
      <c r="BD166" s="522">
        <f t="shared" si="538"/>
        <v>42.100000000000009</v>
      </c>
      <c r="BE166" s="522">
        <f t="shared" si="538"/>
        <v>-114.9</v>
      </c>
      <c r="BF166" s="522">
        <f t="shared" si="538"/>
        <v>62.800000000000011</v>
      </c>
      <c r="BG166" s="524">
        <f t="shared" si="538"/>
        <v>15.099999999999994</v>
      </c>
      <c r="BH166" s="522">
        <f t="shared" si="538"/>
        <v>-34.399999999999984</v>
      </c>
      <c r="BI166" s="522">
        <f t="shared" si="538"/>
        <v>106.19999999999997</v>
      </c>
      <c r="BJ166" s="522">
        <f t="shared" si="538"/>
        <v>-24.099999999999987</v>
      </c>
      <c r="BK166" s="524">
        <f t="shared" si="538"/>
        <v>-2.8999999999999666</v>
      </c>
      <c r="BL166" s="522">
        <f t="shared" si="538"/>
        <v>21.5</v>
      </c>
      <c r="BM166" s="522">
        <f t="shared" si="538"/>
        <v>-103.80000000000001</v>
      </c>
      <c r="BN166" s="522">
        <f t="shared" si="538"/>
        <v>188.8</v>
      </c>
      <c r="BO166" s="524">
        <f t="shared" si="538"/>
        <v>-119.69999999999999</v>
      </c>
      <c r="BP166" s="522">
        <f t="shared" si="538"/>
        <v>78.599999999999994</v>
      </c>
      <c r="BQ166" s="522">
        <f t="shared" si="538"/>
        <v>-62.100000000000023</v>
      </c>
      <c r="BR166" s="522">
        <f t="shared" si="538"/>
        <v>-85.000000000000085</v>
      </c>
      <c r="BS166" s="524">
        <f t="shared" si="538"/>
        <v>-151.1999999999999</v>
      </c>
      <c r="BT166" s="520">
        <f t="shared" si="538"/>
        <v>97.3</v>
      </c>
      <c r="BU166" s="520">
        <f t="shared" si="538"/>
        <v>-87</v>
      </c>
      <c r="BV166" s="520">
        <f t="shared" si="538"/>
        <v>-61.4</v>
      </c>
      <c r="BW166" s="524">
        <f t="shared" si="538"/>
        <v>-137.5</v>
      </c>
      <c r="BX166" s="520">
        <f t="shared" si="538"/>
        <v>59.7</v>
      </c>
      <c r="BY166" s="520">
        <f t="shared" ref="BY166:CP166" si="539">SUM(BY162:BY165)</f>
        <v>-61.899999999999991</v>
      </c>
      <c r="BZ166" s="520">
        <f t="shared" si="539"/>
        <v>-57</v>
      </c>
      <c r="CA166" s="524">
        <f t="shared" si="539"/>
        <v>-76.200000000000017</v>
      </c>
      <c r="CB166" s="520">
        <f t="shared" si="539"/>
        <v>56.000000000000021</v>
      </c>
      <c r="CC166" s="520">
        <f t="shared" si="539"/>
        <v>-185.1</v>
      </c>
      <c r="CD166" s="520">
        <f t="shared" si="539"/>
        <v>-20.400000000000023</v>
      </c>
      <c r="CE166" s="524">
        <f t="shared" si="539"/>
        <v>-52.199999999999989</v>
      </c>
      <c r="CF166" s="520">
        <f t="shared" si="539"/>
        <v>416.8</v>
      </c>
      <c r="CG166" s="520">
        <f t="shared" si="539"/>
        <v>-94.699999999999989</v>
      </c>
      <c r="CH166" s="520">
        <f t="shared" si="539"/>
        <v>-82.599999999999966</v>
      </c>
      <c r="CI166" s="524">
        <f t="shared" si="539"/>
        <v>497.09999999999997</v>
      </c>
      <c r="CJ166" s="520">
        <f t="shared" si="539"/>
        <v>-124.8</v>
      </c>
      <c r="CK166" s="520">
        <f t="shared" si="539"/>
        <v>-86.100000000000009</v>
      </c>
      <c r="CL166" s="520">
        <f t="shared" si="539"/>
        <v>-99.199999999999989</v>
      </c>
      <c r="CM166" s="671">
        <f t="shared" si="539"/>
        <v>-423.70000000000005</v>
      </c>
      <c r="CN166" s="672">
        <f t="shared" si="539"/>
        <v>-15.8</v>
      </c>
      <c r="CO166" s="672">
        <f t="shared" si="539"/>
        <v>-198.5</v>
      </c>
      <c r="CP166" s="672">
        <f t="shared" si="539"/>
        <v>108.10000000000004</v>
      </c>
      <c r="CQ166" s="671">
        <f t="shared" ref="CQ166" si="540">SUM(CQ162:CQ165)</f>
        <v>-256.29999999999995</v>
      </c>
      <c r="CR166" s="944">
        <f>SUM(CR162:CR165)</f>
        <v>-40.125566567805905</v>
      </c>
      <c r="CS166" s="944">
        <f>SUM(CS162:CS165)</f>
        <v>-40.0615726650488</v>
      </c>
      <c r="CT166" s="944">
        <f>SUM(CT162:CT165)</f>
        <v>-39.999301189366193</v>
      </c>
      <c r="CU166" s="923">
        <f>SUM(CU162:CU165)</f>
        <v>-39.938705780794095</v>
      </c>
      <c r="CV166" s="537"/>
      <c r="CW166" s="522">
        <f t="shared" ref="CW166:DW166" si="541">SUM(CW162:CW165)</f>
        <v>-64.8</v>
      </c>
      <c r="CX166" s="522">
        <f t="shared" si="541"/>
        <v>15.1</v>
      </c>
      <c r="CY166" s="522">
        <f t="shared" si="541"/>
        <v>0</v>
      </c>
      <c r="CZ166" s="522">
        <f t="shared" si="541"/>
        <v>0</v>
      </c>
      <c r="DA166" s="520">
        <f t="shared" si="541"/>
        <v>23.199999999999996</v>
      </c>
      <c r="DB166" s="520">
        <f t="shared" si="541"/>
        <v>0</v>
      </c>
      <c r="DC166" s="520">
        <f t="shared" si="541"/>
        <v>-216.8</v>
      </c>
      <c r="DD166" s="520">
        <f t="shared" si="541"/>
        <v>-60.5</v>
      </c>
      <c r="DE166" s="520">
        <f t="shared" si="541"/>
        <v>-130.10000000000002</v>
      </c>
      <c r="DF166" s="520">
        <f t="shared" si="541"/>
        <v>-3.9000000000000021</v>
      </c>
      <c r="DG166" s="520">
        <f t="shared" si="541"/>
        <v>-69.400000000000006</v>
      </c>
      <c r="DH166" s="520">
        <f t="shared" si="541"/>
        <v>122.29999999999998</v>
      </c>
      <c r="DI166" s="520">
        <f t="shared" si="541"/>
        <v>-59.899999999999991</v>
      </c>
      <c r="DJ166" s="520">
        <f t="shared" si="541"/>
        <v>-159.29999999999998</v>
      </c>
      <c r="DK166" s="520">
        <f t="shared" si="541"/>
        <v>5.1000000000000014</v>
      </c>
      <c r="DL166" s="520">
        <f t="shared" si="541"/>
        <v>44.800000000000033</v>
      </c>
      <c r="DM166" s="520">
        <f t="shared" si="541"/>
        <v>-13.199999999999983</v>
      </c>
      <c r="DN166" s="520">
        <f t="shared" si="541"/>
        <v>-219.70000000000002</v>
      </c>
      <c r="DO166" s="520">
        <f t="shared" si="541"/>
        <v>-188.6</v>
      </c>
      <c r="DP166" s="520">
        <f t="shared" si="541"/>
        <v>-135.4</v>
      </c>
      <c r="DQ166" s="520">
        <f t="shared" si="541"/>
        <v>-201.7</v>
      </c>
      <c r="DR166" s="520">
        <f t="shared" si="541"/>
        <v>736.6</v>
      </c>
      <c r="DS166" s="520">
        <f t="shared" si="541"/>
        <v>-733.8</v>
      </c>
      <c r="DT166" s="520">
        <f t="shared" si="541"/>
        <v>-362.5</v>
      </c>
      <c r="DU166" s="520">
        <f t="shared" ref="DU166" si="542">SUM(DU162:DU165)</f>
        <v>-160.12514620301499</v>
      </c>
      <c r="DV166" s="520">
        <f t="shared" si="541"/>
        <v>-57.285146203014989</v>
      </c>
      <c r="DW166" s="520">
        <f t="shared" si="541"/>
        <v>-54.30314620301499</v>
      </c>
      <c r="DX166" s="520">
        <f t="shared" ref="DX166:DZ166" si="543">SUM(DX162:DX165)</f>
        <v>-51.172046203014986</v>
      </c>
      <c r="DY166" s="520">
        <f t="shared" si="543"/>
        <v>-47.884391203014985</v>
      </c>
      <c r="DZ166" s="520">
        <f t="shared" si="543"/>
        <v>-44.432353453014983</v>
      </c>
      <c r="EA166" s="558"/>
      <c r="EB166"/>
      <c r="EC166"/>
      <c r="ED166"/>
      <c r="EE166"/>
      <c r="EF166"/>
      <c r="EG166"/>
    </row>
    <row r="167" spans="1:137" s="410" customFormat="1">
      <c r="A167" s="400"/>
      <c r="B167" s="573"/>
      <c r="C167" s="658"/>
      <c r="D167" s="521"/>
      <c r="E167" s="522"/>
      <c r="F167" s="522"/>
      <c r="G167" s="523"/>
      <c r="H167" s="522"/>
      <c r="I167" s="522"/>
      <c r="J167" s="522"/>
      <c r="K167" s="523"/>
      <c r="L167" s="522"/>
      <c r="M167" s="522"/>
      <c r="N167" s="522"/>
      <c r="O167" s="523"/>
      <c r="P167" s="522"/>
      <c r="Q167" s="522"/>
      <c r="R167" s="522"/>
      <c r="S167" s="524"/>
      <c r="T167" s="522"/>
      <c r="U167" s="522"/>
      <c r="V167" s="522"/>
      <c r="W167" s="524"/>
      <c r="X167" s="522"/>
      <c r="Y167" s="522"/>
      <c r="Z167" s="522"/>
      <c r="AA167" s="524"/>
      <c r="AB167" s="522"/>
      <c r="AC167" s="522"/>
      <c r="AD167" s="522"/>
      <c r="AE167" s="524"/>
      <c r="AF167" s="522"/>
      <c r="AG167" s="522"/>
      <c r="AH167" s="522"/>
      <c r="AI167" s="524"/>
      <c r="AJ167" s="522"/>
      <c r="AK167" s="522"/>
      <c r="AL167" s="522"/>
      <c r="AM167" s="524"/>
      <c r="AN167" s="522"/>
      <c r="AO167" s="522"/>
      <c r="AP167" s="522"/>
      <c r="AQ167" s="524"/>
      <c r="AR167" s="522"/>
      <c r="AS167" s="522"/>
      <c r="AT167" s="522"/>
      <c r="AU167" s="524"/>
      <c r="AV167" s="522"/>
      <c r="AW167" s="522"/>
      <c r="AX167" s="522"/>
      <c r="AY167" s="524"/>
      <c r="AZ167" s="522"/>
      <c r="BA167" s="522"/>
      <c r="BB167" s="522"/>
      <c r="BC167" s="524"/>
      <c r="BD167" s="522"/>
      <c r="BE167" s="522"/>
      <c r="BF167" s="522"/>
      <c r="BG167" s="524"/>
      <c r="BH167" s="522"/>
      <c r="BI167" s="522"/>
      <c r="BJ167" s="522"/>
      <c r="BK167" s="524"/>
      <c r="BL167" s="522"/>
      <c r="BM167" s="522"/>
      <c r="BN167" s="522"/>
      <c r="BO167" s="524"/>
      <c r="BP167" s="522"/>
      <c r="BQ167" s="522"/>
      <c r="BR167" s="522"/>
      <c r="BS167" s="524"/>
      <c r="BT167" s="520"/>
      <c r="BU167" s="520"/>
      <c r="BV167" s="520"/>
      <c r="BW167" s="524"/>
      <c r="BX167" s="520"/>
      <c r="BY167" s="520"/>
      <c r="BZ167" s="520"/>
      <c r="CA167" s="524"/>
      <c r="CB167" s="520"/>
      <c r="CC167" s="520"/>
      <c r="CD167" s="520"/>
      <c r="CE167" s="524"/>
      <c r="CF167" s="520"/>
      <c r="CG167" s="520"/>
      <c r="CH167" s="520"/>
      <c r="CI167" s="524"/>
      <c r="CJ167" s="520"/>
      <c r="CK167" s="520"/>
      <c r="CL167" s="520"/>
      <c r="CM167" s="524"/>
      <c r="CN167" s="520"/>
      <c r="CO167" s="520"/>
      <c r="CP167" s="520"/>
      <c r="CQ167" s="524"/>
      <c r="CR167" s="935"/>
      <c r="CS167" s="935"/>
      <c r="CT167" s="935"/>
      <c r="CU167" s="922"/>
      <c r="CV167" s="406"/>
      <c r="CW167" s="522"/>
      <c r="CX167" s="522"/>
      <c r="CY167" s="522"/>
      <c r="CZ167" s="522"/>
      <c r="DA167" s="520"/>
      <c r="DB167" s="520"/>
      <c r="DC167" s="520"/>
      <c r="DD167" s="520"/>
      <c r="DE167" s="520"/>
      <c r="DF167" s="520"/>
      <c r="DG167" s="520"/>
      <c r="DH167" s="520"/>
      <c r="DI167" s="520"/>
      <c r="DJ167" s="520"/>
      <c r="DK167" s="520"/>
      <c r="DL167" s="520"/>
      <c r="DM167" s="520"/>
      <c r="DN167" s="520"/>
      <c r="DO167" s="520"/>
      <c r="DP167" s="520"/>
      <c r="DQ167" s="520"/>
      <c r="DR167" s="520"/>
      <c r="DS167" s="520"/>
      <c r="DT167" s="520"/>
      <c r="DU167" s="520"/>
      <c r="DV167" s="520"/>
      <c r="DW167" s="520"/>
      <c r="DX167" s="520"/>
      <c r="DY167" s="520"/>
      <c r="DZ167" s="520"/>
      <c r="EA167" s="558"/>
      <c r="EB167"/>
      <c r="EC167"/>
      <c r="ED167"/>
      <c r="EE167"/>
      <c r="EF167"/>
      <c r="EG167"/>
    </row>
    <row r="168" spans="1:137" s="410" customFormat="1">
      <c r="A168" s="400"/>
      <c r="B168" s="401" t="s">
        <v>359</v>
      </c>
      <c r="C168" s="658"/>
      <c r="D168" s="432"/>
      <c r="E168" s="433"/>
      <c r="F168" s="433"/>
      <c r="G168" s="434"/>
      <c r="H168" s="433"/>
      <c r="I168" s="433"/>
      <c r="J168" s="433"/>
      <c r="K168" s="434"/>
      <c r="L168" s="564">
        <v>-0.4</v>
      </c>
      <c r="M168" s="564">
        <v>0.5</v>
      </c>
      <c r="N168" s="564">
        <v>-0.5</v>
      </c>
      <c r="O168" s="572"/>
      <c r="P168" s="564"/>
      <c r="Q168" s="564">
        <v>0.1</v>
      </c>
      <c r="R168" s="564">
        <v>0.4</v>
      </c>
      <c r="S168" s="572"/>
      <c r="T168" s="564"/>
      <c r="U168" s="564">
        <v>-2.9</v>
      </c>
      <c r="V168" s="564"/>
      <c r="W168" s="572">
        <f>-2.8-V168-U168</f>
        <v>0.10000000000000009</v>
      </c>
      <c r="X168" s="564">
        <v>0</v>
      </c>
      <c r="Y168" s="564">
        <f>-11.4-X168</f>
        <v>-11.4</v>
      </c>
      <c r="Z168" s="564">
        <f>-9.6-Y168-X168</f>
        <v>1.8000000000000007</v>
      </c>
      <c r="AA168" s="514">
        <f>DC168-X168-Y168-Z168</f>
        <v>-3.4000000000000004</v>
      </c>
      <c r="AB168" s="564">
        <v>0.1</v>
      </c>
      <c r="AC168" s="564">
        <f>-2.2-AB168</f>
        <v>-2.3000000000000003</v>
      </c>
      <c r="AD168" s="564">
        <f>-1.2-AC168-AB168</f>
        <v>1.0000000000000002</v>
      </c>
      <c r="AE168" s="514">
        <f>DD168-AD168-AC168-AB168</f>
        <v>0.79999999999999993</v>
      </c>
      <c r="AF168" s="564">
        <v>0.9</v>
      </c>
      <c r="AG168" s="564">
        <f>0.9-AF168</f>
        <v>0</v>
      </c>
      <c r="AH168" s="564">
        <f>2-AG168-AF168</f>
        <v>1.1000000000000001</v>
      </c>
      <c r="AI168" s="514">
        <f>DE168-AH168-AG168-AF168</f>
        <v>0.3999999999999998</v>
      </c>
      <c r="AJ168" s="564">
        <v>-1.1000000000000001</v>
      </c>
      <c r="AK168" s="564">
        <f>0.1-AJ168</f>
        <v>1.2000000000000002</v>
      </c>
      <c r="AL168" s="564">
        <f>1.6-AJ168-AK168</f>
        <v>1.5</v>
      </c>
      <c r="AM168" s="514">
        <f>+DF168-AL168-AK168-AJ168</f>
        <v>9.9999999999999867E-2</v>
      </c>
      <c r="AN168" s="564">
        <v>0.4</v>
      </c>
      <c r="AO168" s="564">
        <f>-0.3-2.2-AN168</f>
        <v>-2.9</v>
      </c>
      <c r="AP168" s="564">
        <f>0.6-AO168-AN168</f>
        <v>3.1</v>
      </c>
      <c r="AQ168" s="572">
        <f>16.6-AP168-AO168-AN168</f>
        <v>16.000000000000004</v>
      </c>
      <c r="AR168" s="564">
        <v>-11.3</v>
      </c>
      <c r="AS168" s="564">
        <f>-16.5-AR168</f>
        <v>-5.1999999999999993</v>
      </c>
      <c r="AT168" s="564">
        <f>-16.6-AS168-AR168</f>
        <v>-0.10000000000000142</v>
      </c>
      <c r="AU168" s="572">
        <f>41.3-SUM(AR168:AT168)</f>
        <v>57.9</v>
      </c>
      <c r="AV168" s="564">
        <v>-6.4</v>
      </c>
      <c r="AW168" s="564">
        <f>-12.2-AV168</f>
        <v>-5.7999999999999989</v>
      </c>
      <c r="AX168" s="564">
        <f>1.2-AW168-AV168</f>
        <v>13.399999999999999</v>
      </c>
      <c r="AY168" s="572">
        <f>-7.5-SUM(AV168:AX168)</f>
        <v>-8.6999999999999993</v>
      </c>
      <c r="AZ168" s="564">
        <v>1.3</v>
      </c>
      <c r="BA168" s="564">
        <f>-10.9-AZ168</f>
        <v>-12.200000000000001</v>
      </c>
      <c r="BB168" s="564">
        <f>-18.4-SUM(AZ168:BA168)</f>
        <v>-7.4999999999999982</v>
      </c>
      <c r="BC168" s="572">
        <f>-11-SUM(AZ168:BB168)</f>
        <v>7.3999999999999986</v>
      </c>
      <c r="BD168" s="564">
        <v>-30.3</v>
      </c>
      <c r="BE168" s="564">
        <f>-11.3-BD168</f>
        <v>19</v>
      </c>
      <c r="BF168" s="564">
        <f>-7.7-SUM(BD168:BE168)</f>
        <v>3.6000000000000005</v>
      </c>
      <c r="BG168" s="572">
        <f>-5.9-SUM(BD168:BF168)</f>
        <v>1.7999999999999998</v>
      </c>
      <c r="BH168" s="564">
        <v>-0.6</v>
      </c>
      <c r="BI168" s="564">
        <f>4.8-BH168</f>
        <v>5.3999999999999995</v>
      </c>
      <c r="BJ168" s="564">
        <f>11.1-SUM(BH168:BI168)</f>
        <v>6.3</v>
      </c>
      <c r="BK168" s="572">
        <f>13-SUM(BH168:BJ168)</f>
        <v>1.9000000000000004</v>
      </c>
      <c r="BL168" s="564">
        <v>-20.6</v>
      </c>
      <c r="BM168" s="564">
        <f>-32.7-BL168</f>
        <v>-12.100000000000001</v>
      </c>
      <c r="BN168" s="564">
        <f>-2.3-SUM(BL168:BM168)</f>
        <v>30.400000000000002</v>
      </c>
      <c r="BO168" s="572">
        <f>-3.7-SUM(BL168:BN168)</f>
        <v>-1.3999999999999995</v>
      </c>
      <c r="BP168" s="564">
        <v>3.6</v>
      </c>
      <c r="BQ168" s="564">
        <f>12.4-BP168</f>
        <v>8.8000000000000007</v>
      </c>
      <c r="BR168" s="564">
        <f>-8.7-BQ168-BP168</f>
        <v>-21.1</v>
      </c>
      <c r="BS168" s="572">
        <f>-14.3-SUM(BP168:BR168)</f>
        <v>-5.6</v>
      </c>
      <c r="BT168" s="564">
        <v>1.6</v>
      </c>
      <c r="BU168" s="564">
        <v>-15.395</v>
      </c>
      <c r="BV168" s="564">
        <v>6.5049999999999999</v>
      </c>
      <c r="BW168" s="572">
        <f>11.2-SUM(BT168:BV168)</f>
        <v>18.489999999999998</v>
      </c>
      <c r="BX168" s="564">
        <v>-22.7</v>
      </c>
      <c r="BY168" s="564">
        <f>-17.4-BX168</f>
        <v>5.3000000000000007</v>
      </c>
      <c r="BZ168" s="564">
        <f>24.2-((BX168+BY168))</f>
        <v>41.599999999999994</v>
      </c>
      <c r="CA168" s="572">
        <f>25.2-(SUM(BX168:BZ168))</f>
        <v>1.0000000000000036</v>
      </c>
      <c r="CB168" s="564">
        <v>-2.7</v>
      </c>
      <c r="CC168" s="564">
        <f>-3.5-(CB168)</f>
        <v>-0.79999999999999982</v>
      </c>
      <c r="CD168" s="564">
        <f>-52.3-(SUM(CB168:CC168))</f>
        <v>-48.8</v>
      </c>
      <c r="CE168" s="572">
        <f>-76.7-(SUM(CB168:CD168))</f>
        <v>-24.400000000000006</v>
      </c>
      <c r="CF168" s="564">
        <v>-60</v>
      </c>
      <c r="CG168" s="564">
        <f>-36.2-(CF168)</f>
        <v>23.799999999999997</v>
      </c>
      <c r="CH168" s="564">
        <f>-46.2-(SUM(CF168:CG168))</f>
        <v>-10</v>
      </c>
      <c r="CI168" s="572">
        <f>-65.5-(SUM(CF168:CH168))</f>
        <v>-19.299999999999997</v>
      </c>
      <c r="CJ168" s="564">
        <v>8.1999999999999993</v>
      </c>
      <c r="CK168" s="564">
        <f>-5.1-CJ168</f>
        <v>-13.299999999999999</v>
      </c>
      <c r="CL168" s="564">
        <f>0.4-CJ168-CK168</f>
        <v>5.5</v>
      </c>
      <c r="CM168" s="572">
        <f>-31.7-SUM(CJ168:CL168)</f>
        <v>-32.1</v>
      </c>
      <c r="CN168" s="564">
        <v>2.9</v>
      </c>
      <c r="CO168" s="564">
        <f>13.7-CN168</f>
        <v>10.799999999999999</v>
      </c>
      <c r="CP168" s="564">
        <f>23.6-CO168-CN168</f>
        <v>9.9000000000000021</v>
      </c>
      <c r="CQ168" s="572">
        <f>36.1-CP168-CO168-CN168</f>
        <v>12.5</v>
      </c>
      <c r="CR168" s="932"/>
      <c r="CS168" s="932"/>
      <c r="CT168" s="932"/>
      <c r="CU168" s="919"/>
      <c r="CV168" s="406"/>
      <c r="CW168" s="564">
        <v>0.2</v>
      </c>
      <c r="CX168" s="637">
        <v>-5.8</v>
      </c>
      <c r="CY168" s="637"/>
      <c r="CZ168" s="637"/>
      <c r="DA168" s="637"/>
      <c r="DB168" s="637"/>
      <c r="DC168" s="637">
        <v>-13</v>
      </c>
      <c r="DD168" s="637">
        <f>-0.5+0.1</f>
        <v>-0.4</v>
      </c>
      <c r="DE168" s="637">
        <v>2.4</v>
      </c>
      <c r="DF168" s="637">
        <v>1.7</v>
      </c>
      <c r="DG168" s="436">
        <f>+SUM(AN168:AQ168)</f>
        <v>16.600000000000005</v>
      </c>
      <c r="DH168" s="436">
        <f>SUM(AR168:AU168)</f>
        <v>41.3</v>
      </c>
      <c r="DI168" s="436">
        <f>SUM(AV168:AY168)</f>
        <v>-7.5</v>
      </c>
      <c r="DJ168" s="436">
        <f>SUM(AZ168:BC168)</f>
        <v>-11</v>
      </c>
      <c r="DK168" s="436">
        <f>SUM(BD168:BG168)</f>
        <v>-5.9</v>
      </c>
      <c r="DL168" s="436">
        <f>SUM(BH168:BK168)</f>
        <v>13</v>
      </c>
      <c r="DM168" s="436">
        <f>SUM(BL168:BO168)</f>
        <v>-3.7</v>
      </c>
      <c r="DN168" s="436">
        <f>SUM(BP168:BS168)</f>
        <v>-14.3</v>
      </c>
      <c r="DO168" s="436">
        <f>SUM(BT168:BW168)</f>
        <v>11.2</v>
      </c>
      <c r="DP168" s="436">
        <f>SUM(BX168:CA168)</f>
        <v>25.2</v>
      </c>
      <c r="DQ168" s="436">
        <f>SUM(CB168:CE168)</f>
        <v>-76.7</v>
      </c>
      <c r="DR168" s="436">
        <f>SUM(CF168:CI168)</f>
        <v>-65.5</v>
      </c>
      <c r="DS168" s="436">
        <f>SUM(CJ168:CM168)</f>
        <v>-31.700000000000003</v>
      </c>
      <c r="DT168" s="436">
        <f>SUM(CN168:CQ168)</f>
        <v>36.1</v>
      </c>
      <c r="DU168" s="436">
        <f>SUM(CR168:CU168)</f>
        <v>0</v>
      </c>
      <c r="DV168" s="437"/>
      <c r="DW168" s="437"/>
      <c r="DX168" s="437"/>
      <c r="DY168" s="437"/>
      <c r="DZ168" s="437"/>
      <c r="EA168" s="512"/>
      <c r="EB168"/>
      <c r="EC168"/>
      <c r="ED168"/>
      <c r="EE168"/>
      <c r="EF168"/>
      <c r="EG168"/>
    </row>
    <row r="169" spans="1:137" s="410" customFormat="1">
      <c r="A169" s="400"/>
      <c r="B169" s="401"/>
      <c r="C169" s="658"/>
      <c r="D169" s="555"/>
      <c r="E169" s="556"/>
      <c r="F169" s="556"/>
      <c r="G169" s="557"/>
      <c r="H169" s="556"/>
      <c r="I169" s="556"/>
      <c r="J169" s="556"/>
      <c r="K169" s="557"/>
      <c r="L169" s="510"/>
      <c r="M169" s="510"/>
      <c r="N169" s="510"/>
      <c r="O169" s="557"/>
      <c r="P169" s="510"/>
      <c r="Q169" s="510"/>
      <c r="R169" s="510"/>
      <c r="S169" s="514"/>
      <c r="T169" s="556"/>
      <c r="U169" s="510"/>
      <c r="V169" s="510"/>
      <c r="W169" s="511"/>
      <c r="X169" s="510"/>
      <c r="Y169" s="510"/>
      <c r="Z169" s="510"/>
      <c r="AA169" s="514"/>
      <c r="AB169" s="510"/>
      <c r="AC169" s="510"/>
      <c r="AD169" s="510"/>
      <c r="AE169" s="514"/>
      <c r="AF169" s="510"/>
      <c r="AG169" s="510"/>
      <c r="AH169" s="510"/>
      <c r="AI169" s="514"/>
      <c r="AJ169" s="510"/>
      <c r="AK169" s="510"/>
      <c r="AL169" s="510"/>
      <c r="AM169" s="514"/>
      <c r="AN169" s="510"/>
      <c r="AO169" s="510"/>
      <c r="AP169" s="510"/>
      <c r="AQ169" s="511"/>
      <c r="AR169" s="510"/>
      <c r="AS169" s="510"/>
      <c r="AT169" s="510"/>
      <c r="AU169" s="511"/>
      <c r="AV169" s="510"/>
      <c r="AW169" s="510"/>
      <c r="AX169" s="510"/>
      <c r="AY169" s="511"/>
      <c r="AZ169" s="510"/>
      <c r="BA169" s="510"/>
      <c r="BB169" s="510"/>
      <c r="BC169" s="511"/>
      <c r="BD169" s="510"/>
      <c r="BE169" s="510"/>
      <c r="BF169" s="510"/>
      <c r="BG169" s="511"/>
      <c r="BH169" s="510"/>
      <c r="BI169" s="510"/>
      <c r="BJ169" s="510"/>
      <c r="BK169" s="511"/>
      <c r="BL169" s="510"/>
      <c r="BM169" s="510"/>
      <c r="BN169" s="510"/>
      <c r="BO169" s="511"/>
      <c r="BP169" s="510"/>
      <c r="BQ169" s="510"/>
      <c r="BR169" s="510"/>
      <c r="BS169" s="511"/>
      <c r="BT169" s="452"/>
      <c r="BU169" s="452"/>
      <c r="BV169" s="452"/>
      <c r="BW169" s="514"/>
      <c r="BX169" s="452"/>
      <c r="BY169" s="452"/>
      <c r="BZ169" s="452"/>
      <c r="CA169" s="514"/>
      <c r="CB169" s="452"/>
      <c r="CC169" s="452"/>
      <c r="CD169" s="452"/>
      <c r="CE169" s="514"/>
      <c r="CF169" s="452"/>
      <c r="CG169" s="452"/>
      <c r="CH169" s="452"/>
      <c r="CI169" s="514"/>
      <c r="CJ169" s="452"/>
      <c r="CK169" s="452"/>
      <c r="CL169" s="452"/>
      <c r="CM169" s="514"/>
      <c r="CN169" s="452"/>
      <c r="CO169" s="452"/>
      <c r="CP169" s="452"/>
      <c r="CQ169" s="514"/>
      <c r="CR169" s="932"/>
      <c r="CS169" s="932"/>
      <c r="CT169" s="932"/>
      <c r="CU169" s="919"/>
      <c r="CV169" s="406"/>
      <c r="CW169" s="510"/>
      <c r="CX169" s="510"/>
      <c r="CY169" s="556"/>
      <c r="CZ169" s="556"/>
      <c r="DA169" s="510"/>
      <c r="DB169" s="527"/>
      <c r="DC169" s="510"/>
      <c r="DD169" s="510"/>
      <c r="DE169" s="510"/>
      <c r="DF169" s="510"/>
      <c r="DG169" s="452"/>
      <c r="DH169" s="452"/>
      <c r="DI169" s="452"/>
      <c r="DJ169" s="452"/>
      <c r="DK169" s="452"/>
      <c r="DL169" s="452"/>
      <c r="DM169" s="452"/>
      <c r="DN169" s="452"/>
      <c r="DO169" s="452"/>
      <c r="DP169" s="452"/>
      <c r="DQ169" s="452"/>
      <c r="DR169" s="452"/>
      <c r="DS169" s="452"/>
      <c r="DT169" s="452"/>
      <c r="DU169" s="452"/>
      <c r="DV169" s="452"/>
      <c r="DW169" s="452"/>
      <c r="DX169" s="452"/>
      <c r="DY169" s="452"/>
      <c r="DZ169" s="452"/>
      <c r="EA169" s="452"/>
      <c r="EB169"/>
      <c r="EC169"/>
      <c r="ED169"/>
      <c r="EE169"/>
      <c r="EF169"/>
      <c r="EG169"/>
    </row>
    <row r="170" spans="1:137" s="410" customFormat="1">
      <c r="A170" s="400"/>
      <c r="B170" s="574" t="s">
        <v>111</v>
      </c>
      <c r="C170" s="658"/>
      <c r="D170" s="516"/>
      <c r="E170" s="437"/>
      <c r="F170" s="437"/>
      <c r="G170" s="517"/>
      <c r="H170" s="437"/>
      <c r="I170" s="437"/>
      <c r="J170" s="437"/>
      <c r="K170" s="517"/>
      <c r="L170" s="437"/>
      <c r="M170" s="437"/>
      <c r="N170" s="437"/>
      <c r="O170" s="517"/>
      <c r="P170" s="437"/>
      <c r="Q170" s="437"/>
      <c r="R170" s="437"/>
      <c r="S170" s="514"/>
      <c r="T170" s="437"/>
      <c r="U170" s="437"/>
      <c r="V170" s="437"/>
      <c r="W170" s="514"/>
      <c r="X170" s="437">
        <f t="shared" ref="X170:BC170" si="544">X150+X160+X166+X168</f>
        <v>-8.2999999999999687</v>
      </c>
      <c r="Y170" s="437">
        <f t="shared" si="544"/>
        <v>7.8999999999999471</v>
      </c>
      <c r="Z170" s="437">
        <f t="shared" si="544"/>
        <v>6.7999999999999936</v>
      </c>
      <c r="AA170" s="517">
        <f t="shared" si="544"/>
        <v>-6.6999999999999407</v>
      </c>
      <c r="AB170" s="437">
        <f t="shared" si="544"/>
        <v>-5.9000000000000661</v>
      </c>
      <c r="AC170" s="437">
        <f t="shared" si="544"/>
        <v>8.0999999999999623</v>
      </c>
      <c r="AD170" s="437">
        <f t="shared" si="544"/>
        <v>15</v>
      </c>
      <c r="AE170" s="517">
        <f t="shared" si="544"/>
        <v>-5.7000000000000624</v>
      </c>
      <c r="AF170" s="437">
        <f t="shared" si="544"/>
        <v>-11.200000000000033</v>
      </c>
      <c r="AG170" s="437">
        <f t="shared" si="544"/>
        <v>8.4999999999999503</v>
      </c>
      <c r="AH170" s="437">
        <f t="shared" si="544"/>
        <v>16.099999999999984</v>
      </c>
      <c r="AI170" s="517">
        <f t="shared" si="544"/>
        <v>-9.7000000000000153</v>
      </c>
      <c r="AJ170" s="437">
        <f t="shared" si="544"/>
        <v>-10.699999999999987</v>
      </c>
      <c r="AK170" s="437">
        <f t="shared" si="544"/>
        <v>47.500000000000057</v>
      </c>
      <c r="AL170" s="437">
        <f t="shared" si="544"/>
        <v>33.400000000000055</v>
      </c>
      <c r="AM170" s="517">
        <f t="shared" si="544"/>
        <v>6.2999999999999288</v>
      </c>
      <c r="AN170" s="437">
        <f t="shared" si="544"/>
        <v>-34.399999999999956</v>
      </c>
      <c r="AO170" s="437">
        <f t="shared" si="544"/>
        <v>65.300000000000026</v>
      </c>
      <c r="AP170" s="437">
        <f t="shared" si="544"/>
        <v>44.999999999999929</v>
      </c>
      <c r="AQ170" s="517">
        <f t="shared" si="544"/>
        <v>40.699999999999989</v>
      </c>
      <c r="AR170" s="437">
        <f t="shared" si="544"/>
        <v>-112.89999999999996</v>
      </c>
      <c r="AS170" s="437">
        <f t="shared" si="544"/>
        <v>-24.100000000000048</v>
      </c>
      <c r="AT170" s="437">
        <f t="shared" si="544"/>
        <v>46.8</v>
      </c>
      <c r="AU170" s="517">
        <f t="shared" si="544"/>
        <v>-49.799999999999962</v>
      </c>
      <c r="AV170" s="437">
        <f t="shared" si="544"/>
        <v>-32.899999999999892</v>
      </c>
      <c r="AW170" s="437">
        <f t="shared" si="544"/>
        <v>10.400000000000032</v>
      </c>
      <c r="AX170" s="437">
        <f t="shared" si="544"/>
        <v>-0.20000000000005258</v>
      </c>
      <c r="AY170" s="517">
        <f t="shared" si="544"/>
        <v>56.299999999999926</v>
      </c>
      <c r="AZ170" s="437">
        <f t="shared" si="544"/>
        <v>-5.2000000000001494</v>
      </c>
      <c r="BA170" s="437">
        <f t="shared" si="544"/>
        <v>0.39999999999989377</v>
      </c>
      <c r="BB170" s="437">
        <f t="shared" si="544"/>
        <v>18.899999999999835</v>
      </c>
      <c r="BC170" s="517">
        <f t="shared" si="544"/>
        <v>51.100000000000044</v>
      </c>
      <c r="BD170" s="437">
        <f t="shared" ref="BD170:CI170" si="545">BD150+BD160+BD166+BD168</f>
        <v>14.900000000000016</v>
      </c>
      <c r="BE170" s="437">
        <f t="shared" si="545"/>
        <v>22.500000000000028</v>
      </c>
      <c r="BF170" s="437">
        <f t="shared" si="545"/>
        <v>-90.1</v>
      </c>
      <c r="BG170" s="517">
        <f t="shared" si="545"/>
        <v>-32.399999999999991</v>
      </c>
      <c r="BH170" s="437">
        <f t="shared" si="545"/>
        <v>-12.59999999999995</v>
      </c>
      <c r="BI170" s="437">
        <f t="shared" si="545"/>
        <v>166.09999999999994</v>
      </c>
      <c r="BJ170" s="437">
        <f t="shared" si="545"/>
        <v>1.9000000000000368</v>
      </c>
      <c r="BK170" s="517">
        <f t="shared" si="545"/>
        <v>98.600000000000023</v>
      </c>
      <c r="BL170" s="437">
        <f t="shared" si="545"/>
        <v>16.699999999999967</v>
      </c>
      <c r="BM170" s="437">
        <f t="shared" si="545"/>
        <v>-186.60000000000002</v>
      </c>
      <c r="BN170" s="437">
        <f t="shared" si="545"/>
        <v>244.70000000000024</v>
      </c>
      <c r="BO170" s="517">
        <f t="shared" si="545"/>
        <v>17.69999999999974</v>
      </c>
      <c r="BP170" s="437">
        <f t="shared" si="545"/>
        <v>-226.99999999999972</v>
      </c>
      <c r="BQ170" s="437">
        <f t="shared" si="545"/>
        <v>149.49999999999983</v>
      </c>
      <c r="BR170" s="437">
        <f t="shared" si="545"/>
        <v>4.5999999999998877</v>
      </c>
      <c r="BS170" s="517">
        <f t="shared" si="545"/>
        <v>-17.399999999999785</v>
      </c>
      <c r="BT170" s="437">
        <f t="shared" si="545"/>
        <v>37.300000000000004</v>
      </c>
      <c r="BU170" s="437">
        <f t="shared" si="545"/>
        <v>85.000000000000071</v>
      </c>
      <c r="BV170" s="437">
        <f t="shared" si="545"/>
        <v>139.63500000000002</v>
      </c>
      <c r="BW170" s="517">
        <f t="shared" si="545"/>
        <v>94.164999999999893</v>
      </c>
      <c r="BX170" s="437">
        <f t="shared" si="545"/>
        <v>-20.300000000000022</v>
      </c>
      <c r="BY170" s="437">
        <f t="shared" si="545"/>
        <v>121.60000000000005</v>
      </c>
      <c r="BZ170" s="437">
        <f t="shared" si="545"/>
        <v>103.40000000000006</v>
      </c>
      <c r="CA170" s="517">
        <f t="shared" si="545"/>
        <v>19.099999999999884</v>
      </c>
      <c r="CB170" s="437">
        <f t="shared" si="545"/>
        <v>-131.39999999999998</v>
      </c>
      <c r="CC170" s="437">
        <f t="shared" si="545"/>
        <v>-36.699999999999946</v>
      </c>
      <c r="CD170" s="437">
        <f t="shared" si="545"/>
        <v>11.400000000000063</v>
      </c>
      <c r="CE170" s="517">
        <f t="shared" si="545"/>
        <v>14.999999999999886</v>
      </c>
      <c r="CF170" s="437">
        <f t="shared" si="545"/>
        <v>237.7</v>
      </c>
      <c r="CG170" s="437">
        <f t="shared" si="545"/>
        <v>72.40000000000002</v>
      </c>
      <c r="CH170" s="437">
        <f t="shared" si="545"/>
        <v>-74.599999999999937</v>
      </c>
      <c r="CI170" s="517">
        <f t="shared" si="545"/>
        <v>-455.60000000000025</v>
      </c>
      <c r="CJ170" s="437">
        <f t="shared" ref="CJ170:CP170" si="546">CJ150+CJ160+CJ166+CJ168</f>
        <v>-185.09999999999994</v>
      </c>
      <c r="CK170" s="437">
        <f t="shared" si="546"/>
        <v>102.4</v>
      </c>
      <c r="CL170" s="437">
        <f t="shared" si="546"/>
        <v>23.699999999999903</v>
      </c>
      <c r="CM170" s="517">
        <f t="shared" si="546"/>
        <v>-74.999999999999972</v>
      </c>
      <c r="CN170" s="437">
        <f t="shared" si="546"/>
        <v>-85.3</v>
      </c>
      <c r="CO170" s="437">
        <f t="shared" si="546"/>
        <v>28.699999999999974</v>
      </c>
      <c r="CP170" s="437">
        <f t="shared" si="546"/>
        <v>27.200000000000056</v>
      </c>
      <c r="CQ170" s="517">
        <f t="shared" ref="CQ170" si="547">CQ150+CQ160+CQ166+CQ168</f>
        <v>131.00000000000011</v>
      </c>
      <c r="CR170" s="934">
        <f>CR150+CR160+CR166+CR168</f>
        <v>-139.00578830375252</v>
      </c>
      <c r="CS170" s="934">
        <f>CS150+CS160+CS166+CS168</f>
        <v>188.06579587965271</v>
      </c>
      <c r="CT170" s="934">
        <f>CT150+CT160+CT166+CT168</f>
        <v>112.29333001327917</v>
      </c>
      <c r="CU170" s="924">
        <f>CU150+CU160+CU166+CU168</f>
        <v>272.89478589908447</v>
      </c>
      <c r="CV170" s="406"/>
      <c r="CW170" s="437"/>
      <c r="CX170" s="437"/>
      <c r="CY170" s="437"/>
      <c r="CZ170" s="437"/>
      <c r="DA170" s="452"/>
      <c r="DB170" s="452"/>
      <c r="DC170" s="437">
        <f t="shared" ref="DC170:DW170" si="548">DC150+DC160+DC166+DC168</f>
        <v>-0.30000000000001137</v>
      </c>
      <c r="DD170" s="437">
        <f t="shared" si="548"/>
        <v>11.499999999999806</v>
      </c>
      <c r="DE170" s="437">
        <f t="shared" si="548"/>
        <v>3.6999999999998407</v>
      </c>
      <c r="DF170" s="437">
        <f t="shared" si="548"/>
        <v>76.500000000000014</v>
      </c>
      <c r="DG170" s="437">
        <f t="shared" si="548"/>
        <v>116.59999999999998</v>
      </c>
      <c r="DH170" s="437">
        <f t="shared" si="548"/>
        <v>-139.99999999999983</v>
      </c>
      <c r="DI170" s="437">
        <f t="shared" si="548"/>
        <v>33.600000000000009</v>
      </c>
      <c r="DJ170" s="437">
        <f t="shared" si="548"/>
        <v>65.199999999999676</v>
      </c>
      <c r="DK170" s="437">
        <f t="shared" si="548"/>
        <v>-85.099999999999909</v>
      </c>
      <c r="DL170" s="437">
        <f t="shared" si="548"/>
        <v>254.00000000000009</v>
      </c>
      <c r="DM170" s="437">
        <f t="shared" si="548"/>
        <v>92.499999999999986</v>
      </c>
      <c r="DN170" s="437">
        <f t="shared" si="548"/>
        <v>-90.300000000000082</v>
      </c>
      <c r="DO170" s="437">
        <f t="shared" si="548"/>
        <v>356.09999999999997</v>
      </c>
      <c r="DP170" s="437">
        <f t="shared" si="548"/>
        <v>223.80000000000015</v>
      </c>
      <c r="DQ170" s="437">
        <f t="shared" si="548"/>
        <v>-141.70000000000005</v>
      </c>
      <c r="DR170" s="437">
        <f t="shared" si="548"/>
        <v>-220.10000000000002</v>
      </c>
      <c r="DS170" s="437">
        <f t="shared" si="548"/>
        <v>-133.99999999999994</v>
      </c>
      <c r="DT170" s="437">
        <f t="shared" si="548"/>
        <v>101.60000000000011</v>
      </c>
      <c r="DU170" s="437">
        <f>DU150+DU160+DU166+DU168</f>
        <v>434.2481234882639</v>
      </c>
      <c r="DV170" s="437">
        <f t="shared" si="548"/>
        <v>766.57607020779744</v>
      </c>
      <c r="DW170" s="437">
        <f t="shared" si="548"/>
        <v>787.18665668477774</v>
      </c>
      <c r="DX170" s="437">
        <f t="shared" ref="DX170:DZ170" si="549">DX150+DX160+DX166+DX168</f>
        <v>800.48658992163632</v>
      </c>
      <c r="DY170" s="437">
        <f t="shared" si="549"/>
        <v>807.28213346700375</v>
      </c>
      <c r="DZ170" s="437">
        <f t="shared" si="549"/>
        <v>801.8623828056468</v>
      </c>
      <c r="EA170" s="436"/>
      <c r="EB170"/>
      <c r="EC170"/>
      <c r="ED170"/>
      <c r="EE170"/>
      <c r="EF170"/>
      <c r="EG170"/>
    </row>
    <row r="171" spans="1:137" s="674" customFormat="1">
      <c r="A171" s="538"/>
      <c r="B171" s="401" t="s">
        <v>360</v>
      </c>
      <c r="C171" s="658"/>
      <c r="D171" s="516"/>
      <c r="E171" s="437"/>
      <c r="F171" s="437"/>
      <c r="G171" s="517"/>
      <c r="H171" s="437"/>
      <c r="I171" s="437"/>
      <c r="J171" s="437"/>
      <c r="K171" s="517"/>
      <c r="L171" s="437"/>
      <c r="M171" s="437"/>
      <c r="N171" s="437"/>
      <c r="O171" s="517"/>
      <c r="P171" s="437"/>
      <c r="Q171" s="437"/>
      <c r="R171" s="437"/>
      <c r="S171" s="517"/>
      <c r="T171" s="437"/>
      <c r="U171" s="437"/>
      <c r="V171" s="437"/>
      <c r="W171" s="517"/>
      <c r="X171" s="437">
        <v>21.7</v>
      </c>
      <c r="Y171" s="437">
        <f>X172</f>
        <v>13.400000000000031</v>
      </c>
      <c r="Z171" s="437">
        <f>Y172</f>
        <v>21.299999999999976</v>
      </c>
      <c r="AA171" s="517">
        <f>Z172</f>
        <v>28.099999999999969</v>
      </c>
      <c r="AB171" s="437">
        <f>DC172</f>
        <v>21.399999999999988</v>
      </c>
      <c r="AC171" s="437">
        <f>AB172</f>
        <v>15.499999999999922</v>
      </c>
      <c r="AD171" s="437">
        <f>AC172</f>
        <v>23.599999999999884</v>
      </c>
      <c r="AE171" s="517">
        <f>AD172</f>
        <v>38.599999999999881</v>
      </c>
      <c r="AF171" s="437">
        <v>32.9</v>
      </c>
      <c r="AG171" s="437">
        <f>AF172</f>
        <v>21.699999999999967</v>
      </c>
      <c r="AH171" s="437">
        <f>AG172</f>
        <v>30.199999999999918</v>
      </c>
      <c r="AI171" s="517">
        <f>AH172</f>
        <v>46.299999999999898</v>
      </c>
      <c r="AJ171" s="437">
        <f>+DE66</f>
        <v>36.6</v>
      </c>
      <c r="AK171" s="437">
        <f>+AJ172</f>
        <v>25.900000000000013</v>
      </c>
      <c r="AL171" s="437">
        <f>+AK172</f>
        <v>73.400000000000063</v>
      </c>
      <c r="AM171" s="517">
        <f>+AL172</f>
        <v>106.80000000000013</v>
      </c>
      <c r="AN171" s="437">
        <f>+DF172</f>
        <v>113.10000000000002</v>
      </c>
      <c r="AO171" s="437">
        <f>+AN172</f>
        <v>78.700000000000074</v>
      </c>
      <c r="AP171" s="437">
        <f>+AO172</f>
        <v>144.00000000000011</v>
      </c>
      <c r="AQ171" s="517">
        <f>+AP172</f>
        <v>189.00000000000006</v>
      </c>
      <c r="AR171" s="437">
        <f>+DG172</f>
        <v>229.7</v>
      </c>
      <c r="AS171" s="437">
        <f>+AR172</f>
        <v>116.80000000000003</v>
      </c>
      <c r="AT171" s="437">
        <f>+AS172</f>
        <v>92.699999999999974</v>
      </c>
      <c r="AU171" s="517">
        <f>+AT172</f>
        <v>139.49999999999997</v>
      </c>
      <c r="AV171" s="437">
        <f>+DH172</f>
        <v>89.700000000000159</v>
      </c>
      <c r="AW171" s="437">
        <f>+AV172</f>
        <v>56.800000000000267</v>
      </c>
      <c r="AX171" s="437">
        <f>+AW172</f>
        <v>67.200000000000301</v>
      </c>
      <c r="AY171" s="517">
        <f>+AX172</f>
        <v>67.000000000000256</v>
      </c>
      <c r="AZ171" s="437">
        <f>+DI172</f>
        <v>123.30000000000017</v>
      </c>
      <c r="BA171" s="437">
        <f>+AZ172</f>
        <v>118.10000000000002</v>
      </c>
      <c r="BB171" s="437">
        <f>+BA172</f>
        <v>118.49999999999991</v>
      </c>
      <c r="BC171" s="517">
        <f>+BB172</f>
        <v>137.39999999999975</v>
      </c>
      <c r="BD171" s="437">
        <f>+DJ172</f>
        <v>188.49999999999983</v>
      </c>
      <c r="BE171" s="437">
        <f>+BD172</f>
        <v>203.39999999999984</v>
      </c>
      <c r="BF171" s="437">
        <f>+BE172</f>
        <v>225.89999999999986</v>
      </c>
      <c r="BG171" s="517">
        <f>+BF172</f>
        <v>135.79999999999987</v>
      </c>
      <c r="BH171" s="437">
        <f>+DK172</f>
        <v>103.39999999999992</v>
      </c>
      <c r="BI171" s="437">
        <f>+BH172</f>
        <v>90.799999999999969</v>
      </c>
      <c r="BJ171" s="437">
        <f>+BI172</f>
        <v>256.89999999999992</v>
      </c>
      <c r="BK171" s="517">
        <f>+BJ172</f>
        <v>258.79999999999995</v>
      </c>
      <c r="BL171" s="437">
        <f>+DL172</f>
        <v>357.4</v>
      </c>
      <c r="BM171" s="437">
        <f>+BL172</f>
        <v>374.09999999999997</v>
      </c>
      <c r="BN171" s="437">
        <f>+BM172</f>
        <v>187.49999999999994</v>
      </c>
      <c r="BO171" s="517">
        <f>+BN172</f>
        <v>432.20000000000016</v>
      </c>
      <c r="BP171" s="437">
        <f>+DM172</f>
        <v>449.9</v>
      </c>
      <c r="BQ171" s="437">
        <f>+BP172</f>
        <v>222.90000000000026</v>
      </c>
      <c r="BR171" s="437">
        <f>+BQ172</f>
        <v>372.40000000000009</v>
      </c>
      <c r="BS171" s="517">
        <f>+BR172</f>
        <v>377</v>
      </c>
      <c r="BT171" s="452">
        <f>+DN172</f>
        <v>359.59999999999991</v>
      </c>
      <c r="BU171" s="452">
        <f>+BT172</f>
        <v>396.89999999999992</v>
      </c>
      <c r="BV171" s="452">
        <f>+BU172</f>
        <v>481.9</v>
      </c>
      <c r="BW171" s="514">
        <f>+BV172</f>
        <v>621.53499999999997</v>
      </c>
      <c r="BX171" s="452">
        <f>+DO172</f>
        <v>715.69999999999982</v>
      </c>
      <c r="BY171" s="452">
        <f>+BX172</f>
        <v>695.39999999999975</v>
      </c>
      <c r="BZ171" s="452">
        <f>+BY172</f>
        <v>816.99999999999977</v>
      </c>
      <c r="CA171" s="514">
        <f>+BZ172</f>
        <v>920.39999999999986</v>
      </c>
      <c r="CB171" s="452">
        <f>+DP172</f>
        <v>939.5</v>
      </c>
      <c r="CC171" s="452">
        <f>+CB172</f>
        <v>808.1</v>
      </c>
      <c r="CD171" s="452">
        <f>+CC172</f>
        <v>771.40000000000009</v>
      </c>
      <c r="CE171" s="514">
        <f>+CD172</f>
        <v>782.80000000000018</v>
      </c>
      <c r="CF171" s="452">
        <f>+DQ172</f>
        <v>797.8</v>
      </c>
      <c r="CG171" s="452">
        <f>+CF172</f>
        <v>1035.5</v>
      </c>
      <c r="CH171" s="452">
        <f>+CG172</f>
        <v>1107.9000000000001</v>
      </c>
      <c r="CI171" s="514">
        <f>+CH172</f>
        <v>1033.3000000000002</v>
      </c>
      <c r="CJ171" s="452">
        <f>+DR172</f>
        <v>577.69999999999993</v>
      </c>
      <c r="CK171" s="452">
        <f>+CJ172</f>
        <v>392.6</v>
      </c>
      <c r="CL171" s="452">
        <f>+CK172</f>
        <v>495</v>
      </c>
      <c r="CM171" s="514">
        <f>+CL172</f>
        <v>518.69999999999993</v>
      </c>
      <c r="CN171" s="452">
        <f>+DS172</f>
        <v>443.7</v>
      </c>
      <c r="CO171" s="452">
        <f t="shared" ref="CO171:CU171" si="550">+CN172</f>
        <v>358.4</v>
      </c>
      <c r="CP171" s="452">
        <f t="shared" si="550"/>
        <v>387.09999999999997</v>
      </c>
      <c r="CQ171" s="514">
        <f t="shared" si="550"/>
        <v>414.3</v>
      </c>
      <c r="CR171" s="932">
        <f t="shared" si="550"/>
        <v>545.30000000000018</v>
      </c>
      <c r="CS171" s="932">
        <f t="shared" si="550"/>
        <v>406.29421169624766</v>
      </c>
      <c r="CT171" s="932">
        <f t="shared" si="550"/>
        <v>594.36000757590034</v>
      </c>
      <c r="CU171" s="919">
        <f t="shared" si="550"/>
        <v>706.6533375891795</v>
      </c>
      <c r="CV171" s="406"/>
      <c r="CW171" s="437"/>
      <c r="CX171" s="437"/>
      <c r="CY171" s="437"/>
      <c r="CZ171" s="437"/>
      <c r="DA171" s="437"/>
      <c r="DB171" s="437"/>
      <c r="DC171" s="437">
        <f>X171</f>
        <v>21.7</v>
      </c>
      <c r="DD171" s="437">
        <f>AB171</f>
        <v>21.399999999999988</v>
      </c>
      <c r="DE171" s="437">
        <f>AF171</f>
        <v>32.9</v>
      </c>
      <c r="DF171" s="437">
        <f>AJ171</f>
        <v>36.6</v>
      </c>
      <c r="DG171" s="437">
        <f t="shared" ref="DG171:DW171" si="551">+DF172</f>
        <v>113.10000000000002</v>
      </c>
      <c r="DH171" s="437">
        <f t="shared" si="551"/>
        <v>229.7</v>
      </c>
      <c r="DI171" s="437">
        <f t="shared" si="551"/>
        <v>89.700000000000159</v>
      </c>
      <c r="DJ171" s="437">
        <f t="shared" si="551"/>
        <v>123.30000000000017</v>
      </c>
      <c r="DK171" s="437">
        <f t="shared" si="551"/>
        <v>188.49999999999983</v>
      </c>
      <c r="DL171" s="437">
        <f t="shared" si="551"/>
        <v>103.39999999999992</v>
      </c>
      <c r="DM171" s="437">
        <f t="shared" si="551"/>
        <v>357.4</v>
      </c>
      <c r="DN171" s="437">
        <f t="shared" si="551"/>
        <v>449.9</v>
      </c>
      <c r="DO171" s="452">
        <f t="shared" si="551"/>
        <v>359.59999999999991</v>
      </c>
      <c r="DP171" s="452">
        <f t="shared" si="551"/>
        <v>715.69999999999982</v>
      </c>
      <c r="DQ171" s="452">
        <f t="shared" si="551"/>
        <v>939.5</v>
      </c>
      <c r="DR171" s="452">
        <f t="shared" si="551"/>
        <v>797.8</v>
      </c>
      <c r="DS171" s="452">
        <f t="shared" si="551"/>
        <v>577.69999999999993</v>
      </c>
      <c r="DT171" s="452">
        <f t="shared" si="551"/>
        <v>443.7</v>
      </c>
      <c r="DU171" s="452">
        <f>+DT172</f>
        <v>545.30000000000007</v>
      </c>
      <c r="DV171" s="452">
        <f t="shared" si="551"/>
        <v>979.54812348826397</v>
      </c>
      <c r="DW171" s="452">
        <f t="shared" si="551"/>
        <v>1746.1241936960614</v>
      </c>
      <c r="DX171" s="452">
        <f t="shared" ref="DX171" si="552">+DW172</f>
        <v>2533.3108503808389</v>
      </c>
      <c r="DY171" s="452">
        <f t="shared" ref="DY171" si="553">+DX172</f>
        <v>3333.7974403024755</v>
      </c>
      <c r="DZ171" s="452">
        <f t="shared" ref="DZ171" si="554">+DY172</f>
        <v>4141.0795737694789</v>
      </c>
      <c r="EA171" s="436"/>
      <c r="EB171"/>
      <c r="EC171"/>
      <c r="ED171"/>
      <c r="EE171"/>
      <c r="EF171"/>
      <c r="EG171"/>
    </row>
    <row r="172" spans="1:137" s="674" customFormat="1">
      <c r="A172" s="663"/>
      <c r="B172" s="401" t="s">
        <v>361</v>
      </c>
      <c r="C172" s="900"/>
      <c r="D172" s="525"/>
      <c r="E172" s="452"/>
      <c r="F172" s="452"/>
      <c r="G172" s="514"/>
      <c r="H172" s="452"/>
      <c r="I172" s="452"/>
      <c r="J172" s="452"/>
      <c r="K172" s="514"/>
      <c r="L172" s="452"/>
      <c r="M172" s="452"/>
      <c r="N172" s="452"/>
      <c r="O172" s="514"/>
      <c r="P172" s="452"/>
      <c r="Q172" s="452"/>
      <c r="R172" s="452"/>
      <c r="S172" s="514"/>
      <c r="T172" s="452"/>
      <c r="U172" s="452"/>
      <c r="V172" s="452"/>
      <c r="W172" s="514"/>
      <c r="X172" s="452">
        <f t="shared" ref="X172:AM172" si="555">+X170+X171</f>
        <v>13.400000000000031</v>
      </c>
      <c r="Y172" s="452">
        <f t="shared" si="555"/>
        <v>21.299999999999976</v>
      </c>
      <c r="Z172" s="452">
        <f t="shared" si="555"/>
        <v>28.099999999999969</v>
      </c>
      <c r="AA172" s="514">
        <f t="shared" si="555"/>
        <v>21.400000000000027</v>
      </c>
      <c r="AB172" s="452">
        <f t="shared" si="555"/>
        <v>15.499999999999922</v>
      </c>
      <c r="AC172" s="452">
        <f t="shared" si="555"/>
        <v>23.599999999999884</v>
      </c>
      <c r="AD172" s="452">
        <f t="shared" si="555"/>
        <v>38.599999999999881</v>
      </c>
      <c r="AE172" s="514">
        <f t="shared" si="555"/>
        <v>32.899999999999821</v>
      </c>
      <c r="AF172" s="452">
        <f t="shared" si="555"/>
        <v>21.699999999999967</v>
      </c>
      <c r="AG172" s="452">
        <f t="shared" si="555"/>
        <v>30.199999999999918</v>
      </c>
      <c r="AH172" s="452">
        <f t="shared" si="555"/>
        <v>46.299999999999898</v>
      </c>
      <c r="AI172" s="514">
        <f t="shared" si="555"/>
        <v>36.599999999999881</v>
      </c>
      <c r="AJ172" s="452">
        <f t="shared" si="555"/>
        <v>25.900000000000013</v>
      </c>
      <c r="AK172" s="452">
        <f t="shared" si="555"/>
        <v>73.400000000000063</v>
      </c>
      <c r="AL172" s="452">
        <f t="shared" si="555"/>
        <v>106.80000000000013</v>
      </c>
      <c r="AM172" s="514">
        <f t="shared" si="555"/>
        <v>113.10000000000005</v>
      </c>
      <c r="AN172" s="452">
        <f t="shared" ref="AN172:AU172" si="556">AN171+AN170</f>
        <v>78.700000000000074</v>
      </c>
      <c r="AO172" s="452">
        <f t="shared" si="556"/>
        <v>144.00000000000011</v>
      </c>
      <c r="AP172" s="452">
        <f t="shared" si="556"/>
        <v>189.00000000000006</v>
      </c>
      <c r="AQ172" s="514">
        <f t="shared" si="556"/>
        <v>229.70000000000005</v>
      </c>
      <c r="AR172" s="452">
        <f t="shared" si="556"/>
        <v>116.80000000000003</v>
      </c>
      <c r="AS172" s="452">
        <f t="shared" si="556"/>
        <v>92.699999999999974</v>
      </c>
      <c r="AT172" s="452">
        <f t="shared" si="556"/>
        <v>139.49999999999997</v>
      </c>
      <c r="AU172" s="514">
        <f t="shared" si="556"/>
        <v>89.700000000000017</v>
      </c>
      <c r="AV172" s="452">
        <f t="shared" ref="AV172:CP172" si="557">AV171+AV170</f>
        <v>56.800000000000267</v>
      </c>
      <c r="AW172" s="452">
        <f t="shared" si="557"/>
        <v>67.200000000000301</v>
      </c>
      <c r="AX172" s="452">
        <f t="shared" si="557"/>
        <v>67.000000000000256</v>
      </c>
      <c r="AY172" s="514">
        <f t="shared" si="557"/>
        <v>123.30000000000018</v>
      </c>
      <c r="AZ172" s="452">
        <f t="shared" si="557"/>
        <v>118.10000000000002</v>
      </c>
      <c r="BA172" s="452">
        <f t="shared" si="557"/>
        <v>118.49999999999991</v>
      </c>
      <c r="BB172" s="452">
        <f t="shared" si="557"/>
        <v>137.39999999999975</v>
      </c>
      <c r="BC172" s="514">
        <f t="shared" si="557"/>
        <v>188.4999999999998</v>
      </c>
      <c r="BD172" s="452">
        <f t="shared" si="557"/>
        <v>203.39999999999984</v>
      </c>
      <c r="BE172" s="452">
        <f t="shared" si="557"/>
        <v>225.89999999999986</v>
      </c>
      <c r="BF172" s="452">
        <f t="shared" si="557"/>
        <v>135.79999999999987</v>
      </c>
      <c r="BG172" s="514">
        <f t="shared" si="557"/>
        <v>103.39999999999988</v>
      </c>
      <c r="BH172" s="452">
        <f t="shared" si="557"/>
        <v>90.799999999999969</v>
      </c>
      <c r="BI172" s="452">
        <f t="shared" si="557"/>
        <v>256.89999999999992</v>
      </c>
      <c r="BJ172" s="452">
        <f t="shared" si="557"/>
        <v>258.79999999999995</v>
      </c>
      <c r="BK172" s="514">
        <f t="shared" si="557"/>
        <v>357.4</v>
      </c>
      <c r="BL172" s="452">
        <f t="shared" si="557"/>
        <v>374.09999999999997</v>
      </c>
      <c r="BM172" s="452">
        <f t="shared" si="557"/>
        <v>187.49999999999994</v>
      </c>
      <c r="BN172" s="452">
        <f t="shared" si="557"/>
        <v>432.20000000000016</v>
      </c>
      <c r="BO172" s="514">
        <f t="shared" si="557"/>
        <v>449.89999999999992</v>
      </c>
      <c r="BP172" s="452">
        <f t="shared" si="557"/>
        <v>222.90000000000026</v>
      </c>
      <c r="BQ172" s="452">
        <f t="shared" si="557"/>
        <v>372.40000000000009</v>
      </c>
      <c r="BR172" s="452">
        <f t="shared" si="557"/>
        <v>377</v>
      </c>
      <c r="BS172" s="514">
        <f t="shared" si="557"/>
        <v>359.60000000000019</v>
      </c>
      <c r="BT172" s="452">
        <f t="shared" si="557"/>
        <v>396.89999999999992</v>
      </c>
      <c r="BU172" s="452">
        <f t="shared" si="557"/>
        <v>481.9</v>
      </c>
      <c r="BV172" s="452">
        <f t="shared" si="557"/>
        <v>621.53499999999997</v>
      </c>
      <c r="BW172" s="514">
        <f t="shared" si="557"/>
        <v>715.69999999999982</v>
      </c>
      <c r="BX172" s="452">
        <f t="shared" si="557"/>
        <v>695.39999999999975</v>
      </c>
      <c r="BY172" s="452">
        <f t="shared" si="557"/>
        <v>816.99999999999977</v>
      </c>
      <c r="BZ172" s="452">
        <f t="shared" si="557"/>
        <v>920.39999999999986</v>
      </c>
      <c r="CA172" s="514">
        <f t="shared" si="557"/>
        <v>939.49999999999977</v>
      </c>
      <c r="CB172" s="452">
        <f t="shared" si="557"/>
        <v>808.1</v>
      </c>
      <c r="CC172" s="452">
        <f t="shared" si="557"/>
        <v>771.40000000000009</v>
      </c>
      <c r="CD172" s="452">
        <f t="shared" si="557"/>
        <v>782.80000000000018</v>
      </c>
      <c r="CE172" s="514">
        <f t="shared" si="557"/>
        <v>797.80000000000007</v>
      </c>
      <c r="CF172" s="452">
        <f t="shared" si="557"/>
        <v>1035.5</v>
      </c>
      <c r="CG172" s="452">
        <f t="shared" si="557"/>
        <v>1107.9000000000001</v>
      </c>
      <c r="CH172" s="452">
        <f t="shared" si="557"/>
        <v>1033.3000000000002</v>
      </c>
      <c r="CI172" s="514">
        <f t="shared" si="557"/>
        <v>577.69999999999993</v>
      </c>
      <c r="CJ172" s="452">
        <f t="shared" si="557"/>
        <v>392.6</v>
      </c>
      <c r="CK172" s="452">
        <f t="shared" si="557"/>
        <v>495</v>
      </c>
      <c r="CL172" s="452">
        <f t="shared" si="557"/>
        <v>518.69999999999993</v>
      </c>
      <c r="CM172" s="517">
        <f t="shared" si="557"/>
        <v>443.69999999999993</v>
      </c>
      <c r="CN172" s="437">
        <f t="shared" si="557"/>
        <v>358.4</v>
      </c>
      <c r="CO172" s="437">
        <f t="shared" si="557"/>
        <v>387.09999999999997</v>
      </c>
      <c r="CP172" s="437">
        <f t="shared" si="557"/>
        <v>414.3</v>
      </c>
      <c r="CQ172" s="517">
        <f t="shared" ref="CQ172" si="558">CQ171+CQ170</f>
        <v>545.30000000000018</v>
      </c>
      <c r="CR172" s="934">
        <f t="shared" ref="CR172:CU172" si="559">CR171+CR170</f>
        <v>406.29421169624766</v>
      </c>
      <c r="CS172" s="934">
        <f t="shared" si="559"/>
        <v>594.36000757590034</v>
      </c>
      <c r="CT172" s="934">
        <f t="shared" si="559"/>
        <v>706.6533375891795</v>
      </c>
      <c r="CU172" s="924">
        <f t="shared" si="559"/>
        <v>979.54812348826397</v>
      </c>
      <c r="CV172" s="406"/>
      <c r="CW172" s="437"/>
      <c r="CX172" s="452"/>
      <c r="CY172" s="452"/>
      <c r="CZ172" s="452"/>
      <c r="DA172" s="452"/>
      <c r="DB172" s="452"/>
      <c r="DC172" s="452">
        <f>+DC170+DC171</f>
        <v>21.399999999999988</v>
      </c>
      <c r="DD172" s="452">
        <f>+DD170+DD171</f>
        <v>32.899999999999793</v>
      </c>
      <c r="DE172" s="452">
        <f>+DE170+DE171</f>
        <v>36.599999999999838</v>
      </c>
      <c r="DF172" s="452">
        <f>+DF170+DF171</f>
        <v>113.10000000000002</v>
      </c>
      <c r="DG172" s="452">
        <f>DG171+DG170</f>
        <v>229.7</v>
      </c>
      <c r="DH172" s="452">
        <f t="shared" ref="DH172:DT172" si="560">+DH171+DH170</f>
        <v>89.700000000000159</v>
      </c>
      <c r="DI172" s="452">
        <f t="shared" si="560"/>
        <v>123.30000000000017</v>
      </c>
      <c r="DJ172" s="452">
        <f t="shared" si="560"/>
        <v>188.49999999999983</v>
      </c>
      <c r="DK172" s="452">
        <f t="shared" si="560"/>
        <v>103.39999999999992</v>
      </c>
      <c r="DL172" s="452">
        <f t="shared" si="560"/>
        <v>357.4</v>
      </c>
      <c r="DM172" s="452">
        <f t="shared" si="560"/>
        <v>449.9</v>
      </c>
      <c r="DN172" s="452">
        <f t="shared" si="560"/>
        <v>359.59999999999991</v>
      </c>
      <c r="DO172" s="452">
        <f t="shared" si="560"/>
        <v>715.69999999999982</v>
      </c>
      <c r="DP172" s="452">
        <f t="shared" si="560"/>
        <v>939.5</v>
      </c>
      <c r="DQ172" s="452">
        <f t="shared" si="560"/>
        <v>797.8</v>
      </c>
      <c r="DR172" s="452">
        <f t="shared" si="560"/>
        <v>577.69999999999993</v>
      </c>
      <c r="DS172" s="452">
        <f t="shared" si="560"/>
        <v>443.7</v>
      </c>
      <c r="DT172" s="452">
        <f t="shared" si="560"/>
        <v>545.30000000000007</v>
      </c>
      <c r="DU172" s="452">
        <f>+DU171+DU170</f>
        <v>979.54812348826397</v>
      </c>
      <c r="DV172" s="452">
        <f>DV171+DV170</f>
        <v>1746.1241936960614</v>
      </c>
      <c r="DW172" s="452">
        <f>DW171+DW170</f>
        <v>2533.3108503808389</v>
      </c>
      <c r="DX172" s="452">
        <f t="shared" ref="DX172:DZ172" si="561">DX171+DX170</f>
        <v>3333.7974403024755</v>
      </c>
      <c r="DY172" s="452">
        <f t="shared" si="561"/>
        <v>4141.0795737694789</v>
      </c>
      <c r="DZ172" s="452">
        <f t="shared" si="561"/>
        <v>4942.9419565751259</v>
      </c>
      <c r="EA172" s="512"/>
      <c r="EB172"/>
      <c r="EC172"/>
      <c r="ED172"/>
      <c r="EE172"/>
      <c r="EF172"/>
      <c r="EG172"/>
    </row>
    <row r="173" spans="1:137" s="410" customFormat="1">
      <c r="A173" s="400"/>
      <c r="B173" s="424"/>
      <c r="C173" s="658"/>
      <c r="D173" s="576"/>
      <c r="E173" s="520"/>
      <c r="F173" s="520"/>
      <c r="G173" s="524"/>
      <c r="H173" s="520"/>
      <c r="I173" s="520"/>
      <c r="J173" s="520"/>
      <c r="K173" s="524"/>
      <c r="L173" s="520"/>
      <c r="M173" s="520"/>
      <c r="N173" s="520"/>
      <c r="O173" s="524"/>
      <c r="P173" s="520"/>
      <c r="Q173" s="520"/>
      <c r="R173" s="520"/>
      <c r="S173" s="524"/>
      <c r="T173" s="520"/>
      <c r="U173" s="520"/>
      <c r="V173" s="520"/>
      <c r="W173" s="524"/>
      <c r="X173" s="520"/>
      <c r="Y173" s="520"/>
      <c r="Z173" s="520"/>
      <c r="AA173" s="524"/>
      <c r="AB173" s="520"/>
      <c r="AC173" s="520"/>
      <c r="AD173" s="520"/>
      <c r="AE173" s="524"/>
      <c r="AF173" s="520"/>
      <c r="AG173" s="520"/>
      <c r="AH173" s="520"/>
      <c r="AI173" s="524"/>
      <c r="AJ173" s="520"/>
      <c r="AK173" s="520"/>
      <c r="AL173" s="520"/>
      <c r="AM173" s="524"/>
      <c r="AN173" s="520"/>
      <c r="AO173" s="520"/>
      <c r="AP173" s="520"/>
      <c r="AQ173" s="524"/>
      <c r="AR173" s="520"/>
      <c r="AS173" s="520"/>
      <c r="AT173" s="520"/>
      <c r="AU173" s="524"/>
      <c r="AV173" s="520"/>
      <c r="AW173" s="520"/>
      <c r="AX173" s="520"/>
      <c r="AY173" s="524"/>
      <c r="AZ173" s="520"/>
      <c r="BA173" s="520"/>
      <c r="BB173" s="520"/>
      <c r="BC173" s="524"/>
      <c r="BD173" s="520"/>
      <c r="BE173" s="520"/>
      <c r="BF173" s="520"/>
      <c r="BG173" s="524"/>
      <c r="BH173" s="520"/>
      <c r="BI173" s="520"/>
      <c r="BJ173" s="520"/>
      <c r="BK173" s="524"/>
      <c r="BL173" s="520"/>
      <c r="BM173" s="520"/>
      <c r="BN173" s="520"/>
      <c r="BO173" s="524"/>
      <c r="BP173" s="520"/>
      <c r="BQ173" s="520"/>
      <c r="BR173" s="520"/>
      <c r="BS173" s="524"/>
      <c r="BT173" s="520"/>
      <c r="BU173" s="520"/>
      <c r="BV173" s="520"/>
      <c r="BW173" s="524"/>
      <c r="BX173" s="520"/>
      <c r="BY173" s="520"/>
      <c r="BZ173" s="520"/>
      <c r="CA173" s="524"/>
      <c r="CB173" s="520"/>
      <c r="CC173" s="520"/>
      <c r="CD173" s="520"/>
      <c r="CE173" s="524"/>
      <c r="CF173" s="520"/>
      <c r="CG173" s="520"/>
      <c r="CH173" s="520"/>
      <c r="CI173" s="524"/>
      <c r="CJ173" s="520"/>
      <c r="CK173" s="520"/>
      <c r="CL173" s="520"/>
      <c r="CM173" s="524"/>
      <c r="CN173" s="520"/>
      <c r="CO173" s="520"/>
      <c r="CP173" s="520"/>
      <c r="CQ173" s="524"/>
      <c r="CR173" s="935"/>
      <c r="CS173" s="935"/>
      <c r="CT173" s="935"/>
      <c r="CU173" s="922"/>
      <c r="CV173" s="406"/>
      <c r="CW173" s="522"/>
      <c r="CX173" s="520"/>
      <c r="CY173" s="520"/>
      <c r="CZ173" s="520"/>
      <c r="DA173" s="520"/>
      <c r="DB173" s="520"/>
      <c r="DC173" s="520"/>
      <c r="DD173" s="520"/>
      <c r="DE173" s="520"/>
      <c r="DF173" s="520"/>
      <c r="DG173" s="520"/>
      <c r="DH173" s="520"/>
      <c r="DI173" s="520"/>
      <c r="DJ173" s="520"/>
      <c r="DK173" s="520"/>
      <c r="DL173" s="520"/>
      <c r="DM173" s="520"/>
      <c r="DN173" s="520"/>
      <c r="DO173" s="520"/>
      <c r="DP173" s="520"/>
      <c r="DQ173" s="520"/>
      <c r="DR173" s="520"/>
      <c r="DS173" s="520"/>
      <c r="DT173" s="520"/>
      <c r="DU173" s="520"/>
      <c r="DV173" s="520"/>
      <c r="DW173" s="520"/>
      <c r="DX173" s="520"/>
      <c r="DY173" s="520"/>
      <c r="DZ173" s="520"/>
      <c r="EA173" s="577"/>
      <c r="EB173"/>
      <c r="EC173"/>
      <c r="ED173"/>
      <c r="EE173"/>
      <c r="EF173"/>
      <c r="EG173"/>
    </row>
    <row r="174" spans="1:137" s="649" customFormat="1">
      <c r="A174" s="645"/>
      <c r="B174" s="651" t="s">
        <v>194</v>
      </c>
      <c r="C174" s="908"/>
      <c r="D174" s="652"/>
      <c r="E174" s="651"/>
      <c r="F174" s="651"/>
      <c r="G174" s="653"/>
      <c r="H174" s="651"/>
      <c r="I174" s="651"/>
      <c r="J174" s="651"/>
      <c r="K174" s="653"/>
      <c r="L174" s="651"/>
      <c r="M174" s="651"/>
      <c r="N174" s="651"/>
      <c r="O174" s="653"/>
      <c r="P174" s="651"/>
      <c r="Q174" s="651"/>
      <c r="R174" s="651"/>
      <c r="S174" s="653"/>
      <c r="T174" s="651"/>
      <c r="U174" s="651"/>
      <c r="V174" s="651"/>
      <c r="W174" s="653"/>
      <c r="X174" s="651">
        <f t="shared" ref="X174:BC174" si="562">X172-X66</f>
        <v>3.0198066269804258E-14</v>
      </c>
      <c r="Y174" s="651">
        <f t="shared" si="562"/>
        <v>0</v>
      </c>
      <c r="Z174" s="651">
        <f t="shared" si="562"/>
        <v>-3.1974423109204508E-14</v>
      </c>
      <c r="AA174" s="653">
        <f t="shared" si="562"/>
        <v>2.8421709430404007E-14</v>
      </c>
      <c r="AB174" s="651">
        <f t="shared" si="562"/>
        <v>-7.815970093361102E-14</v>
      </c>
      <c r="AC174" s="651">
        <f t="shared" si="562"/>
        <v>-1.1723955140041653E-13</v>
      </c>
      <c r="AD174" s="651">
        <f t="shared" si="562"/>
        <v>-1.2079226507921703E-13</v>
      </c>
      <c r="AE174" s="653">
        <f t="shared" si="562"/>
        <v>-1.7763568394002505E-13</v>
      </c>
      <c r="AF174" s="651">
        <f t="shared" si="562"/>
        <v>-3.1974423109204508E-14</v>
      </c>
      <c r="AG174" s="651">
        <f t="shared" si="562"/>
        <v>-8.1712414612411521E-14</v>
      </c>
      <c r="AH174" s="651">
        <f t="shared" si="562"/>
        <v>-9.9475983006414026E-14</v>
      </c>
      <c r="AI174" s="653">
        <f t="shared" si="562"/>
        <v>-1.2079226507921703E-13</v>
      </c>
      <c r="AJ174" s="651">
        <f t="shared" si="562"/>
        <v>0</v>
      </c>
      <c r="AK174" s="651">
        <f t="shared" si="562"/>
        <v>0</v>
      </c>
      <c r="AL174" s="651">
        <f t="shared" si="562"/>
        <v>1.2789769243681803E-13</v>
      </c>
      <c r="AM174" s="653">
        <f t="shared" si="562"/>
        <v>0</v>
      </c>
      <c r="AN174" s="651">
        <f t="shared" si="562"/>
        <v>0</v>
      </c>
      <c r="AO174" s="651">
        <f t="shared" si="562"/>
        <v>0</v>
      </c>
      <c r="AP174" s="651">
        <f t="shared" si="562"/>
        <v>0</v>
      </c>
      <c r="AQ174" s="653">
        <f t="shared" si="562"/>
        <v>0</v>
      </c>
      <c r="AR174" s="651">
        <f t="shared" si="562"/>
        <v>0</v>
      </c>
      <c r="AS174" s="651">
        <f t="shared" si="562"/>
        <v>0</v>
      </c>
      <c r="AT174" s="651">
        <f t="shared" si="562"/>
        <v>0</v>
      </c>
      <c r="AU174" s="653">
        <f t="shared" si="562"/>
        <v>0</v>
      </c>
      <c r="AV174" s="651">
        <f t="shared" si="562"/>
        <v>2.7000623958883807E-13</v>
      </c>
      <c r="AW174" s="651">
        <f t="shared" si="562"/>
        <v>2.9842794901924208E-13</v>
      </c>
      <c r="AX174" s="651">
        <f t="shared" si="562"/>
        <v>2.5579538487363607E-13</v>
      </c>
      <c r="AY174" s="653">
        <f t="shared" si="562"/>
        <v>1.8474111129762605E-13</v>
      </c>
      <c r="AZ174" s="651">
        <f t="shared" si="562"/>
        <v>0</v>
      </c>
      <c r="BA174" s="651">
        <f t="shared" si="562"/>
        <v>0</v>
      </c>
      <c r="BB174" s="651">
        <f t="shared" si="562"/>
        <v>-2.5579538487363607E-13</v>
      </c>
      <c r="BC174" s="653">
        <f t="shared" si="562"/>
        <v>0</v>
      </c>
      <c r="BD174" s="651">
        <f t="shared" ref="BD174:CI174" si="563">BD172-BD66</f>
        <v>0</v>
      </c>
      <c r="BE174" s="651">
        <f t="shared" si="563"/>
        <v>0</v>
      </c>
      <c r="BF174" s="651">
        <f t="shared" si="563"/>
        <v>0</v>
      </c>
      <c r="BG174" s="653">
        <f t="shared" si="563"/>
        <v>-1.2789769243681803E-13</v>
      </c>
      <c r="BH174" s="651">
        <f t="shared" si="563"/>
        <v>0</v>
      </c>
      <c r="BI174" s="651">
        <f t="shared" si="563"/>
        <v>0</v>
      </c>
      <c r="BJ174" s="651">
        <f t="shared" si="563"/>
        <v>0</v>
      </c>
      <c r="BK174" s="653">
        <f t="shared" si="563"/>
        <v>0</v>
      </c>
      <c r="BL174" s="651">
        <f t="shared" si="563"/>
        <v>0</v>
      </c>
      <c r="BM174" s="651">
        <f t="shared" si="563"/>
        <v>0</v>
      </c>
      <c r="BN174" s="651">
        <f t="shared" si="563"/>
        <v>0</v>
      </c>
      <c r="BO174" s="653">
        <f t="shared" si="563"/>
        <v>0</v>
      </c>
      <c r="BP174" s="651">
        <f t="shared" si="563"/>
        <v>2.5579538487363607E-13</v>
      </c>
      <c r="BQ174" s="651">
        <f t="shared" si="563"/>
        <v>0</v>
      </c>
      <c r="BR174" s="651">
        <f t="shared" si="563"/>
        <v>0</v>
      </c>
      <c r="BS174" s="653">
        <f t="shared" si="563"/>
        <v>0</v>
      </c>
      <c r="BT174" s="651">
        <f t="shared" si="563"/>
        <v>0</v>
      </c>
      <c r="BU174" s="651">
        <f t="shared" si="563"/>
        <v>0</v>
      </c>
      <c r="BV174" s="651">
        <f t="shared" si="563"/>
        <v>3.4999999999968168E-2</v>
      </c>
      <c r="BW174" s="653">
        <f t="shared" si="563"/>
        <v>0</v>
      </c>
      <c r="BX174" s="651">
        <f t="shared" si="563"/>
        <v>0</v>
      </c>
      <c r="BY174" s="651">
        <f t="shared" si="563"/>
        <v>0</v>
      </c>
      <c r="BZ174" s="651">
        <f t="shared" si="563"/>
        <v>0</v>
      </c>
      <c r="CA174" s="653">
        <f t="shared" si="563"/>
        <v>0</v>
      </c>
      <c r="CB174" s="651">
        <f t="shared" si="563"/>
        <v>0</v>
      </c>
      <c r="CC174" s="651">
        <f t="shared" si="563"/>
        <v>0</v>
      </c>
      <c r="CD174" s="651">
        <f t="shared" si="563"/>
        <v>0</v>
      </c>
      <c r="CE174" s="653">
        <f t="shared" si="563"/>
        <v>0</v>
      </c>
      <c r="CF174" s="651">
        <f t="shared" si="563"/>
        <v>0</v>
      </c>
      <c r="CG174" s="651">
        <f t="shared" si="563"/>
        <v>0</v>
      </c>
      <c r="CH174" s="651">
        <f t="shared" si="563"/>
        <v>0</v>
      </c>
      <c r="CI174" s="653">
        <f t="shared" si="563"/>
        <v>0</v>
      </c>
      <c r="CJ174" s="651">
        <f t="shared" ref="CJ174:CP174" si="564">CJ172-CJ66</f>
        <v>0.30000000000001137</v>
      </c>
      <c r="CK174" s="651">
        <f t="shared" si="564"/>
        <v>0</v>
      </c>
      <c r="CL174" s="651">
        <f t="shared" si="564"/>
        <v>0</v>
      </c>
      <c r="CM174" s="653">
        <f t="shared" si="564"/>
        <v>0</v>
      </c>
      <c r="CN174" s="651">
        <f t="shared" si="564"/>
        <v>0</v>
      </c>
      <c r="CO174" s="651">
        <f t="shared" si="564"/>
        <v>0</v>
      </c>
      <c r="CP174" s="651">
        <f t="shared" si="564"/>
        <v>0</v>
      </c>
      <c r="CQ174" s="653">
        <f t="shared" ref="CQ174" si="565">CQ172-CQ66</f>
        <v>0</v>
      </c>
      <c r="CR174" s="941">
        <f t="shared" ref="CR174:CU174" si="566">CR172-CR66</f>
        <v>0</v>
      </c>
      <c r="CS174" s="941">
        <f t="shared" si="566"/>
        <v>0</v>
      </c>
      <c r="CT174" s="941">
        <f t="shared" si="566"/>
        <v>0</v>
      </c>
      <c r="CU174" s="930">
        <f t="shared" si="566"/>
        <v>0</v>
      </c>
      <c r="CV174" s="648"/>
      <c r="CW174" s="651"/>
      <c r="CX174" s="651"/>
      <c r="CY174" s="651"/>
      <c r="CZ174" s="651"/>
      <c r="DA174" s="651"/>
      <c r="DB174" s="651"/>
      <c r="DC174" s="651">
        <f t="shared" ref="DC174:DW174" si="567">DC172-DC66</f>
        <v>0</v>
      </c>
      <c r="DD174" s="651">
        <f t="shared" si="567"/>
        <v>-2.0605739337042905E-13</v>
      </c>
      <c r="DE174" s="651">
        <f t="shared" si="567"/>
        <v>-1.6342482922482304E-13</v>
      </c>
      <c r="DF174" s="651">
        <f t="shared" si="567"/>
        <v>0</v>
      </c>
      <c r="DG174" s="651">
        <f t="shared" si="567"/>
        <v>0</v>
      </c>
      <c r="DH174" s="651">
        <f t="shared" si="567"/>
        <v>1.5631940186722204E-13</v>
      </c>
      <c r="DI174" s="651">
        <f t="shared" si="567"/>
        <v>1.7053025658242404E-13</v>
      </c>
      <c r="DJ174" s="651">
        <f t="shared" si="567"/>
        <v>0</v>
      </c>
      <c r="DK174" s="651">
        <f t="shared" si="567"/>
        <v>0</v>
      </c>
      <c r="DL174" s="651">
        <f t="shared" si="567"/>
        <v>0</v>
      </c>
      <c r="DM174" s="651">
        <f t="shared" si="567"/>
        <v>0</v>
      </c>
      <c r="DN174" s="651">
        <f t="shared" si="567"/>
        <v>0</v>
      </c>
      <c r="DO174" s="651">
        <f t="shared" si="567"/>
        <v>0</v>
      </c>
      <c r="DP174" s="651">
        <f t="shared" si="567"/>
        <v>0</v>
      </c>
      <c r="DQ174" s="651">
        <f t="shared" si="567"/>
        <v>0</v>
      </c>
      <c r="DR174" s="651">
        <f t="shared" si="567"/>
        <v>0</v>
      </c>
      <c r="DS174" s="651">
        <f t="shared" si="567"/>
        <v>0</v>
      </c>
      <c r="DT174" s="651">
        <f t="shared" si="567"/>
        <v>0</v>
      </c>
      <c r="DU174" s="651">
        <f>DU172-DU66</f>
        <v>0</v>
      </c>
      <c r="DV174" s="651">
        <f t="shared" si="567"/>
        <v>0</v>
      </c>
      <c r="DW174" s="651">
        <f t="shared" si="567"/>
        <v>0</v>
      </c>
      <c r="DX174" s="651">
        <f t="shared" ref="DX174:DZ174" si="568">DX172-DX66</f>
        <v>0</v>
      </c>
      <c r="DY174" s="651">
        <f t="shared" si="568"/>
        <v>0</v>
      </c>
      <c r="DZ174" s="651">
        <f t="shared" si="568"/>
        <v>0</v>
      </c>
      <c r="EA174" s="655"/>
      <c r="EB174"/>
      <c r="EC174"/>
      <c r="ED174"/>
      <c r="EE174"/>
      <c r="EF174"/>
      <c r="EG174"/>
    </row>
    <row r="175" spans="1:137" s="410" customFormat="1" ht="15.75" thickBot="1">
      <c r="A175" s="400"/>
      <c r="B175" s="424"/>
      <c r="C175" s="658"/>
      <c r="D175" s="578"/>
      <c r="E175" s="424"/>
      <c r="F175" s="424"/>
      <c r="G175" s="539"/>
      <c r="H175" s="424"/>
      <c r="I175" s="424"/>
      <c r="J175" s="424"/>
      <c r="K175" s="539"/>
      <c r="L175" s="424"/>
      <c r="M175" s="424"/>
      <c r="N175" s="424"/>
      <c r="O175" s="539"/>
      <c r="P175" s="424"/>
      <c r="Q175" s="424"/>
      <c r="R175" s="424"/>
      <c r="S175" s="539"/>
      <c r="T175" s="424"/>
      <c r="U175" s="424"/>
      <c r="V175" s="424"/>
      <c r="W175" s="539"/>
      <c r="X175" s="424"/>
      <c r="Y175" s="424"/>
      <c r="Z175" s="424"/>
      <c r="AA175" s="539"/>
      <c r="AB175" s="424"/>
      <c r="AC175" s="424"/>
      <c r="AD175" s="424"/>
      <c r="AE175" s="539"/>
      <c r="AF175" s="424"/>
      <c r="AG175" s="424"/>
      <c r="AH175" s="424"/>
      <c r="AI175" s="539"/>
      <c r="AJ175" s="424"/>
      <c r="AK175" s="424"/>
      <c r="AL175" s="424"/>
      <c r="AM175" s="539"/>
      <c r="AN175" s="424"/>
      <c r="AO175" s="424"/>
      <c r="AP175" s="424"/>
      <c r="AQ175" s="539"/>
      <c r="AR175" s="424"/>
      <c r="AS175" s="424"/>
      <c r="AT175" s="424"/>
      <c r="AU175" s="539"/>
      <c r="AV175" s="424"/>
      <c r="AW175" s="424"/>
      <c r="AX175" s="424"/>
      <c r="AY175" s="539"/>
      <c r="AZ175" s="424"/>
      <c r="BA175" s="424"/>
      <c r="BB175" s="424"/>
      <c r="BC175" s="539"/>
      <c r="BD175" s="424"/>
      <c r="BE175" s="424"/>
      <c r="BF175" s="424"/>
      <c r="BG175" s="539"/>
      <c r="BH175" s="424"/>
      <c r="BI175" s="424"/>
      <c r="BJ175" s="424"/>
      <c r="BK175" s="539"/>
      <c r="BL175" s="424"/>
      <c r="BM175" s="424"/>
      <c r="BN175" s="424"/>
      <c r="BO175" s="539"/>
      <c r="BP175" s="424"/>
      <c r="BQ175" s="424"/>
      <c r="BR175" s="424"/>
      <c r="BS175" s="539"/>
      <c r="BT175" s="424"/>
      <c r="BU175" s="424"/>
      <c r="BV175" s="424"/>
      <c r="BW175" s="539"/>
      <c r="BX175" s="424"/>
      <c r="BY175" s="424"/>
      <c r="BZ175" s="424"/>
      <c r="CA175" s="539"/>
      <c r="CB175" s="424"/>
      <c r="CC175" s="424"/>
      <c r="CD175" s="424"/>
      <c r="CE175" s="539"/>
      <c r="CF175" s="424"/>
      <c r="CG175" s="424"/>
      <c r="CH175" s="424"/>
      <c r="CI175" s="539"/>
      <c r="CJ175" s="424"/>
      <c r="CK175" s="424"/>
      <c r="CL175" s="424"/>
      <c r="CM175" s="539"/>
      <c r="CN175" s="424"/>
      <c r="CO175" s="424"/>
      <c r="CP175" s="424"/>
      <c r="CQ175" s="539"/>
      <c r="CR175" s="942"/>
      <c r="CS175" s="942"/>
      <c r="CT175" s="942"/>
      <c r="CU175" s="931"/>
      <c r="CV175" s="406"/>
      <c r="CW175" s="425"/>
      <c r="CX175" s="424"/>
      <c r="CY175" s="424"/>
      <c r="CZ175" s="424"/>
      <c r="DA175" s="424"/>
      <c r="DB175" s="424"/>
      <c r="DC175" s="424"/>
      <c r="DD175" s="424"/>
      <c r="DE175" s="424"/>
      <c r="DF175" s="424"/>
      <c r="DG175" s="424"/>
      <c r="DH175" s="424"/>
      <c r="DI175" s="424"/>
      <c r="DJ175" s="424"/>
      <c r="DK175" s="424"/>
      <c r="DL175" s="424"/>
      <c r="DM175" s="424"/>
      <c r="DN175" s="424"/>
      <c r="DO175" s="424"/>
      <c r="DP175" s="424"/>
      <c r="DQ175" s="424"/>
      <c r="DR175" s="424"/>
      <c r="DS175" s="424"/>
      <c r="DT175" s="424"/>
      <c r="DU175" s="424"/>
      <c r="DV175" s="424"/>
      <c r="DW175" s="424"/>
      <c r="DX175" s="424"/>
      <c r="DY175" s="424"/>
      <c r="DZ175" s="424"/>
      <c r="EA175" s="426"/>
      <c r="EB175"/>
      <c r="EC175"/>
      <c r="ED175"/>
      <c r="EE175"/>
      <c r="EF175"/>
      <c r="EG175"/>
    </row>
    <row r="176" spans="1:137" s="410" customFormat="1">
      <c r="A176" s="400"/>
      <c r="B176" s="676" t="s">
        <v>204</v>
      </c>
      <c r="C176" s="913"/>
      <c r="D176" s="677"/>
      <c r="E176" s="678"/>
      <c r="F176" s="678"/>
      <c r="G176" s="679"/>
      <c r="H176" s="678"/>
      <c r="I176" s="678"/>
      <c r="J176" s="678"/>
      <c r="K176" s="679"/>
      <c r="L176" s="678"/>
      <c r="M176" s="678"/>
      <c r="N176" s="678"/>
      <c r="O176" s="679"/>
      <c r="P176" s="678"/>
      <c r="Q176" s="678"/>
      <c r="R176" s="678"/>
      <c r="S176" s="679"/>
      <c r="T176" s="678"/>
      <c r="U176" s="678"/>
      <c r="V176" s="678"/>
      <c r="W176" s="679"/>
      <c r="X176" s="680">
        <f t="shared" ref="X176:BC176" si="569">+X150+X152</f>
        <v>-4.9999999999999574</v>
      </c>
      <c r="Y176" s="680">
        <f t="shared" si="569"/>
        <v>40.999999999999929</v>
      </c>
      <c r="Z176" s="680">
        <f t="shared" si="569"/>
        <v>10.700000000000003</v>
      </c>
      <c r="AA176" s="681">
        <f t="shared" si="569"/>
        <v>77.70000000000006</v>
      </c>
      <c r="AB176" s="680">
        <f t="shared" si="569"/>
        <v>-15.300000000000066</v>
      </c>
      <c r="AC176" s="680">
        <f t="shared" si="569"/>
        <v>73.599999999999966</v>
      </c>
      <c r="AD176" s="680">
        <f t="shared" si="569"/>
        <v>30.199999999999989</v>
      </c>
      <c r="AE176" s="681">
        <f t="shared" si="569"/>
        <v>8.2999999999999403</v>
      </c>
      <c r="AF176" s="680">
        <f t="shared" si="569"/>
        <v>6.1999999999999744</v>
      </c>
      <c r="AG176" s="680">
        <f t="shared" si="569"/>
        <v>59.799999999999947</v>
      </c>
      <c r="AH176" s="680">
        <f t="shared" si="569"/>
        <v>19.699999999999974</v>
      </c>
      <c r="AI176" s="681">
        <f t="shared" si="569"/>
        <v>37.299999999999976</v>
      </c>
      <c r="AJ176" s="680">
        <f t="shared" si="569"/>
        <v>3.9000000000000163</v>
      </c>
      <c r="AK176" s="680">
        <f t="shared" si="569"/>
        <v>86.600000000000051</v>
      </c>
      <c r="AL176" s="680">
        <f t="shared" si="569"/>
        <v>25.800000000000054</v>
      </c>
      <c r="AM176" s="681">
        <f t="shared" si="569"/>
        <v>18.599999999999923</v>
      </c>
      <c r="AN176" s="680">
        <f t="shared" si="569"/>
        <v>26.200000000000045</v>
      </c>
      <c r="AO176" s="680">
        <f t="shared" si="569"/>
        <v>111.10000000000004</v>
      </c>
      <c r="AP176" s="680">
        <f t="shared" si="569"/>
        <v>56.699999999999932</v>
      </c>
      <c r="AQ176" s="681">
        <f t="shared" si="569"/>
        <v>27.699999999999974</v>
      </c>
      <c r="AR176" s="680">
        <f t="shared" si="569"/>
        <v>-4.2999999999999545</v>
      </c>
      <c r="AS176" s="680">
        <f t="shared" si="569"/>
        <v>91.19999999999996</v>
      </c>
      <c r="AT176" s="680">
        <f t="shared" si="569"/>
        <v>15.500000000000014</v>
      </c>
      <c r="AU176" s="681">
        <f t="shared" si="569"/>
        <v>47.400000000000006</v>
      </c>
      <c r="AV176" s="680">
        <f t="shared" si="569"/>
        <v>-4.9999999999998934</v>
      </c>
      <c r="AW176" s="680">
        <f t="shared" si="569"/>
        <v>125.00000000000003</v>
      </c>
      <c r="AX176" s="680">
        <f t="shared" si="569"/>
        <v>6.6478371110256731</v>
      </c>
      <c r="AY176" s="681">
        <f t="shared" si="569"/>
        <v>47.152162888974203</v>
      </c>
      <c r="AZ176" s="680">
        <f t="shared" si="569"/>
        <v>24.299999999999855</v>
      </c>
      <c r="BA176" s="680">
        <f t="shared" si="569"/>
        <v>76.599999999999895</v>
      </c>
      <c r="BB176" s="680">
        <f t="shared" si="569"/>
        <v>70.599999999999824</v>
      </c>
      <c r="BC176" s="681">
        <f t="shared" si="569"/>
        <v>138.10000000000005</v>
      </c>
      <c r="BD176" s="680">
        <f t="shared" ref="BD176:CI176" si="570">+BD150+BD152</f>
        <v>-0.89999999999999147</v>
      </c>
      <c r="BE176" s="680">
        <f t="shared" si="570"/>
        <v>105.80000000000004</v>
      </c>
      <c r="BF176" s="680">
        <f t="shared" si="570"/>
        <v>-105.39999999999999</v>
      </c>
      <c r="BG176" s="681">
        <f t="shared" si="570"/>
        <v>31.599999999999994</v>
      </c>
      <c r="BH176" s="680">
        <f t="shared" si="570"/>
        <v>29.400000000000027</v>
      </c>
      <c r="BI176" s="680">
        <f t="shared" si="570"/>
        <v>56.099999999999973</v>
      </c>
      <c r="BJ176" s="680">
        <f t="shared" si="570"/>
        <v>13.60000000000003</v>
      </c>
      <c r="BK176" s="681">
        <f t="shared" si="570"/>
        <v>79.899999999999977</v>
      </c>
      <c r="BL176" s="680">
        <f t="shared" si="570"/>
        <v>8.7999999999999687</v>
      </c>
      <c r="BM176" s="680">
        <f t="shared" si="570"/>
        <v>92.09999999999998</v>
      </c>
      <c r="BN176" s="680">
        <f t="shared" si="570"/>
        <v>24.000000000000213</v>
      </c>
      <c r="BO176" s="681">
        <f t="shared" si="570"/>
        <v>137.39999999999975</v>
      </c>
      <c r="BP176" s="680">
        <f t="shared" si="570"/>
        <v>-111.59999999999978</v>
      </c>
      <c r="BQ176" s="680">
        <f t="shared" si="570"/>
        <v>201.29999999999984</v>
      </c>
      <c r="BR176" s="680">
        <f t="shared" si="570"/>
        <v>109.29999999999997</v>
      </c>
      <c r="BS176" s="681">
        <f t="shared" si="570"/>
        <v>115.50000000000011</v>
      </c>
      <c r="BT176" s="682">
        <f t="shared" si="570"/>
        <v>-64.199999999999989</v>
      </c>
      <c r="BU176" s="682">
        <f t="shared" si="570"/>
        <v>185.89500000000007</v>
      </c>
      <c r="BV176" s="682">
        <f t="shared" si="570"/>
        <v>137.93000000000004</v>
      </c>
      <c r="BW176" s="683">
        <f t="shared" si="570"/>
        <v>211.6749999999999</v>
      </c>
      <c r="BX176" s="682">
        <f t="shared" si="570"/>
        <v>-71.100000000000023</v>
      </c>
      <c r="BY176" s="682">
        <f t="shared" si="570"/>
        <v>176.30000000000004</v>
      </c>
      <c r="BZ176" s="682">
        <f t="shared" si="570"/>
        <v>111.70000000000007</v>
      </c>
      <c r="CA176" s="683">
        <f t="shared" si="570"/>
        <v>84.099999999999909</v>
      </c>
      <c r="CB176" s="682">
        <f t="shared" si="570"/>
        <v>-79.8</v>
      </c>
      <c r="CC176" s="682">
        <f t="shared" si="570"/>
        <v>148.70000000000005</v>
      </c>
      <c r="CD176" s="682">
        <f t="shared" si="570"/>
        <v>79.400000000000091</v>
      </c>
      <c r="CE176" s="683">
        <f t="shared" si="570"/>
        <v>90.499999999999886</v>
      </c>
      <c r="CF176" s="682">
        <f t="shared" si="570"/>
        <v>-107.30000000000004</v>
      </c>
      <c r="CG176" s="682">
        <f t="shared" si="570"/>
        <v>141.60000000000002</v>
      </c>
      <c r="CH176" s="682">
        <f t="shared" si="570"/>
        <v>17.100000000000023</v>
      </c>
      <c r="CI176" s="683">
        <f t="shared" si="570"/>
        <v>239.2</v>
      </c>
      <c r="CJ176" s="682">
        <f t="shared" ref="CJ176:CP176" si="571">+CJ150+CJ152</f>
        <v>-69.599999999999923</v>
      </c>
      <c r="CK176" s="682">
        <f t="shared" si="571"/>
        <v>197.10000000000002</v>
      </c>
      <c r="CL176" s="682">
        <f t="shared" si="571"/>
        <v>110.79999999999988</v>
      </c>
      <c r="CM176" s="683">
        <f t="shared" si="571"/>
        <v>296.80000000000007</v>
      </c>
      <c r="CN176" s="682">
        <f t="shared" si="571"/>
        <v>-70.599999999999994</v>
      </c>
      <c r="CO176" s="682">
        <f t="shared" si="571"/>
        <v>215.6</v>
      </c>
      <c r="CP176" s="682">
        <f t="shared" si="571"/>
        <v>89.199999999999989</v>
      </c>
      <c r="CQ176" s="683">
        <f t="shared" ref="CQ176" si="572">+CQ150+CQ152</f>
        <v>386.1</v>
      </c>
      <c r="CR176" s="682">
        <f t="shared" ref="CR176:CU176" si="573">+CR150+CR152</f>
        <v>-98.880221735946634</v>
      </c>
      <c r="CS176" s="682">
        <f t="shared" si="573"/>
        <v>228.12736854470151</v>
      </c>
      <c r="CT176" s="682">
        <f t="shared" si="573"/>
        <v>152.29263120264537</v>
      </c>
      <c r="CU176" s="684">
        <f t="shared" si="573"/>
        <v>312.83349167987859</v>
      </c>
      <c r="CV176" s="406"/>
      <c r="CW176" s="678"/>
      <c r="CX176" s="678"/>
      <c r="CY176" s="678"/>
      <c r="CZ176" s="678"/>
      <c r="DA176" s="678"/>
      <c r="DB176" s="678"/>
      <c r="DC176" s="680">
        <f t="shared" ref="DC176:DW176" si="574">+DC150+DC152</f>
        <v>124.4</v>
      </c>
      <c r="DD176" s="680">
        <f t="shared" si="574"/>
        <v>96.799999999999812</v>
      </c>
      <c r="DE176" s="680">
        <f t="shared" si="574"/>
        <v>122.99999999999986</v>
      </c>
      <c r="DF176" s="680">
        <f t="shared" si="574"/>
        <v>134.90000000000003</v>
      </c>
      <c r="DG176" s="680">
        <f t="shared" si="574"/>
        <v>221.70000000000002</v>
      </c>
      <c r="DH176" s="680">
        <f t="shared" si="574"/>
        <v>149.80000000000013</v>
      </c>
      <c r="DI176" s="680">
        <f t="shared" si="574"/>
        <v>173.8</v>
      </c>
      <c r="DJ176" s="680">
        <f t="shared" si="574"/>
        <v>309.59999999999968</v>
      </c>
      <c r="DK176" s="680">
        <f t="shared" si="574"/>
        <v>31.10000000000008</v>
      </c>
      <c r="DL176" s="680">
        <f t="shared" si="574"/>
        <v>179.00000000000006</v>
      </c>
      <c r="DM176" s="680">
        <f t="shared" si="574"/>
        <v>262.29999999999995</v>
      </c>
      <c r="DN176" s="680">
        <f t="shared" si="574"/>
        <v>314.49999999999994</v>
      </c>
      <c r="DO176" s="682">
        <f t="shared" si="574"/>
        <v>471.29999999999995</v>
      </c>
      <c r="DP176" s="682">
        <f t="shared" si="574"/>
        <v>301.00000000000017</v>
      </c>
      <c r="DQ176" s="682">
        <f t="shared" si="574"/>
        <v>238.79999999999995</v>
      </c>
      <c r="DR176" s="682">
        <f t="shared" si="574"/>
        <v>290.59999999999991</v>
      </c>
      <c r="DS176" s="682">
        <f t="shared" si="574"/>
        <v>535.1</v>
      </c>
      <c r="DT176" s="682">
        <f t="shared" si="574"/>
        <v>620.30000000000018</v>
      </c>
      <c r="DU176" s="682">
        <f>+DU150+DU152</f>
        <v>594.37326969127889</v>
      </c>
      <c r="DV176" s="682">
        <f t="shared" si="574"/>
        <v>823.8612164108124</v>
      </c>
      <c r="DW176" s="682">
        <f t="shared" si="574"/>
        <v>841.48980288779273</v>
      </c>
      <c r="DX176" s="682">
        <f t="shared" ref="DX176:DZ176" si="575">+DX150+DX152</f>
        <v>851.65863612465125</v>
      </c>
      <c r="DY176" s="682">
        <f t="shared" si="575"/>
        <v>855.1665246700187</v>
      </c>
      <c r="DZ176" s="682">
        <f t="shared" si="575"/>
        <v>846.29473625866183</v>
      </c>
      <c r="EA176" s="499"/>
      <c r="EB176"/>
      <c r="EC176"/>
      <c r="ED176"/>
      <c r="EE176"/>
      <c r="EF176"/>
      <c r="EG176"/>
    </row>
    <row r="177" spans="1:137" s="418" customFormat="1">
      <c r="A177" s="1075"/>
      <c r="B177" s="1080" t="s">
        <v>238</v>
      </c>
      <c r="C177" s="1076"/>
      <c r="D177" s="990"/>
      <c r="E177" s="991"/>
      <c r="F177" s="991"/>
      <c r="G177" s="992"/>
      <c r="H177" s="991"/>
      <c r="I177" s="991"/>
      <c r="J177" s="991"/>
      <c r="K177" s="992"/>
      <c r="L177" s="991"/>
      <c r="M177" s="991"/>
      <c r="N177" s="991"/>
      <c r="O177" s="992"/>
      <c r="P177" s="991"/>
      <c r="Q177" s="991"/>
      <c r="R177" s="991"/>
      <c r="S177" s="992"/>
      <c r="T177" s="991"/>
      <c r="U177" s="991"/>
      <c r="V177" s="991"/>
      <c r="W177" s="992"/>
      <c r="X177" s="1077">
        <f>X176/X9</f>
        <v>-6.8474390577923268E-3</v>
      </c>
      <c r="Y177" s="1077">
        <f t="shared" ref="Y177:CJ177" si="576">Y176/Y9</f>
        <v>5.8496219146811142E-2</v>
      </c>
      <c r="Z177" s="1077">
        <f t="shared" si="576"/>
        <v>1.7299919159256268E-2</v>
      </c>
      <c r="AA177" s="1078">
        <f t="shared" si="576"/>
        <v>0.13030353848733869</v>
      </c>
      <c r="AB177" s="1077">
        <f t="shared" si="576"/>
        <v>-2.5214238628872888E-2</v>
      </c>
      <c r="AC177" s="1077">
        <f t="shared" si="576"/>
        <v>0.12225913621262453</v>
      </c>
      <c r="AD177" s="1077">
        <f t="shared" si="576"/>
        <v>5.3938203250580442E-2</v>
      </c>
      <c r="AE177" s="1078">
        <f t="shared" si="576"/>
        <v>1.4241592312971759E-2</v>
      </c>
      <c r="AF177" s="1077">
        <f t="shared" si="576"/>
        <v>9.7807225114370944E-3</v>
      </c>
      <c r="AG177" s="1077">
        <f t="shared" si="576"/>
        <v>8.3941605839415984E-2</v>
      </c>
      <c r="AH177" s="1077">
        <f t="shared" si="576"/>
        <v>2.8801169590643237E-2</v>
      </c>
      <c r="AI177" s="1078">
        <f t="shared" si="576"/>
        <v>5.3224885844748826E-2</v>
      </c>
      <c r="AJ177" s="1077">
        <f t="shared" si="576"/>
        <v>5.0277169008637566E-3</v>
      </c>
      <c r="AK177" s="1077">
        <f t="shared" si="576"/>
        <v>0.11254061078622489</v>
      </c>
      <c r="AL177" s="1077">
        <f t="shared" si="576"/>
        <v>3.5576392719249936E-2</v>
      </c>
      <c r="AM177" s="1078">
        <f t="shared" si="576"/>
        <v>2.3284927391086535E-2</v>
      </c>
      <c r="AN177" s="1077">
        <f t="shared" si="576"/>
        <v>2.9011183700586918E-2</v>
      </c>
      <c r="AO177" s="1077">
        <f t="shared" si="576"/>
        <v>0.124384236453202</v>
      </c>
      <c r="AP177" s="1077">
        <f t="shared" si="576"/>
        <v>6.7516075256013261E-2</v>
      </c>
      <c r="AQ177" s="1078">
        <f t="shared" si="576"/>
        <v>3.1151596941070597E-2</v>
      </c>
      <c r="AR177" s="1077">
        <f t="shared" si="576"/>
        <v>-3.9686202122749927E-3</v>
      </c>
      <c r="AS177" s="1077">
        <f t="shared" si="576"/>
        <v>8.2058664747165694E-2</v>
      </c>
      <c r="AT177" s="1077">
        <f t="shared" si="576"/>
        <v>1.4749262536873168E-2</v>
      </c>
      <c r="AU177" s="1078">
        <f t="shared" si="576"/>
        <v>4.5229007633587795E-2</v>
      </c>
      <c r="AV177" s="1077">
        <f t="shared" si="576"/>
        <v>-4.3282548476453369E-3</v>
      </c>
      <c r="AW177" s="1077">
        <f t="shared" si="576"/>
        <v>0.10695644733464535</v>
      </c>
      <c r="AX177" s="1077">
        <f t="shared" si="576"/>
        <v>6.2727279779445869E-3</v>
      </c>
      <c r="AY177" s="1078">
        <f t="shared" si="576"/>
        <v>3.9237882074539571E-2</v>
      </c>
      <c r="AZ177" s="1077">
        <f t="shared" si="576"/>
        <v>1.9017060572859491E-2</v>
      </c>
      <c r="BA177" s="1077">
        <f t="shared" si="576"/>
        <v>5.6146008942314668E-2</v>
      </c>
      <c r="BB177" s="1077">
        <f t="shared" si="576"/>
        <v>5.3745432399512662E-2</v>
      </c>
      <c r="BC177" s="1078">
        <f t="shared" si="576"/>
        <v>0.10058999198776317</v>
      </c>
      <c r="BD177" s="1077">
        <f t="shared" si="576"/>
        <v>-6.0044032290345684E-4</v>
      </c>
      <c r="BE177" s="1077">
        <f t="shared" si="576"/>
        <v>6.9761308189370985E-2</v>
      </c>
      <c r="BF177" s="1077">
        <f t="shared" si="576"/>
        <v>-8.0036449236844096E-2</v>
      </c>
      <c r="BG177" s="1078">
        <f t="shared" si="576"/>
        <v>3.3923778851315076E-2</v>
      </c>
      <c r="BH177" s="1077">
        <f t="shared" si="576"/>
        <v>3.5875533862111078E-2</v>
      </c>
      <c r="BI177" s="1077">
        <f t="shared" si="576"/>
        <v>6.1231172233136837E-2</v>
      </c>
      <c r="BJ177" s="1077">
        <f t="shared" si="576"/>
        <v>1.323214633197123E-2</v>
      </c>
      <c r="BK177" s="1078">
        <f t="shared" si="576"/>
        <v>6.6677793540849517E-2</v>
      </c>
      <c r="BL177" s="1077">
        <f t="shared" si="576"/>
        <v>6.8386695679203986E-3</v>
      </c>
      <c r="BM177" s="1077">
        <f t="shared" si="576"/>
        <v>6.4781599493564032E-2</v>
      </c>
      <c r="BN177" s="1077">
        <f t="shared" si="576"/>
        <v>1.7010418881565108E-2</v>
      </c>
      <c r="BO177" s="1078">
        <f t="shared" si="576"/>
        <v>8.960479979131325E-2</v>
      </c>
      <c r="BP177" s="1077">
        <f t="shared" si="576"/>
        <v>-6.4493758668515824E-2</v>
      </c>
      <c r="BQ177" s="1077">
        <f t="shared" si="576"/>
        <v>0.11067736969430385</v>
      </c>
      <c r="BR177" s="1077">
        <f t="shared" si="576"/>
        <v>6.1000111619600388E-2</v>
      </c>
      <c r="BS177" s="1078">
        <f t="shared" si="576"/>
        <v>6.5118114675537075E-2</v>
      </c>
      <c r="BT177" s="1077">
        <f t="shared" si="576"/>
        <v>-3.3568627450980389E-2</v>
      </c>
      <c r="BU177" s="1077">
        <f t="shared" si="576"/>
        <v>0.10013736263736267</v>
      </c>
      <c r="BV177" s="1077">
        <f t="shared" si="576"/>
        <v>8.1365030674846642E-2</v>
      </c>
      <c r="BW177" s="1078">
        <f t="shared" si="576"/>
        <v>0.12313128962829382</v>
      </c>
      <c r="BX177" s="1077">
        <f t="shared" si="576"/>
        <v>-3.8409594295283893E-2</v>
      </c>
      <c r="BY177" s="1077">
        <f t="shared" si="576"/>
        <v>9.3088336237393751E-2</v>
      </c>
      <c r="BZ177" s="1077">
        <f t="shared" si="576"/>
        <v>6.1842542354113648E-2</v>
      </c>
      <c r="CA177" s="1078">
        <f t="shared" si="576"/>
        <v>4.4605919168346192E-2</v>
      </c>
      <c r="CB177" s="1077">
        <f t="shared" si="576"/>
        <v>-3.8289909313372679E-2</v>
      </c>
      <c r="CC177" s="1077">
        <f t="shared" si="576"/>
        <v>6.7683204369594921E-2</v>
      </c>
      <c r="CD177" s="1077">
        <f t="shared" si="576"/>
        <v>3.9072880271640222E-2</v>
      </c>
      <c r="CE177" s="1078">
        <f t="shared" si="576"/>
        <v>4.5434007731311753E-2</v>
      </c>
      <c r="CF177" s="1077">
        <f t="shared" si="576"/>
        <v>-5.4077209958673537E-2</v>
      </c>
      <c r="CG177" s="1077">
        <f t="shared" si="576"/>
        <v>6.9688468920714605E-2</v>
      </c>
      <c r="CH177" s="1077">
        <f t="shared" si="576"/>
        <v>9.0764331210191201E-3</v>
      </c>
      <c r="CI177" s="1078">
        <f t="shared" si="576"/>
        <v>0.11266544204229664</v>
      </c>
      <c r="CJ177" s="1077">
        <f t="shared" si="576"/>
        <v>-3.0679714361280051E-2</v>
      </c>
      <c r="CK177" s="1077">
        <f t="shared" ref="CK177:CU177" si="577">CK176/CK9</f>
        <v>8.4621329211746532E-2</v>
      </c>
      <c r="CL177" s="1077">
        <f t="shared" si="577"/>
        <v>5.0040646734712264E-2</v>
      </c>
      <c r="CM177" s="1078">
        <f t="shared" si="577"/>
        <v>0.13138556883576807</v>
      </c>
      <c r="CN177" s="1077">
        <f t="shared" si="577"/>
        <v>-2.9331117573743248E-2</v>
      </c>
      <c r="CO177" s="1077">
        <f t="shared" si="577"/>
        <v>9.0220529773611752E-2</v>
      </c>
      <c r="CP177" s="1077">
        <f t="shared" si="577"/>
        <v>3.6917473719062989E-2</v>
      </c>
      <c r="CQ177" s="1078">
        <f t="shared" ref="CQ177" si="578">CQ176/CQ9</f>
        <v>0.14928085369625735</v>
      </c>
      <c r="CR177" s="1077">
        <f t="shared" si="577"/>
        <v>-3.7076332936797941E-2</v>
      </c>
      <c r="CS177" s="1077">
        <f t="shared" si="577"/>
        <v>8.3623248132981998E-2</v>
      </c>
      <c r="CT177" s="1077">
        <f t="shared" si="577"/>
        <v>5.8037461840714663E-2</v>
      </c>
      <c r="CU177" s="1079">
        <f t="shared" si="577"/>
        <v>0.11167326376183948</v>
      </c>
      <c r="CV177" s="416"/>
      <c r="CW177" s="991"/>
      <c r="CX177" s="991"/>
      <c r="CY177" s="991"/>
      <c r="CZ177" s="991"/>
      <c r="DA177" s="991"/>
      <c r="DB177" s="991"/>
      <c r="DC177" s="1077">
        <f t="shared" ref="DC177:DZ177" si="579">DC176/DC9</f>
        <v>4.7016138176045968E-2</v>
      </c>
      <c r="DD177" s="1077">
        <f t="shared" si="579"/>
        <v>4.1165213693387118E-2</v>
      </c>
      <c r="DE177" s="1077">
        <f t="shared" si="579"/>
        <v>4.5036798359635262E-2</v>
      </c>
      <c r="DF177" s="1077">
        <f t="shared" si="579"/>
        <v>4.3952821582171266E-2</v>
      </c>
      <c r="DG177" s="1077">
        <f t="shared" si="579"/>
        <v>6.2888264828525234E-2</v>
      </c>
      <c r="DH177" s="1077">
        <f t="shared" si="579"/>
        <v>3.4887512226931885E-2</v>
      </c>
      <c r="DI177" s="1077">
        <f t="shared" si="579"/>
        <v>3.790290923365465E-2</v>
      </c>
      <c r="DJ177" s="1077">
        <f t="shared" si="579"/>
        <v>5.8101565139060854E-2</v>
      </c>
      <c r="DK177" s="1077">
        <f t="shared" si="579"/>
        <v>5.9081669484602828E-3</v>
      </c>
      <c r="DL177" s="1077">
        <f t="shared" si="579"/>
        <v>4.51814831642183E-2</v>
      </c>
      <c r="DM177" s="1077">
        <f t="shared" si="579"/>
        <v>4.6401783187093121E-2</v>
      </c>
      <c r="DN177" s="1077">
        <f t="shared" si="579"/>
        <v>4.4204253165980291E-2</v>
      </c>
      <c r="DO177" s="1077">
        <f t="shared" si="579"/>
        <v>6.5611426662211814E-2</v>
      </c>
      <c r="DP177" s="1077">
        <f t="shared" si="579"/>
        <v>4.0475486109243494E-2</v>
      </c>
      <c r="DQ177" s="1077">
        <f t="shared" si="579"/>
        <v>2.8753416575357304E-2</v>
      </c>
      <c r="DR177" s="1077">
        <f t="shared" si="579"/>
        <v>3.6219962109881328E-2</v>
      </c>
      <c r="DS177" s="1077">
        <f t="shared" si="579"/>
        <v>5.8990188512843128E-2</v>
      </c>
      <c r="DT177" s="1077">
        <f t="shared" si="579"/>
        <v>6.3300439827334631E-2</v>
      </c>
      <c r="DU177" s="1077">
        <f t="shared" si="579"/>
        <v>5.4931094900708008E-2</v>
      </c>
      <c r="DV177" s="1077">
        <f t="shared" si="579"/>
        <v>7.2124088983765614E-2</v>
      </c>
      <c r="DW177" s="1077">
        <f t="shared" si="579"/>
        <v>7.0331212065363441E-2</v>
      </c>
      <c r="DX177" s="1077">
        <f t="shared" si="579"/>
        <v>6.8358472020613834E-2</v>
      </c>
      <c r="DY177" s="1077">
        <f t="shared" si="579"/>
        <v>6.6752556424295006E-2</v>
      </c>
      <c r="DZ177" s="1077">
        <f t="shared" si="579"/>
        <v>6.5159923318437965E-2</v>
      </c>
      <c r="EA177" s="417"/>
      <c r="EB177"/>
      <c r="EC177"/>
      <c r="ED177"/>
      <c r="EE177"/>
      <c r="EF177"/>
      <c r="EG177"/>
    </row>
    <row r="178" spans="1:137" s="474" customFormat="1" ht="15.75" thickBot="1">
      <c r="A178" s="466"/>
      <c r="B178" s="693" t="s">
        <v>362</v>
      </c>
      <c r="C178" s="914"/>
      <c r="D178" s="685"/>
      <c r="E178" s="686"/>
      <c r="F178" s="686"/>
      <c r="G178" s="687"/>
      <c r="H178" s="686"/>
      <c r="I178" s="686"/>
      <c r="J178" s="686"/>
      <c r="K178" s="687"/>
      <c r="L178" s="686"/>
      <c r="M178" s="686"/>
      <c r="N178" s="686"/>
      <c r="O178" s="687"/>
      <c r="P178" s="686"/>
      <c r="Q178" s="686"/>
      <c r="R178" s="686"/>
      <c r="S178" s="687"/>
      <c r="T178" s="686"/>
      <c r="U178" s="686"/>
      <c r="V178" s="686"/>
      <c r="W178" s="687"/>
      <c r="X178" s="688">
        <f t="shared" ref="X178:BC178" si="580">X176/X40</f>
        <v>-2.332089552238786E-2</v>
      </c>
      <c r="Y178" s="688">
        <f t="shared" si="580"/>
        <v>0.19339622641509399</v>
      </c>
      <c r="Z178" s="688">
        <f t="shared" si="580"/>
        <v>5.0855513307984802E-2</v>
      </c>
      <c r="AA178" s="689">
        <f t="shared" si="580"/>
        <v>0.36929657794676835</v>
      </c>
      <c r="AB178" s="688">
        <f t="shared" si="580"/>
        <v>-7.2718631178707541E-2</v>
      </c>
      <c r="AC178" s="688">
        <f t="shared" si="580"/>
        <v>0.34716981132075453</v>
      </c>
      <c r="AD178" s="688">
        <f t="shared" si="580"/>
        <v>0.14245283018867919</v>
      </c>
      <c r="AE178" s="689">
        <f t="shared" si="580"/>
        <v>3.9150943396226136E-2</v>
      </c>
      <c r="AF178" s="688">
        <f t="shared" si="580"/>
        <v>2.90262172284643E-2</v>
      </c>
      <c r="AG178" s="688">
        <f t="shared" si="580"/>
        <v>0.27788104089219307</v>
      </c>
      <c r="AH178" s="688">
        <f t="shared" si="580"/>
        <v>9.1203703703703579E-2</v>
      </c>
      <c r="AI178" s="689">
        <f t="shared" si="580"/>
        <v>0.17332713754646831</v>
      </c>
      <c r="AJ178" s="688">
        <f t="shared" si="580"/>
        <v>1.8190298507462763E-2</v>
      </c>
      <c r="AK178" s="688">
        <f t="shared" si="580"/>
        <v>0.39944649446494485</v>
      </c>
      <c r="AL178" s="688">
        <f t="shared" si="580"/>
        <v>0.11727272727272751</v>
      </c>
      <c r="AM178" s="689">
        <f t="shared" si="580"/>
        <v>8.3633093525179503E-2</v>
      </c>
      <c r="AN178" s="688">
        <f t="shared" si="580"/>
        <v>0.11696428571428592</v>
      </c>
      <c r="AO178" s="688">
        <f t="shared" si="580"/>
        <v>0.49246453900709236</v>
      </c>
      <c r="AP178" s="688">
        <f t="shared" si="580"/>
        <v>0.24999999999999969</v>
      </c>
      <c r="AQ178" s="689">
        <f t="shared" si="580"/>
        <v>0.12170474516695946</v>
      </c>
      <c r="AR178" s="688">
        <f t="shared" si="580"/>
        <v>-1.8809161373855941E-2</v>
      </c>
      <c r="AS178" s="688">
        <f t="shared" si="580"/>
        <v>0.39883149369391413</v>
      </c>
      <c r="AT178" s="688">
        <f t="shared" si="580"/>
        <v>6.7411234625889452E-2</v>
      </c>
      <c r="AU178" s="689">
        <f t="shared" si="580"/>
        <v>0.2053726169844021</v>
      </c>
      <c r="AV178" s="688">
        <f t="shared" si="580"/>
        <v>-2.1642023615775708E-2</v>
      </c>
      <c r="AW178" s="688">
        <f t="shared" si="580"/>
        <v>0.53881168316148842</v>
      </c>
      <c r="AX178" s="688">
        <f t="shared" si="580"/>
        <v>2.8659411584004452E-2</v>
      </c>
      <c r="AY178" s="689">
        <f t="shared" si="580"/>
        <v>0.20289226716426076</v>
      </c>
      <c r="AZ178" s="688">
        <f t="shared" si="580"/>
        <v>0.10366894197952156</v>
      </c>
      <c r="BA178" s="688">
        <f t="shared" si="580"/>
        <v>0.32508318055272584</v>
      </c>
      <c r="BB178" s="688">
        <f t="shared" si="580"/>
        <v>0.2990157046775197</v>
      </c>
      <c r="BC178" s="689">
        <f t="shared" si="580"/>
        <v>0.58368554522400695</v>
      </c>
      <c r="BD178" s="688">
        <f t="shared" ref="BD178:CI178" si="581">BD176/BD40</f>
        <v>-3.7985582361183441E-3</v>
      </c>
      <c r="BE178" s="688">
        <f t="shared" si="581"/>
        <v>0.4468584751060129</v>
      </c>
      <c r="BF178" s="688">
        <f t="shared" si="581"/>
        <v>-0.45431426132983904</v>
      </c>
      <c r="BG178" s="689">
        <f t="shared" si="581"/>
        <v>0.13667820069204151</v>
      </c>
      <c r="BH178" s="688">
        <f t="shared" si="581"/>
        <v>0.1266924648148309</v>
      </c>
      <c r="BI178" s="688">
        <f t="shared" si="581"/>
        <v>0.24064033492330383</v>
      </c>
      <c r="BJ178" s="688">
        <f t="shared" si="581"/>
        <v>5.7874803183114297E-2</v>
      </c>
      <c r="BK178" s="689">
        <f t="shared" si="581"/>
        <v>0.33951456640717947</v>
      </c>
      <c r="BL178" s="688">
        <f t="shared" si="581"/>
        <v>3.3934121530428761E-2</v>
      </c>
      <c r="BM178" s="688">
        <f t="shared" si="581"/>
        <v>0.35676102821549754</v>
      </c>
      <c r="BN178" s="688">
        <f t="shared" si="581"/>
        <v>9.3893774842728761E-2</v>
      </c>
      <c r="BO178" s="689">
        <f t="shared" si="581"/>
        <v>0.52142233691320916</v>
      </c>
      <c r="BP178" s="688">
        <f t="shared" si="581"/>
        <v>-0.42849244378916246</v>
      </c>
      <c r="BQ178" s="688">
        <f t="shared" si="581"/>
        <v>0.78545675890808575</v>
      </c>
      <c r="BR178" s="688">
        <f t="shared" si="581"/>
        <v>0.4271533531342816</v>
      </c>
      <c r="BS178" s="689">
        <f t="shared" si="581"/>
        <v>0.45270683410940271</v>
      </c>
      <c r="BT178" s="690">
        <f t="shared" si="581"/>
        <v>-0.25137039937353167</v>
      </c>
      <c r="BU178" s="690">
        <f t="shared" si="581"/>
        <v>0.76500000000000024</v>
      </c>
      <c r="BV178" s="690">
        <f t="shared" si="581"/>
        <v>0.58198312236286931</v>
      </c>
      <c r="BW178" s="691">
        <f t="shared" si="581"/>
        <v>0.8984507640067908</v>
      </c>
      <c r="BX178" s="690">
        <f t="shared" si="581"/>
        <v>-0.30488850771869652</v>
      </c>
      <c r="BY178" s="690">
        <f t="shared" si="581"/>
        <v>0.75925925925925952</v>
      </c>
      <c r="BZ178" s="690">
        <f t="shared" si="581"/>
        <v>0.48480902777777807</v>
      </c>
      <c r="CA178" s="691">
        <f t="shared" si="581"/>
        <v>0.36644880174291899</v>
      </c>
      <c r="CB178" s="690">
        <f t="shared" si="581"/>
        <v>-0.34801569995638898</v>
      </c>
      <c r="CC178" s="690">
        <f t="shared" si="581"/>
        <v>0.64745069012060807</v>
      </c>
      <c r="CD178" s="690">
        <f t="shared" si="581"/>
        <v>0.347179711412331</v>
      </c>
      <c r="CE178" s="691">
        <f t="shared" si="581"/>
        <v>0.39692982456140302</v>
      </c>
      <c r="CF178" s="690">
        <f t="shared" si="581"/>
        <v>-0.47247908410391914</v>
      </c>
      <c r="CG178" s="690">
        <f t="shared" si="581"/>
        <v>0.62484831101206906</v>
      </c>
      <c r="CH178" s="690">
        <f t="shared" si="581"/>
        <v>7.5666730091021414E-2</v>
      </c>
      <c r="CI178" s="691">
        <f t="shared" si="581"/>
        <v>1.0731269627635711</v>
      </c>
      <c r="CJ178" s="690">
        <f t="shared" ref="CJ178:CU178" si="582">CJ176/CJ40</f>
        <v>-0.31911966987620322</v>
      </c>
      <c r="CK178" s="690">
        <f t="shared" si="582"/>
        <v>0.90970770274573887</v>
      </c>
      <c r="CL178" s="690">
        <f t="shared" si="582"/>
        <v>0.51832377459464973</v>
      </c>
      <c r="CM178" s="691">
        <f t="shared" si="582"/>
        <v>1.403309692671395</v>
      </c>
      <c r="CN178" s="690">
        <f t="shared" si="582"/>
        <v>-0.33264856103582802</v>
      </c>
      <c r="CO178" s="690">
        <f t="shared" si="582"/>
        <v>1.0194913891752333</v>
      </c>
      <c r="CP178" s="690">
        <f t="shared" si="582"/>
        <v>0.42272277063498453</v>
      </c>
      <c r="CQ178" s="691">
        <f t="shared" ref="CQ178" si="583">CQ176/CQ40</f>
        <v>1.8412017167381975</v>
      </c>
      <c r="CR178" s="690">
        <f t="shared" si="582"/>
        <v>-0.47205331944822027</v>
      </c>
      <c r="CS178" s="690">
        <f t="shared" si="582"/>
        <v>1.0914598460528422</v>
      </c>
      <c r="CT178" s="690">
        <f t="shared" si="582"/>
        <v>0.73018762435777163</v>
      </c>
      <c r="CU178" s="692">
        <f t="shared" si="582"/>
        <v>1.5030416643985018</v>
      </c>
      <c r="CV178" s="471"/>
      <c r="CW178" s="686"/>
      <c r="CX178" s="686"/>
      <c r="CY178" s="686"/>
      <c r="CZ178" s="686"/>
      <c r="DA178" s="686"/>
      <c r="DB178" s="686"/>
      <c r="DC178" s="688">
        <f t="shared" ref="DC178:DZ178" si="584">DC176/DC40</f>
        <v>0.58734655335221919</v>
      </c>
      <c r="DD178" s="688">
        <f t="shared" si="584"/>
        <v>0.45746691871455492</v>
      </c>
      <c r="DE178" s="688">
        <f t="shared" si="584"/>
        <v>0.57209302325581324</v>
      </c>
      <c r="DF178" s="688">
        <f t="shared" si="584"/>
        <v>0.61767399267399281</v>
      </c>
      <c r="DG178" s="688">
        <f t="shared" si="584"/>
        <v>0.98097345132743363</v>
      </c>
      <c r="DH178" s="688">
        <f t="shared" si="584"/>
        <v>0.65271477932750388</v>
      </c>
      <c r="DI178" s="688">
        <f t="shared" si="584"/>
        <v>0.74963553393200666</v>
      </c>
      <c r="DJ178" s="688">
        <f t="shared" si="584"/>
        <v>1.3136177525086434</v>
      </c>
      <c r="DK178" s="688">
        <f t="shared" si="584"/>
        <v>0.13277916178351054</v>
      </c>
      <c r="DL178" s="688">
        <f t="shared" si="584"/>
        <v>0.76535629687272877</v>
      </c>
      <c r="DM178" s="688">
        <f t="shared" si="584"/>
        <v>1.0121551225159173</v>
      </c>
      <c r="DN178" s="688">
        <f t="shared" si="584"/>
        <v>1.2240402279166795</v>
      </c>
      <c r="DO178" s="690">
        <f t="shared" si="584"/>
        <v>1.9415036045314107</v>
      </c>
      <c r="DP178" s="690">
        <f t="shared" si="584"/>
        <v>1.3011996109369941</v>
      </c>
      <c r="DQ178" s="690">
        <f t="shared" si="584"/>
        <v>1.043170574551967</v>
      </c>
      <c r="DR178" s="690">
        <f t="shared" si="584"/>
        <v>1.2878265821410446</v>
      </c>
      <c r="DS178" s="690">
        <f t="shared" si="584"/>
        <v>2.488753286226395</v>
      </c>
      <c r="DT178" s="690">
        <f t="shared" si="584"/>
        <v>2.9383238574796886</v>
      </c>
      <c r="DU178" s="690">
        <f t="shared" si="584"/>
        <v>2.8466847537585847</v>
      </c>
      <c r="DV178" s="690">
        <f t="shared" si="584"/>
        <v>3.9457917836510559</v>
      </c>
      <c r="DW178" s="690">
        <f t="shared" si="584"/>
        <v>4.030221940445287</v>
      </c>
      <c r="DX178" s="690">
        <f t="shared" si="584"/>
        <v>4.0789244377058287</v>
      </c>
      <c r="DY178" s="690">
        <f t="shared" si="584"/>
        <v>4.0957250802467842</v>
      </c>
      <c r="DZ178" s="690">
        <f t="shared" si="584"/>
        <v>4.0532346351056363</v>
      </c>
      <c r="EA178" s="675"/>
      <c r="EB178"/>
      <c r="EC178"/>
      <c r="ED178"/>
      <c r="EE178"/>
      <c r="EF178"/>
      <c r="EG178"/>
    </row>
    <row r="179" spans="1:137" s="418" customFormat="1">
      <c r="A179" s="411"/>
      <c r="B179" s="412" t="s">
        <v>293</v>
      </c>
      <c r="C179" s="898"/>
      <c r="D179" s="413"/>
      <c r="E179" s="414"/>
      <c r="F179" s="414"/>
      <c r="G179" s="415"/>
      <c r="H179" s="414"/>
      <c r="I179" s="414"/>
      <c r="J179" s="414"/>
      <c r="K179" s="415"/>
      <c r="L179" s="414"/>
      <c r="M179" s="414"/>
      <c r="N179" s="414"/>
      <c r="O179" s="415"/>
      <c r="P179" s="414"/>
      <c r="Q179" s="414"/>
      <c r="R179" s="414"/>
      <c r="S179" s="415"/>
      <c r="T179" s="414"/>
      <c r="U179" s="414"/>
      <c r="V179" s="414"/>
      <c r="W179" s="415"/>
      <c r="X179" s="414"/>
      <c r="Y179" s="414"/>
      <c r="Z179" s="414"/>
      <c r="AA179" s="415"/>
      <c r="AB179" s="414">
        <f t="shared" ref="AB179" si="585">AB178/X178-1</f>
        <v>2.1181749049430061</v>
      </c>
      <c r="AC179" s="414">
        <f t="shared" ref="AC179" si="586">AC178/Y178-1</f>
        <v>0.79512195121951446</v>
      </c>
      <c r="AD179" s="414">
        <f t="shared" ref="AD179" si="587">AD178/Z178-1</f>
        <v>1.8011285487568314</v>
      </c>
      <c r="AE179" s="415">
        <f t="shared" ref="AE179" si="588">AE178/AA178-1</f>
        <v>-0.89398509021150618</v>
      </c>
      <c r="AF179" s="414">
        <f t="shared" ref="AF179" si="589">AF178/AB178-1</f>
        <v>-1.3991579153509059</v>
      </c>
      <c r="AG179" s="414">
        <f t="shared" ref="AG179" si="590">AG178/AC178-1</f>
        <v>-0.19958178438661733</v>
      </c>
      <c r="AH179" s="414">
        <f t="shared" ref="AH179" si="591">AH178/AD178-1</f>
        <v>-0.35976207996075604</v>
      </c>
      <c r="AI179" s="415">
        <f t="shared" ref="AI179" si="592">AI178/AE178-1</f>
        <v>3.4271509831146441</v>
      </c>
      <c r="AJ179" s="414">
        <f t="shared" ref="AJ179" si="593">AJ178/AF178-1</f>
        <v>-0.37331487722676415</v>
      </c>
      <c r="AK179" s="414">
        <f t="shared" ref="AK179" si="594">AK178/AG178-1</f>
        <v>0.43747300349257867</v>
      </c>
      <c r="AL179" s="414">
        <f t="shared" ref="AL179" si="595">AL178/AH178-1</f>
        <v>0.28583294877711563</v>
      </c>
      <c r="AM179" s="415">
        <f t="shared" ref="AM179" si="596">AM178/AI178-1</f>
        <v>-0.51748413601558607</v>
      </c>
      <c r="AN179" s="414">
        <f t="shared" ref="AN179" si="597">AN178/AJ178-1</f>
        <v>5.4300366300366143</v>
      </c>
      <c r="AO179" s="414">
        <f t="shared" ref="AO179" si="598">AO178/AK178-1</f>
        <v>0.23286734476602278</v>
      </c>
      <c r="AP179" s="414">
        <f t="shared" ref="AP179" si="599">AP178/AL178-1</f>
        <v>1.1317829457364272</v>
      </c>
      <c r="AQ179" s="415">
        <f t="shared" ref="AQ179" si="600">AQ178/AM178-1</f>
        <v>0.45522232930816653</v>
      </c>
      <c r="AR179" s="414">
        <f t="shared" ref="AR179" si="601">AR178/AN178-1</f>
        <v>-1.1608111506772414</v>
      </c>
      <c r="AS179" s="414">
        <f t="shared" ref="AS179" si="602">AS178/AO178-1</f>
        <v>-0.19013154835871293</v>
      </c>
      <c r="AT179" s="414">
        <f t="shared" ref="AT179" si="603">AT178/AP178-1</f>
        <v>-0.7303550614964418</v>
      </c>
      <c r="AU179" s="415">
        <f t="shared" ref="AU179" si="604">AU178/AQ178-1</f>
        <v>0.68746597926534148</v>
      </c>
      <c r="AV179" s="414">
        <f t="shared" ref="AV179" si="605">AV178/AR178-1</f>
        <v>0.15061076810459739</v>
      </c>
      <c r="AW179" s="414">
        <f t="shared" ref="AW179" si="606">AW178/AS178-1</f>
        <v>0.35097576716196599</v>
      </c>
      <c r="AX179" s="414">
        <f t="shared" ref="AX179" si="607">AX178/AT178-1</f>
        <v>-0.57485704359139955</v>
      </c>
      <c r="AY179" s="415">
        <f t="shared" ref="AY179" si="608">AY178/AU178-1</f>
        <v>-1.2077315157987822E-2</v>
      </c>
      <c r="AZ179" s="414">
        <f t="shared" ref="AZ179" si="609">AZ178/AV178-1</f>
        <v>-5.7901686006826676</v>
      </c>
      <c r="BA179" s="414">
        <f t="shared" ref="BA179" si="610">BA178/AW178-1</f>
        <v>-0.39666642221769632</v>
      </c>
      <c r="BB179" s="414">
        <f t="shared" ref="BB179" si="611">BB178/AX178-1</f>
        <v>9.4334209305402492</v>
      </c>
      <c r="BC179" s="415">
        <f t="shared" ref="BC179" si="612">BC178/AY178-1</f>
        <v>1.8768249937857786</v>
      </c>
      <c r="BD179" s="414">
        <f t="shared" ref="BD179" si="613">BD178/AZ178-1</f>
        <v>-1.0366412366479896</v>
      </c>
      <c r="BE179" s="414">
        <f t="shared" ref="BE179" si="614">BE178/BA178-1</f>
        <v>0.37459733950626872</v>
      </c>
      <c r="BF179" s="414">
        <f t="shared" ref="BF179" si="615">BF178/BB178-1</f>
        <v>-2.5193658868847861</v>
      </c>
      <c r="BG179" s="415">
        <f t="shared" ref="BG179" si="616">BG178/BC178-1</f>
        <v>-0.76583589946606079</v>
      </c>
      <c r="BH179" s="414">
        <f t="shared" ref="BH179" si="617">BH178/BD178-1</f>
        <v>-34.352776748341995</v>
      </c>
      <c r="BI179" s="414">
        <f t="shared" ref="BI179" si="618">BI178/BE178-1</f>
        <v>-0.46148423196804267</v>
      </c>
      <c r="BJ179" s="414">
        <f t="shared" ref="BJ179" si="619">BJ178/BF178-1</f>
        <v>-1.1273893604257699</v>
      </c>
      <c r="BK179" s="415">
        <f t="shared" ref="BK179" si="620">BK178/BG178-1</f>
        <v>1.4840432833335413</v>
      </c>
      <c r="BL179" s="414">
        <f t="shared" ref="BL179" si="621">BL178/BH178-1</f>
        <v>-0.73215359271740721</v>
      </c>
      <c r="BM179" s="414">
        <f t="shared" ref="BM179" si="622">BM178/BI178-1</f>
        <v>0.48254875197544655</v>
      </c>
      <c r="BN179" s="414">
        <f t="shared" ref="BN179" si="623">BN178/BJ178-1</f>
        <v>0.62236015810976353</v>
      </c>
      <c r="BO179" s="415">
        <f t="shared" ref="BO179" si="624">BO178/BK178-1</f>
        <v>0.53578782327668351</v>
      </c>
      <c r="BP179" s="414">
        <f t="shared" ref="BP179" si="625">BP178/BL178-1</f>
        <v>-13.627185395235085</v>
      </c>
      <c r="BQ179" s="414">
        <f t="shared" ref="BQ179" si="626">BQ178/BM178-1</f>
        <v>1.2016327367282935</v>
      </c>
      <c r="BR179" s="414">
        <f t="shared" ref="BR179" si="627">BR178/BN178-1</f>
        <v>3.5493255953311031</v>
      </c>
      <c r="BS179" s="415">
        <f t="shared" ref="BS179" si="628">BS178/BO178-1</f>
        <v>-0.13178473176005145</v>
      </c>
      <c r="BT179" s="414">
        <f t="shared" ref="BT179" si="629">BT178/BP178-1</f>
        <v>-0.41336095182761912</v>
      </c>
      <c r="BU179" s="414">
        <f t="shared" ref="BU179" si="630">BU178/BQ178-1</f>
        <v>-2.604441132637747E-2</v>
      </c>
      <c r="BV179" s="414">
        <f t="shared" ref="BV179" si="631">BV178/BR178-1</f>
        <v>0.36246881381711837</v>
      </c>
      <c r="BW179" s="415">
        <f t="shared" ref="BW179" si="632">BW178/BS178-1</f>
        <v>0.98461939673229693</v>
      </c>
      <c r="BX179" s="414">
        <f t="shared" ref="BX179" si="633">BX178/BT178-1</f>
        <v>0.21290537182796121</v>
      </c>
      <c r="BY179" s="414">
        <f t="shared" ref="BY179" si="634">BY178/BU178-1</f>
        <v>-7.5042362624061498E-3</v>
      </c>
      <c r="BZ179" s="414">
        <f t="shared" ref="BZ179" si="635">BZ178/BV178-1</f>
        <v>-0.16697064030063524</v>
      </c>
      <c r="CA179" s="415">
        <f t="shared" ref="CA179" si="636">CA178/BW178-1</f>
        <v>-0.59213257262014052</v>
      </c>
      <c r="CB179" s="414">
        <f t="shared" ref="CB179" si="637">CB178/BX178-1</f>
        <v>0.14145233797229073</v>
      </c>
      <c r="CC179" s="414">
        <f t="shared" ref="CC179" si="638">CC178/BY178-1</f>
        <v>-0.14726006667041891</v>
      </c>
      <c r="CD179" s="414">
        <f t="shared" ref="CD179" si="639">CD178/BZ178-1</f>
        <v>-0.28388356750760058</v>
      </c>
      <c r="CE179" s="415">
        <f t="shared" ref="CE179" si="640">CE178/CA178-1</f>
        <v>8.3179485574816692E-2</v>
      </c>
      <c r="CF179" s="414">
        <f t="shared" ref="CF179" si="641">CF178/CB178-1</f>
        <v>0.35763726798281548</v>
      </c>
      <c r="CG179" s="414">
        <f t="shared" ref="CG179" si="642">CG178/CC178-1</f>
        <v>-3.4909807732738107E-2</v>
      </c>
      <c r="CH179" s="414">
        <f t="shared" ref="CH179" si="643">CH178/CD178-1</f>
        <v>-0.78205313385621444</v>
      </c>
      <c r="CI179" s="415">
        <f t="shared" ref="CI179" si="644">CI178/CE178-1</f>
        <v>1.7035684807745248</v>
      </c>
      <c r="CJ179" s="414">
        <f t="shared" ref="CJ179" si="645">CJ178/CF178-1</f>
        <v>-0.32458455704673139</v>
      </c>
      <c r="CK179" s="414">
        <f t="shared" ref="CK179" si="646">CK178/CG178-1</f>
        <v>0.45588567131162128</v>
      </c>
      <c r="CL179" s="414">
        <f t="shared" ref="CL179" si="647">CL178/CH178-1</f>
        <v>5.8500881955800788</v>
      </c>
      <c r="CM179" s="415">
        <f t="shared" ref="CM179" si="648">CM178/CI178-1</f>
        <v>0.30768281980122891</v>
      </c>
      <c r="CN179" s="414">
        <f t="shared" ref="CN179" si="649">CN178/CJ178-1</f>
        <v>4.2394413245893325E-2</v>
      </c>
      <c r="CO179" s="414">
        <f t="shared" ref="CO179" si="650">CO178/CK178-1</f>
        <v>0.12068017682837917</v>
      </c>
      <c r="CP179" s="414">
        <f t="shared" ref="CP179:CQ179" si="651">CP178/CL178-1</f>
        <v>-0.1844426372964062</v>
      </c>
      <c r="CQ179" s="415">
        <f t="shared" si="651"/>
        <v>0.31204232847078406</v>
      </c>
      <c r="CR179" s="414">
        <f>CR178/CN178-1</f>
        <v>0.41907518847609748</v>
      </c>
      <c r="CS179" s="414">
        <f>CS178/CO178-1</f>
        <v>7.0592510777193862E-2</v>
      </c>
      <c r="CT179" s="414">
        <f>CT178/CP178-1</f>
        <v>0.72734395940141794</v>
      </c>
      <c r="CU179" s="415">
        <f>CU178/CQ178-1</f>
        <v>-0.18366268576957834</v>
      </c>
      <c r="CV179" s="416"/>
      <c r="CW179" s="414"/>
      <c r="CX179" s="414"/>
      <c r="CY179" s="414"/>
      <c r="CZ179" s="414"/>
      <c r="DA179" s="414"/>
      <c r="DB179" s="414"/>
      <c r="DC179" s="414"/>
      <c r="DD179" s="414">
        <f t="shared" ref="DD179" si="652">DD178/DC178-1</f>
        <v>-0.22112947440721298</v>
      </c>
      <c r="DE179" s="414">
        <f t="shared" ref="DE179" si="653">DE178/DD178-1</f>
        <v>0.25056698058812299</v>
      </c>
      <c r="DF179" s="414">
        <f t="shared" ref="DF179" si="654">DF178/DE178-1</f>
        <v>7.9674052235029436E-2</v>
      </c>
      <c r="DG179" s="414">
        <f t="shared" ref="DG179" si="655">DG178/DF178-1</f>
        <v>0.58817347494374683</v>
      </c>
      <c r="DH179" s="414">
        <f t="shared" ref="DH179" si="656">DH178/DG178-1</f>
        <v>-0.3346254392060628</v>
      </c>
      <c r="DI179" s="414">
        <f t="shared" ref="DI179" si="657">DI178/DH178-1</f>
        <v>0.14848867786379971</v>
      </c>
      <c r="DJ179" s="414">
        <f t="shared" ref="DJ179" si="658">DJ178/DI178-1</f>
        <v>0.75234189555879705</v>
      </c>
      <c r="DK179" s="414">
        <f t="shared" ref="DK179" si="659">DK178/DJ178-1</f>
        <v>-0.89892100534577934</v>
      </c>
      <c r="DL179" s="414">
        <f t="shared" ref="DL179" si="660">DL178/DK178-1</f>
        <v>4.7641296013044734</v>
      </c>
      <c r="DM179" s="414">
        <f t="shared" ref="DM179" si="661">DM178/DL178-1</f>
        <v>0.32246265778646732</v>
      </c>
      <c r="DN179" s="414">
        <f t="shared" ref="DN179" si="662">DN178/DM178-1</f>
        <v>0.20934054542358949</v>
      </c>
      <c r="DO179" s="414">
        <f t="shared" ref="DO179" si="663">DO178/DN178-1</f>
        <v>0.58614362522697161</v>
      </c>
      <c r="DP179" s="414">
        <f t="shared" ref="DP179" si="664">DP178/DO178-1</f>
        <v>-0.32979799373020291</v>
      </c>
      <c r="DQ179" s="414">
        <f t="shared" ref="DQ179" si="665">DQ178/DP178-1</f>
        <v>-0.19830088651749622</v>
      </c>
      <c r="DR179" s="414">
        <f t="shared" ref="DR179" si="666">DR178/DQ178-1</f>
        <v>0.23453116255139306</v>
      </c>
      <c r="DS179" s="414">
        <f t="shared" ref="DS179" si="667">DS178/DR178-1</f>
        <v>0.93252206526811943</v>
      </c>
      <c r="DT179" s="414">
        <f t="shared" ref="DT179" si="668">DT178/DS178-1</f>
        <v>0.18064087498803905</v>
      </c>
      <c r="DU179" s="414">
        <f>DU178/DT178-1</f>
        <v>-3.1187543703812937E-2</v>
      </c>
      <c r="DV179" s="414">
        <f>(DV178-DU178)/DU178</f>
        <v>0.38610071889459446</v>
      </c>
      <c r="DW179" s="414">
        <f>(DW178-DV178)/DV178</f>
        <v>2.1397519540706129E-2</v>
      </c>
      <c r="DX179" s="414">
        <f t="shared" ref="DX179:DZ179" si="669">(DX178-DW178)/DW178</f>
        <v>1.2084321404681913E-2</v>
      </c>
      <c r="DY179" s="414">
        <f t="shared" si="669"/>
        <v>4.1188903588527661E-3</v>
      </c>
      <c r="DZ179" s="414">
        <f t="shared" si="669"/>
        <v>-1.0374340149458381E-2</v>
      </c>
      <c r="EA179" s="417"/>
      <c r="EB179"/>
      <c r="EC179"/>
      <c r="ED179"/>
      <c r="EE179"/>
      <c r="EF179"/>
      <c r="EG179"/>
    </row>
    <row r="180" spans="1:137" s="418" customFormat="1">
      <c r="A180" s="411"/>
      <c r="B180" s="412"/>
      <c r="C180" s="898"/>
      <c r="D180" s="413"/>
      <c r="E180" s="414"/>
      <c r="F180" s="414"/>
      <c r="G180" s="415"/>
      <c r="H180" s="414"/>
      <c r="I180" s="414"/>
      <c r="J180" s="414"/>
      <c r="K180" s="415"/>
      <c r="L180" s="414"/>
      <c r="M180" s="414"/>
      <c r="N180" s="414"/>
      <c r="O180" s="415"/>
      <c r="P180" s="414"/>
      <c r="Q180" s="414"/>
      <c r="R180" s="414"/>
      <c r="S180" s="415"/>
      <c r="T180" s="414"/>
      <c r="U180" s="414"/>
      <c r="V180" s="414"/>
      <c r="W180" s="415"/>
      <c r="X180" s="414"/>
      <c r="Y180" s="414"/>
      <c r="Z180" s="414"/>
      <c r="AA180" s="415"/>
      <c r="AB180" s="414"/>
      <c r="AC180" s="414"/>
      <c r="AD180" s="414"/>
      <c r="AE180" s="415"/>
      <c r="AF180" s="414"/>
      <c r="AG180" s="414"/>
      <c r="AH180" s="414"/>
      <c r="AI180" s="415"/>
      <c r="AJ180" s="414"/>
      <c r="AK180" s="414"/>
      <c r="AL180" s="414"/>
      <c r="AM180" s="415"/>
      <c r="AN180" s="414"/>
      <c r="AO180" s="414"/>
      <c r="AP180" s="414"/>
      <c r="AQ180" s="415"/>
      <c r="AR180" s="414"/>
      <c r="AS180" s="414"/>
      <c r="AT180" s="414"/>
      <c r="AU180" s="415"/>
      <c r="AV180" s="414"/>
      <c r="AW180" s="414"/>
      <c r="AX180" s="414"/>
      <c r="AY180" s="415"/>
      <c r="AZ180" s="414"/>
      <c r="BA180" s="414"/>
      <c r="BB180" s="414"/>
      <c r="BC180" s="415"/>
      <c r="BD180" s="414"/>
      <c r="BE180" s="414"/>
      <c r="BF180" s="414"/>
      <c r="BG180" s="415"/>
      <c r="BH180" s="414"/>
      <c r="BI180" s="414"/>
      <c r="BJ180" s="414"/>
      <c r="BK180" s="415"/>
      <c r="BL180" s="414"/>
      <c r="BM180" s="414"/>
      <c r="BN180" s="414"/>
      <c r="BO180" s="415"/>
      <c r="BP180" s="414"/>
      <c r="BQ180" s="414"/>
      <c r="BR180" s="414"/>
      <c r="BS180" s="415"/>
      <c r="BT180" s="414"/>
      <c r="BU180" s="414"/>
      <c r="BV180" s="414"/>
      <c r="BW180" s="415"/>
      <c r="BX180" s="414"/>
      <c r="BY180" s="414"/>
      <c r="BZ180" s="414"/>
      <c r="CA180" s="415"/>
      <c r="CB180" s="414"/>
      <c r="CC180" s="414"/>
      <c r="CD180" s="414"/>
      <c r="CE180" s="415"/>
      <c r="CF180" s="414"/>
      <c r="CG180" s="414"/>
      <c r="CH180" s="414"/>
      <c r="CI180" s="415"/>
      <c r="CJ180" s="414"/>
      <c r="CK180" s="414"/>
      <c r="CL180" s="414"/>
      <c r="CM180" s="415"/>
      <c r="CN180" s="414"/>
      <c r="CO180" s="414"/>
      <c r="CP180" s="414"/>
      <c r="CQ180" s="415"/>
      <c r="CR180" s="414"/>
      <c r="CS180" s="414"/>
      <c r="CT180" s="414"/>
      <c r="CU180" s="415"/>
      <c r="CV180" s="416"/>
      <c r="CW180" s="414"/>
      <c r="CX180" s="414"/>
      <c r="CY180" s="414"/>
      <c r="CZ180" s="414"/>
      <c r="DA180" s="414"/>
      <c r="DB180" s="414"/>
      <c r="DC180" s="414"/>
      <c r="DD180" s="414"/>
      <c r="DE180" s="414"/>
      <c r="DF180" s="414"/>
      <c r="DG180" s="414"/>
      <c r="DH180" s="414"/>
      <c r="DI180" s="414"/>
      <c r="DJ180" s="414"/>
      <c r="DK180" s="414"/>
      <c r="DL180" s="414"/>
      <c r="DM180" s="414"/>
      <c r="DN180" s="414"/>
      <c r="DO180" s="414"/>
      <c r="DP180" s="414"/>
      <c r="DQ180" s="414"/>
      <c r="DR180" s="414"/>
      <c r="DS180" s="414"/>
      <c r="DT180" s="414"/>
      <c r="DU180" s="414"/>
      <c r="DV180" s="414"/>
      <c r="DW180" s="414"/>
      <c r="DX180" s="414"/>
      <c r="DY180" s="414"/>
      <c r="DZ180" s="414"/>
      <c r="EA180" s="417"/>
      <c r="EB180"/>
      <c r="EC180"/>
      <c r="ED180"/>
      <c r="EE180"/>
      <c r="EF180"/>
      <c r="EG180"/>
    </row>
    <row r="181" spans="1:137">
      <c r="A181" s="374"/>
      <c r="B181" s="698" t="s">
        <v>367</v>
      </c>
      <c r="C181" s="901"/>
      <c r="D181" s="579"/>
      <c r="E181" s="580"/>
      <c r="F181" s="580"/>
      <c r="G181" s="581"/>
      <c r="H181" s="580"/>
      <c r="I181" s="580"/>
      <c r="J181" s="580"/>
      <c r="K181" s="581"/>
      <c r="L181" s="580"/>
      <c r="M181" s="580"/>
      <c r="N181" s="580"/>
      <c r="O181" s="581"/>
      <c r="P181" s="580"/>
      <c r="Q181" s="580"/>
      <c r="R181" s="580"/>
      <c r="S181" s="581"/>
      <c r="T181" s="580"/>
      <c r="U181" s="580"/>
      <c r="V181" s="580"/>
      <c r="W181" s="581"/>
      <c r="X181" s="580"/>
      <c r="Y181" s="580"/>
      <c r="Z181" s="580"/>
      <c r="AA181" s="581"/>
      <c r="AB181" s="580"/>
      <c r="AC181" s="580"/>
      <c r="AD181" s="580"/>
      <c r="AE181" s="581"/>
      <c r="AF181" s="580"/>
      <c r="AG181" s="580"/>
      <c r="AH181" s="580"/>
      <c r="AI181" s="581"/>
      <c r="AJ181" s="580"/>
      <c r="AK181" s="580"/>
      <c r="AL181" s="580"/>
      <c r="AM181" s="581"/>
      <c r="AN181" s="580"/>
      <c r="AO181" s="580"/>
      <c r="AP181" s="580"/>
      <c r="AQ181" s="581"/>
      <c r="AR181" s="580"/>
      <c r="AS181" s="580"/>
      <c r="AT181" s="580"/>
      <c r="AU181" s="581"/>
      <c r="AV181" s="580"/>
      <c r="AW181" s="580"/>
      <c r="AX181" s="580"/>
      <c r="AY181" s="581"/>
      <c r="AZ181" s="580"/>
      <c r="BA181" s="580"/>
      <c r="BB181" s="580"/>
      <c r="BC181" s="581"/>
      <c r="BD181" s="580"/>
      <c r="BE181" s="580"/>
      <c r="BF181" s="580"/>
      <c r="BG181" s="581"/>
      <c r="BH181" s="580"/>
      <c r="BI181" s="580"/>
      <c r="BJ181" s="580"/>
      <c r="BK181" s="581"/>
      <c r="BL181" s="580"/>
      <c r="BM181" s="580"/>
      <c r="BN181" s="580"/>
      <c r="BO181" s="581"/>
      <c r="BP181" s="580"/>
      <c r="BQ181" s="580"/>
      <c r="BR181" s="580"/>
      <c r="BS181" s="581"/>
      <c r="BT181" s="580"/>
      <c r="BU181" s="580"/>
      <c r="BV181" s="580"/>
      <c r="BW181" s="581"/>
      <c r="BX181" s="580"/>
      <c r="BY181" s="580"/>
      <c r="BZ181" s="580"/>
      <c r="CA181" s="581"/>
      <c r="CB181" s="580"/>
      <c r="CC181" s="582"/>
      <c r="CD181" s="582"/>
      <c r="CE181" s="583"/>
      <c r="CF181" s="582"/>
      <c r="CG181" s="582"/>
      <c r="CH181" s="582"/>
      <c r="CI181" s="583"/>
      <c r="CJ181" s="582"/>
      <c r="CK181" s="582"/>
      <c r="CL181" s="582"/>
      <c r="CM181" s="583"/>
      <c r="CN181" s="582"/>
      <c r="CO181" s="582"/>
      <c r="CP181" s="582"/>
      <c r="CQ181" s="583"/>
      <c r="CR181" s="582"/>
      <c r="CS181" s="582"/>
      <c r="CT181" s="582"/>
      <c r="CU181" s="583"/>
      <c r="CV181" s="376"/>
      <c r="CW181" s="584"/>
      <c r="CX181" s="580"/>
      <c r="CY181" s="580"/>
      <c r="CZ181" s="580"/>
      <c r="DA181" s="580"/>
      <c r="DB181" s="580"/>
      <c r="DC181" s="580"/>
      <c r="DD181" s="580"/>
      <c r="DE181" s="580"/>
      <c r="DF181" s="580"/>
      <c r="DG181" s="580"/>
      <c r="DH181" s="580"/>
      <c r="DI181" s="580"/>
      <c r="DJ181" s="580"/>
      <c r="DK181" s="580"/>
      <c r="DL181" s="580"/>
      <c r="DM181" s="580"/>
      <c r="DN181" s="580"/>
      <c r="DO181" s="580"/>
      <c r="DP181" s="582"/>
      <c r="DQ181" s="582"/>
      <c r="DR181" s="582"/>
      <c r="DS181" s="582"/>
      <c r="DT181" s="582"/>
      <c r="DU181" s="582"/>
      <c r="DV181" s="582"/>
      <c r="DW181" s="582"/>
      <c r="DX181" s="582"/>
      <c r="DY181" s="582"/>
      <c r="DZ181" s="582"/>
      <c r="EA181" s="585"/>
    </row>
    <row r="182" spans="1:137" s="599" customFormat="1">
      <c r="A182" s="593"/>
      <c r="B182" s="697" t="s">
        <v>363</v>
      </c>
      <c r="C182" s="915"/>
      <c r="D182" s="595"/>
      <c r="E182" s="596"/>
      <c r="F182" s="596"/>
      <c r="G182" s="597"/>
      <c r="H182" s="596">
        <f t="shared" ref="H182:S182" si="670">-H152/H9</f>
        <v>3.3247348810547438E-2</v>
      </c>
      <c r="I182" s="596">
        <f t="shared" si="670"/>
        <v>5.3431115767417492E-2</v>
      </c>
      <c r="J182" s="596">
        <f t="shared" si="670"/>
        <v>6.6546298684549907E-2</v>
      </c>
      <c r="K182" s="597">
        <f t="shared" si="670"/>
        <v>8.0863172871709771E-2</v>
      </c>
      <c r="L182" s="596">
        <f t="shared" si="670"/>
        <v>5.2762119503945881E-2</v>
      </c>
      <c r="M182" s="596">
        <f t="shared" si="670"/>
        <v>8.0275739381810096E-2</v>
      </c>
      <c r="N182" s="596">
        <f t="shared" si="670"/>
        <v>7.128810226155359E-2</v>
      </c>
      <c r="O182" s="597">
        <f t="shared" si="670"/>
        <v>5.0107066381156314E-2</v>
      </c>
      <c r="P182" s="596">
        <f t="shared" si="670"/>
        <v>6.3481816225521848E-2</v>
      </c>
      <c r="Q182" s="596">
        <f t="shared" si="670"/>
        <v>5.8054509195656995E-2</v>
      </c>
      <c r="R182" s="596">
        <f t="shared" si="670"/>
        <v>5.3521779425393864E-2</v>
      </c>
      <c r="S182" s="597">
        <f t="shared" si="670"/>
        <v>8.8716271463614077E-2</v>
      </c>
      <c r="T182" s="596"/>
      <c r="U182" s="596">
        <f t="shared" ref="U182:AZ182" si="671">-U152/U9</f>
        <v>4.2759051186017479E-2</v>
      </c>
      <c r="V182" s="596">
        <f t="shared" si="671"/>
        <v>5.172121417670001E-2</v>
      </c>
      <c r="W182" s="597">
        <f t="shared" si="671"/>
        <v>5.1566193853427894E-2</v>
      </c>
      <c r="X182" s="596">
        <f t="shared" si="671"/>
        <v>3.8756505067104902E-2</v>
      </c>
      <c r="Y182" s="596">
        <f t="shared" si="671"/>
        <v>7.176487373377087E-2</v>
      </c>
      <c r="Z182" s="596">
        <f t="shared" si="671"/>
        <v>5.3193209377526279E-2</v>
      </c>
      <c r="AA182" s="597">
        <f t="shared" si="671"/>
        <v>9.3241656884118701E-2</v>
      </c>
      <c r="AB182" s="596">
        <f t="shared" si="671"/>
        <v>2.834541858932103E-2</v>
      </c>
      <c r="AC182" s="596">
        <f t="shared" si="671"/>
        <v>5.5481727574750839E-2</v>
      </c>
      <c r="AD182" s="596">
        <f t="shared" si="671"/>
        <v>7.608501518128237E-2</v>
      </c>
      <c r="AE182" s="597">
        <f t="shared" si="671"/>
        <v>8.1846259437199739E-2</v>
      </c>
      <c r="AF182" s="596">
        <f t="shared" si="671"/>
        <v>4.1173686701372461E-2</v>
      </c>
      <c r="AG182" s="596">
        <f t="shared" si="671"/>
        <v>4.0988208871420545E-2</v>
      </c>
      <c r="AH182" s="596">
        <f t="shared" si="671"/>
        <v>3.815789473684212E-2</v>
      </c>
      <c r="AI182" s="597">
        <f t="shared" si="671"/>
        <v>8.1335616438356156E-2</v>
      </c>
      <c r="AJ182" s="596">
        <f t="shared" si="671"/>
        <v>3.2615701946628849E-2</v>
      </c>
      <c r="AK182" s="596">
        <f t="shared" si="671"/>
        <v>5.1332033788174136E-2</v>
      </c>
      <c r="AL182" s="596">
        <f t="shared" si="671"/>
        <v>5.4191947049089896E-2</v>
      </c>
      <c r="AM182" s="597">
        <f t="shared" si="671"/>
        <v>8.5002503755633438E-2</v>
      </c>
      <c r="AN182" s="596">
        <f t="shared" si="671"/>
        <v>4.4845532056250692E-2</v>
      </c>
      <c r="AO182" s="596">
        <f t="shared" si="671"/>
        <v>4.8925212718316166E-2</v>
      </c>
      <c r="AP182" s="596">
        <f t="shared" si="671"/>
        <v>5.0607287449392718E-2</v>
      </c>
      <c r="AQ182" s="597">
        <f t="shared" si="671"/>
        <v>8.7944219523166889E-2</v>
      </c>
      <c r="AR182" s="596">
        <f t="shared" si="671"/>
        <v>4.5500692201199816E-2</v>
      </c>
      <c r="AS182" s="596">
        <f t="shared" si="671"/>
        <v>4.4898326435126867E-2</v>
      </c>
      <c r="AT182" s="596">
        <f t="shared" si="671"/>
        <v>4.8529831572937464E-2</v>
      </c>
      <c r="AU182" s="597">
        <f t="shared" si="671"/>
        <v>9.2080152671755719E-2</v>
      </c>
      <c r="AV182" s="596">
        <f t="shared" si="671"/>
        <v>4.5966066481994458E-2</v>
      </c>
      <c r="AW182" s="596">
        <f t="shared" si="671"/>
        <v>5.1424659878497474E-2</v>
      </c>
      <c r="AX182" s="596">
        <f t="shared" si="671"/>
        <v>2.9111306745588116E-2</v>
      </c>
      <c r="AY182" s="597">
        <f t="shared" si="671"/>
        <v>0.10339339028961114</v>
      </c>
      <c r="AZ182" s="596">
        <f t="shared" si="671"/>
        <v>4.562529347315699E-2</v>
      </c>
      <c r="BA182" s="596">
        <f t="shared" ref="BA182:BW182" si="672">-BA152/BA9</f>
        <v>4.7057098878545776E-2</v>
      </c>
      <c r="BB182" s="596">
        <f t="shared" si="672"/>
        <v>5.4887332521315467E-2</v>
      </c>
      <c r="BC182" s="597">
        <f t="shared" si="672"/>
        <v>7.2328647388739148E-2</v>
      </c>
      <c r="BD182" s="596">
        <f t="shared" si="672"/>
        <v>5.0303555941023419E-2</v>
      </c>
      <c r="BE182" s="596">
        <f t="shared" si="672"/>
        <v>5.7233284979559533E-2</v>
      </c>
      <c r="BF182" s="596">
        <f t="shared" si="672"/>
        <v>7.8517731035006477E-2</v>
      </c>
      <c r="BG182" s="597">
        <f t="shared" si="672"/>
        <v>0.11175523349436389</v>
      </c>
      <c r="BH182" s="596">
        <f t="shared" si="672"/>
        <v>4.710189139719341E-2</v>
      </c>
      <c r="BI182" s="596">
        <f t="shared" si="672"/>
        <v>5.4245797860729091E-2</v>
      </c>
      <c r="BJ182" s="596">
        <f t="shared" si="672"/>
        <v>3.7847830317182342E-2</v>
      </c>
      <c r="BK182" s="597">
        <f t="shared" si="672"/>
        <v>3.7386297254443791E-2</v>
      </c>
      <c r="BL182" s="596">
        <f t="shared" si="672"/>
        <v>4.2974821262045382E-2</v>
      </c>
      <c r="BM182" s="596">
        <f t="shared" si="672"/>
        <v>3.6646268551733842E-2</v>
      </c>
      <c r="BN182" s="596">
        <f t="shared" si="672"/>
        <v>5.6984903253242611E-2</v>
      </c>
      <c r="BO182" s="597">
        <f t="shared" si="672"/>
        <v>5.7910525629320468E-2</v>
      </c>
      <c r="BP182" s="596">
        <f t="shared" si="672"/>
        <v>4.0568654646324552E-2</v>
      </c>
      <c r="BQ182" s="596">
        <f t="shared" si="672"/>
        <v>4.9318231801187599E-2</v>
      </c>
      <c r="BR182" s="596">
        <f t="shared" si="672"/>
        <v>6.3734791829445275E-2</v>
      </c>
      <c r="BS182" s="597">
        <f t="shared" si="672"/>
        <v>6.7429666798218393E-2</v>
      </c>
      <c r="BT182" s="596">
        <f t="shared" si="672"/>
        <v>4.9673202614379082E-2</v>
      </c>
      <c r="BU182" s="596">
        <f t="shared" si="672"/>
        <v>5.0312432665373844E-2</v>
      </c>
      <c r="BV182" s="596">
        <f t="shared" si="672"/>
        <v>5.5804624823029725E-2</v>
      </c>
      <c r="BW182" s="597">
        <f t="shared" si="672"/>
        <v>7.2363445989180375E-2</v>
      </c>
      <c r="BX182" s="596">
        <v>5.1412372089316871E-2</v>
      </c>
      <c r="BY182" s="596">
        <f t="shared" ref="BY182:CP182" si="673">-BY152/BY9</f>
        <v>5.6708379534294313E-2</v>
      </c>
      <c r="BZ182" s="596">
        <f t="shared" si="673"/>
        <v>5.7081164876536354E-2</v>
      </c>
      <c r="CA182" s="597">
        <f t="shared" si="673"/>
        <v>6.3593932322053695E-2</v>
      </c>
      <c r="CB182" s="596">
        <f t="shared" si="673"/>
        <v>6.0553716232426474E-2</v>
      </c>
      <c r="CC182" s="596">
        <f t="shared" si="673"/>
        <v>5.9672280382339564E-2</v>
      </c>
      <c r="CD182" s="596">
        <f t="shared" si="673"/>
        <v>6.9189508390335108E-2</v>
      </c>
      <c r="CE182" s="597">
        <f t="shared" si="673"/>
        <v>8.2885687032481559E-2</v>
      </c>
      <c r="CF182" s="596">
        <f t="shared" si="673"/>
        <v>7.0557403487551656E-2</v>
      </c>
      <c r="CG182" s="596">
        <f t="shared" si="673"/>
        <v>7.1361779615138538E-2</v>
      </c>
      <c r="CH182" s="596">
        <f t="shared" si="673"/>
        <v>7.1019108280254789E-2</v>
      </c>
      <c r="CI182" s="597">
        <f t="shared" si="673"/>
        <v>7.4654985634214091E-2</v>
      </c>
      <c r="CJ182" s="596">
        <f t="shared" si="673"/>
        <v>4.5975491492550473E-2</v>
      </c>
      <c r="CK182" s="596">
        <f t="shared" si="673"/>
        <v>5.5984887515026616E-2</v>
      </c>
      <c r="CL182" s="596">
        <f t="shared" si="673"/>
        <v>5.4240809321651179E-2</v>
      </c>
      <c r="CM182" s="597">
        <f t="shared" si="673"/>
        <v>6.4541832669322716E-2</v>
      </c>
      <c r="CN182" s="596">
        <f t="shared" si="673"/>
        <v>5.4383049439135855E-2</v>
      </c>
      <c r="CO182" s="596">
        <f t="shared" si="673"/>
        <v>5.1596434698916178E-2</v>
      </c>
      <c r="CP182" s="596">
        <f t="shared" si="673"/>
        <v>5.6079794718980211E-2</v>
      </c>
      <c r="CQ182" s="597">
        <f t="shared" ref="CQ182" si="674">-CQ152/CQ9</f>
        <v>6.584441695020106E-2</v>
      </c>
      <c r="CR182" s="642">
        <v>5.5E-2</v>
      </c>
      <c r="CS182" s="642">
        <f>CR182</f>
        <v>5.5E-2</v>
      </c>
      <c r="CT182" s="642">
        <f t="shared" ref="CT182" si="675">CS182</f>
        <v>5.5E-2</v>
      </c>
      <c r="CU182" s="643">
        <v>6.5000000000000002E-2</v>
      </c>
      <c r="CV182" s="598"/>
      <c r="CW182" s="596"/>
      <c r="CX182" s="596">
        <f t="shared" ref="CX182:DU182" si="676">-CX152/CX9</f>
        <v>6.959596719584682E-2</v>
      </c>
      <c r="CY182" s="596">
        <f t="shared" si="676"/>
        <v>5.9671449905850271E-2</v>
      </c>
      <c r="CZ182" s="596">
        <f t="shared" si="676"/>
        <v>6.3327674023769098E-2</v>
      </c>
      <c r="DA182" s="596">
        <f t="shared" si="676"/>
        <v>6.6528745644599305E-2</v>
      </c>
      <c r="DB182" s="596">
        <f t="shared" si="676"/>
        <v>2.261449605466526E-2</v>
      </c>
      <c r="DC182" s="596">
        <f t="shared" si="676"/>
        <v>6.3154314222003863E-2</v>
      </c>
      <c r="DD182" s="596">
        <f t="shared" si="676"/>
        <v>5.9919200510312569E-2</v>
      </c>
      <c r="DE182" s="596">
        <f t="shared" si="676"/>
        <v>5.0675551975394535E-2</v>
      </c>
      <c r="DF182" s="596">
        <f t="shared" si="676"/>
        <v>5.6040662061775055E-2</v>
      </c>
      <c r="DG182" s="596">
        <f t="shared" si="676"/>
        <v>5.8122712960599093E-2</v>
      </c>
      <c r="DH182" s="596">
        <f t="shared" si="676"/>
        <v>5.7454935022590706E-2</v>
      </c>
      <c r="DI182" s="596">
        <f t="shared" si="676"/>
        <v>5.8511798316395525E-2</v>
      </c>
      <c r="DJ182" s="596">
        <f t="shared" si="676"/>
        <v>5.5155200240213184E-2</v>
      </c>
      <c r="DK182" s="596">
        <f t="shared" si="676"/>
        <v>7.0233097133304209E-2</v>
      </c>
      <c r="DL182" s="596">
        <f t="shared" si="676"/>
        <v>4.3414609520924831E-2</v>
      </c>
      <c r="DM182" s="596">
        <f t="shared" si="676"/>
        <v>4.8931502971978499E-2</v>
      </c>
      <c r="DN182" s="596">
        <f t="shared" si="676"/>
        <v>5.5336135044344807E-2</v>
      </c>
      <c r="DO182" s="596">
        <f t="shared" si="676"/>
        <v>5.6715669896424986E-2</v>
      </c>
      <c r="DP182" s="596">
        <f t="shared" si="676"/>
        <v>5.6181588360272164E-2</v>
      </c>
      <c r="DQ182" s="596">
        <f t="shared" si="676"/>
        <v>6.7789671406725982E-2</v>
      </c>
      <c r="DR182" s="596">
        <f t="shared" si="676"/>
        <v>7.1953833881742937E-2</v>
      </c>
      <c r="DS182" s="596">
        <f t="shared" si="676"/>
        <v>5.5186859221695514E-2</v>
      </c>
      <c r="DT182" s="596">
        <f t="shared" si="676"/>
        <v>5.7146939067076227E-2</v>
      </c>
      <c r="DU182" s="596">
        <f t="shared" si="676"/>
        <v>5.7588946158500513E-2</v>
      </c>
      <c r="DV182" s="642">
        <v>0.06</v>
      </c>
      <c r="DW182" s="642">
        <f>DV182</f>
        <v>0.06</v>
      </c>
      <c r="DX182" s="642">
        <f t="shared" ref="DX182:DZ182" si="677">DW182</f>
        <v>0.06</v>
      </c>
      <c r="DY182" s="642">
        <f t="shared" si="677"/>
        <v>0.06</v>
      </c>
      <c r="DZ182" s="642">
        <f t="shared" si="677"/>
        <v>0.06</v>
      </c>
      <c r="EA182" s="594"/>
      <c r="EB182"/>
      <c r="EC182"/>
      <c r="ED182"/>
      <c r="EE182"/>
      <c r="EF182"/>
      <c r="EG182"/>
    </row>
    <row r="183" spans="1:137" s="599" customFormat="1">
      <c r="A183" s="593"/>
      <c r="B183" s="697" t="s">
        <v>364</v>
      </c>
      <c r="C183" s="915"/>
      <c r="D183" s="595"/>
      <c r="E183" s="596"/>
      <c r="F183" s="596"/>
      <c r="G183" s="597"/>
      <c r="H183" s="596">
        <f t="shared" ref="H183:S183" si="678">H130/H9</f>
        <v>5.2737173975351104E-2</v>
      </c>
      <c r="I183" s="596">
        <f t="shared" si="678"/>
        <v>4.5835515976951284E-2</v>
      </c>
      <c r="J183" s="596">
        <f t="shared" si="678"/>
        <v>4.5911787464534434E-2</v>
      </c>
      <c r="K183" s="597">
        <f t="shared" si="678"/>
        <v>4.1735831159592132E-2</v>
      </c>
      <c r="L183" s="596">
        <f t="shared" si="678"/>
        <v>3.7880496054114997E-2</v>
      </c>
      <c r="M183" s="596">
        <f t="shared" si="678"/>
        <v>3.935957304869913E-2</v>
      </c>
      <c r="N183" s="596">
        <f t="shared" si="678"/>
        <v>4.1789577187807278E-2</v>
      </c>
      <c r="O183" s="597">
        <f t="shared" si="678"/>
        <v>4.0471092077087795E-2</v>
      </c>
      <c r="P183" s="596">
        <f t="shared" si="678"/>
        <v>4.153217129330751E-2</v>
      </c>
      <c r="Q183" s="596">
        <f t="shared" si="678"/>
        <v>4.2765344560159541E-2</v>
      </c>
      <c r="R183" s="596">
        <f t="shared" si="678"/>
        <v>4.379054680259499E-2</v>
      </c>
      <c r="S183" s="597">
        <f t="shared" si="678"/>
        <v>3.5363859362224047E-2</v>
      </c>
      <c r="T183" s="596"/>
      <c r="U183" s="596">
        <f t="shared" ref="U183:AZ183" si="679">U130/U9</f>
        <v>3.1991260923845195E-2</v>
      </c>
      <c r="V183" s="596">
        <f t="shared" si="679"/>
        <v>3.866372731897575E-2</v>
      </c>
      <c r="W183" s="597">
        <f t="shared" si="679"/>
        <v>3.3392434988179676E-2</v>
      </c>
      <c r="X183" s="596">
        <f t="shared" si="679"/>
        <v>3.5880580662832097E-2</v>
      </c>
      <c r="Y183" s="596">
        <f t="shared" si="679"/>
        <v>3.6952489656156377E-2</v>
      </c>
      <c r="Z183" s="596">
        <f t="shared" si="679"/>
        <v>4.058205335489086E-2</v>
      </c>
      <c r="AA183" s="597">
        <f t="shared" si="679"/>
        <v>4.192520543350662E-2</v>
      </c>
      <c r="AB183" s="596">
        <f t="shared" si="679"/>
        <v>4.4495715227422551E-2</v>
      </c>
      <c r="AC183" s="596">
        <f t="shared" si="679"/>
        <v>4.2857142857142851E-2</v>
      </c>
      <c r="AD183" s="596">
        <f t="shared" si="679"/>
        <v>4.5722450437578159E-2</v>
      </c>
      <c r="AE183" s="597">
        <f t="shared" si="679"/>
        <v>4.4269045984900481E-2</v>
      </c>
      <c r="AF183" s="596">
        <f t="shared" si="679"/>
        <v>4.2593469001419783E-2</v>
      </c>
      <c r="AG183" s="596">
        <f t="shared" si="679"/>
        <v>3.8180797304884904E-2</v>
      </c>
      <c r="AH183" s="596">
        <f t="shared" si="679"/>
        <v>3.8888888888888883E-2</v>
      </c>
      <c r="AI183" s="597">
        <f t="shared" si="679"/>
        <v>3.8955479452054791E-2</v>
      </c>
      <c r="AJ183" s="596">
        <f t="shared" si="679"/>
        <v>3.8287997937346913E-2</v>
      </c>
      <c r="AK183" s="596">
        <f t="shared" si="679"/>
        <v>3.9636127355425606E-2</v>
      </c>
      <c r="AL183" s="596">
        <f t="shared" si="679"/>
        <v>4.1781577495863212E-2</v>
      </c>
      <c r="AM183" s="597">
        <f t="shared" si="679"/>
        <v>4.2563845768652984E-2</v>
      </c>
      <c r="AN183" s="596">
        <f t="shared" si="679"/>
        <v>3.7315911859151812E-2</v>
      </c>
      <c r="AO183" s="596">
        <f t="shared" si="679"/>
        <v>3.7617554858934164E-2</v>
      </c>
      <c r="AP183" s="596">
        <f t="shared" si="679"/>
        <v>5.1321743272207697E-2</v>
      </c>
      <c r="AQ183" s="597">
        <f t="shared" si="679"/>
        <v>5.2519118308591975E-2</v>
      </c>
      <c r="AR183" s="596">
        <f t="shared" si="679"/>
        <v>3.5071527457314261E-2</v>
      </c>
      <c r="AS183" s="596">
        <f t="shared" si="679"/>
        <v>4.4538420010797192E-2</v>
      </c>
      <c r="AT183" s="596">
        <f t="shared" si="679"/>
        <v>4.8244361975449603E-2</v>
      </c>
      <c r="AU183" s="597">
        <f t="shared" si="679"/>
        <v>4.5229007633587795E-2</v>
      </c>
      <c r="AV183" s="596">
        <f t="shared" si="679"/>
        <v>4.1464681440443213E-2</v>
      </c>
      <c r="AW183" s="596">
        <f t="shared" si="679"/>
        <v>4.107127577650381E-2</v>
      </c>
      <c r="AX183" s="596">
        <f t="shared" si="679"/>
        <v>4.4083128892243813E-2</v>
      </c>
      <c r="AY183" s="597">
        <f t="shared" si="679"/>
        <v>4.6637596737954548E-2</v>
      </c>
      <c r="AZ183" s="596">
        <f t="shared" si="679"/>
        <v>4.7112224135232438E-2</v>
      </c>
      <c r="BA183" s="596">
        <f t="shared" ref="BA183:CF183" si="680">BA130/BA9</f>
        <v>4.2219453199442938E-2</v>
      </c>
      <c r="BB183" s="596">
        <f t="shared" si="680"/>
        <v>4.5295371498172976E-2</v>
      </c>
      <c r="BC183" s="597">
        <f t="shared" si="680"/>
        <v>4.7927744191128253E-2</v>
      </c>
      <c r="BD183" s="596">
        <f t="shared" si="680"/>
        <v>4.4566015077723661E-2</v>
      </c>
      <c r="BE183" s="596">
        <f t="shared" si="680"/>
        <v>4.5298694448107614E-2</v>
      </c>
      <c r="BF183" s="596">
        <f t="shared" si="680"/>
        <v>5.0725187941377481E-2</v>
      </c>
      <c r="BG183" s="597">
        <f t="shared" si="680"/>
        <v>6.1621041331186233E-2</v>
      </c>
      <c r="BH183" s="596">
        <f t="shared" si="680"/>
        <v>6.9920683343502127E-2</v>
      </c>
      <c r="BI183" s="596">
        <f t="shared" si="680"/>
        <v>6.1995197555118967E-2</v>
      </c>
      <c r="BJ183" s="596">
        <f t="shared" si="680"/>
        <v>5.720957384705197E-2</v>
      </c>
      <c r="BK183" s="597">
        <f t="shared" si="680"/>
        <v>5.1489610281231737E-2</v>
      </c>
      <c r="BL183" s="596">
        <f t="shared" si="680"/>
        <v>4.4373640037301834E-2</v>
      </c>
      <c r="BM183" s="596">
        <f t="shared" si="680"/>
        <v>4.0374199901526339E-2</v>
      </c>
      <c r="BN183" s="596">
        <f t="shared" si="680"/>
        <v>4.0045361117017501E-2</v>
      </c>
      <c r="BO183" s="597">
        <f t="shared" si="680"/>
        <v>3.4889787400547795E-2</v>
      </c>
      <c r="BP183" s="596">
        <f t="shared" si="680"/>
        <v>3.5194174757281552E-2</v>
      </c>
      <c r="BQ183" s="596">
        <f t="shared" si="680"/>
        <v>3.5243017374092807E-2</v>
      </c>
      <c r="BR183" s="596">
        <f t="shared" si="680"/>
        <v>3.4602076124567477E-2</v>
      </c>
      <c r="BS183" s="597">
        <f t="shared" si="680"/>
        <v>3.6759316682640798E-2</v>
      </c>
      <c r="BT183" s="596">
        <f t="shared" si="680"/>
        <v>3.7228758169934643E-2</v>
      </c>
      <c r="BU183" s="596">
        <f t="shared" si="680"/>
        <v>2.9950441715147595E-2</v>
      </c>
      <c r="BV183" s="596">
        <f t="shared" si="680"/>
        <v>3.7163756488909863E-2</v>
      </c>
      <c r="BW183" s="597">
        <f t="shared" si="680"/>
        <v>4.0951660752719436E-2</v>
      </c>
      <c r="BX183" s="596">
        <f t="shared" si="680"/>
        <v>3.6842958241045866E-2</v>
      </c>
      <c r="BY183" s="596">
        <f t="shared" si="680"/>
        <v>3.65911610961508E-2</v>
      </c>
      <c r="BZ183" s="596">
        <f t="shared" si="680"/>
        <v>3.5931790499390992E-2</v>
      </c>
      <c r="CA183" s="597">
        <f t="shared" si="680"/>
        <v>3.7286517449878001E-2</v>
      </c>
      <c r="CB183" s="596">
        <f t="shared" si="680"/>
        <v>3.5554915790988913E-2</v>
      </c>
      <c r="CC183" s="596">
        <f t="shared" si="680"/>
        <v>3.5184342284934007E-2</v>
      </c>
      <c r="CD183" s="596">
        <f t="shared" si="680"/>
        <v>3.685842232173614E-2</v>
      </c>
      <c r="CE183" s="597">
        <f t="shared" si="680"/>
        <v>3.8606355740750026E-2</v>
      </c>
      <c r="CF183" s="596">
        <f t="shared" si="680"/>
        <v>3.6639451668178613E-2</v>
      </c>
      <c r="CG183" s="596">
        <f t="shared" ref="CG183:CU183" si="681">CG130/CG9</f>
        <v>3.7698705644962846E-2</v>
      </c>
      <c r="CH183" s="596">
        <f t="shared" si="681"/>
        <v>3.9278131634819531E-2</v>
      </c>
      <c r="CI183" s="597">
        <f t="shared" si="681"/>
        <v>3.2829353304130747E-2</v>
      </c>
      <c r="CJ183" s="596">
        <f t="shared" si="681"/>
        <v>4.1611566604954603E-2</v>
      </c>
      <c r="CK183" s="596">
        <f t="shared" si="681"/>
        <v>4.250386398763524E-2</v>
      </c>
      <c r="CL183" s="596">
        <f t="shared" si="681"/>
        <v>4.4169451720711767E-2</v>
      </c>
      <c r="CM183" s="597">
        <f t="shared" si="681"/>
        <v>4.2585214696768479E-2</v>
      </c>
      <c r="CN183" s="596">
        <f t="shared" si="681"/>
        <v>4.0423764021603657E-2</v>
      </c>
      <c r="CO183" s="596">
        <f t="shared" si="681"/>
        <v>4.1762564338619912E-2</v>
      </c>
      <c r="CP183" s="596">
        <f t="shared" si="681"/>
        <v>4.3415280192037081E-2</v>
      </c>
      <c r="CQ183" s="597">
        <f t="shared" ref="CQ183" si="682">CQ130/CQ9</f>
        <v>4.090627899783484E-2</v>
      </c>
      <c r="CR183" s="596">
        <f t="shared" si="681"/>
        <v>4.3999999999999997E-2</v>
      </c>
      <c r="CS183" s="596">
        <f t="shared" si="681"/>
        <v>4.3999999999999997E-2</v>
      </c>
      <c r="CT183" s="596">
        <f t="shared" si="681"/>
        <v>4.4000000000000004E-2</v>
      </c>
      <c r="CU183" s="597">
        <f t="shared" si="681"/>
        <v>5.2000000000000011E-2</v>
      </c>
      <c r="CV183" s="598"/>
      <c r="CW183" s="596"/>
      <c r="CX183" s="596"/>
      <c r="CY183" s="596">
        <f>CY130/CY9</f>
        <v>4.6295695084734759E-2</v>
      </c>
      <c r="CZ183" s="596">
        <f>CZ130/CZ9</f>
        <v>3.9841539332201477E-2</v>
      </c>
      <c r="DA183" s="596">
        <f>DA130/DA9</f>
        <v>4.0722996515679441E-2</v>
      </c>
      <c r="DB183" s="596"/>
      <c r="DC183" s="596">
        <f t="shared" ref="DC183:DZ183" si="683">DC130/DC9</f>
        <v>3.8625798405079563E-2</v>
      </c>
      <c r="DD183" s="596">
        <f t="shared" si="683"/>
        <v>4.4312141186476715E-2</v>
      </c>
      <c r="DE183" s="596">
        <f t="shared" si="683"/>
        <v>3.9581121159972171E-2</v>
      </c>
      <c r="DF183" s="596">
        <f t="shared" si="683"/>
        <v>4.0564316434249972E-2</v>
      </c>
      <c r="DG183" s="596">
        <f t="shared" si="683"/>
        <v>4.4563583241142603E-2</v>
      </c>
      <c r="DH183" s="596">
        <f t="shared" si="683"/>
        <v>4.3225115282500344E-2</v>
      </c>
      <c r="DI183" s="596">
        <f t="shared" si="683"/>
        <v>4.3325271513935538E-2</v>
      </c>
      <c r="DJ183" s="596">
        <f t="shared" si="683"/>
        <v>4.5621739293623086E-2</v>
      </c>
      <c r="DK183" s="596">
        <f t="shared" si="683"/>
        <v>4.9336043617849885E-2</v>
      </c>
      <c r="DL183" s="596">
        <f t="shared" si="683"/>
        <v>5.9215508102377704E-2</v>
      </c>
      <c r="DM183" s="596">
        <f t="shared" si="683"/>
        <v>3.9714831587885656E-2</v>
      </c>
      <c r="DN183" s="596">
        <f t="shared" si="683"/>
        <v>3.5447734971256695E-2</v>
      </c>
      <c r="DO183" s="596">
        <f t="shared" si="683"/>
        <v>3.6223410179307268E-2</v>
      </c>
      <c r="DP183" s="596">
        <f t="shared" si="683"/>
        <v>3.6669983594653469E-2</v>
      </c>
      <c r="DQ183" s="596">
        <f t="shared" si="683"/>
        <v>3.6507688047103581E-2</v>
      </c>
      <c r="DR183" s="596">
        <f t="shared" si="683"/>
        <v>3.65190946255858E-2</v>
      </c>
      <c r="DS183" s="596">
        <f t="shared" si="683"/>
        <v>4.2707529489582181E-2</v>
      </c>
      <c r="DT183" s="596">
        <f t="shared" si="683"/>
        <v>4.1615217413488725E-2</v>
      </c>
      <c r="DU183" s="596">
        <f t="shared" si="683"/>
        <v>4.6071156926800409E-2</v>
      </c>
      <c r="DV183" s="596">
        <f t="shared" si="683"/>
        <v>4.8000000000000001E-2</v>
      </c>
      <c r="DW183" s="596">
        <f t="shared" si="683"/>
        <v>4.7999999999999994E-2</v>
      </c>
      <c r="DX183" s="596">
        <f t="shared" si="683"/>
        <v>4.8000000000000001E-2</v>
      </c>
      <c r="DY183" s="596">
        <f t="shared" si="683"/>
        <v>4.7999999999999994E-2</v>
      </c>
      <c r="DZ183" s="596">
        <f t="shared" si="683"/>
        <v>4.7999999999999987E-2</v>
      </c>
      <c r="EA183" s="488"/>
      <c r="EB183"/>
      <c r="EC183"/>
      <c r="ED183"/>
      <c r="EE183"/>
      <c r="EF183"/>
      <c r="EG183"/>
    </row>
    <row r="184" spans="1:137" s="599" customFormat="1">
      <c r="A184" s="593"/>
      <c r="B184" s="697" t="s">
        <v>365</v>
      </c>
      <c r="C184" s="915"/>
      <c r="D184" s="595"/>
      <c r="E184" s="596"/>
      <c r="F184" s="596"/>
      <c r="G184" s="597"/>
      <c r="H184" s="596">
        <f>H130*4/G75</f>
        <v>0.14072657743785849</v>
      </c>
      <c r="I184" s="596">
        <f t="shared" ref="I184:S184" si="684">I130*4/H75</f>
        <v>0.1364522417153996</v>
      </c>
      <c r="J184" s="596">
        <f t="shared" si="684"/>
        <v>0.13202299276840351</v>
      </c>
      <c r="K184" s="597">
        <f t="shared" si="684"/>
        <v>0.12849060047453917</v>
      </c>
      <c r="L184" s="596">
        <f t="shared" si="684"/>
        <v>0.1257955821789592</v>
      </c>
      <c r="M184" s="596">
        <f t="shared" si="684"/>
        <v>0.13305769592181921</v>
      </c>
      <c r="N184" s="596">
        <f t="shared" si="684"/>
        <v>0.12314378848243389</v>
      </c>
      <c r="O184" s="597">
        <f t="shared" si="684"/>
        <v>0.13531412206908897</v>
      </c>
      <c r="P184" s="596">
        <f t="shared" si="684"/>
        <v>0.12620565636750039</v>
      </c>
      <c r="Q184" s="596">
        <f t="shared" si="684"/>
        <v>0.12445590843140417</v>
      </c>
      <c r="R184" s="596">
        <f t="shared" si="684"/>
        <v>0.12009531374106433</v>
      </c>
      <c r="S184" s="597">
        <f t="shared" si="684"/>
        <v>0.11458850803113102</v>
      </c>
      <c r="T184" s="596"/>
      <c r="U184" s="596">
        <f t="shared" ref="U184:CF184" si="685">U130*4/T75</f>
        <v>0.11657662780779074</v>
      </c>
      <c r="V184" s="596">
        <f t="shared" si="685"/>
        <v>0.12863187588152328</v>
      </c>
      <c r="W184" s="597">
        <f t="shared" si="685"/>
        <v>0.12467245897117639</v>
      </c>
      <c r="X184" s="596">
        <f t="shared" si="685"/>
        <v>0.13165829145728644</v>
      </c>
      <c r="Y184" s="596">
        <f t="shared" si="685"/>
        <v>0.13082459906553859</v>
      </c>
      <c r="Z184" s="596">
        <f t="shared" si="685"/>
        <v>0.1240578277523786</v>
      </c>
      <c r="AA184" s="597">
        <f t="shared" si="685"/>
        <v>0.12451749470800645</v>
      </c>
      <c r="AB184" s="596">
        <f t="shared" si="685"/>
        <v>0.13379583746283449</v>
      </c>
      <c r="AC184" s="596">
        <f t="shared" si="685"/>
        <v>0.13036887316826679</v>
      </c>
      <c r="AD184" s="596">
        <f t="shared" si="685"/>
        <v>0.12886987163352634</v>
      </c>
      <c r="AE184" s="597">
        <f t="shared" si="685"/>
        <v>0.12551690586232059</v>
      </c>
      <c r="AF184" s="596">
        <f t="shared" si="685"/>
        <v>0.12884753042233357</v>
      </c>
      <c r="AG184" s="596">
        <f t="shared" si="685"/>
        <v>0.13140096618357489</v>
      </c>
      <c r="AH184" s="596">
        <f t="shared" si="685"/>
        <v>0.12396597926133052</v>
      </c>
      <c r="AI184" s="597">
        <f t="shared" si="685"/>
        <v>0.12751050910789349</v>
      </c>
      <c r="AJ184" s="596">
        <f t="shared" si="685"/>
        <v>0.13275226282266175</v>
      </c>
      <c r="AK184" s="596">
        <f t="shared" si="685"/>
        <v>0.1360089186176143</v>
      </c>
      <c r="AL184" s="596">
        <f t="shared" si="685"/>
        <v>0.13175345146211545</v>
      </c>
      <c r="AM184" s="597">
        <f t="shared" si="685"/>
        <v>0.14661492022423459</v>
      </c>
      <c r="AN184" s="596">
        <f t="shared" si="685"/>
        <v>0.13681112351568053</v>
      </c>
      <c r="AO184" s="596">
        <f t="shared" si="685"/>
        <v>0.13529293336017714</v>
      </c>
      <c r="AP184" s="596">
        <f t="shared" si="685"/>
        <v>0.17398324755272992</v>
      </c>
      <c r="AQ184" s="597">
        <f t="shared" si="685"/>
        <v>0.18544624243025906</v>
      </c>
      <c r="AR184" s="596">
        <f t="shared" si="685"/>
        <v>0.14110657259561826</v>
      </c>
      <c r="AS184" s="596">
        <f t="shared" si="685"/>
        <v>0.14193548387096774</v>
      </c>
      <c r="AT184" s="596">
        <f t="shared" si="685"/>
        <v>0.14992237746728762</v>
      </c>
      <c r="AU184" s="597">
        <f t="shared" si="685"/>
        <v>0.15083532219570409</v>
      </c>
      <c r="AV184" s="596">
        <f t="shared" si="685"/>
        <v>0.14796509382963935</v>
      </c>
      <c r="AW184" s="596">
        <f t="shared" si="685"/>
        <v>0.14752208989627355</v>
      </c>
      <c r="AX184" s="596">
        <f t="shared" si="685"/>
        <v>0.13945019028430711</v>
      </c>
      <c r="AY184" s="597">
        <f t="shared" si="685"/>
        <v>0.16595913532721346</v>
      </c>
      <c r="AZ184" s="596">
        <f t="shared" si="685"/>
        <v>0.16485246799479703</v>
      </c>
      <c r="BA184" s="596">
        <f t="shared" si="685"/>
        <v>0.15774339312611255</v>
      </c>
      <c r="BB184" s="596">
        <f t="shared" si="685"/>
        <v>0.16117017674544595</v>
      </c>
      <c r="BC184" s="597">
        <f t="shared" si="685"/>
        <v>0.1726014820643976</v>
      </c>
      <c r="BD184" s="596">
        <f t="shared" si="685"/>
        <v>0.1660555590081412</v>
      </c>
      <c r="BE184" s="596">
        <f t="shared" si="685"/>
        <v>0.16433440975959815</v>
      </c>
      <c r="BF184" s="596">
        <f t="shared" si="685"/>
        <v>0.15701022446821017</v>
      </c>
      <c r="BG184" s="597">
        <f t="shared" si="685"/>
        <v>0.14248479582971324</v>
      </c>
      <c r="BH184" s="596">
        <f t="shared" si="685"/>
        <v>0.14449628041861051</v>
      </c>
      <c r="BI184" s="596">
        <f t="shared" si="685"/>
        <v>0.15045361234355342</v>
      </c>
      <c r="BJ184" s="596">
        <f t="shared" si="685"/>
        <v>0.15658078689834237</v>
      </c>
      <c r="BK184" s="597">
        <f t="shared" si="685"/>
        <v>0.16183606557377045</v>
      </c>
      <c r="BL184" s="596">
        <f t="shared" si="685"/>
        <v>0.15325773334228007</v>
      </c>
      <c r="BM184" s="596">
        <f t="shared" si="685"/>
        <v>0.15984405458089668</v>
      </c>
      <c r="BN184" s="596">
        <f t="shared" si="685"/>
        <v>0.16075112027882493</v>
      </c>
      <c r="BO184" s="597">
        <f t="shared" si="685"/>
        <v>0.14180637466039361</v>
      </c>
      <c r="BP184" s="596">
        <f t="shared" si="685"/>
        <v>0.15791520809023726</v>
      </c>
      <c r="BQ184" s="596">
        <f t="shared" si="685"/>
        <v>0.15795958600295709</v>
      </c>
      <c r="BR184" s="596">
        <f t="shared" si="685"/>
        <v>0.1474961341739027</v>
      </c>
      <c r="BS184" s="597">
        <f t="shared" si="685"/>
        <v>0.15929635963840699</v>
      </c>
      <c r="BT184" s="596">
        <f t="shared" si="685"/>
        <v>0.17112299465240643</v>
      </c>
      <c r="BU184" s="596">
        <f t="shared" si="685"/>
        <v>0.13110115538788022</v>
      </c>
      <c r="BV184" s="596">
        <f t="shared" si="685"/>
        <v>0.15065463023853648</v>
      </c>
      <c r="BW184" s="597">
        <f t="shared" si="685"/>
        <v>0.16577382704421023</v>
      </c>
      <c r="BX184" s="596">
        <f t="shared" si="685"/>
        <v>0.15257270693512304</v>
      </c>
      <c r="BY184" s="596">
        <f t="shared" si="685"/>
        <v>0.15703602991162474</v>
      </c>
      <c r="BZ184" s="596">
        <f t="shared" si="685"/>
        <v>0.14451928965094918</v>
      </c>
      <c r="CA184" s="597">
        <f t="shared" si="685"/>
        <v>0.14994134584621943</v>
      </c>
      <c r="CB184" s="596">
        <f t="shared" si="685"/>
        <v>0.15283077240383622</v>
      </c>
      <c r="CC184" s="596">
        <f t="shared" si="685"/>
        <v>0.15248052076141633</v>
      </c>
      <c r="CD184" s="596">
        <f t="shared" si="685"/>
        <v>0.14339731010386253</v>
      </c>
      <c r="CE184" s="597">
        <f t="shared" si="685"/>
        <v>0.1487859146754377</v>
      </c>
      <c r="CF184" s="596">
        <f t="shared" si="685"/>
        <v>0.13887960265533217</v>
      </c>
      <c r="CG184" s="596">
        <f t="shared" ref="CG184:CU184" si="686">CG130*4/CF75</f>
        <v>0.14947070588809211</v>
      </c>
      <c r="CH184" s="596">
        <f t="shared" si="686"/>
        <v>0.13700532284193473</v>
      </c>
      <c r="CI184" s="597">
        <f t="shared" si="686"/>
        <v>0.12758557569101225</v>
      </c>
      <c r="CJ184" s="596">
        <f t="shared" si="686"/>
        <v>0.15424206527511133</v>
      </c>
      <c r="CK184" s="596">
        <f t="shared" si="686"/>
        <v>0.15846972667973908</v>
      </c>
      <c r="CL184" s="596">
        <f t="shared" si="686"/>
        <v>0.15630493846891477</v>
      </c>
      <c r="CM184" s="597">
        <f t="shared" si="686"/>
        <v>0.15278935874528488</v>
      </c>
      <c r="CN184" s="596">
        <f t="shared" si="686"/>
        <v>0.15556799104644653</v>
      </c>
      <c r="CO184" s="596">
        <f t="shared" si="686"/>
        <v>0.15635893619521365</v>
      </c>
      <c r="CP184" s="596">
        <f t="shared" si="686"/>
        <v>0.15751933328327949</v>
      </c>
      <c r="CQ184" s="597">
        <f t="shared" si="686"/>
        <v>0.15368413407415482</v>
      </c>
      <c r="CR184" s="596">
        <f t="shared" si="686"/>
        <v>0.16390139174516266</v>
      </c>
      <c r="CS184" s="596">
        <f t="shared" si="686"/>
        <v>0.16595644826860853</v>
      </c>
      <c r="CT184" s="596">
        <f t="shared" si="686"/>
        <v>0.15799117558113057</v>
      </c>
      <c r="CU184" s="597">
        <f t="shared" si="686"/>
        <v>0.19738296470123584</v>
      </c>
      <c r="CV184" s="598"/>
      <c r="CW184" s="596"/>
      <c r="CX184" s="596"/>
      <c r="CY184" s="596">
        <f t="shared" ref="CY184" si="687">CY130/CX75</f>
        <v>0.13632887189292545</v>
      </c>
      <c r="CZ184" s="596">
        <f t="shared" ref="CZ184" si="688">CZ130/CY75</f>
        <v>0.13178584799700488</v>
      </c>
      <c r="DA184" s="596">
        <f t="shared" ref="DA184" si="689">DA130/CZ75</f>
        <v>0.12228216445970246</v>
      </c>
      <c r="DB184" s="596"/>
      <c r="DC184" s="596">
        <f t="shared" ref="DC184" si="690">DC130/DB75</f>
        <v>0.12839195979899498</v>
      </c>
      <c r="DD184" s="596">
        <f t="shared" ref="DD184:DT184" si="691">DD130/DC75</f>
        <v>0.12908820614469771</v>
      </c>
      <c r="DE184" s="596">
        <f t="shared" si="691"/>
        <v>0.12896683369124312</v>
      </c>
      <c r="DF184" s="596">
        <f t="shared" si="691"/>
        <v>0.13912168957425411</v>
      </c>
      <c r="DG184" s="596">
        <f t="shared" si="691"/>
        <v>0.15944382421597486</v>
      </c>
      <c r="DH184" s="596">
        <f t="shared" si="691"/>
        <v>0.17229855180096545</v>
      </c>
      <c r="DI184" s="596">
        <f t="shared" si="691"/>
        <v>0.15342010966097769</v>
      </c>
      <c r="DJ184" s="596">
        <f t="shared" si="691"/>
        <v>0.16642705552132539</v>
      </c>
      <c r="DK184" s="596">
        <f t="shared" si="691"/>
        <v>0.16139456839226898</v>
      </c>
      <c r="DL184" s="596">
        <f t="shared" si="691"/>
        <v>0.14790064304627409</v>
      </c>
      <c r="DM184" s="596">
        <f t="shared" si="691"/>
        <v>0.15064081057505202</v>
      </c>
      <c r="DN184" s="596">
        <f t="shared" si="691"/>
        <v>0.16349021133151823</v>
      </c>
      <c r="DO184" s="596">
        <f t="shared" si="691"/>
        <v>0.1563420056480202</v>
      </c>
      <c r="DP184" s="596">
        <f t="shared" si="691"/>
        <v>0.15251677852348994</v>
      </c>
      <c r="DQ184" s="596">
        <f t="shared" si="691"/>
        <v>0.1563370114468392</v>
      </c>
      <c r="DR184" s="596">
        <f t="shared" si="691"/>
        <v>0.13993027365203686</v>
      </c>
      <c r="DS184" s="596">
        <f t="shared" si="691"/>
        <v>0.15824516972345901</v>
      </c>
      <c r="DT184" s="596">
        <f t="shared" si="691"/>
        <v>0.16300263810056759</v>
      </c>
      <c r="DU184" s="596">
        <f>DU130/DT75</f>
        <v>0.17407141030755008</v>
      </c>
      <c r="DV184" s="596">
        <f t="shared" ref="DV184:DW184" si="692">DV130/DU75</f>
        <v>0.18347309514145743</v>
      </c>
      <c r="DW184" s="596">
        <f t="shared" si="692"/>
        <v>0.18374792180080404</v>
      </c>
      <c r="DX184" s="596">
        <f t="shared" ref="DX184" si="693">DX130/DW75</f>
        <v>0.18293186835504205</v>
      </c>
      <c r="DY184" s="596">
        <f t="shared" ref="DY184" si="694">DY130/DX75</f>
        <v>0.1798780422046499</v>
      </c>
      <c r="DZ184" s="596">
        <f t="shared" ref="DZ184" si="695">DZ130/DY75</f>
        <v>0.17451502286672246</v>
      </c>
      <c r="EA184" s="488"/>
      <c r="EB184"/>
      <c r="EC184"/>
      <c r="ED184"/>
      <c r="EE184"/>
      <c r="EF184"/>
      <c r="EG184"/>
    </row>
    <row r="185" spans="1:137" s="599" customFormat="1">
      <c r="A185" s="694"/>
      <c r="B185" s="697" t="s">
        <v>366</v>
      </c>
      <c r="C185" s="916"/>
      <c r="D185" s="695"/>
      <c r="E185" s="618"/>
      <c r="F185" s="618"/>
      <c r="G185" s="696"/>
      <c r="H185" s="618">
        <f t="shared" ref="H185:W185" si="696">-H130/H152</f>
        <v>1.586206896551724</v>
      </c>
      <c r="I185" s="618">
        <f t="shared" si="696"/>
        <v>0.85784313725490202</v>
      </c>
      <c r="J185" s="618">
        <f t="shared" si="696"/>
        <v>0.68992248062015515</v>
      </c>
      <c r="K185" s="696">
        <f t="shared" si="696"/>
        <v>0.51612903225806439</v>
      </c>
      <c r="L185" s="618">
        <f t="shared" si="696"/>
        <v>0.71794871794871806</v>
      </c>
      <c r="M185" s="618">
        <f t="shared" si="696"/>
        <v>0.49030470914127422</v>
      </c>
      <c r="N185" s="618">
        <f t="shared" si="696"/>
        <v>0.58620689655172409</v>
      </c>
      <c r="O185" s="696">
        <f t="shared" si="696"/>
        <v>0.80769230769230771</v>
      </c>
      <c r="P185" s="618">
        <f t="shared" si="696"/>
        <v>0.65423728813559323</v>
      </c>
      <c r="Q185" s="618">
        <f t="shared" si="696"/>
        <v>0.73664122137404575</v>
      </c>
      <c r="R185" s="618">
        <f>-R130/R152</f>
        <v>0.81818181818181834</v>
      </c>
      <c r="S185" s="696">
        <f t="shared" si="696"/>
        <v>0.39861751152073738</v>
      </c>
      <c r="T185" s="618"/>
      <c r="U185" s="618">
        <f t="shared" si="696"/>
        <v>0.74817518248175185</v>
      </c>
      <c r="V185" s="618">
        <f t="shared" si="696"/>
        <v>0.74754098360655741</v>
      </c>
      <c r="W185" s="696">
        <f t="shared" si="696"/>
        <v>0.64756446991404015</v>
      </c>
      <c r="X185" s="618">
        <f t="shared" ref="X185:BC185" si="697">-X130/X152</f>
        <v>0.92579505300353349</v>
      </c>
      <c r="Y185" s="618">
        <f t="shared" si="697"/>
        <v>0.51491053677932408</v>
      </c>
      <c r="Z185" s="618">
        <f t="shared" si="697"/>
        <v>0.76291793313069889</v>
      </c>
      <c r="AA185" s="696">
        <f t="shared" si="697"/>
        <v>0.44964028776978426</v>
      </c>
      <c r="AB185" s="618">
        <f t="shared" si="697"/>
        <v>1.5697674418604652</v>
      </c>
      <c r="AC185" s="618">
        <f t="shared" si="697"/>
        <v>0.77245508982035904</v>
      </c>
      <c r="AD185" s="618">
        <f t="shared" si="697"/>
        <v>0.60093896713615047</v>
      </c>
      <c r="AE185" s="696">
        <f t="shared" si="697"/>
        <v>0.54088050314465397</v>
      </c>
      <c r="AF185" s="618">
        <f t="shared" si="697"/>
        <v>1.0344827586206895</v>
      </c>
      <c r="AG185" s="618">
        <f t="shared" si="697"/>
        <v>0.93150684931506877</v>
      </c>
      <c r="AH185" s="618">
        <f t="shared" si="697"/>
        <v>1.0191570881226049</v>
      </c>
      <c r="AI185" s="696">
        <f t="shared" si="697"/>
        <v>0.47894736842105262</v>
      </c>
      <c r="AJ185" s="618">
        <f t="shared" si="697"/>
        <v>1.1739130434782608</v>
      </c>
      <c r="AK185" s="618">
        <f t="shared" si="697"/>
        <v>0.77215189873417733</v>
      </c>
      <c r="AL185" s="618">
        <f t="shared" si="697"/>
        <v>0.7709923664122138</v>
      </c>
      <c r="AM185" s="696">
        <f t="shared" si="697"/>
        <v>0.50073637702503693</v>
      </c>
      <c r="AN185" s="618">
        <f t="shared" si="697"/>
        <v>0.83209876543209882</v>
      </c>
      <c r="AO185" s="618">
        <f t="shared" si="697"/>
        <v>0.76887871853546896</v>
      </c>
      <c r="AP185" s="618">
        <f t="shared" si="697"/>
        <v>1.014117647058824</v>
      </c>
      <c r="AQ185" s="696">
        <f t="shared" si="697"/>
        <v>0.59718670076726321</v>
      </c>
      <c r="AR185" s="618">
        <f t="shared" si="697"/>
        <v>0.77079107505070998</v>
      </c>
      <c r="AS185" s="618">
        <f t="shared" si="697"/>
        <v>0.99198396793587162</v>
      </c>
      <c r="AT185" s="618">
        <f t="shared" si="697"/>
        <v>0.99411764705882355</v>
      </c>
      <c r="AU185" s="696">
        <f t="shared" si="697"/>
        <v>0.49119170984455962</v>
      </c>
      <c r="AV185" s="618">
        <f t="shared" si="697"/>
        <v>0.90207156308851222</v>
      </c>
      <c r="AW185" s="618">
        <f t="shared" si="697"/>
        <v>0.79866888519134782</v>
      </c>
      <c r="AX185" s="618">
        <f t="shared" si="697"/>
        <v>1.5142957778398152</v>
      </c>
      <c r="AY185" s="696">
        <f t="shared" si="697"/>
        <v>0.45106942143322526</v>
      </c>
      <c r="AZ185" s="618">
        <f t="shared" si="697"/>
        <v>1.032590051457976</v>
      </c>
      <c r="BA185" s="618">
        <f t="shared" si="697"/>
        <v>0.89719626168224287</v>
      </c>
      <c r="BB185" s="618">
        <f t="shared" si="697"/>
        <v>0.82524271844660224</v>
      </c>
      <c r="BC185" s="696">
        <f t="shared" si="697"/>
        <v>0.66263846928499492</v>
      </c>
      <c r="BD185" s="618">
        <f t="shared" ref="BD185:BW185" si="698">-BD130/BD152</f>
        <v>0.88594164456233415</v>
      </c>
      <c r="BE185" s="618">
        <f t="shared" si="698"/>
        <v>0.79147465437788034</v>
      </c>
      <c r="BF185" s="618">
        <f t="shared" si="698"/>
        <v>0.64603481624758208</v>
      </c>
      <c r="BG185" s="696">
        <f t="shared" si="698"/>
        <v>0.55139289145052828</v>
      </c>
      <c r="BH185" s="618">
        <f t="shared" si="698"/>
        <v>1.4844559585492227</v>
      </c>
      <c r="BI185" s="618">
        <f t="shared" si="698"/>
        <v>1.1428571428571428</v>
      </c>
      <c r="BJ185" s="618">
        <f t="shared" si="698"/>
        <v>1.5115681233933163</v>
      </c>
      <c r="BK185" s="696">
        <f t="shared" si="698"/>
        <v>1.3772321428571428</v>
      </c>
      <c r="BL185" s="618">
        <f t="shared" si="698"/>
        <v>1.0325497287522605</v>
      </c>
      <c r="BM185" s="618">
        <f t="shared" si="698"/>
        <v>1.1017274472168903</v>
      </c>
      <c r="BN185" s="618">
        <f t="shared" si="698"/>
        <v>0.70273631840796003</v>
      </c>
      <c r="BO185" s="696">
        <f t="shared" si="698"/>
        <v>0.60247747747747737</v>
      </c>
      <c r="BP185" s="618">
        <f t="shared" si="698"/>
        <v>0.86752136752136744</v>
      </c>
      <c r="BQ185" s="618">
        <f t="shared" si="698"/>
        <v>0.71460423634336667</v>
      </c>
      <c r="BR185" s="618">
        <f t="shared" si="698"/>
        <v>0.54290718038528885</v>
      </c>
      <c r="BS185" s="696">
        <f t="shared" si="698"/>
        <v>0.54515050167224088</v>
      </c>
      <c r="BT185" s="618">
        <f t="shared" si="698"/>
        <v>0.74947368421052629</v>
      </c>
      <c r="BU185" s="618">
        <f t="shared" si="698"/>
        <v>0.595289079229122</v>
      </c>
      <c r="BV185" s="618">
        <f t="shared" si="698"/>
        <v>0.66596194503171247</v>
      </c>
      <c r="BW185" s="696">
        <f t="shared" si="698"/>
        <v>0.56591639871382626</v>
      </c>
      <c r="BX185" s="618">
        <v>0.65</v>
      </c>
      <c r="BY185" s="618">
        <f t="shared" ref="BY185:CP185" si="699">-BY130/BY152</f>
        <v>0.64525139664804465</v>
      </c>
      <c r="BZ185" s="618">
        <f t="shared" si="699"/>
        <v>0.62948593598448133</v>
      </c>
      <c r="CA185" s="696">
        <f t="shared" si="699"/>
        <v>0.58632193494578788</v>
      </c>
      <c r="CB185" s="618">
        <f t="shared" si="699"/>
        <v>0.58716323296354989</v>
      </c>
      <c r="CC185" s="618">
        <f t="shared" si="699"/>
        <v>0.58962623951182302</v>
      </c>
      <c r="CD185" s="618">
        <f t="shared" si="699"/>
        <v>0.53271692745376975</v>
      </c>
      <c r="CE185" s="696">
        <f t="shared" si="699"/>
        <v>0.46577831617201676</v>
      </c>
      <c r="CF185" s="618">
        <f t="shared" si="699"/>
        <v>0.51928571428571435</v>
      </c>
      <c r="CG185" s="618">
        <f t="shared" si="699"/>
        <v>0.5282758620689656</v>
      </c>
      <c r="CH185" s="618">
        <f t="shared" si="699"/>
        <v>0.55306427503736921</v>
      </c>
      <c r="CI185" s="696">
        <f t="shared" si="699"/>
        <v>0.43974763406940071</v>
      </c>
      <c r="CJ185" s="618">
        <f t="shared" si="699"/>
        <v>0.90508149568552265</v>
      </c>
      <c r="CK185" s="618">
        <f t="shared" si="699"/>
        <v>0.75920245398773023</v>
      </c>
      <c r="CL185" s="618">
        <f t="shared" si="699"/>
        <v>0.81432139883430432</v>
      </c>
      <c r="CM185" s="696">
        <f t="shared" si="699"/>
        <v>0.65980795610425225</v>
      </c>
      <c r="CN185" s="618">
        <f t="shared" si="699"/>
        <v>0.74331550802139035</v>
      </c>
      <c r="CO185" s="618">
        <f t="shared" si="699"/>
        <v>0.80940794809407957</v>
      </c>
      <c r="CP185" s="618">
        <f t="shared" si="699"/>
        <v>0.77416974169741704</v>
      </c>
      <c r="CQ185" s="696">
        <f t="shared" ref="CQ185" si="700">-CQ130/CQ152</f>
        <v>0.62125660598943044</v>
      </c>
      <c r="CR185" s="642">
        <v>0.8</v>
      </c>
      <c r="CS185" s="642">
        <v>0.8</v>
      </c>
      <c r="CT185" s="642">
        <v>0.8</v>
      </c>
      <c r="CU185" s="643">
        <v>0.8</v>
      </c>
      <c r="CV185" s="598"/>
      <c r="CW185" s="618"/>
      <c r="CX185" s="618"/>
      <c r="CY185" s="618">
        <f>-CY130/CY152</f>
        <v>0.77584330794341683</v>
      </c>
      <c r="CZ185" s="618">
        <f>-CZ130/CZ152</f>
        <v>0.62913315460232355</v>
      </c>
      <c r="DA185" s="618">
        <f>-DA130/DA152</f>
        <v>0.61211129296235678</v>
      </c>
      <c r="DB185" s="618"/>
      <c r="DC185" s="618">
        <f>-DC130/DC152</f>
        <v>0.61160981448234597</v>
      </c>
      <c r="DD185" s="618">
        <f t="shared" ref="DD185:DT185" si="701">-DD130/DD152</f>
        <v>0.73953158268275376</v>
      </c>
      <c r="DE185" s="618">
        <f t="shared" si="701"/>
        <v>0.78106936416184969</v>
      </c>
      <c r="DF185" s="618">
        <f t="shared" si="701"/>
        <v>0.72383720930232553</v>
      </c>
      <c r="DG185" s="618">
        <f t="shared" si="701"/>
        <v>0.76671547096144466</v>
      </c>
      <c r="DH185" s="618">
        <f t="shared" si="701"/>
        <v>0.75233076611268745</v>
      </c>
      <c r="DI185" s="618">
        <f t="shared" si="701"/>
        <v>0.74045359672008948</v>
      </c>
      <c r="DJ185" s="618">
        <f t="shared" si="701"/>
        <v>0.82715209254848587</v>
      </c>
      <c r="DK185" s="618">
        <f t="shared" si="701"/>
        <v>0.70246145523397352</v>
      </c>
      <c r="DL185" s="618">
        <f t="shared" si="701"/>
        <v>1.363953488372093</v>
      </c>
      <c r="DM185" s="618">
        <f t="shared" si="701"/>
        <v>0.81164135936370208</v>
      </c>
      <c r="DN185" s="618">
        <f t="shared" si="701"/>
        <v>0.6405892811785624</v>
      </c>
      <c r="DO185" s="618">
        <f t="shared" si="701"/>
        <v>0.63868433971526761</v>
      </c>
      <c r="DP185" s="618">
        <f t="shared" si="701"/>
        <v>0.65270464337003342</v>
      </c>
      <c r="DQ185" s="618">
        <f t="shared" si="701"/>
        <v>0.5385435168738899</v>
      </c>
      <c r="DR185" s="618">
        <f t="shared" si="701"/>
        <v>0.50753507708297252</v>
      </c>
      <c r="DS185" s="618">
        <f t="shared" si="701"/>
        <v>0.77387135437475019</v>
      </c>
      <c r="DT185" s="618">
        <f t="shared" si="701"/>
        <v>0.7282142857142857</v>
      </c>
      <c r="DU185" s="618">
        <f>-DU130/DU152</f>
        <v>0.79999999999999993</v>
      </c>
      <c r="DV185" s="642">
        <f>DU185</f>
        <v>0.79999999999999993</v>
      </c>
      <c r="DW185" s="642">
        <f t="shared" ref="DW185" si="702">DV185</f>
        <v>0.79999999999999993</v>
      </c>
      <c r="DX185" s="642">
        <f t="shared" ref="DX185" si="703">DW185</f>
        <v>0.79999999999999993</v>
      </c>
      <c r="DY185" s="642">
        <f t="shared" ref="DY185" si="704">DX185</f>
        <v>0.79999999999999993</v>
      </c>
      <c r="DZ185" s="642">
        <f t="shared" ref="DZ185" si="705">DY185</f>
        <v>0.79999999999999993</v>
      </c>
      <c r="EA185" s="488"/>
      <c r="EB185"/>
      <c r="EC185"/>
      <c r="ED185"/>
      <c r="EE185"/>
      <c r="EF185"/>
      <c r="EG185"/>
    </row>
    <row r="186" spans="1:137">
      <c r="A186" s="374"/>
      <c r="B186" s="498"/>
      <c r="C186" s="901"/>
      <c r="D186" s="503"/>
      <c r="E186" s="504"/>
      <c r="F186" s="504"/>
      <c r="G186" s="505"/>
      <c r="H186" s="504"/>
      <c r="I186" s="504"/>
      <c r="J186" s="504"/>
      <c r="K186" s="505"/>
      <c r="L186" s="504"/>
      <c r="M186" s="504"/>
      <c r="N186" s="504"/>
      <c r="O186" s="505"/>
      <c r="P186" s="504"/>
      <c r="Q186" s="504"/>
      <c r="R186" s="504"/>
      <c r="S186" s="505"/>
      <c r="T186" s="504"/>
      <c r="U186" s="504"/>
      <c r="V186" s="504"/>
      <c r="W186" s="505"/>
      <c r="X186" s="504"/>
      <c r="Y186" s="504"/>
      <c r="Z186" s="504"/>
      <c r="AA186" s="505"/>
      <c r="AB186" s="504"/>
      <c r="AC186" s="504"/>
      <c r="AD186" s="504"/>
      <c r="AE186" s="505"/>
      <c r="AF186" s="504"/>
      <c r="AG186" s="504"/>
      <c r="AH186" s="504"/>
      <c r="AI186" s="505"/>
      <c r="AJ186" s="504"/>
      <c r="AK186" s="504"/>
      <c r="AL186" s="504"/>
      <c r="AM186" s="505"/>
      <c r="AN186" s="504"/>
      <c r="AO186" s="504"/>
      <c r="AP186" s="504"/>
      <c r="AQ186" s="505"/>
      <c r="AR186" s="504"/>
      <c r="AS186" s="504"/>
      <c r="AT186" s="504"/>
      <c r="AU186" s="505"/>
      <c r="AV186" s="504"/>
      <c r="AW186" s="504"/>
      <c r="AX186" s="504"/>
      <c r="AY186" s="505"/>
      <c r="AZ186" s="504"/>
      <c r="BA186" s="504"/>
      <c r="BB186" s="504"/>
      <c r="BC186" s="505"/>
      <c r="BD186" s="504"/>
      <c r="BE186" s="504"/>
      <c r="BF186" s="504"/>
      <c r="BG186" s="505"/>
      <c r="BH186" s="504"/>
      <c r="BI186" s="504"/>
      <c r="BJ186" s="504"/>
      <c r="BK186" s="505"/>
      <c r="BL186" s="504"/>
      <c r="BM186" s="504"/>
      <c r="BN186" s="504"/>
      <c r="BO186" s="505"/>
      <c r="BP186" s="504"/>
      <c r="BQ186" s="504"/>
      <c r="BR186" s="504"/>
      <c r="BS186" s="505"/>
      <c r="BT186" s="591"/>
      <c r="BU186" s="591"/>
      <c r="BV186" s="591"/>
      <c r="BW186" s="592"/>
      <c r="BX186" s="591"/>
      <c r="BY186" s="591"/>
      <c r="BZ186" s="591"/>
      <c r="CA186" s="592"/>
      <c r="CB186" s="591"/>
      <c r="CC186" s="591"/>
      <c r="CD186" s="591"/>
      <c r="CE186" s="592"/>
      <c r="CF186" s="591"/>
      <c r="CG186" s="591"/>
      <c r="CH186" s="591"/>
      <c r="CI186" s="592"/>
      <c r="CJ186" s="591"/>
      <c r="CK186" s="591"/>
      <c r="CL186" s="591"/>
      <c r="CM186" s="592"/>
      <c r="CN186" s="591"/>
      <c r="CO186" s="591"/>
      <c r="CP186" s="591"/>
      <c r="CQ186" s="592"/>
      <c r="CR186" s="591"/>
      <c r="CS186" s="591"/>
      <c r="CT186" s="591"/>
      <c r="CU186" s="592"/>
      <c r="CV186" s="376"/>
      <c r="CW186" s="504"/>
      <c r="CX186" s="504"/>
      <c r="CY186" s="504"/>
      <c r="CZ186" s="504"/>
      <c r="DA186" s="504"/>
      <c r="DB186" s="504"/>
      <c r="DC186" s="504"/>
      <c r="DD186" s="504"/>
      <c r="DE186" s="504"/>
      <c r="DF186" s="504"/>
      <c r="DG186" s="504"/>
      <c r="DH186" s="504"/>
      <c r="DI186" s="504"/>
      <c r="DJ186" s="504"/>
      <c r="DK186" s="504"/>
      <c r="DL186" s="504"/>
      <c r="DM186" s="504"/>
      <c r="DN186" s="504"/>
      <c r="DO186" s="504"/>
      <c r="DP186" s="591"/>
      <c r="DQ186" s="591"/>
      <c r="DR186" s="591"/>
      <c r="DS186" s="591"/>
      <c r="DT186" s="591"/>
      <c r="DU186" s="591"/>
      <c r="DV186" s="591"/>
      <c r="DW186" s="591"/>
      <c r="DX186" s="591"/>
      <c r="DY186" s="591"/>
      <c r="DZ186" s="591"/>
      <c r="EA186" s="488"/>
    </row>
    <row r="187" spans="1:137">
      <c r="A187" s="374"/>
      <c r="B187" s="364" t="s">
        <v>372</v>
      </c>
      <c r="C187" s="896"/>
      <c r="D187" s="365" t="str">
        <f t="shared" ref="D187:AI187" si="706">D$4</f>
        <v>1Q95</v>
      </c>
      <c r="E187" s="366" t="str">
        <f t="shared" si="706"/>
        <v>2Q95</v>
      </c>
      <c r="F187" s="366" t="str">
        <f t="shared" si="706"/>
        <v>3Q95</v>
      </c>
      <c r="G187" s="367" t="str">
        <f t="shared" si="706"/>
        <v>4Q95</v>
      </c>
      <c r="H187" s="366" t="str">
        <f t="shared" si="706"/>
        <v>1Q96</v>
      </c>
      <c r="I187" s="366" t="str">
        <f t="shared" si="706"/>
        <v>2Q96</v>
      </c>
      <c r="J187" s="366" t="str">
        <f t="shared" si="706"/>
        <v>3Q96</v>
      </c>
      <c r="K187" s="367" t="str">
        <f t="shared" si="706"/>
        <v>4Q96</v>
      </c>
      <c r="L187" s="366" t="str">
        <f t="shared" si="706"/>
        <v>1Q97</v>
      </c>
      <c r="M187" s="366" t="str">
        <f t="shared" si="706"/>
        <v>2Q97</v>
      </c>
      <c r="N187" s="366" t="str">
        <f t="shared" si="706"/>
        <v>3Q97</v>
      </c>
      <c r="O187" s="367" t="str">
        <f t="shared" si="706"/>
        <v>4Q97</v>
      </c>
      <c r="P187" s="366" t="str">
        <f t="shared" si="706"/>
        <v>1Q98</v>
      </c>
      <c r="Q187" s="366" t="str">
        <f t="shared" si="706"/>
        <v>2Q98</v>
      </c>
      <c r="R187" s="366" t="str">
        <f t="shared" si="706"/>
        <v>3Q98</v>
      </c>
      <c r="S187" s="367" t="str">
        <f t="shared" si="706"/>
        <v>4Q98</v>
      </c>
      <c r="T187" s="366" t="str">
        <f t="shared" si="706"/>
        <v>1Q99</v>
      </c>
      <c r="U187" s="366" t="str">
        <f t="shared" si="706"/>
        <v>2Q99</v>
      </c>
      <c r="V187" s="366" t="str">
        <f t="shared" si="706"/>
        <v>3Q99</v>
      </c>
      <c r="W187" s="367" t="str">
        <f t="shared" si="706"/>
        <v>4Q99</v>
      </c>
      <c r="X187" s="366" t="str">
        <f t="shared" si="706"/>
        <v>1Q00</v>
      </c>
      <c r="Y187" s="366" t="str">
        <f t="shared" si="706"/>
        <v>2Q00</v>
      </c>
      <c r="Z187" s="366" t="str">
        <f t="shared" si="706"/>
        <v>3Q00</v>
      </c>
      <c r="AA187" s="367" t="str">
        <f t="shared" si="706"/>
        <v>4Q00</v>
      </c>
      <c r="AB187" s="366" t="str">
        <f t="shared" si="706"/>
        <v>1Q01</v>
      </c>
      <c r="AC187" s="366" t="str">
        <f t="shared" si="706"/>
        <v>2Q01</v>
      </c>
      <c r="AD187" s="366" t="str">
        <f t="shared" si="706"/>
        <v>3Q01</v>
      </c>
      <c r="AE187" s="367" t="str">
        <f t="shared" si="706"/>
        <v>4Q01</v>
      </c>
      <c r="AF187" s="366" t="str">
        <f t="shared" si="706"/>
        <v>1Q02</v>
      </c>
      <c r="AG187" s="366" t="str">
        <f t="shared" si="706"/>
        <v>2Q02</v>
      </c>
      <c r="AH187" s="366" t="str">
        <f t="shared" si="706"/>
        <v>3Q02</v>
      </c>
      <c r="AI187" s="367" t="str">
        <f t="shared" si="706"/>
        <v>4Q02</v>
      </c>
      <c r="AJ187" s="366" t="str">
        <f t="shared" ref="AJ187:BO187" si="707">AJ$4</f>
        <v>1Q03</v>
      </c>
      <c r="AK187" s="366" t="str">
        <f t="shared" si="707"/>
        <v>2Q03</v>
      </c>
      <c r="AL187" s="366" t="str">
        <f t="shared" si="707"/>
        <v>3Q03</v>
      </c>
      <c r="AM187" s="367" t="str">
        <f t="shared" si="707"/>
        <v>4Q03</v>
      </c>
      <c r="AN187" s="366" t="str">
        <f t="shared" si="707"/>
        <v>1Q04</v>
      </c>
      <c r="AO187" s="366" t="str">
        <f t="shared" si="707"/>
        <v>2Q04</v>
      </c>
      <c r="AP187" s="366" t="str">
        <f t="shared" si="707"/>
        <v>3Q04</v>
      </c>
      <c r="AQ187" s="367" t="str">
        <f t="shared" si="707"/>
        <v>4Q04</v>
      </c>
      <c r="AR187" s="366" t="str">
        <f t="shared" si="707"/>
        <v>1Q05</v>
      </c>
      <c r="AS187" s="366" t="str">
        <f t="shared" si="707"/>
        <v>2Q05</v>
      </c>
      <c r="AT187" s="366" t="str">
        <f t="shared" si="707"/>
        <v>3Q05</v>
      </c>
      <c r="AU187" s="367" t="str">
        <f t="shared" si="707"/>
        <v>4Q05</v>
      </c>
      <c r="AV187" s="366" t="str">
        <f t="shared" si="707"/>
        <v>1Q06</v>
      </c>
      <c r="AW187" s="366" t="str">
        <f t="shared" si="707"/>
        <v>2Q06</v>
      </c>
      <c r="AX187" s="366" t="str">
        <f t="shared" si="707"/>
        <v>3Q06</v>
      </c>
      <c r="AY187" s="367" t="str">
        <f t="shared" si="707"/>
        <v>4Q06</v>
      </c>
      <c r="AZ187" s="366" t="str">
        <f t="shared" si="707"/>
        <v>1Q07</v>
      </c>
      <c r="BA187" s="366" t="str">
        <f t="shared" si="707"/>
        <v>2Q07</v>
      </c>
      <c r="BB187" s="366" t="str">
        <f t="shared" si="707"/>
        <v>3Q07</v>
      </c>
      <c r="BC187" s="367" t="str">
        <f t="shared" si="707"/>
        <v>4Q07</v>
      </c>
      <c r="BD187" s="366" t="str">
        <f t="shared" si="707"/>
        <v>1Q08</v>
      </c>
      <c r="BE187" s="366" t="str">
        <f t="shared" si="707"/>
        <v>2Q08</v>
      </c>
      <c r="BF187" s="366" t="str">
        <f t="shared" si="707"/>
        <v>3Q08</v>
      </c>
      <c r="BG187" s="367" t="str">
        <f t="shared" si="707"/>
        <v>4Q08</v>
      </c>
      <c r="BH187" s="366" t="str">
        <f t="shared" si="707"/>
        <v>1Q09</v>
      </c>
      <c r="BI187" s="366" t="str">
        <f t="shared" si="707"/>
        <v>2Q09</v>
      </c>
      <c r="BJ187" s="366" t="str">
        <f t="shared" si="707"/>
        <v>3Q09</v>
      </c>
      <c r="BK187" s="367" t="str">
        <f t="shared" si="707"/>
        <v>4Q09</v>
      </c>
      <c r="BL187" s="366" t="str">
        <f t="shared" si="707"/>
        <v>1Q10</v>
      </c>
      <c r="BM187" s="366" t="str">
        <f t="shared" si="707"/>
        <v>2Q10</v>
      </c>
      <c r="BN187" s="366" t="str">
        <f t="shared" si="707"/>
        <v>3Q10</v>
      </c>
      <c r="BO187" s="367" t="str">
        <f t="shared" si="707"/>
        <v>4Q10</v>
      </c>
      <c r="BP187" s="366" t="str">
        <f t="shared" ref="BP187:CU187" si="708">BP$4</f>
        <v>1Q11</v>
      </c>
      <c r="BQ187" s="366" t="str">
        <f t="shared" si="708"/>
        <v>2Q11</v>
      </c>
      <c r="BR187" s="366" t="str">
        <f t="shared" si="708"/>
        <v>3Q11</v>
      </c>
      <c r="BS187" s="367" t="str">
        <f t="shared" si="708"/>
        <v>4Q11</v>
      </c>
      <c r="BT187" s="366" t="str">
        <f t="shared" si="708"/>
        <v>1Q12</v>
      </c>
      <c r="BU187" s="366" t="str">
        <f t="shared" si="708"/>
        <v>2Q12</v>
      </c>
      <c r="BV187" s="366" t="str">
        <f t="shared" si="708"/>
        <v>3Q12</v>
      </c>
      <c r="BW187" s="367" t="str">
        <f t="shared" si="708"/>
        <v>4Q12</v>
      </c>
      <c r="BX187" s="366" t="str">
        <f t="shared" si="708"/>
        <v>1Q13</v>
      </c>
      <c r="BY187" s="366" t="str">
        <f t="shared" si="708"/>
        <v>2Q13</v>
      </c>
      <c r="BZ187" s="366" t="str">
        <f t="shared" si="708"/>
        <v>3Q13</v>
      </c>
      <c r="CA187" s="367" t="str">
        <f t="shared" si="708"/>
        <v>4Q13</v>
      </c>
      <c r="CB187" s="366" t="str">
        <f t="shared" si="708"/>
        <v>1Q14</v>
      </c>
      <c r="CC187" s="366" t="str">
        <f t="shared" si="708"/>
        <v>2Q14</v>
      </c>
      <c r="CD187" s="366" t="str">
        <f t="shared" si="708"/>
        <v>3Q14</v>
      </c>
      <c r="CE187" s="367" t="str">
        <f t="shared" si="708"/>
        <v>4Q14</v>
      </c>
      <c r="CF187" s="366" t="str">
        <f t="shared" si="708"/>
        <v>1Q15</v>
      </c>
      <c r="CG187" s="366" t="str">
        <f t="shared" si="708"/>
        <v>2Q15</v>
      </c>
      <c r="CH187" s="366" t="str">
        <f t="shared" si="708"/>
        <v>3Q15</v>
      </c>
      <c r="CI187" s="367" t="str">
        <f t="shared" si="708"/>
        <v>4Q15</v>
      </c>
      <c r="CJ187" s="366" t="str">
        <f t="shared" si="708"/>
        <v>1Q16</v>
      </c>
      <c r="CK187" s="366" t="str">
        <f t="shared" si="708"/>
        <v>2Q16</v>
      </c>
      <c r="CL187" s="366" t="str">
        <f t="shared" si="708"/>
        <v>3Q16</v>
      </c>
      <c r="CM187" s="367" t="str">
        <f t="shared" si="708"/>
        <v>4Q16</v>
      </c>
      <c r="CN187" s="366" t="str">
        <f t="shared" si="708"/>
        <v>1Q17</v>
      </c>
      <c r="CO187" s="366" t="str">
        <f t="shared" si="708"/>
        <v>2Q17</v>
      </c>
      <c r="CP187" s="366" t="str">
        <f t="shared" si="708"/>
        <v>3Q17</v>
      </c>
      <c r="CQ187" s="367" t="str">
        <f t="shared" si="708"/>
        <v>4Q17</v>
      </c>
      <c r="CR187" s="366" t="str">
        <f t="shared" si="708"/>
        <v>1Q18e</v>
      </c>
      <c r="CS187" s="366" t="str">
        <f t="shared" si="708"/>
        <v>2Q18e</v>
      </c>
      <c r="CT187" s="366" t="str">
        <f t="shared" si="708"/>
        <v>3Q18e</v>
      </c>
      <c r="CU187" s="367" t="str">
        <f t="shared" si="708"/>
        <v>4Q18e</v>
      </c>
      <c r="CV187" s="376"/>
      <c r="CW187" s="366">
        <f t="shared" ref="CW187:DZ187" si="709">CW$4</f>
        <v>1994</v>
      </c>
      <c r="CX187" s="366">
        <f t="shared" si="709"/>
        <v>1995</v>
      </c>
      <c r="CY187" s="366">
        <f t="shared" si="709"/>
        <v>1996</v>
      </c>
      <c r="CZ187" s="366">
        <f t="shared" si="709"/>
        <v>1997</v>
      </c>
      <c r="DA187" s="366">
        <f t="shared" si="709"/>
        <v>1998</v>
      </c>
      <c r="DB187" s="366">
        <f t="shared" si="709"/>
        <v>1999</v>
      </c>
      <c r="DC187" s="366">
        <f t="shared" si="709"/>
        <v>2000</v>
      </c>
      <c r="DD187" s="366">
        <f t="shared" si="709"/>
        <v>2001</v>
      </c>
      <c r="DE187" s="366">
        <f t="shared" si="709"/>
        <v>2002</v>
      </c>
      <c r="DF187" s="366">
        <f t="shared" si="709"/>
        <v>2003</v>
      </c>
      <c r="DG187" s="366">
        <f t="shared" si="709"/>
        <v>2004</v>
      </c>
      <c r="DH187" s="366">
        <f t="shared" si="709"/>
        <v>2005</v>
      </c>
      <c r="DI187" s="366">
        <f t="shared" si="709"/>
        <v>2006</v>
      </c>
      <c r="DJ187" s="366">
        <f t="shared" si="709"/>
        <v>2007</v>
      </c>
      <c r="DK187" s="366">
        <f t="shared" si="709"/>
        <v>2008</v>
      </c>
      <c r="DL187" s="366">
        <f t="shared" si="709"/>
        <v>2009</v>
      </c>
      <c r="DM187" s="366">
        <f t="shared" si="709"/>
        <v>2010</v>
      </c>
      <c r="DN187" s="366">
        <f t="shared" si="709"/>
        <v>2011</v>
      </c>
      <c r="DO187" s="366">
        <f t="shared" si="709"/>
        <v>2012</v>
      </c>
      <c r="DP187" s="366">
        <f t="shared" si="709"/>
        <v>2013</v>
      </c>
      <c r="DQ187" s="366">
        <f t="shared" si="709"/>
        <v>2014</v>
      </c>
      <c r="DR187" s="366">
        <f t="shared" si="709"/>
        <v>2015</v>
      </c>
      <c r="DS187" s="366">
        <f t="shared" si="709"/>
        <v>2016</v>
      </c>
      <c r="DT187" s="366">
        <f t="shared" si="709"/>
        <v>2017</v>
      </c>
      <c r="DU187" s="366" t="str">
        <f t="shared" si="709"/>
        <v>2018e</v>
      </c>
      <c r="DV187" s="366" t="str">
        <f t="shared" si="709"/>
        <v>2019e</v>
      </c>
      <c r="DW187" s="366" t="str">
        <f t="shared" si="709"/>
        <v>2020e</v>
      </c>
      <c r="DX187" s="366" t="str">
        <f t="shared" si="709"/>
        <v>2021e</v>
      </c>
      <c r="DY187" s="366" t="str">
        <f t="shared" si="709"/>
        <v>2022e</v>
      </c>
      <c r="DZ187" s="366" t="str">
        <f t="shared" si="709"/>
        <v>2023e</v>
      </c>
      <c r="EA187" s="386"/>
    </row>
    <row r="188" spans="1:137" s="410" customFormat="1">
      <c r="A188" s="400"/>
      <c r="B188" s="604"/>
      <c r="C188" s="917"/>
      <c r="D188" s="602"/>
      <c r="E188" s="601"/>
      <c r="F188" s="601"/>
      <c r="G188" s="603"/>
      <c r="H188" s="601"/>
      <c r="I188" s="601"/>
      <c r="J188" s="601"/>
      <c r="K188" s="603"/>
      <c r="L188" s="601"/>
      <c r="M188" s="601"/>
      <c r="N188" s="601"/>
      <c r="O188" s="603"/>
      <c r="P188" s="601"/>
      <c r="Q188" s="601"/>
      <c r="R188" s="601"/>
      <c r="S188" s="603"/>
      <c r="T188" s="601"/>
      <c r="U188" s="601"/>
      <c r="V188" s="601"/>
      <c r="W188" s="603"/>
      <c r="X188" s="601"/>
      <c r="Y188" s="601"/>
      <c r="Z188" s="601"/>
      <c r="AA188" s="603"/>
      <c r="AB188" s="601"/>
      <c r="AC188" s="601"/>
      <c r="AD188" s="601"/>
      <c r="AE188" s="603"/>
      <c r="AF188" s="601"/>
      <c r="AG188" s="601"/>
      <c r="AH188" s="601"/>
      <c r="AI188" s="603"/>
      <c r="AJ188" s="601"/>
      <c r="AK188" s="601"/>
      <c r="AL188" s="601"/>
      <c r="AM188" s="603"/>
      <c r="AN188" s="601"/>
      <c r="AO188" s="601"/>
      <c r="AP188" s="601"/>
      <c r="AQ188" s="603"/>
      <c r="AR188" s="601"/>
      <c r="AS188" s="601"/>
      <c r="AT188" s="601"/>
      <c r="AU188" s="603"/>
      <c r="AV188" s="601"/>
      <c r="AW188" s="601"/>
      <c r="AX188" s="601"/>
      <c r="AY188" s="603"/>
      <c r="AZ188" s="601"/>
      <c r="BA188" s="601"/>
      <c r="BB188" s="601"/>
      <c r="BC188" s="603"/>
      <c r="BD188" s="601"/>
      <c r="BE188" s="601"/>
      <c r="BF188" s="601"/>
      <c r="BG188" s="603"/>
      <c r="BH188" s="601"/>
      <c r="BI188" s="601"/>
      <c r="BJ188" s="601"/>
      <c r="BK188" s="603"/>
      <c r="BL188" s="601"/>
      <c r="BM188" s="601"/>
      <c r="BN188" s="601"/>
      <c r="BO188" s="603"/>
      <c r="BP188" s="601"/>
      <c r="BQ188" s="601"/>
      <c r="BR188" s="601"/>
      <c r="BS188" s="603"/>
      <c r="BT188" s="601"/>
      <c r="BU188" s="601"/>
      <c r="BV188" s="601"/>
      <c r="BW188" s="603"/>
      <c r="BX188" s="601"/>
      <c r="BY188" s="601"/>
      <c r="BZ188" s="601"/>
      <c r="CA188" s="603"/>
      <c r="CB188" s="601"/>
      <c r="CC188" s="601"/>
      <c r="CD188" s="601"/>
      <c r="CE188" s="603"/>
      <c r="CF188" s="601"/>
      <c r="CG188" s="601"/>
      <c r="CH188" s="601"/>
      <c r="CI188" s="603"/>
      <c r="CJ188" s="601"/>
      <c r="CK188" s="601"/>
      <c r="CL188" s="601"/>
      <c r="CM188" s="603"/>
      <c r="CN188" s="601"/>
      <c r="CO188" s="601"/>
      <c r="CP188" s="601"/>
      <c r="CQ188" s="603"/>
      <c r="CR188" s="601"/>
      <c r="CS188" s="601"/>
      <c r="CT188" s="601"/>
      <c r="CU188" s="603"/>
      <c r="CV188" s="406"/>
      <c r="CW188" s="601"/>
      <c r="CX188" s="601"/>
      <c r="CY188" s="601"/>
      <c r="CZ188" s="601"/>
      <c r="DA188" s="601"/>
      <c r="DB188" s="601"/>
      <c r="DC188" s="601"/>
      <c r="DD188" s="601"/>
      <c r="DE188" s="601"/>
      <c r="DF188" s="601"/>
      <c r="DG188" s="601"/>
      <c r="DH188" s="601"/>
      <c r="DI188" s="601"/>
      <c r="DJ188" s="601"/>
      <c r="DK188" s="601"/>
      <c r="DL188" s="601"/>
      <c r="DM188" s="601"/>
      <c r="DN188" s="601"/>
      <c r="DO188" s="601"/>
      <c r="DP188" s="601"/>
      <c r="DQ188" s="601"/>
      <c r="DR188" s="601"/>
      <c r="DS188" s="601"/>
      <c r="DT188" s="601"/>
      <c r="DU188" s="601"/>
      <c r="DV188" s="601"/>
      <c r="DW188" s="601"/>
      <c r="DX188" s="601"/>
      <c r="DY188" s="601"/>
      <c r="DZ188" s="601"/>
      <c r="EA188" s="601"/>
      <c r="EB188"/>
      <c r="EC188"/>
      <c r="ED188"/>
      <c r="EE188"/>
      <c r="EF188"/>
      <c r="EG188"/>
    </row>
    <row r="189" spans="1:137" s="410" customFormat="1">
      <c r="A189" s="400"/>
      <c r="B189" s="601" t="s">
        <v>374</v>
      </c>
      <c r="C189" s="658"/>
      <c r="D189" s="606"/>
      <c r="E189" s="605"/>
      <c r="F189" s="605"/>
      <c r="G189" s="607"/>
      <c r="H189" s="605"/>
      <c r="I189" s="605"/>
      <c r="J189" s="605"/>
      <c r="K189" s="607"/>
      <c r="L189" s="605"/>
      <c r="M189" s="605"/>
      <c r="N189" s="605"/>
      <c r="O189" s="607"/>
      <c r="P189" s="605"/>
      <c r="Q189" s="605"/>
      <c r="R189" s="605"/>
      <c r="S189" s="607"/>
      <c r="T189" s="605"/>
      <c r="U189" s="605"/>
      <c r="V189" s="605"/>
      <c r="W189" s="607"/>
      <c r="X189" s="605"/>
      <c r="Y189" s="605"/>
      <c r="Z189" s="605"/>
      <c r="AA189" s="607"/>
      <c r="AB189" s="605"/>
      <c r="AC189" s="605"/>
      <c r="AD189" s="605"/>
      <c r="AE189" s="607"/>
      <c r="AF189" s="605"/>
      <c r="AG189" s="605"/>
      <c r="AH189" s="605"/>
      <c r="AI189" s="607"/>
      <c r="AJ189" s="605"/>
      <c r="AK189" s="605"/>
      <c r="AL189" s="605"/>
      <c r="AM189" s="607"/>
      <c r="AN189" s="605"/>
      <c r="AO189" s="605"/>
      <c r="AP189" s="605"/>
      <c r="AQ189" s="607"/>
      <c r="AR189" s="605"/>
      <c r="AS189" s="605"/>
      <c r="AT189" s="605"/>
      <c r="AU189" s="607"/>
      <c r="AV189" s="605"/>
      <c r="AW189" s="605"/>
      <c r="AX189" s="605"/>
      <c r="AY189" s="607"/>
      <c r="AZ189" s="605"/>
      <c r="BA189" s="605"/>
      <c r="BB189" s="605"/>
      <c r="BC189" s="607"/>
      <c r="BD189" s="605"/>
      <c r="BE189" s="605"/>
      <c r="BF189" s="605"/>
      <c r="BG189" s="607"/>
      <c r="BH189" s="605"/>
      <c r="BI189" s="605"/>
      <c r="BJ189" s="605"/>
      <c r="BK189" s="607"/>
      <c r="BL189" s="605"/>
      <c r="BM189" s="605"/>
      <c r="BN189" s="605"/>
      <c r="BO189" s="607"/>
      <c r="BP189" s="605"/>
      <c r="BQ189" s="605"/>
      <c r="BR189" s="605"/>
      <c r="BS189" s="607"/>
      <c r="BT189" s="605"/>
      <c r="BU189" s="605"/>
      <c r="BV189" s="605"/>
      <c r="BW189" s="607"/>
      <c r="BX189" s="605"/>
      <c r="BY189" s="605"/>
      <c r="BZ189" s="605"/>
      <c r="CA189" s="607"/>
      <c r="CB189" s="605"/>
      <c r="CC189" s="608"/>
      <c r="CD189" s="608"/>
      <c r="CE189" s="609"/>
      <c r="CF189" s="608"/>
      <c r="CG189" s="608"/>
      <c r="CH189" s="608"/>
      <c r="CI189" s="609"/>
      <c r="CJ189" s="608"/>
      <c r="CK189" s="608"/>
      <c r="CL189" s="608"/>
      <c r="CM189" s="609"/>
      <c r="CN189" s="608"/>
      <c r="CO189" s="608"/>
      <c r="CP189" s="608"/>
      <c r="CQ189" s="609"/>
      <c r="CR189" s="608"/>
      <c r="CS189" s="608"/>
      <c r="CT189" s="608"/>
      <c r="CU189" s="609"/>
      <c r="CV189" s="406"/>
      <c r="CW189" s="605"/>
      <c r="CX189" s="605"/>
      <c r="CY189" s="605"/>
      <c r="CZ189" s="605"/>
      <c r="DA189" s="605"/>
      <c r="DB189" s="605"/>
      <c r="DC189" s="605"/>
      <c r="DD189" s="605"/>
      <c r="DE189" s="605"/>
      <c r="DF189" s="605"/>
      <c r="DG189" s="605"/>
      <c r="DH189" s="605"/>
      <c r="DI189" s="605"/>
      <c r="DJ189" s="605"/>
      <c r="DK189" s="605"/>
      <c r="DL189" s="605"/>
      <c r="DM189" s="605"/>
      <c r="DN189" s="605"/>
      <c r="DO189" s="605"/>
      <c r="DP189" s="608"/>
      <c r="DQ189" s="608"/>
      <c r="DR189" s="608"/>
      <c r="DS189" s="608"/>
      <c r="DT189" s="608"/>
      <c r="DU189" s="608"/>
      <c r="DV189" s="608"/>
      <c r="DW189" s="608"/>
      <c r="DX189" s="608"/>
      <c r="DY189" s="608"/>
      <c r="DZ189" s="608"/>
      <c r="EA189" s="605"/>
      <c r="EB189"/>
      <c r="EC189"/>
      <c r="ED189"/>
      <c r="EE189"/>
      <c r="EF189"/>
      <c r="EG189"/>
    </row>
    <row r="190" spans="1:137" s="410" customFormat="1">
      <c r="A190" s="400"/>
      <c r="B190" s="605" t="s">
        <v>375</v>
      </c>
      <c r="C190" s="658"/>
      <c r="D190" s="486"/>
      <c r="E190" s="401"/>
      <c r="F190" s="401"/>
      <c r="G190" s="487"/>
      <c r="H190" s="401"/>
      <c r="I190" s="401"/>
      <c r="J190" s="401"/>
      <c r="K190" s="487"/>
      <c r="L190" s="401"/>
      <c r="M190" s="401"/>
      <c r="N190" s="401"/>
      <c r="O190" s="487"/>
      <c r="P190" s="401"/>
      <c r="Q190" s="401"/>
      <c r="R190" s="401"/>
      <c r="S190" s="487"/>
      <c r="T190" s="401"/>
      <c r="U190" s="401"/>
      <c r="V190" s="401"/>
      <c r="W190" s="487"/>
      <c r="X190" s="401"/>
      <c r="Y190" s="401"/>
      <c r="Z190" s="401"/>
      <c r="AA190" s="487"/>
      <c r="AB190" s="401"/>
      <c r="AC190" s="401"/>
      <c r="AD190" s="401"/>
      <c r="AE190" s="487"/>
      <c r="AF190" s="401"/>
      <c r="AG190" s="401"/>
      <c r="AH190" s="401"/>
      <c r="AI190" s="487"/>
      <c r="AJ190" s="401"/>
      <c r="AK190" s="401"/>
      <c r="AL190" s="401"/>
      <c r="AM190" s="487"/>
      <c r="AN190" s="401"/>
      <c r="AO190" s="401"/>
      <c r="AP190" s="401"/>
      <c r="AQ190" s="487"/>
      <c r="AR190" s="401"/>
      <c r="AS190" s="401"/>
      <c r="AT190" s="401"/>
      <c r="AU190" s="487"/>
      <c r="AV190" s="401"/>
      <c r="AW190" s="401"/>
      <c r="AX190" s="401"/>
      <c r="AY190" s="487"/>
      <c r="AZ190" s="401"/>
      <c r="BA190" s="401"/>
      <c r="BB190" s="401"/>
      <c r="BC190" s="487"/>
      <c r="BD190" s="401"/>
      <c r="BE190" s="401"/>
      <c r="BF190" s="401"/>
      <c r="BG190" s="487"/>
      <c r="BH190" s="401"/>
      <c r="BI190" s="401"/>
      <c r="BJ190" s="401"/>
      <c r="BK190" s="487"/>
      <c r="BL190" s="401"/>
      <c r="BM190" s="401"/>
      <c r="BN190" s="401"/>
      <c r="BO190" s="487"/>
      <c r="BP190" s="401"/>
      <c r="BQ190" s="401"/>
      <c r="BR190" s="401"/>
      <c r="BS190" s="487"/>
      <c r="BT190" s="630"/>
      <c r="BU190" s="630"/>
      <c r="BV190" s="630"/>
      <c r="BW190" s="631"/>
      <c r="BX190" s="630"/>
      <c r="BY190" s="630"/>
      <c r="BZ190" s="630"/>
      <c r="CA190" s="631"/>
      <c r="CB190" s="630"/>
      <c r="CC190" s="630"/>
      <c r="CD190" s="630"/>
      <c r="CE190" s="631"/>
      <c r="CF190" s="630"/>
      <c r="CG190" s="630"/>
      <c r="CH190" s="630">
        <v>2032</v>
      </c>
      <c r="CI190" s="631">
        <v>1992</v>
      </c>
      <c r="CJ190" s="630">
        <v>1984</v>
      </c>
      <c r="CK190" s="630">
        <v>2032</v>
      </c>
      <c r="CL190" s="401">
        <f>CH195</f>
        <v>1884</v>
      </c>
      <c r="CM190" s="487">
        <f>CI195</f>
        <v>2123</v>
      </c>
      <c r="CN190" s="630">
        <v>2269</v>
      </c>
      <c r="CO190" s="401">
        <f>CK195</f>
        <v>2329</v>
      </c>
      <c r="CP190" s="401">
        <f>CL195</f>
        <v>2214</v>
      </c>
      <c r="CQ190" s="487">
        <f>CM195</f>
        <v>2259</v>
      </c>
      <c r="CR190" s="408"/>
      <c r="CS190" s="408"/>
      <c r="CT190" s="408"/>
      <c r="CU190" s="464"/>
      <c r="CV190" s="406"/>
      <c r="CW190" s="408"/>
      <c r="CX190" s="401"/>
      <c r="CY190" s="401"/>
      <c r="CZ190" s="401"/>
      <c r="DA190" s="401"/>
      <c r="DB190" s="401"/>
      <c r="DC190" s="401"/>
      <c r="DD190" s="401"/>
      <c r="DE190" s="401"/>
      <c r="DF190" s="401"/>
      <c r="DG190" s="401"/>
      <c r="DH190" s="401"/>
      <c r="DI190" s="401"/>
      <c r="DJ190" s="401"/>
      <c r="DK190" s="401"/>
      <c r="DL190" s="401"/>
      <c r="DM190" s="401"/>
      <c r="DN190" s="401"/>
      <c r="DO190" s="401"/>
      <c r="DP190" s="408"/>
      <c r="DQ190" s="408"/>
      <c r="DR190" s="408"/>
      <c r="DS190" s="408"/>
      <c r="DT190" s="408"/>
      <c r="DU190" s="408"/>
      <c r="DV190" s="408"/>
      <c r="DW190" s="408"/>
      <c r="DX190" s="408"/>
      <c r="DY190" s="408"/>
      <c r="DZ190" s="408"/>
      <c r="EA190" s="401"/>
      <c r="EB190"/>
      <c r="EC190"/>
      <c r="ED190"/>
      <c r="EE190"/>
      <c r="EF190"/>
      <c r="EG190"/>
    </row>
    <row r="191" spans="1:137" s="410" customFormat="1">
      <c r="A191" s="400"/>
      <c r="B191" s="700" t="s">
        <v>377</v>
      </c>
      <c r="C191" s="658"/>
      <c r="D191" s="486"/>
      <c r="E191" s="401"/>
      <c r="F191" s="401"/>
      <c r="G191" s="487"/>
      <c r="H191" s="401"/>
      <c r="I191" s="401"/>
      <c r="J191" s="401"/>
      <c r="K191" s="487"/>
      <c r="L191" s="401"/>
      <c r="M191" s="401"/>
      <c r="N191" s="401"/>
      <c r="O191" s="487"/>
      <c r="P191" s="401"/>
      <c r="Q191" s="401"/>
      <c r="R191" s="401"/>
      <c r="S191" s="487"/>
      <c r="T191" s="401"/>
      <c r="U191" s="401"/>
      <c r="V191" s="401"/>
      <c r="W191" s="487"/>
      <c r="X191" s="401"/>
      <c r="Y191" s="401"/>
      <c r="Z191" s="401"/>
      <c r="AA191" s="487"/>
      <c r="AB191" s="401"/>
      <c r="AC191" s="401"/>
      <c r="AD191" s="401"/>
      <c r="AE191" s="487"/>
      <c r="AF191" s="401"/>
      <c r="AG191" s="401"/>
      <c r="AH191" s="401"/>
      <c r="AI191" s="487"/>
      <c r="AJ191" s="401"/>
      <c r="AK191" s="401"/>
      <c r="AL191" s="401"/>
      <c r="AM191" s="487"/>
      <c r="AN191" s="401"/>
      <c r="AO191" s="401"/>
      <c r="AP191" s="401"/>
      <c r="AQ191" s="487"/>
      <c r="AR191" s="401"/>
      <c r="AS191" s="401"/>
      <c r="AT191" s="401"/>
      <c r="AU191" s="487"/>
      <c r="AV191" s="401"/>
      <c r="AW191" s="401"/>
      <c r="AX191" s="401"/>
      <c r="AY191" s="487"/>
      <c r="AZ191" s="401"/>
      <c r="BA191" s="401"/>
      <c r="BB191" s="401"/>
      <c r="BC191" s="487"/>
      <c r="BD191" s="401"/>
      <c r="BE191" s="401"/>
      <c r="BF191" s="401"/>
      <c r="BG191" s="487"/>
      <c r="BH191" s="401"/>
      <c r="BI191" s="401"/>
      <c r="BJ191" s="401"/>
      <c r="BK191" s="487"/>
      <c r="BL191" s="401"/>
      <c r="BM191" s="401"/>
      <c r="BN191" s="401"/>
      <c r="BO191" s="487"/>
      <c r="BP191" s="401"/>
      <c r="BQ191" s="401"/>
      <c r="BR191" s="401"/>
      <c r="BS191" s="487"/>
      <c r="BT191" s="630"/>
      <c r="BU191" s="630"/>
      <c r="BV191" s="630"/>
      <c r="BW191" s="631"/>
      <c r="BX191" s="630"/>
      <c r="BY191" s="630"/>
      <c r="BZ191" s="630"/>
      <c r="CA191" s="631"/>
      <c r="CB191" s="630"/>
      <c r="CC191" s="630"/>
      <c r="CD191" s="630"/>
      <c r="CE191" s="631"/>
      <c r="CF191" s="630"/>
      <c r="CG191" s="630"/>
      <c r="CH191" s="630"/>
      <c r="CI191" s="631">
        <v>147</v>
      </c>
      <c r="CJ191" s="630">
        <v>252</v>
      </c>
      <c r="CK191" s="630">
        <v>240</v>
      </c>
      <c r="CL191" s="630">
        <v>215</v>
      </c>
      <c r="CM191" s="631">
        <v>37</v>
      </c>
      <c r="CN191" s="630">
        <v>-90</v>
      </c>
      <c r="CO191" s="630">
        <v>-77</v>
      </c>
      <c r="CP191" s="630">
        <v>-68</v>
      </c>
      <c r="CQ191" s="631">
        <f>-23+19</f>
        <v>-4</v>
      </c>
      <c r="CR191" s="408"/>
      <c r="CS191" s="408"/>
      <c r="CT191" s="408"/>
      <c r="CU191" s="464"/>
      <c r="CV191" s="406"/>
      <c r="CW191" s="408"/>
      <c r="CX191" s="401"/>
      <c r="CY191" s="401"/>
      <c r="CZ191" s="401"/>
      <c r="DA191" s="401"/>
      <c r="DB191" s="401"/>
      <c r="DC191" s="401"/>
      <c r="DD191" s="401"/>
      <c r="DE191" s="401"/>
      <c r="DF191" s="401"/>
      <c r="DG191" s="401"/>
      <c r="DH191" s="401"/>
      <c r="DI191" s="401"/>
      <c r="DJ191" s="401"/>
      <c r="DK191" s="401"/>
      <c r="DL191" s="401"/>
      <c r="DM191" s="401"/>
      <c r="DN191" s="401"/>
      <c r="DO191" s="401"/>
      <c r="DP191" s="408"/>
      <c r="DQ191" s="408"/>
      <c r="DR191" s="408"/>
      <c r="DS191" s="408"/>
      <c r="DT191" s="408"/>
      <c r="DU191" s="408"/>
      <c r="DV191" s="408"/>
      <c r="DW191" s="408"/>
      <c r="DX191" s="408"/>
      <c r="DY191" s="408"/>
      <c r="DZ191" s="408"/>
      <c r="EA191" s="401"/>
      <c r="EB191"/>
      <c r="EC191"/>
      <c r="ED191"/>
      <c r="EE191"/>
      <c r="EF191"/>
      <c r="EG191"/>
    </row>
    <row r="192" spans="1:137" s="410" customFormat="1">
      <c r="A192" s="400"/>
      <c r="B192" s="700" t="s">
        <v>376</v>
      </c>
      <c r="C192" s="658"/>
      <c r="D192" s="486"/>
      <c r="E192" s="401"/>
      <c r="F192" s="401"/>
      <c r="G192" s="487"/>
      <c r="H192" s="401"/>
      <c r="I192" s="401"/>
      <c r="J192" s="401"/>
      <c r="K192" s="487"/>
      <c r="L192" s="401"/>
      <c r="M192" s="401"/>
      <c r="N192" s="401"/>
      <c r="O192" s="487"/>
      <c r="P192" s="401"/>
      <c r="Q192" s="401"/>
      <c r="R192" s="401"/>
      <c r="S192" s="487"/>
      <c r="T192" s="401"/>
      <c r="U192" s="401"/>
      <c r="V192" s="401"/>
      <c r="W192" s="487"/>
      <c r="X192" s="401"/>
      <c r="Y192" s="401"/>
      <c r="Z192" s="401"/>
      <c r="AA192" s="487"/>
      <c r="AB192" s="401"/>
      <c r="AC192" s="401"/>
      <c r="AD192" s="401"/>
      <c r="AE192" s="487"/>
      <c r="AF192" s="401"/>
      <c r="AG192" s="401"/>
      <c r="AH192" s="401"/>
      <c r="AI192" s="487"/>
      <c r="AJ192" s="401"/>
      <c r="AK192" s="401"/>
      <c r="AL192" s="401"/>
      <c r="AM192" s="487"/>
      <c r="AN192" s="401"/>
      <c r="AO192" s="401"/>
      <c r="AP192" s="401"/>
      <c r="AQ192" s="487"/>
      <c r="AR192" s="401"/>
      <c r="AS192" s="401"/>
      <c r="AT192" s="401"/>
      <c r="AU192" s="487"/>
      <c r="AV192" s="401"/>
      <c r="AW192" s="401"/>
      <c r="AX192" s="401"/>
      <c r="AY192" s="487"/>
      <c r="AZ192" s="401"/>
      <c r="BA192" s="401"/>
      <c r="BB192" s="401"/>
      <c r="BC192" s="487"/>
      <c r="BD192" s="401"/>
      <c r="BE192" s="401"/>
      <c r="BF192" s="401"/>
      <c r="BG192" s="487"/>
      <c r="BH192" s="401"/>
      <c r="BI192" s="401"/>
      <c r="BJ192" s="401"/>
      <c r="BK192" s="487"/>
      <c r="BL192" s="401"/>
      <c r="BM192" s="401"/>
      <c r="BN192" s="401"/>
      <c r="BO192" s="487"/>
      <c r="BP192" s="401"/>
      <c r="BQ192" s="401"/>
      <c r="BR192" s="401"/>
      <c r="BS192" s="487"/>
      <c r="BT192" s="630"/>
      <c r="BU192" s="630"/>
      <c r="BV192" s="630"/>
      <c r="BW192" s="631"/>
      <c r="BX192" s="630"/>
      <c r="BY192" s="630"/>
      <c r="BZ192" s="630"/>
      <c r="CA192" s="631"/>
      <c r="CB192" s="630"/>
      <c r="CC192" s="630"/>
      <c r="CD192" s="630"/>
      <c r="CE192" s="631"/>
      <c r="CF192" s="630"/>
      <c r="CG192" s="630"/>
      <c r="CH192" s="630"/>
      <c r="CI192" s="631"/>
      <c r="CJ192" s="630"/>
      <c r="CK192" s="630"/>
      <c r="CL192" s="630"/>
      <c r="CM192" s="631"/>
      <c r="CN192" s="630">
        <v>212</v>
      </c>
      <c r="CO192" s="630">
        <v>234</v>
      </c>
      <c r="CP192" s="630">
        <v>268</v>
      </c>
      <c r="CQ192" s="631">
        <v>255</v>
      </c>
      <c r="CR192" s="408"/>
      <c r="CS192" s="408"/>
      <c r="CT192" s="408"/>
      <c r="CU192" s="464"/>
      <c r="CV192" s="406"/>
      <c r="CW192" s="408"/>
      <c r="CX192" s="401"/>
      <c r="CY192" s="401"/>
      <c r="CZ192" s="401"/>
      <c r="DA192" s="401"/>
      <c r="DB192" s="401"/>
      <c r="DC192" s="401"/>
      <c r="DD192" s="401"/>
      <c r="DE192" s="401"/>
      <c r="DF192" s="401"/>
      <c r="DG192" s="401"/>
      <c r="DH192" s="401"/>
      <c r="DI192" s="401"/>
      <c r="DJ192" s="401"/>
      <c r="DK192" s="401"/>
      <c r="DL192" s="401"/>
      <c r="DM192" s="401"/>
      <c r="DN192" s="401"/>
      <c r="DO192" s="401"/>
      <c r="DP192" s="408"/>
      <c r="DQ192" s="408"/>
      <c r="DR192" s="408"/>
      <c r="DS192" s="408"/>
      <c r="DT192" s="408"/>
      <c r="DU192" s="408"/>
      <c r="DV192" s="408"/>
      <c r="DW192" s="408"/>
      <c r="DX192" s="408"/>
      <c r="DY192" s="408"/>
      <c r="DZ192" s="408"/>
      <c r="EA192" s="401"/>
      <c r="EB192"/>
      <c r="EC192"/>
      <c r="ED192"/>
      <c r="EE192"/>
      <c r="EF192"/>
      <c r="EG192"/>
    </row>
    <row r="193" spans="1:137" s="410" customFormat="1">
      <c r="A193" s="400"/>
      <c r="B193" s="700" t="s">
        <v>378</v>
      </c>
      <c r="C193" s="658"/>
      <c r="D193" s="486"/>
      <c r="E193" s="401"/>
      <c r="F193" s="401"/>
      <c r="G193" s="487"/>
      <c r="H193" s="401"/>
      <c r="I193" s="401"/>
      <c r="J193" s="401"/>
      <c r="K193" s="487"/>
      <c r="L193" s="401"/>
      <c r="M193" s="401"/>
      <c r="N193" s="401"/>
      <c r="O193" s="487"/>
      <c r="P193" s="401"/>
      <c r="Q193" s="401"/>
      <c r="R193" s="401"/>
      <c r="S193" s="487"/>
      <c r="T193" s="401"/>
      <c r="U193" s="401"/>
      <c r="V193" s="401"/>
      <c r="W193" s="487"/>
      <c r="X193" s="401"/>
      <c r="Y193" s="401"/>
      <c r="Z193" s="401"/>
      <c r="AA193" s="487"/>
      <c r="AB193" s="401"/>
      <c r="AC193" s="401"/>
      <c r="AD193" s="401"/>
      <c r="AE193" s="487"/>
      <c r="AF193" s="401"/>
      <c r="AG193" s="401"/>
      <c r="AH193" s="401"/>
      <c r="AI193" s="487"/>
      <c r="AJ193" s="401"/>
      <c r="AK193" s="401"/>
      <c r="AL193" s="401"/>
      <c r="AM193" s="487"/>
      <c r="AN193" s="401"/>
      <c r="AO193" s="401"/>
      <c r="AP193" s="401"/>
      <c r="AQ193" s="487"/>
      <c r="AR193" s="401"/>
      <c r="AS193" s="401"/>
      <c r="AT193" s="401"/>
      <c r="AU193" s="487"/>
      <c r="AV193" s="401"/>
      <c r="AW193" s="401"/>
      <c r="AX193" s="401"/>
      <c r="AY193" s="487"/>
      <c r="AZ193" s="401"/>
      <c r="BA193" s="401"/>
      <c r="BB193" s="401"/>
      <c r="BC193" s="487"/>
      <c r="BD193" s="401"/>
      <c r="BE193" s="401"/>
      <c r="BF193" s="401"/>
      <c r="BG193" s="487"/>
      <c r="BH193" s="401"/>
      <c r="BI193" s="401"/>
      <c r="BJ193" s="401"/>
      <c r="BK193" s="487"/>
      <c r="BL193" s="401"/>
      <c r="BM193" s="401"/>
      <c r="BN193" s="401"/>
      <c r="BO193" s="487"/>
      <c r="BP193" s="401"/>
      <c r="BQ193" s="401"/>
      <c r="BR193" s="401"/>
      <c r="BS193" s="487"/>
      <c r="BT193" s="630"/>
      <c r="BU193" s="630"/>
      <c r="BV193" s="630"/>
      <c r="BW193" s="631"/>
      <c r="BX193" s="630"/>
      <c r="BY193" s="630"/>
      <c r="BZ193" s="630"/>
      <c r="CA193" s="631"/>
      <c r="CB193" s="630"/>
      <c r="CC193" s="630"/>
      <c r="CD193" s="630"/>
      <c r="CE193" s="631"/>
      <c r="CF193" s="630"/>
      <c r="CG193" s="630"/>
      <c r="CH193" s="630">
        <v>66</v>
      </c>
      <c r="CI193" s="631">
        <v>141</v>
      </c>
      <c r="CJ193" s="630">
        <v>90</v>
      </c>
      <c r="CK193" s="630">
        <v>71</v>
      </c>
      <c r="CL193" s="630">
        <v>115</v>
      </c>
      <c r="CM193" s="631">
        <v>139</v>
      </c>
      <c r="CN193" s="630">
        <v>65</v>
      </c>
      <c r="CO193" s="630">
        <v>-58</v>
      </c>
      <c r="CP193" s="630">
        <v>-36</v>
      </c>
      <c r="CQ193" s="631">
        <v>-27</v>
      </c>
      <c r="CR193" s="408"/>
      <c r="CS193" s="408"/>
      <c r="CT193" s="408"/>
      <c r="CU193" s="464"/>
      <c r="CV193" s="406"/>
      <c r="CW193" s="408"/>
      <c r="CX193" s="401"/>
      <c r="CY193" s="401"/>
      <c r="CZ193" s="401"/>
      <c r="DA193" s="401"/>
      <c r="DB193" s="401"/>
      <c r="DC193" s="401"/>
      <c r="DD193" s="401"/>
      <c r="DE193" s="401"/>
      <c r="DF193" s="401"/>
      <c r="DG193" s="401"/>
      <c r="DH193" s="401"/>
      <c r="DI193" s="401"/>
      <c r="DJ193" s="401"/>
      <c r="DK193" s="401"/>
      <c r="DL193" s="401"/>
      <c r="DM193" s="401"/>
      <c r="DN193" s="401"/>
      <c r="DO193" s="401"/>
      <c r="DP193" s="408"/>
      <c r="DQ193" s="408"/>
      <c r="DR193" s="408"/>
      <c r="DS193" s="408"/>
      <c r="DT193" s="408"/>
      <c r="DU193" s="408"/>
      <c r="DV193" s="408"/>
      <c r="DW193" s="408"/>
      <c r="DX193" s="408"/>
      <c r="DY193" s="408"/>
      <c r="DZ193" s="408"/>
      <c r="EA193" s="401"/>
      <c r="EB193"/>
      <c r="EC193"/>
      <c r="ED193"/>
      <c r="EE193"/>
      <c r="EF193"/>
      <c r="EG193"/>
    </row>
    <row r="194" spans="1:137" s="410" customFormat="1">
      <c r="A194" s="400"/>
      <c r="B194" s="700" t="s">
        <v>379</v>
      </c>
      <c r="C194" s="658"/>
      <c r="D194" s="486"/>
      <c r="E194" s="401"/>
      <c r="F194" s="401"/>
      <c r="G194" s="487"/>
      <c r="H194" s="401"/>
      <c r="I194" s="401"/>
      <c r="J194" s="401"/>
      <c r="K194" s="487"/>
      <c r="L194" s="401"/>
      <c r="M194" s="401"/>
      <c r="N194" s="401"/>
      <c r="O194" s="487"/>
      <c r="P194" s="401"/>
      <c r="Q194" s="401"/>
      <c r="R194" s="401"/>
      <c r="S194" s="487"/>
      <c r="T194" s="401"/>
      <c r="U194" s="401"/>
      <c r="V194" s="401"/>
      <c r="W194" s="487"/>
      <c r="X194" s="401"/>
      <c r="Y194" s="401"/>
      <c r="Z194" s="401"/>
      <c r="AA194" s="487"/>
      <c r="AB194" s="401"/>
      <c r="AC194" s="401"/>
      <c r="AD194" s="401"/>
      <c r="AE194" s="487"/>
      <c r="AF194" s="401"/>
      <c r="AG194" s="401"/>
      <c r="AH194" s="401"/>
      <c r="AI194" s="487"/>
      <c r="AJ194" s="401"/>
      <c r="AK194" s="401"/>
      <c r="AL194" s="401"/>
      <c r="AM194" s="487"/>
      <c r="AN194" s="401"/>
      <c r="AO194" s="401"/>
      <c r="AP194" s="401"/>
      <c r="AQ194" s="487"/>
      <c r="AR194" s="401"/>
      <c r="AS194" s="401"/>
      <c r="AT194" s="401"/>
      <c r="AU194" s="487"/>
      <c r="AV194" s="401"/>
      <c r="AW194" s="401"/>
      <c r="AX194" s="401"/>
      <c r="AY194" s="487"/>
      <c r="AZ194" s="401"/>
      <c r="BA194" s="401"/>
      <c r="BB194" s="401"/>
      <c r="BC194" s="487"/>
      <c r="BD194" s="401"/>
      <c r="BE194" s="401"/>
      <c r="BF194" s="401"/>
      <c r="BG194" s="487"/>
      <c r="BH194" s="401"/>
      <c r="BI194" s="401"/>
      <c r="BJ194" s="401"/>
      <c r="BK194" s="487"/>
      <c r="BL194" s="401"/>
      <c r="BM194" s="401"/>
      <c r="BN194" s="401"/>
      <c r="BO194" s="487"/>
      <c r="BP194" s="401"/>
      <c r="BQ194" s="401"/>
      <c r="BR194" s="401"/>
      <c r="BS194" s="487"/>
      <c r="BT194" s="630"/>
      <c r="BU194" s="630"/>
      <c r="BV194" s="630"/>
      <c r="BW194" s="631"/>
      <c r="BX194" s="630"/>
      <c r="BY194" s="630"/>
      <c r="BZ194" s="630"/>
      <c r="CA194" s="631"/>
      <c r="CB194" s="630"/>
      <c r="CC194" s="630"/>
      <c r="CD194" s="630"/>
      <c r="CE194" s="631"/>
      <c r="CF194" s="630"/>
      <c r="CG194" s="630"/>
      <c r="CH194" s="630">
        <v>-214</v>
      </c>
      <c r="CI194" s="631">
        <v>-157</v>
      </c>
      <c r="CJ194" s="630">
        <v>-58</v>
      </c>
      <c r="CK194" s="630">
        <v>-14</v>
      </c>
      <c r="CL194" s="630"/>
      <c r="CM194" s="631">
        <v>-40</v>
      </c>
      <c r="CN194" s="630">
        <v>-49</v>
      </c>
      <c r="CO194" s="630">
        <v>-38</v>
      </c>
      <c r="CP194" s="630">
        <v>38</v>
      </c>
      <c r="CQ194" s="631">
        <v>103</v>
      </c>
      <c r="CR194" s="408"/>
      <c r="CS194" s="408"/>
      <c r="CT194" s="408"/>
      <c r="CU194" s="464"/>
      <c r="CV194" s="406"/>
      <c r="CW194" s="408"/>
      <c r="CX194" s="401"/>
      <c r="CY194" s="401"/>
      <c r="CZ194" s="401"/>
      <c r="DA194" s="401"/>
      <c r="DB194" s="401"/>
      <c r="DC194" s="401"/>
      <c r="DD194" s="401"/>
      <c r="DE194" s="401"/>
      <c r="DF194" s="401"/>
      <c r="DG194" s="401"/>
      <c r="DH194" s="401"/>
      <c r="DI194" s="401"/>
      <c r="DJ194" s="401"/>
      <c r="DK194" s="401"/>
      <c r="DL194" s="401"/>
      <c r="DM194" s="401"/>
      <c r="DN194" s="401"/>
      <c r="DO194" s="401"/>
      <c r="DP194" s="408"/>
      <c r="DQ194" s="408"/>
      <c r="DR194" s="408"/>
      <c r="DS194" s="408"/>
      <c r="DT194" s="610"/>
      <c r="DU194" s="408"/>
      <c r="DV194" s="408"/>
      <c r="DW194" s="408"/>
      <c r="DX194" s="408"/>
      <c r="DY194" s="408"/>
      <c r="DZ194" s="408"/>
      <c r="EA194" s="401"/>
      <c r="EB194"/>
      <c r="EC194"/>
      <c r="ED194"/>
      <c r="EE194"/>
      <c r="EF194"/>
      <c r="EG194"/>
    </row>
    <row r="195" spans="1:137" s="410" customFormat="1">
      <c r="A195" s="400"/>
      <c r="B195" s="605" t="s">
        <v>380</v>
      </c>
      <c r="C195" s="658"/>
      <c r="D195" s="486"/>
      <c r="E195" s="401"/>
      <c r="F195" s="401"/>
      <c r="G195" s="487"/>
      <c r="H195" s="401"/>
      <c r="I195" s="401"/>
      <c r="J195" s="401"/>
      <c r="K195" s="487"/>
      <c r="L195" s="401"/>
      <c r="M195" s="401"/>
      <c r="N195" s="401"/>
      <c r="O195" s="487"/>
      <c r="P195" s="401"/>
      <c r="Q195" s="401"/>
      <c r="R195" s="401"/>
      <c r="S195" s="487"/>
      <c r="T195" s="401"/>
      <c r="U195" s="401"/>
      <c r="V195" s="401"/>
      <c r="W195" s="487"/>
      <c r="X195" s="401"/>
      <c r="Y195" s="401"/>
      <c r="Z195" s="401"/>
      <c r="AA195" s="487"/>
      <c r="AB195" s="401"/>
      <c r="AC195" s="401"/>
      <c r="AD195" s="401"/>
      <c r="AE195" s="487"/>
      <c r="AF195" s="401"/>
      <c r="AG195" s="401"/>
      <c r="AH195" s="401"/>
      <c r="AI195" s="487"/>
      <c r="AJ195" s="401"/>
      <c r="AK195" s="401"/>
      <c r="AL195" s="401"/>
      <c r="AM195" s="487"/>
      <c r="AN195" s="401"/>
      <c r="AO195" s="401"/>
      <c r="AP195" s="401"/>
      <c r="AQ195" s="487"/>
      <c r="AR195" s="401"/>
      <c r="AS195" s="401"/>
      <c r="AT195" s="401"/>
      <c r="AU195" s="487"/>
      <c r="AV195" s="401"/>
      <c r="AW195" s="401"/>
      <c r="AX195" s="401"/>
      <c r="AY195" s="487"/>
      <c r="AZ195" s="401"/>
      <c r="BA195" s="401"/>
      <c r="BB195" s="401"/>
      <c r="BC195" s="487"/>
      <c r="BD195" s="401"/>
      <c r="BE195" s="401"/>
      <c r="BF195" s="401"/>
      <c r="BG195" s="487"/>
      <c r="BH195" s="401"/>
      <c r="BI195" s="401"/>
      <c r="BJ195" s="401"/>
      <c r="BK195" s="487"/>
      <c r="BL195" s="401"/>
      <c r="BM195" s="401"/>
      <c r="BN195" s="401"/>
      <c r="BO195" s="487"/>
      <c r="BP195" s="401"/>
      <c r="BQ195" s="401"/>
      <c r="BR195" s="401"/>
      <c r="BS195" s="487"/>
      <c r="BT195" s="401"/>
      <c r="BU195" s="401"/>
      <c r="BV195" s="401"/>
      <c r="BW195" s="487"/>
      <c r="BX195" s="401"/>
      <c r="BY195" s="401"/>
      <c r="BZ195" s="401"/>
      <c r="CA195" s="487"/>
      <c r="CB195" s="401"/>
      <c r="CC195" s="408"/>
      <c r="CD195" s="408"/>
      <c r="CE195" s="464"/>
      <c r="CF195" s="408"/>
      <c r="CG195" s="408"/>
      <c r="CH195" s="408">
        <f>SUM(CH190:CH194)</f>
        <v>1884</v>
      </c>
      <c r="CI195" s="464">
        <f>SUM(CI190:CI194)</f>
        <v>2123</v>
      </c>
      <c r="CJ195" s="408">
        <f t="shared" ref="CJ195:CP195" si="710">SUM(CJ190:CJ194)</f>
        <v>2268</v>
      </c>
      <c r="CK195" s="408">
        <f t="shared" si="710"/>
        <v>2329</v>
      </c>
      <c r="CL195" s="408">
        <f t="shared" si="710"/>
        <v>2214</v>
      </c>
      <c r="CM195" s="464">
        <f t="shared" si="710"/>
        <v>2259</v>
      </c>
      <c r="CN195" s="408">
        <f t="shared" si="710"/>
        <v>2407</v>
      </c>
      <c r="CO195" s="408">
        <f t="shared" si="710"/>
        <v>2390</v>
      </c>
      <c r="CP195" s="408">
        <f t="shared" si="710"/>
        <v>2416</v>
      </c>
      <c r="CQ195" s="464">
        <f t="shared" ref="CQ195" si="711">SUM(CQ190:CQ194)</f>
        <v>2586</v>
      </c>
      <c r="CR195" s="408"/>
      <c r="CS195" s="408"/>
      <c r="CT195" s="408"/>
      <c r="CU195" s="464"/>
      <c r="CV195" s="406"/>
      <c r="CW195" s="408"/>
      <c r="CX195" s="401"/>
      <c r="CY195" s="401"/>
      <c r="CZ195" s="401"/>
      <c r="DA195" s="401"/>
      <c r="DB195" s="401"/>
      <c r="DC195" s="401"/>
      <c r="DD195" s="401"/>
      <c r="DE195" s="401"/>
      <c r="DF195" s="401"/>
      <c r="DG195" s="401"/>
      <c r="DH195" s="401"/>
      <c r="DI195" s="401"/>
      <c r="DJ195" s="401"/>
      <c r="DK195" s="401"/>
      <c r="DL195" s="401"/>
      <c r="DM195" s="401"/>
      <c r="DN195" s="401"/>
      <c r="DO195" s="401"/>
      <c r="DP195" s="408"/>
      <c r="DQ195" s="408"/>
      <c r="DR195" s="408"/>
      <c r="DS195" s="408"/>
      <c r="DT195" s="610"/>
      <c r="DU195" s="408"/>
      <c r="DV195" s="408"/>
      <c r="DW195" s="408"/>
      <c r="DX195" s="408"/>
      <c r="DY195" s="408"/>
      <c r="DZ195" s="408"/>
      <c r="EA195" s="401"/>
      <c r="EB195"/>
      <c r="EC195"/>
      <c r="ED195"/>
      <c r="EE195"/>
      <c r="EF195"/>
      <c r="EG195"/>
    </row>
    <row r="196" spans="1:137" s="410" customFormat="1">
      <c r="A196" s="400"/>
      <c r="B196" s="605"/>
      <c r="C196" s="658"/>
      <c r="D196" s="486"/>
      <c r="E196" s="401"/>
      <c r="F196" s="401"/>
      <c r="G196" s="487"/>
      <c r="H196" s="401"/>
      <c r="I196" s="401"/>
      <c r="J196" s="401"/>
      <c r="K196" s="487"/>
      <c r="L196" s="401"/>
      <c r="M196" s="401"/>
      <c r="N196" s="401"/>
      <c r="O196" s="487"/>
      <c r="P196" s="401"/>
      <c r="Q196" s="401"/>
      <c r="R196" s="401"/>
      <c r="S196" s="487"/>
      <c r="T196" s="401"/>
      <c r="U196" s="401"/>
      <c r="V196" s="401"/>
      <c r="W196" s="487"/>
      <c r="X196" s="401"/>
      <c r="Y196" s="401"/>
      <c r="Z196" s="401"/>
      <c r="AA196" s="487"/>
      <c r="AB196" s="401"/>
      <c r="AC196" s="401"/>
      <c r="AD196" s="401"/>
      <c r="AE196" s="487"/>
      <c r="AF196" s="401"/>
      <c r="AG196" s="401"/>
      <c r="AH196" s="401"/>
      <c r="AI196" s="487"/>
      <c r="AJ196" s="401"/>
      <c r="AK196" s="401"/>
      <c r="AL196" s="401"/>
      <c r="AM196" s="487"/>
      <c r="AN196" s="401"/>
      <c r="AO196" s="401"/>
      <c r="AP196" s="401"/>
      <c r="AQ196" s="487"/>
      <c r="AR196" s="401"/>
      <c r="AS196" s="401"/>
      <c r="AT196" s="401"/>
      <c r="AU196" s="487"/>
      <c r="AV196" s="401"/>
      <c r="AW196" s="401"/>
      <c r="AX196" s="401"/>
      <c r="AY196" s="487"/>
      <c r="AZ196" s="401"/>
      <c r="BA196" s="401"/>
      <c r="BB196" s="401"/>
      <c r="BC196" s="487"/>
      <c r="BD196" s="401"/>
      <c r="BE196" s="401"/>
      <c r="BF196" s="401"/>
      <c r="BG196" s="487"/>
      <c r="BH196" s="401"/>
      <c r="BI196" s="401"/>
      <c r="BJ196" s="401"/>
      <c r="BK196" s="487"/>
      <c r="BL196" s="401"/>
      <c r="BM196" s="401"/>
      <c r="BN196" s="401"/>
      <c r="BO196" s="487"/>
      <c r="BP196" s="401"/>
      <c r="BQ196" s="401"/>
      <c r="BR196" s="401"/>
      <c r="BS196" s="487"/>
      <c r="BT196" s="401"/>
      <c r="BU196" s="401"/>
      <c r="BV196" s="401"/>
      <c r="BW196" s="487"/>
      <c r="BX196" s="401"/>
      <c r="BY196" s="401"/>
      <c r="BZ196" s="401"/>
      <c r="CA196" s="487"/>
      <c r="CB196" s="401"/>
      <c r="CC196" s="408"/>
      <c r="CD196" s="408"/>
      <c r="CE196" s="464"/>
      <c r="CF196" s="408"/>
      <c r="CG196" s="408"/>
      <c r="CH196" s="408"/>
      <c r="CI196" s="464"/>
      <c r="CJ196" s="408"/>
      <c r="CK196" s="408"/>
      <c r="CL196" s="408"/>
      <c r="CM196" s="464"/>
      <c r="CN196" s="408"/>
      <c r="CO196" s="408"/>
      <c r="CP196" s="408"/>
      <c r="CQ196" s="464"/>
      <c r="CR196" s="408"/>
      <c r="CS196" s="408"/>
      <c r="CT196" s="408"/>
      <c r="CU196" s="464"/>
      <c r="CV196" s="406"/>
      <c r="CW196" s="408"/>
      <c r="CX196" s="401"/>
      <c r="CY196" s="401"/>
      <c r="CZ196" s="401"/>
      <c r="DA196" s="401"/>
      <c r="DB196" s="401"/>
      <c r="DC196" s="401"/>
      <c r="DD196" s="401"/>
      <c r="DE196" s="401"/>
      <c r="DF196" s="401"/>
      <c r="DG196" s="401"/>
      <c r="DH196" s="401"/>
      <c r="DI196" s="401"/>
      <c r="DJ196" s="401"/>
      <c r="DK196" s="401"/>
      <c r="DL196" s="401"/>
      <c r="DM196" s="401"/>
      <c r="DN196" s="401"/>
      <c r="DO196" s="401"/>
      <c r="DP196" s="408"/>
      <c r="DQ196" s="408"/>
      <c r="DR196" s="408"/>
      <c r="DS196" s="408"/>
      <c r="DT196" s="408"/>
      <c r="DU196" s="408"/>
      <c r="DV196" s="408"/>
      <c r="DW196" s="408"/>
      <c r="DX196" s="408"/>
      <c r="DY196" s="408"/>
      <c r="DZ196" s="408"/>
      <c r="EA196" s="401"/>
      <c r="EB196"/>
      <c r="EC196"/>
      <c r="ED196"/>
      <c r="EE196"/>
      <c r="EF196"/>
      <c r="EG196"/>
    </row>
    <row r="197" spans="1:137" s="649" customFormat="1">
      <c r="A197" s="645"/>
      <c r="B197" s="701" t="s">
        <v>194</v>
      </c>
      <c r="C197" s="908"/>
      <c r="D197" s="652"/>
      <c r="E197" s="651"/>
      <c r="F197" s="651"/>
      <c r="G197" s="653"/>
      <c r="H197" s="651"/>
      <c r="I197" s="651"/>
      <c r="J197" s="651"/>
      <c r="K197" s="653"/>
      <c r="L197" s="651"/>
      <c r="M197" s="651"/>
      <c r="N197" s="651"/>
      <c r="O197" s="653"/>
      <c r="P197" s="651"/>
      <c r="Q197" s="651"/>
      <c r="R197" s="651"/>
      <c r="S197" s="653"/>
      <c r="T197" s="651"/>
      <c r="U197" s="651"/>
      <c r="V197" s="651"/>
      <c r="W197" s="653"/>
      <c r="X197" s="651"/>
      <c r="Y197" s="651"/>
      <c r="Z197" s="651"/>
      <c r="AA197" s="653"/>
      <c r="AB197" s="651"/>
      <c r="AC197" s="651"/>
      <c r="AD197" s="651"/>
      <c r="AE197" s="653"/>
      <c r="AF197" s="651"/>
      <c r="AG197" s="651"/>
      <c r="AH197" s="651"/>
      <c r="AI197" s="653"/>
      <c r="AJ197" s="651"/>
      <c r="AK197" s="651"/>
      <c r="AL197" s="651"/>
      <c r="AM197" s="653"/>
      <c r="AN197" s="651"/>
      <c r="AO197" s="651"/>
      <c r="AP197" s="651"/>
      <c r="AQ197" s="653"/>
      <c r="AR197" s="651"/>
      <c r="AS197" s="651"/>
      <c r="AT197" s="651"/>
      <c r="AU197" s="653"/>
      <c r="AV197" s="651"/>
      <c r="AW197" s="651"/>
      <c r="AX197" s="651"/>
      <c r="AY197" s="653"/>
      <c r="AZ197" s="651"/>
      <c r="BA197" s="651"/>
      <c r="BB197" s="651"/>
      <c r="BC197" s="653"/>
      <c r="BD197" s="651"/>
      <c r="BE197" s="651"/>
      <c r="BF197" s="651"/>
      <c r="BG197" s="653"/>
      <c r="BH197" s="651"/>
      <c r="BI197" s="651"/>
      <c r="BJ197" s="651"/>
      <c r="BK197" s="653"/>
      <c r="BL197" s="651"/>
      <c r="BM197" s="651"/>
      <c r="BN197" s="651"/>
      <c r="BO197" s="653"/>
      <c r="BP197" s="651"/>
      <c r="BQ197" s="651"/>
      <c r="BR197" s="651"/>
      <c r="BS197" s="653"/>
      <c r="BT197" s="651"/>
      <c r="BU197" s="651"/>
      <c r="BV197" s="651"/>
      <c r="BW197" s="653"/>
      <c r="BX197" s="651"/>
      <c r="BY197" s="651"/>
      <c r="BZ197" s="651"/>
      <c r="CA197" s="653"/>
      <c r="CB197" s="651"/>
      <c r="CC197" s="651"/>
      <c r="CD197" s="651"/>
      <c r="CE197" s="653"/>
      <c r="CF197" s="651"/>
      <c r="CG197" s="651"/>
      <c r="CH197" s="651"/>
      <c r="CI197" s="653"/>
      <c r="CJ197" s="651">
        <f t="shared" ref="CJ197:CP197" si="712">CJ195-CJ9</f>
        <v>-0.59999999999990905</v>
      </c>
      <c r="CK197" s="651">
        <f t="shared" si="712"/>
        <v>-0.1999999999998181</v>
      </c>
      <c r="CL197" s="651">
        <f t="shared" si="712"/>
        <v>-0.1999999999998181</v>
      </c>
      <c r="CM197" s="653">
        <f t="shared" si="712"/>
        <v>0</v>
      </c>
      <c r="CN197" s="651">
        <f t="shared" si="712"/>
        <v>0</v>
      </c>
      <c r="CO197" s="651">
        <f t="shared" si="712"/>
        <v>0.3000000000001819</v>
      </c>
      <c r="CP197" s="651">
        <f t="shared" si="712"/>
        <v>-0.1999999999998181</v>
      </c>
      <c r="CQ197" s="653">
        <f t="shared" ref="CQ197" si="713">CQ195-CQ9</f>
        <v>-0.40000000000009095</v>
      </c>
      <c r="CR197" s="651"/>
      <c r="CS197" s="651"/>
      <c r="CT197" s="651"/>
      <c r="CU197" s="653"/>
      <c r="CV197" s="648"/>
      <c r="CW197" s="651"/>
      <c r="CX197" s="651"/>
      <c r="CY197" s="651"/>
      <c r="CZ197" s="651"/>
      <c r="DA197" s="651"/>
      <c r="DB197" s="651"/>
      <c r="DC197" s="651"/>
      <c r="DD197" s="651"/>
      <c r="DE197" s="651"/>
      <c r="DF197" s="651"/>
      <c r="DG197" s="651"/>
      <c r="DH197" s="651"/>
      <c r="DI197" s="651"/>
      <c r="DJ197" s="651"/>
      <c r="DK197" s="651"/>
      <c r="DL197" s="651"/>
      <c r="DM197" s="651"/>
      <c r="DN197" s="651"/>
      <c r="DO197" s="651"/>
      <c r="DP197" s="651"/>
      <c r="DQ197" s="651"/>
      <c r="DR197" s="651"/>
      <c r="DS197" s="651"/>
      <c r="DT197" s="651"/>
      <c r="DU197" s="651"/>
      <c r="DV197" s="651"/>
      <c r="DW197" s="651"/>
      <c r="DX197" s="651"/>
      <c r="DY197" s="651"/>
      <c r="DZ197" s="651"/>
      <c r="EA197" s="651"/>
      <c r="EB197"/>
      <c r="EC197"/>
      <c r="ED197"/>
      <c r="EE197"/>
      <c r="EF197"/>
      <c r="EG197"/>
    </row>
    <row r="198" spans="1:137" s="410" customFormat="1">
      <c r="A198" s="400"/>
      <c r="B198" s="605"/>
      <c r="C198" s="658"/>
      <c r="D198" s="486"/>
      <c r="E198" s="401"/>
      <c r="F198" s="401"/>
      <c r="G198" s="487"/>
      <c r="H198" s="401"/>
      <c r="I198" s="401"/>
      <c r="J198" s="401"/>
      <c r="K198" s="487"/>
      <c r="L198" s="401"/>
      <c r="M198" s="401"/>
      <c r="N198" s="401"/>
      <c r="O198" s="487"/>
      <c r="P198" s="401"/>
      <c r="Q198" s="401"/>
      <c r="R198" s="401"/>
      <c r="S198" s="487"/>
      <c r="T198" s="401"/>
      <c r="U198" s="401"/>
      <c r="V198" s="401"/>
      <c r="W198" s="487"/>
      <c r="X198" s="401"/>
      <c r="Y198" s="401"/>
      <c r="Z198" s="401"/>
      <c r="AA198" s="487"/>
      <c r="AB198" s="401"/>
      <c r="AC198" s="401"/>
      <c r="AD198" s="401"/>
      <c r="AE198" s="487"/>
      <c r="AF198" s="401"/>
      <c r="AG198" s="401"/>
      <c r="AH198" s="401"/>
      <c r="AI198" s="487"/>
      <c r="AJ198" s="401"/>
      <c r="AK198" s="401"/>
      <c r="AL198" s="401"/>
      <c r="AM198" s="487"/>
      <c r="AN198" s="401"/>
      <c r="AO198" s="401"/>
      <c r="AP198" s="401"/>
      <c r="AQ198" s="487"/>
      <c r="AR198" s="401"/>
      <c r="AS198" s="401"/>
      <c r="AT198" s="401"/>
      <c r="AU198" s="487"/>
      <c r="AV198" s="401"/>
      <c r="AW198" s="401"/>
      <c r="AX198" s="401"/>
      <c r="AY198" s="487"/>
      <c r="AZ198" s="401"/>
      <c r="BA198" s="401"/>
      <c r="BB198" s="401"/>
      <c r="BC198" s="487"/>
      <c r="BD198" s="401"/>
      <c r="BE198" s="401"/>
      <c r="BF198" s="401"/>
      <c r="BG198" s="487"/>
      <c r="BH198" s="401"/>
      <c r="BI198" s="401"/>
      <c r="BJ198" s="401"/>
      <c r="BK198" s="487"/>
      <c r="BL198" s="401"/>
      <c r="BM198" s="401"/>
      <c r="BN198" s="401"/>
      <c r="BO198" s="487"/>
      <c r="BP198" s="401"/>
      <c r="BQ198" s="401"/>
      <c r="BR198" s="401"/>
      <c r="BS198" s="487"/>
      <c r="BT198" s="401"/>
      <c r="BU198" s="401"/>
      <c r="BV198" s="401"/>
      <c r="BW198" s="487"/>
      <c r="BX198" s="401"/>
      <c r="BY198" s="401"/>
      <c r="BZ198" s="401"/>
      <c r="CA198" s="487"/>
      <c r="CB198" s="401"/>
      <c r="CC198" s="408"/>
      <c r="CD198" s="408"/>
      <c r="CE198" s="464"/>
      <c r="CF198" s="408"/>
      <c r="CG198" s="408"/>
      <c r="CH198" s="408"/>
      <c r="CI198" s="464"/>
      <c r="CJ198" s="408"/>
      <c r="CK198" s="408"/>
      <c r="CL198" s="408"/>
      <c r="CM198" s="464"/>
      <c r="CN198" s="408"/>
      <c r="CO198" s="408"/>
      <c r="CP198" s="618"/>
      <c r="CQ198" s="696"/>
      <c r="CR198" s="408"/>
      <c r="CS198" s="408"/>
      <c r="CT198" s="408"/>
      <c r="CU198" s="464"/>
      <c r="CV198" s="406"/>
      <c r="CW198" s="408"/>
      <c r="CX198" s="401"/>
      <c r="CY198" s="401"/>
      <c r="CZ198" s="401"/>
      <c r="DA198" s="401"/>
      <c r="DB198" s="401"/>
      <c r="DC198" s="401"/>
      <c r="DD198" s="401"/>
      <c r="DE198" s="401"/>
      <c r="DF198" s="401"/>
      <c r="DG198" s="401"/>
      <c r="DH198" s="401"/>
      <c r="DI198" s="401"/>
      <c r="DJ198" s="401"/>
      <c r="DK198" s="401"/>
      <c r="DL198" s="401"/>
      <c r="DM198" s="401"/>
      <c r="DN198" s="401"/>
      <c r="DO198" s="401"/>
      <c r="DP198" s="408"/>
      <c r="DQ198" s="408"/>
      <c r="DR198" s="408"/>
      <c r="DS198" s="408"/>
      <c r="DT198" s="408"/>
      <c r="DU198" s="408"/>
      <c r="DV198" s="408"/>
      <c r="DW198" s="408"/>
      <c r="DX198" s="408"/>
      <c r="DY198" s="408"/>
      <c r="DZ198" s="408"/>
      <c r="EA198" s="401"/>
      <c r="EB198"/>
      <c r="EC198"/>
      <c r="ED198"/>
      <c r="EE198"/>
      <c r="EF198"/>
      <c r="EG198"/>
    </row>
    <row r="199" spans="1:137" s="599" customFormat="1">
      <c r="A199" s="694"/>
      <c r="B199" s="702" t="s">
        <v>376</v>
      </c>
      <c r="C199" s="916"/>
      <c r="D199" s="595"/>
      <c r="E199" s="596"/>
      <c r="F199" s="596"/>
      <c r="G199" s="597"/>
      <c r="H199" s="596"/>
      <c r="I199" s="596"/>
      <c r="J199" s="596"/>
      <c r="K199" s="597"/>
      <c r="L199" s="596"/>
      <c r="M199" s="596"/>
      <c r="N199" s="596"/>
      <c r="O199" s="597"/>
      <c r="P199" s="596"/>
      <c r="Q199" s="596"/>
      <c r="R199" s="596"/>
      <c r="S199" s="597"/>
      <c r="T199" s="596"/>
      <c r="U199" s="596"/>
      <c r="V199" s="596"/>
      <c r="W199" s="597"/>
      <c r="X199" s="596"/>
      <c r="Y199" s="596"/>
      <c r="Z199" s="596"/>
      <c r="AA199" s="597"/>
      <c r="AB199" s="596"/>
      <c r="AC199" s="596"/>
      <c r="AD199" s="596"/>
      <c r="AE199" s="597"/>
      <c r="AF199" s="596"/>
      <c r="AG199" s="596"/>
      <c r="AH199" s="596"/>
      <c r="AI199" s="597"/>
      <c r="AJ199" s="596"/>
      <c r="AK199" s="596"/>
      <c r="AL199" s="596"/>
      <c r="AM199" s="597"/>
      <c r="AN199" s="596"/>
      <c r="AO199" s="596"/>
      <c r="AP199" s="596"/>
      <c r="AQ199" s="597"/>
      <c r="AR199" s="596"/>
      <c r="AS199" s="596"/>
      <c r="AT199" s="596"/>
      <c r="AU199" s="597"/>
      <c r="AV199" s="596"/>
      <c r="AW199" s="596"/>
      <c r="AX199" s="596"/>
      <c r="AY199" s="597"/>
      <c r="AZ199" s="596"/>
      <c r="BA199" s="596"/>
      <c r="BB199" s="596"/>
      <c r="BC199" s="597"/>
      <c r="BD199" s="596"/>
      <c r="BE199" s="596"/>
      <c r="BF199" s="596"/>
      <c r="BG199" s="597"/>
      <c r="BH199" s="596"/>
      <c r="BI199" s="596"/>
      <c r="BJ199" s="596"/>
      <c r="BK199" s="597"/>
      <c r="BL199" s="596"/>
      <c r="BM199" s="596"/>
      <c r="BN199" s="596"/>
      <c r="BO199" s="597"/>
      <c r="BP199" s="596"/>
      <c r="BQ199" s="596"/>
      <c r="BR199" s="596"/>
      <c r="BS199" s="597"/>
      <c r="BT199" s="596"/>
      <c r="BU199" s="596"/>
      <c r="BV199" s="596"/>
      <c r="BW199" s="597"/>
      <c r="BX199" s="596"/>
      <c r="BY199" s="596"/>
      <c r="BZ199" s="596"/>
      <c r="CA199" s="597"/>
      <c r="CB199" s="596"/>
      <c r="CC199" s="618"/>
      <c r="CD199" s="618"/>
      <c r="CE199" s="696"/>
      <c r="CF199" s="618"/>
      <c r="CG199" s="618"/>
      <c r="CH199" s="618">
        <f t="shared" ref="CH199" si="714">CH192/CH$190</f>
        <v>0</v>
      </c>
      <c r="CI199" s="696">
        <f t="shared" ref="CI199:CL201" si="715">CI192/CI$190</f>
        <v>0</v>
      </c>
      <c r="CJ199" s="618">
        <f t="shared" si="715"/>
        <v>0</v>
      </c>
      <c r="CK199" s="618">
        <f t="shared" si="715"/>
        <v>0</v>
      </c>
      <c r="CL199" s="618">
        <f t="shared" si="715"/>
        <v>0</v>
      </c>
      <c r="CM199" s="696">
        <f>CM192/CM$190</f>
        <v>0</v>
      </c>
      <c r="CN199" s="618">
        <f>CN192/(CN$190+CN$191)</f>
        <v>9.7292335933914634E-2</v>
      </c>
      <c r="CO199" s="618">
        <f t="shared" ref="CO199:CP199" si="716">CO192/(CO$190+CO$191)</f>
        <v>0.10390763765541741</v>
      </c>
      <c r="CP199" s="618">
        <f t="shared" si="716"/>
        <v>0.12488350419384903</v>
      </c>
      <c r="CQ199" s="696">
        <f t="shared" ref="CQ199" si="717">CQ192/(CQ$190+CQ$191)</f>
        <v>0.1130820399113082</v>
      </c>
      <c r="CR199" s="618"/>
      <c r="CS199" s="618"/>
      <c r="CT199" s="618"/>
      <c r="CU199" s="696"/>
      <c r="CV199" s="598"/>
      <c r="CW199" s="618"/>
      <c r="CX199" s="596"/>
      <c r="CY199" s="596"/>
      <c r="CZ199" s="596"/>
      <c r="DA199" s="596"/>
      <c r="DB199" s="596"/>
      <c r="DC199" s="596"/>
      <c r="DD199" s="596"/>
      <c r="DE199" s="596"/>
      <c r="DF199" s="596"/>
      <c r="DG199" s="596"/>
      <c r="DH199" s="596"/>
      <c r="DI199" s="596"/>
      <c r="DJ199" s="596"/>
      <c r="DK199" s="596"/>
      <c r="DL199" s="596"/>
      <c r="DM199" s="596"/>
      <c r="DN199" s="596"/>
      <c r="DO199" s="596"/>
      <c r="DP199" s="618"/>
      <c r="DQ199" s="618"/>
      <c r="DR199" s="618"/>
      <c r="DS199" s="618"/>
      <c r="DT199" s="618"/>
      <c r="DU199" s="618"/>
      <c r="DV199" s="618"/>
      <c r="DW199" s="618"/>
      <c r="DX199" s="618"/>
      <c r="DY199" s="618"/>
      <c r="DZ199" s="618"/>
      <c r="EA199" s="596"/>
      <c r="EB199"/>
      <c r="EC199"/>
      <c r="ED199"/>
      <c r="EE199"/>
      <c r="EF199"/>
      <c r="EG199"/>
    </row>
    <row r="200" spans="1:137" s="599" customFormat="1">
      <c r="A200" s="694"/>
      <c r="B200" s="702" t="s">
        <v>378</v>
      </c>
      <c r="C200" s="916"/>
      <c r="D200" s="595"/>
      <c r="E200" s="596"/>
      <c r="F200" s="596"/>
      <c r="G200" s="597"/>
      <c r="H200" s="596"/>
      <c r="I200" s="596"/>
      <c r="J200" s="596"/>
      <c r="K200" s="597"/>
      <c r="L200" s="596"/>
      <c r="M200" s="596"/>
      <c r="N200" s="596"/>
      <c r="O200" s="597"/>
      <c r="P200" s="596"/>
      <c r="Q200" s="596"/>
      <c r="R200" s="596"/>
      <c r="S200" s="597"/>
      <c r="T200" s="596"/>
      <c r="U200" s="596"/>
      <c r="V200" s="596"/>
      <c r="W200" s="597"/>
      <c r="X200" s="596"/>
      <c r="Y200" s="596"/>
      <c r="Z200" s="596"/>
      <c r="AA200" s="597"/>
      <c r="AB200" s="596"/>
      <c r="AC200" s="596"/>
      <c r="AD200" s="596"/>
      <c r="AE200" s="597"/>
      <c r="AF200" s="596"/>
      <c r="AG200" s="596"/>
      <c r="AH200" s="596"/>
      <c r="AI200" s="597"/>
      <c r="AJ200" s="596"/>
      <c r="AK200" s="596"/>
      <c r="AL200" s="596"/>
      <c r="AM200" s="597"/>
      <c r="AN200" s="596"/>
      <c r="AO200" s="596"/>
      <c r="AP200" s="596"/>
      <c r="AQ200" s="597"/>
      <c r="AR200" s="596"/>
      <c r="AS200" s="596"/>
      <c r="AT200" s="596"/>
      <c r="AU200" s="597"/>
      <c r="AV200" s="596"/>
      <c r="AW200" s="596"/>
      <c r="AX200" s="596"/>
      <c r="AY200" s="597"/>
      <c r="AZ200" s="596"/>
      <c r="BA200" s="596"/>
      <c r="BB200" s="596"/>
      <c r="BC200" s="597"/>
      <c r="BD200" s="596"/>
      <c r="BE200" s="596"/>
      <c r="BF200" s="596"/>
      <c r="BG200" s="597"/>
      <c r="BH200" s="596"/>
      <c r="BI200" s="596"/>
      <c r="BJ200" s="596"/>
      <c r="BK200" s="597"/>
      <c r="BL200" s="596"/>
      <c r="BM200" s="596"/>
      <c r="BN200" s="596"/>
      <c r="BO200" s="597"/>
      <c r="BP200" s="596"/>
      <c r="BQ200" s="596"/>
      <c r="BR200" s="596"/>
      <c r="BS200" s="597"/>
      <c r="BT200" s="596"/>
      <c r="BU200" s="596"/>
      <c r="BV200" s="596"/>
      <c r="BW200" s="597"/>
      <c r="BX200" s="596"/>
      <c r="BY200" s="596"/>
      <c r="BZ200" s="596"/>
      <c r="CA200" s="597"/>
      <c r="CB200" s="596"/>
      <c r="CC200" s="618"/>
      <c r="CD200" s="618"/>
      <c r="CE200" s="696"/>
      <c r="CF200" s="618"/>
      <c r="CG200" s="618"/>
      <c r="CH200" s="618">
        <f t="shared" ref="CH200" si="718">CH193/CH$190</f>
        <v>3.2480314960629919E-2</v>
      </c>
      <c r="CI200" s="696">
        <f t="shared" si="715"/>
        <v>7.0783132530120488E-2</v>
      </c>
      <c r="CJ200" s="618">
        <f t="shared" si="715"/>
        <v>4.5362903225806453E-2</v>
      </c>
      <c r="CK200" s="618">
        <f t="shared" si="715"/>
        <v>3.4940944881889764E-2</v>
      </c>
      <c r="CL200" s="618">
        <f t="shared" si="715"/>
        <v>6.1040339702760085E-2</v>
      </c>
      <c r="CM200" s="696">
        <f t="shared" ref="CM200:CM201" si="719">CM193/CM$190</f>
        <v>6.547338671691004E-2</v>
      </c>
      <c r="CN200" s="618">
        <f>CN193/(CN$190+CN$191)</f>
        <v>2.9830197338228545E-2</v>
      </c>
      <c r="CO200" s="618">
        <f t="shared" ref="CO200:CP200" si="720">CO193/(CO$190+CO$191)</f>
        <v>-2.5754884547069271E-2</v>
      </c>
      <c r="CP200" s="618">
        <f t="shared" si="720"/>
        <v>-1.6775396085740912E-2</v>
      </c>
      <c r="CQ200" s="696">
        <f t="shared" ref="CQ200" si="721">CQ193/(CQ$190+CQ$191)</f>
        <v>-1.197339246119734E-2</v>
      </c>
      <c r="CR200" s="618"/>
      <c r="CS200" s="618"/>
      <c r="CT200" s="618"/>
      <c r="CU200" s="696"/>
      <c r="CV200" s="598"/>
      <c r="CW200" s="618"/>
      <c r="CX200" s="596"/>
      <c r="CY200" s="596"/>
      <c r="CZ200" s="596"/>
      <c r="DA200" s="596"/>
      <c r="DB200" s="596"/>
      <c r="DC200" s="596"/>
      <c r="DD200" s="596"/>
      <c r="DE200" s="596"/>
      <c r="DF200" s="596"/>
      <c r="DG200" s="596"/>
      <c r="DH200" s="596"/>
      <c r="DI200" s="596"/>
      <c r="DJ200" s="596"/>
      <c r="DK200" s="596"/>
      <c r="DL200" s="596"/>
      <c r="DM200" s="596"/>
      <c r="DN200" s="596"/>
      <c r="DO200" s="596"/>
      <c r="DP200" s="618"/>
      <c r="DQ200" s="618"/>
      <c r="DR200" s="618"/>
      <c r="DS200" s="618"/>
      <c r="DT200" s="618"/>
      <c r="DU200" s="618"/>
      <c r="DV200" s="618"/>
      <c r="DW200" s="618"/>
      <c r="DX200" s="618"/>
      <c r="DY200" s="618"/>
      <c r="DZ200" s="618"/>
      <c r="EA200" s="596"/>
      <c r="EB200"/>
      <c r="EC200"/>
      <c r="ED200"/>
      <c r="EE200"/>
      <c r="EF200"/>
      <c r="EG200"/>
    </row>
    <row r="201" spans="1:137" s="599" customFormat="1">
      <c r="A201" s="694"/>
      <c r="B201" s="702" t="s">
        <v>379</v>
      </c>
      <c r="C201" s="916"/>
      <c r="D201" s="595"/>
      <c r="E201" s="596"/>
      <c r="F201" s="596"/>
      <c r="G201" s="597"/>
      <c r="H201" s="596"/>
      <c r="I201" s="596"/>
      <c r="J201" s="596"/>
      <c r="K201" s="597"/>
      <c r="L201" s="596"/>
      <c r="M201" s="596"/>
      <c r="N201" s="596"/>
      <c r="O201" s="597"/>
      <c r="P201" s="596"/>
      <c r="Q201" s="596"/>
      <c r="R201" s="596"/>
      <c r="S201" s="597"/>
      <c r="T201" s="596"/>
      <c r="U201" s="596"/>
      <c r="V201" s="596"/>
      <c r="W201" s="597"/>
      <c r="X201" s="596"/>
      <c r="Y201" s="596"/>
      <c r="Z201" s="596"/>
      <c r="AA201" s="597"/>
      <c r="AB201" s="596"/>
      <c r="AC201" s="596"/>
      <c r="AD201" s="596"/>
      <c r="AE201" s="597"/>
      <c r="AF201" s="596"/>
      <c r="AG201" s="596"/>
      <c r="AH201" s="596"/>
      <c r="AI201" s="597"/>
      <c r="AJ201" s="596"/>
      <c r="AK201" s="596"/>
      <c r="AL201" s="596"/>
      <c r="AM201" s="597"/>
      <c r="AN201" s="596"/>
      <c r="AO201" s="596"/>
      <c r="AP201" s="596"/>
      <c r="AQ201" s="597"/>
      <c r="AR201" s="596"/>
      <c r="AS201" s="596"/>
      <c r="AT201" s="596"/>
      <c r="AU201" s="597"/>
      <c r="AV201" s="596"/>
      <c r="AW201" s="596"/>
      <c r="AX201" s="596"/>
      <c r="AY201" s="597"/>
      <c r="AZ201" s="596"/>
      <c r="BA201" s="596"/>
      <c r="BB201" s="596"/>
      <c r="BC201" s="597"/>
      <c r="BD201" s="596"/>
      <c r="BE201" s="596"/>
      <c r="BF201" s="596"/>
      <c r="BG201" s="597"/>
      <c r="BH201" s="596"/>
      <c r="BI201" s="596"/>
      <c r="BJ201" s="596"/>
      <c r="BK201" s="597"/>
      <c r="BL201" s="596"/>
      <c r="BM201" s="596"/>
      <c r="BN201" s="596"/>
      <c r="BO201" s="597"/>
      <c r="BP201" s="596"/>
      <c r="BQ201" s="596"/>
      <c r="BR201" s="596"/>
      <c r="BS201" s="597"/>
      <c r="BT201" s="596"/>
      <c r="BU201" s="596"/>
      <c r="BV201" s="596"/>
      <c r="BW201" s="597"/>
      <c r="BX201" s="596"/>
      <c r="BY201" s="596"/>
      <c r="BZ201" s="596"/>
      <c r="CA201" s="597"/>
      <c r="CB201" s="596"/>
      <c r="CC201" s="618"/>
      <c r="CD201" s="618"/>
      <c r="CE201" s="696"/>
      <c r="CF201" s="618"/>
      <c r="CG201" s="618"/>
      <c r="CH201" s="618">
        <f t="shared" ref="CH201" si="722">CH194/CH$190</f>
        <v>-0.10531496062992125</v>
      </c>
      <c r="CI201" s="696">
        <f t="shared" si="715"/>
        <v>-7.8815261044176702E-2</v>
      </c>
      <c r="CJ201" s="618">
        <f t="shared" si="715"/>
        <v>-2.9233870967741934E-2</v>
      </c>
      <c r="CK201" s="618">
        <f t="shared" si="715"/>
        <v>-6.889763779527559E-3</v>
      </c>
      <c r="CL201" s="618">
        <f t="shared" si="715"/>
        <v>0</v>
      </c>
      <c r="CM201" s="696">
        <f t="shared" si="719"/>
        <v>-1.8841262364578427E-2</v>
      </c>
      <c r="CN201" s="618">
        <f t="shared" ref="CN201" si="723">CN194/(CN$190+CN$191)</f>
        <v>-2.2487379531895366E-2</v>
      </c>
      <c r="CO201" s="618">
        <f t="shared" ref="CO201:CP201" si="724">CO194/(CO$190+CO$191)</f>
        <v>-1.6873889875666074E-2</v>
      </c>
      <c r="CP201" s="618">
        <f t="shared" si="724"/>
        <v>1.7707362534948742E-2</v>
      </c>
      <c r="CQ201" s="696">
        <f t="shared" ref="CQ201" si="725">CQ194/(CQ$190+CQ$191)</f>
        <v>4.5676274944567628E-2</v>
      </c>
      <c r="CR201" s="618"/>
      <c r="CS201" s="618"/>
      <c r="CT201" s="618"/>
      <c r="CU201" s="696"/>
      <c r="CV201" s="598"/>
      <c r="CW201" s="618"/>
      <c r="CX201" s="596"/>
      <c r="CY201" s="596"/>
      <c r="CZ201" s="596"/>
      <c r="DA201" s="596"/>
      <c r="DB201" s="596"/>
      <c r="DC201" s="596"/>
      <c r="DD201" s="596"/>
      <c r="DE201" s="596"/>
      <c r="DF201" s="596"/>
      <c r="DG201" s="596"/>
      <c r="DH201" s="596"/>
      <c r="DI201" s="596"/>
      <c r="DJ201" s="596"/>
      <c r="DK201" s="596"/>
      <c r="DL201" s="596"/>
      <c r="DM201" s="596"/>
      <c r="DN201" s="596"/>
      <c r="DO201" s="596"/>
      <c r="DP201" s="618"/>
      <c r="DQ201" s="618"/>
      <c r="DR201" s="618"/>
      <c r="DS201" s="618"/>
      <c r="DT201" s="618"/>
      <c r="DU201" s="618"/>
      <c r="DV201" s="618"/>
      <c r="DW201" s="618"/>
      <c r="DX201" s="618"/>
      <c r="DY201" s="618"/>
      <c r="DZ201" s="618"/>
      <c r="EA201" s="596"/>
      <c r="EB201"/>
      <c r="EC201"/>
      <c r="ED201"/>
      <c r="EE201"/>
      <c r="EF201"/>
      <c r="EG201"/>
    </row>
    <row r="202" spans="1:137" s="599" customFormat="1">
      <c r="A202" s="694"/>
      <c r="B202" s="703" t="s">
        <v>380</v>
      </c>
      <c r="C202" s="916"/>
      <c r="D202" s="595"/>
      <c r="E202" s="596"/>
      <c r="F202" s="596"/>
      <c r="G202" s="597"/>
      <c r="H202" s="596"/>
      <c r="I202" s="596"/>
      <c r="J202" s="596"/>
      <c r="K202" s="597"/>
      <c r="L202" s="596"/>
      <c r="M202" s="596"/>
      <c r="N202" s="596"/>
      <c r="O202" s="597"/>
      <c r="P202" s="596"/>
      <c r="Q202" s="596"/>
      <c r="R202" s="596"/>
      <c r="S202" s="597"/>
      <c r="T202" s="596"/>
      <c r="U202" s="596"/>
      <c r="V202" s="596"/>
      <c r="W202" s="597"/>
      <c r="X202" s="596"/>
      <c r="Y202" s="596"/>
      <c r="Z202" s="596"/>
      <c r="AA202" s="597"/>
      <c r="AB202" s="596"/>
      <c r="AC202" s="596"/>
      <c r="AD202" s="596"/>
      <c r="AE202" s="597"/>
      <c r="AF202" s="596"/>
      <c r="AG202" s="596"/>
      <c r="AH202" s="596"/>
      <c r="AI202" s="597"/>
      <c r="AJ202" s="596"/>
      <c r="AK202" s="596"/>
      <c r="AL202" s="596"/>
      <c r="AM202" s="597"/>
      <c r="AN202" s="596"/>
      <c r="AO202" s="596"/>
      <c r="AP202" s="596"/>
      <c r="AQ202" s="597"/>
      <c r="AR202" s="596"/>
      <c r="AS202" s="596"/>
      <c r="AT202" s="596"/>
      <c r="AU202" s="597"/>
      <c r="AV202" s="596"/>
      <c r="AW202" s="596"/>
      <c r="AX202" s="596"/>
      <c r="AY202" s="597"/>
      <c r="AZ202" s="596"/>
      <c r="BA202" s="596"/>
      <c r="BB202" s="596"/>
      <c r="BC202" s="597"/>
      <c r="BD202" s="596"/>
      <c r="BE202" s="596"/>
      <c r="BF202" s="596"/>
      <c r="BG202" s="597"/>
      <c r="BH202" s="596"/>
      <c r="BI202" s="596"/>
      <c r="BJ202" s="596"/>
      <c r="BK202" s="597"/>
      <c r="BL202" s="596"/>
      <c r="BM202" s="596"/>
      <c r="BN202" s="596"/>
      <c r="BO202" s="597"/>
      <c r="BP202" s="596"/>
      <c r="BQ202" s="596"/>
      <c r="BR202" s="596"/>
      <c r="BS202" s="597"/>
      <c r="BT202" s="596"/>
      <c r="BU202" s="596"/>
      <c r="BV202" s="596"/>
      <c r="BW202" s="597"/>
      <c r="BX202" s="596"/>
      <c r="BY202" s="596"/>
      <c r="BZ202" s="596"/>
      <c r="CA202" s="597"/>
      <c r="CB202" s="596"/>
      <c r="CC202" s="618"/>
      <c r="CD202" s="618"/>
      <c r="CE202" s="696"/>
      <c r="CF202" s="618"/>
      <c r="CG202" s="618"/>
      <c r="CH202" s="618">
        <f t="shared" ref="CH202" si="726">CH199+CH200</f>
        <v>3.2480314960629919E-2</v>
      </c>
      <c r="CI202" s="696">
        <f t="shared" ref="CI202:CL202" si="727">CI199+CI200</f>
        <v>7.0783132530120488E-2</v>
      </c>
      <c r="CJ202" s="618">
        <f t="shared" si="727"/>
        <v>4.5362903225806453E-2</v>
      </c>
      <c r="CK202" s="618">
        <f t="shared" si="727"/>
        <v>3.4940944881889764E-2</v>
      </c>
      <c r="CL202" s="618">
        <f t="shared" si="727"/>
        <v>6.1040339702760085E-2</v>
      </c>
      <c r="CM202" s="696">
        <f>CM199+CM200</f>
        <v>6.547338671691004E-2</v>
      </c>
      <c r="CN202" s="618">
        <f t="shared" ref="CN202" si="728">CN199+CN200</f>
        <v>0.12712253327214318</v>
      </c>
      <c r="CO202" s="618">
        <f t="shared" ref="CO202:CP202" si="729">CO199+CO200</f>
        <v>7.8152753108348141E-2</v>
      </c>
      <c r="CP202" s="618">
        <f t="shared" si="729"/>
        <v>0.10810810810810811</v>
      </c>
      <c r="CQ202" s="696">
        <f t="shared" ref="CQ202" si="730">CQ199+CQ200</f>
        <v>0.10110864745011086</v>
      </c>
      <c r="CR202" s="618"/>
      <c r="CS202" s="618"/>
      <c r="CT202" s="618"/>
      <c r="CU202" s="696"/>
      <c r="CV202" s="598"/>
      <c r="CW202" s="618"/>
      <c r="CX202" s="596"/>
      <c r="CY202" s="596"/>
      <c r="CZ202" s="596"/>
      <c r="DA202" s="596"/>
      <c r="DB202" s="596"/>
      <c r="DC202" s="596"/>
      <c r="DD202" s="596"/>
      <c r="DE202" s="596"/>
      <c r="DF202" s="596"/>
      <c r="DG202" s="596"/>
      <c r="DH202" s="596"/>
      <c r="DI202" s="596"/>
      <c r="DJ202" s="596"/>
      <c r="DK202" s="596"/>
      <c r="DL202" s="596"/>
      <c r="DM202" s="596"/>
      <c r="DN202" s="596"/>
      <c r="DO202" s="596"/>
      <c r="DP202" s="618"/>
      <c r="DQ202" s="618"/>
      <c r="DR202" s="618"/>
      <c r="DS202" s="618"/>
      <c r="DT202" s="618"/>
      <c r="DU202" s="618"/>
      <c r="DV202" s="618"/>
      <c r="DW202" s="618"/>
      <c r="DX202" s="618"/>
      <c r="DY202" s="618"/>
      <c r="DZ202" s="618"/>
      <c r="EA202" s="596"/>
      <c r="EB202"/>
      <c r="EC202"/>
      <c r="ED202"/>
      <c r="EE202"/>
      <c r="EF202"/>
      <c r="EG202"/>
    </row>
    <row r="203" spans="1:137" s="410" customFormat="1">
      <c r="A203" s="400"/>
      <c r="B203" s="605"/>
      <c r="C203" s="658"/>
      <c r="D203" s="486"/>
      <c r="E203" s="401"/>
      <c r="F203" s="401"/>
      <c r="G203" s="487"/>
      <c r="H203" s="401"/>
      <c r="I203" s="401"/>
      <c r="J203" s="401"/>
      <c r="K203" s="487"/>
      <c r="L203" s="401"/>
      <c r="M203" s="401"/>
      <c r="N203" s="401"/>
      <c r="O203" s="487"/>
      <c r="P203" s="401"/>
      <c r="Q203" s="401"/>
      <c r="R203" s="401"/>
      <c r="S203" s="487"/>
      <c r="T203" s="401"/>
      <c r="U203" s="401"/>
      <c r="V203" s="401"/>
      <c r="W203" s="487"/>
      <c r="X203" s="401"/>
      <c r="Y203" s="401"/>
      <c r="Z203" s="401"/>
      <c r="AA203" s="487"/>
      <c r="AB203" s="401"/>
      <c r="AC203" s="401"/>
      <c r="AD203" s="401"/>
      <c r="AE203" s="487"/>
      <c r="AF203" s="401"/>
      <c r="AG203" s="401"/>
      <c r="AH203" s="401"/>
      <c r="AI203" s="487"/>
      <c r="AJ203" s="401"/>
      <c r="AK203" s="401"/>
      <c r="AL203" s="401"/>
      <c r="AM203" s="487"/>
      <c r="AN203" s="401"/>
      <c r="AO203" s="401"/>
      <c r="AP203" s="401"/>
      <c r="AQ203" s="487"/>
      <c r="AR203" s="401"/>
      <c r="AS203" s="401"/>
      <c r="AT203" s="401"/>
      <c r="AU203" s="487"/>
      <c r="AV203" s="401"/>
      <c r="AW203" s="401"/>
      <c r="AX203" s="401"/>
      <c r="AY203" s="487"/>
      <c r="AZ203" s="401"/>
      <c r="BA203" s="401"/>
      <c r="BB203" s="401"/>
      <c r="BC203" s="487"/>
      <c r="BD203" s="401"/>
      <c r="BE203" s="401"/>
      <c r="BF203" s="401"/>
      <c r="BG203" s="487"/>
      <c r="BH203" s="401"/>
      <c r="BI203" s="401"/>
      <c r="BJ203" s="401"/>
      <c r="BK203" s="487"/>
      <c r="BL203" s="401"/>
      <c r="BM203" s="401"/>
      <c r="BN203" s="401"/>
      <c r="BO203" s="487"/>
      <c r="BP203" s="401"/>
      <c r="BQ203" s="401"/>
      <c r="BR203" s="401"/>
      <c r="BS203" s="487"/>
      <c r="BT203" s="401"/>
      <c r="BU203" s="401"/>
      <c r="BV203" s="401"/>
      <c r="BW203" s="487"/>
      <c r="BX203" s="401"/>
      <c r="BY203" s="401"/>
      <c r="BZ203" s="401"/>
      <c r="CA203" s="487"/>
      <c r="CB203" s="401"/>
      <c r="CC203" s="408"/>
      <c r="CD203" s="408"/>
      <c r="CE203" s="464"/>
      <c r="CF203" s="408"/>
      <c r="CG203" s="408"/>
      <c r="CH203" s="408"/>
      <c r="CI203" s="464"/>
      <c r="CJ203" s="408"/>
      <c r="CK203" s="408"/>
      <c r="CL203" s="408"/>
      <c r="CM203" s="464"/>
      <c r="CN203" s="408"/>
      <c r="CO203" s="408"/>
      <c r="CP203" s="408"/>
      <c r="CQ203" s="464"/>
      <c r="CR203" s="408"/>
      <c r="CS203" s="408"/>
      <c r="CT203" s="408"/>
      <c r="CU203" s="464"/>
      <c r="CV203" s="406"/>
      <c r="CW203" s="408"/>
      <c r="CX203" s="401"/>
      <c r="CY203" s="401"/>
      <c r="CZ203" s="401"/>
      <c r="DA203" s="401"/>
      <c r="DB203" s="401"/>
      <c r="DC203" s="401"/>
      <c r="DD203" s="401"/>
      <c r="DE203" s="401"/>
      <c r="DF203" s="401"/>
      <c r="DG203" s="401"/>
      <c r="DH203" s="401"/>
      <c r="DI203" s="401"/>
      <c r="DJ203" s="401"/>
      <c r="DK203" s="401"/>
      <c r="DL203" s="401"/>
      <c r="DM203" s="401"/>
      <c r="DN203" s="401"/>
      <c r="DO203" s="401"/>
      <c r="DP203" s="408"/>
      <c r="DQ203" s="408"/>
      <c r="DR203" s="408"/>
      <c r="DS203" s="408"/>
      <c r="DT203" s="408"/>
      <c r="DU203" s="408"/>
      <c r="DV203" s="408"/>
      <c r="DW203" s="408"/>
      <c r="DX203" s="408"/>
      <c r="DY203" s="408"/>
      <c r="DZ203" s="408"/>
      <c r="EA203" s="401"/>
      <c r="EB203"/>
      <c r="EC203"/>
      <c r="ED203"/>
      <c r="EE203"/>
      <c r="EF203"/>
      <c r="EG203"/>
    </row>
    <row r="204" spans="1:137">
      <c r="A204" s="374"/>
      <c r="B204" s="364" t="s">
        <v>373</v>
      </c>
      <c r="C204" s="896"/>
      <c r="D204" s="365" t="str">
        <f t="shared" ref="D204:AI204" si="731">D$4</f>
        <v>1Q95</v>
      </c>
      <c r="E204" s="366" t="str">
        <f t="shared" si="731"/>
        <v>2Q95</v>
      </c>
      <c r="F204" s="366" t="str">
        <f t="shared" si="731"/>
        <v>3Q95</v>
      </c>
      <c r="G204" s="367" t="str">
        <f t="shared" si="731"/>
        <v>4Q95</v>
      </c>
      <c r="H204" s="366" t="str">
        <f t="shared" si="731"/>
        <v>1Q96</v>
      </c>
      <c r="I204" s="366" t="str">
        <f t="shared" si="731"/>
        <v>2Q96</v>
      </c>
      <c r="J204" s="366" t="str">
        <f t="shared" si="731"/>
        <v>3Q96</v>
      </c>
      <c r="K204" s="367" t="str">
        <f t="shared" si="731"/>
        <v>4Q96</v>
      </c>
      <c r="L204" s="366" t="str">
        <f t="shared" si="731"/>
        <v>1Q97</v>
      </c>
      <c r="M204" s="366" t="str">
        <f t="shared" si="731"/>
        <v>2Q97</v>
      </c>
      <c r="N204" s="366" t="str">
        <f t="shared" si="731"/>
        <v>3Q97</v>
      </c>
      <c r="O204" s="367" t="str">
        <f t="shared" si="731"/>
        <v>4Q97</v>
      </c>
      <c r="P204" s="366" t="str">
        <f t="shared" si="731"/>
        <v>1Q98</v>
      </c>
      <c r="Q204" s="366" t="str">
        <f t="shared" si="731"/>
        <v>2Q98</v>
      </c>
      <c r="R204" s="366" t="str">
        <f t="shared" si="731"/>
        <v>3Q98</v>
      </c>
      <c r="S204" s="367" t="str">
        <f t="shared" si="731"/>
        <v>4Q98</v>
      </c>
      <c r="T204" s="366" t="str">
        <f t="shared" si="731"/>
        <v>1Q99</v>
      </c>
      <c r="U204" s="366" t="str">
        <f t="shared" si="731"/>
        <v>2Q99</v>
      </c>
      <c r="V204" s="366" t="str">
        <f t="shared" si="731"/>
        <v>3Q99</v>
      </c>
      <c r="W204" s="367" t="str">
        <f t="shared" si="731"/>
        <v>4Q99</v>
      </c>
      <c r="X204" s="366" t="str">
        <f t="shared" si="731"/>
        <v>1Q00</v>
      </c>
      <c r="Y204" s="366" t="str">
        <f t="shared" si="731"/>
        <v>2Q00</v>
      </c>
      <c r="Z204" s="366" t="str">
        <f t="shared" si="731"/>
        <v>3Q00</v>
      </c>
      <c r="AA204" s="367" t="str">
        <f t="shared" si="731"/>
        <v>4Q00</v>
      </c>
      <c r="AB204" s="366" t="str">
        <f t="shared" si="731"/>
        <v>1Q01</v>
      </c>
      <c r="AC204" s="366" t="str">
        <f t="shared" si="731"/>
        <v>2Q01</v>
      </c>
      <c r="AD204" s="366" t="str">
        <f t="shared" si="731"/>
        <v>3Q01</v>
      </c>
      <c r="AE204" s="367" t="str">
        <f t="shared" si="731"/>
        <v>4Q01</v>
      </c>
      <c r="AF204" s="366" t="str">
        <f t="shared" si="731"/>
        <v>1Q02</v>
      </c>
      <c r="AG204" s="366" t="str">
        <f t="shared" si="731"/>
        <v>2Q02</v>
      </c>
      <c r="AH204" s="366" t="str">
        <f t="shared" si="731"/>
        <v>3Q02</v>
      </c>
      <c r="AI204" s="367" t="str">
        <f t="shared" si="731"/>
        <v>4Q02</v>
      </c>
      <c r="AJ204" s="366" t="str">
        <f t="shared" ref="AJ204:BO204" si="732">AJ$4</f>
        <v>1Q03</v>
      </c>
      <c r="AK204" s="366" t="str">
        <f t="shared" si="732"/>
        <v>2Q03</v>
      </c>
      <c r="AL204" s="366" t="str">
        <f t="shared" si="732"/>
        <v>3Q03</v>
      </c>
      <c r="AM204" s="367" t="str">
        <f t="shared" si="732"/>
        <v>4Q03</v>
      </c>
      <c r="AN204" s="366" t="str">
        <f t="shared" si="732"/>
        <v>1Q04</v>
      </c>
      <c r="AO204" s="366" t="str">
        <f t="shared" si="732"/>
        <v>2Q04</v>
      </c>
      <c r="AP204" s="366" t="str">
        <f t="shared" si="732"/>
        <v>3Q04</v>
      </c>
      <c r="AQ204" s="367" t="str">
        <f t="shared" si="732"/>
        <v>4Q04</v>
      </c>
      <c r="AR204" s="366" t="str">
        <f t="shared" si="732"/>
        <v>1Q05</v>
      </c>
      <c r="AS204" s="366" t="str">
        <f t="shared" si="732"/>
        <v>2Q05</v>
      </c>
      <c r="AT204" s="366" t="str">
        <f t="shared" si="732"/>
        <v>3Q05</v>
      </c>
      <c r="AU204" s="367" t="str">
        <f t="shared" si="732"/>
        <v>4Q05</v>
      </c>
      <c r="AV204" s="366" t="str">
        <f t="shared" si="732"/>
        <v>1Q06</v>
      </c>
      <c r="AW204" s="366" t="str">
        <f t="shared" si="732"/>
        <v>2Q06</v>
      </c>
      <c r="AX204" s="366" t="str">
        <f t="shared" si="732"/>
        <v>3Q06</v>
      </c>
      <c r="AY204" s="367" t="str">
        <f t="shared" si="732"/>
        <v>4Q06</v>
      </c>
      <c r="AZ204" s="366" t="str">
        <f t="shared" si="732"/>
        <v>1Q07</v>
      </c>
      <c r="BA204" s="366" t="str">
        <f t="shared" si="732"/>
        <v>2Q07</v>
      </c>
      <c r="BB204" s="366" t="str">
        <f t="shared" si="732"/>
        <v>3Q07</v>
      </c>
      <c r="BC204" s="367" t="str">
        <f t="shared" si="732"/>
        <v>4Q07</v>
      </c>
      <c r="BD204" s="366" t="str">
        <f t="shared" si="732"/>
        <v>1Q08</v>
      </c>
      <c r="BE204" s="366" t="str">
        <f t="shared" si="732"/>
        <v>2Q08</v>
      </c>
      <c r="BF204" s="366" t="str">
        <f t="shared" si="732"/>
        <v>3Q08</v>
      </c>
      <c r="BG204" s="367" t="str">
        <f t="shared" si="732"/>
        <v>4Q08</v>
      </c>
      <c r="BH204" s="366" t="str">
        <f t="shared" si="732"/>
        <v>1Q09</v>
      </c>
      <c r="BI204" s="366" t="str">
        <f t="shared" si="732"/>
        <v>2Q09</v>
      </c>
      <c r="BJ204" s="366" t="str">
        <f t="shared" si="732"/>
        <v>3Q09</v>
      </c>
      <c r="BK204" s="367" t="str">
        <f t="shared" si="732"/>
        <v>4Q09</v>
      </c>
      <c r="BL204" s="366" t="str">
        <f t="shared" si="732"/>
        <v>1Q10</v>
      </c>
      <c r="BM204" s="366" t="str">
        <f t="shared" si="732"/>
        <v>2Q10</v>
      </c>
      <c r="BN204" s="366" t="str">
        <f t="shared" si="732"/>
        <v>3Q10</v>
      </c>
      <c r="BO204" s="367" t="str">
        <f t="shared" si="732"/>
        <v>4Q10</v>
      </c>
      <c r="BP204" s="366" t="str">
        <f t="shared" ref="BP204:CU204" si="733">BP$4</f>
        <v>1Q11</v>
      </c>
      <c r="BQ204" s="366" t="str">
        <f t="shared" si="733"/>
        <v>2Q11</v>
      </c>
      <c r="BR204" s="366" t="str">
        <f t="shared" si="733"/>
        <v>3Q11</v>
      </c>
      <c r="BS204" s="367" t="str">
        <f t="shared" si="733"/>
        <v>4Q11</v>
      </c>
      <c r="BT204" s="366" t="str">
        <f t="shared" si="733"/>
        <v>1Q12</v>
      </c>
      <c r="BU204" s="366" t="str">
        <f t="shared" si="733"/>
        <v>2Q12</v>
      </c>
      <c r="BV204" s="366" t="str">
        <f t="shared" si="733"/>
        <v>3Q12</v>
      </c>
      <c r="BW204" s="367" t="str">
        <f t="shared" si="733"/>
        <v>4Q12</v>
      </c>
      <c r="BX204" s="366" t="str">
        <f t="shared" si="733"/>
        <v>1Q13</v>
      </c>
      <c r="BY204" s="366" t="str">
        <f t="shared" si="733"/>
        <v>2Q13</v>
      </c>
      <c r="BZ204" s="366" t="str">
        <f t="shared" si="733"/>
        <v>3Q13</v>
      </c>
      <c r="CA204" s="367" t="str">
        <f t="shared" si="733"/>
        <v>4Q13</v>
      </c>
      <c r="CB204" s="366" t="str">
        <f t="shared" si="733"/>
        <v>1Q14</v>
      </c>
      <c r="CC204" s="366" t="str">
        <f t="shared" si="733"/>
        <v>2Q14</v>
      </c>
      <c r="CD204" s="366" t="str">
        <f t="shared" si="733"/>
        <v>3Q14</v>
      </c>
      <c r="CE204" s="367" t="str">
        <f t="shared" si="733"/>
        <v>4Q14</v>
      </c>
      <c r="CF204" s="366" t="str">
        <f t="shared" si="733"/>
        <v>1Q15</v>
      </c>
      <c r="CG204" s="366" t="str">
        <f t="shared" si="733"/>
        <v>2Q15</v>
      </c>
      <c r="CH204" s="366" t="str">
        <f t="shared" si="733"/>
        <v>3Q15</v>
      </c>
      <c r="CI204" s="367" t="str">
        <f t="shared" si="733"/>
        <v>4Q15</v>
      </c>
      <c r="CJ204" s="366" t="str">
        <f t="shared" si="733"/>
        <v>1Q16</v>
      </c>
      <c r="CK204" s="366" t="str">
        <f t="shared" si="733"/>
        <v>2Q16</v>
      </c>
      <c r="CL204" s="366" t="str">
        <f t="shared" si="733"/>
        <v>3Q16</v>
      </c>
      <c r="CM204" s="367" t="str">
        <f t="shared" si="733"/>
        <v>4Q16</v>
      </c>
      <c r="CN204" s="366" t="str">
        <f t="shared" si="733"/>
        <v>1Q17</v>
      </c>
      <c r="CO204" s="366" t="str">
        <f t="shared" si="733"/>
        <v>2Q17</v>
      </c>
      <c r="CP204" s="366" t="str">
        <f t="shared" si="733"/>
        <v>3Q17</v>
      </c>
      <c r="CQ204" s="367" t="str">
        <f t="shared" si="733"/>
        <v>4Q17</v>
      </c>
      <c r="CR204" s="366" t="str">
        <f t="shared" si="733"/>
        <v>1Q18e</v>
      </c>
      <c r="CS204" s="366" t="str">
        <f t="shared" si="733"/>
        <v>2Q18e</v>
      </c>
      <c r="CT204" s="366" t="str">
        <f t="shared" si="733"/>
        <v>3Q18e</v>
      </c>
      <c r="CU204" s="367" t="str">
        <f t="shared" si="733"/>
        <v>4Q18e</v>
      </c>
      <c r="CV204" s="376"/>
      <c r="CW204" s="366">
        <f t="shared" ref="CW204:DZ204" si="734">CW$4</f>
        <v>1994</v>
      </c>
      <c r="CX204" s="366">
        <f t="shared" si="734"/>
        <v>1995</v>
      </c>
      <c r="CY204" s="366">
        <f t="shared" si="734"/>
        <v>1996</v>
      </c>
      <c r="CZ204" s="366">
        <f t="shared" si="734"/>
        <v>1997</v>
      </c>
      <c r="DA204" s="366">
        <f t="shared" si="734"/>
        <v>1998</v>
      </c>
      <c r="DB204" s="366">
        <f t="shared" si="734"/>
        <v>1999</v>
      </c>
      <c r="DC204" s="366">
        <f t="shared" si="734"/>
        <v>2000</v>
      </c>
      <c r="DD204" s="366">
        <f t="shared" si="734"/>
        <v>2001</v>
      </c>
      <c r="DE204" s="366">
        <f t="shared" si="734"/>
        <v>2002</v>
      </c>
      <c r="DF204" s="366">
        <f t="shared" si="734"/>
        <v>2003</v>
      </c>
      <c r="DG204" s="366">
        <f t="shared" si="734"/>
        <v>2004</v>
      </c>
      <c r="DH204" s="366">
        <f t="shared" si="734"/>
        <v>2005</v>
      </c>
      <c r="DI204" s="366">
        <f t="shared" si="734"/>
        <v>2006</v>
      </c>
      <c r="DJ204" s="366">
        <f t="shared" si="734"/>
        <v>2007</v>
      </c>
      <c r="DK204" s="366">
        <f t="shared" si="734"/>
        <v>2008</v>
      </c>
      <c r="DL204" s="366">
        <f t="shared" si="734"/>
        <v>2009</v>
      </c>
      <c r="DM204" s="366">
        <f t="shared" si="734"/>
        <v>2010</v>
      </c>
      <c r="DN204" s="366">
        <f t="shared" si="734"/>
        <v>2011</v>
      </c>
      <c r="DO204" s="366">
        <f t="shared" si="734"/>
        <v>2012</v>
      </c>
      <c r="DP204" s="366">
        <f t="shared" si="734"/>
        <v>2013</v>
      </c>
      <c r="DQ204" s="366">
        <f t="shared" si="734"/>
        <v>2014</v>
      </c>
      <c r="DR204" s="366">
        <f t="shared" si="734"/>
        <v>2015</v>
      </c>
      <c r="DS204" s="366">
        <f t="shared" si="734"/>
        <v>2016</v>
      </c>
      <c r="DT204" s="366">
        <f t="shared" si="734"/>
        <v>2017</v>
      </c>
      <c r="DU204" s="366" t="str">
        <f t="shared" si="734"/>
        <v>2018e</v>
      </c>
      <c r="DV204" s="366" t="str">
        <f t="shared" si="734"/>
        <v>2019e</v>
      </c>
      <c r="DW204" s="366" t="str">
        <f t="shared" si="734"/>
        <v>2020e</v>
      </c>
      <c r="DX204" s="366" t="str">
        <f t="shared" si="734"/>
        <v>2021e</v>
      </c>
      <c r="DY204" s="366" t="str">
        <f t="shared" si="734"/>
        <v>2022e</v>
      </c>
      <c r="DZ204" s="366" t="str">
        <f t="shared" si="734"/>
        <v>2023e</v>
      </c>
      <c r="EA204" s="386"/>
    </row>
    <row r="205" spans="1:137" s="410" customFormat="1">
      <c r="A205" s="400"/>
      <c r="B205" s="604"/>
      <c r="C205" s="917"/>
      <c r="D205" s="602"/>
      <c r="E205" s="601"/>
      <c r="F205" s="601"/>
      <c r="G205" s="603"/>
      <c r="H205" s="601"/>
      <c r="I205" s="601"/>
      <c r="J205" s="601"/>
      <c r="K205" s="603"/>
      <c r="L205" s="601"/>
      <c r="M205" s="601"/>
      <c r="N205" s="601"/>
      <c r="O205" s="603"/>
      <c r="P205" s="601"/>
      <c r="Q205" s="601"/>
      <c r="R205" s="601"/>
      <c r="S205" s="603"/>
      <c r="T205" s="601"/>
      <c r="U205" s="601"/>
      <c r="V205" s="601"/>
      <c r="W205" s="603"/>
      <c r="X205" s="601"/>
      <c r="Y205" s="601"/>
      <c r="Z205" s="601"/>
      <c r="AA205" s="603"/>
      <c r="AB205" s="601"/>
      <c r="AC205" s="601"/>
      <c r="AD205" s="601"/>
      <c r="AE205" s="603"/>
      <c r="AF205" s="601"/>
      <c r="AG205" s="601"/>
      <c r="AH205" s="601"/>
      <c r="AI205" s="603"/>
      <c r="AJ205" s="601"/>
      <c r="AK205" s="601"/>
      <c r="AL205" s="601"/>
      <c r="AM205" s="603"/>
      <c r="AN205" s="601"/>
      <c r="AO205" s="601"/>
      <c r="AP205" s="601"/>
      <c r="AQ205" s="603"/>
      <c r="AR205" s="601"/>
      <c r="AS205" s="601"/>
      <c r="AT205" s="601"/>
      <c r="AU205" s="603"/>
      <c r="AV205" s="601"/>
      <c r="AW205" s="601"/>
      <c r="AX205" s="601"/>
      <c r="AY205" s="603"/>
      <c r="AZ205" s="601"/>
      <c r="BA205" s="601"/>
      <c r="BB205" s="601"/>
      <c r="BC205" s="603"/>
      <c r="BD205" s="601"/>
      <c r="BE205" s="601"/>
      <c r="BF205" s="601"/>
      <c r="BG205" s="603"/>
      <c r="BH205" s="601"/>
      <c r="BI205" s="601"/>
      <c r="BJ205" s="601"/>
      <c r="BK205" s="603"/>
      <c r="BL205" s="601"/>
      <c r="BM205" s="601"/>
      <c r="BN205" s="601"/>
      <c r="BO205" s="603"/>
      <c r="BP205" s="601"/>
      <c r="BQ205" s="601"/>
      <c r="BR205" s="601"/>
      <c r="BS205" s="603"/>
      <c r="BT205" s="601"/>
      <c r="BU205" s="601"/>
      <c r="BV205" s="601"/>
      <c r="BW205" s="603"/>
      <c r="BX205" s="601"/>
      <c r="BY205" s="601"/>
      <c r="BZ205" s="601"/>
      <c r="CA205" s="603"/>
      <c r="CB205" s="601"/>
      <c r="CC205" s="601"/>
      <c r="CD205" s="601"/>
      <c r="CE205" s="603"/>
      <c r="CF205" s="601"/>
      <c r="CG205" s="601"/>
      <c r="CH205" s="601"/>
      <c r="CI205" s="603"/>
      <c r="CJ205" s="601"/>
      <c r="CK205" s="601"/>
      <c r="CL205" s="601"/>
      <c r="CM205" s="603"/>
      <c r="CN205" s="601"/>
      <c r="CO205" s="601"/>
      <c r="CP205" s="601"/>
      <c r="CQ205" s="603"/>
      <c r="CR205" s="601"/>
      <c r="CS205" s="601"/>
      <c r="CT205" s="601"/>
      <c r="CU205" s="603"/>
      <c r="CV205" s="406"/>
      <c r="CW205" s="601"/>
      <c r="CX205" s="601"/>
      <c r="CY205" s="601"/>
      <c r="CZ205" s="601"/>
      <c r="DA205" s="601"/>
      <c r="DB205" s="601"/>
      <c r="DC205" s="601"/>
      <c r="DD205" s="601"/>
      <c r="DE205" s="601"/>
      <c r="DF205" s="601"/>
      <c r="DG205" s="601"/>
      <c r="DH205" s="601"/>
      <c r="DI205" s="601"/>
      <c r="DJ205" s="601"/>
      <c r="DK205" s="601"/>
      <c r="DL205" s="601"/>
      <c r="DM205" s="601"/>
      <c r="DN205" s="601"/>
      <c r="DO205" s="601"/>
      <c r="DP205" s="601"/>
      <c r="DQ205" s="601"/>
      <c r="DR205" s="601"/>
      <c r="DS205" s="601"/>
      <c r="DT205" s="601"/>
      <c r="DU205" s="601"/>
      <c r="DV205" s="601"/>
      <c r="DW205" s="601"/>
      <c r="DX205" s="601"/>
      <c r="DY205" s="601"/>
      <c r="DZ205" s="601"/>
      <c r="EA205" s="601"/>
      <c r="EB205"/>
      <c r="EC205"/>
      <c r="ED205"/>
      <c r="EE205"/>
      <c r="EF205"/>
      <c r="EG205"/>
    </row>
    <row r="206" spans="1:137" s="410" customFormat="1">
      <c r="A206" s="400"/>
      <c r="B206" s="601" t="s">
        <v>374</v>
      </c>
      <c r="C206" s="658"/>
      <c r="D206" s="606"/>
      <c r="E206" s="605"/>
      <c r="F206" s="605"/>
      <c r="G206" s="607"/>
      <c r="H206" s="605"/>
      <c r="I206" s="605"/>
      <c r="J206" s="605"/>
      <c r="K206" s="607"/>
      <c r="L206" s="605"/>
      <c r="M206" s="605"/>
      <c r="N206" s="605"/>
      <c r="O206" s="607"/>
      <c r="P206" s="605"/>
      <c r="Q206" s="605"/>
      <c r="R206" s="605"/>
      <c r="S206" s="607"/>
      <c r="T206" s="605"/>
      <c r="U206" s="605"/>
      <c r="V206" s="605"/>
      <c r="W206" s="607"/>
      <c r="X206" s="605"/>
      <c r="Y206" s="605"/>
      <c r="Z206" s="605"/>
      <c r="AA206" s="607"/>
      <c r="AB206" s="605"/>
      <c r="AC206" s="605"/>
      <c r="AD206" s="605"/>
      <c r="AE206" s="607"/>
      <c r="AF206" s="605"/>
      <c r="AG206" s="605"/>
      <c r="AH206" s="605"/>
      <c r="AI206" s="607"/>
      <c r="AJ206" s="605"/>
      <c r="AK206" s="605"/>
      <c r="AL206" s="605"/>
      <c r="AM206" s="607"/>
      <c r="AN206" s="605"/>
      <c r="AO206" s="605"/>
      <c r="AP206" s="605"/>
      <c r="AQ206" s="607"/>
      <c r="AR206" s="605"/>
      <c r="AS206" s="605"/>
      <c r="AT206" s="605"/>
      <c r="AU206" s="607"/>
      <c r="AV206" s="605"/>
      <c r="AW206" s="605"/>
      <c r="AX206" s="605"/>
      <c r="AY206" s="607"/>
      <c r="AZ206" s="605"/>
      <c r="BA206" s="605"/>
      <c r="BB206" s="605"/>
      <c r="BC206" s="607"/>
      <c r="BD206" s="605"/>
      <c r="BE206" s="605"/>
      <c r="BF206" s="605"/>
      <c r="BG206" s="607"/>
      <c r="BH206" s="605"/>
      <c r="BI206" s="605"/>
      <c r="BJ206" s="605"/>
      <c r="BK206" s="607"/>
      <c r="BL206" s="605"/>
      <c r="BM206" s="605"/>
      <c r="BN206" s="605"/>
      <c r="BO206" s="607"/>
      <c r="BP206" s="605"/>
      <c r="BQ206" s="605"/>
      <c r="BR206" s="605"/>
      <c r="BS206" s="607"/>
      <c r="BT206" s="605"/>
      <c r="BU206" s="605"/>
      <c r="BV206" s="605"/>
      <c r="BW206" s="607"/>
      <c r="BX206" s="605"/>
      <c r="BY206" s="605"/>
      <c r="BZ206" s="605"/>
      <c r="CA206" s="607"/>
      <c r="CB206" s="605"/>
      <c r="CC206" s="608"/>
      <c r="CD206" s="608"/>
      <c r="CE206" s="609"/>
      <c r="CF206" s="608"/>
      <c r="CG206" s="608"/>
      <c r="CH206" s="608"/>
      <c r="CI206" s="609"/>
      <c r="CJ206" s="608"/>
      <c r="CK206" s="608"/>
      <c r="CL206" s="608"/>
      <c r="CM206" s="609"/>
      <c r="CN206" s="608"/>
      <c r="CO206" s="608"/>
      <c r="CP206" s="608"/>
      <c r="CQ206" s="609"/>
      <c r="CR206" s="608"/>
      <c r="CS206" s="608"/>
      <c r="CT206" s="608"/>
      <c r="CU206" s="609"/>
      <c r="CV206" s="406"/>
      <c r="CW206" s="605"/>
      <c r="CX206" s="605"/>
      <c r="CY206" s="605"/>
      <c r="CZ206" s="605"/>
      <c r="DA206" s="605"/>
      <c r="DB206" s="605"/>
      <c r="DC206" s="605"/>
      <c r="DD206" s="605"/>
      <c r="DE206" s="605"/>
      <c r="DF206" s="605"/>
      <c r="DG206" s="605"/>
      <c r="DH206" s="605"/>
      <c r="DI206" s="605"/>
      <c r="DJ206" s="605"/>
      <c r="DK206" s="605"/>
      <c r="DL206" s="605"/>
      <c r="DM206" s="605"/>
      <c r="DN206" s="605"/>
      <c r="DO206" s="605"/>
      <c r="DP206" s="608"/>
      <c r="DQ206" s="608"/>
      <c r="DR206" s="608"/>
      <c r="DS206" s="608"/>
      <c r="DT206" s="608"/>
      <c r="DU206" s="608"/>
      <c r="DV206" s="608"/>
      <c r="DW206" s="608"/>
      <c r="DX206" s="608"/>
      <c r="DY206" s="608"/>
      <c r="DZ206" s="608"/>
      <c r="EA206" s="605"/>
      <c r="EB206"/>
      <c r="EC206"/>
      <c r="ED206"/>
      <c r="EE206"/>
      <c r="EF206"/>
      <c r="EG206"/>
    </row>
    <row r="207" spans="1:137" s="410" customFormat="1">
      <c r="A207" s="400"/>
      <c r="B207" s="605" t="s">
        <v>381</v>
      </c>
      <c r="C207" s="658"/>
      <c r="D207" s="486"/>
      <c r="E207" s="401"/>
      <c r="F207" s="401"/>
      <c r="G207" s="487"/>
      <c r="H207" s="401"/>
      <c r="I207" s="401"/>
      <c r="J207" s="401"/>
      <c r="K207" s="487"/>
      <c r="L207" s="401"/>
      <c r="M207" s="401"/>
      <c r="N207" s="401"/>
      <c r="O207" s="487"/>
      <c r="P207" s="401"/>
      <c r="Q207" s="401"/>
      <c r="R207" s="401"/>
      <c r="S207" s="487"/>
      <c r="T207" s="401"/>
      <c r="U207" s="401"/>
      <c r="V207" s="401"/>
      <c r="W207" s="487"/>
      <c r="X207" s="401"/>
      <c r="Y207" s="401"/>
      <c r="Z207" s="401"/>
      <c r="AA207" s="487"/>
      <c r="AB207" s="401"/>
      <c r="AC207" s="401"/>
      <c r="AD207" s="401"/>
      <c r="AE207" s="487"/>
      <c r="AF207" s="401"/>
      <c r="AG207" s="401"/>
      <c r="AH207" s="401"/>
      <c r="AI207" s="487"/>
      <c r="AJ207" s="401"/>
      <c r="AK207" s="401"/>
      <c r="AL207" s="401"/>
      <c r="AM207" s="487"/>
      <c r="AN207" s="401"/>
      <c r="AO207" s="401"/>
      <c r="AP207" s="401"/>
      <c r="AQ207" s="487"/>
      <c r="AR207" s="401"/>
      <c r="AS207" s="401"/>
      <c r="AT207" s="401"/>
      <c r="AU207" s="487"/>
      <c r="AV207" s="401"/>
      <c r="AW207" s="401"/>
      <c r="AX207" s="401"/>
      <c r="AY207" s="487"/>
      <c r="AZ207" s="401"/>
      <c r="BA207" s="401"/>
      <c r="BB207" s="401"/>
      <c r="BC207" s="487"/>
      <c r="BD207" s="401"/>
      <c r="BE207" s="401"/>
      <c r="BF207" s="401"/>
      <c r="BG207" s="487"/>
      <c r="BH207" s="401"/>
      <c r="BI207" s="401"/>
      <c r="BJ207" s="401"/>
      <c r="BK207" s="487"/>
      <c r="BL207" s="401"/>
      <c r="BM207" s="401"/>
      <c r="BN207" s="401"/>
      <c r="BO207" s="487"/>
      <c r="BP207" s="401"/>
      <c r="BQ207" s="401"/>
      <c r="BR207" s="401"/>
      <c r="BS207" s="487"/>
      <c r="BT207" s="630"/>
      <c r="BU207" s="630"/>
      <c r="BV207" s="630"/>
      <c r="BW207" s="631"/>
      <c r="BX207" s="630"/>
      <c r="BY207" s="630"/>
      <c r="BZ207" s="630"/>
      <c r="CA207" s="631"/>
      <c r="CB207" s="630"/>
      <c r="CC207" s="630"/>
      <c r="CD207" s="630"/>
      <c r="CE207" s="631"/>
      <c r="CF207" s="630"/>
      <c r="CG207" s="630"/>
      <c r="CH207" s="630">
        <v>254</v>
      </c>
      <c r="CI207" s="631">
        <v>246</v>
      </c>
      <c r="CJ207" s="630">
        <v>261</v>
      </c>
      <c r="CK207" s="630">
        <v>262</v>
      </c>
      <c r="CL207" s="401">
        <f>CH212</f>
        <v>250</v>
      </c>
      <c r="CM207" s="487">
        <f>CI212</f>
        <v>269</v>
      </c>
      <c r="CN207" s="401">
        <f>CJ212</f>
        <v>276</v>
      </c>
      <c r="CO207" s="630">
        <v>287</v>
      </c>
      <c r="CP207" s="401">
        <f>CL212</f>
        <v>265</v>
      </c>
      <c r="CQ207" s="487">
        <f>CM212</f>
        <v>284</v>
      </c>
      <c r="CR207" s="408"/>
      <c r="CS207" s="408"/>
      <c r="CT207" s="408"/>
      <c r="CU207" s="464"/>
      <c r="CV207" s="406"/>
      <c r="CW207" s="408"/>
      <c r="CX207" s="401"/>
      <c r="CY207" s="401"/>
      <c r="CZ207" s="401"/>
      <c r="DA207" s="401"/>
      <c r="DB207" s="401"/>
      <c r="DC207" s="401"/>
      <c r="DD207" s="401"/>
      <c r="DE207" s="401"/>
      <c r="DF207" s="401"/>
      <c r="DG207" s="401"/>
      <c r="DH207" s="401"/>
      <c r="DI207" s="401"/>
      <c r="DJ207" s="401"/>
      <c r="DK207" s="401"/>
      <c r="DL207" s="401"/>
      <c r="DM207" s="401"/>
      <c r="DN207" s="401"/>
      <c r="DO207" s="401"/>
      <c r="DP207" s="408"/>
      <c r="DQ207" s="408"/>
      <c r="DR207" s="408"/>
      <c r="DS207" s="408"/>
      <c r="DT207" s="408"/>
      <c r="DU207" s="408"/>
      <c r="DV207" s="408"/>
      <c r="DW207" s="408"/>
      <c r="DX207" s="408"/>
      <c r="DY207" s="408"/>
      <c r="DZ207" s="408"/>
      <c r="EA207" s="401"/>
      <c r="EB207"/>
      <c r="EC207"/>
      <c r="ED207"/>
      <c r="EE207"/>
      <c r="EF207"/>
      <c r="EG207"/>
    </row>
    <row r="208" spans="1:137" s="410" customFormat="1">
      <c r="A208" s="400"/>
      <c r="B208" s="700" t="s">
        <v>377</v>
      </c>
      <c r="C208" s="658"/>
      <c r="D208" s="486"/>
      <c r="E208" s="401"/>
      <c r="F208" s="401"/>
      <c r="G208" s="487"/>
      <c r="H208" s="401"/>
      <c r="I208" s="401"/>
      <c r="J208" s="401"/>
      <c r="K208" s="487"/>
      <c r="L208" s="401"/>
      <c r="M208" s="401"/>
      <c r="N208" s="401"/>
      <c r="O208" s="487"/>
      <c r="P208" s="401"/>
      <c r="Q208" s="401"/>
      <c r="R208" s="401"/>
      <c r="S208" s="487"/>
      <c r="T208" s="401"/>
      <c r="U208" s="401"/>
      <c r="V208" s="401"/>
      <c r="W208" s="487"/>
      <c r="X208" s="401"/>
      <c r="Y208" s="401"/>
      <c r="Z208" s="401"/>
      <c r="AA208" s="487"/>
      <c r="AB208" s="401"/>
      <c r="AC208" s="401"/>
      <c r="AD208" s="401"/>
      <c r="AE208" s="487"/>
      <c r="AF208" s="401"/>
      <c r="AG208" s="401"/>
      <c r="AH208" s="401"/>
      <c r="AI208" s="487"/>
      <c r="AJ208" s="401"/>
      <c r="AK208" s="401"/>
      <c r="AL208" s="401"/>
      <c r="AM208" s="487"/>
      <c r="AN208" s="401"/>
      <c r="AO208" s="401"/>
      <c r="AP208" s="401"/>
      <c r="AQ208" s="487"/>
      <c r="AR208" s="401"/>
      <c r="AS208" s="401"/>
      <c r="AT208" s="401"/>
      <c r="AU208" s="487"/>
      <c r="AV208" s="401"/>
      <c r="AW208" s="401"/>
      <c r="AX208" s="401"/>
      <c r="AY208" s="487"/>
      <c r="AZ208" s="401"/>
      <c r="BA208" s="401"/>
      <c r="BB208" s="401"/>
      <c r="BC208" s="487"/>
      <c r="BD208" s="401"/>
      <c r="BE208" s="401"/>
      <c r="BF208" s="401"/>
      <c r="BG208" s="487"/>
      <c r="BH208" s="401"/>
      <c r="BI208" s="401"/>
      <c r="BJ208" s="401"/>
      <c r="BK208" s="487"/>
      <c r="BL208" s="401"/>
      <c r="BM208" s="401"/>
      <c r="BN208" s="401"/>
      <c r="BO208" s="487"/>
      <c r="BP208" s="401"/>
      <c r="BQ208" s="401"/>
      <c r="BR208" s="401"/>
      <c r="BS208" s="487"/>
      <c r="BT208" s="630"/>
      <c r="BU208" s="630"/>
      <c r="BV208" s="630"/>
      <c r="BW208" s="631"/>
      <c r="BX208" s="630"/>
      <c r="BY208" s="630"/>
      <c r="BZ208" s="630"/>
      <c r="CA208" s="631"/>
      <c r="CB208" s="630"/>
      <c r="CC208" s="630"/>
      <c r="CD208" s="630"/>
      <c r="CE208" s="631"/>
      <c r="CF208" s="630"/>
      <c r="CG208" s="630"/>
      <c r="CH208" s="630"/>
      <c r="CI208" s="631">
        <v>8</v>
      </c>
      <c r="CJ208" s="630">
        <v>11</v>
      </c>
      <c r="CK208" s="630">
        <v>13</v>
      </c>
      <c r="CL208" s="630">
        <v>7</v>
      </c>
      <c r="CM208" s="631">
        <v>-1</v>
      </c>
      <c r="CN208" s="630"/>
      <c r="CO208" s="630"/>
      <c r="CP208" s="630"/>
      <c r="CQ208" s="631">
        <v>-4</v>
      </c>
      <c r="CR208" s="408"/>
      <c r="CS208" s="408"/>
      <c r="CT208" s="408"/>
      <c r="CU208" s="464"/>
      <c r="CV208" s="406"/>
      <c r="CW208" s="408"/>
      <c r="CX208" s="401"/>
      <c r="CY208" s="401"/>
      <c r="CZ208" s="401"/>
      <c r="DA208" s="401"/>
      <c r="DB208" s="401"/>
      <c r="DC208" s="401"/>
      <c r="DD208" s="401"/>
      <c r="DE208" s="401"/>
      <c r="DF208" s="401"/>
      <c r="DG208" s="401"/>
      <c r="DH208" s="401"/>
      <c r="DI208" s="401"/>
      <c r="DJ208" s="401"/>
      <c r="DK208" s="401"/>
      <c r="DL208" s="401"/>
      <c r="DM208" s="401"/>
      <c r="DN208" s="401"/>
      <c r="DO208" s="401"/>
      <c r="DP208" s="408"/>
      <c r="DQ208" s="408"/>
      <c r="DR208" s="408"/>
      <c r="DS208" s="408"/>
      <c r="DT208" s="408"/>
      <c r="DU208" s="408"/>
      <c r="DV208" s="408"/>
      <c r="DW208" s="408"/>
      <c r="DX208" s="408"/>
      <c r="DY208" s="408"/>
      <c r="DZ208" s="408"/>
      <c r="EA208" s="401"/>
      <c r="EB208"/>
      <c r="EC208"/>
      <c r="ED208"/>
      <c r="EE208"/>
      <c r="EF208"/>
      <c r="EG208"/>
    </row>
    <row r="209" spans="1:137" s="410" customFormat="1">
      <c r="A209" s="400"/>
      <c r="B209" s="700" t="s">
        <v>378</v>
      </c>
      <c r="C209" s="658"/>
      <c r="D209" s="486"/>
      <c r="E209" s="401"/>
      <c r="F209" s="401"/>
      <c r="G209" s="487"/>
      <c r="H209" s="401"/>
      <c r="I209" s="401"/>
      <c r="J209" s="401"/>
      <c r="K209" s="487"/>
      <c r="L209" s="401"/>
      <c r="M209" s="401"/>
      <c r="N209" s="401"/>
      <c r="O209" s="487"/>
      <c r="P209" s="401"/>
      <c r="Q209" s="401"/>
      <c r="R209" s="401"/>
      <c r="S209" s="487"/>
      <c r="T209" s="401"/>
      <c r="U209" s="401"/>
      <c r="V209" s="401"/>
      <c r="W209" s="487"/>
      <c r="X209" s="401"/>
      <c r="Y209" s="401"/>
      <c r="Z209" s="401"/>
      <c r="AA209" s="487"/>
      <c r="AB209" s="401"/>
      <c r="AC209" s="401"/>
      <c r="AD209" s="401"/>
      <c r="AE209" s="487"/>
      <c r="AF209" s="401"/>
      <c r="AG209" s="401"/>
      <c r="AH209" s="401"/>
      <c r="AI209" s="487"/>
      <c r="AJ209" s="401"/>
      <c r="AK209" s="401"/>
      <c r="AL209" s="401"/>
      <c r="AM209" s="487"/>
      <c r="AN209" s="401"/>
      <c r="AO209" s="401"/>
      <c r="AP209" s="401"/>
      <c r="AQ209" s="487"/>
      <c r="AR209" s="401"/>
      <c r="AS209" s="401"/>
      <c r="AT209" s="401"/>
      <c r="AU209" s="487"/>
      <c r="AV209" s="401"/>
      <c r="AW209" s="401"/>
      <c r="AX209" s="401"/>
      <c r="AY209" s="487"/>
      <c r="AZ209" s="401"/>
      <c r="BA209" s="401"/>
      <c r="BB209" s="401"/>
      <c r="BC209" s="487"/>
      <c r="BD209" s="401"/>
      <c r="BE209" s="401"/>
      <c r="BF209" s="401"/>
      <c r="BG209" s="487"/>
      <c r="BH209" s="401"/>
      <c r="BI209" s="401"/>
      <c r="BJ209" s="401"/>
      <c r="BK209" s="487"/>
      <c r="BL209" s="401"/>
      <c r="BM209" s="401"/>
      <c r="BN209" s="401"/>
      <c r="BO209" s="487"/>
      <c r="BP209" s="401"/>
      <c r="BQ209" s="401"/>
      <c r="BR209" s="401"/>
      <c r="BS209" s="487"/>
      <c r="BT209" s="630"/>
      <c r="BU209" s="630"/>
      <c r="BV209" s="630"/>
      <c r="BW209" s="631"/>
      <c r="BX209" s="630"/>
      <c r="BY209" s="630"/>
      <c r="BZ209" s="630"/>
      <c r="CA209" s="631"/>
      <c r="CB209" s="630"/>
      <c r="CC209" s="630"/>
      <c r="CD209" s="630"/>
      <c r="CE209" s="631"/>
      <c r="CF209" s="630"/>
      <c r="CG209" s="630"/>
      <c r="CH209" s="630">
        <v>22</v>
      </c>
      <c r="CI209" s="631">
        <v>34</v>
      </c>
      <c r="CJ209" s="630">
        <v>12</v>
      </c>
      <c r="CK209" s="630">
        <v>11</v>
      </c>
      <c r="CL209" s="630">
        <v>8</v>
      </c>
      <c r="CM209" s="631">
        <v>24</v>
      </c>
      <c r="CN209" s="630">
        <v>39</v>
      </c>
      <c r="CO209" s="630">
        <v>26</v>
      </c>
      <c r="CP209" s="630">
        <v>35</v>
      </c>
      <c r="CQ209" s="631">
        <v>37</v>
      </c>
      <c r="CR209" s="408"/>
      <c r="CS209" s="408"/>
      <c r="CT209" s="408"/>
      <c r="CU209" s="464"/>
      <c r="CV209" s="406"/>
      <c r="CW209" s="408"/>
      <c r="CX209" s="401"/>
      <c r="CY209" s="401"/>
      <c r="CZ209" s="401"/>
      <c r="DA209" s="401"/>
      <c r="DB209" s="401"/>
      <c r="DC209" s="401"/>
      <c r="DD209" s="401"/>
      <c r="DE209" s="401"/>
      <c r="DF209" s="401"/>
      <c r="DG209" s="401"/>
      <c r="DH209" s="401"/>
      <c r="DI209" s="401"/>
      <c r="DJ209" s="401"/>
      <c r="DK209" s="401"/>
      <c r="DL209" s="401"/>
      <c r="DM209" s="401"/>
      <c r="DN209" s="401"/>
      <c r="DO209" s="401"/>
      <c r="DP209" s="408"/>
      <c r="DQ209" s="408"/>
      <c r="DR209" s="408"/>
      <c r="DS209" s="408"/>
      <c r="DT209" s="408"/>
      <c r="DU209" s="408"/>
      <c r="DV209" s="408"/>
      <c r="DW209" s="408"/>
      <c r="DX209" s="408"/>
      <c r="DY209" s="408"/>
      <c r="DZ209" s="408"/>
      <c r="EA209" s="401"/>
      <c r="EB209"/>
      <c r="EC209"/>
      <c r="ED209"/>
      <c r="EE209"/>
      <c r="EF209"/>
      <c r="EG209"/>
    </row>
    <row r="210" spans="1:137" s="410" customFormat="1">
      <c r="A210" s="400"/>
      <c r="B210" s="700" t="s">
        <v>382</v>
      </c>
      <c r="C210" s="658"/>
      <c r="D210" s="486"/>
      <c r="E210" s="401"/>
      <c r="F210" s="401"/>
      <c r="G210" s="487"/>
      <c r="H210" s="401"/>
      <c r="I210" s="401"/>
      <c r="J210" s="401"/>
      <c r="K210" s="487"/>
      <c r="L210" s="401"/>
      <c r="M210" s="401"/>
      <c r="N210" s="401"/>
      <c r="O210" s="487"/>
      <c r="P210" s="401"/>
      <c r="Q210" s="401"/>
      <c r="R210" s="401"/>
      <c r="S210" s="487"/>
      <c r="T210" s="401"/>
      <c r="U210" s="401"/>
      <c r="V210" s="401"/>
      <c r="W210" s="487"/>
      <c r="X210" s="401"/>
      <c r="Y210" s="401"/>
      <c r="Z210" s="401"/>
      <c r="AA210" s="487"/>
      <c r="AB210" s="401"/>
      <c r="AC210" s="401"/>
      <c r="AD210" s="401"/>
      <c r="AE210" s="487"/>
      <c r="AF210" s="401"/>
      <c r="AG210" s="401"/>
      <c r="AH210" s="401"/>
      <c r="AI210" s="487"/>
      <c r="AJ210" s="401"/>
      <c r="AK210" s="401"/>
      <c r="AL210" s="401"/>
      <c r="AM210" s="487"/>
      <c r="AN210" s="401"/>
      <c r="AO210" s="401"/>
      <c r="AP210" s="401"/>
      <c r="AQ210" s="487"/>
      <c r="AR210" s="401"/>
      <c r="AS210" s="401"/>
      <c r="AT210" s="401"/>
      <c r="AU210" s="487"/>
      <c r="AV210" s="401"/>
      <c r="AW210" s="401"/>
      <c r="AX210" s="401"/>
      <c r="AY210" s="487"/>
      <c r="AZ210" s="401"/>
      <c r="BA210" s="401"/>
      <c r="BB210" s="401"/>
      <c r="BC210" s="487"/>
      <c r="BD210" s="401"/>
      <c r="BE210" s="401"/>
      <c r="BF210" s="401"/>
      <c r="BG210" s="487"/>
      <c r="BH210" s="401"/>
      <c r="BI210" s="401"/>
      <c r="BJ210" s="401"/>
      <c r="BK210" s="487"/>
      <c r="BL210" s="401"/>
      <c r="BM210" s="401"/>
      <c r="BN210" s="401"/>
      <c r="BO210" s="487"/>
      <c r="BP210" s="401"/>
      <c r="BQ210" s="401"/>
      <c r="BR210" s="401"/>
      <c r="BS210" s="487"/>
      <c r="BT210" s="630"/>
      <c r="BU210" s="630"/>
      <c r="BV210" s="630"/>
      <c r="BW210" s="631"/>
      <c r="BX210" s="630"/>
      <c r="BY210" s="630"/>
      <c r="BZ210" s="630"/>
      <c r="CA210" s="631"/>
      <c r="CB210" s="630"/>
      <c r="CC210" s="630"/>
      <c r="CD210" s="630"/>
      <c r="CE210" s="631"/>
      <c r="CF210" s="630"/>
      <c r="CG210" s="630"/>
      <c r="CH210" s="630"/>
      <c r="CI210" s="631"/>
      <c r="CJ210" s="630">
        <v>2</v>
      </c>
      <c r="CK210" s="630">
        <v>5</v>
      </c>
      <c r="CL210" s="630"/>
      <c r="CM210" s="631"/>
      <c r="CN210" s="630">
        <v>-14</v>
      </c>
      <c r="CO210" s="630">
        <v>-8</v>
      </c>
      <c r="CP210" s="630">
        <v>-3</v>
      </c>
      <c r="CQ210" s="631">
        <v>0</v>
      </c>
      <c r="CR210" s="408"/>
      <c r="CS210" s="408"/>
      <c r="CT210" s="408"/>
      <c r="CU210" s="464"/>
      <c r="CV210" s="406"/>
      <c r="CW210" s="408"/>
      <c r="CX210" s="401"/>
      <c r="CY210" s="401"/>
      <c r="CZ210" s="401"/>
      <c r="DA210" s="401"/>
      <c r="DB210" s="401"/>
      <c r="DC210" s="401"/>
      <c r="DD210" s="401"/>
      <c r="DE210" s="401"/>
      <c r="DF210" s="401"/>
      <c r="DG210" s="401"/>
      <c r="DH210" s="401"/>
      <c r="DI210" s="401"/>
      <c r="DJ210" s="401"/>
      <c r="DK210" s="401"/>
      <c r="DL210" s="401"/>
      <c r="DM210" s="401"/>
      <c r="DN210" s="401"/>
      <c r="DO210" s="401"/>
      <c r="DP210" s="408"/>
      <c r="DQ210" s="408"/>
      <c r="DR210" s="408"/>
      <c r="DS210" s="408"/>
      <c r="DT210" s="408"/>
      <c r="DU210" s="408"/>
      <c r="DV210" s="408"/>
      <c r="DW210" s="408"/>
      <c r="DX210" s="408"/>
      <c r="DY210" s="408"/>
      <c r="DZ210" s="408"/>
      <c r="EA210" s="401"/>
      <c r="EB210"/>
      <c r="EC210"/>
      <c r="ED210"/>
      <c r="EE210"/>
      <c r="EF210"/>
      <c r="EG210"/>
    </row>
    <row r="211" spans="1:137" s="410" customFormat="1">
      <c r="A211" s="400"/>
      <c r="B211" s="700" t="s">
        <v>379</v>
      </c>
      <c r="C211" s="658"/>
      <c r="D211" s="486"/>
      <c r="E211" s="401"/>
      <c r="F211" s="401"/>
      <c r="G211" s="487"/>
      <c r="H211" s="401"/>
      <c r="I211" s="401"/>
      <c r="J211" s="401"/>
      <c r="K211" s="487"/>
      <c r="L211" s="401"/>
      <c r="M211" s="401"/>
      <c r="N211" s="401"/>
      <c r="O211" s="487"/>
      <c r="P211" s="401"/>
      <c r="Q211" s="401"/>
      <c r="R211" s="401"/>
      <c r="S211" s="487"/>
      <c r="T211" s="401"/>
      <c r="U211" s="401"/>
      <c r="V211" s="401"/>
      <c r="W211" s="487"/>
      <c r="X211" s="401"/>
      <c r="Y211" s="401"/>
      <c r="Z211" s="401"/>
      <c r="AA211" s="487"/>
      <c r="AB211" s="401"/>
      <c r="AC211" s="401"/>
      <c r="AD211" s="401"/>
      <c r="AE211" s="487"/>
      <c r="AF211" s="401"/>
      <c r="AG211" s="401"/>
      <c r="AH211" s="401"/>
      <c r="AI211" s="487"/>
      <c r="AJ211" s="401"/>
      <c r="AK211" s="401"/>
      <c r="AL211" s="401"/>
      <c r="AM211" s="487"/>
      <c r="AN211" s="401"/>
      <c r="AO211" s="401"/>
      <c r="AP211" s="401"/>
      <c r="AQ211" s="487"/>
      <c r="AR211" s="401"/>
      <c r="AS211" s="401"/>
      <c r="AT211" s="401"/>
      <c r="AU211" s="487"/>
      <c r="AV211" s="401"/>
      <c r="AW211" s="401"/>
      <c r="AX211" s="401"/>
      <c r="AY211" s="487"/>
      <c r="AZ211" s="401"/>
      <c r="BA211" s="401"/>
      <c r="BB211" s="401"/>
      <c r="BC211" s="487"/>
      <c r="BD211" s="401"/>
      <c r="BE211" s="401"/>
      <c r="BF211" s="401"/>
      <c r="BG211" s="487"/>
      <c r="BH211" s="401"/>
      <c r="BI211" s="401"/>
      <c r="BJ211" s="401"/>
      <c r="BK211" s="487"/>
      <c r="BL211" s="401"/>
      <c r="BM211" s="401"/>
      <c r="BN211" s="401"/>
      <c r="BO211" s="487"/>
      <c r="BP211" s="401"/>
      <c r="BQ211" s="401"/>
      <c r="BR211" s="401"/>
      <c r="BS211" s="487"/>
      <c r="BT211" s="630"/>
      <c r="BU211" s="630"/>
      <c r="BV211" s="630"/>
      <c r="BW211" s="631"/>
      <c r="BX211" s="630"/>
      <c r="BY211" s="630"/>
      <c r="BZ211" s="630"/>
      <c r="CA211" s="631"/>
      <c r="CB211" s="630"/>
      <c r="CC211" s="630"/>
      <c r="CD211" s="630"/>
      <c r="CE211" s="631"/>
      <c r="CF211" s="630"/>
      <c r="CG211" s="630"/>
      <c r="CH211" s="630">
        <v>-26</v>
      </c>
      <c r="CI211" s="631">
        <v>-19</v>
      </c>
      <c r="CJ211" s="630">
        <v>-9</v>
      </c>
      <c r="CK211" s="630">
        <v>-3</v>
      </c>
      <c r="CL211" s="630"/>
      <c r="CM211" s="631">
        <v>-8</v>
      </c>
      <c r="CN211" s="630">
        <v>-8</v>
      </c>
      <c r="CO211" s="630">
        <v>-6</v>
      </c>
      <c r="CP211" s="630">
        <v>1</v>
      </c>
      <c r="CQ211" s="631">
        <v>11</v>
      </c>
      <c r="CR211" s="408"/>
      <c r="CS211" s="408"/>
      <c r="CT211" s="408"/>
      <c r="CU211" s="464"/>
      <c r="CV211" s="406"/>
      <c r="CW211" s="408"/>
      <c r="CX211" s="401"/>
      <c r="CY211" s="401"/>
      <c r="CZ211" s="401"/>
      <c r="DA211" s="401"/>
      <c r="DB211" s="401"/>
      <c r="DC211" s="401"/>
      <c r="DD211" s="401"/>
      <c r="DE211" s="401"/>
      <c r="DF211" s="401"/>
      <c r="DG211" s="401"/>
      <c r="DH211" s="401"/>
      <c r="DI211" s="401"/>
      <c r="DJ211" s="401"/>
      <c r="DK211" s="401"/>
      <c r="DL211" s="401"/>
      <c r="DM211" s="401"/>
      <c r="DN211" s="401"/>
      <c r="DO211" s="401"/>
      <c r="DP211" s="408"/>
      <c r="DQ211" s="408"/>
      <c r="DR211" s="408"/>
      <c r="DS211" s="408"/>
      <c r="DT211" s="408"/>
      <c r="DU211" s="408"/>
      <c r="DV211" s="408"/>
      <c r="DW211" s="408"/>
      <c r="DX211" s="408"/>
      <c r="DY211" s="408"/>
      <c r="DZ211" s="408"/>
      <c r="EA211" s="401"/>
      <c r="EB211"/>
      <c r="EC211"/>
      <c r="ED211"/>
      <c r="EE211"/>
      <c r="EF211"/>
      <c r="EG211"/>
    </row>
    <row r="212" spans="1:137" s="410" customFormat="1">
      <c r="A212" s="400"/>
      <c r="B212" s="700" t="s">
        <v>383</v>
      </c>
      <c r="C212" s="658"/>
      <c r="D212" s="486"/>
      <c r="E212" s="401"/>
      <c r="F212" s="401"/>
      <c r="G212" s="487"/>
      <c r="H212" s="401"/>
      <c r="I212" s="401"/>
      <c r="J212" s="401"/>
      <c r="K212" s="487"/>
      <c r="L212" s="401"/>
      <c r="M212" s="401"/>
      <c r="N212" s="401"/>
      <c r="O212" s="487"/>
      <c r="P212" s="401"/>
      <c r="Q212" s="401"/>
      <c r="R212" s="401"/>
      <c r="S212" s="487"/>
      <c r="T212" s="401"/>
      <c r="U212" s="401"/>
      <c r="V212" s="401"/>
      <c r="W212" s="487"/>
      <c r="X212" s="401"/>
      <c r="Y212" s="401"/>
      <c r="Z212" s="401"/>
      <c r="AA212" s="487"/>
      <c r="AB212" s="401"/>
      <c r="AC212" s="401"/>
      <c r="AD212" s="401"/>
      <c r="AE212" s="487"/>
      <c r="AF212" s="401"/>
      <c r="AG212" s="401"/>
      <c r="AH212" s="401"/>
      <c r="AI212" s="487"/>
      <c r="AJ212" s="401"/>
      <c r="AK212" s="401"/>
      <c r="AL212" s="401"/>
      <c r="AM212" s="487"/>
      <c r="AN212" s="401"/>
      <c r="AO212" s="401"/>
      <c r="AP212" s="401"/>
      <c r="AQ212" s="487"/>
      <c r="AR212" s="401"/>
      <c r="AS212" s="401"/>
      <c r="AT212" s="401"/>
      <c r="AU212" s="487"/>
      <c r="AV212" s="401"/>
      <c r="AW212" s="401"/>
      <c r="AX212" s="401"/>
      <c r="AY212" s="487"/>
      <c r="AZ212" s="401"/>
      <c r="BA212" s="401"/>
      <c r="BB212" s="401"/>
      <c r="BC212" s="487"/>
      <c r="BD212" s="401"/>
      <c r="BE212" s="401"/>
      <c r="BF212" s="401"/>
      <c r="BG212" s="487"/>
      <c r="BH212" s="401"/>
      <c r="BI212" s="401"/>
      <c r="BJ212" s="401"/>
      <c r="BK212" s="487"/>
      <c r="BL212" s="401"/>
      <c r="BM212" s="401"/>
      <c r="BN212" s="401"/>
      <c r="BO212" s="487"/>
      <c r="BP212" s="401"/>
      <c r="BQ212" s="401"/>
      <c r="BR212" s="401"/>
      <c r="BS212" s="487"/>
      <c r="BT212" s="401"/>
      <c r="BU212" s="401"/>
      <c r="BV212" s="401"/>
      <c r="BW212" s="487"/>
      <c r="BX212" s="401"/>
      <c r="BY212" s="401"/>
      <c r="BZ212" s="401"/>
      <c r="CA212" s="487"/>
      <c r="CB212" s="401"/>
      <c r="CC212" s="408"/>
      <c r="CD212" s="408"/>
      <c r="CE212" s="464"/>
      <c r="CF212" s="408"/>
      <c r="CG212" s="408"/>
      <c r="CH212" s="408">
        <f t="shared" ref="CH212:CP212" si="735">SUM(CH207:CH211)</f>
        <v>250</v>
      </c>
      <c r="CI212" s="464">
        <f t="shared" si="735"/>
        <v>269</v>
      </c>
      <c r="CJ212" s="630">
        <v>276</v>
      </c>
      <c r="CK212" s="408">
        <f t="shared" si="735"/>
        <v>288</v>
      </c>
      <c r="CL212" s="408">
        <f t="shared" si="735"/>
        <v>265</v>
      </c>
      <c r="CM212" s="464">
        <f t="shared" si="735"/>
        <v>284</v>
      </c>
      <c r="CN212" s="408">
        <f t="shared" si="735"/>
        <v>293</v>
      </c>
      <c r="CO212" s="408">
        <f t="shared" si="735"/>
        <v>299</v>
      </c>
      <c r="CP212" s="408">
        <f t="shared" si="735"/>
        <v>298</v>
      </c>
      <c r="CQ212" s="464">
        <f>SUM(CQ207:CQ211)</f>
        <v>328</v>
      </c>
      <c r="CR212" s="408"/>
      <c r="CS212" s="408"/>
      <c r="CT212" s="408"/>
      <c r="CU212" s="464"/>
      <c r="CV212" s="406"/>
      <c r="CW212" s="408"/>
      <c r="CX212" s="401"/>
      <c r="CY212" s="401"/>
      <c r="CZ212" s="401"/>
      <c r="DA212" s="401"/>
      <c r="DB212" s="401"/>
      <c r="DC212" s="401"/>
      <c r="DD212" s="401"/>
      <c r="DE212" s="401"/>
      <c r="DF212" s="401"/>
      <c r="DG212" s="401"/>
      <c r="DH212" s="401"/>
      <c r="DI212" s="401"/>
      <c r="DJ212" s="401"/>
      <c r="DK212" s="401"/>
      <c r="DL212" s="401"/>
      <c r="DM212" s="401"/>
      <c r="DN212" s="401"/>
      <c r="DO212" s="401"/>
      <c r="DP212" s="408"/>
      <c r="DQ212" s="408"/>
      <c r="DR212" s="408"/>
      <c r="DS212" s="408"/>
      <c r="DT212" s="610"/>
      <c r="DU212" s="408"/>
      <c r="DV212" s="408"/>
      <c r="DW212" s="408"/>
      <c r="DX212" s="408"/>
      <c r="DY212" s="408"/>
      <c r="DZ212" s="408"/>
      <c r="EA212" s="401"/>
      <c r="EB212"/>
      <c r="EC212"/>
      <c r="ED212"/>
      <c r="EE212"/>
      <c r="EF212"/>
      <c r="EG212"/>
    </row>
    <row r="213" spans="1:137" s="410" customFormat="1">
      <c r="A213" s="400"/>
      <c r="B213" s="605"/>
      <c r="C213" s="658"/>
      <c r="D213" s="486"/>
      <c r="E213" s="401"/>
      <c r="F213" s="401"/>
      <c r="G213" s="487"/>
      <c r="H213" s="401"/>
      <c r="I213" s="401"/>
      <c r="J213" s="401"/>
      <c r="K213" s="487"/>
      <c r="L213" s="401"/>
      <c r="M213" s="401"/>
      <c r="N213" s="401"/>
      <c r="O213" s="487"/>
      <c r="P213" s="401"/>
      <c r="Q213" s="401"/>
      <c r="R213" s="401"/>
      <c r="S213" s="487"/>
      <c r="T213" s="401"/>
      <c r="U213" s="401"/>
      <c r="V213" s="401"/>
      <c r="W213" s="487"/>
      <c r="X213" s="401"/>
      <c r="Y213" s="401"/>
      <c r="Z213" s="401"/>
      <c r="AA213" s="487"/>
      <c r="AB213" s="401"/>
      <c r="AC213" s="401"/>
      <c r="AD213" s="401"/>
      <c r="AE213" s="487"/>
      <c r="AF213" s="401"/>
      <c r="AG213" s="401"/>
      <c r="AH213" s="401"/>
      <c r="AI213" s="487"/>
      <c r="AJ213" s="401"/>
      <c r="AK213" s="401"/>
      <c r="AL213" s="401"/>
      <c r="AM213" s="487"/>
      <c r="AN213" s="401"/>
      <c r="AO213" s="401"/>
      <c r="AP213" s="401"/>
      <c r="AQ213" s="487"/>
      <c r="AR213" s="401"/>
      <c r="AS213" s="401"/>
      <c r="AT213" s="401"/>
      <c r="AU213" s="487"/>
      <c r="AV213" s="401"/>
      <c r="AW213" s="401"/>
      <c r="AX213" s="401"/>
      <c r="AY213" s="487"/>
      <c r="AZ213" s="401"/>
      <c r="BA213" s="401"/>
      <c r="BB213" s="401"/>
      <c r="BC213" s="487"/>
      <c r="BD213" s="401"/>
      <c r="BE213" s="401"/>
      <c r="BF213" s="401"/>
      <c r="BG213" s="487"/>
      <c r="BH213" s="401"/>
      <c r="BI213" s="401"/>
      <c r="BJ213" s="401"/>
      <c r="BK213" s="487"/>
      <c r="BL213" s="401"/>
      <c r="BM213" s="401"/>
      <c r="BN213" s="401"/>
      <c r="BO213" s="487"/>
      <c r="BP213" s="401"/>
      <c r="BQ213" s="401"/>
      <c r="BR213" s="401"/>
      <c r="BS213" s="487"/>
      <c r="BT213" s="401"/>
      <c r="BU213" s="401"/>
      <c r="BV213" s="401"/>
      <c r="BW213" s="487"/>
      <c r="BX213" s="401"/>
      <c r="BY213" s="401"/>
      <c r="BZ213" s="401"/>
      <c r="CA213" s="487"/>
      <c r="CB213" s="401"/>
      <c r="CC213" s="408"/>
      <c r="CD213" s="408"/>
      <c r="CE213" s="464"/>
      <c r="CF213" s="408"/>
      <c r="CG213" s="408"/>
      <c r="CH213" s="408"/>
      <c r="CI213" s="464"/>
      <c r="CJ213" s="408"/>
      <c r="CK213" s="408"/>
      <c r="CL213" s="408"/>
      <c r="CM213" s="464"/>
      <c r="CN213" s="408"/>
      <c r="CO213" s="408"/>
      <c r="CP213" s="408"/>
      <c r="CQ213" s="464"/>
      <c r="CR213" s="408"/>
      <c r="CS213" s="408"/>
      <c r="CT213" s="408"/>
      <c r="CU213" s="464"/>
      <c r="CV213" s="406"/>
      <c r="CW213" s="408"/>
      <c r="CX213" s="401"/>
      <c r="CY213" s="401"/>
      <c r="CZ213" s="401"/>
      <c r="DA213" s="401"/>
      <c r="DB213" s="401"/>
      <c r="DC213" s="401"/>
      <c r="DD213" s="401"/>
      <c r="DE213" s="401"/>
      <c r="DF213" s="401"/>
      <c r="DG213" s="401"/>
      <c r="DH213" s="401"/>
      <c r="DI213" s="401"/>
      <c r="DJ213" s="401"/>
      <c r="DK213" s="401"/>
      <c r="DL213" s="401"/>
      <c r="DM213" s="401"/>
      <c r="DN213" s="401"/>
      <c r="DO213" s="401"/>
      <c r="DP213" s="408"/>
      <c r="DQ213" s="408"/>
      <c r="DR213" s="408"/>
      <c r="DS213" s="408"/>
      <c r="DT213" s="408"/>
      <c r="DU213" s="408"/>
      <c r="DV213" s="408"/>
      <c r="DW213" s="408"/>
      <c r="DX213" s="408"/>
      <c r="DY213" s="408"/>
      <c r="DZ213" s="408"/>
      <c r="EA213" s="401"/>
      <c r="EB213"/>
      <c r="EC213"/>
      <c r="ED213"/>
      <c r="EE213"/>
      <c r="EF213"/>
      <c r="EG213"/>
    </row>
    <row r="214" spans="1:137" s="649" customFormat="1">
      <c r="A214" s="645"/>
      <c r="B214" s="701" t="s">
        <v>194</v>
      </c>
      <c r="C214" s="908"/>
      <c r="D214" s="652"/>
      <c r="E214" s="651"/>
      <c r="F214" s="651"/>
      <c r="G214" s="653"/>
      <c r="H214" s="651"/>
      <c r="I214" s="651"/>
      <c r="J214" s="651"/>
      <c r="K214" s="653"/>
      <c r="L214" s="651"/>
      <c r="M214" s="651"/>
      <c r="N214" s="651"/>
      <c r="O214" s="653"/>
      <c r="P214" s="651"/>
      <c r="Q214" s="651"/>
      <c r="R214" s="651"/>
      <c r="S214" s="653"/>
      <c r="T214" s="651"/>
      <c r="U214" s="651"/>
      <c r="V214" s="651"/>
      <c r="W214" s="653"/>
      <c r="X214" s="651"/>
      <c r="Y214" s="651"/>
      <c r="Z214" s="651"/>
      <c r="AA214" s="653"/>
      <c r="AB214" s="651"/>
      <c r="AC214" s="651"/>
      <c r="AD214" s="651"/>
      <c r="AE214" s="653"/>
      <c r="AF214" s="651"/>
      <c r="AG214" s="651"/>
      <c r="AH214" s="651"/>
      <c r="AI214" s="653"/>
      <c r="AJ214" s="651"/>
      <c r="AK214" s="651"/>
      <c r="AL214" s="651"/>
      <c r="AM214" s="653"/>
      <c r="AN214" s="651"/>
      <c r="AO214" s="651"/>
      <c r="AP214" s="651"/>
      <c r="AQ214" s="653"/>
      <c r="AR214" s="651"/>
      <c r="AS214" s="651"/>
      <c r="AT214" s="651"/>
      <c r="AU214" s="653"/>
      <c r="AV214" s="651"/>
      <c r="AW214" s="651"/>
      <c r="AX214" s="651"/>
      <c r="AY214" s="653"/>
      <c r="AZ214" s="651"/>
      <c r="BA214" s="651"/>
      <c r="BB214" s="651"/>
      <c r="BC214" s="653"/>
      <c r="BD214" s="651"/>
      <c r="BE214" s="651"/>
      <c r="BF214" s="651"/>
      <c r="BG214" s="653"/>
      <c r="BH214" s="651"/>
      <c r="BI214" s="651"/>
      <c r="BJ214" s="651"/>
      <c r="BK214" s="653"/>
      <c r="BL214" s="651"/>
      <c r="BM214" s="651"/>
      <c r="BN214" s="651"/>
      <c r="BO214" s="653"/>
      <c r="BP214" s="651"/>
      <c r="BQ214" s="651"/>
      <c r="BR214" s="651"/>
      <c r="BS214" s="653"/>
      <c r="BT214" s="651"/>
      <c r="BU214" s="651"/>
      <c r="BV214" s="651"/>
      <c r="BW214" s="653"/>
      <c r="BX214" s="651"/>
      <c r="BY214" s="651"/>
      <c r="BZ214" s="651"/>
      <c r="CA214" s="653"/>
      <c r="CB214" s="651"/>
      <c r="CC214" s="651"/>
      <c r="CD214" s="651"/>
      <c r="CE214" s="653"/>
      <c r="CF214" s="651"/>
      <c r="CG214" s="651"/>
      <c r="CH214" s="651"/>
      <c r="CI214" s="653"/>
      <c r="CJ214" s="651">
        <f t="shared" ref="CJ214:CP214" si="736">CJ212-CJ18</f>
        <v>-0.39999999999997726</v>
      </c>
      <c r="CK214" s="651">
        <f t="shared" si="736"/>
        <v>1.1000000000001933</v>
      </c>
      <c r="CL214" s="651">
        <f t="shared" si="736"/>
        <v>-0.29999999999995453</v>
      </c>
      <c r="CM214" s="653">
        <f t="shared" si="736"/>
        <v>0.39999999999992042</v>
      </c>
      <c r="CN214" s="651">
        <f t="shared" si="736"/>
        <v>0.30000000000006821</v>
      </c>
      <c r="CO214" s="651">
        <f t="shared" si="736"/>
        <v>-0.49999999999982947</v>
      </c>
      <c r="CP214" s="651">
        <f t="shared" si="736"/>
        <v>-0.299999999999784</v>
      </c>
      <c r="CQ214" s="653">
        <f t="shared" ref="CQ214" si="737">CQ212-CQ18</f>
        <v>-0.19999999999998863</v>
      </c>
      <c r="CR214" s="651"/>
      <c r="CS214" s="651"/>
      <c r="CT214" s="651"/>
      <c r="CU214" s="653"/>
      <c r="CV214" s="648"/>
      <c r="CW214" s="651"/>
      <c r="CX214" s="651"/>
      <c r="CY214" s="651"/>
      <c r="CZ214" s="651"/>
      <c r="DA214" s="651"/>
      <c r="DB214" s="651"/>
      <c r="DC214" s="651"/>
      <c r="DD214" s="651"/>
      <c r="DE214" s="651"/>
      <c r="DF214" s="651"/>
      <c r="DG214" s="651"/>
      <c r="DH214" s="651"/>
      <c r="DI214" s="651"/>
      <c r="DJ214" s="651"/>
      <c r="DK214" s="651"/>
      <c r="DL214" s="651"/>
      <c r="DM214" s="651"/>
      <c r="DN214" s="651"/>
      <c r="DO214" s="651"/>
      <c r="DP214" s="651"/>
      <c r="DQ214" s="651"/>
      <c r="DR214" s="651"/>
      <c r="DS214" s="651"/>
      <c r="DT214" s="651"/>
      <c r="DU214" s="651"/>
      <c r="DV214" s="651"/>
      <c r="DW214" s="651"/>
      <c r="DX214" s="651"/>
      <c r="DY214" s="651"/>
      <c r="DZ214" s="651"/>
      <c r="EA214" s="651"/>
      <c r="EB214"/>
      <c r="EC214"/>
      <c r="ED214"/>
      <c r="EE214"/>
      <c r="EF214"/>
      <c r="EG214"/>
    </row>
    <row r="215" spans="1:137" s="410" customFormat="1">
      <c r="A215" s="400"/>
      <c r="B215" s="605"/>
      <c r="C215" s="658"/>
      <c r="D215" s="486"/>
      <c r="E215" s="401"/>
      <c r="F215" s="401"/>
      <c r="G215" s="487"/>
      <c r="H215" s="401"/>
      <c r="I215" s="401"/>
      <c r="J215" s="401"/>
      <c r="K215" s="487"/>
      <c r="L215" s="401"/>
      <c r="M215" s="401"/>
      <c r="N215" s="401"/>
      <c r="O215" s="487"/>
      <c r="P215" s="401"/>
      <c r="Q215" s="401"/>
      <c r="R215" s="401"/>
      <c r="S215" s="487"/>
      <c r="T215" s="401"/>
      <c r="U215" s="401"/>
      <c r="V215" s="401"/>
      <c r="W215" s="487"/>
      <c r="X215" s="401"/>
      <c r="Y215" s="401"/>
      <c r="Z215" s="401"/>
      <c r="AA215" s="487"/>
      <c r="AB215" s="401"/>
      <c r="AC215" s="401"/>
      <c r="AD215" s="401"/>
      <c r="AE215" s="487"/>
      <c r="AF215" s="401"/>
      <c r="AG215" s="401"/>
      <c r="AH215" s="401"/>
      <c r="AI215" s="487"/>
      <c r="AJ215" s="401"/>
      <c r="AK215" s="401"/>
      <c r="AL215" s="401"/>
      <c r="AM215" s="487"/>
      <c r="AN215" s="401"/>
      <c r="AO215" s="401"/>
      <c r="AP215" s="401"/>
      <c r="AQ215" s="487"/>
      <c r="AR215" s="401"/>
      <c r="AS215" s="401"/>
      <c r="AT215" s="401"/>
      <c r="AU215" s="487"/>
      <c r="AV215" s="401"/>
      <c r="AW215" s="401"/>
      <c r="AX215" s="401"/>
      <c r="AY215" s="487"/>
      <c r="AZ215" s="401"/>
      <c r="BA215" s="401"/>
      <c r="BB215" s="401"/>
      <c r="BC215" s="487"/>
      <c r="BD215" s="401"/>
      <c r="BE215" s="401"/>
      <c r="BF215" s="401"/>
      <c r="BG215" s="487"/>
      <c r="BH215" s="401"/>
      <c r="BI215" s="401"/>
      <c r="BJ215" s="401"/>
      <c r="BK215" s="487"/>
      <c r="BL215" s="401"/>
      <c r="BM215" s="401"/>
      <c r="BN215" s="401"/>
      <c r="BO215" s="487"/>
      <c r="BP215" s="401"/>
      <c r="BQ215" s="401"/>
      <c r="BR215" s="401"/>
      <c r="BS215" s="487"/>
      <c r="BT215" s="401"/>
      <c r="BU215" s="401"/>
      <c r="BV215" s="401"/>
      <c r="BW215" s="487"/>
      <c r="BX215" s="401"/>
      <c r="BY215" s="401"/>
      <c r="BZ215" s="401"/>
      <c r="CA215" s="487"/>
      <c r="CB215" s="401"/>
      <c r="CC215" s="408"/>
      <c r="CD215" s="408"/>
      <c r="CE215" s="464"/>
      <c r="CF215" s="408"/>
      <c r="CG215" s="408"/>
      <c r="CH215" s="408"/>
      <c r="CI215" s="464"/>
      <c r="CJ215" s="408"/>
      <c r="CK215" s="408"/>
      <c r="CL215" s="408"/>
      <c r="CM215" s="464"/>
      <c r="CN215" s="408"/>
      <c r="CO215" s="408"/>
      <c r="CP215" s="408"/>
      <c r="CQ215" s="464"/>
      <c r="CR215" s="408"/>
      <c r="CS215" s="408"/>
      <c r="CT215" s="408"/>
      <c r="CU215" s="464"/>
      <c r="CV215" s="406"/>
      <c r="CW215" s="408"/>
      <c r="CX215" s="401"/>
      <c r="CY215" s="401"/>
      <c r="CZ215" s="401"/>
      <c r="DA215" s="401"/>
      <c r="DB215" s="401"/>
      <c r="DC215" s="401"/>
      <c r="DD215" s="401"/>
      <c r="DE215" s="401"/>
      <c r="DF215" s="401"/>
      <c r="DG215" s="401"/>
      <c r="DH215" s="401"/>
      <c r="DI215" s="401"/>
      <c r="DJ215" s="401"/>
      <c r="DK215" s="401"/>
      <c r="DL215" s="401"/>
      <c r="DM215" s="401"/>
      <c r="DN215" s="401"/>
      <c r="DO215" s="401"/>
      <c r="DP215" s="408"/>
      <c r="DQ215" s="408"/>
      <c r="DR215" s="408"/>
      <c r="DS215" s="408"/>
      <c r="DT215" s="408"/>
      <c r="DU215" s="408"/>
      <c r="DV215" s="408"/>
      <c r="DW215" s="408"/>
      <c r="DX215" s="408"/>
      <c r="DY215" s="408"/>
      <c r="DZ215" s="408"/>
      <c r="EA215" s="401"/>
      <c r="EB215"/>
      <c r="EC215"/>
      <c r="ED215"/>
      <c r="EE215"/>
      <c r="EF215"/>
      <c r="EG215"/>
    </row>
    <row r="216" spans="1:137" s="599" customFormat="1">
      <c r="A216" s="694"/>
      <c r="B216" s="702" t="s">
        <v>378</v>
      </c>
      <c r="C216" s="916"/>
      <c r="D216" s="595"/>
      <c r="E216" s="596"/>
      <c r="F216" s="596"/>
      <c r="G216" s="597"/>
      <c r="H216" s="596"/>
      <c r="I216" s="596"/>
      <c r="J216" s="596"/>
      <c r="K216" s="597"/>
      <c r="L216" s="596"/>
      <c r="M216" s="596"/>
      <c r="N216" s="596"/>
      <c r="O216" s="597"/>
      <c r="P216" s="596"/>
      <c r="Q216" s="596"/>
      <c r="R216" s="596"/>
      <c r="S216" s="597"/>
      <c r="T216" s="596"/>
      <c r="U216" s="596"/>
      <c r="V216" s="596"/>
      <c r="W216" s="597"/>
      <c r="X216" s="596"/>
      <c r="Y216" s="596"/>
      <c r="Z216" s="596"/>
      <c r="AA216" s="597"/>
      <c r="AB216" s="596"/>
      <c r="AC216" s="596"/>
      <c r="AD216" s="596"/>
      <c r="AE216" s="597"/>
      <c r="AF216" s="596"/>
      <c r="AG216" s="596"/>
      <c r="AH216" s="596"/>
      <c r="AI216" s="597"/>
      <c r="AJ216" s="596"/>
      <c r="AK216" s="596"/>
      <c r="AL216" s="596"/>
      <c r="AM216" s="597"/>
      <c r="AN216" s="596"/>
      <c r="AO216" s="596"/>
      <c r="AP216" s="596"/>
      <c r="AQ216" s="597"/>
      <c r="AR216" s="596"/>
      <c r="AS216" s="596"/>
      <c r="AT216" s="596"/>
      <c r="AU216" s="597"/>
      <c r="AV216" s="596"/>
      <c r="AW216" s="596"/>
      <c r="AX216" s="596"/>
      <c r="AY216" s="597"/>
      <c r="AZ216" s="596"/>
      <c r="BA216" s="596"/>
      <c r="BB216" s="596"/>
      <c r="BC216" s="597"/>
      <c r="BD216" s="596"/>
      <c r="BE216" s="596"/>
      <c r="BF216" s="596"/>
      <c r="BG216" s="597"/>
      <c r="BH216" s="596"/>
      <c r="BI216" s="596"/>
      <c r="BJ216" s="596"/>
      <c r="BK216" s="597"/>
      <c r="BL216" s="596"/>
      <c r="BM216" s="596"/>
      <c r="BN216" s="596"/>
      <c r="BO216" s="597"/>
      <c r="BP216" s="596"/>
      <c r="BQ216" s="596"/>
      <c r="BR216" s="596"/>
      <c r="BS216" s="597"/>
      <c r="BT216" s="596"/>
      <c r="BU216" s="596"/>
      <c r="BV216" s="596"/>
      <c r="BW216" s="597"/>
      <c r="BX216" s="596"/>
      <c r="BY216" s="596"/>
      <c r="BZ216" s="596"/>
      <c r="CA216" s="597"/>
      <c r="CB216" s="596"/>
      <c r="CC216" s="618"/>
      <c r="CD216" s="618"/>
      <c r="CE216" s="696"/>
      <c r="CF216" s="618"/>
      <c r="CG216" s="618"/>
      <c r="CH216" s="618">
        <f t="shared" ref="CH216" si="738">CH209/CH$207</f>
        <v>8.6614173228346455E-2</v>
      </c>
      <c r="CI216" s="696">
        <f t="shared" ref="CI216:CO216" si="739">CI209/CI$207</f>
        <v>0.13821138211382114</v>
      </c>
      <c r="CJ216" s="618">
        <f t="shared" si="739"/>
        <v>4.5977011494252873E-2</v>
      </c>
      <c r="CK216" s="618">
        <f t="shared" si="739"/>
        <v>4.1984732824427481E-2</v>
      </c>
      <c r="CL216" s="618">
        <f t="shared" si="739"/>
        <v>3.2000000000000001E-2</v>
      </c>
      <c r="CM216" s="696">
        <f t="shared" si="739"/>
        <v>8.9219330855018583E-2</v>
      </c>
      <c r="CN216" s="618">
        <f t="shared" si="739"/>
        <v>0.14130434782608695</v>
      </c>
      <c r="CO216" s="618">
        <f t="shared" si="739"/>
        <v>9.0592334494773524E-2</v>
      </c>
      <c r="CP216" s="618">
        <f t="shared" ref="CP216:CP218" si="740">CP209/CP$207</f>
        <v>0.13207547169811321</v>
      </c>
      <c r="CQ216" s="696">
        <f t="shared" ref="CQ216" si="741">CQ209/CQ$207</f>
        <v>0.13028169014084506</v>
      </c>
      <c r="CR216" s="618"/>
      <c r="CS216" s="618"/>
      <c r="CT216" s="618"/>
      <c r="CU216" s="696"/>
      <c r="CV216" s="598"/>
      <c r="CW216" s="618"/>
      <c r="CX216" s="596"/>
      <c r="CY216" s="596"/>
      <c r="CZ216" s="596"/>
      <c r="DA216" s="596"/>
      <c r="DB216" s="596"/>
      <c r="DC216" s="596"/>
      <c r="DD216" s="596"/>
      <c r="DE216" s="596"/>
      <c r="DF216" s="596"/>
      <c r="DG216" s="596"/>
      <c r="DH216" s="596"/>
      <c r="DI216" s="596"/>
      <c r="DJ216" s="596"/>
      <c r="DK216" s="596"/>
      <c r="DL216" s="596"/>
      <c r="DM216" s="596"/>
      <c r="DN216" s="596"/>
      <c r="DO216" s="596"/>
      <c r="DP216" s="618"/>
      <c r="DQ216" s="618"/>
      <c r="DR216" s="618"/>
      <c r="DS216" s="618"/>
      <c r="DT216" s="618"/>
      <c r="DU216" s="618"/>
      <c r="DV216" s="618"/>
      <c r="DW216" s="618"/>
      <c r="DX216" s="618"/>
      <c r="DY216" s="618"/>
      <c r="DZ216" s="618"/>
      <c r="EA216" s="596"/>
      <c r="EB216"/>
      <c r="EC216"/>
      <c r="ED216"/>
      <c r="EE216"/>
      <c r="EF216"/>
      <c r="EG216"/>
    </row>
    <row r="217" spans="1:137" s="599" customFormat="1">
      <c r="A217" s="694"/>
      <c r="B217" s="702" t="s">
        <v>382</v>
      </c>
      <c r="C217" s="916"/>
      <c r="D217" s="595"/>
      <c r="E217" s="596"/>
      <c r="F217" s="596"/>
      <c r="G217" s="597"/>
      <c r="H217" s="596"/>
      <c r="I217" s="596"/>
      <c r="J217" s="596"/>
      <c r="K217" s="597"/>
      <c r="L217" s="596"/>
      <c r="M217" s="596"/>
      <c r="N217" s="596"/>
      <c r="O217" s="597"/>
      <c r="P217" s="596"/>
      <c r="Q217" s="596"/>
      <c r="R217" s="596"/>
      <c r="S217" s="597"/>
      <c r="T217" s="596"/>
      <c r="U217" s="596"/>
      <c r="V217" s="596"/>
      <c r="W217" s="597"/>
      <c r="X217" s="596"/>
      <c r="Y217" s="596"/>
      <c r="Z217" s="596"/>
      <c r="AA217" s="597"/>
      <c r="AB217" s="596"/>
      <c r="AC217" s="596"/>
      <c r="AD217" s="596"/>
      <c r="AE217" s="597"/>
      <c r="AF217" s="596"/>
      <c r="AG217" s="596"/>
      <c r="AH217" s="596"/>
      <c r="AI217" s="597"/>
      <c r="AJ217" s="596"/>
      <c r="AK217" s="596"/>
      <c r="AL217" s="596"/>
      <c r="AM217" s="597"/>
      <c r="AN217" s="596"/>
      <c r="AO217" s="596"/>
      <c r="AP217" s="596"/>
      <c r="AQ217" s="597"/>
      <c r="AR217" s="596"/>
      <c r="AS217" s="596"/>
      <c r="AT217" s="596"/>
      <c r="AU217" s="597"/>
      <c r="AV217" s="596"/>
      <c r="AW217" s="596"/>
      <c r="AX217" s="596"/>
      <c r="AY217" s="597"/>
      <c r="AZ217" s="596"/>
      <c r="BA217" s="596"/>
      <c r="BB217" s="596"/>
      <c r="BC217" s="597"/>
      <c r="BD217" s="596"/>
      <c r="BE217" s="596"/>
      <c r="BF217" s="596"/>
      <c r="BG217" s="597"/>
      <c r="BH217" s="596"/>
      <c r="BI217" s="596"/>
      <c r="BJ217" s="596"/>
      <c r="BK217" s="597"/>
      <c r="BL217" s="596"/>
      <c r="BM217" s="596"/>
      <c r="BN217" s="596"/>
      <c r="BO217" s="597"/>
      <c r="BP217" s="596"/>
      <c r="BQ217" s="596"/>
      <c r="BR217" s="596"/>
      <c r="BS217" s="597"/>
      <c r="BT217" s="596"/>
      <c r="BU217" s="596"/>
      <c r="BV217" s="596"/>
      <c r="BW217" s="597"/>
      <c r="BX217" s="596"/>
      <c r="BY217" s="596"/>
      <c r="BZ217" s="596"/>
      <c r="CA217" s="597"/>
      <c r="CB217" s="596"/>
      <c r="CC217" s="618"/>
      <c r="CD217" s="618"/>
      <c r="CE217" s="696"/>
      <c r="CF217" s="618"/>
      <c r="CG217" s="618"/>
      <c r="CH217" s="618">
        <f t="shared" ref="CH217" si="742">CH210/CH$207</f>
        <v>0</v>
      </c>
      <c r="CI217" s="696">
        <f t="shared" ref="CI217:CO217" si="743">CI210/CI$207</f>
        <v>0</v>
      </c>
      <c r="CJ217" s="618">
        <f t="shared" si="743"/>
        <v>7.6628352490421452E-3</v>
      </c>
      <c r="CK217" s="618">
        <f t="shared" si="743"/>
        <v>1.9083969465648856E-2</v>
      </c>
      <c r="CL217" s="618">
        <f t="shared" si="743"/>
        <v>0</v>
      </c>
      <c r="CM217" s="696">
        <f t="shared" si="743"/>
        <v>0</v>
      </c>
      <c r="CN217" s="618">
        <f t="shared" si="743"/>
        <v>-5.0724637681159424E-2</v>
      </c>
      <c r="CO217" s="618">
        <f t="shared" si="743"/>
        <v>-2.7874564459930314E-2</v>
      </c>
      <c r="CP217" s="618">
        <f t="shared" si="740"/>
        <v>-1.1320754716981131E-2</v>
      </c>
      <c r="CQ217" s="696">
        <f t="shared" ref="CQ217" si="744">CQ210/CQ$207</f>
        <v>0</v>
      </c>
      <c r="CR217" s="618"/>
      <c r="CS217" s="618"/>
      <c r="CT217" s="618"/>
      <c r="CU217" s="696"/>
      <c r="CV217" s="598"/>
      <c r="CW217" s="618"/>
      <c r="CX217" s="596"/>
      <c r="CY217" s="596"/>
      <c r="CZ217" s="596"/>
      <c r="DA217" s="596"/>
      <c r="DB217" s="596"/>
      <c r="DC217" s="596"/>
      <c r="DD217" s="596"/>
      <c r="DE217" s="596"/>
      <c r="DF217" s="596"/>
      <c r="DG217" s="596"/>
      <c r="DH217" s="596"/>
      <c r="DI217" s="596"/>
      <c r="DJ217" s="596"/>
      <c r="DK217" s="596"/>
      <c r="DL217" s="596"/>
      <c r="DM217" s="596"/>
      <c r="DN217" s="596"/>
      <c r="DO217" s="596"/>
      <c r="DP217" s="618"/>
      <c r="DQ217" s="618"/>
      <c r="DR217" s="618"/>
      <c r="DS217" s="618"/>
      <c r="DT217" s="618"/>
      <c r="DU217" s="618"/>
      <c r="DV217" s="618"/>
      <c r="DW217" s="618"/>
      <c r="DX217" s="618"/>
      <c r="DY217" s="618"/>
      <c r="DZ217" s="618"/>
      <c r="EA217" s="596"/>
      <c r="EB217"/>
      <c r="EC217"/>
      <c r="ED217"/>
      <c r="EE217"/>
      <c r="EF217"/>
      <c r="EG217"/>
    </row>
    <row r="218" spans="1:137" s="599" customFormat="1">
      <c r="A218" s="694"/>
      <c r="B218" s="702" t="s">
        <v>379</v>
      </c>
      <c r="C218" s="916"/>
      <c r="D218" s="595"/>
      <c r="E218" s="596"/>
      <c r="F218" s="596"/>
      <c r="G218" s="597"/>
      <c r="H218" s="596"/>
      <c r="I218" s="596"/>
      <c r="J218" s="596"/>
      <c r="K218" s="597"/>
      <c r="L218" s="596"/>
      <c r="M218" s="596"/>
      <c r="N218" s="596"/>
      <c r="O218" s="597"/>
      <c r="P218" s="596"/>
      <c r="Q218" s="596"/>
      <c r="R218" s="596"/>
      <c r="S218" s="597"/>
      <c r="T218" s="596"/>
      <c r="U218" s="596"/>
      <c r="V218" s="596"/>
      <c r="W218" s="597"/>
      <c r="X218" s="596"/>
      <c r="Y218" s="596"/>
      <c r="Z218" s="596"/>
      <c r="AA218" s="597"/>
      <c r="AB218" s="596"/>
      <c r="AC218" s="596"/>
      <c r="AD218" s="596"/>
      <c r="AE218" s="597"/>
      <c r="AF218" s="596"/>
      <c r="AG218" s="596"/>
      <c r="AH218" s="596"/>
      <c r="AI218" s="597"/>
      <c r="AJ218" s="596"/>
      <c r="AK218" s="596"/>
      <c r="AL218" s="596"/>
      <c r="AM218" s="597"/>
      <c r="AN218" s="596"/>
      <c r="AO218" s="596"/>
      <c r="AP218" s="596"/>
      <c r="AQ218" s="597"/>
      <c r="AR218" s="596"/>
      <c r="AS218" s="596"/>
      <c r="AT218" s="596"/>
      <c r="AU218" s="597"/>
      <c r="AV218" s="596"/>
      <c r="AW218" s="596"/>
      <c r="AX218" s="596"/>
      <c r="AY218" s="597"/>
      <c r="AZ218" s="596"/>
      <c r="BA218" s="596"/>
      <c r="BB218" s="596"/>
      <c r="BC218" s="597"/>
      <c r="BD218" s="596"/>
      <c r="BE218" s="596"/>
      <c r="BF218" s="596"/>
      <c r="BG218" s="597"/>
      <c r="BH218" s="596"/>
      <c r="BI218" s="596"/>
      <c r="BJ218" s="596"/>
      <c r="BK218" s="597"/>
      <c r="BL218" s="596"/>
      <c r="BM218" s="596"/>
      <c r="BN218" s="596"/>
      <c r="BO218" s="597"/>
      <c r="BP218" s="596"/>
      <c r="BQ218" s="596"/>
      <c r="BR218" s="596"/>
      <c r="BS218" s="597"/>
      <c r="BT218" s="596"/>
      <c r="BU218" s="596"/>
      <c r="BV218" s="596"/>
      <c r="BW218" s="597"/>
      <c r="BX218" s="596"/>
      <c r="BY218" s="596"/>
      <c r="BZ218" s="596"/>
      <c r="CA218" s="597"/>
      <c r="CB218" s="596"/>
      <c r="CC218" s="618"/>
      <c r="CD218" s="618"/>
      <c r="CE218" s="696"/>
      <c r="CF218" s="618"/>
      <c r="CG218" s="618"/>
      <c r="CH218" s="618">
        <f t="shared" ref="CH218" si="745">CH211/CH$207</f>
        <v>-0.10236220472440945</v>
      </c>
      <c r="CI218" s="696">
        <f t="shared" ref="CI218:CO218" si="746">CI211/CI$207</f>
        <v>-7.7235772357723581E-2</v>
      </c>
      <c r="CJ218" s="618">
        <f t="shared" si="746"/>
        <v>-3.4482758620689655E-2</v>
      </c>
      <c r="CK218" s="618">
        <f t="shared" si="746"/>
        <v>-1.1450381679389313E-2</v>
      </c>
      <c r="CL218" s="618">
        <f t="shared" si="746"/>
        <v>0</v>
      </c>
      <c r="CM218" s="696">
        <f t="shared" si="746"/>
        <v>-2.9739776951672861E-2</v>
      </c>
      <c r="CN218" s="618">
        <f t="shared" si="746"/>
        <v>-2.8985507246376812E-2</v>
      </c>
      <c r="CO218" s="618">
        <f t="shared" si="746"/>
        <v>-2.0905923344947737E-2</v>
      </c>
      <c r="CP218" s="618">
        <f t="shared" si="740"/>
        <v>3.7735849056603774E-3</v>
      </c>
      <c r="CQ218" s="696">
        <f t="shared" ref="CQ218" si="747">CQ211/CQ$207</f>
        <v>3.873239436619718E-2</v>
      </c>
      <c r="CR218" s="618"/>
      <c r="CS218" s="618"/>
      <c r="CT218" s="618"/>
      <c r="CU218" s="696"/>
      <c r="CV218" s="598"/>
      <c r="CW218" s="618"/>
      <c r="CX218" s="596"/>
      <c r="CY218" s="596"/>
      <c r="CZ218" s="596"/>
      <c r="DA218" s="596"/>
      <c r="DB218" s="596"/>
      <c r="DC218" s="596"/>
      <c r="DD218" s="596"/>
      <c r="DE218" s="596"/>
      <c r="DF218" s="596"/>
      <c r="DG218" s="596"/>
      <c r="DH218" s="596"/>
      <c r="DI218" s="596"/>
      <c r="DJ218" s="596"/>
      <c r="DK218" s="596"/>
      <c r="DL218" s="596"/>
      <c r="DM218" s="596"/>
      <c r="DN218" s="596"/>
      <c r="DO218" s="596"/>
      <c r="DP218" s="618"/>
      <c r="DQ218" s="618"/>
      <c r="DR218" s="618"/>
      <c r="DS218" s="618"/>
      <c r="DT218" s="618"/>
      <c r="DU218" s="618"/>
      <c r="DV218" s="618"/>
      <c r="DW218" s="618"/>
      <c r="DX218" s="618"/>
      <c r="DY218" s="618"/>
      <c r="DZ218" s="618"/>
      <c r="EA218" s="596"/>
      <c r="EB218"/>
      <c r="EC218"/>
      <c r="ED218"/>
      <c r="EE218"/>
      <c r="EF218"/>
      <c r="EG218"/>
    </row>
    <row r="219" spans="1:137" s="599" customFormat="1">
      <c r="A219" s="694"/>
      <c r="B219" s="702" t="s">
        <v>383</v>
      </c>
      <c r="C219" s="916"/>
      <c r="D219" s="595"/>
      <c r="E219" s="596"/>
      <c r="F219" s="596"/>
      <c r="G219" s="597"/>
      <c r="H219" s="596"/>
      <c r="I219" s="596"/>
      <c r="J219" s="596"/>
      <c r="K219" s="597"/>
      <c r="L219" s="596"/>
      <c r="M219" s="596"/>
      <c r="N219" s="596"/>
      <c r="O219" s="597"/>
      <c r="P219" s="596"/>
      <c r="Q219" s="596"/>
      <c r="R219" s="596"/>
      <c r="S219" s="597"/>
      <c r="T219" s="596"/>
      <c r="U219" s="596"/>
      <c r="V219" s="596"/>
      <c r="W219" s="597"/>
      <c r="X219" s="596"/>
      <c r="Y219" s="596"/>
      <c r="Z219" s="596"/>
      <c r="AA219" s="597"/>
      <c r="AB219" s="596"/>
      <c r="AC219" s="596"/>
      <c r="AD219" s="596"/>
      <c r="AE219" s="597"/>
      <c r="AF219" s="596"/>
      <c r="AG219" s="596"/>
      <c r="AH219" s="596"/>
      <c r="AI219" s="597"/>
      <c r="AJ219" s="596"/>
      <c r="AK219" s="596"/>
      <c r="AL219" s="596"/>
      <c r="AM219" s="597"/>
      <c r="AN219" s="596"/>
      <c r="AO219" s="596"/>
      <c r="AP219" s="596"/>
      <c r="AQ219" s="597"/>
      <c r="AR219" s="596"/>
      <c r="AS219" s="596"/>
      <c r="AT219" s="596"/>
      <c r="AU219" s="597"/>
      <c r="AV219" s="596"/>
      <c r="AW219" s="596"/>
      <c r="AX219" s="596"/>
      <c r="AY219" s="597"/>
      <c r="AZ219" s="596"/>
      <c r="BA219" s="596"/>
      <c r="BB219" s="596"/>
      <c r="BC219" s="597"/>
      <c r="BD219" s="596"/>
      <c r="BE219" s="596"/>
      <c r="BF219" s="596"/>
      <c r="BG219" s="597"/>
      <c r="BH219" s="596"/>
      <c r="BI219" s="596"/>
      <c r="BJ219" s="596"/>
      <c r="BK219" s="597"/>
      <c r="BL219" s="596"/>
      <c r="BM219" s="596"/>
      <c r="BN219" s="596"/>
      <c r="BO219" s="597"/>
      <c r="BP219" s="596"/>
      <c r="BQ219" s="596"/>
      <c r="BR219" s="596"/>
      <c r="BS219" s="597"/>
      <c r="BT219" s="596"/>
      <c r="BU219" s="596"/>
      <c r="BV219" s="596"/>
      <c r="BW219" s="597"/>
      <c r="BX219" s="596"/>
      <c r="BY219" s="596"/>
      <c r="BZ219" s="596"/>
      <c r="CA219" s="597"/>
      <c r="CB219" s="596"/>
      <c r="CC219" s="618"/>
      <c r="CD219" s="618"/>
      <c r="CE219" s="696"/>
      <c r="CF219" s="618"/>
      <c r="CG219" s="618"/>
      <c r="CH219" s="618">
        <f t="shared" ref="CH219" si="748">CH216+CH217</f>
        <v>8.6614173228346455E-2</v>
      </c>
      <c r="CI219" s="696">
        <f t="shared" ref="CI219:CO219" si="749">CI216+CI217</f>
        <v>0.13821138211382114</v>
      </c>
      <c r="CJ219" s="618">
        <f t="shared" si="749"/>
        <v>5.3639846743295021E-2</v>
      </c>
      <c r="CK219" s="618">
        <f t="shared" si="749"/>
        <v>6.106870229007634E-2</v>
      </c>
      <c r="CL219" s="618">
        <f t="shared" si="749"/>
        <v>3.2000000000000001E-2</v>
      </c>
      <c r="CM219" s="696">
        <f t="shared" si="749"/>
        <v>8.9219330855018583E-2</v>
      </c>
      <c r="CN219" s="618">
        <f t="shared" si="749"/>
        <v>9.0579710144927522E-2</v>
      </c>
      <c r="CO219" s="618">
        <f t="shared" si="749"/>
        <v>6.2717770034843218E-2</v>
      </c>
      <c r="CP219" s="618">
        <f t="shared" ref="CP219" si="750">CP216+CP217</f>
        <v>0.12075471698113208</v>
      </c>
      <c r="CQ219" s="696">
        <f t="shared" ref="CQ219" si="751">CQ216+CQ217</f>
        <v>0.13028169014084506</v>
      </c>
      <c r="CR219" s="618"/>
      <c r="CS219" s="618"/>
      <c r="CT219" s="618"/>
      <c r="CU219" s="696"/>
      <c r="CV219" s="598"/>
      <c r="CW219" s="618"/>
      <c r="CX219" s="596"/>
      <c r="CY219" s="596"/>
      <c r="CZ219" s="596"/>
      <c r="DA219" s="596"/>
      <c r="DB219" s="596"/>
      <c r="DC219" s="596"/>
      <c r="DD219" s="596"/>
      <c r="DE219" s="596"/>
      <c r="DF219" s="596"/>
      <c r="DG219" s="596"/>
      <c r="DH219" s="596"/>
      <c r="DI219" s="596"/>
      <c r="DJ219" s="596"/>
      <c r="DK219" s="596"/>
      <c r="DL219" s="596"/>
      <c r="DM219" s="596"/>
      <c r="DN219" s="596"/>
      <c r="DO219" s="596"/>
      <c r="DP219" s="618"/>
      <c r="DQ219" s="618"/>
      <c r="DR219" s="618"/>
      <c r="DS219" s="618"/>
      <c r="DT219" s="618"/>
      <c r="DU219" s="618"/>
      <c r="DV219" s="618"/>
      <c r="DW219" s="618"/>
      <c r="DX219" s="618"/>
      <c r="DY219" s="618"/>
      <c r="DZ219" s="618"/>
      <c r="EA219" s="596"/>
      <c r="EB219"/>
      <c r="EC219"/>
      <c r="ED219"/>
      <c r="EE219"/>
      <c r="EF219"/>
      <c r="EG219"/>
    </row>
    <row r="220" spans="1:137" s="410" customFormat="1">
      <c r="A220" s="400"/>
      <c r="B220" s="604"/>
      <c r="C220" s="917"/>
      <c r="D220" s="602"/>
      <c r="E220" s="601"/>
      <c r="F220" s="601"/>
      <c r="G220" s="603"/>
      <c r="H220" s="601"/>
      <c r="I220" s="601"/>
      <c r="J220" s="601"/>
      <c r="K220" s="603"/>
      <c r="L220" s="601"/>
      <c r="M220" s="601"/>
      <c r="N220" s="601"/>
      <c r="O220" s="603"/>
      <c r="P220" s="601"/>
      <c r="Q220" s="601"/>
      <c r="R220" s="601"/>
      <c r="S220" s="603"/>
      <c r="T220" s="601"/>
      <c r="U220" s="601"/>
      <c r="V220" s="601"/>
      <c r="W220" s="603"/>
      <c r="X220" s="601"/>
      <c r="Y220" s="601"/>
      <c r="Z220" s="601"/>
      <c r="AA220" s="603"/>
      <c r="AB220" s="601"/>
      <c r="AC220" s="601"/>
      <c r="AD220" s="601"/>
      <c r="AE220" s="603"/>
      <c r="AF220" s="601"/>
      <c r="AG220" s="601"/>
      <c r="AH220" s="601"/>
      <c r="AI220" s="603"/>
      <c r="AJ220" s="601"/>
      <c r="AK220" s="601"/>
      <c r="AL220" s="601"/>
      <c r="AM220" s="603"/>
      <c r="AN220" s="601"/>
      <c r="AO220" s="601"/>
      <c r="AP220" s="601"/>
      <c r="AQ220" s="603"/>
      <c r="AR220" s="601"/>
      <c r="AS220" s="601"/>
      <c r="AT220" s="601"/>
      <c r="AU220" s="603"/>
      <c r="AV220" s="601"/>
      <c r="AW220" s="601"/>
      <c r="AX220" s="601"/>
      <c r="AY220" s="603"/>
      <c r="AZ220" s="601"/>
      <c r="BA220" s="601"/>
      <c r="BB220" s="601"/>
      <c r="BC220" s="603"/>
      <c r="BD220" s="601"/>
      <c r="BE220" s="601"/>
      <c r="BF220" s="601"/>
      <c r="BG220" s="603"/>
      <c r="BH220" s="601"/>
      <c r="BI220" s="601"/>
      <c r="BJ220" s="601"/>
      <c r="BK220" s="603"/>
      <c r="BL220" s="601"/>
      <c r="BM220" s="601"/>
      <c r="BN220" s="601"/>
      <c r="BO220" s="603"/>
      <c r="BP220" s="601"/>
      <c r="BQ220" s="601"/>
      <c r="BR220" s="601"/>
      <c r="BS220" s="603"/>
      <c r="BT220" s="601"/>
      <c r="BU220" s="601"/>
      <c r="BV220" s="601"/>
      <c r="BW220" s="603"/>
      <c r="BX220" s="601"/>
      <c r="BY220" s="601"/>
      <c r="BZ220" s="601"/>
      <c r="CA220" s="603"/>
      <c r="CB220" s="601"/>
      <c r="CC220" s="601"/>
      <c r="CD220" s="601"/>
      <c r="CE220" s="603"/>
      <c r="CF220" s="601"/>
      <c r="CG220" s="601"/>
      <c r="CH220" s="601"/>
      <c r="CI220" s="603"/>
      <c r="CJ220" s="601"/>
      <c r="CK220" s="601"/>
      <c r="CL220" s="601"/>
      <c r="CM220" s="603"/>
      <c r="CN220" s="601"/>
      <c r="CO220" s="601"/>
      <c r="CP220" s="601"/>
      <c r="CQ220" s="603"/>
      <c r="CR220" s="601"/>
      <c r="CS220" s="601"/>
      <c r="CT220" s="601"/>
      <c r="CU220" s="603"/>
      <c r="CV220" s="598"/>
      <c r="CW220" s="601"/>
      <c r="CX220" s="601"/>
      <c r="CY220" s="601"/>
      <c r="CZ220" s="601"/>
      <c r="DA220" s="601"/>
      <c r="DB220" s="601"/>
      <c r="DC220" s="601"/>
      <c r="DD220" s="601"/>
      <c r="DE220" s="601"/>
      <c r="DF220" s="601"/>
      <c r="DG220" s="601"/>
      <c r="DH220" s="601"/>
      <c r="DI220" s="601"/>
      <c r="DJ220" s="601"/>
      <c r="DK220" s="601"/>
      <c r="DL220" s="601"/>
      <c r="DM220" s="601"/>
      <c r="DN220" s="601"/>
      <c r="DO220" s="601"/>
      <c r="DP220" s="601"/>
      <c r="DQ220" s="601"/>
      <c r="DR220" s="601"/>
      <c r="DS220" s="601"/>
      <c r="DT220" s="601"/>
      <c r="DU220" s="601"/>
      <c r="DV220" s="601"/>
      <c r="DW220" s="601"/>
      <c r="DX220" s="601"/>
      <c r="DY220" s="601"/>
      <c r="DZ220" s="601"/>
      <c r="EA220" s="601"/>
      <c r="EB220"/>
      <c r="EC220"/>
      <c r="ED220"/>
      <c r="EE220"/>
      <c r="EF220"/>
      <c r="EG220"/>
    </row>
    <row r="221" spans="1:137">
      <c r="A221" s="374"/>
      <c r="B221" s="364" t="s">
        <v>384</v>
      </c>
      <c r="C221" s="896"/>
      <c r="D221" s="365" t="str">
        <f t="shared" ref="D221:AI221" si="752">D$4</f>
        <v>1Q95</v>
      </c>
      <c r="E221" s="366" t="str">
        <f t="shared" si="752"/>
        <v>2Q95</v>
      </c>
      <c r="F221" s="366" t="str">
        <f t="shared" si="752"/>
        <v>3Q95</v>
      </c>
      <c r="G221" s="367" t="str">
        <f t="shared" si="752"/>
        <v>4Q95</v>
      </c>
      <c r="H221" s="366" t="str">
        <f t="shared" si="752"/>
        <v>1Q96</v>
      </c>
      <c r="I221" s="366" t="str">
        <f t="shared" si="752"/>
        <v>2Q96</v>
      </c>
      <c r="J221" s="366" t="str">
        <f t="shared" si="752"/>
        <v>3Q96</v>
      </c>
      <c r="K221" s="367" t="str">
        <f t="shared" si="752"/>
        <v>4Q96</v>
      </c>
      <c r="L221" s="366" t="str">
        <f t="shared" si="752"/>
        <v>1Q97</v>
      </c>
      <c r="M221" s="366" t="str">
        <f t="shared" si="752"/>
        <v>2Q97</v>
      </c>
      <c r="N221" s="366" t="str">
        <f t="shared" si="752"/>
        <v>3Q97</v>
      </c>
      <c r="O221" s="367" t="str">
        <f t="shared" si="752"/>
        <v>4Q97</v>
      </c>
      <c r="P221" s="366" t="str">
        <f t="shared" si="752"/>
        <v>1Q98</v>
      </c>
      <c r="Q221" s="366" t="str">
        <f t="shared" si="752"/>
        <v>2Q98</v>
      </c>
      <c r="R221" s="366" t="str">
        <f t="shared" si="752"/>
        <v>3Q98</v>
      </c>
      <c r="S221" s="367" t="str">
        <f t="shared" si="752"/>
        <v>4Q98</v>
      </c>
      <c r="T221" s="366" t="str">
        <f t="shared" si="752"/>
        <v>1Q99</v>
      </c>
      <c r="U221" s="366" t="str">
        <f t="shared" si="752"/>
        <v>2Q99</v>
      </c>
      <c r="V221" s="366" t="str">
        <f t="shared" si="752"/>
        <v>3Q99</v>
      </c>
      <c r="W221" s="367" t="str">
        <f t="shared" si="752"/>
        <v>4Q99</v>
      </c>
      <c r="X221" s="366" t="str">
        <f t="shared" si="752"/>
        <v>1Q00</v>
      </c>
      <c r="Y221" s="366" t="str">
        <f t="shared" si="752"/>
        <v>2Q00</v>
      </c>
      <c r="Z221" s="366" t="str">
        <f t="shared" si="752"/>
        <v>3Q00</v>
      </c>
      <c r="AA221" s="367" t="str">
        <f t="shared" si="752"/>
        <v>4Q00</v>
      </c>
      <c r="AB221" s="366" t="str">
        <f t="shared" si="752"/>
        <v>1Q01</v>
      </c>
      <c r="AC221" s="366" t="str">
        <f t="shared" si="752"/>
        <v>2Q01</v>
      </c>
      <c r="AD221" s="366" t="str">
        <f t="shared" si="752"/>
        <v>3Q01</v>
      </c>
      <c r="AE221" s="367" t="str">
        <f t="shared" si="752"/>
        <v>4Q01</v>
      </c>
      <c r="AF221" s="366" t="str">
        <f t="shared" si="752"/>
        <v>1Q02</v>
      </c>
      <c r="AG221" s="366" t="str">
        <f t="shared" si="752"/>
        <v>2Q02</v>
      </c>
      <c r="AH221" s="366" t="str">
        <f t="shared" si="752"/>
        <v>3Q02</v>
      </c>
      <c r="AI221" s="367" t="str">
        <f t="shared" si="752"/>
        <v>4Q02</v>
      </c>
      <c r="AJ221" s="366" t="str">
        <f t="shared" ref="AJ221:BO221" si="753">AJ$4</f>
        <v>1Q03</v>
      </c>
      <c r="AK221" s="366" t="str">
        <f t="shared" si="753"/>
        <v>2Q03</v>
      </c>
      <c r="AL221" s="366" t="str">
        <f t="shared" si="753"/>
        <v>3Q03</v>
      </c>
      <c r="AM221" s="367" t="str">
        <f t="shared" si="753"/>
        <v>4Q03</v>
      </c>
      <c r="AN221" s="366" t="str">
        <f t="shared" si="753"/>
        <v>1Q04</v>
      </c>
      <c r="AO221" s="366" t="str">
        <f t="shared" si="753"/>
        <v>2Q04</v>
      </c>
      <c r="AP221" s="366" t="str">
        <f t="shared" si="753"/>
        <v>3Q04</v>
      </c>
      <c r="AQ221" s="367" t="str">
        <f t="shared" si="753"/>
        <v>4Q04</v>
      </c>
      <c r="AR221" s="366" t="str">
        <f t="shared" si="753"/>
        <v>1Q05</v>
      </c>
      <c r="AS221" s="366" t="str">
        <f t="shared" si="753"/>
        <v>2Q05</v>
      </c>
      <c r="AT221" s="366" t="str">
        <f t="shared" si="753"/>
        <v>3Q05</v>
      </c>
      <c r="AU221" s="367" t="str">
        <f t="shared" si="753"/>
        <v>4Q05</v>
      </c>
      <c r="AV221" s="366" t="str">
        <f t="shared" si="753"/>
        <v>1Q06</v>
      </c>
      <c r="AW221" s="366" t="str">
        <f t="shared" si="753"/>
        <v>2Q06</v>
      </c>
      <c r="AX221" s="366" t="str">
        <f t="shared" si="753"/>
        <v>3Q06</v>
      </c>
      <c r="AY221" s="367" t="str">
        <f t="shared" si="753"/>
        <v>4Q06</v>
      </c>
      <c r="AZ221" s="366" t="str">
        <f t="shared" si="753"/>
        <v>1Q07</v>
      </c>
      <c r="BA221" s="366" t="str">
        <f t="shared" si="753"/>
        <v>2Q07</v>
      </c>
      <c r="BB221" s="366" t="str">
        <f t="shared" si="753"/>
        <v>3Q07</v>
      </c>
      <c r="BC221" s="367" t="str">
        <f t="shared" si="753"/>
        <v>4Q07</v>
      </c>
      <c r="BD221" s="366" t="str">
        <f t="shared" si="753"/>
        <v>1Q08</v>
      </c>
      <c r="BE221" s="366" t="str">
        <f t="shared" si="753"/>
        <v>2Q08</v>
      </c>
      <c r="BF221" s="366" t="str">
        <f t="shared" si="753"/>
        <v>3Q08</v>
      </c>
      <c r="BG221" s="367" t="str">
        <f t="shared" si="753"/>
        <v>4Q08</v>
      </c>
      <c r="BH221" s="366" t="str">
        <f t="shared" si="753"/>
        <v>1Q09</v>
      </c>
      <c r="BI221" s="366" t="str">
        <f t="shared" si="753"/>
        <v>2Q09</v>
      </c>
      <c r="BJ221" s="366" t="str">
        <f t="shared" si="753"/>
        <v>3Q09</v>
      </c>
      <c r="BK221" s="367" t="str">
        <f t="shared" si="753"/>
        <v>4Q09</v>
      </c>
      <c r="BL221" s="366" t="str">
        <f t="shared" si="753"/>
        <v>1Q10</v>
      </c>
      <c r="BM221" s="366" t="str">
        <f t="shared" si="753"/>
        <v>2Q10</v>
      </c>
      <c r="BN221" s="366" t="str">
        <f t="shared" si="753"/>
        <v>3Q10</v>
      </c>
      <c r="BO221" s="367" t="str">
        <f t="shared" si="753"/>
        <v>4Q10</v>
      </c>
      <c r="BP221" s="366" t="str">
        <f t="shared" ref="BP221:CU221" si="754">BP$4</f>
        <v>1Q11</v>
      </c>
      <c r="BQ221" s="366" t="str">
        <f t="shared" si="754"/>
        <v>2Q11</v>
      </c>
      <c r="BR221" s="366" t="str">
        <f t="shared" si="754"/>
        <v>3Q11</v>
      </c>
      <c r="BS221" s="367" t="str">
        <f t="shared" si="754"/>
        <v>4Q11</v>
      </c>
      <c r="BT221" s="366" t="str">
        <f t="shared" si="754"/>
        <v>1Q12</v>
      </c>
      <c r="BU221" s="366" t="str">
        <f t="shared" si="754"/>
        <v>2Q12</v>
      </c>
      <c r="BV221" s="366" t="str">
        <f t="shared" si="754"/>
        <v>3Q12</v>
      </c>
      <c r="BW221" s="367" t="str">
        <f t="shared" si="754"/>
        <v>4Q12</v>
      </c>
      <c r="BX221" s="366" t="str">
        <f t="shared" si="754"/>
        <v>1Q13</v>
      </c>
      <c r="BY221" s="366" t="str">
        <f t="shared" si="754"/>
        <v>2Q13</v>
      </c>
      <c r="BZ221" s="366" t="str">
        <f t="shared" si="754"/>
        <v>3Q13</v>
      </c>
      <c r="CA221" s="367" t="str">
        <f t="shared" si="754"/>
        <v>4Q13</v>
      </c>
      <c r="CB221" s="366" t="str">
        <f t="shared" si="754"/>
        <v>1Q14</v>
      </c>
      <c r="CC221" s="366" t="str">
        <f t="shared" si="754"/>
        <v>2Q14</v>
      </c>
      <c r="CD221" s="366" t="str">
        <f t="shared" si="754"/>
        <v>3Q14</v>
      </c>
      <c r="CE221" s="367" t="str">
        <f t="shared" si="754"/>
        <v>4Q14</v>
      </c>
      <c r="CF221" s="366" t="str">
        <f t="shared" si="754"/>
        <v>1Q15</v>
      </c>
      <c r="CG221" s="366" t="str">
        <f t="shared" si="754"/>
        <v>2Q15</v>
      </c>
      <c r="CH221" s="366" t="str">
        <f t="shared" si="754"/>
        <v>3Q15</v>
      </c>
      <c r="CI221" s="367" t="str">
        <f t="shared" si="754"/>
        <v>4Q15</v>
      </c>
      <c r="CJ221" s="366" t="str">
        <f t="shared" si="754"/>
        <v>1Q16</v>
      </c>
      <c r="CK221" s="366" t="str">
        <f t="shared" si="754"/>
        <v>2Q16</v>
      </c>
      <c r="CL221" s="366" t="str">
        <f t="shared" si="754"/>
        <v>3Q16</v>
      </c>
      <c r="CM221" s="367" t="str">
        <f t="shared" si="754"/>
        <v>4Q16</v>
      </c>
      <c r="CN221" s="366" t="str">
        <f t="shared" si="754"/>
        <v>1Q17</v>
      </c>
      <c r="CO221" s="366" t="str">
        <f t="shared" si="754"/>
        <v>2Q17</v>
      </c>
      <c r="CP221" s="366" t="str">
        <f t="shared" si="754"/>
        <v>3Q17</v>
      </c>
      <c r="CQ221" s="367" t="str">
        <f t="shared" si="754"/>
        <v>4Q17</v>
      </c>
      <c r="CR221" s="366" t="str">
        <f t="shared" si="754"/>
        <v>1Q18e</v>
      </c>
      <c r="CS221" s="366" t="str">
        <f t="shared" si="754"/>
        <v>2Q18e</v>
      </c>
      <c r="CT221" s="366" t="str">
        <f t="shared" si="754"/>
        <v>3Q18e</v>
      </c>
      <c r="CU221" s="367" t="str">
        <f t="shared" si="754"/>
        <v>4Q18e</v>
      </c>
      <c r="CV221" s="598"/>
      <c r="CW221" s="366">
        <f t="shared" ref="CW221:DZ221" si="755">CW$4</f>
        <v>1994</v>
      </c>
      <c r="CX221" s="366">
        <f t="shared" si="755"/>
        <v>1995</v>
      </c>
      <c r="CY221" s="366">
        <f t="shared" si="755"/>
        <v>1996</v>
      </c>
      <c r="CZ221" s="366">
        <f t="shared" si="755"/>
        <v>1997</v>
      </c>
      <c r="DA221" s="366">
        <f t="shared" si="755"/>
        <v>1998</v>
      </c>
      <c r="DB221" s="366">
        <f t="shared" si="755"/>
        <v>1999</v>
      </c>
      <c r="DC221" s="366">
        <f t="shared" si="755"/>
        <v>2000</v>
      </c>
      <c r="DD221" s="366">
        <f t="shared" si="755"/>
        <v>2001</v>
      </c>
      <c r="DE221" s="366">
        <f t="shared" si="755"/>
        <v>2002</v>
      </c>
      <c r="DF221" s="366">
        <f t="shared" si="755"/>
        <v>2003</v>
      </c>
      <c r="DG221" s="366">
        <f t="shared" si="755"/>
        <v>2004</v>
      </c>
      <c r="DH221" s="366">
        <f t="shared" si="755"/>
        <v>2005</v>
      </c>
      <c r="DI221" s="366">
        <f t="shared" si="755"/>
        <v>2006</v>
      </c>
      <c r="DJ221" s="366">
        <f t="shared" si="755"/>
        <v>2007</v>
      </c>
      <c r="DK221" s="366">
        <f t="shared" si="755"/>
        <v>2008</v>
      </c>
      <c r="DL221" s="366">
        <f t="shared" si="755"/>
        <v>2009</v>
      </c>
      <c r="DM221" s="366">
        <f t="shared" si="755"/>
        <v>2010</v>
      </c>
      <c r="DN221" s="366">
        <f t="shared" si="755"/>
        <v>2011</v>
      </c>
      <c r="DO221" s="366">
        <f t="shared" si="755"/>
        <v>2012</v>
      </c>
      <c r="DP221" s="366">
        <f t="shared" si="755"/>
        <v>2013</v>
      </c>
      <c r="DQ221" s="366">
        <f t="shared" si="755"/>
        <v>2014</v>
      </c>
      <c r="DR221" s="366">
        <f t="shared" si="755"/>
        <v>2015</v>
      </c>
      <c r="DS221" s="366">
        <f t="shared" si="755"/>
        <v>2016</v>
      </c>
      <c r="DT221" s="366">
        <f t="shared" si="755"/>
        <v>2017</v>
      </c>
      <c r="DU221" s="366" t="str">
        <f t="shared" si="755"/>
        <v>2018e</v>
      </c>
      <c r="DV221" s="366" t="str">
        <f t="shared" si="755"/>
        <v>2019e</v>
      </c>
      <c r="DW221" s="366" t="str">
        <f t="shared" si="755"/>
        <v>2020e</v>
      </c>
      <c r="DX221" s="366" t="str">
        <f t="shared" si="755"/>
        <v>2021e</v>
      </c>
      <c r="DY221" s="366" t="str">
        <f t="shared" si="755"/>
        <v>2022e</v>
      </c>
      <c r="DZ221" s="366" t="str">
        <f t="shared" si="755"/>
        <v>2023e</v>
      </c>
      <c r="EA221" s="386"/>
    </row>
    <row r="222" spans="1:137" s="410" customFormat="1">
      <c r="A222" s="400"/>
      <c r="B222" s="605"/>
      <c r="C222" s="658"/>
      <c r="D222" s="606"/>
      <c r="E222" s="605"/>
      <c r="F222" s="605"/>
      <c r="G222" s="607"/>
      <c r="H222" s="605"/>
      <c r="I222" s="605"/>
      <c r="J222" s="605"/>
      <c r="K222" s="607"/>
      <c r="L222" s="605"/>
      <c r="M222" s="605"/>
      <c r="N222" s="605"/>
      <c r="O222" s="607"/>
      <c r="P222" s="605"/>
      <c r="Q222" s="605"/>
      <c r="R222" s="605"/>
      <c r="S222" s="607"/>
      <c r="T222" s="605"/>
      <c r="U222" s="605"/>
      <c r="V222" s="605"/>
      <c r="W222" s="607"/>
      <c r="X222" s="605"/>
      <c r="Y222" s="605"/>
      <c r="Z222" s="605"/>
      <c r="AA222" s="607"/>
      <c r="AB222" s="605"/>
      <c r="AC222" s="605"/>
      <c r="AD222" s="605"/>
      <c r="AE222" s="607"/>
      <c r="AF222" s="605"/>
      <c r="AG222" s="605"/>
      <c r="AH222" s="605"/>
      <c r="AI222" s="607"/>
      <c r="AJ222" s="605"/>
      <c r="AK222" s="605"/>
      <c r="AL222" s="605"/>
      <c r="AM222" s="607"/>
      <c r="AN222" s="605"/>
      <c r="AO222" s="605"/>
      <c r="AP222" s="605"/>
      <c r="AQ222" s="607"/>
      <c r="AR222" s="605"/>
      <c r="AS222" s="605"/>
      <c r="AT222" s="605"/>
      <c r="AU222" s="607"/>
      <c r="AV222" s="605"/>
      <c r="AW222" s="605"/>
      <c r="AX222" s="605"/>
      <c r="AY222" s="607"/>
      <c r="AZ222" s="605"/>
      <c r="BA222" s="605"/>
      <c r="BB222" s="605"/>
      <c r="BC222" s="607"/>
      <c r="BD222" s="605"/>
      <c r="BE222" s="605"/>
      <c r="BF222" s="605"/>
      <c r="BG222" s="607"/>
      <c r="BH222" s="605"/>
      <c r="BI222" s="605"/>
      <c r="BJ222" s="605"/>
      <c r="BK222" s="607"/>
      <c r="BL222" s="605"/>
      <c r="BM222" s="605"/>
      <c r="BN222" s="605"/>
      <c r="BO222" s="607"/>
      <c r="BP222" s="605"/>
      <c r="BQ222" s="605"/>
      <c r="BR222" s="605"/>
      <c r="BS222" s="607"/>
      <c r="BT222" s="605"/>
      <c r="BU222" s="605"/>
      <c r="BV222" s="605"/>
      <c r="BW222" s="607"/>
      <c r="BX222" s="605"/>
      <c r="BY222" s="605"/>
      <c r="BZ222" s="605"/>
      <c r="CA222" s="607"/>
      <c r="CB222" s="605"/>
      <c r="CC222" s="608"/>
      <c r="CD222" s="608"/>
      <c r="CE222" s="609"/>
      <c r="CF222" s="608"/>
      <c r="CG222" s="608"/>
      <c r="CH222" s="608"/>
      <c r="CI222" s="609"/>
      <c r="CJ222" s="608"/>
      <c r="CK222" s="608"/>
      <c r="CL222" s="608"/>
      <c r="CM222" s="609"/>
      <c r="CN222" s="608"/>
      <c r="CO222" s="608"/>
      <c r="CP222" s="608"/>
      <c r="CQ222" s="609"/>
      <c r="CR222" s="608"/>
      <c r="CS222" s="608"/>
      <c r="CT222" s="608"/>
      <c r="CU222" s="609"/>
      <c r="CV222" s="598"/>
      <c r="CW222" s="605"/>
      <c r="CX222" s="605"/>
      <c r="CY222" s="605"/>
      <c r="CZ222" s="605"/>
      <c r="DA222" s="605"/>
      <c r="DB222" s="605"/>
      <c r="DC222" s="605"/>
      <c r="DD222" s="605"/>
      <c r="DE222" s="605"/>
      <c r="DF222" s="605"/>
      <c r="DG222" s="605"/>
      <c r="DH222" s="605"/>
      <c r="DI222" s="605"/>
      <c r="DJ222" s="605"/>
      <c r="DK222" s="605"/>
      <c r="DL222" s="605"/>
      <c r="DM222" s="605"/>
      <c r="DN222" s="605"/>
      <c r="DO222" s="605"/>
      <c r="DP222" s="608"/>
      <c r="DQ222" s="608"/>
      <c r="DR222" s="608"/>
      <c r="DS222" s="608"/>
      <c r="DT222" s="608"/>
      <c r="DU222" s="608"/>
      <c r="DV222" s="608"/>
      <c r="DW222" s="608"/>
      <c r="DX222" s="608"/>
      <c r="DY222" s="608"/>
      <c r="DZ222" s="608"/>
      <c r="EA222" s="605"/>
      <c r="EB222"/>
      <c r="EC222"/>
      <c r="ED222"/>
      <c r="EE222"/>
      <c r="EF222"/>
      <c r="EG222"/>
    </row>
    <row r="223" spans="1:137" s="410" customFormat="1">
      <c r="A223" s="400"/>
      <c r="B223" s="601" t="s">
        <v>80</v>
      </c>
      <c r="C223" s="658"/>
      <c r="D223" s="606"/>
      <c r="E223" s="605"/>
      <c r="F223" s="605"/>
      <c r="G223" s="607"/>
      <c r="H223" s="605"/>
      <c r="I223" s="605"/>
      <c r="J223" s="605"/>
      <c r="K223" s="607"/>
      <c r="L223" s="605"/>
      <c r="M223" s="605"/>
      <c r="N223" s="605"/>
      <c r="O223" s="607"/>
      <c r="P223" s="605"/>
      <c r="Q223" s="605"/>
      <c r="R223" s="605"/>
      <c r="S223" s="607"/>
      <c r="T223" s="605"/>
      <c r="U223" s="605"/>
      <c r="V223" s="605"/>
      <c r="W223" s="607"/>
      <c r="X223" s="605"/>
      <c r="Y223" s="605"/>
      <c r="Z223" s="605"/>
      <c r="AA223" s="607"/>
      <c r="AB223" s="605"/>
      <c r="AC223" s="605"/>
      <c r="AD223" s="605"/>
      <c r="AE223" s="607"/>
      <c r="AF223" s="605"/>
      <c r="AG223" s="605"/>
      <c r="AH223" s="605"/>
      <c r="AI223" s="607"/>
      <c r="AJ223" s="605"/>
      <c r="AK223" s="605"/>
      <c r="AL223" s="605"/>
      <c r="AM223" s="607"/>
      <c r="AN223" s="605"/>
      <c r="AO223" s="605"/>
      <c r="AP223" s="605"/>
      <c r="AQ223" s="607"/>
      <c r="AR223" s="605"/>
      <c r="AS223" s="605"/>
      <c r="AT223" s="605"/>
      <c r="AU223" s="607"/>
      <c r="AV223" s="605"/>
      <c r="AW223" s="605"/>
      <c r="AX223" s="605"/>
      <c r="AY223" s="607"/>
      <c r="AZ223" s="605"/>
      <c r="BA223" s="605"/>
      <c r="BB223" s="605"/>
      <c r="BC223" s="607"/>
      <c r="BD223" s="605"/>
      <c r="BE223" s="605"/>
      <c r="BF223" s="605"/>
      <c r="BG223" s="607"/>
      <c r="BH223" s="605"/>
      <c r="BI223" s="605"/>
      <c r="BJ223" s="605"/>
      <c r="BK223" s="607"/>
      <c r="BL223" s="605"/>
      <c r="BM223" s="605"/>
      <c r="BN223" s="605"/>
      <c r="BO223" s="607"/>
      <c r="BP223" s="605"/>
      <c r="BQ223" s="605"/>
      <c r="BR223" s="605"/>
      <c r="BS223" s="607"/>
      <c r="BT223" s="605"/>
      <c r="BU223" s="605"/>
      <c r="BV223" s="605"/>
      <c r="BW223" s="607"/>
      <c r="BX223" s="605"/>
      <c r="BY223" s="605"/>
      <c r="BZ223" s="605"/>
      <c r="CA223" s="607"/>
      <c r="CB223" s="605"/>
      <c r="CC223" s="608"/>
      <c r="CD223" s="608"/>
      <c r="CE223" s="609"/>
      <c r="CF223" s="608"/>
      <c r="CG223" s="608"/>
      <c r="CH223" s="608"/>
      <c r="CI223" s="609"/>
      <c r="CJ223" s="608"/>
      <c r="CK223" s="608"/>
      <c r="CL223" s="608"/>
      <c r="CM223" s="609"/>
      <c r="CN223" s="608"/>
      <c r="CO223" s="608"/>
      <c r="CP223" s="608"/>
      <c r="CQ223" s="609"/>
      <c r="CR223" s="608"/>
      <c r="CS223" s="608"/>
      <c r="CT223" s="608"/>
      <c r="CU223" s="609"/>
      <c r="CV223" s="598"/>
      <c r="CW223" s="605"/>
      <c r="CX223" s="605"/>
      <c r="CY223" s="605"/>
      <c r="CZ223" s="605"/>
      <c r="DA223" s="605"/>
      <c r="DB223" s="605"/>
      <c r="DC223" s="605"/>
      <c r="DD223" s="605"/>
      <c r="DE223" s="605"/>
      <c r="DF223" s="605"/>
      <c r="DG223" s="605"/>
      <c r="DH223" s="605"/>
      <c r="DI223" s="605"/>
      <c r="DJ223" s="605"/>
      <c r="DK223" s="605"/>
      <c r="DL223" s="605"/>
      <c r="DM223" s="605"/>
      <c r="DN223" s="605"/>
      <c r="DO223" s="605"/>
      <c r="DP223" s="608"/>
      <c r="DQ223" s="608"/>
      <c r="DR223" s="608"/>
      <c r="DS223" s="608"/>
      <c r="DT223" s="608"/>
      <c r="DU223" s="608"/>
      <c r="DV223" s="608"/>
      <c r="DW223" s="608"/>
      <c r="DX223" s="608"/>
      <c r="DY223" s="608"/>
      <c r="DZ223" s="608"/>
      <c r="EA223" s="605"/>
      <c r="EB223"/>
      <c r="EC223"/>
      <c r="ED223"/>
      <c r="EE223"/>
      <c r="EF223"/>
      <c r="EG223"/>
    </row>
    <row r="224" spans="1:137" s="599" customFormat="1">
      <c r="A224" s="694"/>
      <c r="B224" s="703" t="s">
        <v>385</v>
      </c>
      <c r="C224" s="916"/>
      <c r="D224" s="769"/>
      <c r="E224" s="747"/>
      <c r="F224" s="747"/>
      <c r="G224" s="767"/>
      <c r="H224" s="747"/>
      <c r="I224" s="747"/>
      <c r="J224" s="747"/>
      <c r="K224" s="767"/>
      <c r="L224" s="747"/>
      <c r="M224" s="747"/>
      <c r="N224" s="747"/>
      <c r="O224" s="767"/>
      <c r="P224" s="747"/>
      <c r="Q224" s="747"/>
      <c r="R224" s="747"/>
      <c r="S224" s="767"/>
      <c r="T224" s="747"/>
      <c r="U224" s="747"/>
      <c r="V224" s="747"/>
      <c r="W224" s="767"/>
      <c r="X224" s="747"/>
      <c r="Y224" s="747"/>
      <c r="Z224" s="747"/>
      <c r="AA224" s="767"/>
      <c r="AB224" s="747"/>
      <c r="AC224" s="747"/>
      <c r="AD224" s="747"/>
      <c r="AE224" s="767"/>
      <c r="AF224" s="747"/>
      <c r="AG224" s="747"/>
      <c r="AH224" s="747"/>
      <c r="AI224" s="767"/>
      <c r="AJ224" s="747"/>
      <c r="AK224" s="747"/>
      <c r="AL224" s="747"/>
      <c r="AM224" s="767"/>
      <c r="AN224" s="747"/>
      <c r="AO224" s="747"/>
      <c r="AP224" s="747"/>
      <c r="AQ224" s="767"/>
      <c r="AR224" s="747"/>
      <c r="AS224" s="747"/>
      <c r="AT224" s="747"/>
      <c r="AU224" s="767"/>
      <c r="AV224" s="747"/>
      <c r="AW224" s="747"/>
      <c r="AX224" s="747"/>
      <c r="AY224" s="767"/>
      <c r="AZ224" s="747"/>
      <c r="BA224" s="747"/>
      <c r="BB224" s="747"/>
      <c r="BC224" s="767"/>
      <c r="BD224" s="747"/>
      <c r="BE224" s="747"/>
      <c r="BF224" s="747"/>
      <c r="BG224" s="767"/>
      <c r="BH224" s="747"/>
      <c r="BI224" s="747"/>
      <c r="BJ224" s="747"/>
      <c r="BK224" s="767"/>
      <c r="BL224" s="747"/>
      <c r="BM224" s="747"/>
      <c r="BN224" s="747"/>
      <c r="BO224" s="767"/>
      <c r="BP224" s="747"/>
      <c r="BQ224" s="747"/>
      <c r="BR224" s="747"/>
      <c r="BS224" s="767"/>
      <c r="BT224" s="747"/>
      <c r="BU224" s="747"/>
      <c r="BV224" s="747"/>
      <c r="BW224" s="767"/>
      <c r="BX224" s="747"/>
      <c r="BY224" s="747"/>
      <c r="BZ224" s="747"/>
      <c r="CA224" s="767"/>
      <c r="CB224" s="747"/>
      <c r="CC224" s="747"/>
      <c r="CD224" s="747"/>
      <c r="CE224" s="767"/>
      <c r="CF224" s="747"/>
      <c r="CG224" s="747"/>
      <c r="CH224" s="747">
        <v>4.1000000000000002E-2</v>
      </c>
      <c r="CI224" s="767">
        <v>9.8000000000000004E-2</v>
      </c>
      <c r="CJ224" s="747">
        <v>4.4999999999999998E-2</v>
      </c>
      <c r="CK224" s="747">
        <v>2.8000000000000001E-2</v>
      </c>
      <c r="CL224" s="747">
        <v>3.7999999999999999E-2</v>
      </c>
      <c r="CM224" s="767">
        <v>1.2999999999999999E-2</v>
      </c>
      <c r="CN224" s="747">
        <v>9.5000000000000001E-2</v>
      </c>
      <c r="CO224" s="747">
        <v>4.4999999999999998E-2</v>
      </c>
      <c r="CP224" s="747">
        <v>8.6999999999999994E-2</v>
      </c>
      <c r="CQ224" s="767">
        <v>8.4000000000000005E-2</v>
      </c>
      <c r="CR224" s="704"/>
      <c r="CS224" s="704"/>
      <c r="CT224" s="704"/>
      <c r="CU224" s="705"/>
      <c r="CV224" s="598"/>
      <c r="CW224" s="703"/>
      <c r="CX224" s="703"/>
      <c r="CY224" s="703"/>
      <c r="CZ224" s="703"/>
      <c r="DA224" s="703"/>
      <c r="DB224" s="703"/>
      <c r="DC224" s="703"/>
      <c r="DD224" s="703"/>
      <c r="DE224" s="703"/>
      <c r="DF224" s="703"/>
      <c r="DG224" s="703"/>
      <c r="DH224" s="703"/>
      <c r="DI224" s="703"/>
      <c r="DJ224" s="703"/>
      <c r="DK224" s="703"/>
      <c r="DL224" s="703"/>
      <c r="DM224" s="703"/>
      <c r="DN224" s="703"/>
      <c r="DO224" s="703"/>
      <c r="DP224" s="704"/>
      <c r="DQ224" s="704"/>
      <c r="DR224" s="704"/>
      <c r="DS224" s="704"/>
      <c r="DT224" s="704"/>
      <c r="DU224" s="704"/>
      <c r="DV224" s="704"/>
      <c r="DW224" s="704"/>
      <c r="DX224" s="704"/>
      <c r="DY224" s="704"/>
      <c r="DZ224" s="704"/>
      <c r="EA224" s="703"/>
      <c r="EB224"/>
      <c r="EC224"/>
      <c r="ED224"/>
      <c r="EE224"/>
      <c r="EF224"/>
      <c r="EG224"/>
    </row>
    <row r="225" spans="1:137" s="410" customFormat="1">
      <c r="A225" s="400"/>
      <c r="B225" s="562" t="s">
        <v>396</v>
      </c>
      <c r="C225" s="658"/>
      <c r="D225" s="770"/>
      <c r="E225" s="748"/>
      <c r="F225" s="748"/>
      <c r="G225" s="768"/>
      <c r="H225" s="748"/>
      <c r="I225" s="748"/>
      <c r="J225" s="748"/>
      <c r="K225" s="768"/>
      <c r="L225" s="748"/>
      <c r="M225" s="748"/>
      <c r="N225" s="748"/>
      <c r="O225" s="768"/>
      <c r="P225" s="748"/>
      <c r="Q225" s="748"/>
      <c r="R225" s="748"/>
      <c r="S225" s="768"/>
      <c r="T225" s="748"/>
      <c r="U225" s="748"/>
      <c r="V225" s="748"/>
      <c r="W225" s="768"/>
      <c r="X225" s="748"/>
      <c r="Y225" s="748"/>
      <c r="Z225" s="748"/>
      <c r="AA225" s="768"/>
      <c r="AB225" s="748"/>
      <c r="AC225" s="748"/>
      <c r="AD225" s="748"/>
      <c r="AE225" s="768"/>
      <c r="AF225" s="748"/>
      <c r="AG225" s="748"/>
      <c r="AH225" s="748"/>
      <c r="AI225" s="768"/>
      <c r="AJ225" s="748"/>
      <c r="AK225" s="748"/>
      <c r="AL225" s="748"/>
      <c r="AM225" s="768"/>
      <c r="AN225" s="748"/>
      <c r="AO225" s="748"/>
      <c r="AP225" s="748"/>
      <c r="AQ225" s="768"/>
      <c r="AR225" s="748"/>
      <c r="AS225" s="748"/>
      <c r="AT225" s="748"/>
      <c r="AU225" s="768"/>
      <c r="AV225" s="748"/>
      <c r="AW225" s="748"/>
      <c r="AX225" s="748"/>
      <c r="AY225" s="768"/>
      <c r="AZ225" s="748"/>
      <c r="BA225" s="748"/>
      <c r="BB225" s="748"/>
      <c r="BC225" s="768"/>
      <c r="BD225" s="748"/>
      <c r="BE225" s="748"/>
      <c r="BF225" s="748"/>
      <c r="BG225" s="768"/>
      <c r="BH225" s="748"/>
      <c r="BI225" s="748"/>
      <c r="BJ225" s="748"/>
      <c r="BK225" s="768"/>
      <c r="BL225" s="748"/>
      <c r="BM225" s="748"/>
      <c r="BN225" s="748"/>
      <c r="BO225" s="768"/>
      <c r="BP225" s="748"/>
      <c r="BQ225" s="748"/>
      <c r="BR225" s="748"/>
      <c r="BS225" s="768"/>
      <c r="BT225" s="748"/>
      <c r="BU225" s="748"/>
      <c r="BV225" s="748"/>
      <c r="BW225" s="768"/>
      <c r="BX225" s="748"/>
      <c r="BY225" s="748"/>
      <c r="BZ225" s="748"/>
      <c r="CA225" s="768"/>
      <c r="CB225" s="748"/>
      <c r="CC225" s="748"/>
      <c r="CD225" s="748"/>
      <c r="CE225" s="768"/>
      <c r="CF225" s="748"/>
      <c r="CG225" s="748"/>
      <c r="CH225" s="748">
        <v>-161</v>
      </c>
      <c r="CI225" s="768">
        <v>-122</v>
      </c>
      <c r="CJ225" s="748">
        <v>-44</v>
      </c>
      <c r="CK225" s="748">
        <v>-8</v>
      </c>
      <c r="CL225" s="748">
        <v>0</v>
      </c>
      <c r="CM225" s="768">
        <v>-28</v>
      </c>
      <c r="CN225" s="748">
        <v>-37</v>
      </c>
      <c r="CO225" s="748">
        <v>-27</v>
      </c>
      <c r="CP225" s="748">
        <v>29</v>
      </c>
      <c r="CQ225" s="768">
        <v>73</v>
      </c>
      <c r="CR225" s="608"/>
      <c r="CS225" s="608"/>
      <c r="CT225" s="608"/>
      <c r="CU225" s="609"/>
      <c r="CV225" s="598"/>
      <c r="CW225" s="605"/>
      <c r="CX225" s="605"/>
      <c r="CY225" s="605"/>
      <c r="CZ225" s="605"/>
      <c r="DA225" s="605"/>
      <c r="DB225" s="605"/>
      <c r="DC225" s="605"/>
      <c r="DD225" s="605"/>
      <c r="DE225" s="605"/>
      <c r="DF225" s="605"/>
      <c r="DG225" s="605"/>
      <c r="DH225" s="605"/>
      <c r="DI225" s="605"/>
      <c r="DJ225" s="605"/>
      <c r="DK225" s="605"/>
      <c r="DL225" s="605"/>
      <c r="DM225" s="605"/>
      <c r="DN225" s="605"/>
      <c r="DO225" s="605"/>
      <c r="DP225" s="608"/>
      <c r="DQ225" s="608"/>
      <c r="DR225" s="608"/>
      <c r="DS225" s="608"/>
      <c r="DT225" s="608"/>
      <c r="DU225" s="608"/>
      <c r="DV225" s="608"/>
      <c r="DW225" s="608"/>
      <c r="DX225" s="608"/>
      <c r="DY225" s="608"/>
      <c r="DZ225" s="608"/>
      <c r="EA225" s="605"/>
      <c r="EB225"/>
      <c r="EC225"/>
      <c r="ED225"/>
      <c r="EE225"/>
      <c r="EF225"/>
      <c r="EG225"/>
    </row>
    <row r="226" spans="1:137" s="599" customFormat="1">
      <c r="A226" s="694"/>
      <c r="B226" s="703" t="s">
        <v>386</v>
      </c>
      <c r="C226" s="916"/>
      <c r="D226" s="769"/>
      <c r="E226" s="747"/>
      <c r="F226" s="747"/>
      <c r="G226" s="767"/>
      <c r="H226" s="747"/>
      <c r="I226" s="747"/>
      <c r="J226" s="747"/>
      <c r="K226" s="767"/>
      <c r="L226" s="747"/>
      <c r="M226" s="747"/>
      <c r="N226" s="747"/>
      <c r="O226" s="767"/>
      <c r="P226" s="747"/>
      <c r="Q226" s="747"/>
      <c r="R226" s="747"/>
      <c r="S226" s="767"/>
      <c r="T226" s="747"/>
      <c r="U226" s="747"/>
      <c r="V226" s="747"/>
      <c r="W226" s="767"/>
      <c r="X226" s="747"/>
      <c r="Y226" s="747"/>
      <c r="Z226" s="747"/>
      <c r="AA226" s="767"/>
      <c r="AB226" s="747"/>
      <c r="AC226" s="747"/>
      <c r="AD226" s="747"/>
      <c r="AE226" s="767"/>
      <c r="AF226" s="747"/>
      <c r="AG226" s="747"/>
      <c r="AH226" s="747"/>
      <c r="AI226" s="767"/>
      <c r="AJ226" s="747"/>
      <c r="AK226" s="747"/>
      <c r="AL226" s="747"/>
      <c r="AM226" s="767"/>
      <c r="AN226" s="747"/>
      <c r="AO226" s="747"/>
      <c r="AP226" s="747"/>
      <c r="AQ226" s="767"/>
      <c r="AR226" s="747"/>
      <c r="AS226" s="747"/>
      <c r="AT226" s="747"/>
      <c r="AU226" s="767"/>
      <c r="AV226" s="747"/>
      <c r="AW226" s="747"/>
      <c r="AX226" s="747"/>
      <c r="AY226" s="767"/>
      <c r="AZ226" s="747"/>
      <c r="BA226" s="747"/>
      <c r="BB226" s="747"/>
      <c r="BC226" s="767"/>
      <c r="BD226" s="747"/>
      <c r="BE226" s="747"/>
      <c r="BF226" s="747"/>
      <c r="BG226" s="767"/>
      <c r="BH226" s="747"/>
      <c r="BI226" s="747"/>
      <c r="BJ226" s="747"/>
      <c r="BK226" s="767"/>
      <c r="BL226" s="747"/>
      <c r="BM226" s="747"/>
      <c r="BN226" s="747"/>
      <c r="BO226" s="767"/>
      <c r="BP226" s="747"/>
      <c r="BQ226" s="747"/>
      <c r="BR226" s="747"/>
      <c r="BS226" s="767"/>
      <c r="BT226" s="747"/>
      <c r="BU226" s="747"/>
      <c r="BV226" s="747"/>
      <c r="BW226" s="767"/>
      <c r="BX226" s="747"/>
      <c r="BY226" s="747"/>
      <c r="BZ226" s="747"/>
      <c r="CA226" s="767"/>
      <c r="CB226" s="747"/>
      <c r="CC226" s="747"/>
      <c r="CD226" s="747"/>
      <c r="CE226" s="767"/>
      <c r="CF226" s="747"/>
      <c r="CG226" s="747"/>
      <c r="CH226" s="747">
        <v>0.17</v>
      </c>
      <c r="CI226" s="767">
        <v>0.14000000000000001</v>
      </c>
      <c r="CJ226" s="747">
        <v>0.15</v>
      </c>
      <c r="CK226" s="747">
        <v>0.2</v>
      </c>
      <c r="CL226" s="747">
        <v>0.12</v>
      </c>
      <c r="CM226" s="767">
        <v>1.33</v>
      </c>
      <c r="CN226" s="747">
        <v>0.12</v>
      </c>
      <c r="CO226" s="747">
        <v>0.18</v>
      </c>
      <c r="CP226" s="747">
        <v>0.14000000000000001</v>
      </c>
      <c r="CQ226" s="767">
        <v>0.06</v>
      </c>
      <c r="CR226" s="704"/>
      <c r="CS226" s="704"/>
      <c r="CT226" s="704"/>
      <c r="CU226" s="705"/>
      <c r="CV226" s="598"/>
      <c r="CW226" s="703"/>
      <c r="CX226" s="703"/>
      <c r="CY226" s="703"/>
      <c r="CZ226" s="703"/>
      <c r="DA226" s="703"/>
      <c r="DB226" s="703"/>
      <c r="DC226" s="703"/>
      <c r="DD226" s="703"/>
      <c r="DE226" s="703"/>
      <c r="DF226" s="703"/>
      <c r="DG226" s="703"/>
      <c r="DH226" s="703"/>
      <c r="DI226" s="703"/>
      <c r="DJ226" s="703"/>
      <c r="DK226" s="703"/>
      <c r="DL226" s="703"/>
      <c r="DM226" s="703"/>
      <c r="DN226" s="703"/>
      <c r="DO226" s="703"/>
      <c r="DP226" s="704"/>
      <c r="DQ226" s="704"/>
      <c r="DR226" s="704"/>
      <c r="DS226" s="704"/>
      <c r="DT226" s="704"/>
      <c r="DU226" s="704"/>
      <c r="DV226" s="704"/>
      <c r="DW226" s="704"/>
      <c r="DX226" s="704"/>
      <c r="DY226" s="704"/>
      <c r="DZ226" s="704"/>
      <c r="EA226" s="703"/>
      <c r="EB226"/>
      <c r="EC226"/>
      <c r="ED226"/>
      <c r="EE226"/>
      <c r="EF226"/>
      <c r="EG226"/>
    </row>
    <row r="227" spans="1:137" s="410" customFormat="1">
      <c r="A227" s="400"/>
      <c r="B227" s="562" t="s">
        <v>397</v>
      </c>
      <c r="C227" s="658"/>
      <c r="D227" s="770"/>
      <c r="E227" s="748"/>
      <c r="F227" s="748"/>
      <c r="G227" s="768"/>
      <c r="H227" s="748"/>
      <c r="I227" s="748"/>
      <c r="J227" s="748"/>
      <c r="K227" s="768"/>
      <c r="L227" s="748"/>
      <c r="M227" s="748"/>
      <c r="N227" s="748"/>
      <c r="O227" s="768"/>
      <c r="P227" s="748"/>
      <c r="Q227" s="748"/>
      <c r="R227" s="748"/>
      <c r="S227" s="768"/>
      <c r="T227" s="748"/>
      <c r="U227" s="748"/>
      <c r="V227" s="748"/>
      <c r="W227" s="768"/>
      <c r="X227" s="748"/>
      <c r="Y227" s="748"/>
      <c r="Z227" s="748"/>
      <c r="AA227" s="768"/>
      <c r="AB227" s="748"/>
      <c r="AC227" s="748"/>
      <c r="AD227" s="748"/>
      <c r="AE227" s="768"/>
      <c r="AF227" s="748"/>
      <c r="AG227" s="748"/>
      <c r="AH227" s="748"/>
      <c r="AI227" s="768"/>
      <c r="AJ227" s="748"/>
      <c r="AK227" s="748"/>
      <c r="AL227" s="748"/>
      <c r="AM227" s="768"/>
      <c r="AN227" s="748"/>
      <c r="AO227" s="748"/>
      <c r="AP227" s="748"/>
      <c r="AQ227" s="768"/>
      <c r="AR227" s="748"/>
      <c r="AS227" s="748"/>
      <c r="AT227" s="748"/>
      <c r="AU227" s="768"/>
      <c r="AV227" s="748"/>
      <c r="AW227" s="748"/>
      <c r="AX227" s="748"/>
      <c r="AY227" s="768"/>
      <c r="AZ227" s="748"/>
      <c r="BA227" s="748"/>
      <c r="BB227" s="748"/>
      <c r="BC227" s="768"/>
      <c r="BD227" s="748"/>
      <c r="BE227" s="748"/>
      <c r="BF227" s="748"/>
      <c r="BG227" s="768"/>
      <c r="BH227" s="748"/>
      <c r="BI227" s="748"/>
      <c r="BJ227" s="748"/>
      <c r="BK227" s="768"/>
      <c r="BL227" s="748"/>
      <c r="BM227" s="748"/>
      <c r="BN227" s="748"/>
      <c r="BO227" s="768"/>
      <c r="BP227" s="748"/>
      <c r="BQ227" s="748"/>
      <c r="BR227" s="748"/>
      <c r="BS227" s="768"/>
      <c r="BT227" s="748"/>
      <c r="BU227" s="748"/>
      <c r="BV227" s="748"/>
      <c r="BW227" s="768"/>
      <c r="BX227" s="748"/>
      <c r="BY227" s="748"/>
      <c r="BZ227" s="748"/>
      <c r="CA227" s="768"/>
      <c r="CB227" s="748"/>
      <c r="CC227" s="748"/>
      <c r="CD227" s="748"/>
      <c r="CE227" s="768"/>
      <c r="CF227" s="748"/>
      <c r="CG227" s="748"/>
      <c r="CH227" s="748">
        <v>-21</v>
      </c>
      <c r="CI227" s="768">
        <v>-16</v>
      </c>
      <c r="CJ227" s="748">
        <v>-7</v>
      </c>
      <c r="CK227" s="748">
        <v>-1</v>
      </c>
      <c r="CL227" s="748">
        <v>0</v>
      </c>
      <c r="CM227" s="768">
        <v>-6</v>
      </c>
      <c r="CN227" s="748">
        <v>-6</v>
      </c>
      <c r="CO227" s="748">
        <v>-5</v>
      </c>
      <c r="CP227" s="748">
        <v>1</v>
      </c>
      <c r="CQ227" s="768">
        <v>8</v>
      </c>
      <c r="CR227" s="608"/>
      <c r="CS227" s="608"/>
      <c r="CT227" s="608"/>
      <c r="CU227" s="609"/>
      <c r="CV227" s="598"/>
      <c r="CW227" s="605"/>
      <c r="CX227" s="605"/>
      <c r="CY227" s="605"/>
      <c r="CZ227" s="605"/>
      <c r="DA227" s="605"/>
      <c r="DB227" s="605"/>
      <c r="DC227" s="605"/>
      <c r="DD227" s="605"/>
      <c r="DE227" s="605"/>
      <c r="DF227" s="605"/>
      <c r="DG227" s="605"/>
      <c r="DH227" s="605"/>
      <c r="DI227" s="605"/>
      <c r="DJ227" s="605"/>
      <c r="DK227" s="605"/>
      <c r="DL227" s="605"/>
      <c r="DM227" s="605"/>
      <c r="DN227" s="605"/>
      <c r="DO227" s="605"/>
      <c r="DP227" s="608"/>
      <c r="DQ227" s="608"/>
      <c r="DR227" s="608"/>
      <c r="DS227" s="608"/>
      <c r="DT227" s="608"/>
      <c r="DU227" s="608"/>
      <c r="DV227" s="608"/>
      <c r="DW227" s="608"/>
      <c r="DX227" s="608"/>
      <c r="DY227" s="608"/>
      <c r="DZ227" s="608"/>
      <c r="EA227" s="605"/>
      <c r="EB227"/>
      <c r="EC227"/>
      <c r="ED227"/>
      <c r="EE227"/>
      <c r="EF227"/>
      <c r="EG227"/>
    </row>
    <row r="228" spans="1:137" s="410" customFormat="1">
      <c r="A228" s="400"/>
      <c r="B228" s="605"/>
      <c r="C228" s="658"/>
      <c r="D228" s="770"/>
      <c r="E228" s="748"/>
      <c r="F228" s="748"/>
      <c r="G228" s="768"/>
      <c r="H228" s="748"/>
      <c r="I228" s="748"/>
      <c r="J228" s="748"/>
      <c r="K228" s="768"/>
      <c r="L228" s="748"/>
      <c r="M228" s="748"/>
      <c r="N228" s="748"/>
      <c r="O228" s="768"/>
      <c r="P228" s="748"/>
      <c r="Q228" s="748"/>
      <c r="R228" s="748"/>
      <c r="S228" s="768"/>
      <c r="T228" s="748"/>
      <c r="U228" s="748"/>
      <c r="V228" s="748"/>
      <c r="W228" s="768"/>
      <c r="X228" s="748"/>
      <c r="Y228" s="748"/>
      <c r="Z228" s="748"/>
      <c r="AA228" s="768"/>
      <c r="AB228" s="748"/>
      <c r="AC228" s="748"/>
      <c r="AD228" s="748"/>
      <c r="AE228" s="768"/>
      <c r="AF228" s="748"/>
      <c r="AG228" s="748"/>
      <c r="AH228" s="748"/>
      <c r="AI228" s="768"/>
      <c r="AJ228" s="748"/>
      <c r="AK228" s="748"/>
      <c r="AL228" s="748"/>
      <c r="AM228" s="768"/>
      <c r="AN228" s="748"/>
      <c r="AO228" s="748"/>
      <c r="AP228" s="748"/>
      <c r="AQ228" s="768"/>
      <c r="AR228" s="748"/>
      <c r="AS228" s="748"/>
      <c r="AT228" s="748"/>
      <c r="AU228" s="768"/>
      <c r="AV228" s="748"/>
      <c r="AW228" s="748"/>
      <c r="AX228" s="748"/>
      <c r="AY228" s="768"/>
      <c r="AZ228" s="748"/>
      <c r="BA228" s="748"/>
      <c r="BB228" s="748"/>
      <c r="BC228" s="768"/>
      <c r="BD228" s="748"/>
      <c r="BE228" s="748"/>
      <c r="BF228" s="748"/>
      <c r="BG228" s="768"/>
      <c r="BH228" s="748"/>
      <c r="BI228" s="748"/>
      <c r="BJ228" s="748"/>
      <c r="BK228" s="768"/>
      <c r="BL228" s="748"/>
      <c r="BM228" s="748"/>
      <c r="BN228" s="748"/>
      <c r="BO228" s="768"/>
      <c r="BP228" s="748"/>
      <c r="BQ228" s="748"/>
      <c r="BR228" s="748"/>
      <c r="BS228" s="768"/>
      <c r="BT228" s="748"/>
      <c r="BU228" s="748"/>
      <c r="BV228" s="748"/>
      <c r="BW228" s="768"/>
      <c r="BX228" s="748"/>
      <c r="BY228" s="748"/>
      <c r="BZ228" s="748"/>
      <c r="CA228" s="768"/>
      <c r="CB228" s="748"/>
      <c r="CC228" s="748"/>
      <c r="CD228" s="748"/>
      <c r="CE228" s="768"/>
      <c r="CF228" s="748"/>
      <c r="CG228" s="748"/>
      <c r="CH228" s="748"/>
      <c r="CI228" s="768"/>
      <c r="CJ228" s="748"/>
      <c r="CK228" s="748"/>
      <c r="CL228" s="748"/>
      <c r="CM228" s="768"/>
      <c r="CN228" s="748"/>
      <c r="CO228" s="748"/>
      <c r="CP228" s="748"/>
      <c r="CQ228" s="768"/>
      <c r="CR228" s="608"/>
      <c r="CS228" s="608"/>
      <c r="CT228" s="608"/>
      <c r="CU228" s="609"/>
      <c r="CV228" s="598"/>
      <c r="CW228" s="605"/>
      <c r="CX228" s="605"/>
      <c r="CY228" s="605"/>
      <c r="CZ228" s="605"/>
      <c r="DA228" s="605"/>
      <c r="DB228" s="605"/>
      <c r="DC228" s="605"/>
      <c r="DD228" s="605"/>
      <c r="DE228" s="605"/>
      <c r="DF228" s="605"/>
      <c r="DG228" s="605"/>
      <c r="DH228" s="605"/>
      <c r="DI228" s="605"/>
      <c r="DJ228" s="605"/>
      <c r="DK228" s="605"/>
      <c r="DL228" s="605"/>
      <c r="DM228" s="605"/>
      <c r="DN228" s="605"/>
      <c r="DO228" s="605"/>
      <c r="DP228" s="608"/>
      <c r="DQ228" s="608"/>
      <c r="DR228" s="608"/>
      <c r="DS228" s="608"/>
      <c r="DT228" s="608"/>
      <c r="DU228" s="608"/>
      <c r="DV228" s="608"/>
      <c r="DW228" s="608"/>
      <c r="DX228" s="608"/>
      <c r="DY228" s="608"/>
      <c r="DZ228" s="608"/>
      <c r="EA228" s="605"/>
      <c r="EB228"/>
      <c r="EC228"/>
      <c r="ED228"/>
      <c r="EE228"/>
      <c r="EF228"/>
      <c r="EG228"/>
    </row>
    <row r="229" spans="1:137" s="410" customFormat="1">
      <c r="A229" s="400"/>
      <c r="B229" s="601" t="s">
        <v>81</v>
      </c>
      <c r="C229" s="658"/>
      <c r="D229" s="770"/>
      <c r="E229" s="748"/>
      <c r="F229" s="748"/>
      <c r="G229" s="768"/>
      <c r="H229" s="748"/>
      <c r="I229" s="748"/>
      <c r="J229" s="748"/>
      <c r="K229" s="768"/>
      <c r="L229" s="748"/>
      <c r="M229" s="748"/>
      <c r="N229" s="748"/>
      <c r="O229" s="768"/>
      <c r="P229" s="748"/>
      <c r="Q229" s="748"/>
      <c r="R229" s="748"/>
      <c r="S229" s="768"/>
      <c r="T229" s="748"/>
      <c r="U229" s="748"/>
      <c r="V229" s="748"/>
      <c r="W229" s="768"/>
      <c r="X229" s="748"/>
      <c r="Y229" s="748"/>
      <c r="Z229" s="748"/>
      <c r="AA229" s="768"/>
      <c r="AB229" s="748"/>
      <c r="AC229" s="748"/>
      <c r="AD229" s="748"/>
      <c r="AE229" s="768"/>
      <c r="AF229" s="748"/>
      <c r="AG229" s="748"/>
      <c r="AH229" s="748"/>
      <c r="AI229" s="768"/>
      <c r="AJ229" s="748"/>
      <c r="AK229" s="748"/>
      <c r="AL229" s="748"/>
      <c r="AM229" s="768"/>
      <c r="AN229" s="748"/>
      <c r="AO229" s="748"/>
      <c r="AP229" s="748"/>
      <c r="AQ229" s="768"/>
      <c r="AR229" s="748"/>
      <c r="AS229" s="748"/>
      <c r="AT229" s="748"/>
      <c r="AU229" s="768"/>
      <c r="AV229" s="748"/>
      <c r="AW229" s="748"/>
      <c r="AX229" s="748"/>
      <c r="AY229" s="768"/>
      <c r="AZ229" s="748"/>
      <c r="BA229" s="748"/>
      <c r="BB229" s="748"/>
      <c r="BC229" s="768"/>
      <c r="BD229" s="748"/>
      <c r="BE229" s="748"/>
      <c r="BF229" s="748"/>
      <c r="BG229" s="768"/>
      <c r="BH229" s="748"/>
      <c r="BI229" s="748"/>
      <c r="BJ229" s="748"/>
      <c r="BK229" s="768"/>
      <c r="BL229" s="748"/>
      <c r="BM229" s="748"/>
      <c r="BN229" s="748"/>
      <c r="BO229" s="768"/>
      <c r="BP229" s="748"/>
      <c r="BQ229" s="748"/>
      <c r="BR229" s="748"/>
      <c r="BS229" s="768"/>
      <c r="BT229" s="748"/>
      <c r="BU229" s="748"/>
      <c r="BV229" s="748"/>
      <c r="BW229" s="768"/>
      <c r="BX229" s="748"/>
      <c r="BY229" s="748"/>
      <c r="BZ229" s="748"/>
      <c r="CA229" s="768"/>
      <c r="CB229" s="748"/>
      <c r="CC229" s="748"/>
      <c r="CD229" s="748"/>
      <c r="CE229" s="768"/>
      <c r="CF229" s="748"/>
      <c r="CG229" s="748"/>
      <c r="CH229" s="748"/>
      <c r="CI229" s="768"/>
      <c r="CJ229" s="748"/>
      <c r="CK229" s="748"/>
      <c r="CL229" s="748"/>
      <c r="CM229" s="768"/>
      <c r="CN229" s="748"/>
      <c r="CO229" s="748"/>
      <c r="CP229" s="748"/>
      <c r="CQ229" s="768"/>
      <c r="CR229" s="608"/>
      <c r="CS229" s="608"/>
      <c r="CT229" s="608"/>
      <c r="CU229" s="609"/>
      <c r="CV229" s="598"/>
      <c r="CW229" s="605"/>
      <c r="CX229" s="605"/>
      <c r="CY229" s="605"/>
      <c r="CZ229" s="605"/>
      <c r="DA229" s="605"/>
      <c r="DB229" s="605"/>
      <c r="DC229" s="605"/>
      <c r="DD229" s="605"/>
      <c r="DE229" s="605"/>
      <c r="DF229" s="605"/>
      <c r="DG229" s="605"/>
      <c r="DH229" s="605"/>
      <c r="DI229" s="605"/>
      <c r="DJ229" s="605"/>
      <c r="DK229" s="605"/>
      <c r="DL229" s="605"/>
      <c r="DM229" s="605"/>
      <c r="DN229" s="605"/>
      <c r="DO229" s="605"/>
      <c r="DP229" s="608"/>
      <c r="DQ229" s="608"/>
      <c r="DR229" s="608"/>
      <c r="DS229" s="608"/>
      <c r="DT229" s="608"/>
      <c r="DU229" s="608"/>
      <c r="DV229" s="608"/>
      <c r="DW229" s="608"/>
      <c r="DX229" s="608"/>
      <c r="DY229" s="608"/>
      <c r="DZ229" s="608"/>
      <c r="EA229" s="605"/>
      <c r="EB229"/>
      <c r="EC229"/>
      <c r="ED229"/>
      <c r="EE229"/>
      <c r="EF229"/>
      <c r="EG229"/>
    </row>
    <row r="230" spans="1:137" s="599" customFormat="1">
      <c r="A230" s="694"/>
      <c r="B230" s="703" t="s">
        <v>385</v>
      </c>
      <c r="C230" s="916"/>
      <c r="D230" s="769"/>
      <c r="E230" s="747"/>
      <c r="F230" s="747"/>
      <c r="G230" s="767"/>
      <c r="H230" s="747"/>
      <c r="I230" s="747"/>
      <c r="J230" s="747"/>
      <c r="K230" s="767"/>
      <c r="L230" s="747"/>
      <c r="M230" s="747"/>
      <c r="N230" s="747"/>
      <c r="O230" s="767"/>
      <c r="P230" s="747"/>
      <c r="Q230" s="747"/>
      <c r="R230" s="747"/>
      <c r="S230" s="767"/>
      <c r="T230" s="747"/>
      <c r="U230" s="747"/>
      <c r="V230" s="747"/>
      <c r="W230" s="767"/>
      <c r="X230" s="747"/>
      <c r="Y230" s="747"/>
      <c r="Z230" s="747"/>
      <c r="AA230" s="767"/>
      <c r="AB230" s="747"/>
      <c r="AC230" s="747"/>
      <c r="AD230" s="747"/>
      <c r="AE230" s="767"/>
      <c r="AF230" s="747"/>
      <c r="AG230" s="747"/>
      <c r="AH230" s="747"/>
      <c r="AI230" s="767"/>
      <c r="AJ230" s="747"/>
      <c r="AK230" s="747"/>
      <c r="AL230" s="747"/>
      <c r="AM230" s="767"/>
      <c r="AN230" s="747"/>
      <c r="AO230" s="747"/>
      <c r="AP230" s="747"/>
      <c r="AQ230" s="767"/>
      <c r="AR230" s="747"/>
      <c r="AS230" s="747"/>
      <c r="AT230" s="747"/>
      <c r="AU230" s="767"/>
      <c r="AV230" s="747"/>
      <c r="AW230" s="747"/>
      <c r="AX230" s="747"/>
      <c r="AY230" s="767"/>
      <c r="AZ230" s="747"/>
      <c r="BA230" s="747"/>
      <c r="BB230" s="747"/>
      <c r="BC230" s="767"/>
      <c r="BD230" s="747"/>
      <c r="BE230" s="747"/>
      <c r="BF230" s="747"/>
      <c r="BG230" s="767"/>
      <c r="BH230" s="747"/>
      <c r="BI230" s="747"/>
      <c r="BJ230" s="747"/>
      <c r="BK230" s="767"/>
      <c r="BL230" s="747"/>
      <c r="BM230" s="747"/>
      <c r="BN230" s="747"/>
      <c r="BO230" s="767"/>
      <c r="BP230" s="747"/>
      <c r="BQ230" s="747"/>
      <c r="BR230" s="747"/>
      <c r="BS230" s="767"/>
      <c r="BT230" s="747"/>
      <c r="BU230" s="747"/>
      <c r="BV230" s="747"/>
      <c r="BW230" s="767"/>
      <c r="BX230" s="747"/>
      <c r="BY230" s="747"/>
      <c r="BZ230" s="747"/>
      <c r="CA230" s="767"/>
      <c r="CB230" s="747"/>
      <c r="CC230" s="747"/>
      <c r="CD230" s="747"/>
      <c r="CE230" s="767"/>
      <c r="CF230" s="747"/>
      <c r="CG230" s="747"/>
      <c r="CH230" s="747">
        <v>1.4999999999999999E-2</v>
      </c>
      <c r="CI230" s="767">
        <v>1.2999999999999999E-2</v>
      </c>
      <c r="CJ230" s="747">
        <v>4.8000000000000001E-2</v>
      </c>
      <c r="CK230" s="747">
        <v>5.3999999999999999E-2</v>
      </c>
      <c r="CL230" s="747">
        <v>0.114</v>
      </c>
      <c r="CM230" s="767">
        <v>0.16900000000000001</v>
      </c>
      <c r="CN230" s="747">
        <v>0.188</v>
      </c>
      <c r="CO230" s="747">
        <v>0.13800000000000001</v>
      </c>
      <c r="CP230" s="747">
        <v>0.14399999999999999</v>
      </c>
      <c r="CQ230" s="767">
        <v>0.13100000000000001</v>
      </c>
      <c r="CR230" s="704"/>
      <c r="CS230" s="704"/>
      <c r="CT230" s="704"/>
      <c r="CU230" s="705"/>
      <c r="CV230" s="598"/>
      <c r="CW230" s="703"/>
      <c r="CX230" s="703"/>
      <c r="CY230" s="703"/>
      <c r="CZ230" s="703"/>
      <c r="DA230" s="703"/>
      <c r="DB230" s="703"/>
      <c r="DC230" s="703"/>
      <c r="DD230" s="703"/>
      <c r="DE230" s="703"/>
      <c r="DF230" s="703"/>
      <c r="DG230" s="703"/>
      <c r="DH230" s="703"/>
      <c r="DI230" s="703"/>
      <c r="DJ230" s="703"/>
      <c r="DK230" s="703"/>
      <c r="DL230" s="703"/>
      <c r="DM230" s="703"/>
      <c r="DN230" s="703"/>
      <c r="DO230" s="703"/>
      <c r="DP230" s="704"/>
      <c r="DQ230" s="704"/>
      <c r="DR230" s="704"/>
      <c r="DS230" s="704"/>
      <c r="DT230" s="704"/>
      <c r="DU230" s="704"/>
      <c r="DV230" s="704"/>
      <c r="DW230" s="704"/>
      <c r="DX230" s="704"/>
      <c r="DY230" s="704"/>
      <c r="DZ230" s="704"/>
      <c r="EA230" s="703"/>
      <c r="EB230"/>
      <c r="EC230"/>
      <c r="ED230"/>
      <c r="EE230"/>
      <c r="EF230"/>
      <c r="EG230"/>
    </row>
    <row r="231" spans="1:137" s="410" customFormat="1">
      <c r="A231" s="400"/>
      <c r="B231" s="562" t="s">
        <v>396</v>
      </c>
      <c r="C231" s="658"/>
      <c r="D231" s="770"/>
      <c r="E231" s="748"/>
      <c r="F231" s="748"/>
      <c r="G231" s="768"/>
      <c r="H231" s="748"/>
      <c r="I231" s="748"/>
      <c r="J231" s="748"/>
      <c r="K231" s="768"/>
      <c r="L231" s="748"/>
      <c r="M231" s="748"/>
      <c r="N231" s="748"/>
      <c r="O231" s="768"/>
      <c r="P231" s="748"/>
      <c r="Q231" s="748"/>
      <c r="R231" s="748"/>
      <c r="S231" s="768"/>
      <c r="T231" s="748"/>
      <c r="U231" s="748"/>
      <c r="V231" s="748"/>
      <c r="W231" s="768"/>
      <c r="X231" s="748"/>
      <c r="Y231" s="748"/>
      <c r="Z231" s="748"/>
      <c r="AA231" s="768"/>
      <c r="AB231" s="748"/>
      <c r="AC231" s="748"/>
      <c r="AD231" s="748"/>
      <c r="AE231" s="768"/>
      <c r="AF231" s="748"/>
      <c r="AG231" s="748"/>
      <c r="AH231" s="748"/>
      <c r="AI231" s="768"/>
      <c r="AJ231" s="748"/>
      <c r="AK231" s="748"/>
      <c r="AL231" s="748"/>
      <c r="AM231" s="768"/>
      <c r="AN231" s="748"/>
      <c r="AO231" s="748"/>
      <c r="AP231" s="748"/>
      <c r="AQ231" s="768"/>
      <c r="AR231" s="748"/>
      <c r="AS231" s="748"/>
      <c r="AT231" s="748"/>
      <c r="AU231" s="768"/>
      <c r="AV231" s="748"/>
      <c r="AW231" s="748"/>
      <c r="AX231" s="748"/>
      <c r="AY231" s="768"/>
      <c r="AZ231" s="748"/>
      <c r="BA231" s="748"/>
      <c r="BB231" s="748"/>
      <c r="BC231" s="768"/>
      <c r="BD231" s="748"/>
      <c r="BE231" s="748"/>
      <c r="BF231" s="748"/>
      <c r="BG231" s="768"/>
      <c r="BH231" s="748"/>
      <c r="BI231" s="748"/>
      <c r="BJ231" s="748"/>
      <c r="BK231" s="768"/>
      <c r="BL231" s="748"/>
      <c r="BM231" s="748"/>
      <c r="BN231" s="748"/>
      <c r="BO231" s="768"/>
      <c r="BP231" s="748"/>
      <c r="BQ231" s="748"/>
      <c r="BR231" s="748"/>
      <c r="BS231" s="768"/>
      <c r="BT231" s="748"/>
      <c r="BU231" s="748"/>
      <c r="BV231" s="748"/>
      <c r="BW231" s="768"/>
      <c r="BX231" s="748"/>
      <c r="BY231" s="748"/>
      <c r="BZ231" s="748"/>
      <c r="CA231" s="768"/>
      <c r="CB231" s="748"/>
      <c r="CC231" s="748"/>
      <c r="CD231" s="748"/>
      <c r="CE231" s="768"/>
      <c r="CF231" s="748"/>
      <c r="CG231" s="748"/>
      <c r="CH231" s="748">
        <v>-53</v>
      </c>
      <c r="CI231" s="768">
        <v>-35</v>
      </c>
      <c r="CJ231" s="748">
        <v>-14</v>
      </c>
      <c r="CK231" s="748">
        <v>-5</v>
      </c>
      <c r="CL231" s="748">
        <v>0</v>
      </c>
      <c r="CM231" s="768">
        <v>-12</v>
      </c>
      <c r="CN231" s="748">
        <v>-13</v>
      </c>
      <c r="CO231" s="748">
        <v>-10</v>
      </c>
      <c r="CP231" s="748">
        <v>9</v>
      </c>
      <c r="CQ231" s="768">
        <v>30</v>
      </c>
      <c r="CR231" s="608"/>
      <c r="CS231" s="608"/>
      <c r="CT231" s="608"/>
      <c r="CU231" s="609"/>
      <c r="CV231" s="598"/>
      <c r="CW231" s="605"/>
      <c r="CX231" s="605"/>
      <c r="CY231" s="605"/>
      <c r="CZ231" s="605"/>
      <c r="DA231" s="605"/>
      <c r="DB231" s="605"/>
      <c r="DC231" s="605"/>
      <c r="DD231" s="605"/>
      <c r="DE231" s="605"/>
      <c r="DF231" s="605"/>
      <c r="DG231" s="605"/>
      <c r="DH231" s="605"/>
      <c r="DI231" s="605"/>
      <c r="DJ231" s="605"/>
      <c r="DK231" s="605"/>
      <c r="DL231" s="605"/>
      <c r="DM231" s="605"/>
      <c r="DN231" s="605"/>
      <c r="DO231" s="605"/>
      <c r="DP231" s="608"/>
      <c r="DQ231" s="608"/>
      <c r="DR231" s="608"/>
      <c r="DS231" s="608"/>
      <c r="DT231" s="608"/>
      <c r="DU231" s="608"/>
      <c r="DV231" s="608"/>
      <c r="DW231" s="608"/>
      <c r="DX231" s="608"/>
      <c r="DY231" s="608"/>
      <c r="DZ231" s="608"/>
      <c r="EA231" s="605"/>
      <c r="EB231"/>
      <c r="EC231"/>
      <c r="ED231"/>
      <c r="EE231"/>
      <c r="EF231"/>
      <c r="EG231"/>
    </row>
    <row r="232" spans="1:137" s="599" customFormat="1">
      <c r="A232" s="694"/>
      <c r="B232" s="703" t="s">
        <v>386</v>
      </c>
      <c r="C232" s="916"/>
      <c r="D232" s="769"/>
      <c r="E232" s="747"/>
      <c r="F232" s="747"/>
      <c r="G232" s="767"/>
      <c r="H232" s="747"/>
      <c r="I232" s="747"/>
      <c r="J232" s="747"/>
      <c r="K232" s="767"/>
      <c r="L232" s="747"/>
      <c r="M232" s="747"/>
      <c r="N232" s="747"/>
      <c r="O232" s="767"/>
      <c r="P232" s="747"/>
      <c r="Q232" s="747"/>
      <c r="R232" s="747"/>
      <c r="S232" s="767"/>
      <c r="T232" s="747"/>
      <c r="U232" s="747"/>
      <c r="V232" s="747"/>
      <c r="W232" s="767"/>
      <c r="X232" s="747"/>
      <c r="Y232" s="747"/>
      <c r="Z232" s="747"/>
      <c r="AA232" s="767"/>
      <c r="AB232" s="747"/>
      <c r="AC232" s="747"/>
      <c r="AD232" s="747"/>
      <c r="AE232" s="767"/>
      <c r="AF232" s="747"/>
      <c r="AG232" s="747"/>
      <c r="AH232" s="747"/>
      <c r="AI232" s="767"/>
      <c r="AJ232" s="747"/>
      <c r="AK232" s="747"/>
      <c r="AL232" s="747"/>
      <c r="AM232" s="767"/>
      <c r="AN232" s="747"/>
      <c r="AO232" s="747"/>
      <c r="AP232" s="747"/>
      <c r="AQ232" s="767"/>
      <c r="AR232" s="747"/>
      <c r="AS232" s="747"/>
      <c r="AT232" s="747"/>
      <c r="AU232" s="767"/>
      <c r="AV232" s="747"/>
      <c r="AW232" s="747"/>
      <c r="AX232" s="747"/>
      <c r="AY232" s="767"/>
      <c r="AZ232" s="747"/>
      <c r="BA232" s="747"/>
      <c r="BB232" s="747"/>
      <c r="BC232" s="767"/>
      <c r="BD232" s="747"/>
      <c r="BE232" s="747"/>
      <c r="BF232" s="747"/>
      <c r="BG232" s="767"/>
      <c r="BH232" s="747"/>
      <c r="BI232" s="747"/>
      <c r="BJ232" s="747"/>
      <c r="BK232" s="767"/>
      <c r="BL232" s="747"/>
      <c r="BM232" s="747"/>
      <c r="BN232" s="747"/>
      <c r="BO232" s="767"/>
      <c r="BP232" s="747"/>
      <c r="BQ232" s="747"/>
      <c r="BR232" s="747"/>
      <c r="BS232" s="767"/>
      <c r="BT232" s="747"/>
      <c r="BU232" s="747"/>
      <c r="BV232" s="747"/>
      <c r="BW232" s="767"/>
      <c r="BX232" s="747"/>
      <c r="BY232" s="747"/>
      <c r="BZ232" s="747"/>
      <c r="CA232" s="767"/>
      <c r="CB232" s="747"/>
      <c r="CC232" s="747"/>
      <c r="CD232" s="747"/>
      <c r="CE232" s="767"/>
      <c r="CF232" s="747"/>
      <c r="CG232" s="747"/>
      <c r="CH232" s="747">
        <v>0.89</v>
      </c>
      <c r="CI232" s="767">
        <v>1.56</v>
      </c>
      <c r="CJ232" s="747">
        <v>0.15</v>
      </c>
      <c r="CK232" s="747">
        <v>0.28999999999999998</v>
      </c>
      <c r="CL232" s="747">
        <v>0.15</v>
      </c>
      <c r="CM232" s="767">
        <v>0.11</v>
      </c>
      <c r="CN232" s="747">
        <v>0.13</v>
      </c>
      <c r="CO232" s="747">
        <v>0.14000000000000001</v>
      </c>
      <c r="CP232" s="747">
        <v>0.19</v>
      </c>
      <c r="CQ232" s="767">
        <v>0.27</v>
      </c>
      <c r="CR232" s="704"/>
      <c r="CS232" s="704"/>
      <c r="CT232" s="704"/>
      <c r="CU232" s="705"/>
      <c r="CV232" s="598"/>
      <c r="CW232" s="703"/>
      <c r="CX232" s="703"/>
      <c r="CY232" s="703"/>
      <c r="CZ232" s="703"/>
      <c r="DA232" s="703"/>
      <c r="DB232" s="703"/>
      <c r="DC232" s="703"/>
      <c r="DD232" s="703"/>
      <c r="DE232" s="703"/>
      <c r="DF232" s="703"/>
      <c r="DG232" s="703"/>
      <c r="DH232" s="703"/>
      <c r="DI232" s="703"/>
      <c r="DJ232" s="703"/>
      <c r="DK232" s="703"/>
      <c r="DL232" s="703"/>
      <c r="DM232" s="703"/>
      <c r="DN232" s="703"/>
      <c r="DO232" s="703"/>
      <c r="DP232" s="704"/>
      <c r="DQ232" s="704"/>
      <c r="DR232" s="704"/>
      <c r="DS232" s="704"/>
      <c r="DT232" s="704"/>
      <c r="DU232" s="704"/>
      <c r="DV232" s="704"/>
      <c r="DW232" s="704"/>
      <c r="DX232" s="704"/>
      <c r="DY232" s="704"/>
      <c r="DZ232" s="704"/>
      <c r="EA232" s="703"/>
      <c r="EB232"/>
      <c r="EC232"/>
      <c r="ED232"/>
      <c r="EE232"/>
      <c r="EF232"/>
      <c r="EG232"/>
    </row>
    <row r="233" spans="1:137" s="410" customFormat="1">
      <c r="A233" s="400"/>
      <c r="B233" s="562" t="s">
        <v>397</v>
      </c>
      <c r="C233" s="658"/>
      <c r="D233" s="770"/>
      <c r="E233" s="748"/>
      <c r="F233" s="748"/>
      <c r="G233" s="768"/>
      <c r="H233" s="748"/>
      <c r="I233" s="748"/>
      <c r="J233" s="748"/>
      <c r="K233" s="768"/>
      <c r="L233" s="748"/>
      <c r="M233" s="748"/>
      <c r="N233" s="748"/>
      <c r="O233" s="768"/>
      <c r="P233" s="748"/>
      <c r="Q233" s="748"/>
      <c r="R233" s="748"/>
      <c r="S233" s="768"/>
      <c r="T233" s="748"/>
      <c r="U233" s="748"/>
      <c r="V233" s="748"/>
      <c r="W233" s="768"/>
      <c r="X233" s="748"/>
      <c r="Y233" s="748"/>
      <c r="Z233" s="748"/>
      <c r="AA233" s="768"/>
      <c r="AB233" s="748"/>
      <c r="AC233" s="748"/>
      <c r="AD233" s="748"/>
      <c r="AE233" s="768"/>
      <c r="AF233" s="748"/>
      <c r="AG233" s="748"/>
      <c r="AH233" s="748"/>
      <c r="AI233" s="768"/>
      <c r="AJ233" s="748"/>
      <c r="AK233" s="748"/>
      <c r="AL233" s="748"/>
      <c r="AM233" s="768"/>
      <c r="AN233" s="748"/>
      <c r="AO233" s="748"/>
      <c r="AP233" s="748"/>
      <c r="AQ233" s="768"/>
      <c r="AR233" s="748"/>
      <c r="AS233" s="748"/>
      <c r="AT233" s="748"/>
      <c r="AU233" s="768"/>
      <c r="AV233" s="748"/>
      <c r="AW233" s="748"/>
      <c r="AX233" s="748"/>
      <c r="AY233" s="768"/>
      <c r="AZ233" s="748"/>
      <c r="BA233" s="748"/>
      <c r="BB233" s="748"/>
      <c r="BC233" s="768"/>
      <c r="BD233" s="748"/>
      <c r="BE233" s="748"/>
      <c r="BF233" s="748"/>
      <c r="BG233" s="768"/>
      <c r="BH233" s="748"/>
      <c r="BI233" s="748"/>
      <c r="BJ233" s="748"/>
      <c r="BK233" s="768"/>
      <c r="BL233" s="748"/>
      <c r="BM233" s="748"/>
      <c r="BN233" s="748"/>
      <c r="BO233" s="768"/>
      <c r="BP233" s="748"/>
      <c r="BQ233" s="748"/>
      <c r="BR233" s="748"/>
      <c r="BS233" s="768"/>
      <c r="BT233" s="748"/>
      <c r="BU233" s="748"/>
      <c r="BV233" s="748"/>
      <c r="BW233" s="768"/>
      <c r="BX233" s="748"/>
      <c r="BY233" s="748"/>
      <c r="BZ233" s="748"/>
      <c r="CA233" s="768"/>
      <c r="CB233" s="748"/>
      <c r="CC233" s="748"/>
      <c r="CD233" s="748"/>
      <c r="CE233" s="768"/>
      <c r="CF233" s="748"/>
      <c r="CG233" s="748"/>
      <c r="CH233" s="748">
        <v>-6</v>
      </c>
      <c r="CI233" s="768">
        <v>-4</v>
      </c>
      <c r="CJ233" s="748">
        <v>-2</v>
      </c>
      <c r="CK233" s="748">
        <v>-2</v>
      </c>
      <c r="CL233" s="748">
        <v>0</v>
      </c>
      <c r="CM233" s="768">
        <v>-2</v>
      </c>
      <c r="CN233" s="748">
        <v>-1</v>
      </c>
      <c r="CO233" s="748">
        <v>-1</v>
      </c>
      <c r="CP233" s="748">
        <v>0</v>
      </c>
      <c r="CQ233" s="768">
        <v>4</v>
      </c>
      <c r="CR233" s="608"/>
      <c r="CS233" s="608"/>
      <c r="CT233" s="608"/>
      <c r="CU233" s="609"/>
      <c r="CV233" s="598"/>
      <c r="CW233" s="605"/>
      <c r="CX233" s="605"/>
      <c r="CY233" s="605"/>
      <c r="CZ233" s="605"/>
      <c r="DA233" s="605"/>
      <c r="DB233" s="605"/>
      <c r="DC233" s="605"/>
      <c r="DD233" s="605"/>
      <c r="DE233" s="605"/>
      <c r="DF233" s="605"/>
      <c r="DG233" s="605"/>
      <c r="DH233" s="605"/>
      <c r="DI233" s="605"/>
      <c r="DJ233" s="605"/>
      <c r="DK233" s="605"/>
      <c r="DL233" s="605"/>
      <c r="DM233" s="605"/>
      <c r="DN233" s="605"/>
      <c r="DO233" s="605"/>
      <c r="DP233" s="608"/>
      <c r="DQ233" s="608"/>
      <c r="DR233" s="608"/>
      <c r="DS233" s="608"/>
      <c r="DT233" s="608"/>
      <c r="DU233" s="608"/>
      <c r="DV233" s="608"/>
      <c r="DW233" s="608"/>
      <c r="DX233" s="608"/>
      <c r="DY233" s="608"/>
      <c r="DZ233" s="608"/>
      <c r="EA233" s="605"/>
      <c r="EB233"/>
      <c r="EC233"/>
      <c r="ED233"/>
      <c r="EE233"/>
      <c r="EF233"/>
      <c r="EG233"/>
    </row>
    <row r="234" spans="1:137" s="410" customFormat="1">
      <c r="A234" s="400"/>
      <c r="B234" s="605"/>
      <c r="C234" s="658"/>
      <c r="D234" s="606"/>
      <c r="E234" s="605"/>
      <c r="F234" s="605"/>
      <c r="G234" s="607"/>
      <c r="H234" s="605"/>
      <c r="I234" s="605"/>
      <c r="J234" s="605"/>
      <c r="K234" s="607"/>
      <c r="L234" s="605"/>
      <c r="M234" s="605"/>
      <c r="N234" s="605"/>
      <c r="O234" s="607"/>
      <c r="P234" s="605"/>
      <c r="Q234" s="605"/>
      <c r="R234" s="605"/>
      <c r="S234" s="607"/>
      <c r="T234" s="605"/>
      <c r="U234" s="605"/>
      <c r="V234" s="605"/>
      <c r="W234" s="607"/>
      <c r="X234" s="605"/>
      <c r="Y234" s="605"/>
      <c r="Z234" s="605"/>
      <c r="AA234" s="607"/>
      <c r="AB234" s="605"/>
      <c r="AC234" s="605"/>
      <c r="AD234" s="605"/>
      <c r="AE234" s="607"/>
      <c r="AF234" s="605"/>
      <c r="AG234" s="605"/>
      <c r="AH234" s="605"/>
      <c r="AI234" s="607"/>
      <c r="AJ234" s="605"/>
      <c r="AK234" s="605"/>
      <c r="AL234" s="605"/>
      <c r="AM234" s="607"/>
      <c r="AN234" s="605"/>
      <c r="AO234" s="605"/>
      <c r="AP234" s="605"/>
      <c r="AQ234" s="607"/>
      <c r="AR234" s="605"/>
      <c r="AS234" s="605"/>
      <c r="AT234" s="605"/>
      <c r="AU234" s="607"/>
      <c r="AV234" s="605"/>
      <c r="AW234" s="605"/>
      <c r="AX234" s="605"/>
      <c r="AY234" s="607"/>
      <c r="AZ234" s="605"/>
      <c r="BA234" s="605"/>
      <c r="BB234" s="605"/>
      <c r="BC234" s="607"/>
      <c r="BD234" s="605"/>
      <c r="BE234" s="605"/>
      <c r="BF234" s="605"/>
      <c r="BG234" s="607"/>
      <c r="BH234" s="605"/>
      <c r="BI234" s="605"/>
      <c r="BJ234" s="605"/>
      <c r="BK234" s="607"/>
      <c r="BL234" s="605"/>
      <c r="BM234" s="605"/>
      <c r="BN234" s="605"/>
      <c r="BO234" s="607"/>
      <c r="BP234" s="605"/>
      <c r="BQ234" s="605"/>
      <c r="BR234" s="605"/>
      <c r="BS234" s="607"/>
      <c r="BT234" s="605"/>
      <c r="BU234" s="605"/>
      <c r="BV234" s="605"/>
      <c r="BW234" s="607"/>
      <c r="BX234" s="605"/>
      <c r="BY234" s="605"/>
      <c r="BZ234" s="605"/>
      <c r="CA234" s="607"/>
      <c r="CB234" s="605"/>
      <c r="CC234" s="608"/>
      <c r="CD234" s="608"/>
      <c r="CE234" s="609"/>
      <c r="CF234" s="608"/>
      <c r="CG234" s="608"/>
      <c r="CH234" s="608"/>
      <c r="CI234" s="609"/>
      <c r="CJ234" s="608"/>
      <c r="CK234" s="608"/>
      <c r="CL234" s="608"/>
      <c r="CM234" s="609"/>
      <c r="CN234" s="608"/>
      <c r="CO234" s="608"/>
      <c r="CP234" s="608"/>
      <c r="CQ234" s="609"/>
      <c r="CR234" s="608"/>
      <c r="CS234" s="608"/>
      <c r="CT234" s="608"/>
      <c r="CU234" s="609"/>
      <c r="CV234" s="598"/>
      <c r="CW234" s="605"/>
      <c r="CX234" s="605"/>
      <c r="CY234" s="605"/>
      <c r="CZ234" s="605"/>
      <c r="DA234" s="605"/>
      <c r="DB234" s="605"/>
      <c r="DC234" s="605"/>
      <c r="DD234" s="605"/>
      <c r="DE234" s="605"/>
      <c r="DF234" s="605"/>
      <c r="DG234" s="605"/>
      <c r="DH234" s="605"/>
      <c r="DI234" s="605"/>
      <c r="DJ234" s="605"/>
      <c r="DK234" s="605"/>
      <c r="DL234" s="605"/>
      <c r="DM234" s="605"/>
      <c r="DN234" s="605"/>
      <c r="DO234" s="605"/>
      <c r="DP234" s="608"/>
      <c r="DQ234" s="608"/>
      <c r="DR234" s="608"/>
      <c r="DS234" s="608"/>
      <c r="DT234" s="608"/>
      <c r="DU234" s="608"/>
      <c r="DV234" s="608"/>
      <c r="DW234" s="608"/>
      <c r="DX234" s="608"/>
      <c r="DY234" s="608"/>
      <c r="DZ234" s="608"/>
      <c r="EA234" s="605"/>
      <c r="EB234"/>
      <c r="EC234"/>
      <c r="ED234"/>
      <c r="EE234"/>
      <c r="EF234"/>
      <c r="EG234"/>
    </row>
    <row r="235" spans="1:137" hidden="1" outlineLevel="1">
      <c r="A235" s="374"/>
      <c r="B235" s="364" t="s">
        <v>292</v>
      </c>
      <c r="C235" s="896"/>
      <c r="D235" s="365" t="str">
        <f t="shared" ref="D235:AI235" si="756">D$4</f>
        <v>1Q95</v>
      </c>
      <c r="E235" s="366" t="str">
        <f t="shared" si="756"/>
        <v>2Q95</v>
      </c>
      <c r="F235" s="366" t="str">
        <f t="shared" si="756"/>
        <v>3Q95</v>
      </c>
      <c r="G235" s="367" t="str">
        <f t="shared" si="756"/>
        <v>4Q95</v>
      </c>
      <c r="H235" s="366" t="str">
        <f t="shared" si="756"/>
        <v>1Q96</v>
      </c>
      <c r="I235" s="366" t="str">
        <f t="shared" si="756"/>
        <v>2Q96</v>
      </c>
      <c r="J235" s="366" t="str">
        <f t="shared" si="756"/>
        <v>3Q96</v>
      </c>
      <c r="K235" s="367" t="str">
        <f t="shared" si="756"/>
        <v>4Q96</v>
      </c>
      <c r="L235" s="366" t="str">
        <f t="shared" si="756"/>
        <v>1Q97</v>
      </c>
      <c r="M235" s="366" t="str">
        <f t="shared" si="756"/>
        <v>2Q97</v>
      </c>
      <c r="N235" s="366" t="str">
        <f t="shared" si="756"/>
        <v>3Q97</v>
      </c>
      <c r="O235" s="367" t="str">
        <f t="shared" si="756"/>
        <v>4Q97</v>
      </c>
      <c r="P235" s="366" t="str">
        <f t="shared" si="756"/>
        <v>1Q98</v>
      </c>
      <c r="Q235" s="366" t="str">
        <f t="shared" si="756"/>
        <v>2Q98</v>
      </c>
      <c r="R235" s="366" t="str">
        <f t="shared" si="756"/>
        <v>3Q98</v>
      </c>
      <c r="S235" s="367" t="str">
        <f t="shared" si="756"/>
        <v>4Q98</v>
      </c>
      <c r="T235" s="366" t="str">
        <f t="shared" si="756"/>
        <v>1Q99</v>
      </c>
      <c r="U235" s="366" t="str">
        <f t="shared" si="756"/>
        <v>2Q99</v>
      </c>
      <c r="V235" s="366" t="str">
        <f t="shared" si="756"/>
        <v>3Q99</v>
      </c>
      <c r="W235" s="367" t="str">
        <f t="shared" si="756"/>
        <v>4Q99</v>
      </c>
      <c r="X235" s="366" t="str">
        <f t="shared" si="756"/>
        <v>1Q00</v>
      </c>
      <c r="Y235" s="366" t="str">
        <f t="shared" si="756"/>
        <v>2Q00</v>
      </c>
      <c r="Z235" s="366" t="str">
        <f t="shared" si="756"/>
        <v>3Q00</v>
      </c>
      <c r="AA235" s="367" t="str">
        <f t="shared" si="756"/>
        <v>4Q00</v>
      </c>
      <c r="AB235" s="366" t="str">
        <f t="shared" si="756"/>
        <v>1Q01</v>
      </c>
      <c r="AC235" s="366" t="str">
        <f t="shared" si="756"/>
        <v>2Q01</v>
      </c>
      <c r="AD235" s="366" t="str">
        <f t="shared" si="756"/>
        <v>3Q01</v>
      </c>
      <c r="AE235" s="367" t="str">
        <f t="shared" si="756"/>
        <v>4Q01</v>
      </c>
      <c r="AF235" s="366" t="str">
        <f t="shared" si="756"/>
        <v>1Q02</v>
      </c>
      <c r="AG235" s="366" t="str">
        <f t="shared" si="756"/>
        <v>2Q02</v>
      </c>
      <c r="AH235" s="366" t="str">
        <f t="shared" si="756"/>
        <v>3Q02</v>
      </c>
      <c r="AI235" s="367" t="str">
        <f t="shared" si="756"/>
        <v>4Q02</v>
      </c>
      <c r="AJ235" s="366" t="str">
        <f t="shared" ref="AJ235:BO235" si="757">AJ$4</f>
        <v>1Q03</v>
      </c>
      <c r="AK235" s="366" t="str">
        <f t="shared" si="757"/>
        <v>2Q03</v>
      </c>
      <c r="AL235" s="366" t="str">
        <f t="shared" si="757"/>
        <v>3Q03</v>
      </c>
      <c r="AM235" s="367" t="str">
        <f t="shared" si="757"/>
        <v>4Q03</v>
      </c>
      <c r="AN235" s="366" t="str">
        <f t="shared" si="757"/>
        <v>1Q04</v>
      </c>
      <c r="AO235" s="366" t="str">
        <f t="shared" si="757"/>
        <v>2Q04</v>
      </c>
      <c r="AP235" s="366" t="str">
        <f t="shared" si="757"/>
        <v>3Q04</v>
      </c>
      <c r="AQ235" s="367" t="str">
        <f t="shared" si="757"/>
        <v>4Q04</v>
      </c>
      <c r="AR235" s="366" t="str">
        <f t="shared" si="757"/>
        <v>1Q05</v>
      </c>
      <c r="AS235" s="366" t="str">
        <f t="shared" si="757"/>
        <v>2Q05</v>
      </c>
      <c r="AT235" s="366" t="str">
        <f t="shared" si="757"/>
        <v>3Q05</v>
      </c>
      <c r="AU235" s="367" t="str">
        <f t="shared" si="757"/>
        <v>4Q05</v>
      </c>
      <c r="AV235" s="366" t="str">
        <f t="shared" si="757"/>
        <v>1Q06</v>
      </c>
      <c r="AW235" s="366" t="str">
        <f t="shared" si="757"/>
        <v>2Q06</v>
      </c>
      <c r="AX235" s="366" t="str">
        <f t="shared" si="757"/>
        <v>3Q06</v>
      </c>
      <c r="AY235" s="367" t="str">
        <f t="shared" si="757"/>
        <v>4Q06</v>
      </c>
      <c r="AZ235" s="366" t="str">
        <f t="shared" si="757"/>
        <v>1Q07</v>
      </c>
      <c r="BA235" s="366" t="str">
        <f t="shared" si="757"/>
        <v>2Q07</v>
      </c>
      <c r="BB235" s="366" t="str">
        <f t="shared" si="757"/>
        <v>3Q07</v>
      </c>
      <c r="BC235" s="367" t="str">
        <f t="shared" si="757"/>
        <v>4Q07</v>
      </c>
      <c r="BD235" s="366" t="str">
        <f t="shared" si="757"/>
        <v>1Q08</v>
      </c>
      <c r="BE235" s="366" t="str">
        <f t="shared" si="757"/>
        <v>2Q08</v>
      </c>
      <c r="BF235" s="366" t="str">
        <f t="shared" si="757"/>
        <v>3Q08</v>
      </c>
      <c r="BG235" s="367" t="str">
        <f t="shared" si="757"/>
        <v>4Q08</v>
      </c>
      <c r="BH235" s="366" t="str">
        <f t="shared" si="757"/>
        <v>1Q09</v>
      </c>
      <c r="BI235" s="366" t="str">
        <f t="shared" si="757"/>
        <v>2Q09</v>
      </c>
      <c r="BJ235" s="366" t="str">
        <f t="shared" si="757"/>
        <v>3Q09</v>
      </c>
      <c r="BK235" s="367" t="str">
        <f t="shared" si="757"/>
        <v>4Q09</v>
      </c>
      <c r="BL235" s="366" t="str">
        <f t="shared" si="757"/>
        <v>1Q10</v>
      </c>
      <c r="BM235" s="366" t="str">
        <f t="shared" si="757"/>
        <v>2Q10</v>
      </c>
      <c r="BN235" s="366" t="str">
        <f t="shared" si="757"/>
        <v>3Q10</v>
      </c>
      <c r="BO235" s="367" t="str">
        <f t="shared" si="757"/>
        <v>4Q10</v>
      </c>
      <c r="BP235" s="366" t="str">
        <f t="shared" ref="BP235:CU235" si="758">BP$4</f>
        <v>1Q11</v>
      </c>
      <c r="BQ235" s="366" t="str">
        <f t="shared" si="758"/>
        <v>2Q11</v>
      </c>
      <c r="BR235" s="366" t="str">
        <f t="shared" si="758"/>
        <v>3Q11</v>
      </c>
      <c r="BS235" s="367" t="str">
        <f t="shared" si="758"/>
        <v>4Q11</v>
      </c>
      <c r="BT235" s="366" t="str">
        <f t="shared" si="758"/>
        <v>1Q12</v>
      </c>
      <c r="BU235" s="366" t="str">
        <f t="shared" si="758"/>
        <v>2Q12</v>
      </c>
      <c r="BV235" s="366" t="str">
        <f t="shared" si="758"/>
        <v>3Q12</v>
      </c>
      <c r="BW235" s="367" t="str">
        <f t="shared" si="758"/>
        <v>4Q12</v>
      </c>
      <c r="BX235" s="366" t="str">
        <f t="shared" si="758"/>
        <v>1Q13</v>
      </c>
      <c r="BY235" s="366" t="str">
        <f t="shared" si="758"/>
        <v>2Q13</v>
      </c>
      <c r="BZ235" s="366" t="str">
        <f t="shared" si="758"/>
        <v>3Q13</v>
      </c>
      <c r="CA235" s="367" t="str">
        <f t="shared" si="758"/>
        <v>4Q13</v>
      </c>
      <c r="CB235" s="366" t="str">
        <f t="shared" si="758"/>
        <v>1Q14</v>
      </c>
      <c r="CC235" s="366" t="str">
        <f t="shared" si="758"/>
        <v>2Q14</v>
      </c>
      <c r="CD235" s="366" t="str">
        <f t="shared" si="758"/>
        <v>3Q14</v>
      </c>
      <c r="CE235" s="367" t="str">
        <f t="shared" si="758"/>
        <v>4Q14</v>
      </c>
      <c r="CF235" s="366" t="str">
        <f t="shared" si="758"/>
        <v>1Q15</v>
      </c>
      <c r="CG235" s="366" t="str">
        <f t="shared" si="758"/>
        <v>2Q15</v>
      </c>
      <c r="CH235" s="366" t="str">
        <f t="shared" si="758"/>
        <v>3Q15</v>
      </c>
      <c r="CI235" s="367" t="str">
        <f t="shared" si="758"/>
        <v>4Q15</v>
      </c>
      <c r="CJ235" s="366" t="str">
        <f t="shared" si="758"/>
        <v>1Q16</v>
      </c>
      <c r="CK235" s="366" t="str">
        <f t="shared" si="758"/>
        <v>2Q16</v>
      </c>
      <c r="CL235" s="366" t="str">
        <f t="shared" si="758"/>
        <v>3Q16</v>
      </c>
      <c r="CM235" s="367" t="str">
        <f t="shared" si="758"/>
        <v>4Q16</v>
      </c>
      <c r="CN235" s="366" t="str">
        <f t="shared" si="758"/>
        <v>1Q17</v>
      </c>
      <c r="CO235" s="366" t="str">
        <f t="shared" si="758"/>
        <v>2Q17</v>
      </c>
      <c r="CP235" s="366" t="str">
        <f t="shared" si="758"/>
        <v>3Q17</v>
      </c>
      <c r="CQ235" s="367" t="str">
        <f t="shared" si="758"/>
        <v>4Q17</v>
      </c>
      <c r="CR235" s="366" t="str">
        <f t="shared" si="758"/>
        <v>1Q18e</v>
      </c>
      <c r="CS235" s="366" t="str">
        <f t="shared" si="758"/>
        <v>2Q18e</v>
      </c>
      <c r="CT235" s="366" t="str">
        <f t="shared" si="758"/>
        <v>3Q18e</v>
      </c>
      <c r="CU235" s="367" t="str">
        <f t="shared" si="758"/>
        <v>4Q18e</v>
      </c>
      <c r="CV235" s="598"/>
      <c r="CW235" s="366">
        <f t="shared" ref="CW235:DZ235" si="759">CW$4</f>
        <v>1994</v>
      </c>
      <c r="CX235" s="366">
        <f t="shared" si="759"/>
        <v>1995</v>
      </c>
      <c r="CY235" s="366">
        <f t="shared" si="759"/>
        <v>1996</v>
      </c>
      <c r="CZ235" s="366">
        <f t="shared" si="759"/>
        <v>1997</v>
      </c>
      <c r="DA235" s="366">
        <f t="shared" si="759"/>
        <v>1998</v>
      </c>
      <c r="DB235" s="366">
        <f t="shared" si="759"/>
        <v>1999</v>
      </c>
      <c r="DC235" s="366">
        <f t="shared" si="759"/>
        <v>2000</v>
      </c>
      <c r="DD235" s="366">
        <f t="shared" si="759"/>
        <v>2001</v>
      </c>
      <c r="DE235" s="366">
        <f t="shared" si="759"/>
        <v>2002</v>
      </c>
      <c r="DF235" s="366">
        <f t="shared" si="759"/>
        <v>2003</v>
      </c>
      <c r="DG235" s="366">
        <f t="shared" si="759"/>
        <v>2004</v>
      </c>
      <c r="DH235" s="366">
        <f t="shared" si="759"/>
        <v>2005</v>
      </c>
      <c r="DI235" s="366">
        <f t="shared" si="759"/>
        <v>2006</v>
      </c>
      <c r="DJ235" s="366">
        <f t="shared" si="759"/>
        <v>2007</v>
      </c>
      <c r="DK235" s="366">
        <f t="shared" si="759"/>
        <v>2008</v>
      </c>
      <c r="DL235" s="366">
        <f t="shared" si="759"/>
        <v>2009</v>
      </c>
      <c r="DM235" s="366">
        <f t="shared" si="759"/>
        <v>2010</v>
      </c>
      <c r="DN235" s="366">
        <f t="shared" si="759"/>
        <v>2011</v>
      </c>
      <c r="DO235" s="366">
        <f t="shared" si="759"/>
        <v>2012</v>
      </c>
      <c r="DP235" s="366">
        <f t="shared" si="759"/>
        <v>2013</v>
      </c>
      <c r="DQ235" s="366">
        <f t="shared" si="759"/>
        <v>2014</v>
      </c>
      <c r="DR235" s="366">
        <f t="shared" si="759"/>
        <v>2015</v>
      </c>
      <c r="DS235" s="366">
        <f t="shared" si="759"/>
        <v>2016</v>
      </c>
      <c r="DT235" s="366">
        <f t="shared" si="759"/>
        <v>2017</v>
      </c>
      <c r="DU235" s="366" t="str">
        <f t="shared" si="759"/>
        <v>2018e</v>
      </c>
      <c r="DV235" s="366" t="str">
        <f t="shared" si="759"/>
        <v>2019e</v>
      </c>
      <c r="DW235" s="366" t="str">
        <f t="shared" si="759"/>
        <v>2020e</v>
      </c>
      <c r="DX235" s="366" t="str">
        <f t="shared" si="759"/>
        <v>2021e</v>
      </c>
      <c r="DY235" s="366" t="str">
        <f t="shared" si="759"/>
        <v>2022e</v>
      </c>
      <c r="DZ235" s="366" t="str">
        <f t="shared" si="759"/>
        <v>2023e</v>
      </c>
      <c r="EA235" s="386"/>
    </row>
    <row r="236" spans="1:137" s="410" customFormat="1" hidden="1" outlineLevel="1">
      <c r="A236" s="400"/>
      <c r="B236" s="605"/>
      <c r="C236" s="607"/>
      <c r="D236" s="606"/>
      <c r="E236" s="605"/>
      <c r="F236" s="605"/>
      <c r="G236" s="607"/>
      <c r="H236" s="605"/>
      <c r="I236" s="605"/>
      <c r="J236" s="605"/>
      <c r="K236" s="607"/>
      <c r="L236" s="605"/>
      <c r="M236" s="605"/>
      <c r="N236" s="605"/>
      <c r="O236" s="607"/>
      <c r="P236" s="605"/>
      <c r="Q236" s="605"/>
      <c r="R236" s="605"/>
      <c r="S236" s="607"/>
      <c r="T236" s="605"/>
      <c r="U236" s="605"/>
      <c r="V236" s="605"/>
      <c r="W236" s="607"/>
      <c r="X236" s="605"/>
      <c r="Y236" s="605"/>
      <c r="Z236" s="605"/>
      <c r="AA236" s="607"/>
      <c r="AB236" s="605"/>
      <c r="AC236" s="605"/>
      <c r="AD236" s="605"/>
      <c r="AE236" s="607"/>
      <c r="AF236" s="605"/>
      <c r="AG236" s="605"/>
      <c r="AH236" s="605"/>
      <c r="AI236" s="607"/>
      <c r="AJ236" s="605"/>
      <c r="AK236" s="605"/>
      <c r="AL236" s="605"/>
      <c r="AM236" s="607"/>
      <c r="AN236" s="605"/>
      <c r="AO236" s="605"/>
      <c r="AP236" s="605"/>
      <c r="AQ236" s="607"/>
      <c r="AR236" s="605"/>
      <c r="AS236" s="605"/>
      <c r="AT236" s="605"/>
      <c r="AU236" s="607"/>
      <c r="AV236" s="605"/>
      <c r="AW236" s="605"/>
      <c r="AX236" s="605"/>
      <c r="AY236" s="607"/>
      <c r="AZ236" s="605"/>
      <c r="BA236" s="605"/>
      <c r="BB236" s="605"/>
      <c r="BC236" s="607"/>
      <c r="BD236" s="605"/>
      <c r="BE236" s="605"/>
      <c r="BF236" s="605"/>
      <c r="BG236" s="607"/>
      <c r="BH236" s="605"/>
      <c r="BI236" s="605"/>
      <c r="BJ236" s="605"/>
      <c r="BK236" s="607"/>
      <c r="BL236" s="605"/>
      <c r="BM236" s="605"/>
      <c r="BN236" s="605"/>
      <c r="BO236" s="607"/>
      <c r="BP236" s="605"/>
      <c r="BQ236" s="605"/>
      <c r="BR236" s="605"/>
      <c r="BS236" s="607"/>
      <c r="BT236" s="605"/>
      <c r="BU236" s="605"/>
      <c r="BV236" s="605"/>
      <c r="BW236" s="607"/>
      <c r="BX236" s="605"/>
      <c r="BY236" s="605"/>
      <c r="BZ236" s="605"/>
      <c r="CA236" s="607"/>
      <c r="CB236" s="605"/>
      <c r="CC236" s="608"/>
      <c r="CD236" s="608"/>
      <c r="CE236" s="609"/>
      <c r="CF236" s="608"/>
      <c r="CG236" s="608"/>
      <c r="CH236" s="608"/>
      <c r="CI236" s="609"/>
      <c r="CJ236" s="608"/>
      <c r="CK236" s="608"/>
      <c r="CL236" s="608"/>
      <c r="CM236" s="609"/>
      <c r="CN236" s="608"/>
      <c r="CO236" s="608"/>
      <c r="CP236" s="608"/>
      <c r="CQ236" s="609"/>
      <c r="CR236" s="608"/>
      <c r="CS236" s="608"/>
      <c r="CT236" s="608"/>
      <c r="CU236" s="609"/>
      <c r="CV236" s="598"/>
      <c r="CW236" s="605"/>
      <c r="CX236" s="605"/>
      <c r="CY236" s="605"/>
      <c r="CZ236" s="605"/>
      <c r="DA236" s="605"/>
      <c r="DB236" s="605"/>
      <c r="DC236" s="605"/>
      <c r="DD236" s="605"/>
      <c r="DE236" s="605"/>
      <c r="DF236" s="605"/>
      <c r="DG236" s="605"/>
      <c r="DH236" s="605"/>
      <c r="DI236" s="605"/>
      <c r="DJ236" s="605"/>
      <c r="DK236" s="605"/>
      <c r="DL236" s="605"/>
      <c r="DM236" s="605"/>
      <c r="DN236" s="605"/>
      <c r="DO236" s="605"/>
      <c r="DP236" s="608"/>
      <c r="DQ236" s="608"/>
      <c r="DR236" s="608"/>
      <c r="DS236" s="608"/>
      <c r="DT236" s="608"/>
      <c r="DU236" s="608"/>
      <c r="DV236" s="608"/>
      <c r="DW236" s="608"/>
      <c r="DX236" s="608"/>
      <c r="DY236" s="608"/>
      <c r="DZ236" s="608"/>
      <c r="EA236" s="605"/>
      <c r="EB236"/>
      <c r="EC236"/>
      <c r="ED236"/>
      <c r="EE236"/>
      <c r="EF236"/>
      <c r="EG236"/>
    </row>
    <row r="237" spans="1:137" s="410" customFormat="1" hidden="1" outlineLevel="1">
      <c r="A237" s="400"/>
      <c r="B237" s="401" t="s">
        <v>90</v>
      </c>
      <c r="C237" s="658"/>
      <c r="D237" s="486"/>
      <c r="E237" s="401"/>
      <c r="F237" s="401"/>
      <c r="G237" s="487"/>
      <c r="H237" s="401"/>
      <c r="I237" s="401"/>
      <c r="J237" s="401"/>
      <c r="K237" s="487"/>
      <c r="L237" s="401"/>
      <c r="M237" s="401"/>
      <c r="N237" s="401"/>
      <c r="O237" s="487"/>
      <c r="P237" s="401"/>
      <c r="Q237" s="401"/>
      <c r="R237" s="401"/>
      <c r="S237" s="487"/>
      <c r="T237" s="401"/>
      <c r="U237" s="401"/>
      <c r="V237" s="401"/>
      <c r="W237" s="487"/>
      <c r="X237" s="630">
        <v>0</v>
      </c>
      <c r="Y237" s="630">
        <v>0</v>
      </c>
      <c r="Z237" s="630">
        <v>0</v>
      </c>
      <c r="AA237" s="631">
        <v>0</v>
      </c>
      <c r="AB237" s="630">
        <v>0</v>
      </c>
      <c r="AC237" s="630">
        <v>0</v>
      </c>
      <c r="AD237" s="630">
        <v>0</v>
      </c>
      <c r="AE237" s="631">
        <v>0</v>
      </c>
      <c r="AF237" s="630">
        <v>0</v>
      </c>
      <c r="AG237" s="630">
        <v>0</v>
      </c>
      <c r="AH237" s="630">
        <v>0</v>
      </c>
      <c r="AI237" s="631">
        <v>0</v>
      </c>
      <c r="AJ237" s="630">
        <v>0</v>
      </c>
      <c r="AK237" s="630">
        <v>0</v>
      </c>
      <c r="AL237" s="630">
        <v>0</v>
      </c>
      <c r="AM237" s="631">
        <v>0</v>
      </c>
      <c r="AN237" s="630">
        <v>0</v>
      </c>
      <c r="AO237" s="630">
        <v>0</v>
      </c>
      <c r="AP237" s="630">
        <v>0</v>
      </c>
      <c r="AQ237" s="631">
        <v>0</v>
      </c>
      <c r="AR237" s="630">
        <v>0</v>
      </c>
      <c r="AS237" s="630">
        <v>0</v>
      </c>
      <c r="AT237" s="630">
        <v>0</v>
      </c>
      <c r="AU237" s="631">
        <v>0</v>
      </c>
      <c r="AV237" s="630">
        <v>0</v>
      </c>
      <c r="AW237" s="630">
        <v>0</v>
      </c>
      <c r="AX237" s="630">
        <v>0</v>
      </c>
      <c r="AY237" s="631">
        <v>0</v>
      </c>
      <c r="AZ237" s="630">
        <v>0</v>
      </c>
      <c r="BA237" s="630">
        <v>0</v>
      </c>
      <c r="BB237" s="630">
        <v>0</v>
      </c>
      <c r="BC237" s="631">
        <v>0</v>
      </c>
      <c r="BD237" s="630">
        <v>0</v>
      </c>
      <c r="BE237" s="630">
        <v>0</v>
      </c>
      <c r="BF237" s="630">
        <v>0</v>
      </c>
      <c r="BG237" s="631">
        <v>0</v>
      </c>
      <c r="BH237" s="630">
        <v>0</v>
      </c>
      <c r="BI237" s="630">
        <v>0</v>
      </c>
      <c r="BJ237" s="630">
        <v>0</v>
      </c>
      <c r="BK237" s="631">
        <v>0</v>
      </c>
      <c r="BL237" s="630">
        <v>0</v>
      </c>
      <c r="BM237" s="630">
        <v>0</v>
      </c>
      <c r="BN237" s="630">
        <v>0</v>
      </c>
      <c r="BO237" s="631">
        <v>0</v>
      </c>
      <c r="BP237" s="630">
        <v>0</v>
      </c>
      <c r="BQ237" s="630">
        <v>0</v>
      </c>
      <c r="BR237" s="630">
        <v>0</v>
      </c>
      <c r="BS237" s="631">
        <v>0</v>
      </c>
      <c r="BT237" s="630">
        <v>0</v>
      </c>
      <c r="BU237" s="630">
        <v>0</v>
      </c>
      <c r="BV237" s="630">
        <v>0</v>
      </c>
      <c r="BW237" s="631">
        <v>0</v>
      </c>
      <c r="BX237" s="630">
        <v>0</v>
      </c>
      <c r="BY237" s="630">
        <v>0</v>
      </c>
      <c r="BZ237" s="630">
        <v>0</v>
      </c>
      <c r="CA237" s="631">
        <v>0</v>
      </c>
      <c r="CB237" s="630">
        <v>0</v>
      </c>
      <c r="CC237" s="630">
        <v>0</v>
      </c>
      <c r="CD237" s="630">
        <v>0</v>
      </c>
      <c r="CE237" s="631">
        <v>0</v>
      </c>
      <c r="CF237" s="630">
        <v>0</v>
      </c>
      <c r="CG237" s="630">
        <v>0</v>
      </c>
      <c r="CH237" s="630">
        <v>0</v>
      </c>
      <c r="CI237" s="631">
        <v>0</v>
      </c>
      <c r="CJ237" s="630">
        <v>0</v>
      </c>
      <c r="CK237" s="630">
        <v>0</v>
      </c>
      <c r="CL237" s="630">
        <v>0</v>
      </c>
      <c r="CM237" s="631">
        <v>0</v>
      </c>
      <c r="CN237" s="630">
        <v>0</v>
      </c>
      <c r="CO237" s="630">
        <v>0</v>
      </c>
      <c r="CP237" s="630">
        <v>0</v>
      </c>
      <c r="CQ237" s="631">
        <v>0</v>
      </c>
      <c r="CR237" s="630">
        <v>0</v>
      </c>
      <c r="CS237" s="630">
        <v>0</v>
      </c>
      <c r="CT237" s="630">
        <v>0</v>
      </c>
      <c r="CU237" s="631">
        <v>0</v>
      </c>
      <c r="CV237" s="598"/>
      <c r="CW237" s="509"/>
      <c r="CX237" s="509"/>
      <c r="CY237" s="509"/>
      <c r="CZ237" s="401"/>
      <c r="DA237" s="611"/>
      <c r="DB237" s="401"/>
      <c r="DC237" s="630">
        <v>0</v>
      </c>
      <c r="DD237" s="630">
        <v>0</v>
      </c>
      <c r="DE237" s="630">
        <v>0</v>
      </c>
      <c r="DF237" s="630">
        <v>0</v>
      </c>
      <c r="DG237" s="630">
        <v>0</v>
      </c>
      <c r="DH237" s="630">
        <v>0</v>
      </c>
      <c r="DI237" s="630">
        <v>0</v>
      </c>
      <c r="DJ237" s="630">
        <v>0</v>
      </c>
      <c r="DK237" s="630">
        <v>0</v>
      </c>
      <c r="DL237" s="630">
        <v>0</v>
      </c>
      <c r="DM237" s="630">
        <v>0</v>
      </c>
      <c r="DN237" s="630">
        <v>0</v>
      </c>
      <c r="DO237" s="630">
        <v>0</v>
      </c>
      <c r="DP237" s="630">
        <v>0</v>
      </c>
      <c r="DQ237" s="630">
        <v>0</v>
      </c>
      <c r="DR237" s="630">
        <v>0</v>
      </c>
      <c r="DS237" s="630">
        <v>0</v>
      </c>
      <c r="DT237" s="630">
        <v>0</v>
      </c>
      <c r="DU237" s="630">
        <v>0</v>
      </c>
      <c r="DV237" s="630">
        <v>0</v>
      </c>
      <c r="DW237" s="630">
        <v>0</v>
      </c>
      <c r="DX237" s="630">
        <v>0</v>
      </c>
      <c r="DY237" s="630">
        <v>0</v>
      </c>
      <c r="DZ237" s="630">
        <v>0</v>
      </c>
      <c r="EA237" s="426"/>
      <c r="EB237"/>
      <c r="EC237"/>
      <c r="ED237"/>
      <c r="EE237"/>
      <c r="EF237"/>
      <c r="EG237"/>
    </row>
    <row r="238" spans="1:137" s="410" customFormat="1" hidden="1" outlineLevel="1">
      <c r="A238" s="400"/>
      <c r="B238" s="401" t="s">
        <v>89</v>
      </c>
      <c r="C238" s="658"/>
      <c r="D238" s="486"/>
      <c r="E238" s="401"/>
      <c r="F238" s="401"/>
      <c r="G238" s="487"/>
      <c r="H238" s="401"/>
      <c r="I238" s="401"/>
      <c r="J238" s="401"/>
      <c r="K238" s="487"/>
      <c r="L238" s="401"/>
      <c r="M238" s="401"/>
      <c r="N238" s="401"/>
      <c r="O238" s="487"/>
      <c r="P238" s="401"/>
      <c r="Q238" s="401"/>
      <c r="R238" s="401"/>
      <c r="S238" s="487"/>
      <c r="T238" s="401"/>
      <c r="U238" s="401"/>
      <c r="V238" s="401"/>
      <c r="W238" s="487"/>
      <c r="X238" s="630">
        <v>0</v>
      </c>
      <c r="Y238" s="630">
        <v>0</v>
      </c>
      <c r="Z238" s="630">
        <v>0</v>
      </c>
      <c r="AA238" s="631">
        <v>0</v>
      </c>
      <c r="AB238" s="630">
        <v>0</v>
      </c>
      <c r="AC238" s="630">
        <v>0</v>
      </c>
      <c r="AD238" s="630">
        <v>0</v>
      </c>
      <c r="AE238" s="631">
        <v>0</v>
      </c>
      <c r="AF238" s="630">
        <v>0</v>
      </c>
      <c r="AG238" s="630">
        <v>0</v>
      </c>
      <c r="AH238" s="630">
        <v>0</v>
      </c>
      <c r="AI238" s="631">
        <v>0</v>
      </c>
      <c r="AJ238" s="630">
        <v>0</v>
      </c>
      <c r="AK238" s="630">
        <v>0</v>
      </c>
      <c r="AL238" s="630">
        <v>0</v>
      </c>
      <c r="AM238" s="631">
        <v>0</v>
      </c>
      <c r="AN238" s="630">
        <v>0</v>
      </c>
      <c r="AO238" s="630">
        <v>0</v>
      </c>
      <c r="AP238" s="630">
        <v>0</v>
      </c>
      <c r="AQ238" s="631">
        <v>0</v>
      </c>
      <c r="AR238" s="630">
        <v>0</v>
      </c>
      <c r="AS238" s="630">
        <v>0</v>
      </c>
      <c r="AT238" s="630">
        <v>0</v>
      </c>
      <c r="AU238" s="631">
        <v>0</v>
      </c>
      <c r="AV238" s="630">
        <v>0</v>
      </c>
      <c r="AW238" s="630">
        <v>0</v>
      </c>
      <c r="AX238" s="630">
        <v>0</v>
      </c>
      <c r="AY238" s="631">
        <v>0</v>
      </c>
      <c r="AZ238" s="630">
        <v>0</v>
      </c>
      <c r="BA238" s="630">
        <v>0</v>
      </c>
      <c r="BB238" s="630">
        <v>0</v>
      </c>
      <c r="BC238" s="631">
        <v>0</v>
      </c>
      <c r="BD238" s="630">
        <v>0</v>
      </c>
      <c r="BE238" s="630">
        <v>0</v>
      </c>
      <c r="BF238" s="630">
        <v>0</v>
      </c>
      <c r="BG238" s="631">
        <v>0</v>
      </c>
      <c r="BH238" s="630">
        <v>0</v>
      </c>
      <c r="BI238" s="630">
        <v>0</v>
      </c>
      <c r="BJ238" s="630">
        <v>0</v>
      </c>
      <c r="BK238" s="631">
        <v>0</v>
      </c>
      <c r="BL238" s="630">
        <v>0</v>
      </c>
      <c r="BM238" s="630">
        <v>0</v>
      </c>
      <c r="BN238" s="630">
        <v>0</v>
      </c>
      <c r="BO238" s="631">
        <v>0</v>
      </c>
      <c r="BP238" s="630">
        <v>0</v>
      </c>
      <c r="BQ238" s="630">
        <v>0</v>
      </c>
      <c r="BR238" s="630">
        <v>0</v>
      </c>
      <c r="BS238" s="631">
        <v>0</v>
      </c>
      <c r="BT238" s="630">
        <v>0</v>
      </c>
      <c r="BU238" s="630">
        <v>0</v>
      </c>
      <c r="BV238" s="630">
        <v>0</v>
      </c>
      <c r="BW238" s="631">
        <v>0</v>
      </c>
      <c r="BX238" s="630">
        <v>0</v>
      </c>
      <c r="BY238" s="630">
        <v>0</v>
      </c>
      <c r="BZ238" s="401">
        <f>-BZ165</f>
        <v>19.5</v>
      </c>
      <c r="CA238" s="487">
        <f t="shared" ref="CA238:CM238" si="760">-CA165</f>
        <v>28.299999999999997</v>
      </c>
      <c r="CB238" s="401">
        <f t="shared" si="760"/>
        <v>28.4</v>
      </c>
      <c r="CC238" s="401">
        <f t="shared" si="760"/>
        <v>28.4</v>
      </c>
      <c r="CD238" s="401">
        <f t="shared" si="760"/>
        <v>30</v>
      </c>
      <c r="CE238" s="487">
        <f t="shared" si="760"/>
        <v>29.299999999999997</v>
      </c>
      <c r="CF238" s="401">
        <f t="shared" si="760"/>
        <v>29.4</v>
      </c>
      <c r="CG238" s="401">
        <f t="shared" si="760"/>
        <v>29.300000000000004</v>
      </c>
      <c r="CH238" s="401">
        <f t="shared" si="760"/>
        <v>29.200000000000003</v>
      </c>
      <c r="CI238" s="487">
        <f t="shared" si="760"/>
        <v>28.799999999999997</v>
      </c>
      <c r="CJ238" s="401">
        <f t="shared" si="760"/>
        <v>28.2</v>
      </c>
      <c r="CK238" s="401">
        <f t="shared" si="760"/>
        <v>28.000000000000004</v>
      </c>
      <c r="CL238" s="401">
        <f t="shared" si="760"/>
        <v>27.599999999999994</v>
      </c>
      <c r="CM238" s="487">
        <f t="shared" si="760"/>
        <v>29.600000000000009</v>
      </c>
      <c r="CN238" s="401">
        <f t="shared" ref="CN238:CU238" si="761">-CN165</f>
        <v>29.7</v>
      </c>
      <c r="CO238" s="401">
        <f t="shared" si="761"/>
        <v>29.400000000000002</v>
      </c>
      <c r="CP238" s="401">
        <f t="shared" si="761"/>
        <v>29.399999999999995</v>
      </c>
      <c r="CQ238" s="487">
        <f t="shared" ref="CQ238" si="762">-CQ165</f>
        <v>35.599999999999994</v>
      </c>
      <c r="CR238" s="401">
        <f t="shared" si="761"/>
        <v>29.325566567805907</v>
      </c>
      <c r="CS238" s="401">
        <f t="shared" si="761"/>
        <v>29.261572665048796</v>
      </c>
      <c r="CT238" s="401">
        <f t="shared" si="761"/>
        <v>29.199301189366189</v>
      </c>
      <c r="CU238" s="487">
        <f t="shared" si="761"/>
        <v>29.138705780794098</v>
      </c>
      <c r="CV238" s="598"/>
      <c r="CW238" s="401"/>
      <c r="CX238" s="509"/>
      <c r="CY238" s="509"/>
      <c r="CZ238" s="401"/>
      <c r="DA238" s="611"/>
      <c r="DB238" s="401"/>
      <c r="DC238" s="630">
        <v>0</v>
      </c>
      <c r="DD238" s="630">
        <v>0</v>
      </c>
      <c r="DE238" s="630">
        <v>0</v>
      </c>
      <c r="DF238" s="630">
        <v>0</v>
      </c>
      <c r="DG238" s="630">
        <v>0</v>
      </c>
      <c r="DH238" s="630">
        <v>0</v>
      </c>
      <c r="DI238" s="630">
        <v>0</v>
      </c>
      <c r="DJ238" s="630">
        <v>0</v>
      </c>
      <c r="DK238" s="630">
        <v>0</v>
      </c>
      <c r="DL238" s="630">
        <v>0</v>
      </c>
      <c r="DM238" s="630">
        <v>0</v>
      </c>
      <c r="DN238" s="630">
        <v>0</v>
      </c>
      <c r="DO238" s="630">
        <v>0</v>
      </c>
      <c r="DP238" s="401">
        <f>-DP165</f>
        <v>56.8</v>
      </c>
      <c r="DQ238" s="401">
        <f t="shared" ref="DQ238:DW238" si="763">-DQ165</f>
        <v>116.1</v>
      </c>
      <c r="DR238" s="401">
        <f t="shared" si="763"/>
        <v>116.7</v>
      </c>
      <c r="DS238" s="401">
        <f t="shared" si="763"/>
        <v>113.4</v>
      </c>
      <c r="DT238" s="401">
        <f t="shared" si="763"/>
        <v>124.1</v>
      </c>
      <c r="DU238" s="401">
        <f>-DU165</f>
        <v>116.92514620301499</v>
      </c>
      <c r="DV238" s="401">
        <f t="shared" si="763"/>
        <v>116.92514620301499</v>
      </c>
      <c r="DW238" s="401">
        <f t="shared" si="763"/>
        <v>116.92514620301499</v>
      </c>
      <c r="DX238" s="401">
        <f t="shared" ref="DX238:DZ238" si="764">-DX165</f>
        <v>116.92514620301499</v>
      </c>
      <c r="DY238" s="401">
        <f t="shared" si="764"/>
        <v>116.92514620301499</v>
      </c>
      <c r="DZ238" s="401">
        <f t="shared" si="764"/>
        <v>116.92514620301499</v>
      </c>
      <c r="EA238" s="426"/>
      <c r="EB238"/>
      <c r="EC238"/>
      <c r="ED238"/>
      <c r="EE238"/>
      <c r="EF238"/>
      <c r="EG238"/>
    </row>
    <row r="239" spans="1:137" s="410" customFormat="1" hidden="1" outlineLevel="1">
      <c r="A239" s="400"/>
      <c r="B239" s="401" t="s">
        <v>392</v>
      </c>
      <c r="C239" s="658"/>
      <c r="D239" s="486"/>
      <c r="E239" s="401"/>
      <c r="F239" s="401"/>
      <c r="G239" s="487"/>
      <c r="H239" s="401"/>
      <c r="I239" s="401"/>
      <c r="J239" s="401"/>
      <c r="K239" s="487"/>
      <c r="L239" s="401"/>
      <c r="M239" s="401"/>
      <c r="N239" s="401"/>
      <c r="O239" s="487"/>
      <c r="P239" s="401"/>
      <c r="Q239" s="401"/>
      <c r="R239" s="401"/>
      <c r="S239" s="487"/>
      <c r="T239" s="401"/>
      <c r="U239" s="401"/>
      <c r="V239" s="401"/>
      <c r="W239" s="487"/>
      <c r="X239" s="401">
        <f>+X95-DB95+X99-DB99+X94-DB94</f>
        <v>-4.1000000000000014</v>
      </c>
      <c r="Y239" s="401">
        <f>+Y95-X95+Y99-X99+Y94-X94</f>
        <v>-12.5</v>
      </c>
      <c r="Z239" s="401">
        <f>+Z95-Y95+Z99-Y99+Z94-Y94</f>
        <v>-2.5999999999999979</v>
      </c>
      <c r="AA239" s="487">
        <f>+AA95-Z95+AA99-Z99+AA94-Z94</f>
        <v>1.1000000000000014</v>
      </c>
      <c r="AB239" s="401">
        <f>+AB95-DC95+AB99-DC99+AB94-DC94</f>
        <v>3.3999999999999986</v>
      </c>
      <c r="AC239" s="401">
        <f>+AC95-AB95+AC99-AB99+AC94-AB94</f>
        <v>0.19999999999999929</v>
      </c>
      <c r="AD239" s="401">
        <f>+AD95-AC95+AD99-AC99+AD94-AC94</f>
        <v>1.8999999999999984</v>
      </c>
      <c r="AE239" s="487">
        <f>+AE95-AD95+AE99-AD99+AE94-AD94</f>
        <v>0.19999999999999929</v>
      </c>
      <c r="AF239" s="401">
        <f>+AF95-DD95+AF99-DD99+AF94-DD94</f>
        <v>9.9999999999999112</v>
      </c>
      <c r="AG239" s="401">
        <f>+AG95-AF95+AG99-AF99+AG94-AF94</f>
        <v>6.6000000000000902</v>
      </c>
      <c r="AH239" s="401">
        <f>+AH95-AG95+AH99-AG99+AH94-AG94</f>
        <v>11.499999999999979</v>
      </c>
      <c r="AI239" s="487">
        <f>+AI95-AH95+AI99-AH99+AI94-AH94</f>
        <v>-14.399999999999977</v>
      </c>
      <c r="AJ239" s="401">
        <f>+AJ95-DE95+AJ99-DE99+AJ94-DE94</f>
        <v>6.9999999999999787</v>
      </c>
      <c r="AK239" s="401">
        <f>+AK95-AJ95+AK99-AJ99+AK94-AJ94</f>
        <v>1.2999999999999261</v>
      </c>
      <c r="AL239" s="401">
        <f>+AL95-AK95+AL99-AK99+AL94-AK94</f>
        <v>30.500000000000071</v>
      </c>
      <c r="AM239" s="487">
        <f>+AM95-AL95+AM99-AL99+AM94-AL94</f>
        <v>14.199999999999932</v>
      </c>
      <c r="AN239" s="401">
        <f>+AN95-DF95+AN99-DF99+AN94-DF94</f>
        <v>23.500000000000021</v>
      </c>
      <c r="AO239" s="401">
        <f>+AO95-AN95+AO99-AN99+AO94-AN94</f>
        <v>6.600000000000068</v>
      </c>
      <c r="AP239" s="401">
        <f>+AP95-AO95+AP99-AO99+AP94-AO94</f>
        <v>9.7999999999999545</v>
      </c>
      <c r="AQ239" s="487">
        <f>+AQ95-AP95+AQ99-AP99+AQ94-AP94</f>
        <v>2.6000000000000227</v>
      </c>
      <c r="AR239" s="401">
        <f>+AR95-DG95+AR99-DG99+AR94-DG94</f>
        <v>4.5</v>
      </c>
      <c r="AS239" s="401">
        <f>+AS95-AR95+AS99-AR99+AS94-AR94</f>
        <v>1.2999999999999545</v>
      </c>
      <c r="AT239" s="401">
        <f>+AT95-AS95+AT99-AS99+AT94-AS94</f>
        <v>0</v>
      </c>
      <c r="AU239" s="487">
        <f>+AU95-AT95+AU99-AT99+AU94-AT94</f>
        <v>0</v>
      </c>
      <c r="AV239" s="401">
        <f>+AV95-DH95+AV99-DH99+AV94-DH94</f>
        <v>33</v>
      </c>
      <c r="AW239" s="401">
        <f>+AW95-AV95+AW99-AV99+AW94-AV94</f>
        <v>8.1000000000000227</v>
      </c>
      <c r="AX239" s="401">
        <f>+AX95-AW95+AX99-AW99+AX94-AW94</f>
        <v>8.6000000000000227</v>
      </c>
      <c r="AY239" s="487">
        <f>+AY95-AX95+AY99-AX99+AY94-AX94</f>
        <v>18.5</v>
      </c>
      <c r="AZ239" s="401">
        <f>+AZ95-DI95+AZ99-DI99+AZ94-DI94</f>
        <v>24.5</v>
      </c>
      <c r="BA239" s="401">
        <f>+BA95-AZ95+BA99-AZ99+BA94-AZ94</f>
        <v>-5.9000000000000465</v>
      </c>
      <c r="BB239" s="401">
        <f>+BB95-BA95+BB99-BA99+BB94-BA94</f>
        <v>0.30000000000007176</v>
      </c>
      <c r="BC239" s="487">
        <f>+BC95-BB95+BC99-BB99+BC94-BB94</f>
        <v>7.5999999999999286</v>
      </c>
      <c r="BD239" s="401">
        <f>+BD95-DJ95+BD99-DJ99+BD94-DJ94</f>
        <v>-1.3999999999999559</v>
      </c>
      <c r="BE239" s="401">
        <f>+BE95-BD95+BE99-BD99+BE94-BD94</f>
        <v>1.5000000000000073</v>
      </c>
      <c r="BF239" s="401">
        <f>+BF95-BE95+BF99-BE99+BF94-BE94</f>
        <v>-6.3999999999999773</v>
      </c>
      <c r="BG239" s="487">
        <f>+BG95-BF95+BG99-BF99+BG94-BF94</f>
        <v>-0.40000000000003411</v>
      </c>
      <c r="BH239" s="401">
        <f>+BH95-DK95+BH99-DK99+BH94-DK94</f>
        <v>-22.999999999999972</v>
      </c>
      <c r="BI239" s="401">
        <f>+BI95-BH95+BI99-BH99+BI94-BH94</f>
        <v>79.599999999999866</v>
      </c>
      <c r="BJ239" s="401">
        <f>+BJ95-BI95+BJ99-BI99+BJ94-BI94</f>
        <v>11.799999999999542</v>
      </c>
      <c r="BK239" s="487">
        <f>+BK95-BJ95+BK99-BJ99+BK94-BJ94</f>
        <v>17.600000000000456</v>
      </c>
      <c r="BL239" s="401">
        <f>+BL95-DL95+BL99-DL99+BL94-DL94</f>
        <v>-54.893260000000375</v>
      </c>
      <c r="BM239" s="401">
        <f>+BM95-BL95+BM99-BL99+BM94-BL94</f>
        <v>-286.19999999999982</v>
      </c>
      <c r="BN239" s="401">
        <f>+BN95-BM95+BN99-BM99+BN94-BM94</f>
        <v>210.69326000000029</v>
      </c>
      <c r="BO239" s="487">
        <f>+BO95-BN95+BO99-BN99+BO94-BN94</f>
        <v>-94.89999999999992</v>
      </c>
      <c r="BP239" s="401">
        <f>+BP95-DM95+BP99-DM99+BP94-DM94</f>
        <v>-161.60000000000002</v>
      </c>
      <c r="BQ239" s="401">
        <f>+BQ95-BP95+BQ99-BP99+BQ94-BP94</f>
        <v>-72.200000000000159</v>
      </c>
      <c r="BR239" s="401">
        <f>+BR95-BQ95+BR99-BQ99+BR94-BQ94</f>
        <v>-171.5</v>
      </c>
      <c r="BS239" s="487">
        <f>+BS95-BR95+BS99-BR99+BS94-BR94</f>
        <v>81.600000000000023</v>
      </c>
      <c r="BT239" s="401">
        <f>+BT95-DN95+BT99-DN99+BT94-DN94</f>
        <v>0</v>
      </c>
      <c r="BU239" s="401">
        <f>+BU95-BT95+BU99-BT99+BU94-BT94</f>
        <v>96.700000000000045</v>
      </c>
      <c r="BV239" s="401">
        <f>+BV95-BU95+BV99-BU99+BV94-BU94</f>
        <v>150.30000000000001</v>
      </c>
      <c r="BW239" s="487">
        <f>+BW95-BV95+BW99-BV99+BW94-BV94</f>
        <v>-82.699999999999989</v>
      </c>
      <c r="BX239" s="401">
        <f>+BX95-DO95+BX99-DO99+BX94-DO94</f>
        <v>0</v>
      </c>
      <c r="BY239" s="401">
        <f>+BY95-BX95+BY99-BX99+BY94-BX94</f>
        <v>-137.10000000000002</v>
      </c>
      <c r="BZ239" s="401">
        <f>+BZ95-BY95+BZ99-BY99+BZ94-BY94</f>
        <v>-62.899999999999977</v>
      </c>
      <c r="CA239" s="487">
        <f>+CA95-BZ95+CA99-BZ99+CA94-BZ94</f>
        <v>4.5000000000000453</v>
      </c>
      <c r="CB239" s="401">
        <f>+CB95-DP95+CB99-DP99+CB94-DP94</f>
        <v>-5</v>
      </c>
      <c r="CC239" s="401">
        <f>+CC95-CB95+CC99-CB99+CC94-CB94</f>
        <v>-14.700000000000159</v>
      </c>
      <c r="CD239" s="401">
        <f>+CD95-CC95+CD99-CC99+CD94-CC94</f>
        <v>-53.499999999999886</v>
      </c>
      <c r="CE239" s="487">
        <f>+CE95-CD95+CE99-CD99+CE94-CD94</f>
        <v>-41.299999999999955</v>
      </c>
      <c r="CF239" s="401">
        <f>+CF95-DQ95+CF99-DQ99+CF94-DQ94</f>
        <v>-28.399999999999977</v>
      </c>
      <c r="CG239" s="401">
        <f>+CG95-CF95+CG99-CF99+CG94-CF94</f>
        <v>-13.5</v>
      </c>
      <c r="CH239" s="401">
        <f>+CH95-CG95+CH99-CG99+CH94-CG94</f>
        <v>-60.700000000000159</v>
      </c>
      <c r="CI239" s="487">
        <f>+CI95-CH95+CI99-CH99+CI94-CH94</f>
        <v>-226.29999999999995</v>
      </c>
      <c r="CJ239" s="401">
        <f>+CJ95-DR95+CJ99-DR99+CJ94-DR94</f>
        <v>0</v>
      </c>
      <c r="CK239" s="401">
        <f>+CK95-CJ95+CK99-CJ99+CK94-CJ94</f>
        <v>-160.70000000000005</v>
      </c>
      <c r="CL239" s="401">
        <f>+CL95-CK95+CL99-CK99+CL94-CK94</f>
        <v>-50.299999999999955</v>
      </c>
      <c r="CM239" s="487">
        <f>+CM95-CL95+CM99-CL99+CM94-CL94</f>
        <v>-17.599999999999909</v>
      </c>
      <c r="CN239" s="401">
        <f>+CN95-DS95+CN99-DS99+CN94-DS94</f>
        <v>-22.300000000000182</v>
      </c>
      <c r="CO239" s="401">
        <f t="shared" ref="CO239:CU239" si="765">+CO95-CN95+CO99-CN99+CO94-CN94</f>
        <v>-41.799999999999727</v>
      </c>
      <c r="CP239" s="401">
        <f t="shared" si="765"/>
        <v>-2.5000000000002274</v>
      </c>
      <c r="CQ239" s="487">
        <f t="shared" si="765"/>
        <v>0</v>
      </c>
      <c r="CR239" s="401">
        <f t="shared" si="765"/>
        <v>0</v>
      </c>
      <c r="CS239" s="401">
        <f t="shared" si="765"/>
        <v>0</v>
      </c>
      <c r="CT239" s="401">
        <f t="shared" si="765"/>
        <v>0</v>
      </c>
      <c r="CU239" s="487">
        <f t="shared" si="765"/>
        <v>0</v>
      </c>
      <c r="CV239" s="598"/>
      <c r="CW239" s="401"/>
      <c r="CX239" s="401"/>
      <c r="CY239" s="401"/>
      <c r="CZ239" s="401"/>
      <c r="DA239" s="407"/>
      <c r="DB239" s="401"/>
      <c r="DC239" s="401">
        <f t="shared" ref="DC239:DW239" si="766">+DC95-DB95+DC99-DB99+DC94-DB94</f>
        <v>-18.099999999999998</v>
      </c>
      <c r="DD239" s="401">
        <f t="shared" si="766"/>
        <v>5.6999999999999957</v>
      </c>
      <c r="DE239" s="401">
        <f t="shared" si="766"/>
        <v>13.700000000000003</v>
      </c>
      <c r="DF239" s="401">
        <f t="shared" si="766"/>
        <v>52.999999999999908</v>
      </c>
      <c r="DG239" s="401">
        <f t="shared" si="766"/>
        <v>42.500000000000071</v>
      </c>
      <c r="DH239" s="401">
        <f t="shared" si="766"/>
        <v>5.7999999999999545</v>
      </c>
      <c r="DI239" s="401">
        <f t="shared" si="766"/>
        <v>68.200000000000045</v>
      </c>
      <c r="DJ239" s="401">
        <f t="shared" si="766"/>
        <v>26.499999999999954</v>
      </c>
      <c r="DK239" s="401">
        <f t="shared" si="766"/>
        <v>-6.6999999999999602</v>
      </c>
      <c r="DL239" s="401">
        <f t="shared" si="766"/>
        <v>85.999999999999886</v>
      </c>
      <c r="DM239" s="401">
        <f t="shared" si="766"/>
        <v>-225.29999999999981</v>
      </c>
      <c r="DN239" s="401">
        <f t="shared" si="766"/>
        <v>-323.70000000000016</v>
      </c>
      <c r="DO239" s="401">
        <f t="shared" si="766"/>
        <v>164.30000000000007</v>
      </c>
      <c r="DP239" s="401">
        <f t="shared" si="766"/>
        <v>-195.49999999999994</v>
      </c>
      <c r="DQ239" s="401">
        <f t="shared" si="766"/>
        <v>-114.5</v>
      </c>
      <c r="DR239" s="401">
        <f t="shared" si="766"/>
        <v>-328.90000000000009</v>
      </c>
      <c r="DS239" s="401">
        <f t="shared" si="766"/>
        <v>-228.59999999999991</v>
      </c>
      <c r="DT239" s="401">
        <f t="shared" si="766"/>
        <v>-66.600000000000136</v>
      </c>
      <c r="DU239" s="401">
        <f>+DU95-DT95+DU99-DT99+DU94-DT94</f>
        <v>0</v>
      </c>
      <c r="DV239" s="401">
        <f t="shared" si="766"/>
        <v>0</v>
      </c>
      <c r="DW239" s="401">
        <f t="shared" si="766"/>
        <v>0</v>
      </c>
      <c r="DX239" s="401">
        <f t="shared" ref="DX239" si="767">+DX95-DW95+DX99-DW99+DX94-DW94</f>
        <v>0</v>
      </c>
      <c r="DY239" s="401">
        <f t="shared" ref="DY239" si="768">+DY95-DX95+DY99-DX99+DY94-DX94</f>
        <v>0</v>
      </c>
      <c r="DZ239" s="401">
        <f t="shared" ref="DZ239" si="769">+DZ95-DY95+DZ99-DY99+DZ94-DY94</f>
        <v>0</v>
      </c>
      <c r="EA239" s="426"/>
      <c r="EB239"/>
      <c r="EC239"/>
      <c r="ED239"/>
      <c r="EE239"/>
      <c r="EF239"/>
      <c r="EG239"/>
    </row>
    <row r="240" spans="1:137" s="410" customFormat="1" hidden="1" outlineLevel="1">
      <c r="A240" s="400"/>
      <c r="B240" s="574" t="s">
        <v>393</v>
      </c>
      <c r="C240" s="658"/>
      <c r="D240" s="486"/>
      <c r="E240" s="401"/>
      <c r="F240" s="401"/>
      <c r="G240" s="487"/>
      <c r="H240" s="401"/>
      <c r="I240" s="401"/>
      <c r="J240" s="401"/>
      <c r="K240" s="487"/>
      <c r="L240" s="401"/>
      <c r="M240" s="401"/>
      <c r="N240" s="401"/>
      <c r="O240" s="487"/>
      <c r="P240" s="401"/>
      <c r="Q240" s="401"/>
      <c r="R240" s="401"/>
      <c r="S240" s="487"/>
      <c r="T240" s="401"/>
      <c r="U240" s="401"/>
      <c r="V240" s="401"/>
      <c r="W240" s="487"/>
      <c r="X240" s="401">
        <f t="shared" ref="X240:BC240" si="770">X38</f>
        <v>213.47200000000001</v>
      </c>
      <c r="Y240" s="401">
        <f t="shared" si="770"/>
        <v>211.464</v>
      </c>
      <c r="Z240" s="401">
        <f t="shared" si="770"/>
        <v>209.68</v>
      </c>
      <c r="AA240" s="487">
        <f t="shared" si="770"/>
        <v>209.89599999999996</v>
      </c>
      <c r="AB240" s="401">
        <f t="shared" si="770"/>
        <v>210.048</v>
      </c>
      <c r="AC240" s="401">
        <f t="shared" si="770"/>
        <v>210.47200000000001</v>
      </c>
      <c r="AD240" s="401">
        <f t="shared" si="770"/>
        <v>210.72</v>
      </c>
      <c r="AE240" s="487">
        <f t="shared" si="770"/>
        <v>210.84</v>
      </c>
      <c r="AF240" s="401">
        <f t="shared" si="770"/>
        <v>211.88800000000001</v>
      </c>
      <c r="AG240" s="401">
        <f t="shared" si="770"/>
        <v>212.94399999999999</v>
      </c>
      <c r="AH240" s="401">
        <f t="shared" si="770"/>
        <v>214.048</v>
      </c>
      <c r="AI240" s="487">
        <f t="shared" si="770"/>
        <v>213.12</v>
      </c>
      <c r="AJ240" s="401">
        <f t="shared" si="770"/>
        <v>213.17599999999999</v>
      </c>
      <c r="AK240" s="401">
        <f t="shared" si="770"/>
        <v>214.68</v>
      </c>
      <c r="AL240" s="401">
        <f t="shared" si="770"/>
        <v>217.976</v>
      </c>
      <c r="AM240" s="487">
        <f t="shared" si="770"/>
        <v>220.024</v>
      </c>
      <c r="AN240" s="401">
        <f t="shared" si="770"/>
        <v>221.77600000000001</v>
      </c>
      <c r="AO240" s="401">
        <f t="shared" si="770"/>
        <v>223.06399999999999</v>
      </c>
      <c r="AP240" s="401">
        <f t="shared" si="770"/>
        <v>224.1</v>
      </c>
      <c r="AQ240" s="487">
        <f t="shared" si="770"/>
        <v>225.012</v>
      </c>
      <c r="AR240" s="401">
        <f t="shared" si="770"/>
        <v>225.70400000000001</v>
      </c>
      <c r="AS240" s="401">
        <f t="shared" si="770"/>
        <v>226.024</v>
      </c>
      <c r="AT240" s="401">
        <f t="shared" si="770"/>
        <v>227.244</v>
      </c>
      <c r="AU240" s="487">
        <f t="shared" si="770"/>
        <v>228.35599999999999</v>
      </c>
      <c r="AV240" s="401">
        <f t="shared" si="770"/>
        <v>228.72399999999999</v>
      </c>
      <c r="AW240" s="401">
        <f t="shared" si="770"/>
        <v>229.31200000000001</v>
      </c>
      <c r="AX240" s="401">
        <f t="shared" si="770"/>
        <v>229.83600000000001</v>
      </c>
      <c r="AY240" s="487">
        <f t="shared" si="770"/>
        <v>229.61199999999999</v>
      </c>
      <c r="AZ240" s="401">
        <f t="shared" si="770"/>
        <v>231.66399999999999</v>
      </c>
      <c r="BA240" s="401">
        <f t="shared" si="770"/>
        <v>232.2</v>
      </c>
      <c r="BB240" s="401">
        <f t="shared" si="770"/>
        <v>231.99600000000001</v>
      </c>
      <c r="BC240" s="487">
        <f t="shared" si="770"/>
        <v>232.15600000000001</v>
      </c>
      <c r="BD240" s="401">
        <f t="shared" ref="BD240:CI240" si="771">BD38</f>
        <v>232.494</v>
      </c>
      <c r="BE240" s="401">
        <f t="shared" si="771"/>
        <v>232.5</v>
      </c>
      <c r="BF240" s="401">
        <f t="shared" si="771"/>
        <v>231.99799999999999</v>
      </c>
      <c r="BG240" s="487">
        <f t="shared" si="771"/>
        <v>231.2</v>
      </c>
      <c r="BH240" s="401">
        <f t="shared" si="771"/>
        <v>232.05799999999999</v>
      </c>
      <c r="BI240" s="401">
        <f t="shared" si="771"/>
        <v>233.12799999999999</v>
      </c>
      <c r="BJ240" s="401">
        <f t="shared" si="771"/>
        <v>233.458</v>
      </c>
      <c r="BK240" s="487">
        <f t="shared" si="771"/>
        <v>233.5320000000001</v>
      </c>
      <c r="BL240" s="401">
        <f t="shared" si="771"/>
        <v>232.75</v>
      </c>
      <c r="BM240" s="401">
        <f t="shared" si="771"/>
        <v>230.72399999999999</v>
      </c>
      <c r="BN240" s="401">
        <f t="shared" si="771"/>
        <v>225.51400000000001</v>
      </c>
      <c r="BO240" s="487">
        <f t="shared" si="771"/>
        <v>224.25200000000001</v>
      </c>
      <c r="BP240" s="401">
        <f t="shared" si="771"/>
        <v>221.268</v>
      </c>
      <c r="BQ240" s="401">
        <f t="shared" si="771"/>
        <v>217.52199999999999</v>
      </c>
      <c r="BR240" s="401">
        <f t="shared" si="771"/>
        <v>217.55799999999999</v>
      </c>
      <c r="BS240" s="487">
        <f t="shared" si="771"/>
        <v>217.48400000000001</v>
      </c>
      <c r="BT240" s="401">
        <f t="shared" si="771"/>
        <v>218.458</v>
      </c>
      <c r="BU240" s="401">
        <f t="shared" si="771"/>
        <v>218.458</v>
      </c>
      <c r="BV240" s="401">
        <f t="shared" si="771"/>
        <v>218.458</v>
      </c>
      <c r="BW240" s="487">
        <f t="shared" si="771"/>
        <v>218.458</v>
      </c>
      <c r="BX240" s="401">
        <f t="shared" si="771"/>
        <v>233.2</v>
      </c>
      <c r="BY240" s="401">
        <f t="shared" si="771"/>
        <v>232.2</v>
      </c>
      <c r="BZ240" s="401">
        <f t="shared" si="771"/>
        <v>230.4</v>
      </c>
      <c r="CA240" s="487">
        <f t="shared" si="771"/>
        <v>229.5</v>
      </c>
      <c r="CB240" s="401">
        <f t="shared" si="771"/>
        <v>229.3</v>
      </c>
      <c r="CC240" s="401">
        <f t="shared" si="771"/>
        <v>229.67</v>
      </c>
      <c r="CD240" s="401">
        <f t="shared" si="771"/>
        <v>228.7</v>
      </c>
      <c r="CE240" s="487">
        <f t="shared" si="771"/>
        <v>228</v>
      </c>
      <c r="CF240" s="401">
        <f t="shared" si="771"/>
        <v>227.1</v>
      </c>
      <c r="CG240" s="401">
        <f t="shared" si="771"/>
        <v>226.61500000000001</v>
      </c>
      <c r="CH240" s="401">
        <f t="shared" si="771"/>
        <v>225.99100000000001</v>
      </c>
      <c r="CI240" s="487">
        <f t="shared" si="771"/>
        <v>222.9</v>
      </c>
      <c r="CJ240" s="401">
        <f t="shared" ref="CJ240:CU240" si="772">CJ38</f>
        <v>218.1</v>
      </c>
      <c r="CK240" s="401">
        <f t="shared" si="772"/>
        <v>216.66300000000001</v>
      </c>
      <c r="CL240" s="401">
        <f t="shared" si="772"/>
        <v>213.76599999999999</v>
      </c>
      <c r="CM240" s="487">
        <f t="shared" si="772"/>
        <v>211.5</v>
      </c>
      <c r="CN240" s="401">
        <f t="shared" si="772"/>
        <v>212.23599999999999</v>
      </c>
      <c r="CO240" s="401">
        <f t="shared" si="772"/>
        <v>211.47800000000001</v>
      </c>
      <c r="CP240" s="401">
        <f t="shared" si="772"/>
        <v>211.01300000000001</v>
      </c>
      <c r="CQ240" s="487">
        <f t="shared" ref="CQ240" si="773">CQ38</f>
        <v>209.7</v>
      </c>
      <c r="CR240" s="401">
        <f t="shared" si="772"/>
        <v>209.46833262718502</v>
      </c>
      <c r="CS240" s="401">
        <f t="shared" si="772"/>
        <v>209.0112333217771</v>
      </c>
      <c r="CT240" s="401">
        <f t="shared" si="772"/>
        <v>208.56643706690133</v>
      </c>
      <c r="CU240" s="487">
        <f t="shared" si="772"/>
        <v>208.13361271995782</v>
      </c>
      <c r="CV240" s="598"/>
      <c r="CW240" s="401"/>
      <c r="CX240" s="401"/>
      <c r="CY240" s="401"/>
      <c r="CZ240" s="401"/>
      <c r="DA240" s="407"/>
      <c r="DB240" s="401"/>
      <c r="DC240" s="401">
        <f t="shared" ref="DC240:DZ240" si="774">DC38</f>
        <v>211.12799999999999</v>
      </c>
      <c r="DD240" s="401">
        <f t="shared" si="774"/>
        <v>210.52</v>
      </c>
      <c r="DE240" s="401">
        <f t="shared" si="774"/>
        <v>213</v>
      </c>
      <c r="DF240" s="401">
        <f t="shared" si="774"/>
        <v>216.464</v>
      </c>
      <c r="DG240" s="401">
        <f t="shared" si="774"/>
        <v>223.488</v>
      </c>
      <c r="DH240" s="401">
        <f t="shared" si="774"/>
        <v>226.83199999999999</v>
      </c>
      <c r="DI240" s="401">
        <f t="shared" si="774"/>
        <v>229.37100000000001</v>
      </c>
      <c r="DJ240" s="401">
        <f t="shared" si="774"/>
        <v>232.00400000000002</v>
      </c>
      <c r="DK240" s="401">
        <f t="shared" si="774"/>
        <v>232.048</v>
      </c>
      <c r="DL240" s="401">
        <f t="shared" si="774"/>
        <v>233.04400000000004</v>
      </c>
      <c r="DM240" s="401">
        <f t="shared" si="774"/>
        <v>228.31</v>
      </c>
      <c r="DN240" s="401">
        <f t="shared" si="774"/>
        <v>218.458</v>
      </c>
      <c r="DO240" s="401">
        <f t="shared" si="774"/>
        <v>218.458</v>
      </c>
      <c r="DP240" s="401">
        <f t="shared" si="774"/>
        <v>231.32499999999999</v>
      </c>
      <c r="DQ240" s="401">
        <f t="shared" si="774"/>
        <v>228.91750000000002</v>
      </c>
      <c r="DR240" s="401">
        <f t="shared" si="774"/>
        <v>225.6515</v>
      </c>
      <c r="DS240" s="401">
        <f t="shared" si="774"/>
        <v>215.00725</v>
      </c>
      <c r="DT240" s="401">
        <f t="shared" si="774"/>
        <v>211.10674999999998</v>
      </c>
      <c r="DU240" s="401">
        <f t="shared" si="774"/>
        <v>208.79490393395531</v>
      </c>
      <c r="DV240" s="401">
        <f t="shared" si="774"/>
        <v>208.79490393395531</v>
      </c>
      <c r="DW240" s="401">
        <f t="shared" si="774"/>
        <v>208.79490393395531</v>
      </c>
      <c r="DX240" s="401">
        <f t="shared" si="774"/>
        <v>208.79490393395531</v>
      </c>
      <c r="DY240" s="401">
        <f t="shared" si="774"/>
        <v>208.79490393395531</v>
      </c>
      <c r="DZ240" s="401">
        <f t="shared" si="774"/>
        <v>208.79490393395531</v>
      </c>
      <c r="EA240" s="426"/>
      <c r="EB240"/>
      <c r="EC240"/>
      <c r="ED240"/>
      <c r="EE240"/>
      <c r="EF240"/>
      <c r="EG240"/>
    </row>
    <row r="241" spans="1:137" s="410" customFormat="1" hidden="1" outlineLevel="1">
      <c r="A241" s="400"/>
      <c r="B241" s="401" t="s">
        <v>394</v>
      </c>
      <c r="C241" s="658"/>
      <c r="D241" s="486"/>
      <c r="E241" s="401"/>
      <c r="F241" s="401"/>
      <c r="G241" s="487"/>
      <c r="H241" s="401"/>
      <c r="I241" s="401"/>
      <c r="J241" s="401"/>
      <c r="K241" s="487"/>
      <c r="L241" s="401"/>
      <c r="M241" s="401"/>
      <c r="N241" s="401"/>
      <c r="O241" s="487"/>
      <c r="P241" s="401"/>
      <c r="Q241" s="401"/>
      <c r="R241" s="401"/>
      <c r="S241" s="487"/>
      <c r="T241" s="401"/>
      <c r="U241" s="401"/>
      <c r="V241" s="401"/>
      <c r="W241" s="487"/>
      <c r="X241" s="401">
        <f>X98-DB98+(X96-(DB96+X34+X238))</f>
        <v>-14.800000000000047</v>
      </c>
      <c r="Y241" s="401">
        <f>Y98-X98+(Y96-(X96+Y34+Y238))</f>
        <v>-11.09999999999992</v>
      </c>
      <c r="Z241" s="401">
        <f>Z98-Y98+(Z96-(Y96+Z34+Z238))</f>
        <v>-16.199999999999989</v>
      </c>
      <c r="AA241" s="487">
        <f>AA98-Z98+(AA96-(Z96+AA34+AA238))</f>
        <v>-3.9404999999999859</v>
      </c>
      <c r="AB241" s="401">
        <f>AB98-DC98+(AB96-(DC96+AB34+AB238))</f>
        <v>-6.9999999999998863</v>
      </c>
      <c r="AC241" s="401">
        <f>AC98-AB98+(AC96-(AB96+AC34+AC238))</f>
        <v>-17.399999999999977</v>
      </c>
      <c r="AD241" s="401">
        <f>AD98-AC98+(AD96-(AC96+AD34+AD238))</f>
        <v>4</v>
      </c>
      <c r="AE241" s="487">
        <f>AE98-AD98+(AE96-(AD96+AE34+AE238))</f>
        <v>-34.999999999999979</v>
      </c>
      <c r="AF241" s="401">
        <f>AF98-DD98+(AF96-(DD96+AF34+AF238))</f>
        <v>-26.09999999999993</v>
      </c>
      <c r="AG241" s="401">
        <f>AG98-AF98+(AG96-(AF96+AG34+AG238))</f>
        <v>33.300000000000075</v>
      </c>
      <c r="AH241" s="401">
        <f>AH98-AG98+(AH96-(AG96+AH34+AH238))</f>
        <v>5.300000000000022</v>
      </c>
      <c r="AI241" s="487">
        <f>AI98-AH98+(AI96-(AH96+AI34+AI238))</f>
        <v>-29.899999999999967</v>
      </c>
      <c r="AJ241" s="401">
        <f>AJ98-DE98+(AJ96-(DE96+AJ34+AJ238))</f>
        <v>-9.2000000000000099</v>
      </c>
      <c r="AK241" s="401">
        <f>AK98-AJ98+(AK96-(AJ96+AK34+AK238))</f>
        <v>47.199999999999932</v>
      </c>
      <c r="AL241" s="401">
        <f>AL98-AK98+(AL96-(AK96+AL34+AL238))</f>
        <v>-5.7000000000000339</v>
      </c>
      <c r="AM241" s="487">
        <f>AM98-AL98+(AM96-(AL96+AM34+AM238))</f>
        <v>16.800000000000136</v>
      </c>
      <c r="AN241" s="401">
        <f>AN98-DF98+(AN96-(DF96+AN34+AN238))</f>
        <v>4.4000000000000234</v>
      </c>
      <c r="AO241" s="401">
        <f>AO98-AN98+(AO96-(AN96+AO34+AO238))</f>
        <v>-19.100000000000296</v>
      </c>
      <c r="AP241" s="401">
        <f>AP98-AO98+(AP96-(AO96+AP34+AP238))</f>
        <v>12.600000000000136</v>
      </c>
      <c r="AQ241" s="487">
        <f>AQ98-AP98+(AQ96-(AP96+AQ34+AQ238))</f>
        <v>15.09999999999998</v>
      </c>
      <c r="AR241" s="401">
        <f>AR98-DG98+(AR96-(DG96+AR34+AR238))</f>
        <v>-39.09999999999998</v>
      </c>
      <c r="AS241" s="401">
        <f>AS98-AR98+(AS96-(AR96+AS34+AS238))</f>
        <v>-50.11649999999986</v>
      </c>
      <c r="AT241" s="401">
        <f>AT98-AS98+(AT96-(AS96+AT34+AT238))</f>
        <v>-0.30000000000031868</v>
      </c>
      <c r="AU241" s="487">
        <f>AU98-AT98+(AU96-(AT96+AU34+AU238))</f>
        <v>-45.900000000000091</v>
      </c>
      <c r="AV241" s="401">
        <f>AV98-DH98+(AV96-(DH96+AV34+AV238))</f>
        <v>-4.5000000000000213</v>
      </c>
      <c r="AW241" s="401">
        <f>AW98-AV98+(AW96-(AV96+AW34+AW238))</f>
        <v>31.899999999999949</v>
      </c>
      <c r="AX241" s="401">
        <f>AX98-AW98+(AX96-(AW96+AX34+AX238))</f>
        <v>-14.699999999999818</v>
      </c>
      <c r="AY241" s="487">
        <f>AY98-AX98+(AY96-(AX96+AY34+AY238))</f>
        <v>-61.300000000000267</v>
      </c>
      <c r="AZ241" s="401">
        <f>AZ98-DI98+(AZ96-(DI96+AZ34+AZ238))</f>
        <v>-6.3999999999998636</v>
      </c>
      <c r="BA241" s="401">
        <f>BA98-AZ98+(BA96-(AZ96+BA34+BA238))</f>
        <v>3.2000000000003617</v>
      </c>
      <c r="BB241" s="401">
        <f>BB98-BA98+(BB96-(BA96+BB34+BB238))</f>
        <v>86.400000000000134</v>
      </c>
      <c r="BC241" s="487">
        <f>BC98-BB98+(BC96-(BB96+BC34+BC238))</f>
        <v>47.5</v>
      </c>
      <c r="BD241" s="401">
        <f>BD98-DJ98+(BD96-(DJ96+BD34+BD238))</f>
        <v>70.999999999999858</v>
      </c>
      <c r="BE241" s="401">
        <f>BE98-BD98+(BE96-(BD96+BE34+BE238))</f>
        <v>-14.099999999999937</v>
      </c>
      <c r="BF241" s="401">
        <f>BF98-BE98+(BF96-(BE96+BF34+BF238))</f>
        <v>-191.10000000000019</v>
      </c>
      <c r="BG241" s="487">
        <f>BG98-BF98+(BG96-(BF96+BG34+BG238))</f>
        <v>-139.19999999999982</v>
      </c>
      <c r="BH241" s="401">
        <f>BH98-DK98+(BH96-(DK96+BH34+BH238))</f>
        <v>-15.000000000000085</v>
      </c>
      <c r="BI241" s="401">
        <f>BI98-BH98+(BI96-(BH96+BI34+BI238))</f>
        <v>52.899999999999956</v>
      </c>
      <c r="BJ241" s="401">
        <f>BJ98-BI98+(BJ96-(BI96+BJ34+BJ238))</f>
        <v>50.600000000000044</v>
      </c>
      <c r="BK241" s="487">
        <f>BK98-BJ98+(BK96-(BJ96+BK34+BK238))</f>
        <v>-22.199999999999818</v>
      </c>
      <c r="BL241" s="401">
        <f>BL98-DL98+(BL96-(DL96+BL34+BL238))</f>
        <v>-7.6067400000001726</v>
      </c>
      <c r="BM241" s="401">
        <f>BM98-BL98+(BM96-(BL96+BM34+BM238))</f>
        <v>-2.7999999999999545</v>
      </c>
      <c r="BN241" s="401">
        <f>BN98-BM98+(BN96-(BM96+BN34+BN238))</f>
        <v>-82.593260000000413</v>
      </c>
      <c r="BO241" s="487">
        <f>BO98-BN98+(BO96-(BN96+BO34+BO238))</f>
        <v>-19.300000000000047</v>
      </c>
      <c r="BP241" s="401">
        <f>BP98-DM98+(BP96-(DM96+BP34+BP238))</f>
        <v>79.699999999999875</v>
      </c>
      <c r="BQ241" s="401">
        <f>BQ98-BP98+(BQ96-(BP96+BQ34+BQ238))</f>
        <v>76.490000000000293</v>
      </c>
      <c r="BR241" s="401">
        <f>BR98-BQ98+(BR96-(BQ96+BR34+BR238))</f>
        <v>-0.90000000000009095</v>
      </c>
      <c r="BS241" s="487">
        <f>BS98-BR98+(BS96-(BR96+BS34+BS238))</f>
        <v>-226.70000000000002</v>
      </c>
      <c r="BT241" s="401">
        <f>BT98-DN98+(BT96-(DN96+BT34+BT238))</f>
        <v>107.09999999999991</v>
      </c>
      <c r="BU241" s="401">
        <f>BU98-BT98+(BU96-(BT96+BU34+BU238))</f>
        <v>-2.3949999999999818</v>
      </c>
      <c r="BV241" s="401">
        <f>BV98-BU98+(BV96-(BU96+BV34+BV238))</f>
        <v>-80.299999999999983</v>
      </c>
      <c r="BW241" s="487">
        <f>BW98-BV98+(BW96-(BV96+BW34+BW238))</f>
        <v>-17.192000000000192</v>
      </c>
      <c r="BX241" s="401">
        <f>BX98-DO98+(BX96-(DO96+BX34+BX238))</f>
        <v>-127.82799999999997</v>
      </c>
      <c r="BY241" s="401">
        <f>BY98-BX98+(BY96-(BX96+BY34+BY238))</f>
        <v>51.999999999999986</v>
      </c>
      <c r="BZ241" s="401">
        <f>BZ98-BY98+(BZ96-(BY96+BZ34+BZ238))</f>
        <v>53.407999999999731</v>
      </c>
      <c r="CA241" s="487">
        <f>CA98-BZ98+(CA96-(BZ96+CA34+CA238))</f>
        <v>-19.914999999999964</v>
      </c>
      <c r="CB241" s="401">
        <f>CB98-DP98+(CB96-(DP96+CB34+CB238))</f>
        <v>-89.409000000000376</v>
      </c>
      <c r="CC241" s="401">
        <f>CC98-CB98+(CC96-(CB96+CC34+CC238))</f>
        <v>-72.380199999999874</v>
      </c>
      <c r="CD241" s="401">
        <f>CD98-CC98+(CD96-(CC96+CD34+CD238))</f>
        <v>-255.0130000000002</v>
      </c>
      <c r="CE241" s="487">
        <f>CE98-CD98+(CE96-(CD96+CE34+CE238))</f>
        <v>-273.9200000000003</v>
      </c>
      <c r="CF241" s="401">
        <f>CF98-DQ98+(CF96-(DQ96+CF34+CF238))</f>
        <v>-291.12900000000013</v>
      </c>
      <c r="CG241" s="401">
        <f>CG98-CF98+(CG96-(CF96+CG34+CG238))</f>
        <v>-3.3661499999999478</v>
      </c>
      <c r="CH241" s="401">
        <f>CH98-CG98+(CH96-(CG96+CH34+CH238))</f>
        <v>-104.28017999999997</v>
      </c>
      <c r="CI241" s="487">
        <f>CI98-CH98+(CI96-(CH96+CI34+CI238))</f>
        <v>-139.03899999999976</v>
      </c>
      <c r="CJ241" s="401">
        <f>CJ98-DR98+(CJ96-(DR96+CJ34+CJ238))</f>
        <v>-62.818999999999505</v>
      </c>
      <c r="CK241" s="401">
        <f>CK98-CJ98+(CK96-(CJ96+CK34+CK238))</f>
        <v>-60.700000000000273</v>
      </c>
      <c r="CL241" s="401">
        <f>CL98-CK98+(CL96-(CK96+CL34+CL238))</f>
        <v>-115.33509999999956</v>
      </c>
      <c r="CM241" s="487">
        <f>CM98-CL98+(CM96-(CL96+CM34+CM238))</f>
        <v>-683.29500000000064</v>
      </c>
      <c r="CN241" s="401">
        <f>CN98-DS98+(CN96-(DS96+CN34+CN238))</f>
        <v>-15.744720000000257</v>
      </c>
      <c r="CO241" s="401">
        <f t="shared" ref="CO241:CU241" si="775">CO98-CN98+(CO96-(CN96+CO34+CO238))</f>
        <v>17.459120000001235</v>
      </c>
      <c r="CP241" s="401">
        <f t="shared" si="775"/>
        <v>-14.169609999999807</v>
      </c>
      <c r="CQ241" s="487">
        <f t="shared" si="775"/>
        <v>-369.14000000000033</v>
      </c>
      <c r="CR241" s="401">
        <f t="shared" si="775"/>
        <v>-83.651133135612326</v>
      </c>
      <c r="CS241" s="401">
        <f t="shared" si="775"/>
        <v>-83.523145330098487</v>
      </c>
      <c r="CT241" s="401">
        <f t="shared" si="775"/>
        <v>-83.398602378732903</v>
      </c>
      <c r="CU241" s="487">
        <f t="shared" si="775"/>
        <v>-83.277411561588451</v>
      </c>
      <c r="CV241" s="598"/>
      <c r="CW241" s="401"/>
      <c r="CX241" s="401"/>
      <c r="CY241" s="401"/>
      <c r="CZ241" s="401"/>
      <c r="DA241" s="401"/>
      <c r="DB241" s="401"/>
      <c r="DC241" s="401">
        <f t="shared" ref="DC241:DZ241" si="776">DC98-DB98+(DC96-(DB96+DC34+DC238))</f>
        <v>-46.040499999999426</v>
      </c>
      <c r="DD241" s="401">
        <f t="shared" si="776"/>
        <v>-55.399999999999842</v>
      </c>
      <c r="DE241" s="401">
        <f t="shared" si="776"/>
        <v>-17.399999999999828</v>
      </c>
      <c r="DF241" s="401">
        <f t="shared" si="776"/>
        <v>49.100000000000534</v>
      </c>
      <c r="DG241" s="401">
        <f t="shared" si="776"/>
        <v>13.000000000000298</v>
      </c>
      <c r="DH241" s="401">
        <f t="shared" si="776"/>
        <v>-135.41650000000058</v>
      </c>
      <c r="DI241" s="401">
        <f t="shared" si="776"/>
        <v>-48.599999999999589</v>
      </c>
      <c r="DJ241" s="401">
        <f t="shared" si="776"/>
        <v>130.70000000000061</v>
      </c>
      <c r="DK241" s="401">
        <f t="shared" si="776"/>
        <v>-273.39999999999941</v>
      </c>
      <c r="DL241" s="401">
        <f t="shared" si="776"/>
        <v>66.299999999999642</v>
      </c>
      <c r="DM241" s="401">
        <f t="shared" si="776"/>
        <v>-112.29999999999923</v>
      </c>
      <c r="DN241" s="401">
        <f t="shared" si="776"/>
        <v>-71.409999999999499</v>
      </c>
      <c r="DO241" s="401">
        <f t="shared" si="776"/>
        <v>7.212999999998388</v>
      </c>
      <c r="DP241" s="401">
        <f t="shared" si="776"/>
        <v>-51.335000000000676</v>
      </c>
      <c r="DQ241" s="401">
        <f t="shared" si="776"/>
        <v>-690.72219999999982</v>
      </c>
      <c r="DR241" s="401">
        <f t="shared" si="776"/>
        <v>-537.81432999999981</v>
      </c>
      <c r="DS241" s="401">
        <f t="shared" si="776"/>
        <v>-922.14910000000089</v>
      </c>
      <c r="DT241" s="401">
        <f t="shared" si="776"/>
        <v>-381.59520999999825</v>
      </c>
      <c r="DU241" s="401">
        <f t="shared" si="776"/>
        <v>-333.85029240603399</v>
      </c>
      <c r="DV241" s="401">
        <f t="shared" si="776"/>
        <v>-233.85029240603035</v>
      </c>
      <c r="DW241" s="401">
        <f t="shared" si="776"/>
        <v>-233.85029240603035</v>
      </c>
      <c r="DX241" s="401">
        <f t="shared" si="776"/>
        <v>-233.85029240603035</v>
      </c>
      <c r="DY241" s="401">
        <f t="shared" si="776"/>
        <v>-233.85029240603035</v>
      </c>
      <c r="DZ241" s="401">
        <f t="shared" si="776"/>
        <v>-233.85029240603035</v>
      </c>
      <c r="EA241" s="426"/>
      <c r="EB241"/>
      <c r="EC241"/>
      <c r="ED241"/>
      <c r="EE241"/>
      <c r="EF241"/>
      <c r="EG241"/>
    </row>
    <row r="242" spans="1:137" s="410" customFormat="1" hidden="1" outlineLevel="1">
      <c r="A242" s="400"/>
      <c r="B242" s="401" t="s">
        <v>121</v>
      </c>
      <c r="C242" s="658"/>
      <c r="D242" s="486"/>
      <c r="E242" s="401"/>
      <c r="F242" s="401"/>
      <c r="G242" s="487"/>
      <c r="H242" s="401"/>
      <c r="I242" s="401"/>
      <c r="J242" s="401"/>
      <c r="K242" s="487"/>
      <c r="L242" s="401"/>
      <c r="M242" s="401"/>
      <c r="N242" s="401"/>
      <c r="O242" s="487"/>
      <c r="P242" s="401"/>
      <c r="Q242" s="401"/>
      <c r="R242" s="401"/>
      <c r="S242" s="487"/>
      <c r="T242" s="401"/>
      <c r="U242" s="401"/>
      <c r="V242" s="401"/>
      <c r="W242" s="487"/>
      <c r="X242" s="401">
        <f t="shared" ref="X242:BC242" si="777">X30+X31-X32</f>
        <v>54.970000000000041</v>
      </c>
      <c r="Y242" s="401">
        <f t="shared" si="777"/>
        <v>53.688999999999922</v>
      </c>
      <c r="Z242" s="401">
        <f t="shared" si="777"/>
        <v>58.216000000000022</v>
      </c>
      <c r="AA242" s="487">
        <f t="shared" si="777"/>
        <v>59.756499999999988</v>
      </c>
      <c r="AB242" s="401">
        <f t="shared" si="777"/>
        <v>34.879999999999924</v>
      </c>
      <c r="AC242" s="401">
        <f t="shared" si="777"/>
        <v>38.089999999999982</v>
      </c>
      <c r="AD242" s="401">
        <f t="shared" si="777"/>
        <v>31.919999999999966</v>
      </c>
      <c r="AE242" s="487">
        <f t="shared" si="777"/>
        <v>54.009999999999941</v>
      </c>
      <c r="AF242" s="401">
        <f t="shared" si="777"/>
        <v>300.5</v>
      </c>
      <c r="AG242" s="401">
        <f t="shared" si="777"/>
        <v>45.699999999999939</v>
      </c>
      <c r="AH242" s="401">
        <f t="shared" si="777"/>
        <v>31.899999999999984</v>
      </c>
      <c r="AI242" s="487">
        <f t="shared" si="777"/>
        <v>40.799999999999969</v>
      </c>
      <c r="AJ242" s="401">
        <f t="shared" si="777"/>
        <v>44.20000000000001</v>
      </c>
      <c r="AK242" s="401">
        <f t="shared" si="777"/>
        <v>44.800000000000054</v>
      </c>
      <c r="AL242" s="401">
        <f t="shared" si="777"/>
        <v>35.900000000000063</v>
      </c>
      <c r="AM242" s="487">
        <f t="shared" si="777"/>
        <v>49.999999999999908</v>
      </c>
      <c r="AN242" s="401">
        <f t="shared" si="777"/>
        <v>51.10000000000003</v>
      </c>
      <c r="AO242" s="401">
        <f t="shared" si="777"/>
        <v>54.700000000000081</v>
      </c>
      <c r="AP242" s="401">
        <f t="shared" si="777"/>
        <v>44.799999999999905</v>
      </c>
      <c r="AQ242" s="487">
        <f t="shared" si="777"/>
        <v>44.900000000000041</v>
      </c>
      <c r="AR242" s="401">
        <f t="shared" si="777"/>
        <v>33.800000000000047</v>
      </c>
      <c r="AS242" s="401">
        <f t="shared" si="777"/>
        <v>93.183500000000123</v>
      </c>
      <c r="AT242" s="401">
        <f t="shared" si="777"/>
        <v>52.200000000000053</v>
      </c>
      <c r="AU242" s="487">
        <f t="shared" si="777"/>
        <v>74.986000000000018</v>
      </c>
      <c r="AV242" s="401">
        <f t="shared" si="777"/>
        <v>61.30000000000009</v>
      </c>
      <c r="AW242" s="401">
        <f t="shared" si="777"/>
        <v>70.200000000000017</v>
      </c>
      <c r="AX242" s="401">
        <f t="shared" si="777"/>
        <v>48.967999999999961</v>
      </c>
      <c r="AY242" s="487">
        <f t="shared" si="777"/>
        <v>74.598000000000042</v>
      </c>
      <c r="AZ242" s="401">
        <f t="shared" si="777"/>
        <v>78.323999999999856</v>
      </c>
      <c r="BA242" s="401">
        <f t="shared" si="777"/>
        <v>75.699999999999918</v>
      </c>
      <c r="BB242" s="401">
        <f t="shared" si="777"/>
        <v>50.159999999999826</v>
      </c>
      <c r="BC242" s="487">
        <f t="shared" si="777"/>
        <v>102.60000000000005</v>
      </c>
      <c r="BD242" s="401">
        <f t="shared" ref="BD242:CI242" si="778">BD30+BD31-BD32</f>
        <v>88.700000000000017</v>
      </c>
      <c r="BE242" s="401">
        <f t="shared" si="778"/>
        <v>97.099999999999923</v>
      </c>
      <c r="BF242" s="401">
        <f t="shared" si="778"/>
        <v>232.51688000000047</v>
      </c>
      <c r="BG242" s="487">
        <f t="shared" si="778"/>
        <v>80.439999999999969</v>
      </c>
      <c r="BH242" s="401">
        <f t="shared" si="778"/>
        <v>-6.9999999999999734</v>
      </c>
      <c r="BI242" s="401">
        <f t="shared" si="778"/>
        <v>22.38200000000008</v>
      </c>
      <c r="BJ242" s="401">
        <f t="shared" si="778"/>
        <v>17.19999999999995</v>
      </c>
      <c r="BK242" s="487">
        <f t="shared" si="778"/>
        <v>45.639919999999933</v>
      </c>
      <c r="BL242" s="401">
        <f t="shared" si="778"/>
        <v>81.386519999999976</v>
      </c>
      <c r="BM242" s="401">
        <f t="shared" si="778"/>
        <v>95.800000000000068</v>
      </c>
      <c r="BN242" s="401">
        <f t="shared" si="778"/>
        <v>64.300000000000196</v>
      </c>
      <c r="BO242" s="487">
        <f t="shared" si="778"/>
        <v>111.70000000000013</v>
      </c>
      <c r="BP242" s="401">
        <f t="shared" si="778"/>
        <v>124.50000000000017</v>
      </c>
      <c r="BQ242" s="401">
        <f t="shared" si="778"/>
        <v>162.1999999999999</v>
      </c>
      <c r="BR242" s="401">
        <f t="shared" si="778"/>
        <v>141.59999999999997</v>
      </c>
      <c r="BS242" s="487">
        <f t="shared" si="778"/>
        <v>170.4</v>
      </c>
      <c r="BT242" s="401">
        <f t="shared" si="778"/>
        <v>157.99999999999997</v>
      </c>
      <c r="BU242" s="401">
        <f t="shared" si="778"/>
        <v>208.07500000000007</v>
      </c>
      <c r="BV242" s="401">
        <f t="shared" si="778"/>
        <v>101.10000000000004</v>
      </c>
      <c r="BW242" s="487">
        <f t="shared" si="778"/>
        <v>137.69199999999984</v>
      </c>
      <c r="BX242" s="401">
        <f t="shared" si="778"/>
        <v>151.32800000000003</v>
      </c>
      <c r="BY242" s="401">
        <f t="shared" si="778"/>
        <v>174.10000000000014</v>
      </c>
      <c r="BZ242" s="401">
        <f t="shared" si="778"/>
        <v>162.19200000000012</v>
      </c>
      <c r="CA242" s="487">
        <f t="shared" si="778"/>
        <v>180.41500000000016</v>
      </c>
      <c r="CB242" s="401">
        <f t="shared" si="778"/>
        <v>188.90899999999996</v>
      </c>
      <c r="CC242" s="401">
        <f t="shared" si="778"/>
        <v>203.98019999999991</v>
      </c>
      <c r="CD242" s="401">
        <f t="shared" si="778"/>
        <v>180.31299999999996</v>
      </c>
      <c r="CE242" s="487">
        <f t="shared" si="778"/>
        <v>171.52000000000015</v>
      </c>
      <c r="CF242" s="401">
        <f t="shared" si="778"/>
        <v>177.92900000000003</v>
      </c>
      <c r="CG242" s="401">
        <f t="shared" si="778"/>
        <v>170.26615000000004</v>
      </c>
      <c r="CH242" s="401">
        <f t="shared" si="778"/>
        <v>166.08018000000004</v>
      </c>
      <c r="CI242" s="487">
        <f t="shared" si="778"/>
        <v>173.23899999999986</v>
      </c>
      <c r="CJ242" s="401">
        <f t="shared" ref="CJ242:CU242" si="779">CJ30+CJ31-CJ32</f>
        <v>174.11899999999997</v>
      </c>
      <c r="CK242" s="401">
        <f t="shared" si="779"/>
        <v>181.89999999999986</v>
      </c>
      <c r="CL242" s="401">
        <f t="shared" si="779"/>
        <v>166.23509999999993</v>
      </c>
      <c r="CM242" s="487">
        <f t="shared" si="779"/>
        <v>179.69500000000008</v>
      </c>
      <c r="CN242" s="401">
        <f t="shared" si="779"/>
        <v>193.44471999999996</v>
      </c>
      <c r="CO242" s="401">
        <f t="shared" si="779"/>
        <v>203.54087999999976</v>
      </c>
      <c r="CP242" s="401">
        <f t="shared" si="779"/>
        <v>200.96960999999976</v>
      </c>
      <c r="CQ242" s="487">
        <f t="shared" ref="CQ242" si="780">CQ30+CQ31-CQ32</f>
        <v>224.64</v>
      </c>
      <c r="CR242" s="401">
        <f t="shared" si="779"/>
        <v>225.36131810183346</v>
      </c>
      <c r="CS242" s="401">
        <f t="shared" si="779"/>
        <v>235.54053940822479</v>
      </c>
      <c r="CT242" s="401">
        <f t="shared" si="779"/>
        <v>217.62806140139068</v>
      </c>
      <c r="CU242" s="487">
        <f t="shared" si="779"/>
        <v>242.45878152710981</v>
      </c>
      <c r="CV242" s="598"/>
      <c r="CW242" s="401"/>
      <c r="CX242" s="401"/>
      <c r="CY242" s="401"/>
      <c r="CZ242" s="401"/>
      <c r="DA242" s="401"/>
      <c r="DB242" s="401"/>
      <c r="DC242" s="401">
        <f t="shared" ref="DC242:DZ242" si="781">DC30+DC31-DC32</f>
        <v>226.63149999999945</v>
      </c>
      <c r="DD242" s="401">
        <f t="shared" si="781"/>
        <v>158.89999999999981</v>
      </c>
      <c r="DE242" s="401">
        <f t="shared" si="781"/>
        <v>418.89999999999986</v>
      </c>
      <c r="DF242" s="401">
        <f t="shared" si="781"/>
        <v>174.89999999999949</v>
      </c>
      <c r="DG242" s="401">
        <f t="shared" si="781"/>
        <v>195.49999999999972</v>
      </c>
      <c r="DH242" s="401">
        <f t="shared" si="781"/>
        <v>254.16950000000054</v>
      </c>
      <c r="DI242" s="401">
        <f t="shared" si="781"/>
        <v>255.06599999999969</v>
      </c>
      <c r="DJ242" s="401">
        <f t="shared" si="781"/>
        <v>306.78399999999965</v>
      </c>
      <c r="DK242" s="401">
        <f t="shared" si="781"/>
        <v>498.75687999999985</v>
      </c>
      <c r="DL242" s="401">
        <f t="shared" si="781"/>
        <v>78.221920000000495</v>
      </c>
      <c r="DM242" s="401">
        <f t="shared" si="781"/>
        <v>353.18651999999929</v>
      </c>
      <c r="DN242" s="401">
        <f t="shared" si="781"/>
        <v>598.6999999999997</v>
      </c>
      <c r="DO242" s="401">
        <f t="shared" si="781"/>
        <v>604.86700000000144</v>
      </c>
      <c r="DP242" s="401">
        <f t="shared" si="781"/>
        <v>668.03500000000088</v>
      </c>
      <c r="DQ242" s="401">
        <f t="shared" si="781"/>
        <v>744.72219999999948</v>
      </c>
      <c r="DR242" s="401">
        <f t="shared" si="781"/>
        <v>687.5143300000002</v>
      </c>
      <c r="DS242" s="401">
        <f t="shared" si="781"/>
        <v>701.94910000000061</v>
      </c>
      <c r="DT242" s="401">
        <f t="shared" si="781"/>
        <v>822.59520999999881</v>
      </c>
      <c r="DU242" s="401">
        <f t="shared" si="781"/>
        <v>920.9887004385605</v>
      </c>
      <c r="DV242" s="401">
        <f t="shared" si="781"/>
        <v>948.60597924422336</v>
      </c>
      <c r="DW242" s="401">
        <f t="shared" si="781"/>
        <v>967.87004316551736</v>
      </c>
      <c r="DX242" s="401">
        <f t="shared" si="781"/>
        <v>980.31300516602369</v>
      </c>
      <c r="DY242" s="401">
        <f t="shared" si="781"/>
        <v>978.26725134286562</v>
      </c>
      <c r="DZ242" s="401">
        <f t="shared" si="781"/>
        <v>959.92801074177441</v>
      </c>
      <c r="EA242" s="423"/>
      <c r="EB242"/>
      <c r="EC242"/>
      <c r="ED242"/>
      <c r="EE242"/>
      <c r="EF242"/>
      <c r="EG242"/>
    </row>
    <row r="243" spans="1:137" s="599" customFormat="1" hidden="1" outlineLevel="1">
      <c r="A243" s="593"/>
      <c r="B243" s="612" t="s">
        <v>395</v>
      </c>
      <c r="C243" s="915"/>
      <c r="D243" s="613"/>
      <c r="E243" s="594"/>
      <c r="F243" s="594"/>
      <c r="G243" s="614"/>
      <c r="H243" s="594"/>
      <c r="I243" s="594"/>
      <c r="J243" s="594"/>
      <c r="K243" s="614"/>
      <c r="L243" s="594"/>
      <c r="M243" s="594"/>
      <c r="N243" s="594"/>
      <c r="O243" s="614"/>
      <c r="P243" s="594"/>
      <c r="Q243" s="594"/>
      <c r="R243" s="594"/>
      <c r="S243" s="614"/>
      <c r="T243" s="594"/>
      <c r="U243" s="594"/>
      <c r="V243" s="594"/>
      <c r="W243" s="614"/>
      <c r="X243" s="745">
        <v>0.35</v>
      </c>
      <c r="Y243" s="745">
        <v>0.35</v>
      </c>
      <c r="Z243" s="745">
        <v>0.35</v>
      </c>
      <c r="AA243" s="746">
        <v>0.35</v>
      </c>
      <c r="AB243" s="745">
        <v>0.35</v>
      </c>
      <c r="AC243" s="745">
        <v>0.35</v>
      </c>
      <c r="AD243" s="745">
        <v>0.35</v>
      </c>
      <c r="AE243" s="746">
        <v>0.35</v>
      </c>
      <c r="AF243" s="745">
        <v>0.35</v>
      </c>
      <c r="AG243" s="745">
        <v>0.35</v>
      </c>
      <c r="AH243" s="745">
        <v>0.35</v>
      </c>
      <c r="AI243" s="746">
        <v>0.35</v>
      </c>
      <c r="AJ243" s="745">
        <v>0.35</v>
      </c>
      <c r="AK243" s="745">
        <v>0.35</v>
      </c>
      <c r="AL243" s="745">
        <v>0.35</v>
      </c>
      <c r="AM243" s="746">
        <v>0.35</v>
      </c>
      <c r="AN243" s="745">
        <v>0.35</v>
      </c>
      <c r="AO243" s="745">
        <v>0.35</v>
      </c>
      <c r="AP243" s="745">
        <v>0.35</v>
      </c>
      <c r="AQ243" s="746">
        <v>0.35</v>
      </c>
      <c r="AR243" s="745">
        <v>0.35</v>
      </c>
      <c r="AS243" s="745">
        <v>0.35</v>
      </c>
      <c r="AT243" s="745">
        <v>0.35</v>
      </c>
      <c r="AU243" s="746">
        <v>0.35</v>
      </c>
      <c r="AV243" s="745">
        <v>0.35</v>
      </c>
      <c r="AW243" s="745">
        <v>0.35</v>
      </c>
      <c r="AX243" s="745">
        <v>0.35</v>
      </c>
      <c r="AY243" s="746">
        <v>0.35</v>
      </c>
      <c r="AZ243" s="745">
        <v>0.35</v>
      </c>
      <c r="BA243" s="745">
        <v>0.35</v>
      </c>
      <c r="BB243" s="745">
        <v>0.35</v>
      </c>
      <c r="BC243" s="746">
        <v>0.35</v>
      </c>
      <c r="BD243" s="745">
        <v>0.35</v>
      </c>
      <c r="BE243" s="745">
        <v>0.35</v>
      </c>
      <c r="BF243" s="745">
        <v>0.35</v>
      </c>
      <c r="BG243" s="746">
        <v>0.35</v>
      </c>
      <c r="BH243" s="745">
        <v>0.35</v>
      </c>
      <c r="BI243" s="745">
        <v>0.35</v>
      </c>
      <c r="BJ243" s="745">
        <v>0.35</v>
      </c>
      <c r="BK243" s="746">
        <v>0.35</v>
      </c>
      <c r="BL243" s="745">
        <v>0.35</v>
      </c>
      <c r="BM243" s="745">
        <v>0.35</v>
      </c>
      <c r="BN243" s="745">
        <v>0.35</v>
      </c>
      <c r="BO243" s="746">
        <v>0.35</v>
      </c>
      <c r="BP243" s="745">
        <v>0.35</v>
      </c>
      <c r="BQ243" s="745">
        <v>0.35</v>
      </c>
      <c r="BR243" s="745">
        <v>0.35</v>
      </c>
      <c r="BS243" s="746">
        <v>0.35</v>
      </c>
      <c r="BT243" s="745">
        <v>0.35</v>
      </c>
      <c r="BU243" s="745">
        <v>0.35</v>
      </c>
      <c r="BV243" s="745">
        <v>0.35</v>
      </c>
      <c r="BW243" s="746">
        <v>0.35</v>
      </c>
      <c r="BX243" s="745">
        <v>0.35</v>
      </c>
      <c r="BY243" s="745">
        <v>0.35</v>
      </c>
      <c r="BZ243" s="745">
        <v>0.35</v>
      </c>
      <c r="CA243" s="746">
        <v>0.35</v>
      </c>
      <c r="CB243" s="745">
        <v>0.35</v>
      </c>
      <c r="CC243" s="745">
        <v>0.35</v>
      </c>
      <c r="CD243" s="745">
        <v>0.35</v>
      </c>
      <c r="CE243" s="746">
        <v>0.35</v>
      </c>
      <c r="CF243" s="745">
        <v>0.35</v>
      </c>
      <c r="CG243" s="745">
        <v>0.35</v>
      </c>
      <c r="CH243" s="745">
        <v>0.35</v>
      </c>
      <c r="CI243" s="746">
        <v>0.35</v>
      </c>
      <c r="CJ243" s="745">
        <v>0.35</v>
      </c>
      <c r="CK243" s="745">
        <v>0.35</v>
      </c>
      <c r="CL243" s="745">
        <v>0.35</v>
      </c>
      <c r="CM243" s="746">
        <v>0.35</v>
      </c>
      <c r="CN243" s="745">
        <v>0.35</v>
      </c>
      <c r="CO243" s="745">
        <v>0.35</v>
      </c>
      <c r="CP243" s="745">
        <v>0.35</v>
      </c>
      <c r="CQ243" s="746">
        <v>0.35</v>
      </c>
      <c r="CR243" s="745">
        <v>0.35</v>
      </c>
      <c r="CS243" s="745">
        <v>0.35</v>
      </c>
      <c r="CT243" s="745">
        <v>0.35</v>
      </c>
      <c r="CU243" s="746">
        <v>0.35</v>
      </c>
      <c r="CV243" s="598"/>
      <c r="CW243" s="596"/>
      <c r="CX243" s="594"/>
      <c r="CY243" s="594"/>
      <c r="CZ243" s="594"/>
      <c r="DA243" s="594"/>
      <c r="DB243" s="594"/>
      <c r="DC243" s="745">
        <v>0.35</v>
      </c>
      <c r="DD243" s="745">
        <v>0.35</v>
      </c>
      <c r="DE243" s="745">
        <v>0.35</v>
      </c>
      <c r="DF243" s="745">
        <v>0.35</v>
      </c>
      <c r="DG243" s="745">
        <v>0.35</v>
      </c>
      <c r="DH243" s="745">
        <v>0.35</v>
      </c>
      <c r="DI243" s="745">
        <v>0.35</v>
      </c>
      <c r="DJ243" s="745">
        <v>0.35</v>
      </c>
      <c r="DK243" s="745">
        <v>0.35</v>
      </c>
      <c r="DL243" s="745">
        <v>0.35</v>
      </c>
      <c r="DM243" s="745">
        <v>0.35</v>
      </c>
      <c r="DN243" s="745">
        <v>0.35</v>
      </c>
      <c r="DO243" s="642">
        <v>0.35</v>
      </c>
      <c r="DP243" s="642">
        <v>0.35</v>
      </c>
      <c r="DQ243" s="642">
        <v>0.35</v>
      </c>
      <c r="DR243" s="642">
        <v>0.35</v>
      </c>
      <c r="DS243" s="642">
        <v>0.35</v>
      </c>
      <c r="DT243" s="642">
        <v>0.35</v>
      </c>
      <c r="DU243" s="642">
        <v>0.35</v>
      </c>
      <c r="DV243" s="642">
        <v>0.35</v>
      </c>
      <c r="DW243" s="642">
        <v>0.35</v>
      </c>
      <c r="DX243" s="642">
        <v>0.35</v>
      </c>
      <c r="DY243" s="642">
        <v>0.35</v>
      </c>
      <c r="DZ243" s="642">
        <v>0.35</v>
      </c>
      <c r="EA243" s="594"/>
      <c r="EB243"/>
      <c r="EC243"/>
      <c r="ED243"/>
      <c r="EE243"/>
      <c r="EF243"/>
      <c r="EG243"/>
    </row>
    <row r="244" spans="1:137" hidden="1" outlineLevel="1">
      <c r="A244" s="374"/>
      <c r="B244" s="615"/>
      <c r="C244" s="901"/>
      <c r="D244" s="613"/>
      <c r="E244" s="594"/>
      <c r="F244" s="594"/>
      <c r="G244" s="614"/>
      <c r="H244" s="594"/>
      <c r="I244" s="594"/>
      <c r="J244" s="594"/>
      <c r="K244" s="614"/>
      <c r="L244" s="594"/>
      <c r="M244" s="594"/>
      <c r="N244" s="594"/>
      <c r="O244" s="614"/>
      <c r="P244" s="594"/>
      <c r="Q244" s="594"/>
      <c r="R244" s="594"/>
      <c r="S244" s="614"/>
      <c r="T244" s="594"/>
      <c r="U244" s="594"/>
      <c r="V244" s="594"/>
      <c r="W244" s="614"/>
      <c r="X244" s="594"/>
      <c r="Y244" s="594"/>
      <c r="Z244" s="594"/>
      <c r="AA244" s="614"/>
      <c r="AB244" s="594"/>
      <c r="AC244" s="594"/>
      <c r="AD244" s="594"/>
      <c r="AE244" s="614"/>
      <c r="AF244" s="594"/>
      <c r="AG244" s="594"/>
      <c r="AH244" s="594"/>
      <c r="AI244" s="614"/>
      <c r="AJ244" s="594"/>
      <c r="AK244" s="594"/>
      <c r="AL244" s="594"/>
      <c r="AM244" s="614"/>
      <c r="AN244" s="594"/>
      <c r="AO244" s="594"/>
      <c r="AP244" s="594"/>
      <c r="AQ244" s="614"/>
      <c r="AR244" s="594"/>
      <c r="AS244" s="594"/>
      <c r="AT244" s="594"/>
      <c r="AU244" s="614"/>
      <c r="AV244" s="594"/>
      <c r="AW244" s="594"/>
      <c r="AX244" s="594"/>
      <c r="AY244" s="614"/>
      <c r="AZ244" s="594"/>
      <c r="BA244" s="594"/>
      <c r="BB244" s="594"/>
      <c r="BC244" s="614"/>
      <c r="BD244" s="594"/>
      <c r="BE244" s="594"/>
      <c r="BF244" s="594"/>
      <c r="BG244" s="614"/>
      <c r="BH244" s="594"/>
      <c r="BI244" s="594"/>
      <c r="BJ244" s="594"/>
      <c r="BK244" s="614"/>
      <c r="BL244" s="594"/>
      <c r="BM244" s="594"/>
      <c r="BN244" s="594"/>
      <c r="BO244" s="614"/>
      <c r="BP244" s="594"/>
      <c r="BQ244" s="594"/>
      <c r="BR244" s="594"/>
      <c r="BS244" s="614"/>
      <c r="BT244" s="594"/>
      <c r="BU244" s="594"/>
      <c r="BV244" s="594"/>
      <c r="BW244" s="614"/>
      <c r="BX244" s="594"/>
      <c r="BY244" s="594"/>
      <c r="BZ244" s="594"/>
      <c r="CA244" s="614"/>
      <c r="CB244" s="594"/>
      <c r="CC244" s="616"/>
      <c r="CD244" s="616"/>
      <c r="CE244" s="617"/>
      <c r="CF244" s="616"/>
      <c r="CG244" s="616"/>
      <c r="CH244" s="616"/>
      <c r="CI244" s="617"/>
      <c r="CJ244" s="616"/>
      <c r="CK244" s="616"/>
      <c r="CL244" s="616"/>
      <c r="CM244" s="617"/>
      <c r="CN244" s="616"/>
      <c r="CO244" s="616"/>
      <c r="CP244" s="616"/>
      <c r="CQ244" s="617"/>
      <c r="CR244" s="616"/>
      <c r="CS244" s="616"/>
      <c r="CT244" s="616"/>
      <c r="CU244" s="617"/>
      <c r="CV244" s="598"/>
      <c r="CW244" s="618"/>
      <c r="CX244" s="594"/>
      <c r="CY244" s="594"/>
      <c r="CZ244" s="594"/>
      <c r="DA244" s="594"/>
      <c r="DB244" s="594"/>
      <c r="DC244" s="619"/>
      <c r="DD244" s="619"/>
      <c r="DE244" s="619"/>
      <c r="DF244" s="619"/>
      <c r="DG244" s="619"/>
      <c r="DH244" s="619"/>
      <c r="DI244" s="619"/>
      <c r="DJ244" s="619"/>
      <c r="DK244" s="619"/>
      <c r="DL244" s="619"/>
      <c r="DM244" s="619"/>
      <c r="DN244" s="594"/>
      <c r="DO244" s="616"/>
      <c r="DP244" s="616"/>
      <c r="DQ244" s="616"/>
      <c r="DR244" s="616"/>
      <c r="DS244" s="616"/>
      <c r="DT244" s="616"/>
      <c r="DU244" s="616"/>
      <c r="DV244" s="616"/>
      <c r="DW244" s="616"/>
      <c r="DX244" s="616"/>
      <c r="DY244" s="616"/>
      <c r="DZ244" s="616"/>
      <c r="EA244" s="620"/>
    </row>
    <row r="245" spans="1:137" customFormat="1" ht="12.75" collapsed="1"/>
    <row r="246" spans="1:137">
      <c r="A246" s="374"/>
      <c r="B246" s="358"/>
      <c r="C246" s="918"/>
      <c r="D246" s="621"/>
      <c r="E246" s="622"/>
      <c r="F246" s="622"/>
      <c r="G246" s="623"/>
      <c r="H246" s="622"/>
      <c r="I246" s="622"/>
      <c r="J246" s="622"/>
      <c r="K246" s="623"/>
      <c r="L246" s="622"/>
      <c r="M246" s="622"/>
      <c r="N246" s="622"/>
      <c r="O246" s="623"/>
      <c r="P246" s="622"/>
      <c r="Q246" s="622"/>
      <c r="R246" s="622"/>
      <c r="S246" s="623"/>
      <c r="T246" s="622"/>
      <c r="U246" s="622"/>
      <c r="V246" s="622"/>
      <c r="W246" s="623"/>
      <c r="X246" s="622"/>
      <c r="Y246" s="622"/>
      <c r="Z246" s="622"/>
      <c r="AA246" s="623"/>
      <c r="AB246" s="622"/>
      <c r="AC246" s="622"/>
      <c r="AD246" s="622"/>
      <c r="AE246" s="623"/>
      <c r="AF246" s="622"/>
      <c r="AG246" s="622"/>
      <c r="AH246" s="622"/>
      <c r="AI246" s="623"/>
      <c r="AJ246" s="622"/>
      <c r="AK246" s="622"/>
      <c r="AL246" s="622"/>
      <c r="AM246" s="623"/>
      <c r="AN246" s="622"/>
      <c r="AO246" s="622"/>
      <c r="AP246" s="622"/>
      <c r="AQ246" s="623"/>
      <c r="AR246" s="622"/>
      <c r="AS246" s="622"/>
      <c r="AT246" s="622"/>
      <c r="AU246" s="623"/>
      <c r="AV246" s="622"/>
      <c r="AW246" s="622"/>
      <c r="AX246" s="622"/>
      <c r="AY246" s="623"/>
      <c r="AZ246" s="622"/>
      <c r="BA246" s="622"/>
      <c r="BB246" s="622"/>
      <c r="BC246" s="623"/>
      <c r="BD246" s="622"/>
      <c r="BE246" s="622"/>
      <c r="BF246" s="622"/>
      <c r="BG246" s="623"/>
      <c r="BH246" s="622"/>
      <c r="BI246" s="622"/>
      <c r="BJ246" s="622"/>
      <c r="BK246" s="623"/>
      <c r="BL246" s="622"/>
      <c r="BM246" s="622"/>
      <c r="BN246" s="622"/>
      <c r="BO246" s="623"/>
      <c r="BP246" s="622"/>
      <c r="BQ246" s="622"/>
      <c r="BR246" s="622"/>
      <c r="BS246" s="623"/>
      <c r="BT246" s="622"/>
      <c r="BU246" s="622"/>
      <c r="BV246" s="622"/>
      <c r="BW246" s="623"/>
      <c r="BX246" s="622"/>
      <c r="BY246" s="622"/>
      <c r="BZ246" s="622"/>
      <c r="CA246" s="623"/>
      <c r="CB246" s="622"/>
      <c r="CC246" s="622"/>
      <c r="CD246" s="622"/>
      <c r="CE246" s="623"/>
      <c r="CF246" s="622"/>
      <c r="CG246" s="622"/>
      <c r="CH246" s="622"/>
      <c r="CI246" s="624"/>
      <c r="CJ246" s="622"/>
      <c r="CK246" s="622"/>
      <c r="CL246" s="622"/>
      <c r="CM246" s="624"/>
      <c r="CN246" s="622"/>
      <c r="CO246" s="622"/>
      <c r="CP246" s="622"/>
      <c r="CQ246" s="948"/>
      <c r="CR246" s="947"/>
      <c r="CS246" s="947"/>
      <c r="CT246" s="947"/>
      <c r="CU246" s="948"/>
      <c r="CV246" s="598"/>
      <c r="EA246" s="358"/>
    </row>
    <row r="247" spans="1:137">
      <c r="A247" s="374"/>
      <c r="B247" s="358"/>
      <c r="C247" s="374"/>
      <c r="CV247" s="598"/>
      <c r="EA247" s="358"/>
    </row>
    <row r="248" spans="1:137">
      <c r="A248" s="374"/>
      <c r="B248" s="358"/>
      <c r="C248" s="374"/>
      <c r="CV248" s="598"/>
      <c r="EA248" s="358"/>
    </row>
    <row r="249" spans="1:137">
      <c r="A249" s="374"/>
      <c r="B249" s="358"/>
      <c r="C249" s="374"/>
      <c r="CV249" s="598"/>
      <c r="EA249" s="358"/>
    </row>
    <row r="250" spans="1:137">
      <c r="A250" s="374"/>
      <c r="B250" s="358"/>
      <c r="C250" s="374"/>
      <c r="CV250" s="598"/>
      <c r="EA250" s="358"/>
    </row>
    <row r="251" spans="1:137">
      <c r="A251" s="374"/>
      <c r="B251" s="358"/>
      <c r="C251" s="374"/>
      <c r="CV251" s="598"/>
      <c r="EA251" s="358"/>
    </row>
    <row r="252" spans="1:137">
      <c r="A252" s="374"/>
      <c r="B252" s="358"/>
      <c r="C252" s="374"/>
      <c r="CV252" s="598"/>
      <c r="EA252" s="358"/>
    </row>
    <row r="253" spans="1:137">
      <c r="A253" s="374"/>
      <c r="B253" s="358"/>
      <c r="C253" s="374"/>
      <c r="CV253" s="598"/>
      <c r="EA253" s="358"/>
    </row>
    <row r="254" spans="1:137">
      <c r="A254" s="374"/>
      <c r="B254" s="358"/>
      <c r="C254" s="374"/>
      <c r="CV254" s="598"/>
      <c r="EA254" s="358"/>
    </row>
    <row r="255" spans="1:137">
      <c r="A255" s="374"/>
      <c r="B255" s="358"/>
      <c r="C255" s="374"/>
      <c r="CV255" s="598"/>
      <c r="EA255" s="358"/>
    </row>
    <row r="256" spans="1:137">
      <c r="A256" s="374"/>
      <c r="B256" s="358"/>
      <c r="C256" s="374"/>
      <c r="CV256" s="598"/>
      <c r="EA256" s="358"/>
    </row>
    <row r="257" spans="1:131">
      <c r="A257" s="374"/>
      <c r="B257" s="358"/>
      <c r="C257" s="374"/>
      <c r="CV257" s="598"/>
      <c r="EA257" s="358"/>
    </row>
    <row r="258" spans="1:131">
      <c r="A258" s="374"/>
      <c r="B258" s="358"/>
      <c r="C258" s="374"/>
      <c r="CV258" s="598"/>
      <c r="EA258" s="358"/>
    </row>
    <row r="259" spans="1:131">
      <c r="A259" s="374"/>
      <c r="B259" s="358"/>
      <c r="C259" s="374"/>
      <c r="CV259" s="598"/>
      <c r="EA259" s="358"/>
    </row>
    <row r="260" spans="1:131">
      <c r="A260" s="374"/>
      <c r="B260" s="358"/>
      <c r="C260" s="374"/>
      <c r="CV260" s="598"/>
      <c r="EA260" s="358"/>
    </row>
    <row r="261" spans="1:131">
      <c r="A261" s="374"/>
      <c r="B261" s="358"/>
      <c r="C261" s="374"/>
      <c r="CV261" s="598"/>
      <c r="EA261" s="358"/>
    </row>
    <row r="262" spans="1:131">
      <c r="A262" s="374"/>
      <c r="B262" s="358"/>
      <c r="C262" s="374"/>
      <c r="CV262" s="598"/>
      <c r="EA262" s="358"/>
    </row>
    <row r="263" spans="1:131">
      <c r="A263" s="374"/>
      <c r="B263" s="358"/>
      <c r="C263" s="374"/>
      <c r="CV263" s="598"/>
      <c r="EA263" s="358"/>
    </row>
    <row r="264" spans="1:131">
      <c r="A264" s="374"/>
      <c r="B264" s="358"/>
      <c r="C264" s="374"/>
      <c r="CV264" s="598"/>
      <c r="EA264" s="358"/>
    </row>
    <row r="265" spans="1:131">
      <c r="A265" s="374"/>
      <c r="B265" s="358"/>
      <c r="C265" s="374"/>
      <c r="CV265" s="598"/>
      <c r="EA265" s="358"/>
    </row>
    <row r="266" spans="1:131">
      <c r="A266" s="374"/>
      <c r="B266" s="358"/>
      <c r="C266" s="374"/>
      <c r="CV266" s="598"/>
      <c r="EA266" s="358"/>
    </row>
    <row r="267" spans="1:131">
      <c r="A267" s="374"/>
      <c r="B267" s="358"/>
      <c r="C267" s="374"/>
      <c r="CV267" s="598"/>
      <c r="EA267" s="358"/>
    </row>
    <row r="268" spans="1:131">
      <c r="A268" s="374"/>
      <c r="B268" s="358"/>
      <c r="C268" s="374"/>
      <c r="CV268" s="598"/>
      <c r="EA268" s="358"/>
    </row>
    <row r="269" spans="1:131">
      <c r="A269" s="374"/>
      <c r="B269" s="358"/>
      <c r="C269" s="374"/>
      <c r="CV269" s="598"/>
      <c r="EA269" s="358"/>
    </row>
    <row r="270" spans="1:131">
      <c r="A270" s="374"/>
      <c r="B270" s="358"/>
      <c r="C270" s="374"/>
      <c r="CV270" s="598"/>
      <c r="EA270" s="358"/>
    </row>
    <row r="271" spans="1:131">
      <c r="A271" s="374"/>
      <c r="B271" s="358"/>
      <c r="C271" s="374"/>
      <c r="CV271" s="598"/>
      <c r="EA271" s="358"/>
    </row>
    <row r="272" spans="1:131">
      <c r="A272" s="374"/>
      <c r="B272" s="358"/>
      <c r="C272" s="374"/>
      <c r="CV272" s="376"/>
      <c r="EA272" s="358"/>
    </row>
    <row r="273" spans="1:131">
      <c r="A273" s="374"/>
      <c r="B273" s="358"/>
      <c r="C273" s="374"/>
      <c r="CV273" s="376"/>
      <c r="EA273" s="358"/>
    </row>
    <row r="274" spans="1:131">
      <c r="A274" s="374"/>
      <c r="B274" s="358"/>
      <c r="C274" s="374"/>
      <c r="CV274" s="376"/>
      <c r="EA274" s="358"/>
    </row>
    <row r="275" spans="1:131">
      <c r="A275" s="374"/>
      <c r="B275" s="358"/>
      <c r="C275" s="374"/>
      <c r="CV275" s="376"/>
      <c r="EA275" s="358"/>
    </row>
    <row r="276" spans="1:131">
      <c r="A276" s="374"/>
      <c r="B276" s="358"/>
      <c r="C276" s="374"/>
      <c r="CV276" s="376"/>
      <c r="EA276" s="358"/>
    </row>
    <row r="277" spans="1:131">
      <c r="A277" s="374"/>
      <c r="B277" s="358"/>
      <c r="C277" s="374"/>
      <c r="CV277" s="376"/>
      <c r="EA277" s="358"/>
    </row>
    <row r="278" spans="1:131">
      <c r="A278" s="374"/>
      <c r="B278" s="358"/>
      <c r="C278" s="374"/>
      <c r="CV278" s="376"/>
      <c r="EA278" s="358"/>
    </row>
    <row r="279" spans="1:131">
      <c r="A279" s="374"/>
      <c r="B279" s="358"/>
      <c r="C279" s="374"/>
      <c r="CV279" s="376"/>
      <c r="EA279" s="358"/>
    </row>
    <row r="280" spans="1:131">
      <c r="A280" s="374"/>
      <c r="B280" s="358"/>
      <c r="C280" s="374"/>
      <c r="CV280" s="376"/>
      <c r="EA280" s="358"/>
    </row>
    <row r="281" spans="1:131">
      <c r="A281" s="374"/>
      <c r="B281" s="358"/>
      <c r="C281" s="374"/>
      <c r="CV281" s="376"/>
      <c r="EA281" s="358"/>
    </row>
    <row r="282" spans="1:131">
      <c r="A282" s="374"/>
      <c r="B282" s="358"/>
      <c r="C282" s="374"/>
      <c r="CV282" s="376"/>
      <c r="EA282" s="358"/>
    </row>
    <row r="283" spans="1:131">
      <c r="A283" s="374"/>
      <c r="B283" s="358"/>
      <c r="C283" s="374"/>
      <c r="CV283" s="376"/>
      <c r="EA283" s="358"/>
    </row>
    <row r="284" spans="1:131">
      <c r="A284" s="374"/>
      <c r="B284" s="358"/>
      <c r="C284" s="374"/>
      <c r="CV284" s="376"/>
      <c r="EA284" s="358"/>
    </row>
    <row r="285" spans="1:131">
      <c r="A285" s="374"/>
      <c r="B285" s="358"/>
      <c r="C285" s="374"/>
      <c r="CV285" s="376"/>
      <c r="EA285" s="358"/>
    </row>
    <row r="286" spans="1:131">
      <c r="A286" s="374"/>
      <c r="B286" s="358"/>
      <c r="C286" s="374"/>
      <c r="CV286" s="376"/>
      <c r="EA286" s="358"/>
    </row>
    <row r="287" spans="1:131">
      <c r="A287" s="374"/>
      <c r="B287" s="358"/>
      <c r="C287" s="374"/>
      <c r="CV287" s="376"/>
      <c r="EA287" s="358"/>
    </row>
    <row r="288" spans="1:131">
      <c r="A288" s="374"/>
      <c r="B288" s="358"/>
      <c r="C288" s="374"/>
      <c r="CV288" s="376"/>
      <c r="EA288" s="358"/>
    </row>
    <row r="289" spans="1:131">
      <c r="A289" s="374"/>
      <c r="B289" s="358"/>
      <c r="C289" s="374"/>
      <c r="CV289" s="376"/>
      <c r="EA289" s="358"/>
    </row>
    <row r="290" spans="1:131">
      <c r="A290" s="374"/>
      <c r="B290" s="358"/>
      <c r="C290" s="374"/>
      <c r="CV290" s="376"/>
      <c r="EA290" s="358"/>
    </row>
    <row r="291" spans="1:131">
      <c r="A291" s="374"/>
      <c r="B291" s="358"/>
      <c r="C291" s="374"/>
      <c r="CV291" s="376"/>
      <c r="EA291" s="358"/>
    </row>
    <row r="292" spans="1:131">
      <c r="A292" s="374"/>
      <c r="B292" s="358"/>
      <c r="C292" s="374"/>
      <c r="CV292" s="376"/>
      <c r="EA292" s="358"/>
    </row>
    <row r="293" spans="1:131">
      <c r="A293" s="374"/>
      <c r="B293" s="358"/>
      <c r="C293" s="374"/>
      <c r="CV293" s="376"/>
      <c r="EA293" s="358"/>
    </row>
    <row r="294" spans="1:131">
      <c r="A294" s="374"/>
      <c r="B294" s="358"/>
      <c r="C294" s="374"/>
      <c r="CV294" s="376"/>
      <c r="EA294" s="358"/>
    </row>
    <row r="295" spans="1:131">
      <c r="A295" s="374"/>
      <c r="C295" s="374"/>
      <c r="CV295" s="376"/>
    </row>
    <row r="296" spans="1:131">
      <c r="A296" s="374"/>
      <c r="C296" s="374"/>
      <c r="CV296" s="376"/>
    </row>
    <row r="297" spans="1:131">
      <c r="A297" s="374"/>
      <c r="C297" s="374"/>
      <c r="CV297" s="376"/>
    </row>
    <row r="298" spans="1:131">
      <c r="A298" s="374"/>
      <c r="C298" s="374"/>
      <c r="CV298" s="376"/>
    </row>
    <row r="299" spans="1:131">
      <c r="A299" s="374"/>
      <c r="C299" s="374"/>
      <c r="CV299" s="376"/>
    </row>
    <row r="300" spans="1:131">
      <c r="A300" s="374"/>
      <c r="C300" s="374"/>
      <c r="CV300" s="376"/>
    </row>
    <row r="301" spans="1:131">
      <c r="A301" s="374"/>
      <c r="C301" s="374"/>
      <c r="CV301" s="376"/>
    </row>
    <row r="302" spans="1:131">
      <c r="A302" s="374"/>
      <c r="C302" s="374"/>
      <c r="CV302" s="376"/>
    </row>
    <row r="303" spans="1:131">
      <c r="A303" s="374"/>
      <c r="C303" s="374"/>
      <c r="CV303" s="376"/>
    </row>
    <row r="304" spans="1:131">
      <c r="A304" s="374"/>
      <c r="C304" s="374"/>
      <c r="CV304" s="376"/>
    </row>
    <row r="305" spans="1:100">
      <c r="A305" s="374"/>
      <c r="C305" s="374"/>
      <c r="CV305" s="376"/>
    </row>
    <row r="306" spans="1:100">
      <c r="A306" s="374"/>
      <c r="C306" s="374"/>
      <c r="CV306" s="376"/>
    </row>
    <row r="307" spans="1:100">
      <c r="A307" s="374"/>
      <c r="C307" s="374"/>
      <c r="CV307" s="376"/>
    </row>
    <row r="308" spans="1:100">
      <c r="A308" s="374"/>
      <c r="C308" s="374"/>
      <c r="CV308" s="376"/>
    </row>
    <row r="309" spans="1:100">
      <c r="A309" s="374"/>
      <c r="C309" s="374"/>
      <c r="CV309" s="376"/>
    </row>
    <row r="310" spans="1:100">
      <c r="A310" s="374"/>
      <c r="C310" s="374"/>
      <c r="CV310" s="376"/>
    </row>
    <row r="311" spans="1:100">
      <c r="A311" s="374"/>
      <c r="C311" s="374"/>
      <c r="CV311" s="376"/>
    </row>
    <row r="312" spans="1:100">
      <c r="A312" s="374"/>
      <c r="C312" s="374"/>
      <c r="CV312" s="376"/>
    </row>
    <row r="313" spans="1:100">
      <c r="A313" s="374"/>
      <c r="C313" s="374"/>
      <c r="CV313" s="376"/>
    </row>
    <row r="314" spans="1:100">
      <c r="A314" s="374"/>
      <c r="C314" s="374"/>
      <c r="CV314" s="376"/>
    </row>
    <row r="315" spans="1:100">
      <c r="A315" s="374"/>
      <c r="C315" s="374"/>
      <c r="CV315" s="376"/>
    </row>
    <row r="316" spans="1:100">
      <c r="A316" s="374"/>
      <c r="C316" s="374"/>
      <c r="CV316" s="376"/>
    </row>
    <row r="317" spans="1:100">
      <c r="A317" s="374"/>
      <c r="C317" s="374"/>
      <c r="CV317" s="376"/>
    </row>
    <row r="318" spans="1:100">
      <c r="A318" s="374"/>
      <c r="C318" s="374"/>
      <c r="CV318" s="376"/>
    </row>
    <row r="319" spans="1:100">
      <c r="A319" s="374"/>
      <c r="C319" s="374"/>
      <c r="CV319" s="376"/>
    </row>
    <row r="320" spans="1:100">
      <c r="A320" s="374"/>
      <c r="C320" s="374"/>
      <c r="CV320" s="376"/>
    </row>
    <row r="321" spans="1:100">
      <c r="A321" s="374"/>
      <c r="C321" s="374"/>
      <c r="CV321" s="376"/>
    </row>
    <row r="322" spans="1:100">
      <c r="A322" s="374"/>
      <c r="C322" s="374"/>
      <c r="CV322" s="376"/>
    </row>
    <row r="323" spans="1:100">
      <c r="A323" s="374"/>
      <c r="C323" s="374"/>
      <c r="CV323" s="376"/>
    </row>
    <row r="324" spans="1:100">
      <c r="A324" s="374"/>
      <c r="C324" s="374"/>
      <c r="CV324" s="376"/>
    </row>
    <row r="325" spans="1:100">
      <c r="A325" s="374"/>
      <c r="C325" s="374"/>
      <c r="CV325" s="376"/>
    </row>
    <row r="326" spans="1:100">
      <c r="A326" s="374"/>
      <c r="C326" s="374"/>
      <c r="CV326" s="376"/>
    </row>
    <row r="327" spans="1:100">
      <c r="A327" s="374"/>
      <c r="C327" s="374"/>
      <c r="CV327" s="376"/>
    </row>
    <row r="328" spans="1:100">
      <c r="A328" s="374"/>
      <c r="C328" s="374"/>
      <c r="CV328" s="376"/>
    </row>
    <row r="329" spans="1:100">
      <c r="A329" s="374"/>
      <c r="C329" s="374"/>
      <c r="CV329" s="376"/>
    </row>
    <row r="330" spans="1:100">
      <c r="A330" s="374"/>
      <c r="C330" s="374"/>
      <c r="CV330" s="376"/>
    </row>
    <row r="331" spans="1:100">
      <c r="A331" s="374"/>
      <c r="C331" s="374"/>
      <c r="CV331" s="376"/>
    </row>
    <row r="332" spans="1:100">
      <c r="A332" s="374"/>
      <c r="C332" s="374"/>
      <c r="CV332" s="376"/>
    </row>
    <row r="333" spans="1:100">
      <c r="A333" s="374"/>
      <c r="C333" s="374"/>
      <c r="CV333" s="376"/>
    </row>
    <row r="334" spans="1:100">
      <c r="A334" s="374"/>
      <c r="C334" s="374"/>
      <c r="CV334" s="376"/>
    </row>
    <row r="335" spans="1:100">
      <c r="A335" s="374"/>
      <c r="C335" s="374"/>
      <c r="CV335" s="376"/>
    </row>
    <row r="336" spans="1:100">
      <c r="A336" s="374"/>
      <c r="C336" s="374"/>
      <c r="CV336" s="376"/>
    </row>
    <row r="337" spans="1:100">
      <c r="A337" s="374"/>
      <c r="C337" s="374"/>
      <c r="CV337" s="376"/>
    </row>
    <row r="338" spans="1:100">
      <c r="A338" s="374"/>
      <c r="C338" s="374"/>
      <c r="CV338" s="376"/>
    </row>
    <row r="339" spans="1:100">
      <c r="A339" s="374"/>
      <c r="C339" s="374"/>
      <c r="CV339" s="376"/>
    </row>
    <row r="340" spans="1:100">
      <c r="A340" s="374"/>
      <c r="C340" s="374"/>
      <c r="CV340" s="376"/>
    </row>
    <row r="341" spans="1:100">
      <c r="A341" s="374"/>
      <c r="C341" s="374"/>
      <c r="CV341" s="376"/>
    </row>
    <row r="342" spans="1:100">
      <c r="A342" s="374"/>
      <c r="C342" s="374"/>
      <c r="CV342" s="376"/>
    </row>
    <row r="343" spans="1:100">
      <c r="A343" s="374"/>
      <c r="C343" s="374"/>
      <c r="CV343" s="376"/>
    </row>
    <row r="344" spans="1:100">
      <c r="A344" s="374"/>
      <c r="C344" s="374"/>
      <c r="CV344" s="376"/>
    </row>
    <row r="345" spans="1:100">
      <c r="A345" s="374"/>
      <c r="C345" s="374"/>
      <c r="CV345" s="376"/>
    </row>
    <row r="346" spans="1:100">
      <c r="A346" s="374"/>
      <c r="C346" s="374"/>
      <c r="CV346" s="376"/>
    </row>
    <row r="347" spans="1:100">
      <c r="A347" s="374"/>
      <c r="C347" s="374"/>
      <c r="CV347" s="376"/>
    </row>
    <row r="348" spans="1:100">
      <c r="A348" s="374"/>
      <c r="C348" s="374"/>
      <c r="CV348" s="376"/>
    </row>
    <row r="349" spans="1:100">
      <c r="A349" s="374"/>
      <c r="C349" s="374"/>
      <c r="CV349" s="376"/>
    </row>
    <row r="350" spans="1:100">
      <c r="A350" s="374"/>
      <c r="C350" s="374"/>
      <c r="CV350" s="376"/>
    </row>
    <row r="351" spans="1:100">
      <c r="A351" s="374"/>
      <c r="C351" s="374"/>
      <c r="CV351" s="376"/>
    </row>
    <row r="352" spans="1:100">
      <c r="A352" s="374"/>
      <c r="C352" s="374"/>
      <c r="CV352" s="376"/>
    </row>
    <row r="353" spans="1:100">
      <c r="A353" s="374"/>
      <c r="C353" s="374"/>
      <c r="CV353" s="376"/>
    </row>
    <row r="354" spans="1:100">
      <c r="A354" s="374"/>
      <c r="C354" s="374"/>
      <c r="CV354" s="376"/>
    </row>
    <row r="355" spans="1:100">
      <c r="A355" s="374"/>
      <c r="C355" s="374"/>
      <c r="CV355" s="376"/>
    </row>
    <row r="356" spans="1:100">
      <c r="A356" s="374"/>
      <c r="C356" s="374"/>
      <c r="CV356" s="376"/>
    </row>
    <row r="357" spans="1:100">
      <c r="A357" s="374"/>
      <c r="C357" s="374"/>
      <c r="CV357" s="376"/>
    </row>
    <row r="358" spans="1:100">
      <c r="A358" s="374"/>
      <c r="C358" s="374"/>
      <c r="CV358" s="376"/>
    </row>
    <row r="359" spans="1:100">
      <c r="A359" s="374"/>
      <c r="C359" s="374"/>
      <c r="CV359" s="376"/>
    </row>
    <row r="360" spans="1:100">
      <c r="A360" s="374"/>
      <c r="C360" s="374"/>
      <c r="CV360" s="376"/>
    </row>
    <row r="361" spans="1:100">
      <c r="A361" s="374"/>
      <c r="C361" s="374"/>
      <c r="CV361" s="376"/>
    </row>
    <row r="362" spans="1:100">
      <c r="A362" s="374"/>
      <c r="C362" s="374"/>
      <c r="CV362" s="376"/>
    </row>
    <row r="363" spans="1:100">
      <c r="A363" s="374"/>
      <c r="C363" s="374"/>
      <c r="CV363" s="376"/>
    </row>
    <row r="364" spans="1:100">
      <c r="A364" s="374"/>
      <c r="C364" s="374"/>
      <c r="CV364" s="376"/>
    </row>
    <row r="365" spans="1:100">
      <c r="A365" s="374"/>
      <c r="C365" s="374"/>
      <c r="CV365" s="376"/>
    </row>
    <row r="366" spans="1:100">
      <c r="A366" s="374"/>
      <c r="C366" s="374"/>
      <c r="CV366" s="376"/>
    </row>
    <row r="367" spans="1:100">
      <c r="A367" s="374"/>
      <c r="C367" s="374"/>
      <c r="CV367" s="376"/>
    </row>
    <row r="368" spans="1:100">
      <c r="A368" s="374"/>
      <c r="C368" s="374"/>
      <c r="CV368" s="376"/>
    </row>
    <row r="369" spans="1:100">
      <c r="A369" s="374"/>
      <c r="C369" s="374"/>
      <c r="CV369" s="376"/>
    </row>
    <row r="370" spans="1:100">
      <c r="A370" s="374"/>
      <c r="C370" s="374"/>
      <c r="CV370" s="376"/>
    </row>
    <row r="371" spans="1:100">
      <c r="A371" s="374"/>
      <c r="C371" s="374"/>
      <c r="CV371" s="376"/>
    </row>
    <row r="372" spans="1:100">
      <c r="A372" s="374"/>
      <c r="C372" s="374"/>
      <c r="CV372" s="376"/>
    </row>
    <row r="373" spans="1:100">
      <c r="A373" s="374"/>
      <c r="C373" s="374"/>
      <c r="CV373" s="376"/>
    </row>
    <row r="374" spans="1:100">
      <c r="A374" s="374"/>
      <c r="C374" s="374"/>
      <c r="CV374" s="376"/>
    </row>
    <row r="375" spans="1:100">
      <c r="A375" s="374"/>
      <c r="C375" s="374"/>
      <c r="CV375" s="376"/>
    </row>
    <row r="376" spans="1:100">
      <c r="A376" s="374"/>
      <c r="C376" s="374"/>
      <c r="CV376" s="376"/>
    </row>
    <row r="377" spans="1:100">
      <c r="A377" s="374"/>
      <c r="C377" s="374"/>
      <c r="CV377" s="376"/>
    </row>
    <row r="378" spans="1:100">
      <c r="A378" s="374"/>
      <c r="C378" s="374"/>
      <c r="CV378" s="376"/>
    </row>
    <row r="379" spans="1:100">
      <c r="A379" s="374"/>
      <c r="C379" s="374"/>
      <c r="CV379" s="376"/>
    </row>
    <row r="380" spans="1:100">
      <c r="A380" s="374"/>
      <c r="C380" s="374"/>
      <c r="CV380" s="376"/>
    </row>
    <row r="381" spans="1:100">
      <c r="A381" s="374"/>
      <c r="C381" s="374"/>
      <c r="CV381" s="376"/>
    </row>
    <row r="382" spans="1:100">
      <c r="A382" s="374"/>
      <c r="C382" s="374"/>
      <c r="CV382" s="376"/>
    </row>
    <row r="383" spans="1:100">
      <c r="A383" s="374"/>
      <c r="C383" s="374"/>
      <c r="CV383" s="376"/>
    </row>
    <row r="384" spans="1:100">
      <c r="A384" s="374"/>
      <c r="C384" s="374"/>
      <c r="CV384" s="376"/>
    </row>
    <row r="385" spans="1:100">
      <c r="A385" s="374"/>
      <c r="C385" s="374"/>
      <c r="CV385" s="376"/>
    </row>
    <row r="386" spans="1:100">
      <c r="A386" s="374"/>
      <c r="C386" s="374"/>
      <c r="CV386" s="376"/>
    </row>
    <row r="387" spans="1:100">
      <c r="A387" s="374"/>
      <c r="C387" s="374"/>
      <c r="CV387" s="376"/>
    </row>
    <row r="388" spans="1:100">
      <c r="A388" s="374"/>
      <c r="C388" s="374"/>
      <c r="CV388" s="376"/>
    </row>
    <row r="389" spans="1:100">
      <c r="A389" s="374"/>
      <c r="C389" s="374"/>
      <c r="CV389" s="376"/>
    </row>
    <row r="390" spans="1:100">
      <c r="A390" s="374"/>
      <c r="C390" s="374"/>
      <c r="CV390" s="376"/>
    </row>
    <row r="391" spans="1:100">
      <c r="A391" s="374"/>
      <c r="C391" s="374"/>
      <c r="CV391" s="376"/>
    </row>
    <row r="392" spans="1:100">
      <c r="A392" s="374"/>
      <c r="C392" s="374"/>
      <c r="CV392" s="376"/>
    </row>
    <row r="393" spans="1:100">
      <c r="A393" s="374"/>
      <c r="C393" s="374"/>
      <c r="CV393" s="376"/>
    </row>
    <row r="394" spans="1:100">
      <c r="A394" s="374"/>
      <c r="C394" s="374"/>
      <c r="CV394" s="376"/>
    </row>
    <row r="395" spans="1:100">
      <c r="A395" s="374"/>
      <c r="C395" s="374"/>
      <c r="CV395" s="376"/>
    </row>
    <row r="396" spans="1:100">
      <c r="A396" s="374"/>
      <c r="C396" s="374"/>
      <c r="CV396" s="376"/>
    </row>
    <row r="397" spans="1:100">
      <c r="A397" s="374"/>
      <c r="C397" s="374"/>
      <c r="CV397" s="376"/>
    </row>
    <row r="398" spans="1:100">
      <c r="A398" s="374"/>
      <c r="C398" s="374"/>
      <c r="CV398" s="376"/>
    </row>
    <row r="399" spans="1:100">
      <c r="A399" s="374"/>
      <c r="C399" s="374"/>
      <c r="CV399" s="376"/>
    </row>
    <row r="400" spans="1:100">
      <c r="A400" s="374"/>
      <c r="C400" s="374"/>
      <c r="CV400" s="376"/>
    </row>
    <row r="401" spans="1:100">
      <c r="A401" s="374"/>
      <c r="C401" s="374"/>
      <c r="CV401" s="376"/>
    </row>
    <row r="402" spans="1:100">
      <c r="A402" s="374"/>
      <c r="C402" s="374"/>
      <c r="CV402" s="376"/>
    </row>
    <row r="403" spans="1:100">
      <c r="A403" s="374"/>
      <c r="C403" s="374"/>
      <c r="CV403" s="376"/>
    </row>
    <row r="404" spans="1:100">
      <c r="A404" s="374"/>
      <c r="C404" s="374"/>
      <c r="CV404" s="376"/>
    </row>
    <row r="405" spans="1:100">
      <c r="A405" s="374"/>
      <c r="C405" s="374"/>
      <c r="CV405" s="376"/>
    </row>
    <row r="406" spans="1:100">
      <c r="A406" s="374"/>
      <c r="C406" s="374"/>
      <c r="CV406" s="376"/>
    </row>
    <row r="407" spans="1:100">
      <c r="A407" s="374"/>
      <c r="C407" s="374"/>
      <c r="CV407" s="376"/>
    </row>
    <row r="408" spans="1:100">
      <c r="A408" s="374"/>
      <c r="C408" s="374"/>
      <c r="CV408" s="376"/>
    </row>
    <row r="409" spans="1:100">
      <c r="A409" s="374"/>
      <c r="C409" s="374"/>
      <c r="CV409" s="376"/>
    </row>
    <row r="410" spans="1:100">
      <c r="A410" s="374"/>
      <c r="C410" s="374"/>
      <c r="CV410" s="376"/>
    </row>
    <row r="411" spans="1:100">
      <c r="A411" s="374"/>
      <c r="C411" s="374"/>
      <c r="CV411" s="376"/>
    </row>
    <row r="412" spans="1:100">
      <c r="A412" s="374"/>
      <c r="C412" s="374"/>
      <c r="CV412" s="376"/>
    </row>
    <row r="413" spans="1:100">
      <c r="A413" s="374"/>
      <c r="C413" s="374"/>
      <c r="CV413" s="376"/>
    </row>
    <row r="414" spans="1:100">
      <c r="A414" s="374"/>
      <c r="C414" s="374"/>
      <c r="CV414" s="376"/>
    </row>
    <row r="415" spans="1:100">
      <c r="A415" s="374"/>
      <c r="C415" s="374"/>
      <c r="CV415" s="376"/>
    </row>
    <row r="416" spans="1:100">
      <c r="A416" s="374"/>
      <c r="C416" s="374"/>
      <c r="CV416" s="376"/>
    </row>
    <row r="417" spans="1:100">
      <c r="A417" s="374"/>
      <c r="C417" s="374"/>
      <c r="CV417" s="376"/>
    </row>
    <row r="418" spans="1:100">
      <c r="A418" s="374"/>
      <c r="C418" s="374"/>
      <c r="CV418" s="376"/>
    </row>
    <row r="419" spans="1:100">
      <c r="A419" s="374"/>
      <c r="C419" s="374"/>
      <c r="CV419" s="376"/>
    </row>
    <row r="420" spans="1:100">
      <c r="A420" s="374"/>
      <c r="C420" s="374"/>
      <c r="CV420" s="376"/>
    </row>
    <row r="421" spans="1:100">
      <c r="A421" s="374"/>
      <c r="C421" s="374"/>
      <c r="CV421" s="376"/>
    </row>
    <row r="422" spans="1:100">
      <c r="A422" s="374"/>
      <c r="C422" s="374"/>
      <c r="CV422" s="376"/>
    </row>
    <row r="423" spans="1:100">
      <c r="A423" s="374"/>
      <c r="C423" s="374"/>
      <c r="CV423" s="376"/>
    </row>
    <row r="424" spans="1:100">
      <c r="A424" s="374"/>
      <c r="C424" s="374"/>
      <c r="CV424" s="376"/>
    </row>
    <row r="425" spans="1:100">
      <c r="A425" s="374"/>
      <c r="C425" s="374"/>
      <c r="CV425" s="376"/>
    </row>
    <row r="426" spans="1:100">
      <c r="A426" s="374"/>
      <c r="C426" s="374"/>
      <c r="CV426" s="376"/>
    </row>
    <row r="427" spans="1:100">
      <c r="A427" s="374"/>
      <c r="C427" s="374"/>
      <c r="CV427" s="376"/>
    </row>
    <row r="428" spans="1:100">
      <c r="A428" s="374"/>
      <c r="C428" s="374"/>
      <c r="CV428" s="376"/>
    </row>
    <row r="429" spans="1:100">
      <c r="A429" s="374"/>
      <c r="C429" s="374"/>
      <c r="CV429" s="376"/>
    </row>
    <row r="430" spans="1:100">
      <c r="A430" s="374"/>
      <c r="C430" s="374"/>
      <c r="CV430" s="376"/>
    </row>
    <row r="431" spans="1:100">
      <c r="A431" s="374"/>
      <c r="C431" s="374"/>
      <c r="CV431" s="376"/>
    </row>
    <row r="432" spans="1:100">
      <c r="A432" s="374"/>
      <c r="C432" s="374"/>
      <c r="CV432" s="376"/>
    </row>
    <row r="433" spans="1:100">
      <c r="A433" s="374"/>
      <c r="C433" s="374"/>
      <c r="CV433" s="376"/>
    </row>
    <row r="434" spans="1:100">
      <c r="A434" s="374"/>
      <c r="C434" s="374"/>
      <c r="CV434" s="376"/>
    </row>
    <row r="435" spans="1:100">
      <c r="A435" s="374"/>
      <c r="C435" s="374"/>
      <c r="CV435" s="376"/>
    </row>
    <row r="436" spans="1:100">
      <c r="A436" s="374"/>
      <c r="C436" s="374"/>
      <c r="CV436" s="376"/>
    </row>
    <row r="437" spans="1:100">
      <c r="A437" s="374"/>
      <c r="C437" s="374"/>
      <c r="CV437" s="376"/>
    </row>
    <row r="438" spans="1:100">
      <c r="A438" s="374"/>
      <c r="C438" s="374"/>
      <c r="CV438" s="376"/>
    </row>
    <row r="439" spans="1:100">
      <c r="A439" s="374"/>
      <c r="C439" s="374"/>
      <c r="CV439" s="376"/>
    </row>
    <row r="440" spans="1:100">
      <c r="A440" s="374"/>
      <c r="C440" s="374"/>
      <c r="CV440" s="376"/>
    </row>
    <row r="441" spans="1:100">
      <c r="A441" s="374"/>
      <c r="C441" s="374"/>
      <c r="CV441" s="376"/>
    </row>
    <row r="442" spans="1:100">
      <c r="A442" s="374"/>
      <c r="C442" s="374"/>
      <c r="CV442" s="376"/>
    </row>
    <row r="443" spans="1:100">
      <c r="A443" s="374"/>
      <c r="C443" s="374"/>
      <c r="CV443" s="376"/>
    </row>
    <row r="444" spans="1:100">
      <c r="A444" s="374"/>
      <c r="C444" s="374"/>
      <c r="CV444" s="376"/>
    </row>
    <row r="445" spans="1:100">
      <c r="A445" s="374"/>
      <c r="C445" s="374"/>
      <c r="CV445" s="376"/>
    </row>
    <row r="446" spans="1:100">
      <c r="A446" s="374"/>
      <c r="C446" s="374"/>
      <c r="CV446" s="376"/>
    </row>
    <row r="447" spans="1:100">
      <c r="A447" s="374"/>
      <c r="C447" s="374"/>
      <c r="CV447" s="376"/>
    </row>
    <row r="448" spans="1:100">
      <c r="A448" s="374"/>
      <c r="C448" s="374"/>
      <c r="CV448" s="376"/>
    </row>
    <row r="449" spans="1:100">
      <c r="A449" s="374"/>
      <c r="C449" s="374"/>
      <c r="CV449" s="376"/>
    </row>
    <row r="450" spans="1:100">
      <c r="A450" s="374"/>
      <c r="C450" s="374"/>
      <c r="CV450" s="376"/>
    </row>
    <row r="451" spans="1:100">
      <c r="A451" s="374"/>
      <c r="C451" s="374"/>
      <c r="CV451" s="376"/>
    </row>
    <row r="452" spans="1:100">
      <c r="A452" s="374"/>
      <c r="C452" s="374"/>
      <c r="CV452" s="376"/>
    </row>
    <row r="453" spans="1:100">
      <c r="A453" s="374"/>
      <c r="C453" s="374"/>
      <c r="CV453" s="376"/>
    </row>
    <row r="454" spans="1:100">
      <c r="A454" s="374"/>
      <c r="C454" s="374"/>
      <c r="CV454" s="376"/>
    </row>
    <row r="455" spans="1:100">
      <c r="A455" s="374"/>
      <c r="C455" s="374"/>
      <c r="CV455" s="376"/>
    </row>
    <row r="456" spans="1:100">
      <c r="A456" s="374"/>
      <c r="C456" s="374"/>
      <c r="CV456" s="376"/>
    </row>
    <row r="457" spans="1:100">
      <c r="A457" s="374"/>
      <c r="C457" s="374"/>
      <c r="CV457" s="376"/>
    </row>
    <row r="458" spans="1:100">
      <c r="A458" s="374"/>
      <c r="C458" s="374"/>
      <c r="CV458" s="376"/>
    </row>
    <row r="459" spans="1:100">
      <c r="A459" s="374"/>
      <c r="C459" s="374"/>
      <c r="CV459" s="376"/>
    </row>
    <row r="460" spans="1:100">
      <c r="A460" s="374"/>
      <c r="C460" s="374"/>
      <c r="CV460" s="376"/>
    </row>
    <row r="461" spans="1:100">
      <c r="A461" s="374"/>
      <c r="C461" s="374"/>
      <c r="CV461" s="376"/>
    </row>
    <row r="462" spans="1:100">
      <c r="A462" s="374"/>
      <c r="C462" s="374"/>
      <c r="CV462" s="376"/>
    </row>
    <row r="463" spans="1:100">
      <c r="A463" s="374"/>
      <c r="C463" s="374"/>
      <c r="CV463" s="376"/>
    </row>
    <row r="464" spans="1:100">
      <c r="A464" s="374"/>
      <c r="C464" s="374"/>
      <c r="CV464" s="376"/>
    </row>
    <row r="465" spans="1:100">
      <c r="A465" s="374"/>
      <c r="C465" s="374"/>
      <c r="CV465" s="376"/>
    </row>
    <row r="466" spans="1:100">
      <c r="A466" s="374"/>
      <c r="C466" s="374"/>
      <c r="CV466" s="376"/>
    </row>
    <row r="467" spans="1:100">
      <c r="A467" s="374"/>
      <c r="C467" s="374"/>
      <c r="CV467" s="376"/>
    </row>
    <row r="468" spans="1:100">
      <c r="A468" s="374"/>
      <c r="C468" s="374"/>
      <c r="CV468" s="376"/>
    </row>
    <row r="469" spans="1:100">
      <c r="A469" s="374"/>
      <c r="C469" s="374"/>
      <c r="CV469" s="376"/>
    </row>
    <row r="470" spans="1:100">
      <c r="A470" s="374"/>
      <c r="C470" s="374"/>
      <c r="CV470" s="376"/>
    </row>
    <row r="471" spans="1:100">
      <c r="A471" s="374"/>
      <c r="C471" s="374"/>
      <c r="CV471" s="376"/>
    </row>
    <row r="472" spans="1:100">
      <c r="A472" s="374"/>
      <c r="C472" s="374"/>
      <c r="CV472" s="376"/>
    </row>
    <row r="473" spans="1:100">
      <c r="A473" s="374"/>
      <c r="C473" s="374"/>
      <c r="CV473" s="376"/>
    </row>
    <row r="474" spans="1:100">
      <c r="A474" s="374"/>
      <c r="C474" s="374"/>
      <c r="CV474" s="376"/>
    </row>
    <row r="475" spans="1:100">
      <c r="A475" s="374"/>
      <c r="C475" s="374"/>
      <c r="CV475" s="376"/>
    </row>
    <row r="476" spans="1:100">
      <c r="A476" s="374"/>
      <c r="C476" s="374"/>
      <c r="CV476" s="376"/>
    </row>
    <row r="477" spans="1:100">
      <c r="A477" s="374"/>
      <c r="C477" s="374"/>
      <c r="CV477" s="376"/>
    </row>
    <row r="478" spans="1:100">
      <c r="A478" s="374"/>
      <c r="C478" s="374"/>
      <c r="CV478" s="376"/>
    </row>
    <row r="479" spans="1:100">
      <c r="A479" s="374"/>
      <c r="C479" s="374"/>
      <c r="CV479" s="376"/>
    </row>
    <row r="480" spans="1:100">
      <c r="A480" s="374"/>
      <c r="C480" s="374"/>
      <c r="CV480" s="376"/>
    </row>
    <row r="481" spans="1:100">
      <c r="A481" s="374"/>
      <c r="C481" s="374"/>
      <c r="CV481" s="376"/>
    </row>
    <row r="482" spans="1:100">
      <c r="A482" s="374"/>
      <c r="C482" s="374"/>
      <c r="CV482" s="376"/>
    </row>
    <row r="483" spans="1:100">
      <c r="A483" s="374"/>
      <c r="C483" s="374"/>
      <c r="CV483" s="376"/>
    </row>
    <row r="484" spans="1:100">
      <c r="A484" s="374"/>
      <c r="C484" s="374"/>
      <c r="CV484" s="376"/>
    </row>
    <row r="485" spans="1:100">
      <c r="A485" s="374"/>
      <c r="C485" s="374"/>
      <c r="CV485" s="376"/>
    </row>
    <row r="486" spans="1:100">
      <c r="A486" s="374"/>
      <c r="C486" s="374"/>
      <c r="CV486" s="376"/>
    </row>
    <row r="487" spans="1:100">
      <c r="A487" s="374"/>
      <c r="C487" s="374"/>
      <c r="CV487" s="376"/>
    </row>
    <row r="488" spans="1:100">
      <c r="A488" s="374"/>
      <c r="C488" s="374"/>
      <c r="CV488" s="376"/>
    </row>
    <row r="489" spans="1:100">
      <c r="A489" s="374"/>
      <c r="C489" s="374"/>
      <c r="CV489" s="376"/>
    </row>
    <row r="490" spans="1:100">
      <c r="A490" s="374"/>
      <c r="C490" s="374"/>
      <c r="CV490" s="376"/>
    </row>
    <row r="491" spans="1:100">
      <c r="A491" s="374"/>
      <c r="C491" s="374"/>
      <c r="CV491" s="376"/>
    </row>
    <row r="492" spans="1:100">
      <c r="A492" s="374"/>
      <c r="C492" s="374"/>
      <c r="CV492" s="376"/>
    </row>
    <row r="493" spans="1:100">
      <c r="A493" s="374"/>
      <c r="C493" s="374"/>
      <c r="CV493" s="376"/>
    </row>
    <row r="494" spans="1:100">
      <c r="A494" s="374"/>
      <c r="C494" s="374"/>
      <c r="CV494" s="376"/>
    </row>
    <row r="495" spans="1:100">
      <c r="A495" s="374"/>
      <c r="C495" s="374"/>
      <c r="CV495" s="376"/>
    </row>
    <row r="496" spans="1:100">
      <c r="A496" s="374"/>
      <c r="C496" s="374"/>
      <c r="CV496" s="376"/>
    </row>
    <row r="497" spans="1:100">
      <c r="A497" s="374"/>
      <c r="C497" s="374"/>
      <c r="CV497" s="376"/>
    </row>
    <row r="498" spans="1:100">
      <c r="A498" s="374"/>
      <c r="C498" s="374"/>
      <c r="CV498" s="376"/>
    </row>
    <row r="499" spans="1:100">
      <c r="A499" s="374"/>
      <c r="C499" s="374"/>
      <c r="CV499" s="376"/>
    </row>
    <row r="500" spans="1:100">
      <c r="A500" s="374"/>
      <c r="C500" s="374"/>
      <c r="CV500" s="376"/>
    </row>
    <row r="501" spans="1:100">
      <c r="A501" s="374"/>
      <c r="C501" s="374"/>
      <c r="CV501" s="376"/>
    </row>
    <row r="502" spans="1:100">
      <c r="A502" s="374"/>
      <c r="C502" s="374"/>
      <c r="CV502" s="376"/>
    </row>
    <row r="503" spans="1:100">
      <c r="A503" s="374"/>
      <c r="C503" s="374"/>
      <c r="CV503" s="376"/>
    </row>
    <row r="504" spans="1:100">
      <c r="A504" s="374"/>
      <c r="C504" s="374"/>
      <c r="CV504" s="376"/>
    </row>
    <row r="505" spans="1:100">
      <c r="A505" s="374"/>
      <c r="C505" s="374"/>
      <c r="CV505" s="376"/>
    </row>
    <row r="506" spans="1:100">
      <c r="A506" s="374"/>
      <c r="C506" s="374"/>
      <c r="CV506" s="376"/>
    </row>
    <row r="507" spans="1:100">
      <c r="A507" s="374"/>
      <c r="C507" s="374"/>
      <c r="CV507" s="376"/>
    </row>
    <row r="508" spans="1:100">
      <c r="A508" s="374"/>
      <c r="C508" s="374"/>
      <c r="CV508" s="376"/>
    </row>
    <row r="509" spans="1:100">
      <c r="A509" s="374"/>
      <c r="C509" s="374"/>
      <c r="CV509" s="376"/>
    </row>
    <row r="510" spans="1:100">
      <c r="A510" s="374"/>
      <c r="C510" s="374"/>
      <c r="CV510" s="376"/>
    </row>
    <row r="511" spans="1:100">
      <c r="A511" s="374"/>
      <c r="C511" s="374"/>
      <c r="CV511" s="376"/>
    </row>
    <row r="512" spans="1:100">
      <c r="A512" s="374"/>
      <c r="C512" s="374"/>
      <c r="CV512" s="376"/>
    </row>
    <row r="513" spans="1:100">
      <c r="A513" s="374"/>
      <c r="C513" s="374"/>
      <c r="CV513" s="376"/>
    </row>
    <row r="514" spans="1:100">
      <c r="A514" s="374"/>
      <c r="C514" s="374"/>
      <c r="CV514" s="376"/>
    </row>
    <row r="515" spans="1:100">
      <c r="A515" s="374"/>
      <c r="C515" s="374"/>
      <c r="CV515" s="376"/>
    </row>
    <row r="516" spans="1:100">
      <c r="A516" s="374"/>
      <c r="C516" s="374"/>
      <c r="CV516" s="376"/>
    </row>
    <row r="517" spans="1:100">
      <c r="A517" s="374"/>
      <c r="C517" s="374"/>
      <c r="CV517" s="376"/>
    </row>
    <row r="518" spans="1:100">
      <c r="A518" s="374"/>
      <c r="C518" s="374"/>
      <c r="CV518" s="376"/>
    </row>
    <row r="519" spans="1:100">
      <c r="A519" s="374"/>
      <c r="C519" s="374"/>
      <c r="CV519" s="376"/>
    </row>
    <row r="520" spans="1:100">
      <c r="A520" s="374"/>
      <c r="C520" s="374"/>
      <c r="CV520" s="376"/>
    </row>
    <row r="521" spans="1:100">
      <c r="A521" s="374"/>
      <c r="C521" s="374"/>
      <c r="CV521" s="376"/>
    </row>
    <row r="522" spans="1:100">
      <c r="A522" s="374"/>
      <c r="C522" s="374"/>
      <c r="CV522" s="376"/>
    </row>
    <row r="523" spans="1:100">
      <c r="A523" s="374"/>
      <c r="C523" s="374"/>
      <c r="CV523" s="376"/>
    </row>
    <row r="524" spans="1:100">
      <c r="A524" s="374"/>
      <c r="C524" s="374"/>
      <c r="CV524" s="376"/>
    </row>
    <row r="525" spans="1:100">
      <c r="A525" s="374"/>
      <c r="C525" s="374"/>
      <c r="CV525" s="376"/>
    </row>
    <row r="526" spans="1:100">
      <c r="A526" s="374"/>
      <c r="C526" s="374"/>
      <c r="CV526" s="376"/>
    </row>
    <row r="527" spans="1:100">
      <c r="A527" s="374"/>
      <c r="C527" s="374"/>
      <c r="CV527" s="376"/>
    </row>
    <row r="528" spans="1:100">
      <c r="A528" s="374"/>
      <c r="C528" s="374"/>
      <c r="CV528" s="376"/>
    </row>
    <row r="529" spans="1:100">
      <c r="A529" s="374"/>
      <c r="C529" s="374"/>
      <c r="CV529" s="376"/>
    </row>
    <row r="530" spans="1:100">
      <c r="A530" s="374"/>
      <c r="C530" s="374"/>
      <c r="CV530" s="376"/>
    </row>
    <row r="531" spans="1:100">
      <c r="A531" s="374"/>
      <c r="C531" s="374"/>
      <c r="CV531" s="376"/>
    </row>
    <row r="532" spans="1:100">
      <c r="A532" s="374"/>
      <c r="C532" s="374"/>
      <c r="CV532" s="376"/>
    </row>
    <row r="533" spans="1:100">
      <c r="A533" s="374"/>
      <c r="C533" s="374"/>
      <c r="CV533" s="376"/>
    </row>
    <row r="534" spans="1:100">
      <c r="A534" s="374"/>
      <c r="C534" s="374"/>
      <c r="CV534" s="376"/>
    </row>
    <row r="535" spans="1:100">
      <c r="A535" s="374"/>
      <c r="C535" s="374"/>
      <c r="CV535" s="376"/>
    </row>
    <row r="536" spans="1:100">
      <c r="A536" s="374"/>
      <c r="C536" s="374"/>
      <c r="CV536" s="376"/>
    </row>
    <row r="537" spans="1:100">
      <c r="A537" s="374"/>
      <c r="C537" s="374"/>
      <c r="CV537" s="376"/>
    </row>
    <row r="538" spans="1:100">
      <c r="A538" s="374"/>
      <c r="C538" s="374"/>
      <c r="CV538" s="376"/>
    </row>
    <row r="539" spans="1:100">
      <c r="A539" s="374"/>
      <c r="C539" s="374"/>
      <c r="CV539" s="376"/>
    </row>
    <row r="540" spans="1:100">
      <c r="A540" s="374"/>
      <c r="C540" s="374"/>
      <c r="CV540" s="376"/>
    </row>
    <row r="541" spans="1:100">
      <c r="A541" s="374"/>
      <c r="C541" s="374"/>
      <c r="CV541" s="376"/>
    </row>
    <row r="542" spans="1:100">
      <c r="A542" s="374"/>
      <c r="C542" s="374"/>
      <c r="CV542" s="376"/>
    </row>
    <row r="543" spans="1:100">
      <c r="A543" s="374"/>
      <c r="C543" s="374"/>
      <c r="CV543" s="376"/>
    </row>
    <row r="544" spans="1:100">
      <c r="A544" s="374"/>
      <c r="C544" s="374"/>
      <c r="CV544" s="376"/>
    </row>
    <row r="545" spans="1:100">
      <c r="A545" s="374"/>
      <c r="C545" s="374"/>
      <c r="CV545" s="376"/>
    </row>
    <row r="546" spans="1:100">
      <c r="A546" s="374"/>
      <c r="C546" s="374"/>
      <c r="CV546" s="376"/>
    </row>
    <row r="547" spans="1:100">
      <c r="A547" s="374"/>
      <c r="C547" s="374"/>
      <c r="CV547" s="376"/>
    </row>
    <row r="548" spans="1:100">
      <c r="A548" s="374"/>
      <c r="C548" s="374"/>
      <c r="CV548" s="376"/>
    </row>
    <row r="549" spans="1:100">
      <c r="A549" s="374"/>
      <c r="C549" s="374"/>
      <c r="CV549" s="376"/>
    </row>
    <row r="550" spans="1:100">
      <c r="A550" s="374"/>
      <c r="C550" s="374"/>
      <c r="CV550" s="376"/>
    </row>
    <row r="551" spans="1:100">
      <c r="A551" s="374"/>
      <c r="C551" s="374"/>
      <c r="CV551" s="376"/>
    </row>
    <row r="552" spans="1:100">
      <c r="A552" s="374"/>
      <c r="C552" s="374"/>
      <c r="CV552" s="376"/>
    </row>
    <row r="553" spans="1:100">
      <c r="A553" s="374"/>
      <c r="C553" s="374"/>
      <c r="CV553" s="376"/>
    </row>
    <row r="554" spans="1:100">
      <c r="A554" s="374"/>
      <c r="C554" s="374"/>
      <c r="CV554" s="376"/>
    </row>
    <row r="555" spans="1:100">
      <c r="A555" s="374"/>
      <c r="C555" s="374"/>
      <c r="CV555" s="376"/>
    </row>
    <row r="556" spans="1:100">
      <c r="A556" s="374"/>
      <c r="C556" s="374"/>
      <c r="CV556" s="376"/>
    </row>
    <row r="557" spans="1:100">
      <c r="A557" s="374"/>
      <c r="C557" s="374"/>
      <c r="CV557" s="376"/>
    </row>
    <row r="558" spans="1:100">
      <c r="A558" s="374"/>
      <c r="C558" s="374"/>
      <c r="CV558" s="376"/>
    </row>
    <row r="559" spans="1:100">
      <c r="A559" s="374"/>
      <c r="C559" s="374"/>
      <c r="CV559" s="376"/>
    </row>
    <row r="560" spans="1:100">
      <c r="A560" s="374"/>
      <c r="C560" s="374"/>
      <c r="CV560" s="376"/>
    </row>
    <row r="561" spans="1:100">
      <c r="A561" s="374"/>
      <c r="C561" s="374"/>
      <c r="CV561" s="376"/>
    </row>
    <row r="562" spans="1:100">
      <c r="A562" s="374"/>
      <c r="C562" s="374"/>
      <c r="CV562" s="376"/>
    </row>
    <row r="563" spans="1:100">
      <c r="A563" s="374"/>
      <c r="C563" s="374"/>
      <c r="CV563" s="376"/>
    </row>
    <row r="564" spans="1:100">
      <c r="A564" s="374"/>
      <c r="C564" s="374"/>
      <c r="CV564" s="376"/>
    </row>
    <row r="565" spans="1:100">
      <c r="A565" s="374"/>
      <c r="C565" s="374"/>
      <c r="CV565" s="376"/>
    </row>
    <row r="566" spans="1:100">
      <c r="A566" s="374"/>
      <c r="C566" s="374"/>
      <c r="CV566" s="376"/>
    </row>
    <row r="567" spans="1:100">
      <c r="A567" s="374"/>
      <c r="C567" s="374"/>
      <c r="CV567" s="376"/>
    </row>
    <row r="568" spans="1:100">
      <c r="A568" s="374"/>
      <c r="C568" s="374"/>
      <c r="CV568" s="376"/>
    </row>
    <row r="569" spans="1:100">
      <c r="A569" s="374"/>
      <c r="C569" s="374"/>
      <c r="CV569" s="376"/>
    </row>
    <row r="570" spans="1:100">
      <c r="A570" s="374"/>
      <c r="C570" s="374"/>
      <c r="CV570" s="376"/>
    </row>
    <row r="571" spans="1:100">
      <c r="A571" s="374"/>
      <c r="C571" s="374"/>
      <c r="CV571" s="376"/>
    </row>
    <row r="572" spans="1:100">
      <c r="A572" s="374"/>
      <c r="C572" s="374"/>
      <c r="CV572" s="376"/>
    </row>
    <row r="573" spans="1:100">
      <c r="A573" s="374"/>
      <c r="C573" s="374"/>
      <c r="CV573" s="376"/>
    </row>
    <row r="574" spans="1:100">
      <c r="A574" s="374"/>
      <c r="C574" s="374"/>
      <c r="CV574" s="376"/>
    </row>
    <row r="575" spans="1:100">
      <c r="A575" s="374"/>
      <c r="C575" s="374"/>
      <c r="CV575" s="376"/>
    </row>
    <row r="576" spans="1:100">
      <c r="A576" s="374"/>
      <c r="C576" s="374"/>
      <c r="CV576" s="376"/>
    </row>
    <row r="577" spans="1:100">
      <c r="A577" s="374"/>
      <c r="C577" s="374"/>
      <c r="CV577" s="376"/>
    </row>
    <row r="578" spans="1:100">
      <c r="A578" s="374"/>
      <c r="C578" s="374"/>
      <c r="CV578" s="376"/>
    </row>
    <row r="579" spans="1:100">
      <c r="A579" s="374"/>
      <c r="C579" s="374"/>
      <c r="CV579" s="376"/>
    </row>
    <row r="580" spans="1:100">
      <c r="A580" s="374"/>
      <c r="C580" s="374"/>
      <c r="CV580" s="376"/>
    </row>
    <row r="581" spans="1:100">
      <c r="A581" s="374"/>
      <c r="C581" s="374"/>
      <c r="CV581" s="376"/>
    </row>
    <row r="582" spans="1:100">
      <c r="A582" s="374"/>
      <c r="C582" s="374"/>
      <c r="CV582" s="376"/>
    </row>
    <row r="583" spans="1:100">
      <c r="A583" s="374"/>
      <c r="C583" s="374"/>
      <c r="CV583" s="376"/>
    </row>
    <row r="584" spans="1:100">
      <c r="A584" s="374"/>
      <c r="C584" s="374"/>
      <c r="CV584" s="376"/>
    </row>
    <row r="585" spans="1:100">
      <c r="A585" s="374"/>
      <c r="C585" s="374"/>
      <c r="CV585" s="376"/>
    </row>
    <row r="586" spans="1:100">
      <c r="A586" s="374"/>
      <c r="C586" s="374"/>
      <c r="CV586" s="376"/>
    </row>
    <row r="587" spans="1:100">
      <c r="A587" s="374"/>
      <c r="C587" s="374"/>
      <c r="CV587" s="376"/>
    </row>
    <row r="588" spans="1:100">
      <c r="A588" s="374"/>
      <c r="C588" s="374"/>
      <c r="CV588" s="376"/>
    </row>
    <row r="589" spans="1:100">
      <c r="A589" s="374"/>
      <c r="C589" s="374"/>
      <c r="CV589" s="376"/>
    </row>
    <row r="590" spans="1:100">
      <c r="A590" s="374"/>
      <c r="C590" s="374"/>
      <c r="CV590" s="376"/>
    </row>
    <row r="591" spans="1:100">
      <c r="A591" s="374"/>
      <c r="C591" s="374"/>
      <c r="CV591" s="376"/>
    </row>
    <row r="592" spans="1:100">
      <c r="A592" s="374"/>
      <c r="C592" s="374"/>
      <c r="CV592" s="376"/>
    </row>
    <row r="593" spans="1:100">
      <c r="A593" s="374"/>
      <c r="C593" s="374"/>
      <c r="CV593" s="376"/>
    </row>
    <row r="594" spans="1:100">
      <c r="A594" s="374"/>
      <c r="C594" s="374"/>
      <c r="CV594" s="376"/>
    </row>
    <row r="595" spans="1:100">
      <c r="A595" s="374"/>
      <c r="C595" s="374"/>
      <c r="CV595" s="376"/>
    </row>
    <row r="596" spans="1:100">
      <c r="A596" s="374"/>
      <c r="C596" s="374"/>
      <c r="CV596" s="376"/>
    </row>
    <row r="597" spans="1:100">
      <c r="A597" s="374"/>
      <c r="C597" s="374"/>
      <c r="CV597" s="376"/>
    </row>
    <row r="598" spans="1:100">
      <c r="A598" s="374"/>
      <c r="C598" s="374"/>
      <c r="CV598" s="376"/>
    </row>
    <row r="599" spans="1:100">
      <c r="A599" s="374"/>
      <c r="C599" s="374"/>
      <c r="CV599" s="376"/>
    </row>
    <row r="600" spans="1:100">
      <c r="A600" s="374"/>
      <c r="C600" s="374"/>
      <c r="CV600" s="376"/>
    </row>
    <row r="601" spans="1:100">
      <c r="A601" s="374"/>
      <c r="C601" s="374"/>
      <c r="CV601" s="376"/>
    </row>
    <row r="602" spans="1:100">
      <c r="A602" s="374"/>
      <c r="C602" s="374"/>
      <c r="CV602" s="376"/>
    </row>
    <row r="603" spans="1:100">
      <c r="A603" s="374"/>
      <c r="C603" s="374"/>
      <c r="CV603" s="376"/>
    </row>
    <row r="604" spans="1:100">
      <c r="A604" s="374"/>
      <c r="C604" s="374"/>
      <c r="CV604" s="376"/>
    </row>
    <row r="605" spans="1:100">
      <c r="A605" s="374"/>
      <c r="C605" s="374"/>
      <c r="CV605" s="376"/>
    </row>
    <row r="606" spans="1:100">
      <c r="A606" s="374"/>
      <c r="C606" s="374"/>
      <c r="CV606" s="376"/>
    </row>
    <row r="607" spans="1:100">
      <c r="A607" s="374"/>
      <c r="C607" s="374"/>
      <c r="CV607" s="376"/>
    </row>
    <row r="608" spans="1:100">
      <c r="A608" s="374"/>
      <c r="C608" s="374"/>
      <c r="CV608" s="376"/>
    </row>
    <row r="609" spans="1:100">
      <c r="A609" s="374"/>
      <c r="C609" s="374"/>
      <c r="CV609" s="376"/>
    </row>
    <row r="610" spans="1:100">
      <c r="A610" s="374"/>
      <c r="C610" s="374"/>
      <c r="CV610" s="376"/>
    </row>
    <row r="611" spans="1:100">
      <c r="A611" s="374"/>
      <c r="C611" s="374"/>
      <c r="CV611" s="376"/>
    </row>
    <row r="612" spans="1:100">
      <c r="A612" s="374"/>
      <c r="C612" s="374"/>
      <c r="CV612" s="376"/>
    </row>
    <row r="613" spans="1:100">
      <c r="A613" s="374"/>
      <c r="C613" s="374"/>
      <c r="CV613" s="376"/>
    </row>
    <row r="614" spans="1:100">
      <c r="A614" s="374"/>
      <c r="C614" s="374"/>
      <c r="CV614" s="376"/>
    </row>
    <row r="615" spans="1:100">
      <c r="A615" s="374"/>
      <c r="C615" s="374"/>
      <c r="CV615" s="376"/>
    </row>
    <row r="616" spans="1:100">
      <c r="A616" s="374"/>
      <c r="C616" s="374"/>
      <c r="CV616" s="376"/>
    </row>
    <row r="617" spans="1:100">
      <c r="A617" s="374"/>
      <c r="C617" s="374"/>
      <c r="CV617" s="376"/>
    </row>
    <row r="618" spans="1:100">
      <c r="A618" s="374"/>
      <c r="C618" s="374"/>
      <c r="CV618" s="376"/>
    </row>
    <row r="619" spans="1:100">
      <c r="A619" s="374"/>
      <c r="C619" s="374"/>
      <c r="CV619" s="376"/>
    </row>
    <row r="620" spans="1:100">
      <c r="A620" s="374"/>
      <c r="C620" s="374"/>
      <c r="CV620" s="376"/>
    </row>
    <row r="621" spans="1:100">
      <c r="A621" s="374"/>
      <c r="C621" s="374"/>
      <c r="CV621" s="376"/>
    </row>
    <row r="622" spans="1:100">
      <c r="A622" s="374"/>
      <c r="C622" s="374"/>
      <c r="CV622" s="376"/>
    </row>
    <row r="623" spans="1:100">
      <c r="A623" s="374"/>
      <c r="C623" s="374"/>
      <c r="CV623" s="376"/>
    </row>
    <row r="624" spans="1:100">
      <c r="A624" s="374"/>
      <c r="C624" s="374"/>
      <c r="CV624" s="376"/>
    </row>
    <row r="625" spans="1:100">
      <c r="A625" s="374"/>
      <c r="C625" s="374"/>
      <c r="CV625" s="376"/>
    </row>
    <row r="626" spans="1:100">
      <c r="A626" s="374"/>
      <c r="C626" s="374"/>
      <c r="CV626" s="376"/>
    </row>
    <row r="627" spans="1:100">
      <c r="A627" s="374"/>
      <c r="C627" s="374"/>
      <c r="CV627" s="376"/>
    </row>
    <row r="628" spans="1:100">
      <c r="A628" s="374"/>
      <c r="C628" s="374"/>
      <c r="CV628" s="376"/>
    </row>
    <row r="629" spans="1:100">
      <c r="A629" s="374"/>
      <c r="C629" s="374"/>
      <c r="CV629" s="376"/>
    </row>
    <row r="630" spans="1:100">
      <c r="A630" s="374"/>
      <c r="C630" s="374"/>
      <c r="CV630" s="376"/>
    </row>
    <row r="631" spans="1:100">
      <c r="A631" s="374"/>
      <c r="C631" s="374"/>
      <c r="CV631" s="376"/>
    </row>
    <row r="632" spans="1:100">
      <c r="A632" s="374"/>
      <c r="C632" s="374"/>
      <c r="CV632" s="376"/>
    </row>
    <row r="633" spans="1:100">
      <c r="A633" s="374"/>
      <c r="C633" s="374"/>
      <c r="CV633" s="376"/>
    </row>
    <row r="634" spans="1:100">
      <c r="A634" s="374"/>
      <c r="C634" s="374"/>
      <c r="CV634" s="376"/>
    </row>
    <row r="635" spans="1:100">
      <c r="A635" s="374"/>
      <c r="C635" s="374"/>
      <c r="CV635" s="376"/>
    </row>
    <row r="636" spans="1:100">
      <c r="A636" s="374"/>
      <c r="C636" s="374"/>
      <c r="CV636" s="376"/>
    </row>
    <row r="637" spans="1:100">
      <c r="A637" s="374"/>
      <c r="C637" s="374"/>
      <c r="CV637" s="376"/>
    </row>
    <row r="638" spans="1:100">
      <c r="A638" s="374"/>
      <c r="C638" s="374"/>
      <c r="CV638" s="376"/>
    </row>
    <row r="639" spans="1:100">
      <c r="A639" s="374"/>
      <c r="C639" s="374"/>
      <c r="CV639" s="376"/>
    </row>
    <row r="640" spans="1:100">
      <c r="A640" s="374"/>
      <c r="C640" s="374"/>
      <c r="CV640" s="376"/>
    </row>
    <row r="641" spans="1:100">
      <c r="A641" s="374"/>
      <c r="C641" s="374"/>
      <c r="CV641" s="376"/>
    </row>
    <row r="642" spans="1:100">
      <c r="A642" s="374"/>
      <c r="C642" s="374"/>
      <c r="CV642" s="376"/>
    </row>
    <row r="643" spans="1:100">
      <c r="A643" s="374"/>
      <c r="C643" s="374"/>
      <c r="CV643" s="376"/>
    </row>
    <row r="644" spans="1:100">
      <c r="A644" s="374"/>
      <c r="C644" s="374"/>
      <c r="CV644" s="376"/>
    </row>
    <row r="645" spans="1:100">
      <c r="A645" s="374"/>
      <c r="C645" s="374"/>
      <c r="CV645" s="376"/>
    </row>
    <row r="646" spans="1:100">
      <c r="A646" s="374"/>
      <c r="C646" s="374"/>
      <c r="CV646" s="376"/>
    </row>
    <row r="647" spans="1:100">
      <c r="A647" s="374"/>
      <c r="C647" s="374"/>
      <c r="CV647" s="376"/>
    </row>
    <row r="648" spans="1:100">
      <c r="A648" s="374"/>
      <c r="C648" s="374"/>
      <c r="CV648" s="376"/>
    </row>
    <row r="649" spans="1:100">
      <c r="A649" s="374"/>
      <c r="C649" s="374"/>
      <c r="CV649" s="376"/>
    </row>
    <row r="650" spans="1:100">
      <c r="A650" s="374"/>
      <c r="C650" s="374"/>
      <c r="CV650" s="376"/>
    </row>
    <row r="651" spans="1:100">
      <c r="A651" s="374"/>
      <c r="C651" s="374"/>
      <c r="CV651" s="376"/>
    </row>
    <row r="652" spans="1:100">
      <c r="A652" s="374"/>
      <c r="C652" s="374"/>
      <c r="CV652" s="376"/>
    </row>
    <row r="653" spans="1:100">
      <c r="A653" s="374"/>
      <c r="C653" s="374"/>
      <c r="CV653" s="376"/>
    </row>
    <row r="654" spans="1:100">
      <c r="A654" s="374"/>
      <c r="C654" s="374"/>
      <c r="CV654" s="376"/>
    </row>
    <row r="655" spans="1:100">
      <c r="A655" s="374"/>
      <c r="C655" s="374"/>
      <c r="CV655" s="376"/>
    </row>
    <row r="656" spans="1:100">
      <c r="A656" s="374"/>
      <c r="C656" s="374"/>
      <c r="CV656" s="376"/>
    </row>
    <row r="657" spans="1:100">
      <c r="A657" s="374"/>
      <c r="C657" s="374"/>
      <c r="CV657" s="376"/>
    </row>
    <row r="658" spans="1:100">
      <c r="A658" s="374"/>
      <c r="C658" s="374"/>
      <c r="CV658" s="376"/>
    </row>
    <row r="659" spans="1:100">
      <c r="A659" s="374"/>
      <c r="C659" s="374"/>
      <c r="CV659" s="376"/>
    </row>
    <row r="660" spans="1:100">
      <c r="A660" s="374"/>
      <c r="C660" s="374"/>
      <c r="CV660" s="376"/>
    </row>
    <row r="661" spans="1:100">
      <c r="A661" s="374"/>
      <c r="C661" s="374"/>
      <c r="CV661" s="376"/>
    </row>
    <row r="662" spans="1:100">
      <c r="A662" s="374"/>
      <c r="C662" s="374"/>
      <c r="CV662" s="376"/>
    </row>
    <row r="663" spans="1:100">
      <c r="A663" s="374"/>
      <c r="C663" s="374"/>
      <c r="CV663" s="376"/>
    </row>
    <row r="664" spans="1:100">
      <c r="A664" s="374"/>
      <c r="C664" s="374"/>
      <c r="CV664" s="376"/>
    </row>
    <row r="665" spans="1:100">
      <c r="A665" s="374"/>
      <c r="C665" s="374"/>
      <c r="CV665" s="376"/>
    </row>
    <row r="666" spans="1:100">
      <c r="A666" s="374"/>
      <c r="C666" s="374"/>
      <c r="CV666" s="376"/>
    </row>
    <row r="667" spans="1:100">
      <c r="A667" s="374"/>
      <c r="C667" s="374"/>
      <c r="CV667" s="376"/>
    </row>
    <row r="668" spans="1:100">
      <c r="A668" s="374"/>
      <c r="C668" s="374"/>
      <c r="CV668" s="376"/>
    </row>
    <row r="669" spans="1:100">
      <c r="A669" s="374"/>
      <c r="C669" s="374"/>
      <c r="CV669" s="376"/>
    </row>
    <row r="670" spans="1:100">
      <c r="A670" s="374"/>
      <c r="C670" s="374"/>
      <c r="CV670" s="376"/>
    </row>
    <row r="671" spans="1:100">
      <c r="A671" s="374"/>
      <c r="C671" s="374"/>
      <c r="CV671" s="376"/>
    </row>
    <row r="672" spans="1:100">
      <c r="A672" s="374"/>
      <c r="C672" s="374"/>
      <c r="CV672" s="376"/>
    </row>
    <row r="673" spans="1:100">
      <c r="A673" s="374"/>
      <c r="C673" s="374"/>
      <c r="CV673" s="376"/>
    </row>
    <row r="674" spans="1:100">
      <c r="A674" s="374"/>
      <c r="C674" s="374"/>
      <c r="CV674" s="376"/>
    </row>
    <row r="675" spans="1:100">
      <c r="A675" s="374"/>
      <c r="C675" s="374"/>
      <c r="CV675" s="376"/>
    </row>
    <row r="676" spans="1:100">
      <c r="A676" s="374"/>
      <c r="C676" s="374"/>
      <c r="CV676" s="376"/>
    </row>
    <row r="677" spans="1:100">
      <c r="A677" s="374"/>
      <c r="C677" s="374"/>
      <c r="CV677" s="376"/>
    </row>
    <row r="678" spans="1:100">
      <c r="A678" s="374"/>
      <c r="C678" s="374"/>
      <c r="CV678" s="376"/>
    </row>
    <row r="679" spans="1:100">
      <c r="A679" s="374"/>
      <c r="C679" s="374"/>
      <c r="CV679" s="376"/>
    </row>
    <row r="680" spans="1:100">
      <c r="A680" s="374"/>
      <c r="C680" s="374"/>
      <c r="CV680" s="376"/>
    </row>
    <row r="681" spans="1:100">
      <c r="A681" s="374"/>
      <c r="C681" s="374"/>
      <c r="CV681" s="376"/>
    </row>
    <row r="682" spans="1:100">
      <c r="A682" s="374"/>
      <c r="C682" s="374"/>
      <c r="CV682" s="376"/>
    </row>
    <row r="683" spans="1:100">
      <c r="A683" s="374"/>
      <c r="C683" s="374"/>
      <c r="CV683" s="376"/>
    </row>
    <row r="684" spans="1:100">
      <c r="A684" s="374"/>
      <c r="C684" s="374"/>
      <c r="CV684" s="376"/>
    </row>
    <row r="685" spans="1:100">
      <c r="A685" s="374"/>
      <c r="C685" s="374"/>
      <c r="CV685" s="376"/>
    </row>
    <row r="686" spans="1:100">
      <c r="A686" s="374"/>
      <c r="C686" s="374"/>
      <c r="CV686" s="376"/>
    </row>
    <row r="687" spans="1:100">
      <c r="A687" s="374"/>
      <c r="C687" s="374"/>
      <c r="CV687" s="376"/>
    </row>
    <row r="688" spans="1:100">
      <c r="A688" s="374"/>
      <c r="C688" s="374"/>
      <c r="CV688" s="376"/>
    </row>
    <row r="689" spans="1:100">
      <c r="A689" s="374"/>
      <c r="C689" s="374"/>
      <c r="CV689" s="376"/>
    </row>
    <row r="690" spans="1:100">
      <c r="A690" s="374"/>
      <c r="C690" s="374"/>
      <c r="CV690" s="376"/>
    </row>
    <row r="691" spans="1:100">
      <c r="A691" s="374"/>
      <c r="C691" s="374"/>
      <c r="CV691" s="376"/>
    </row>
    <row r="692" spans="1:100">
      <c r="A692" s="374"/>
      <c r="C692" s="374"/>
      <c r="CV692" s="376"/>
    </row>
    <row r="693" spans="1:100">
      <c r="A693" s="374"/>
      <c r="C693" s="374"/>
      <c r="CV693" s="376"/>
    </row>
    <row r="694" spans="1:100">
      <c r="A694" s="374"/>
      <c r="C694" s="374"/>
      <c r="CV694" s="376"/>
    </row>
    <row r="695" spans="1:100">
      <c r="A695" s="374"/>
      <c r="C695" s="374"/>
      <c r="CV695" s="376"/>
    </row>
    <row r="696" spans="1:100">
      <c r="A696" s="374"/>
      <c r="C696" s="374"/>
      <c r="CV696" s="376"/>
    </row>
    <row r="697" spans="1:100">
      <c r="A697" s="374"/>
      <c r="C697" s="374"/>
      <c r="CV697" s="376"/>
    </row>
    <row r="698" spans="1:100">
      <c r="A698" s="374"/>
      <c r="C698" s="374"/>
      <c r="CV698" s="376"/>
    </row>
    <row r="699" spans="1:100">
      <c r="A699" s="374"/>
      <c r="C699" s="374"/>
      <c r="CV699" s="376"/>
    </row>
    <row r="700" spans="1:100">
      <c r="A700" s="374"/>
      <c r="C700" s="374"/>
      <c r="CV700" s="376"/>
    </row>
    <row r="701" spans="1:100">
      <c r="A701" s="374"/>
      <c r="C701" s="374"/>
      <c r="CV701" s="376"/>
    </row>
    <row r="702" spans="1:100">
      <c r="A702" s="374"/>
      <c r="C702" s="374"/>
      <c r="CV702" s="376"/>
    </row>
    <row r="703" spans="1:100">
      <c r="A703" s="374"/>
      <c r="C703" s="374"/>
      <c r="CV703" s="376"/>
    </row>
    <row r="704" spans="1:100">
      <c r="A704" s="374"/>
      <c r="C704" s="374"/>
      <c r="CV704" s="376"/>
    </row>
    <row r="705" spans="1:100">
      <c r="A705" s="374"/>
      <c r="C705" s="374"/>
      <c r="CV705" s="376"/>
    </row>
    <row r="706" spans="1:100">
      <c r="A706" s="374"/>
      <c r="C706" s="374"/>
      <c r="CV706" s="376"/>
    </row>
    <row r="707" spans="1:100">
      <c r="A707" s="374"/>
      <c r="C707" s="374"/>
      <c r="CV707" s="376"/>
    </row>
    <row r="708" spans="1:100">
      <c r="A708" s="374"/>
      <c r="C708" s="374"/>
      <c r="CV708" s="376"/>
    </row>
    <row r="709" spans="1:100">
      <c r="A709" s="374"/>
      <c r="C709" s="374"/>
      <c r="CV709" s="376"/>
    </row>
    <row r="710" spans="1:100">
      <c r="A710" s="374"/>
      <c r="C710" s="374"/>
      <c r="CV710" s="376"/>
    </row>
    <row r="711" spans="1:100">
      <c r="A711" s="374"/>
      <c r="C711" s="374"/>
      <c r="CV711" s="376"/>
    </row>
    <row r="712" spans="1:100">
      <c r="A712" s="374"/>
      <c r="C712" s="374"/>
      <c r="CV712" s="376"/>
    </row>
    <row r="713" spans="1:100">
      <c r="A713" s="374"/>
      <c r="C713" s="374"/>
      <c r="CV713" s="376"/>
    </row>
    <row r="714" spans="1:100">
      <c r="A714" s="374"/>
      <c r="C714" s="374"/>
      <c r="CV714" s="376"/>
    </row>
    <row r="715" spans="1:100">
      <c r="A715" s="374"/>
      <c r="C715" s="374"/>
      <c r="CV715" s="376"/>
    </row>
    <row r="716" spans="1:100">
      <c r="A716" s="374"/>
      <c r="C716" s="374"/>
      <c r="CV716" s="376"/>
    </row>
    <row r="717" spans="1:100">
      <c r="A717" s="374"/>
      <c r="C717" s="374"/>
      <c r="CV717" s="376"/>
    </row>
    <row r="718" spans="1:100">
      <c r="A718" s="374"/>
      <c r="C718" s="374"/>
      <c r="CV718" s="376"/>
    </row>
    <row r="719" spans="1:100">
      <c r="A719" s="374"/>
      <c r="C719" s="374"/>
      <c r="CV719" s="376"/>
    </row>
    <row r="720" spans="1:100">
      <c r="A720" s="374"/>
      <c r="C720" s="374"/>
      <c r="CV720" s="376"/>
    </row>
    <row r="721" spans="1:100">
      <c r="A721" s="374"/>
      <c r="C721" s="374"/>
      <c r="CV721" s="376"/>
    </row>
    <row r="722" spans="1:100">
      <c r="A722" s="374"/>
      <c r="C722" s="374"/>
      <c r="CV722" s="376"/>
    </row>
    <row r="723" spans="1:100">
      <c r="A723" s="374"/>
      <c r="C723" s="374"/>
      <c r="CV723" s="376"/>
    </row>
    <row r="724" spans="1:100">
      <c r="A724" s="374"/>
      <c r="C724" s="374"/>
      <c r="CV724" s="376"/>
    </row>
    <row r="725" spans="1:100">
      <c r="A725" s="374"/>
      <c r="C725" s="374"/>
      <c r="CV725" s="376"/>
    </row>
    <row r="726" spans="1:100">
      <c r="A726" s="374"/>
      <c r="C726" s="374"/>
      <c r="CV726" s="376"/>
    </row>
    <row r="727" spans="1:100">
      <c r="A727" s="374"/>
      <c r="C727" s="374"/>
      <c r="CV727" s="376"/>
    </row>
    <row r="728" spans="1:100">
      <c r="A728" s="374"/>
      <c r="C728" s="374"/>
      <c r="CV728" s="376"/>
    </row>
    <row r="729" spans="1:100">
      <c r="A729" s="374"/>
      <c r="C729" s="374"/>
      <c r="CV729" s="376"/>
    </row>
    <row r="730" spans="1:100">
      <c r="A730" s="374"/>
      <c r="C730" s="374"/>
      <c r="CV730" s="376"/>
    </row>
    <row r="731" spans="1:100">
      <c r="A731" s="374"/>
      <c r="C731" s="374"/>
      <c r="CV731" s="376"/>
    </row>
    <row r="732" spans="1:100">
      <c r="A732" s="374"/>
      <c r="C732" s="374"/>
      <c r="CV732" s="376"/>
    </row>
    <row r="733" spans="1:100">
      <c r="A733" s="374"/>
      <c r="C733" s="374"/>
      <c r="CV733" s="376"/>
    </row>
    <row r="734" spans="1:100">
      <c r="A734" s="374"/>
      <c r="C734" s="374"/>
      <c r="CV734" s="376"/>
    </row>
    <row r="735" spans="1:100">
      <c r="A735" s="374"/>
      <c r="C735" s="374"/>
      <c r="CV735" s="376"/>
    </row>
    <row r="736" spans="1:100">
      <c r="A736" s="374"/>
      <c r="C736" s="374"/>
      <c r="CV736" s="376"/>
    </row>
    <row r="737" spans="1:100">
      <c r="A737" s="374"/>
      <c r="C737" s="374"/>
      <c r="CV737" s="376"/>
    </row>
    <row r="738" spans="1:100">
      <c r="A738" s="374"/>
      <c r="C738" s="374"/>
      <c r="CV738" s="376"/>
    </row>
    <row r="739" spans="1:100">
      <c r="A739" s="374"/>
      <c r="C739" s="374"/>
      <c r="CV739" s="376"/>
    </row>
    <row r="740" spans="1:100">
      <c r="A740" s="374"/>
      <c r="C740" s="374"/>
      <c r="CV740" s="376"/>
    </row>
    <row r="741" spans="1:100">
      <c r="A741" s="374"/>
      <c r="C741" s="374"/>
      <c r="CV741" s="376"/>
    </row>
    <row r="742" spans="1:100">
      <c r="A742" s="374"/>
      <c r="C742" s="374"/>
      <c r="CV742" s="376"/>
    </row>
    <row r="743" spans="1:100">
      <c r="A743" s="374"/>
      <c r="C743" s="374"/>
      <c r="CV743" s="376"/>
    </row>
    <row r="744" spans="1:100">
      <c r="A744" s="374"/>
      <c r="C744" s="374"/>
      <c r="CV744" s="376"/>
    </row>
    <row r="745" spans="1:100">
      <c r="A745" s="374"/>
      <c r="C745" s="374"/>
      <c r="CV745" s="376"/>
    </row>
    <row r="746" spans="1:100">
      <c r="A746" s="374"/>
      <c r="C746" s="374"/>
      <c r="CV746" s="376"/>
    </row>
    <row r="747" spans="1:100">
      <c r="A747" s="374"/>
      <c r="C747" s="374"/>
      <c r="CV747" s="376"/>
    </row>
    <row r="748" spans="1:100">
      <c r="A748" s="374"/>
      <c r="C748" s="374"/>
      <c r="CV748" s="376"/>
    </row>
    <row r="749" spans="1:100">
      <c r="A749" s="374"/>
      <c r="C749" s="374"/>
      <c r="CV749" s="376"/>
    </row>
    <row r="750" spans="1:100">
      <c r="A750" s="374"/>
      <c r="C750" s="374"/>
      <c r="CV750" s="376"/>
    </row>
    <row r="751" spans="1:100">
      <c r="A751" s="374"/>
      <c r="C751" s="374"/>
      <c r="CV751" s="376"/>
    </row>
    <row r="752" spans="1:100">
      <c r="A752" s="374"/>
      <c r="C752" s="374"/>
      <c r="CV752" s="376"/>
    </row>
    <row r="753" spans="1:100">
      <c r="A753" s="374"/>
      <c r="C753" s="374"/>
      <c r="CV753" s="376"/>
    </row>
    <row r="754" spans="1:100">
      <c r="A754" s="374"/>
      <c r="C754" s="374"/>
      <c r="CV754" s="376"/>
    </row>
    <row r="755" spans="1:100">
      <c r="A755" s="374"/>
      <c r="C755" s="374"/>
      <c r="CV755" s="376"/>
    </row>
    <row r="756" spans="1:100">
      <c r="A756" s="374"/>
      <c r="C756" s="374"/>
      <c r="CV756" s="376"/>
    </row>
    <row r="757" spans="1:100">
      <c r="A757" s="374"/>
      <c r="C757" s="374"/>
      <c r="CV757" s="376"/>
    </row>
    <row r="758" spans="1:100">
      <c r="A758" s="374"/>
      <c r="C758" s="374"/>
      <c r="CV758" s="376"/>
    </row>
    <row r="759" spans="1:100">
      <c r="A759" s="374"/>
      <c r="C759" s="374"/>
      <c r="CV759" s="376"/>
    </row>
    <row r="760" spans="1:100">
      <c r="A760" s="374"/>
      <c r="C760" s="374"/>
      <c r="CV760" s="376"/>
    </row>
    <row r="761" spans="1:100">
      <c r="A761" s="374"/>
      <c r="C761" s="374"/>
      <c r="CV761" s="376"/>
    </row>
    <row r="762" spans="1:100">
      <c r="A762" s="374"/>
      <c r="C762" s="374"/>
      <c r="CV762" s="376"/>
    </row>
    <row r="763" spans="1:100">
      <c r="A763" s="374"/>
      <c r="C763" s="374"/>
      <c r="CV763" s="376"/>
    </row>
    <row r="764" spans="1:100">
      <c r="A764" s="374"/>
      <c r="C764" s="374"/>
      <c r="CV764" s="376"/>
    </row>
    <row r="765" spans="1:100">
      <c r="A765" s="374"/>
      <c r="C765" s="374"/>
      <c r="CV765" s="376"/>
    </row>
    <row r="766" spans="1:100">
      <c r="A766" s="374"/>
      <c r="C766" s="374"/>
      <c r="CV766" s="376"/>
    </row>
    <row r="767" spans="1:100">
      <c r="A767" s="374"/>
      <c r="C767" s="374"/>
      <c r="CV767" s="376"/>
    </row>
    <row r="768" spans="1:100">
      <c r="A768" s="374"/>
      <c r="C768" s="374"/>
      <c r="CV768" s="376"/>
    </row>
    <row r="769" spans="1:100">
      <c r="A769" s="374"/>
      <c r="C769" s="374"/>
      <c r="CV769" s="376"/>
    </row>
    <row r="770" spans="1:100">
      <c r="A770" s="374"/>
      <c r="C770" s="374"/>
      <c r="CV770" s="376"/>
    </row>
    <row r="771" spans="1:100">
      <c r="A771" s="374"/>
      <c r="C771" s="374"/>
      <c r="CV771" s="376"/>
    </row>
    <row r="772" spans="1:100">
      <c r="A772" s="374"/>
      <c r="C772" s="374"/>
      <c r="CV772" s="376"/>
    </row>
    <row r="773" spans="1:100">
      <c r="A773" s="374"/>
      <c r="C773" s="374"/>
      <c r="CV773" s="376"/>
    </row>
    <row r="774" spans="1:100">
      <c r="A774" s="374"/>
      <c r="C774" s="374"/>
      <c r="CV774" s="376"/>
    </row>
    <row r="775" spans="1:100">
      <c r="A775" s="374"/>
      <c r="C775" s="374"/>
      <c r="CV775" s="376"/>
    </row>
    <row r="776" spans="1:100">
      <c r="A776" s="374"/>
      <c r="C776" s="374"/>
      <c r="CV776" s="376"/>
    </row>
    <row r="777" spans="1:100">
      <c r="A777" s="374"/>
      <c r="C777" s="374"/>
      <c r="CV777" s="376"/>
    </row>
    <row r="778" spans="1:100">
      <c r="A778" s="374"/>
      <c r="C778" s="374"/>
      <c r="CV778" s="376"/>
    </row>
    <row r="779" spans="1:100">
      <c r="A779" s="374"/>
      <c r="C779" s="374"/>
      <c r="CV779" s="376"/>
    </row>
    <row r="780" spans="1:100">
      <c r="A780" s="374"/>
      <c r="C780" s="374"/>
      <c r="CV780" s="376"/>
    </row>
    <row r="781" spans="1:100">
      <c r="A781" s="374"/>
      <c r="C781" s="374"/>
      <c r="CV781" s="376"/>
    </row>
    <row r="782" spans="1:100">
      <c r="A782" s="374"/>
      <c r="C782" s="374"/>
      <c r="CV782" s="376"/>
    </row>
    <row r="783" spans="1:100">
      <c r="A783" s="374"/>
      <c r="C783" s="374"/>
      <c r="CV783" s="376"/>
    </row>
    <row r="784" spans="1:100">
      <c r="A784" s="374"/>
      <c r="C784" s="374"/>
      <c r="CV784" s="376"/>
    </row>
    <row r="785" spans="1:100">
      <c r="A785" s="374"/>
      <c r="C785" s="374"/>
      <c r="CV785" s="376"/>
    </row>
    <row r="786" spans="1:100">
      <c r="A786" s="374"/>
      <c r="C786" s="374"/>
      <c r="CV786" s="376"/>
    </row>
    <row r="787" spans="1:100">
      <c r="A787" s="374"/>
      <c r="C787" s="374"/>
      <c r="CV787" s="376"/>
    </row>
    <row r="788" spans="1:100">
      <c r="A788" s="374"/>
      <c r="C788" s="374"/>
      <c r="CV788" s="376"/>
    </row>
    <row r="789" spans="1:100">
      <c r="A789" s="374"/>
      <c r="C789" s="374"/>
      <c r="CV789" s="376"/>
    </row>
    <row r="790" spans="1:100">
      <c r="A790" s="374"/>
      <c r="C790" s="374"/>
      <c r="CV790" s="376"/>
    </row>
    <row r="791" spans="1:100">
      <c r="A791" s="374"/>
      <c r="C791" s="374"/>
      <c r="CV791" s="376"/>
    </row>
    <row r="792" spans="1:100">
      <c r="A792" s="374"/>
      <c r="C792" s="374"/>
      <c r="CV792" s="376"/>
    </row>
    <row r="793" spans="1:100">
      <c r="A793" s="374"/>
      <c r="C793" s="374"/>
      <c r="CV793" s="376"/>
    </row>
    <row r="794" spans="1:100">
      <c r="A794" s="374"/>
      <c r="C794" s="374"/>
      <c r="CV794" s="376"/>
    </row>
    <row r="795" spans="1:100">
      <c r="A795" s="374"/>
      <c r="C795" s="374"/>
      <c r="CV795" s="376"/>
    </row>
    <row r="796" spans="1:100">
      <c r="A796" s="374"/>
      <c r="C796" s="374"/>
      <c r="CV796" s="376"/>
    </row>
    <row r="797" spans="1:100">
      <c r="A797" s="374"/>
      <c r="C797" s="374"/>
      <c r="CV797" s="376"/>
    </row>
    <row r="798" spans="1:100">
      <c r="A798" s="374"/>
      <c r="C798" s="374"/>
      <c r="CV798" s="376"/>
    </row>
    <row r="799" spans="1:100">
      <c r="A799" s="374"/>
      <c r="C799" s="374"/>
      <c r="CV799" s="376"/>
    </row>
    <row r="800" spans="1:100">
      <c r="A800" s="374"/>
      <c r="C800" s="374"/>
      <c r="CV800" s="376"/>
    </row>
    <row r="801" spans="1:100">
      <c r="A801" s="374"/>
      <c r="C801" s="374"/>
      <c r="CV801" s="376"/>
    </row>
    <row r="802" spans="1:100">
      <c r="A802" s="374"/>
      <c r="C802" s="374"/>
      <c r="CV802" s="376"/>
    </row>
    <row r="803" spans="1:100">
      <c r="A803" s="374"/>
      <c r="C803" s="374"/>
      <c r="CV803" s="376"/>
    </row>
    <row r="804" spans="1:100">
      <c r="A804" s="374"/>
      <c r="C804" s="374"/>
      <c r="CV804" s="376"/>
    </row>
    <row r="805" spans="1:100">
      <c r="A805" s="374"/>
      <c r="C805" s="374"/>
      <c r="CV805" s="376"/>
    </row>
    <row r="806" spans="1:100">
      <c r="A806" s="374"/>
      <c r="C806" s="374"/>
      <c r="CV806" s="376"/>
    </row>
    <row r="807" spans="1:100">
      <c r="A807" s="374"/>
      <c r="C807" s="374"/>
      <c r="CV807" s="376"/>
    </row>
    <row r="808" spans="1:100">
      <c r="A808" s="374"/>
      <c r="C808" s="374"/>
      <c r="CV808" s="376"/>
    </row>
    <row r="809" spans="1:100">
      <c r="A809" s="374"/>
      <c r="C809" s="374"/>
      <c r="CV809" s="376"/>
    </row>
    <row r="810" spans="1:100">
      <c r="A810" s="374"/>
      <c r="C810" s="374"/>
      <c r="CV810" s="376"/>
    </row>
    <row r="811" spans="1:100">
      <c r="A811" s="374"/>
      <c r="C811" s="374"/>
      <c r="CV811" s="376"/>
    </row>
    <row r="812" spans="1:100">
      <c r="A812" s="374"/>
      <c r="C812" s="374"/>
      <c r="CV812" s="376"/>
    </row>
    <row r="813" spans="1:100">
      <c r="A813" s="374"/>
      <c r="C813" s="374"/>
      <c r="CV813" s="376"/>
    </row>
    <row r="814" spans="1:100">
      <c r="A814" s="374"/>
      <c r="C814" s="374"/>
      <c r="CV814" s="376"/>
    </row>
    <row r="815" spans="1:100">
      <c r="A815" s="374"/>
      <c r="C815" s="374"/>
      <c r="CV815" s="376"/>
    </row>
    <row r="816" spans="1:100">
      <c r="A816" s="374"/>
      <c r="C816" s="374"/>
      <c r="CV816" s="376"/>
    </row>
    <row r="817" spans="1:100">
      <c r="A817" s="374"/>
      <c r="C817" s="374"/>
      <c r="CV817" s="376"/>
    </row>
    <row r="818" spans="1:100">
      <c r="A818" s="374"/>
      <c r="C818" s="374"/>
      <c r="CV818" s="376"/>
    </row>
    <row r="819" spans="1:100">
      <c r="A819" s="374"/>
      <c r="C819" s="374"/>
      <c r="CV819" s="376"/>
    </row>
    <row r="820" spans="1:100">
      <c r="A820" s="374"/>
      <c r="C820" s="374"/>
      <c r="CV820" s="376"/>
    </row>
    <row r="821" spans="1:100">
      <c r="A821" s="374"/>
      <c r="C821" s="374"/>
      <c r="CV821" s="376"/>
    </row>
    <row r="822" spans="1:100">
      <c r="A822" s="374"/>
      <c r="C822" s="374"/>
      <c r="CV822" s="376"/>
    </row>
    <row r="823" spans="1:100">
      <c r="A823" s="374"/>
      <c r="C823" s="374"/>
      <c r="CV823" s="376"/>
    </row>
    <row r="824" spans="1:100">
      <c r="A824" s="374"/>
      <c r="C824" s="374"/>
      <c r="CV824" s="376"/>
    </row>
    <row r="825" spans="1:100">
      <c r="A825" s="374"/>
      <c r="C825" s="374"/>
      <c r="CV825" s="376"/>
    </row>
    <row r="826" spans="1:100">
      <c r="A826" s="374"/>
      <c r="C826" s="374"/>
      <c r="CV826" s="376"/>
    </row>
    <row r="827" spans="1:100">
      <c r="A827" s="374"/>
      <c r="C827" s="374"/>
      <c r="CV827" s="376"/>
    </row>
    <row r="828" spans="1:100">
      <c r="A828" s="374"/>
      <c r="C828" s="374"/>
      <c r="CV828" s="376"/>
    </row>
    <row r="829" spans="1:100">
      <c r="A829" s="374"/>
      <c r="C829" s="374"/>
      <c r="CV829" s="376"/>
    </row>
    <row r="830" spans="1:100">
      <c r="A830" s="374"/>
      <c r="C830" s="374"/>
      <c r="CV830" s="376"/>
    </row>
    <row r="831" spans="1:100">
      <c r="A831" s="374"/>
      <c r="C831" s="374"/>
      <c r="CV831" s="376"/>
    </row>
    <row r="832" spans="1:100">
      <c r="A832" s="374"/>
      <c r="C832" s="374"/>
      <c r="CV832" s="376"/>
    </row>
    <row r="833" spans="1:100">
      <c r="A833" s="374"/>
      <c r="C833" s="374"/>
      <c r="CV833" s="376"/>
    </row>
    <row r="834" spans="1:100">
      <c r="A834" s="374"/>
      <c r="C834" s="374"/>
      <c r="CV834" s="376"/>
    </row>
    <row r="835" spans="1:100">
      <c r="A835" s="374"/>
      <c r="C835" s="374"/>
      <c r="CV835" s="376"/>
    </row>
    <row r="836" spans="1:100">
      <c r="A836" s="374"/>
      <c r="C836" s="374"/>
      <c r="CV836" s="376"/>
    </row>
    <row r="837" spans="1:100">
      <c r="A837" s="374"/>
      <c r="C837" s="374"/>
      <c r="CV837" s="376"/>
    </row>
    <row r="838" spans="1:100">
      <c r="A838" s="374"/>
      <c r="C838" s="374"/>
      <c r="CV838" s="376"/>
    </row>
    <row r="839" spans="1:100">
      <c r="A839" s="374"/>
      <c r="C839" s="374"/>
      <c r="CV839" s="376"/>
    </row>
    <row r="840" spans="1:100">
      <c r="A840" s="374"/>
      <c r="C840" s="374"/>
      <c r="CV840" s="376"/>
    </row>
    <row r="841" spans="1:100">
      <c r="A841" s="374"/>
      <c r="C841" s="374"/>
      <c r="CV841" s="376"/>
    </row>
    <row r="842" spans="1:100">
      <c r="A842" s="374"/>
      <c r="C842" s="374"/>
      <c r="CV842" s="376"/>
    </row>
    <row r="843" spans="1:100">
      <c r="A843" s="374"/>
      <c r="C843" s="374"/>
      <c r="CV843" s="376"/>
    </row>
    <row r="844" spans="1:100">
      <c r="A844" s="374"/>
      <c r="C844" s="374"/>
      <c r="CV844" s="376"/>
    </row>
    <row r="845" spans="1:100">
      <c r="A845" s="374"/>
      <c r="C845" s="374"/>
      <c r="CV845" s="376"/>
    </row>
    <row r="846" spans="1:100">
      <c r="A846" s="374"/>
      <c r="C846" s="374"/>
      <c r="CV846" s="376"/>
    </row>
    <row r="847" spans="1:100">
      <c r="A847" s="374"/>
      <c r="C847" s="374"/>
      <c r="CV847" s="376"/>
    </row>
    <row r="848" spans="1:100">
      <c r="A848" s="374"/>
      <c r="C848" s="374"/>
      <c r="CV848" s="376"/>
    </row>
    <row r="849" spans="1:100">
      <c r="A849" s="374"/>
      <c r="C849" s="374"/>
      <c r="CV849" s="376"/>
    </row>
    <row r="850" spans="1:100">
      <c r="A850" s="374"/>
      <c r="C850" s="374"/>
      <c r="CV850" s="376"/>
    </row>
    <row r="851" spans="1:100">
      <c r="A851" s="374"/>
      <c r="C851" s="374"/>
      <c r="CV851" s="376"/>
    </row>
    <row r="852" spans="1:100">
      <c r="A852" s="374"/>
      <c r="C852" s="374"/>
      <c r="CV852" s="376"/>
    </row>
    <row r="853" spans="1:100">
      <c r="A853" s="374"/>
      <c r="C853" s="374"/>
      <c r="CV853" s="376"/>
    </row>
    <row r="854" spans="1:100">
      <c r="A854" s="374"/>
      <c r="C854" s="374"/>
      <c r="CV854" s="376"/>
    </row>
    <row r="855" spans="1:100">
      <c r="A855" s="374"/>
      <c r="C855" s="374"/>
      <c r="CV855" s="376"/>
    </row>
    <row r="856" spans="1:100">
      <c r="A856" s="374"/>
      <c r="C856" s="374"/>
      <c r="CV856" s="376"/>
    </row>
    <row r="857" spans="1:100">
      <c r="A857" s="374"/>
      <c r="C857" s="374"/>
      <c r="CV857" s="376"/>
    </row>
    <row r="858" spans="1:100">
      <c r="A858" s="374"/>
      <c r="C858" s="374"/>
      <c r="CV858" s="376"/>
    </row>
    <row r="859" spans="1:100">
      <c r="A859" s="374"/>
      <c r="C859" s="374"/>
      <c r="CV859" s="376"/>
    </row>
    <row r="860" spans="1:100">
      <c r="A860" s="374"/>
      <c r="C860" s="374"/>
      <c r="CV860" s="376"/>
    </row>
    <row r="861" spans="1:100">
      <c r="A861" s="374"/>
      <c r="C861" s="374"/>
      <c r="CV861" s="376"/>
    </row>
    <row r="862" spans="1:100">
      <c r="A862" s="374"/>
      <c r="C862" s="374"/>
      <c r="CV862" s="376"/>
    </row>
    <row r="863" spans="1:100">
      <c r="A863" s="374"/>
      <c r="C863" s="374"/>
      <c r="CV863" s="376"/>
    </row>
    <row r="864" spans="1:100">
      <c r="A864" s="374"/>
      <c r="C864" s="374"/>
      <c r="CV864" s="376"/>
    </row>
    <row r="865" spans="1:100">
      <c r="A865" s="374"/>
      <c r="C865" s="374"/>
      <c r="CV865" s="376"/>
    </row>
    <row r="866" spans="1:100">
      <c r="A866" s="374"/>
      <c r="C866" s="374"/>
      <c r="CV866" s="376"/>
    </row>
    <row r="867" spans="1:100">
      <c r="A867" s="374"/>
      <c r="C867" s="374"/>
      <c r="CV867" s="376"/>
    </row>
    <row r="868" spans="1:100">
      <c r="A868" s="374"/>
      <c r="C868" s="374"/>
      <c r="CV868" s="376"/>
    </row>
    <row r="869" spans="1:100">
      <c r="A869" s="374"/>
      <c r="C869" s="374"/>
      <c r="CV869" s="376"/>
    </row>
    <row r="870" spans="1:100">
      <c r="A870" s="374"/>
      <c r="C870" s="374"/>
      <c r="CV870" s="376"/>
    </row>
    <row r="871" spans="1:100">
      <c r="A871" s="374"/>
      <c r="C871" s="374"/>
      <c r="CV871" s="376"/>
    </row>
    <row r="872" spans="1:100">
      <c r="A872" s="374"/>
      <c r="C872" s="374"/>
      <c r="CV872" s="376"/>
    </row>
    <row r="873" spans="1:100">
      <c r="A873" s="374"/>
      <c r="C873" s="374"/>
      <c r="CV873" s="376"/>
    </row>
    <row r="874" spans="1:100">
      <c r="A874" s="374"/>
      <c r="C874" s="374"/>
      <c r="CV874" s="376"/>
    </row>
    <row r="875" spans="1:100">
      <c r="A875" s="374"/>
      <c r="C875" s="374"/>
      <c r="CV875" s="376"/>
    </row>
    <row r="876" spans="1:100">
      <c r="A876" s="374"/>
      <c r="C876" s="374"/>
      <c r="CV876" s="376"/>
    </row>
    <row r="877" spans="1:100">
      <c r="A877" s="374"/>
      <c r="C877" s="374"/>
      <c r="CV877" s="376"/>
    </row>
    <row r="878" spans="1:100">
      <c r="A878" s="374"/>
      <c r="C878" s="374"/>
      <c r="CV878" s="376"/>
    </row>
    <row r="879" spans="1:100">
      <c r="A879" s="374"/>
      <c r="C879" s="374"/>
      <c r="CV879" s="376"/>
    </row>
    <row r="880" spans="1:100">
      <c r="A880" s="374"/>
      <c r="C880" s="374"/>
      <c r="CV880" s="376"/>
    </row>
    <row r="881" spans="1:100">
      <c r="A881" s="374"/>
      <c r="C881" s="374"/>
      <c r="CV881" s="376"/>
    </row>
    <row r="882" spans="1:100">
      <c r="A882" s="374"/>
      <c r="C882" s="374"/>
      <c r="CV882" s="376"/>
    </row>
    <row r="883" spans="1:100">
      <c r="A883" s="374"/>
      <c r="C883" s="374"/>
      <c r="CV883" s="376"/>
    </row>
    <row r="884" spans="1:100">
      <c r="A884" s="374"/>
      <c r="C884" s="374"/>
      <c r="CV884" s="376"/>
    </row>
    <row r="885" spans="1:100">
      <c r="A885" s="374"/>
      <c r="C885" s="374"/>
      <c r="CV885" s="376"/>
    </row>
    <row r="886" spans="1:100">
      <c r="A886" s="374"/>
      <c r="C886" s="374"/>
      <c r="CV886" s="376"/>
    </row>
    <row r="887" spans="1:100">
      <c r="A887" s="374"/>
      <c r="C887" s="374"/>
      <c r="CV887" s="376"/>
    </row>
    <row r="888" spans="1:100">
      <c r="A888" s="374"/>
      <c r="C888" s="374"/>
      <c r="CV888" s="376"/>
    </row>
    <row r="889" spans="1:100">
      <c r="A889" s="374"/>
      <c r="C889" s="374"/>
      <c r="CV889" s="376"/>
    </row>
    <row r="890" spans="1:100">
      <c r="A890" s="374"/>
      <c r="C890" s="374"/>
      <c r="CV890" s="376"/>
    </row>
    <row r="891" spans="1:100">
      <c r="A891" s="374"/>
      <c r="C891" s="374"/>
      <c r="CV891" s="376"/>
    </row>
    <row r="892" spans="1:100">
      <c r="A892" s="374"/>
      <c r="C892" s="374"/>
      <c r="CV892" s="376"/>
    </row>
    <row r="893" spans="1:100">
      <c r="A893" s="374"/>
      <c r="C893" s="374"/>
      <c r="CV893" s="376"/>
    </row>
    <row r="894" spans="1:100">
      <c r="A894" s="374"/>
      <c r="C894" s="374"/>
      <c r="CV894" s="376"/>
    </row>
    <row r="895" spans="1:100">
      <c r="A895" s="374"/>
      <c r="C895" s="374"/>
      <c r="CV895" s="376"/>
    </row>
    <row r="896" spans="1:100">
      <c r="A896" s="374"/>
      <c r="C896" s="374"/>
      <c r="CV896" s="376"/>
    </row>
    <row r="897" spans="1:100">
      <c r="A897" s="374"/>
      <c r="C897" s="374"/>
      <c r="CV897" s="376"/>
    </row>
    <row r="898" spans="1:100">
      <c r="A898" s="374"/>
      <c r="C898" s="374"/>
      <c r="CV898" s="376"/>
    </row>
    <row r="899" spans="1:100">
      <c r="A899" s="374"/>
      <c r="C899" s="374"/>
      <c r="CV899" s="376"/>
    </row>
    <row r="900" spans="1:100">
      <c r="A900" s="374"/>
      <c r="C900" s="374"/>
      <c r="CV900" s="376"/>
    </row>
    <row r="901" spans="1:100">
      <c r="A901" s="374"/>
      <c r="C901" s="374"/>
      <c r="CV901" s="376"/>
    </row>
    <row r="902" spans="1:100">
      <c r="A902" s="374"/>
      <c r="C902" s="374"/>
      <c r="CV902" s="376"/>
    </row>
    <row r="903" spans="1:100">
      <c r="A903" s="374"/>
      <c r="C903" s="374"/>
      <c r="CV903" s="376"/>
    </row>
    <row r="904" spans="1:100">
      <c r="A904" s="374"/>
      <c r="C904" s="374"/>
      <c r="CV904" s="376"/>
    </row>
    <row r="905" spans="1:100">
      <c r="A905" s="374"/>
      <c r="C905" s="374"/>
      <c r="CV905" s="376"/>
    </row>
    <row r="906" spans="1:100">
      <c r="A906" s="374"/>
      <c r="C906" s="374"/>
      <c r="CV906" s="376"/>
    </row>
    <row r="907" spans="1:100">
      <c r="A907" s="374"/>
      <c r="C907" s="374"/>
      <c r="CV907" s="376"/>
    </row>
    <row r="908" spans="1:100">
      <c r="A908" s="374"/>
      <c r="C908" s="374"/>
      <c r="CV908" s="376"/>
    </row>
    <row r="909" spans="1:100">
      <c r="A909" s="374"/>
      <c r="C909" s="374"/>
      <c r="CV909" s="376"/>
    </row>
    <row r="910" spans="1:100">
      <c r="A910" s="374"/>
      <c r="C910" s="374"/>
      <c r="CV910" s="376"/>
    </row>
    <row r="911" spans="1:100">
      <c r="A911" s="374"/>
      <c r="C911" s="374"/>
      <c r="CV911" s="376"/>
    </row>
    <row r="912" spans="1:100">
      <c r="A912" s="374"/>
      <c r="C912" s="374"/>
      <c r="CV912" s="376"/>
    </row>
    <row r="913" spans="1:100">
      <c r="A913" s="374"/>
      <c r="C913" s="374"/>
      <c r="CV913" s="376"/>
    </row>
    <row r="914" spans="1:100">
      <c r="A914" s="374"/>
      <c r="C914" s="374"/>
      <c r="CV914" s="376"/>
    </row>
    <row r="915" spans="1:100">
      <c r="A915" s="374"/>
      <c r="C915" s="374"/>
      <c r="CV915" s="376"/>
    </row>
    <row r="916" spans="1:100">
      <c r="A916" s="374"/>
      <c r="C916" s="374"/>
      <c r="CV916" s="376"/>
    </row>
    <row r="917" spans="1:100">
      <c r="A917" s="374"/>
      <c r="C917" s="374"/>
      <c r="CV917" s="376"/>
    </row>
    <row r="918" spans="1:100">
      <c r="A918" s="374"/>
      <c r="C918" s="374"/>
      <c r="CV918" s="376"/>
    </row>
    <row r="919" spans="1:100">
      <c r="A919" s="374"/>
      <c r="C919" s="374"/>
      <c r="CV919" s="376"/>
    </row>
    <row r="920" spans="1:100">
      <c r="A920" s="374"/>
      <c r="C920" s="374"/>
      <c r="CV920" s="376"/>
    </row>
    <row r="921" spans="1:100">
      <c r="A921" s="374"/>
      <c r="C921" s="374"/>
      <c r="CV921" s="376"/>
    </row>
    <row r="922" spans="1:100">
      <c r="A922" s="374"/>
      <c r="C922" s="374"/>
      <c r="CV922" s="376"/>
    </row>
    <row r="923" spans="1:100">
      <c r="A923" s="374"/>
      <c r="C923" s="374"/>
      <c r="CV923" s="376"/>
    </row>
    <row r="924" spans="1:100">
      <c r="A924" s="374"/>
      <c r="C924" s="374"/>
      <c r="CV924" s="376"/>
    </row>
    <row r="925" spans="1:100">
      <c r="A925" s="374"/>
      <c r="C925" s="374"/>
      <c r="CV925" s="376"/>
    </row>
    <row r="926" spans="1:100">
      <c r="A926" s="374"/>
      <c r="C926" s="374"/>
      <c r="CV926" s="376"/>
    </row>
    <row r="927" spans="1:100">
      <c r="A927" s="374"/>
      <c r="C927" s="374"/>
      <c r="CV927" s="376"/>
    </row>
    <row r="928" spans="1:100">
      <c r="A928" s="374"/>
      <c r="C928" s="374"/>
      <c r="CV928" s="376"/>
    </row>
    <row r="929" spans="1:100">
      <c r="A929" s="374"/>
      <c r="C929" s="374"/>
      <c r="CV929" s="376"/>
    </row>
    <row r="930" spans="1:100">
      <c r="A930" s="374"/>
      <c r="C930" s="374"/>
      <c r="CV930" s="376"/>
    </row>
    <row r="931" spans="1:100">
      <c r="A931" s="374"/>
      <c r="C931" s="374"/>
      <c r="CV931" s="376"/>
    </row>
    <row r="932" spans="1:100">
      <c r="A932" s="374"/>
      <c r="C932" s="374"/>
      <c r="CV932" s="376"/>
    </row>
    <row r="933" spans="1:100">
      <c r="A933" s="374"/>
      <c r="C933" s="374"/>
      <c r="CV933" s="376"/>
    </row>
    <row r="934" spans="1:100">
      <c r="A934" s="374"/>
      <c r="C934" s="374"/>
      <c r="CV934" s="376"/>
    </row>
    <row r="935" spans="1:100">
      <c r="A935" s="374"/>
      <c r="C935" s="374"/>
      <c r="CV935" s="376"/>
    </row>
    <row r="936" spans="1:100">
      <c r="A936" s="374"/>
      <c r="C936" s="374"/>
      <c r="CV936" s="376"/>
    </row>
    <row r="937" spans="1:100">
      <c r="A937" s="374"/>
      <c r="C937" s="374"/>
      <c r="CV937" s="376"/>
    </row>
    <row r="938" spans="1:100">
      <c r="A938" s="374"/>
      <c r="C938" s="374"/>
      <c r="CV938" s="376"/>
    </row>
    <row r="939" spans="1:100">
      <c r="A939" s="374"/>
      <c r="C939" s="374"/>
      <c r="CV939" s="376"/>
    </row>
    <row r="940" spans="1:100">
      <c r="A940" s="374"/>
      <c r="C940" s="374"/>
      <c r="CV940" s="376"/>
    </row>
    <row r="941" spans="1:100">
      <c r="A941" s="374"/>
      <c r="C941" s="374"/>
      <c r="CV941" s="376"/>
    </row>
    <row r="942" spans="1:100">
      <c r="A942" s="374"/>
      <c r="C942" s="374"/>
      <c r="CV942" s="376"/>
    </row>
    <row r="943" spans="1:100">
      <c r="A943" s="374"/>
      <c r="C943" s="374"/>
      <c r="CV943" s="376"/>
    </row>
    <row r="944" spans="1:100">
      <c r="A944" s="374"/>
      <c r="C944" s="374"/>
      <c r="CV944" s="376"/>
    </row>
    <row r="945" spans="1:100">
      <c r="A945" s="374"/>
      <c r="C945" s="374"/>
      <c r="CV945" s="376"/>
    </row>
    <row r="946" spans="1:100">
      <c r="A946" s="374"/>
      <c r="C946" s="374"/>
      <c r="CV946" s="376"/>
    </row>
    <row r="947" spans="1:100">
      <c r="A947" s="374"/>
      <c r="C947" s="374"/>
      <c r="CV947" s="376"/>
    </row>
    <row r="948" spans="1:100">
      <c r="A948" s="374"/>
      <c r="C948" s="374"/>
      <c r="CV948" s="376"/>
    </row>
    <row r="949" spans="1:100">
      <c r="A949" s="374"/>
      <c r="C949" s="374"/>
      <c r="CV949" s="376"/>
    </row>
    <row r="950" spans="1:100">
      <c r="A950" s="374"/>
      <c r="C950" s="374"/>
      <c r="CV950" s="376"/>
    </row>
    <row r="951" spans="1:100">
      <c r="A951" s="374"/>
      <c r="C951" s="374"/>
      <c r="CV951" s="376"/>
    </row>
    <row r="952" spans="1:100">
      <c r="A952" s="374"/>
      <c r="C952" s="374"/>
      <c r="CV952" s="376"/>
    </row>
    <row r="953" spans="1:100">
      <c r="A953" s="374"/>
      <c r="C953" s="374"/>
      <c r="CV953" s="376"/>
    </row>
    <row r="954" spans="1:100">
      <c r="A954" s="374"/>
      <c r="C954" s="374"/>
      <c r="CV954" s="376"/>
    </row>
    <row r="955" spans="1:100">
      <c r="A955" s="374"/>
      <c r="C955" s="374"/>
      <c r="CV955" s="376"/>
    </row>
    <row r="956" spans="1:100">
      <c r="A956" s="374"/>
      <c r="C956" s="374"/>
      <c r="CV956" s="376"/>
    </row>
    <row r="957" spans="1:100">
      <c r="A957" s="374"/>
      <c r="C957" s="374"/>
      <c r="CV957" s="376"/>
    </row>
    <row r="958" spans="1:100">
      <c r="A958" s="374"/>
      <c r="C958" s="374"/>
      <c r="CV958" s="376"/>
    </row>
    <row r="959" spans="1:100">
      <c r="A959" s="374"/>
      <c r="C959" s="374"/>
      <c r="CV959" s="376"/>
    </row>
    <row r="960" spans="1:100">
      <c r="A960" s="374"/>
      <c r="C960" s="374"/>
      <c r="CV960" s="376"/>
    </row>
    <row r="961" spans="1:100">
      <c r="A961" s="374"/>
      <c r="C961" s="374"/>
      <c r="CV961" s="376"/>
    </row>
    <row r="962" spans="1:100">
      <c r="A962" s="374"/>
      <c r="C962" s="374"/>
      <c r="CV962" s="376"/>
    </row>
    <row r="963" spans="1:100">
      <c r="A963" s="374"/>
      <c r="C963" s="374"/>
      <c r="CV963" s="376"/>
    </row>
    <row r="964" spans="1:100">
      <c r="A964" s="374"/>
      <c r="C964" s="374"/>
      <c r="CV964" s="376"/>
    </row>
    <row r="965" spans="1:100">
      <c r="A965" s="374"/>
      <c r="C965" s="374"/>
      <c r="CV965" s="376"/>
    </row>
    <row r="966" spans="1:100">
      <c r="A966" s="374"/>
      <c r="C966" s="374"/>
      <c r="CV966" s="376"/>
    </row>
    <row r="967" spans="1:100">
      <c r="A967" s="374"/>
      <c r="C967" s="374"/>
      <c r="CV967" s="376"/>
    </row>
    <row r="968" spans="1:100">
      <c r="A968" s="374"/>
      <c r="C968" s="374"/>
      <c r="CV968" s="376"/>
    </row>
    <row r="969" spans="1:100">
      <c r="A969" s="374"/>
      <c r="C969" s="374"/>
      <c r="CV969" s="376"/>
    </row>
    <row r="970" spans="1:100">
      <c r="A970" s="374"/>
      <c r="C970" s="374"/>
      <c r="CV970" s="376"/>
    </row>
    <row r="971" spans="1:100">
      <c r="A971" s="374"/>
      <c r="C971" s="374"/>
      <c r="CV971" s="376"/>
    </row>
    <row r="972" spans="1:100">
      <c r="A972" s="374"/>
      <c r="C972" s="374"/>
      <c r="CV972" s="376"/>
    </row>
    <row r="973" spans="1:100">
      <c r="A973" s="374"/>
      <c r="C973" s="374"/>
      <c r="CV973" s="376"/>
    </row>
    <row r="974" spans="1:100">
      <c r="A974" s="374"/>
      <c r="C974" s="374"/>
      <c r="CV974" s="376"/>
    </row>
    <row r="975" spans="1:100">
      <c r="A975" s="374"/>
      <c r="C975" s="374"/>
      <c r="CV975" s="376"/>
    </row>
    <row r="976" spans="1:100">
      <c r="A976" s="374"/>
      <c r="C976" s="374"/>
      <c r="CV976" s="376"/>
    </row>
    <row r="977" spans="1:100">
      <c r="A977" s="374"/>
      <c r="C977" s="374"/>
      <c r="CV977" s="376"/>
    </row>
    <row r="978" spans="1:100">
      <c r="A978" s="374"/>
      <c r="C978" s="374"/>
      <c r="CV978" s="376"/>
    </row>
    <row r="979" spans="1:100">
      <c r="A979" s="374"/>
      <c r="C979" s="374"/>
      <c r="CV979" s="376"/>
    </row>
    <row r="980" spans="1:100">
      <c r="A980" s="374"/>
      <c r="C980" s="374"/>
      <c r="CV980" s="376"/>
    </row>
    <row r="981" spans="1:100">
      <c r="A981" s="374"/>
      <c r="C981" s="374"/>
      <c r="CV981" s="376"/>
    </row>
    <row r="982" spans="1:100">
      <c r="A982" s="374"/>
      <c r="C982" s="374"/>
      <c r="CV982" s="376"/>
    </row>
    <row r="983" spans="1:100">
      <c r="A983" s="374"/>
      <c r="C983" s="374"/>
      <c r="CV983" s="376"/>
    </row>
    <row r="984" spans="1:100">
      <c r="A984" s="374"/>
      <c r="C984" s="374"/>
      <c r="CV984" s="376"/>
    </row>
    <row r="985" spans="1:100">
      <c r="A985" s="374"/>
      <c r="C985" s="374"/>
      <c r="CV985" s="376"/>
    </row>
    <row r="986" spans="1:100">
      <c r="A986" s="374"/>
      <c r="C986" s="374"/>
      <c r="CV986" s="376"/>
    </row>
    <row r="987" spans="1:100">
      <c r="A987" s="374"/>
      <c r="C987" s="374"/>
      <c r="CV987" s="376"/>
    </row>
    <row r="988" spans="1:100">
      <c r="A988" s="374"/>
      <c r="C988" s="374"/>
      <c r="CV988" s="376"/>
    </row>
    <row r="989" spans="1:100">
      <c r="A989" s="374"/>
      <c r="C989" s="374"/>
      <c r="CV989" s="376"/>
    </row>
    <row r="990" spans="1:100">
      <c r="A990" s="374"/>
      <c r="C990" s="374"/>
      <c r="CV990" s="376"/>
    </row>
    <row r="991" spans="1:100">
      <c r="A991" s="374"/>
      <c r="C991" s="374"/>
      <c r="CV991" s="376"/>
    </row>
    <row r="992" spans="1:100">
      <c r="A992" s="374"/>
      <c r="C992" s="374"/>
      <c r="CV992" s="376"/>
    </row>
    <row r="993" spans="1:100">
      <c r="A993" s="374"/>
      <c r="C993" s="374"/>
      <c r="CV993" s="376"/>
    </row>
    <row r="994" spans="1:100">
      <c r="A994" s="374"/>
      <c r="C994" s="374"/>
      <c r="CV994" s="376"/>
    </row>
    <row r="995" spans="1:100">
      <c r="A995" s="374"/>
      <c r="C995" s="374"/>
      <c r="CV995" s="376"/>
    </row>
    <row r="996" spans="1:100">
      <c r="A996" s="374"/>
      <c r="C996" s="374"/>
      <c r="CV996" s="376"/>
    </row>
    <row r="997" spans="1:100">
      <c r="A997" s="374"/>
      <c r="C997" s="374"/>
      <c r="CV997" s="376"/>
    </row>
    <row r="998" spans="1:100">
      <c r="A998" s="374"/>
      <c r="C998" s="374"/>
      <c r="CV998" s="376"/>
    </row>
    <row r="999" spans="1:100">
      <c r="A999" s="374"/>
      <c r="C999" s="374"/>
      <c r="CV999" s="376"/>
    </row>
    <row r="1000" spans="1:100">
      <c r="A1000" s="374"/>
      <c r="C1000" s="374"/>
      <c r="CV1000" s="376"/>
    </row>
    <row r="1001" spans="1:100">
      <c r="A1001" s="374"/>
      <c r="C1001" s="374"/>
      <c r="CV1001" s="376"/>
    </row>
    <row r="1002" spans="1:100">
      <c r="A1002" s="374"/>
      <c r="C1002" s="374"/>
      <c r="CV1002" s="376"/>
    </row>
    <row r="1003" spans="1:100">
      <c r="A1003" s="374"/>
      <c r="C1003" s="374"/>
      <c r="CV1003" s="376"/>
    </row>
    <row r="1004" spans="1:100">
      <c r="A1004" s="374"/>
      <c r="C1004" s="374"/>
      <c r="CV1004" s="376"/>
    </row>
    <row r="1005" spans="1:100">
      <c r="A1005" s="374"/>
      <c r="C1005" s="374"/>
      <c r="CV1005" s="376"/>
    </row>
    <row r="1006" spans="1:100">
      <c r="A1006" s="374"/>
      <c r="C1006" s="374"/>
      <c r="CV1006" s="376"/>
    </row>
    <row r="1007" spans="1:100">
      <c r="A1007" s="374"/>
      <c r="C1007" s="374"/>
      <c r="CV1007" s="376"/>
    </row>
    <row r="1008" spans="1:100">
      <c r="A1008" s="374"/>
      <c r="C1008" s="374"/>
      <c r="CV1008" s="376"/>
    </row>
    <row r="1009" spans="1:100">
      <c r="A1009" s="374"/>
      <c r="C1009" s="374"/>
      <c r="CV1009" s="376"/>
    </row>
    <row r="1010" spans="1:100">
      <c r="A1010" s="374"/>
      <c r="C1010" s="374"/>
      <c r="CV1010" s="376"/>
    </row>
    <row r="1011" spans="1:100">
      <c r="A1011" s="374"/>
      <c r="C1011" s="374"/>
      <c r="CV1011" s="376"/>
    </row>
    <row r="1012" spans="1:100">
      <c r="A1012" s="374"/>
      <c r="C1012" s="374"/>
      <c r="CV1012" s="376"/>
    </row>
    <row r="1013" spans="1:100">
      <c r="A1013" s="374"/>
      <c r="C1013" s="374"/>
      <c r="CV1013" s="376"/>
    </row>
    <row r="1014" spans="1:100">
      <c r="A1014" s="374"/>
      <c r="C1014" s="374"/>
      <c r="CV1014" s="376"/>
    </row>
    <row r="1015" spans="1:100">
      <c r="A1015" s="374"/>
      <c r="C1015" s="374"/>
      <c r="CV1015" s="376"/>
    </row>
    <row r="1016" spans="1:100">
      <c r="A1016" s="374"/>
      <c r="C1016" s="374"/>
      <c r="CV1016" s="376"/>
    </row>
    <row r="1017" spans="1:100">
      <c r="A1017" s="374"/>
      <c r="C1017" s="374"/>
      <c r="CV1017" s="376"/>
    </row>
    <row r="1018" spans="1:100">
      <c r="A1018" s="374"/>
      <c r="C1018" s="374"/>
      <c r="CV1018" s="376"/>
    </row>
    <row r="1019" spans="1:100">
      <c r="A1019" s="374"/>
      <c r="C1019" s="374"/>
      <c r="CV1019" s="376"/>
    </row>
    <row r="1020" spans="1:100">
      <c r="A1020" s="374"/>
      <c r="C1020" s="374"/>
      <c r="CV1020" s="376"/>
    </row>
    <row r="1021" spans="1:100">
      <c r="A1021" s="374"/>
      <c r="C1021" s="374"/>
      <c r="CV1021" s="376"/>
    </row>
    <row r="1022" spans="1:100">
      <c r="A1022" s="374"/>
      <c r="C1022" s="374"/>
      <c r="CV1022" s="376"/>
    </row>
    <row r="1023" spans="1:100">
      <c r="A1023" s="374"/>
      <c r="C1023" s="374"/>
      <c r="CV1023" s="376"/>
    </row>
    <row r="1024" spans="1:100">
      <c r="A1024" s="374"/>
      <c r="C1024" s="374"/>
      <c r="CV1024" s="376"/>
    </row>
    <row r="1025" spans="1:100">
      <c r="A1025" s="374"/>
      <c r="C1025" s="374"/>
      <c r="CV1025" s="376"/>
    </row>
    <row r="1026" spans="1:100">
      <c r="A1026" s="374"/>
      <c r="C1026" s="374"/>
      <c r="CV1026" s="376"/>
    </row>
    <row r="1027" spans="1:100">
      <c r="A1027" s="374"/>
      <c r="C1027" s="374"/>
      <c r="CV1027" s="376"/>
    </row>
    <row r="1028" spans="1:100">
      <c r="A1028" s="374"/>
      <c r="C1028" s="374"/>
      <c r="CV1028" s="376"/>
    </row>
    <row r="1029" spans="1:100">
      <c r="A1029" s="374"/>
      <c r="C1029" s="374"/>
      <c r="CV1029" s="376"/>
    </row>
    <row r="1030" spans="1:100">
      <c r="A1030" s="374"/>
      <c r="C1030" s="374"/>
      <c r="CV1030" s="376"/>
    </row>
    <row r="1031" spans="1:100">
      <c r="A1031" s="374"/>
      <c r="C1031" s="374"/>
      <c r="CV1031" s="376"/>
    </row>
    <row r="1032" spans="1:100">
      <c r="A1032" s="374"/>
      <c r="C1032" s="374"/>
      <c r="CV1032" s="376"/>
    </row>
    <row r="1033" spans="1:100">
      <c r="A1033" s="374"/>
      <c r="C1033" s="374"/>
      <c r="CV1033" s="376"/>
    </row>
    <row r="1034" spans="1:100">
      <c r="A1034" s="374"/>
      <c r="C1034" s="374"/>
      <c r="CV1034" s="376"/>
    </row>
    <row r="1035" spans="1:100">
      <c r="A1035" s="374"/>
      <c r="C1035" s="374"/>
      <c r="CV1035" s="376"/>
    </row>
    <row r="1036" spans="1:100">
      <c r="A1036" s="374"/>
      <c r="C1036" s="374"/>
      <c r="CV1036" s="376"/>
    </row>
    <row r="1037" spans="1:100">
      <c r="A1037" s="374"/>
      <c r="C1037" s="374"/>
      <c r="CV1037" s="376"/>
    </row>
    <row r="1038" spans="1:100">
      <c r="A1038" s="374"/>
      <c r="C1038" s="374"/>
      <c r="CV1038" s="376"/>
    </row>
    <row r="1039" spans="1:100">
      <c r="A1039" s="374"/>
      <c r="C1039" s="374"/>
      <c r="CV1039" s="376"/>
    </row>
    <row r="1040" spans="1:100">
      <c r="A1040" s="374"/>
      <c r="C1040" s="374"/>
      <c r="CV1040" s="376"/>
    </row>
    <row r="1041" spans="1:100">
      <c r="A1041" s="374"/>
      <c r="C1041" s="374"/>
      <c r="CV1041" s="376"/>
    </row>
    <row r="1042" spans="1:100">
      <c r="A1042" s="374"/>
      <c r="C1042" s="374"/>
      <c r="CV1042" s="376"/>
    </row>
    <row r="1043" spans="1:100">
      <c r="A1043" s="374"/>
      <c r="C1043" s="374"/>
      <c r="CV1043" s="376"/>
    </row>
    <row r="1044" spans="1:100">
      <c r="A1044" s="374"/>
      <c r="C1044" s="374"/>
      <c r="CV1044" s="376"/>
    </row>
    <row r="1045" spans="1:100">
      <c r="A1045" s="374"/>
      <c r="C1045" s="374"/>
      <c r="CV1045" s="376"/>
    </row>
    <row r="1046" spans="1:100">
      <c r="A1046" s="374"/>
      <c r="C1046" s="374"/>
      <c r="CV1046" s="376"/>
    </row>
    <row r="1047" spans="1:100">
      <c r="A1047" s="374"/>
      <c r="C1047" s="374"/>
      <c r="CV1047" s="376"/>
    </row>
    <row r="1048" spans="1:100">
      <c r="A1048" s="374"/>
      <c r="C1048" s="374"/>
      <c r="CV1048" s="376"/>
    </row>
    <row r="1049" spans="1:100">
      <c r="A1049" s="374"/>
      <c r="C1049" s="374"/>
      <c r="CV1049" s="376"/>
    </row>
    <row r="1050" spans="1:100">
      <c r="A1050" s="374"/>
      <c r="C1050" s="374"/>
      <c r="CV1050" s="376"/>
    </row>
    <row r="1051" spans="1:100">
      <c r="A1051" s="374"/>
      <c r="C1051" s="374"/>
      <c r="CV1051" s="376"/>
    </row>
    <row r="1052" spans="1:100">
      <c r="A1052" s="374"/>
      <c r="C1052" s="374"/>
      <c r="CV1052" s="376"/>
    </row>
    <row r="1053" spans="1:100">
      <c r="A1053" s="374"/>
      <c r="C1053" s="374"/>
      <c r="CV1053" s="376"/>
    </row>
    <row r="1054" spans="1:100">
      <c r="A1054" s="374"/>
      <c r="C1054" s="374"/>
      <c r="CV1054" s="376"/>
    </row>
    <row r="1055" spans="1:100">
      <c r="A1055" s="374"/>
      <c r="C1055" s="374"/>
      <c r="CV1055" s="376"/>
    </row>
    <row r="1056" spans="1:100">
      <c r="A1056" s="374"/>
      <c r="C1056" s="374"/>
      <c r="CV1056" s="376"/>
    </row>
    <row r="1057" spans="1:100">
      <c r="A1057" s="374"/>
      <c r="C1057" s="374"/>
      <c r="CV1057" s="376"/>
    </row>
    <row r="1058" spans="1:100">
      <c r="A1058" s="374"/>
      <c r="C1058" s="374"/>
      <c r="CV1058" s="376"/>
    </row>
    <row r="1059" spans="1:100">
      <c r="A1059" s="374"/>
      <c r="C1059" s="374"/>
      <c r="CV1059" s="376"/>
    </row>
    <row r="1060" spans="1:100">
      <c r="A1060" s="374"/>
      <c r="C1060" s="374"/>
      <c r="CV1060" s="376"/>
    </row>
    <row r="1061" spans="1:100">
      <c r="A1061" s="374"/>
      <c r="C1061" s="374"/>
      <c r="CV1061" s="376"/>
    </row>
    <row r="1062" spans="1:100">
      <c r="A1062" s="374"/>
      <c r="C1062" s="374"/>
      <c r="CV1062" s="376"/>
    </row>
    <row r="1063" spans="1:100">
      <c r="A1063" s="374"/>
      <c r="C1063" s="374"/>
      <c r="CV1063" s="376"/>
    </row>
    <row r="1064" spans="1:100">
      <c r="A1064" s="374"/>
      <c r="C1064" s="374"/>
      <c r="CV1064" s="376"/>
    </row>
    <row r="1065" spans="1:100">
      <c r="A1065" s="374"/>
      <c r="C1065" s="374"/>
      <c r="CV1065" s="376"/>
    </row>
    <row r="1066" spans="1:100">
      <c r="A1066" s="374"/>
      <c r="C1066" s="374"/>
      <c r="CV1066" s="376"/>
    </row>
    <row r="1067" spans="1:100">
      <c r="A1067" s="374"/>
      <c r="C1067" s="374"/>
      <c r="CV1067" s="376"/>
    </row>
    <row r="1068" spans="1:100">
      <c r="A1068" s="374"/>
      <c r="C1068" s="374"/>
      <c r="CV1068" s="376"/>
    </row>
    <row r="1069" spans="1:100">
      <c r="A1069" s="374"/>
      <c r="C1069" s="374"/>
      <c r="CV1069" s="376"/>
    </row>
    <row r="1070" spans="1:100">
      <c r="A1070" s="374"/>
      <c r="C1070" s="374"/>
      <c r="CV1070" s="376"/>
    </row>
    <row r="1071" spans="1:100">
      <c r="A1071" s="374"/>
      <c r="C1071" s="374"/>
      <c r="CV1071" s="376"/>
    </row>
    <row r="1072" spans="1:100">
      <c r="A1072" s="374"/>
      <c r="C1072" s="374"/>
      <c r="CV1072" s="376"/>
    </row>
    <row r="1073" spans="1:100">
      <c r="A1073" s="374"/>
      <c r="C1073" s="374"/>
      <c r="CV1073" s="376"/>
    </row>
    <row r="1074" spans="1:100">
      <c r="A1074" s="374"/>
      <c r="C1074" s="374"/>
      <c r="CV1074" s="376"/>
    </row>
    <row r="1075" spans="1:100">
      <c r="A1075" s="374"/>
      <c r="C1075" s="374"/>
      <c r="CV1075" s="376"/>
    </row>
    <row r="1076" spans="1:100">
      <c r="A1076" s="374"/>
      <c r="C1076" s="374"/>
      <c r="CV1076" s="376"/>
    </row>
    <row r="1077" spans="1:100">
      <c r="A1077" s="374"/>
      <c r="C1077" s="374"/>
      <c r="CV1077" s="376"/>
    </row>
    <row r="1078" spans="1:100">
      <c r="A1078" s="374"/>
      <c r="C1078" s="374"/>
      <c r="CV1078" s="376"/>
    </row>
    <row r="1079" spans="1:100">
      <c r="A1079" s="374"/>
      <c r="C1079" s="374"/>
      <c r="CV1079" s="376"/>
    </row>
    <row r="1080" spans="1:100">
      <c r="A1080" s="374"/>
      <c r="C1080" s="374"/>
      <c r="CV1080" s="376"/>
    </row>
    <row r="1081" spans="1:100">
      <c r="A1081" s="374"/>
      <c r="C1081" s="374"/>
      <c r="CV1081" s="376"/>
    </row>
    <row r="1082" spans="1:100">
      <c r="A1082" s="374"/>
      <c r="C1082" s="374"/>
      <c r="CV1082" s="376"/>
    </row>
    <row r="1083" spans="1:100">
      <c r="A1083" s="374"/>
      <c r="C1083" s="374"/>
      <c r="CV1083" s="376"/>
    </row>
    <row r="1084" spans="1:100">
      <c r="A1084" s="374"/>
      <c r="C1084" s="374"/>
      <c r="CV1084" s="376"/>
    </row>
    <row r="1085" spans="1:100">
      <c r="A1085" s="374"/>
      <c r="C1085" s="374"/>
      <c r="CV1085" s="376"/>
    </row>
    <row r="1086" spans="1:100">
      <c r="A1086" s="374"/>
      <c r="C1086" s="374"/>
      <c r="CV1086" s="376"/>
    </row>
    <row r="1087" spans="1:100">
      <c r="A1087" s="374"/>
      <c r="C1087" s="374"/>
      <c r="CV1087" s="376"/>
    </row>
    <row r="1088" spans="1:100">
      <c r="A1088" s="374"/>
      <c r="C1088" s="374"/>
      <c r="CV1088" s="376"/>
    </row>
    <row r="1089" spans="1:100">
      <c r="A1089" s="374"/>
      <c r="C1089" s="374"/>
      <c r="CV1089" s="376"/>
    </row>
    <row r="1090" spans="1:100">
      <c r="A1090" s="374"/>
      <c r="C1090" s="374"/>
      <c r="CV1090" s="376"/>
    </row>
    <row r="1091" spans="1:100">
      <c r="A1091" s="374"/>
      <c r="C1091" s="374"/>
      <c r="CV1091" s="376"/>
    </row>
    <row r="1092" spans="1:100">
      <c r="A1092" s="374"/>
      <c r="C1092" s="374"/>
      <c r="CV1092" s="376"/>
    </row>
    <row r="1093" spans="1:100">
      <c r="A1093" s="374"/>
      <c r="C1093" s="374"/>
      <c r="CV1093" s="376"/>
    </row>
    <row r="1094" spans="1:100">
      <c r="A1094" s="374"/>
      <c r="C1094" s="374"/>
      <c r="CV1094" s="376"/>
    </row>
    <row r="1095" spans="1:100">
      <c r="A1095" s="374"/>
      <c r="C1095" s="374"/>
      <c r="CV1095" s="376"/>
    </row>
    <row r="1096" spans="1:100">
      <c r="A1096" s="374"/>
      <c r="C1096" s="374"/>
      <c r="CV1096" s="376"/>
    </row>
    <row r="1097" spans="1:100">
      <c r="A1097" s="374"/>
      <c r="C1097" s="374"/>
      <c r="CV1097" s="376"/>
    </row>
    <row r="1098" spans="1:100">
      <c r="A1098" s="374"/>
      <c r="C1098" s="374"/>
      <c r="CV1098" s="376"/>
    </row>
    <row r="1099" spans="1:100">
      <c r="A1099" s="374"/>
      <c r="C1099" s="374"/>
      <c r="CV1099" s="376"/>
    </row>
    <row r="1100" spans="1:100">
      <c r="A1100" s="374"/>
      <c r="C1100" s="374"/>
      <c r="CV1100" s="376"/>
    </row>
    <row r="1101" spans="1:100">
      <c r="A1101" s="374"/>
      <c r="C1101" s="374"/>
      <c r="CV1101" s="376"/>
    </row>
    <row r="1102" spans="1:100">
      <c r="A1102" s="374"/>
      <c r="C1102" s="374"/>
      <c r="CV1102" s="376"/>
    </row>
    <row r="1103" spans="1:100">
      <c r="A1103" s="374"/>
      <c r="C1103" s="374"/>
      <c r="CV1103" s="376"/>
    </row>
    <row r="1104" spans="1:100">
      <c r="A1104" s="374"/>
      <c r="C1104" s="374"/>
      <c r="CV1104" s="376"/>
    </row>
    <row r="1105" spans="1:100">
      <c r="A1105" s="374"/>
      <c r="C1105" s="374"/>
      <c r="CV1105" s="376"/>
    </row>
    <row r="1106" spans="1:100">
      <c r="A1106" s="374"/>
      <c r="C1106" s="374"/>
      <c r="CV1106" s="376"/>
    </row>
    <row r="1107" spans="1:100">
      <c r="A1107" s="374"/>
      <c r="C1107" s="374"/>
      <c r="CV1107" s="376"/>
    </row>
    <row r="1108" spans="1:100">
      <c r="A1108" s="374"/>
      <c r="C1108" s="374"/>
      <c r="CV1108" s="376"/>
    </row>
    <row r="1109" spans="1:100">
      <c r="A1109" s="374"/>
      <c r="C1109" s="374"/>
      <c r="CV1109" s="376"/>
    </row>
    <row r="1110" spans="1:100">
      <c r="A1110" s="374"/>
      <c r="C1110" s="374"/>
      <c r="CV1110" s="376"/>
    </row>
    <row r="1111" spans="1:100">
      <c r="A1111" s="374"/>
      <c r="C1111" s="374"/>
      <c r="CV1111" s="376"/>
    </row>
    <row r="1112" spans="1:100">
      <c r="A1112" s="374"/>
      <c r="C1112" s="374"/>
      <c r="CV1112" s="376"/>
    </row>
    <row r="1113" spans="1:100">
      <c r="A1113" s="374"/>
      <c r="C1113" s="374"/>
      <c r="CV1113" s="376"/>
    </row>
    <row r="1114" spans="1:100">
      <c r="A1114" s="374"/>
      <c r="C1114" s="374"/>
      <c r="CV1114" s="376"/>
    </row>
    <row r="1115" spans="1:100">
      <c r="A1115" s="374"/>
      <c r="C1115" s="374"/>
      <c r="CV1115" s="376"/>
    </row>
    <row r="1116" spans="1:100">
      <c r="A1116" s="374"/>
      <c r="C1116" s="374"/>
      <c r="CV1116" s="376"/>
    </row>
    <row r="1117" spans="1:100">
      <c r="A1117" s="374"/>
      <c r="C1117" s="374"/>
      <c r="CV1117" s="376"/>
    </row>
    <row r="1118" spans="1:100">
      <c r="A1118" s="374"/>
      <c r="C1118" s="374"/>
      <c r="CV1118" s="376"/>
    </row>
    <row r="1119" spans="1:100">
      <c r="A1119" s="374"/>
      <c r="C1119" s="374"/>
      <c r="CV1119" s="376"/>
    </row>
    <row r="1120" spans="1:100">
      <c r="A1120" s="374"/>
      <c r="C1120" s="374"/>
      <c r="CV1120" s="376"/>
    </row>
    <row r="1121" spans="1:100">
      <c r="A1121" s="374"/>
      <c r="C1121" s="374"/>
      <c r="CV1121" s="376"/>
    </row>
    <row r="1122" spans="1:100">
      <c r="A1122" s="374"/>
      <c r="C1122" s="374"/>
      <c r="CV1122" s="376"/>
    </row>
    <row r="1123" spans="1:100">
      <c r="A1123" s="374"/>
      <c r="C1123" s="374"/>
      <c r="CV1123" s="376"/>
    </row>
    <row r="1124" spans="1:100">
      <c r="A1124" s="374"/>
      <c r="C1124" s="374"/>
      <c r="CV1124" s="376"/>
    </row>
    <row r="1125" spans="1:100">
      <c r="A1125" s="374"/>
      <c r="C1125" s="374"/>
      <c r="CV1125" s="376"/>
    </row>
    <row r="1126" spans="1:100">
      <c r="A1126" s="374"/>
      <c r="C1126" s="374"/>
      <c r="CV1126" s="376"/>
    </row>
    <row r="1127" spans="1:100">
      <c r="A1127" s="374"/>
      <c r="C1127" s="374"/>
      <c r="CV1127" s="376"/>
    </row>
    <row r="1128" spans="1:100">
      <c r="A1128" s="374"/>
      <c r="C1128" s="374"/>
      <c r="CV1128" s="376"/>
    </row>
    <row r="1129" spans="1:100">
      <c r="A1129" s="374"/>
      <c r="C1129" s="374"/>
      <c r="CV1129" s="376"/>
    </row>
    <row r="1130" spans="1:100">
      <c r="A1130" s="374"/>
      <c r="C1130" s="374"/>
      <c r="CV1130" s="376"/>
    </row>
    <row r="1131" spans="1:100">
      <c r="A1131" s="374"/>
      <c r="C1131" s="374"/>
      <c r="CV1131" s="376"/>
    </row>
    <row r="1132" spans="1:100">
      <c r="A1132" s="374"/>
      <c r="C1132" s="374"/>
      <c r="CV1132" s="376"/>
    </row>
    <row r="1133" spans="1:100">
      <c r="A1133" s="374"/>
      <c r="C1133" s="374"/>
      <c r="CV1133" s="376"/>
    </row>
    <row r="1134" spans="1:100">
      <c r="A1134" s="374"/>
      <c r="C1134" s="374"/>
      <c r="CV1134" s="376"/>
    </row>
    <row r="1135" spans="1:100">
      <c r="A1135" s="374"/>
      <c r="C1135" s="374"/>
      <c r="CV1135" s="376"/>
    </row>
    <row r="1136" spans="1:100">
      <c r="A1136" s="374"/>
      <c r="C1136" s="374"/>
      <c r="CV1136" s="376"/>
    </row>
    <row r="1137" spans="1:100">
      <c r="A1137" s="374"/>
      <c r="C1137" s="374"/>
      <c r="CV1137" s="376"/>
    </row>
    <row r="1138" spans="1:100">
      <c r="A1138" s="374"/>
      <c r="C1138" s="374"/>
      <c r="CV1138" s="376"/>
    </row>
    <row r="1139" spans="1:100">
      <c r="A1139" s="374"/>
      <c r="C1139" s="374"/>
      <c r="CV1139" s="376"/>
    </row>
    <row r="1140" spans="1:100">
      <c r="A1140" s="374"/>
      <c r="C1140" s="374"/>
      <c r="CV1140" s="376"/>
    </row>
    <row r="1141" spans="1:100">
      <c r="A1141" s="374"/>
      <c r="C1141" s="374"/>
      <c r="CV1141" s="376"/>
    </row>
    <row r="1142" spans="1:100">
      <c r="A1142" s="374"/>
      <c r="C1142" s="374"/>
      <c r="CV1142" s="376"/>
    </row>
    <row r="1143" spans="1:100">
      <c r="A1143" s="374"/>
      <c r="C1143" s="374"/>
      <c r="CV1143" s="376"/>
    </row>
    <row r="1144" spans="1:100">
      <c r="A1144" s="374"/>
      <c r="C1144" s="374"/>
      <c r="CV1144" s="376"/>
    </row>
    <row r="1145" spans="1:100">
      <c r="A1145" s="374"/>
      <c r="C1145" s="374"/>
      <c r="CV1145" s="376"/>
    </row>
    <row r="1146" spans="1:100">
      <c r="A1146" s="374"/>
      <c r="C1146" s="374"/>
      <c r="CV1146" s="376"/>
    </row>
    <row r="1147" spans="1:100">
      <c r="A1147" s="374"/>
      <c r="C1147" s="374"/>
      <c r="CV1147" s="376"/>
    </row>
    <row r="1148" spans="1:100">
      <c r="A1148" s="374"/>
      <c r="C1148" s="374"/>
      <c r="CV1148" s="376"/>
    </row>
    <row r="1149" spans="1:100">
      <c r="A1149" s="374"/>
      <c r="C1149" s="374"/>
      <c r="CV1149" s="376"/>
    </row>
    <row r="1150" spans="1:100">
      <c r="A1150" s="374"/>
      <c r="C1150" s="374"/>
      <c r="CV1150" s="376"/>
    </row>
    <row r="1151" spans="1:100">
      <c r="A1151" s="374"/>
      <c r="C1151" s="374"/>
      <c r="CV1151" s="376"/>
    </row>
    <row r="1152" spans="1:100">
      <c r="A1152" s="374"/>
      <c r="C1152" s="374"/>
      <c r="CV1152" s="376"/>
    </row>
    <row r="1153" spans="1:100">
      <c r="A1153" s="374"/>
      <c r="C1153" s="374"/>
      <c r="CV1153" s="376"/>
    </row>
    <row r="1154" spans="1:100">
      <c r="A1154" s="374"/>
      <c r="C1154" s="374"/>
      <c r="CV1154" s="376"/>
    </row>
    <row r="1155" spans="1:100">
      <c r="A1155" s="374"/>
      <c r="C1155" s="374"/>
      <c r="CV1155" s="376"/>
    </row>
    <row r="1156" spans="1:100">
      <c r="A1156" s="374"/>
      <c r="C1156" s="374"/>
      <c r="CV1156" s="376"/>
    </row>
    <row r="1157" spans="1:100">
      <c r="A1157" s="374"/>
      <c r="C1157" s="374"/>
      <c r="CV1157" s="376"/>
    </row>
    <row r="1158" spans="1:100">
      <c r="A1158" s="374"/>
      <c r="C1158" s="374"/>
      <c r="CV1158" s="376"/>
    </row>
    <row r="1159" spans="1:100">
      <c r="A1159" s="374"/>
      <c r="C1159" s="374"/>
      <c r="CV1159" s="376"/>
    </row>
    <row r="1160" spans="1:100">
      <c r="A1160" s="374"/>
      <c r="C1160" s="374"/>
      <c r="CV1160" s="376"/>
    </row>
    <row r="1161" spans="1:100">
      <c r="A1161" s="374"/>
      <c r="C1161" s="374"/>
      <c r="CV1161" s="376"/>
    </row>
    <row r="1162" spans="1:100">
      <c r="A1162" s="374"/>
      <c r="C1162" s="374"/>
      <c r="CV1162" s="376"/>
    </row>
    <row r="1163" spans="1:100">
      <c r="A1163" s="374"/>
      <c r="C1163" s="374"/>
      <c r="CV1163" s="376"/>
    </row>
    <row r="1164" spans="1:100">
      <c r="A1164" s="374"/>
      <c r="C1164" s="374"/>
      <c r="CV1164" s="376"/>
    </row>
    <row r="1165" spans="1:100">
      <c r="A1165" s="374"/>
      <c r="C1165" s="374"/>
      <c r="CV1165" s="376"/>
    </row>
    <row r="1166" spans="1:100">
      <c r="A1166" s="374"/>
      <c r="C1166" s="374"/>
      <c r="CV1166" s="376"/>
    </row>
    <row r="1167" spans="1:100">
      <c r="A1167" s="374"/>
      <c r="C1167" s="374"/>
      <c r="CV1167" s="376"/>
    </row>
    <row r="1168" spans="1:100">
      <c r="A1168" s="374"/>
      <c r="C1168" s="374"/>
      <c r="CV1168" s="376"/>
    </row>
    <row r="1169" spans="1:100">
      <c r="A1169" s="374"/>
      <c r="C1169" s="374"/>
      <c r="CV1169" s="376"/>
    </row>
    <row r="1170" spans="1:100">
      <c r="A1170" s="374"/>
      <c r="C1170" s="374"/>
      <c r="CV1170" s="376"/>
    </row>
    <row r="1171" spans="1:100">
      <c r="A1171" s="374"/>
      <c r="C1171" s="374"/>
      <c r="CV1171" s="376"/>
    </row>
    <row r="1172" spans="1:100">
      <c r="A1172" s="374"/>
      <c r="C1172" s="374"/>
      <c r="CV1172" s="376"/>
    </row>
    <row r="1173" spans="1:100">
      <c r="A1173" s="374"/>
      <c r="C1173" s="374"/>
      <c r="CV1173" s="376"/>
    </row>
    <row r="1174" spans="1:100">
      <c r="A1174" s="374"/>
      <c r="C1174" s="374"/>
      <c r="CV1174" s="376"/>
    </row>
    <row r="1175" spans="1:100">
      <c r="A1175" s="374"/>
      <c r="C1175" s="374"/>
      <c r="CV1175" s="376"/>
    </row>
    <row r="1176" spans="1:100">
      <c r="A1176" s="374"/>
      <c r="C1176" s="374"/>
      <c r="CV1176" s="376"/>
    </row>
    <row r="1177" spans="1:100">
      <c r="A1177" s="374"/>
      <c r="C1177" s="374"/>
      <c r="CV1177" s="376"/>
    </row>
    <row r="1178" spans="1:100">
      <c r="A1178" s="374"/>
      <c r="C1178" s="374"/>
      <c r="CV1178" s="376"/>
    </row>
    <row r="1179" spans="1:100">
      <c r="A1179" s="374"/>
      <c r="C1179" s="374"/>
      <c r="CV1179" s="376"/>
    </row>
    <row r="1180" spans="1:100">
      <c r="A1180" s="374"/>
      <c r="C1180" s="374"/>
      <c r="CV1180" s="376"/>
    </row>
    <row r="1181" spans="1:100">
      <c r="A1181" s="374"/>
      <c r="C1181" s="374"/>
      <c r="CV1181" s="376"/>
    </row>
    <row r="1182" spans="1:100">
      <c r="A1182" s="374"/>
      <c r="C1182" s="374"/>
      <c r="CV1182" s="376"/>
    </row>
    <row r="1183" spans="1:100">
      <c r="A1183" s="374"/>
      <c r="C1183" s="374"/>
      <c r="CV1183" s="376"/>
    </row>
    <row r="1184" spans="1:100">
      <c r="A1184" s="374"/>
      <c r="C1184" s="374"/>
      <c r="CV1184" s="376"/>
    </row>
    <row r="1185" spans="1:100">
      <c r="A1185" s="374"/>
      <c r="C1185" s="374"/>
      <c r="CV1185" s="376"/>
    </row>
    <row r="1186" spans="1:100">
      <c r="A1186" s="374"/>
      <c r="C1186" s="374"/>
      <c r="CV1186" s="376"/>
    </row>
    <row r="1187" spans="1:100">
      <c r="A1187" s="374"/>
      <c r="C1187" s="374"/>
      <c r="CV1187" s="376"/>
    </row>
    <row r="1188" spans="1:100">
      <c r="A1188" s="374"/>
      <c r="C1188" s="374"/>
      <c r="CV1188" s="376"/>
    </row>
    <row r="1189" spans="1:100">
      <c r="A1189" s="374"/>
      <c r="C1189" s="374"/>
      <c r="CV1189" s="376"/>
    </row>
    <row r="1190" spans="1:100">
      <c r="A1190" s="374"/>
      <c r="C1190" s="374"/>
      <c r="CV1190" s="376"/>
    </row>
    <row r="1191" spans="1:100">
      <c r="A1191" s="374"/>
      <c r="C1191" s="374"/>
      <c r="CV1191" s="376"/>
    </row>
    <row r="1192" spans="1:100">
      <c r="A1192" s="374"/>
      <c r="C1192" s="374"/>
      <c r="CV1192" s="376"/>
    </row>
    <row r="1193" spans="1:100">
      <c r="A1193" s="374"/>
      <c r="C1193" s="374"/>
      <c r="CV1193" s="376"/>
    </row>
    <row r="1194" spans="1:100">
      <c r="A1194" s="374"/>
      <c r="C1194" s="374"/>
      <c r="CV1194" s="376"/>
    </row>
    <row r="1195" spans="1:100">
      <c r="A1195" s="374"/>
      <c r="C1195" s="374"/>
      <c r="CV1195" s="376"/>
    </row>
    <row r="1196" spans="1:100">
      <c r="A1196" s="374"/>
      <c r="C1196" s="374"/>
      <c r="CV1196" s="376"/>
    </row>
    <row r="1197" spans="1:100">
      <c r="A1197" s="374"/>
      <c r="C1197" s="374"/>
      <c r="CV1197" s="376"/>
    </row>
    <row r="1198" spans="1:100">
      <c r="A1198" s="374"/>
      <c r="C1198" s="374"/>
      <c r="CV1198" s="376"/>
    </row>
    <row r="1199" spans="1:100">
      <c r="A1199" s="374"/>
      <c r="C1199" s="374"/>
      <c r="CV1199" s="376"/>
    </row>
    <row r="1200" spans="1:100">
      <c r="A1200" s="374"/>
      <c r="C1200" s="374"/>
      <c r="CV1200" s="376"/>
    </row>
    <row r="1201" spans="1:100">
      <c r="A1201" s="374"/>
      <c r="C1201" s="374"/>
      <c r="CV1201" s="376"/>
    </row>
    <row r="1202" spans="1:100">
      <c r="A1202" s="374"/>
      <c r="C1202" s="374"/>
      <c r="CV1202" s="376"/>
    </row>
    <row r="1203" spans="1:100">
      <c r="A1203" s="374"/>
      <c r="C1203" s="374"/>
      <c r="CV1203" s="376"/>
    </row>
    <row r="1204" spans="1:100">
      <c r="A1204" s="374"/>
      <c r="C1204" s="374"/>
      <c r="CV1204" s="376"/>
    </row>
    <row r="1205" spans="1:100">
      <c r="A1205" s="374"/>
      <c r="C1205" s="374"/>
      <c r="CV1205" s="376"/>
    </row>
    <row r="1206" spans="1:100">
      <c r="A1206" s="374"/>
      <c r="C1206" s="374"/>
      <c r="CV1206" s="376"/>
    </row>
    <row r="1207" spans="1:100">
      <c r="A1207" s="374"/>
      <c r="C1207" s="374"/>
      <c r="CV1207" s="376"/>
    </row>
    <row r="1208" spans="1:100">
      <c r="A1208" s="374"/>
      <c r="C1208" s="374"/>
      <c r="CV1208" s="376"/>
    </row>
    <row r="1209" spans="1:100">
      <c r="A1209" s="374"/>
      <c r="C1209" s="374"/>
      <c r="CV1209" s="376"/>
    </row>
    <row r="1210" spans="1:100">
      <c r="A1210" s="374"/>
      <c r="C1210" s="374"/>
      <c r="CV1210" s="376"/>
    </row>
    <row r="1211" spans="1:100">
      <c r="A1211" s="374"/>
      <c r="C1211" s="374"/>
      <c r="CV1211" s="376"/>
    </row>
    <row r="1212" spans="1:100">
      <c r="A1212" s="374"/>
      <c r="C1212" s="374"/>
      <c r="CV1212" s="376"/>
    </row>
    <row r="1213" spans="1:100">
      <c r="A1213" s="374"/>
      <c r="C1213" s="374"/>
      <c r="CV1213" s="376"/>
    </row>
    <row r="1214" spans="1:100">
      <c r="A1214" s="374"/>
      <c r="C1214" s="374"/>
      <c r="CV1214" s="376"/>
    </row>
    <row r="1215" spans="1:100">
      <c r="A1215" s="374"/>
      <c r="C1215" s="374"/>
      <c r="CV1215" s="376"/>
    </row>
    <row r="1216" spans="1:100">
      <c r="A1216" s="374"/>
      <c r="C1216" s="374"/>
      <c r="CV1216" s="376"/>
    </row>
    <row r="1217" spans="1:100">
      <c r="A1217" s="374"/>
      <c r="C1217" s="374"/>
      <c r="CV1217" s="376"/>
    </row>
    <row r="1218" spans="1:100">
      <c r="A1218" s="374"/>
      <c r="C1218" s="374"/>
      <c r="CV1218" s="376"/>
    </row>
    <row r="1219" spans="1:100">
      <c r="A1219" s="374"/>
      <c r="C1219" s="374"/>
      <c r="CV1219" s="376"/>
    </row>
    <row r="1220" spans="1:100">
      <c r="A1220" s="374"/>
      <c r="C1220" s="374"/>
      <c r="CV1220" s="376"/>
    </row>
    <row r="1221" spans="1:100">
      <c r="A1221" s="374"/>
      <c r="C1221" s="374"/>
      <c r="CV1221" s="376"/>
    </row>
    <row r="1222" spans="1:100">
      <c r="A1222" s="374"/>
      <c r="C1222" s="374"/>
      <c r="CV1222" s="376"/>
    </row>
    <row r="1223" spans="1:100">
      <c r="A1223" s="374"/>
      <c r="C1223" s="374"/>
      <c r="CV1223" s="376"/>
    </row>
    <row r="1224" spans="1:100">
      <c r="A1224" s="374"/>
      <c r="C1224" s="374"/>
      <c r="CV1224" s="376"/>
    </row>
    <row r="1225" spans="1:100">
      <c r="A1225" s="374"/>
      <c r="C1225" s="374"/>
      <c r="CV1225" s="376"/>
    </row>
    <row r="1226" spans="1:100">
      <c r="A1226" s="374"/>
      <c r="C1226" s="374"/>
      <c r="CV1226" s="376"/>
    </row>
    <row r="1227" spans="1:100">
      <c r="A1227" s="374"/>
      <c r="C1227" s="374"/>
      <c r="CV1227" s="376"/>
    </row>
    <row r="1228" spans="1:100">
      <c r="A1228" s="374"/>
      <c r="C1228" s="374"/>
      <c r="CV1228" s="376"/>
    </row>
    <row r="1229" spans="1:100">
      <c r="A1229" s="374"/>
      <c r="C1229" s="374"/>
      <c r="CV1229" s="376"/>
    </row>
    <row r="1230" spans="1:100">
      <c r="A1230" s="374"/>
      <c r="C1230" s="374"/>
      <c r="CV1230" s="376"/>
    </row>
    <row r="1231" spans="1:100">
      <c r="A1231" s="374"/>
      <c r="C1231" s="374"/>
      <c r="CV1231" s="376"/>
    </row>
    <row r="1232" spans="1:100">
      <c r="A1232" s="374"/>
      <c r="C1232" s="374"/>
      <c r="CV1232" s="376"/>
    </row>
    <row r="1233" spans="1:100">
      <c r="A1233" s="374"/>
      <c r="C1233" s="374"/>
      <c r="CV1233" s="376"/>
    </row>
    <row r="1234" spans="1:100">
      <c r="A1234" s="374"/>
      <c r="C1234" s="374"/>
      <c r="CV1234" s="376"/>
    </row>
    <row r="1235" spans="1:100">
      <c r="A1235" s="374"/>
      <c r="C1235" s="374"/>
      <c r="CV1235" s="376"/>
    </row>
    <row r="1236" spans="1:100">
      <c r="A1236" s="374"/>
      <c r="C1236" s="374"/>
      <c r="CV1236" s="376"/>
    </row>
    <row r="1237" spans="1:100">
      <c r="A1237" s="374"/>
      <c r="C1237" s="374"/>
      <c r="CV1237" s="376"/>
    </row>
    <row r="1238" spans="1:100">
      <c r="A1238" s="374"/>
      <c r="C1238" s="374"/>
      <c r="CV1238" s="376"/>
    </row>
    <row r="1239" spans="1:100">
      <c r="A1239" s="374"/>
      <c r="C1239" s="374"/>
      <c r="CV1239" s="376"/>
    </row>
    <row r="1240" spans="1:100">
      <c r="A1240" s="374"/>
      <c r="C1240" s="374"/>
      <c r="CV1240" s="376"/>
    </row>
    <row r="1241" spans="1:100">
      <c r="A1241" s="374"/>
      <c r="C1241" s="374"/>
      <c r="CV1241" s="376"/>
    </row>
    <row r="1242" spans="1:100">
      <c r="A1242" s="374"/>
      <c r="C1242" s="374"/>
      <c r="CV1242" s="376"/>
    </row>
    <row r="1243" spans="1:100">
      <c r="A1243" s="374"/>
      <c r="C1243" s="374"/>
      <c r="CV1243" s="376"/>
    </row>
    <row r="1244" spans="1:100">
      <c r="A1244" s="374"/>
      <c r="C1244" s="374"/>
      <c r="CV1244" s="376"/>
    </row>
    <row r="1245" spans="1:100">
      <c r="A1245" s="374"/>
      <c r="C1245" s="374"/>
      <c r="CV1245" s="376"/>
    </row>
    <row r="1246" spans="1:100">
      <c r="A1246" s="374"/>
      <c r="C1246" s="374"/>
      <c r="CV1246" s="376"/>
    </row>
    <row r="1247" spans="1:100">
      <c r="A1247" s="374"/>
      <c r="C1247" s="374"/>
      <c r="CV1247" s="376"/>
    </row>
    <row r="1248" spans="1:100">
      <c r="A1248" s="374"/>
      <c r="C1248" s="374"/>
      <c r="CV1248" s="376"/>
    </row>
    <row r="1249" spans="1:100">
      <c r="A1249" s="374"/>
      <c r="C1249" s="374"/>
      <c r="CV1249" s="376"/>
    </row>
    <row r="1250" spans="1:100">
      <c r="A1250" s="374"/>
      <c r="C1250" s="374"/>
      <c r="CV1250" s="376"/>
    </row>
    <row r="1251" spans="1:100">
      <c r="A1251" s="374"/>
      <c r="C1251" s="374"/>
      <c r="CV1251" s="376"/>
    </row>
    <row r="1252" spans="1:100">
      <c r="A1252" s="374"/>
      <c r="C1252" s="374"/>
      <c r="CV1252" s="376"/>
    </row>
    <row r="1253" spans="1:100">
      <c r="A1253" s="374"/>
      <c r="C1253" s="374"/>
      <c r="CV1253" s="376"/>
    </row>
    <row r="1254" spans="1:100">
      <c r="A1254" s="374"/>
      <c r="C1254" s="374"/>
      <c r="CV1254" s="376"/>
    </row>
    <row r="1255" spans="1:100">
      <c r="A1255" s="374"/>
      <c r="C1255" s="374"/>
      <c r="CV1255" s="376"/>
    </row>
    <row r="1256" spans="1:100">
      <c r="A1256" s="374"/>
      <c r="C1256" s="374"/>
      <c r="CV1256" s="376"/>
    </row>
    <row r="1257" spans="1:100">
      <c r="A1257" s="374"/>
      <c r="C1257" s="374"/>
      <c r="CV1257" s="376"/>
    </row>
    <row r="1258" spans="1:100">
      <c r="A1258" s="374"/>
      <c r="C1258" s="374"/>
      <c r="CV1258" s="376"/>
    </row>
    <row r="1259" spans="1:100">
      <c r="A1259" s="374"/>
      <c r="C1259" s="374"/>
      <c r="CV1259" s="376"/>
    </row>
    <row r="1260" spans="1:100">
      <c r="A1260" s="374"/>
      <c r="C1260" s="374"/>
      <c r="CV1260" s="376"/>
    </row>
    <row r="1261" spans="1:100">
      <c r="A1261" s="374"/>
      <c r="C1261" s="374"/>
      <c r="CV1261" s="376"/>
    </row>
    <row r="1262" spans="1:100">
      <c r="A1262" s="374"/>
      <c r="C1262" s="374"/>
      <c r="CV1262" s="376"/>
    </row>
    <row r="1263" spans="1:100">
      <c r="A1263" s="374"/>
      <c r="C1263" s="374"/>
      <c r="CV1263" s="376"/>
    </row>
    <row r="1264" spans="1:100">
      <c r="A1264" s="374"/>
      <c r="C1264" s="374"/>
      <c r="CV1264" s="376"/>
    </row>
    <row r="1265" spans="1:100">
      <c r="A1265" s="374"/>
      <c r="C1265" s="374"/>
      <c r="CV1265" s="376"/>
    </row>
    <row r="1266" spans="1:100">
      <c r="A1266" s="374"/>
      <c r="C1266" s="374"/>
      <c r="CV1266" s="376"/>
    </row>
    <row r="1267" spans="1:100">
      <c r="A1267" s="374"/>
      <c r="C1267" s="374"/>
      <c r="CV1267" s="376"/>
    </row>
    <row r="1268" spans="1:100">
      <c r="A1268" s="374"/>
      <c r="C1268" s="374"/>
      <c r="CV1268" s="376"/>
    </row>
    <row r="1269" spans="1:100">
      <c r="A1269" s="374"/>
      <c r="C1269" s="374"/>
      <c r="CV1269" s="376"/>
    </row>
    <row r="1270" spans="1:100">
      <c r="A1270" s="374"/>
      <c r="C1270" s="374"/>
      <c r="CV1270" s="376"/>
    </row>
    <row r="1271" spans="1:100">
      <c r="A1271" s="374"/>
      <c r="C1271" s="374"/>
      <c r="CV1271" s="376"/>
    </row>
    <row r="1272" spans="1:100">
      <c r="A1272" s="374"/>
      <c r="C1272" s="374"/>
      <c r="CV1272" s="376"/>
    </row>
    <row r="1273" spans="1:100">
      <c r="A1273" s="374"/>
      <c r="C1273" s="374"/>
      <c r="CV1273" s="376"/>
    </row>
    <row r="1274" spans="1:100">
      <c r="A1274" s="374"/>
      <c r="C1274" s="374"/>
      <c r="CV1274" s="376"/>
    </row>
    <row r="1275" spans="1:100">
      <c r="A1275" s="374"/>
      <c r="C1275" s="374"/>
      <c r="CV1275" s="376"/>
    </row>
    <row r="1276" spans="1:100">
      <c r="A1276" s="374"/>
      <c r="C1276" s="374"/>
      <c r="CV1276" s="376"/>
    </row>
    <row r="1277" spans="1:100">
      <c r="A1277" s="374"/>
      <c r="C1277" s="374"/>
      <c r="CV1277" s="376"/>
    </row>
    <row r="1278" spans="1:100">
      <c r="A1278" s="374"/>
      <c r="C1278" s="374"/>
      <c r="CV1278" s="376"/>
    </row>
    <row r="1279" spans="1:100">
      <c r="A1279" s="374"/>
      <c r="C1279" s="374"/>
      <c r="CV1279" s="376"/>
    </row>
    <row r="1280" spans="1:100">
      <c r="A1280" s="374"/>
      <c r="C1280" s="374"/>
      <c r="CV1280" s="376"/>
    </row>
    <row r="1281" spans="1:100">
      <c r="A1281" s="374"/>
      <c r="C1281" s="374"/>
      <c r="CV1281" s="376"/>
    </row>
    <row r="1282" spans="1:100">
      <c r="A1282" s="374"/>
      <c r="C1282" s="374"/>
      <c r="CV1282" s="376"/>
    </row>
    <row r="1283" spans="1:100">
      <c r="A1283" s="374"/>
      <c r="C1283" s="374"/>
      <c r="CV1283" s="376"/>
    </row>
    <row r="1284" spans="1:100">
      <c r="A1284" s="374"/>
      <c r="C1284" s="374"/>
      <c r="CV1284" s="376"/>
    </row>
    <row r="1285" spans="1:100">
      <c r="A1285" s="374"/>
      <c r="C1285" s="374"/>
      <c r="CV1285" s="376"/>
    </row>
    <row r="1286" spans="1:100">
      <c r="A1286" s="374"/>
      <c r="C1286" s="374"/>
      <c r="CV1286" s="376"/>
    </row>
    <row r="1287" spans="1:100">
      <c r="A1287" s="374"/>
      <c r="C1287" s="374"/>
      <c r="CV1287" s="376"/>
    </row>
    <row r="1288" spans="1:100">
      <c r="A1288" s="374"/>
      <c r="C1288" s="374"/>
      <c r="CV1288" s="376"/>
    </row>
    <row r="1289" spans="1:100">
      <c r="A1289" s="374"/>
      <c r="C1289" s="374"/>
      <c r="CV1289" s="376"/>
    </row>
    <row r="1290" spans="1:100">
      <c r="A1290" s="374"/>
      <c r="C1290" s="374"/>
      <c r="CV1290" s="376"/>
    </row>
    <row r="1291" spans="1:100">
      <c r="A1291" s="374"/>
      <c r="C1291" s="374"/>
      <c r="CV1291" s="376"/>
    </row>
    <row r="1292" spans="1:100">
      <c r="A1292" s="374"/>
      <c r="C1292" s="374"/>
      <c r="CV1292" s="376"/>
    </row>
    <row r="1293" spans="1:100">
      <c r="A1293" s="374"/>
      <c r="C1293" s="374"/>
      <c r="CV1293" s="376"/>
    </row>
    <row r="1294" spans="1:100">
      <c r="A1294" s="374"/>
      <c r="C1294" s="374"/>
      <c r="CV1294" s="376"/>
    </row>
    <row r="1295" spans="1:100">
      <c r="A1295" s="374"/>
      <c r="C1295" s="374"/>
      <c r="CV1295" s="376"/>
    </row>
    <row r="1296" spans="1:100">
      <c r="A1296" s="374"/>
      <c r="C1296" s="374"/>
      <c r="CV1296" s="376"/>
    </row>
    <row r="1297" spans="1:100">
      <c r="A1297" s="374"/>
      <c r="C1297" s="374"/>
      <c r="CV1297" s="376"/>
    </row>
    <row r="1298" spans="1:100">
      <c r="A1298" s="374"/>
      <c r="C1298" s="374"/>
      <c r="CV1298" s="376"/>
    </row>
    <row r="1299" spans="1:100">
      <c r="A1299" s="374"/>
      <c r="C1299" s="374"/>
      <c r="CV1299" s="376"/>
    </row>
    <row r="1300" spans="1:100">
      <c r="A1300" s="374"/>
      <c r="C1300" s="374"/>
      <c r="CV1300" s="376"/>
    </row>
    <row r="1301" spans="1:100">
      <c r="A1301" s="374"/>
      <c r="C1301" s="374"/>
      <c r="CV1301" s="376"/>
    </row>
    <row r="1302" spans="1:100">
      <c r="A1302" s="374"/>
      <c r="C1302" s="374"/>
      <c r="CV1302" s="376"/>
    </row>
    <row r="1303" spans="1:100">
      <c r="A1303" s="374"/>
      <c r="C1303" s="374"/>
      <c r="CV1303" s="376"/>
    </row>
    <row r="1304" spans="1:100">
      <c r="A1304" s="374"/>
      <c r="C1304" s="374"/>
      <c r="CV1304" s="376"/>
    </row>
    <row r="1305" spans="1:100">
      <c r="A1305" s="374"/>
      <c r="C1305" s="374"/>
      <c r="CV1305" s="376"/>
    </row>
    <row r="1306" spans="1:100">
      <c r="A1306" s="374"/>
      <c r="C1306" s="374"/>
      <c r="CV1306" s="376"/>
    </row>
    <row r="1307" spans="1:100">
      <c r="A1307" s="374"/>
      <c r="C1307" s="374"/>
      <c r="CV1307" s="376"/>
    </row>
    <row r="1308" spans="1:100">
      <c r="A1308" s="374"/>
      <c r="C1308" s="374"/>
      <c r="CV1308" s="376"/>
    </row>
    <row r="1309" spans="1:100">
      <c r="A1309" s="374"/>
      <c r="C1309" s="374"/>
      <c r="CV1309" s="376"/>
    </row>
    <row r="1310" spans="1:100">
      <c r="A1310" s="374"/>
      <c r="C1310" s="374"/>
      <c r="CV1310" s="376"/>
    </row>
    <row r="1311" spans="1:100">
      <c r="A1311" s="374"/>
      <c r="C1311" s="374"/>
      <c r="CV1311" s="376"/>
    </row>
    <row r="1312" spans="1:100">
      <c r="A1312" s="374"/>
      <c r="C1312" s="374"/>
      <c r="CV1312" s="376"/>
    </row>
    <row r="1313" spans="1:100">
      <c r="A1313" s="374"/>
      <c r="C1313" s="374"/>
      <c r="CV1313" s="376"/>
    </row>
    <row r="1314" spans="1:100">
      <c r="A1314" s="374"/>
      <c r="C1314" s="374"/>
      <c r="CV1314" s="376"/>
    </row>
    <row r="1315" spans="1:100">
      <c r="A1315" s="374"/>
      <c r="C1315" s="374"/>
      <c r="CV1315" s="376"/>
    </row>
    <row r="1316" spans="1:100">
      <c r="A1316" s="374"/>
      <c r="C1316" s="374"/>
      <c r="CV1316" s="376"/>
    </row>
    <row r="1317" spans="1:100">
      <c r="A1317" s="374"/>
      <c r="C1317" s="374"/>
      <c r="CV1317" s="376"/>
    </row>
    <row r="1318" spans="1:100">
      <c r="A1318" s="374"/>
      <c r="C1318" s="374"/>
      <c r="CV1318" s="376"/>
    </row>
    <row r="1319" spans="1:100">
      <c r="A1319" s="374"/>
      <c r="C1319" s="374"/>
      <c r="CV1319" s="376"/>
    </row>
    <row r="1320" spans="1:100">
      <c r="A1320" s="374"/>
      <c r="C1320" s="374"/>
      <c r="CV1320" s="376"/>
    </row>
    <row r="1321" spans="1:100">
      <c r="A1321" s="374"/>
      <c r="C1321" s="374"/>
      <c r="CV1321" s="376"/>
    </row>
    <row r="1322" spans="1:100">
      <c r="A1322" s="374"/>
      <c r="C1322" s="374"/>
      <c r="CV1322" s="376"/>
    </row>
    <row r="1323" spans="1:100">
      <c r="A1323" s="374"/>
      <c r="C1323" s="374"/>
      <c r="CV1323" s="376"/>
    </row>
    <row r="1324" spans="1:100">
      <c r="A1324" s="374"/>
      <c r="C1324" s="374"/>
      <c r="CV1324" s="376"/>
    </row>
    <row r="1325" spans="1:100">
      <c r="A1325" s="374"/>
      <c r="C1325" s="374"/>
      <c r="CV1325" s="376"/>
    </row>
    <row r="1326" spans="1:100">
      <c r="A1326" s="374"/>
      <c r="C1326" s="374"/>
      <c r="CV1326" s="376"/>
    </row>
    <row r="1327" spans="1:100">
      <c r="A1327" s="374"/>
      <c r="C1327" s="374"/>
      <c r="CV1327" s="376"/>
    </row>
    <row r="1328" spans="1:100">
      <c r="A1328" s="374"/>
      <c r="C1328" s="374"/>
      <c r="CV1328" s="376"/>
    </row>
    <row r="1329" spans="1:100">
      <c r="A1329" s="374"/>
      <c r="C1329" s="374"/>
      <c r="CV1329" s="376"/>
    </row>
    <row r="1330" spans="1:100">
      <c r="A1330" s="374"/>
      <c r="C1330" s="374"/>
      <c r="CV1330" s="376"/>
    </row>
    <row r="1331" spans="1:100">
      <c r="A1331" s="374"/>
      <c r="C1331" s="374"/>
      <c r="CV1331" s="376"/>
    </row>
    <row r="1332" spans="1:100">
      <c r="A1332" s="374"/>
      <c r="C1332" s="374"/>
      <c r="CV1332" s="376"/>
    </row>
    <row r="1333" spans="1:100">
      <c r="A1333" s="374"/>
      <c r="C1333" s="374"/>
      <c r="CV1333" s="376"/>
    </row>
    <row r="1334" spans="1:100">
      <c r="A1334" s="374"/>
      <c r="C1334" s="374"/>
      <c r="CV1334" s="376"/>
    </row>
    <row r="1335" spans="1:100">
      <c r="A1335" s="374"/>
      <c r="C1335" s="374"/>
      <c r="CV1335" s="376"/>
    </row>
    <row r="1336" spans="1:100">
      <c r="A1336" s="374"/>
      <c r="C1336" s="374"/>
      <c r="CV1336" s="376"/>
    </row>
    <row r="1337" spans="1:100">
      <c r="A1337" s="374"/>
      <c r="C1337" s="374"/>
      <c r="CV1337" s="376"/>
    </row>
    <row r="1338" spans="1:100">
      <c r="A1338" s="374"/>
      <c r="C1338" s="374"/>
      <c r="CV1338" s="376"/>
    </row>
    <row r="1339" spans="1:100">
      <c r="A1339" s="374"/>
      <c r="C1339" s="374"/>
      <c r="CV1339" s="376"/>
    </row>
    <row r="1340" spans="1:100">
      <c r="A1340" s="374"/>
      <c r="C1340" s="374"/>
      <c r="CV1340" s="376"/>
    </row>
    <row r="1341" spans="1:100">
      <c r="A1341" s="374"/>
      <c r="C1341" s="374"/>
      <c r="CV1341" s="376"/>
    </row>
    <row r="1342" spans="1:100">
      <c r="A1342" s="374"/>
      <c r="C1342" s="374"/>
      <c r="CV1342" s="376"/>
    </row>
    <row r="1343" spans="1:100">
      <c r="A1343" s="374"/>
      <c r="C1343" s="374"/>
      <c r="CV1343" s="376"/>
    </row>
    <row r="1344" spans="1:100">
      <c r="A1344" s="374"/>
      <c r="C1344" s="374"/>
      <c r="CV1344" s="376"/>
    </row>
    <row r="1345" spans="1:100">
      <c r="A1345" s="374"/>
      <c r="C1345" s="374"/>
      <c r="CV1345" s="376"/>
    </row>
    <row r="1346" spans="1:100">
      <c r="A1346" s="374"/>
      <c r="C1346" s="374"/>
      <c r="CV1346" s="376"/>
    </row>
    <row r="1347" spans="1:100">
      <c r="A1347" s="374"/>
      <c r="C1347" s="374"/>
      <c r="CV1347" s="376"/>
    </row>
    <row r="1348" spans="1:100">
      <c r="A1348" s="374"/>
      <c r="C1348" s="374"/>
      <c r="CV1348" s="376"/>
    </row>
    <row r="1349" spans="1:100">
      <c r="A1349" s="374"/>
      <c r="C1349" s="374"/>
      <c r="CV1349" s="376"/>
    </row>
    <row r="1350" spans="1:100">
      <c r="A1350" s="374"/>
      <c r="C1350" s="374"/>
      <c r="CV1350" s="376"/>
    </row>
    <row r="1351" spans="1:100">
      <c r="A1351" s="374"/>
      <c r="C1351" s="374"/>
      <c r="CV1351" s="376"/>
    </row>
    <row r="1352" spans="1:100">
      <c r="A1352" s="374"/>
      <c r="C1352" s="374"/>
      <c r="CV1352" s="376"/>
    </row>
    <row r="1353" spans="1:100">
      <c r="A1353" s="374"/>
      <c r="C1353" s="374"/>
      <c r="CV1353" s="376"/>
    </row>
    <row r="1354" spans="1:100">
      <c r="A1354" s="374"/>
      <c r="C1354" s="374"/>
      <c r="CV1354" s="376"/>
    </row>
    <row r="1355" spans="1:100">
      <c r="A1355" s="374"/>
      <c r="C1355" s="374"/>
      <c r="CV1355" s="376"/>
    </row>
    <row r="1356" spans="1:100">
      <c r="A1356" s="374"/>
      <c r="C1356" s="374"/>
      <c r="CV1356" s="376"/>
    </row>
    <row r="1357" spans="1:100">
      <c r="A1357" s="374"/>
      <c r="C1357" s="374"/>
      <c r="CV1357" s="376"/>
    </row>
    <row r="1358" spans="1:100">
      <c r="A1358" s="374"/>
      <c r="C1358" s="374"/>
      <c r="CV1358" s="376"/>
    </row>
    <row r="1359" spans="1:100">
      <c r="A1359" s="374"/>
      <c r="C1359" s="374"/>
      <c r="CV1359" s="376"/>
    </row>
    <row r="1360" spans="1:100">
      <c r="A1360" s="374"/>
      <c r="C1360" s="374"/>
      <c r="CV1360" s="376"/>
    </row>
    <row r="1361" spans="1:100">
      <c r="A1361" s="374"/>
      <c r="C1361" s="374"/>
      <c r="CV1361" s="376"/>
    </row>
    <row r="1362" spans="1:100">
      <c r="A1362" s="374"/>
      <c r="C1362" s="374"/>
      <c r="CV1362" s="376"/>
    </row>
    <row r="1363" spans="1:100">
      <c r="A1363" s="374"/>
      <c r="C1363" s="374"/>
      <c r="CV1363" s="376"/>
    </row>
    <row r="1364" spans="1:100">
      <c r="A1364" s="374"/>
      <c r="C1364" s="374"/>
      <c r="CV1364" s="376"/>
    </row>
    <row r="1365" spans="1:100">
      <c r="A1365" s="374"/>
      <c r="C1365" s="374"/>
      <c r="CV1365" s="376"/>
    </row>
    <row r="1366" spans="1:100">
      <c r="A1366" s="374"/>
      <c r="C1366" s="374"/>
      <c r="CV1366" s="376"/>
    </row>
    <row r="1367" spans="1:100">
      <c r="A1367" s="374"/>
      <c r="C1367" s="374"/>
      <c r="CV1367" s="376"/>
    </row>
    <row r="1368" spans="1:100">
      <c r="A1368" s="374"/>
      <c r="C1368" s="374"/>
      <c r="CV1368" s="376"/>
    </row>
    <row r="1369" spans="1:100">
      <c r="A1369" s="374"/>
      <c r="C1369" s="374"/>
      <c r="CV1369" s="376"/>
    </row>
    <row r="1370" spans="1:100">
      <c r="A1370" s="374"/>
      <c r="C1370" s="374"/>
      <c r="CV1370" s="376"/>
    </row>
    <row r="1371" spans="1:100">
      <c r="A1371" s="374"/>
      <c r="C1371" s="374"/>
      <c r="CV1371" s="376"/>
    </row>
    <row r="1372" spans="1:100">
      <c r="A1372" s="374"/>
      <c r="C1372" s="374"/>
      <c r="CV1372" s="376"/>
    </row>
    <row r="1373" spans="1:100">
      <c r="A1373" s="374"/>
      <c r="C1373" s="374"/>
      <c r="CV1373" s="376"/>
    </row>
    <row r="1374" spans="1:100">
      <c r="A1374" s="374"/>
      <c r="C1374" s="374"/>
      <c r="CV1374" s="376"/>
    </row>
    <row r="1375" spans="1:100">
      <c r="A1375" s="374"/>
      <c r="C1375" s="374"/>
      <c r="CV1375" s="376"/>
    </row>
    <row r="1376" spans="1:100">
      <c r="A1376" s="374"/>
      <c r="C1376" s="374"/>
      <c r="CV1376" s="376"/>
    </row>
    <row r="1377" spans="1:100">
      <c r="A1377" s="374"/>
      <c r="C1377" s="374"/>
      <c r="CV1377" s="376"/>
    </row>
    <row r="1378" spans="1:100">
      <c r="A1378" s="374"/>
      <c r="C1378" s="374"/>
      <c r="CV1378" s="376"/>
    </row>
    <row r="1379" spans="1:100">
      <c r="A1379" s="374"/>
      <c r="C1379" s="374"/>
      <c r="CV1379" s="376"/>
    </row>
    <row r="1380" spans="1:100">
      <c r="A1380" s="374"/>
      <c r="C1380" s="374"/>
      <c r="CV1380" s="376"/>
    </row>
    <row r="1381" spans="1:100">
      <c r="A1381" s="374"/>
      <c r="C1381" s="374"/>
      <c r="CV1381" s="376"/>
    </row>
    <row r="1382" spans="1:100">
      <c r="A1382" s="374"/>
      <c r="C1382" s="374"/>
      <c r="CV1382" s="376"/>
    </row>
    <row r="1383" spans="1:100">
      <c r="A1383" s="374"/>
      <c r="C1383" s="374"/>
      <c r="CV1383" s="376"/>
    </row>
    <row r="1384" spans="1:100">
      <c r="A1384" s="374"/>
      <c r="C1384" s="374"/>
      <c r="CV1384" s="376"/>
    </row>
    <row r="1385" spans="1:100">
      <c r="A1385" s="374"/>
      <c r="C1385" s="374"/>
      <c r="CV1385" s="376"/>
    </row>
    <row r="1386" spans="1:100">
      <c r="A1386" s="374"/>
      <c r="C1386" s="374"/>
      <c r="CV1386" s="376"/>
    </row>
    <row r="1387" spans="1:100">
      <c r="A1387" s="374"/>
      <c r="C1387" s="374"/>
      <c r="CV1387" s="376"/>
    </row>
    <row r="1388" spans="1:100">
      <c r="A1388" s="374"/>
      <c r="C1388" s="374"/>
      <c r="CV1388" s="376"/>
    </row>
    <row r="1389" spans="1:100">
      <c r="A1389" s="374"/>
      <c r="C1389" s="374"/>
      <c r="CV1389" s="376"/>
    </row>
    <row r="1390" spans="1:100">
      <c r="A1390" s="374"/>
      <c r="C1390" s="374"/>
      <c r="CV1390" s="376"/>
    </row>
    <row r="1391" spans="1:100">
      <c r="A1391" s="374"/>
      <c r="C1391" s="374"/>
      <c r="CV1391" s="376"/>
    </row>
    <row r="1392" spans="1:100">
      <c r="A1392" s="374"/>
      <c r="C1392" s="374"/>
      <c r="CV1392" s="376"/>
    </row>
    <row r="1393" spans="1:100">
      <c r="A1393" s="374"/>
      <c r="C1393" s="374"/>
      <c r="CV1393" s="376"/>
    </row>
    <row r="1394" spans="1:100">
      <c r="A1394" s="374"/>
      <c r="C1394" s="374"/>
      <c r="CV1394" s="376"/>
    </row>
    <row r="1395" spans="1:100">
      <c r="A1395" s="374"/>
      <c r="C1395" s="374"/>
      <c r="CV1395" s="376"/>
    </row>
    <row r="1396" spans="1:100">
      <c r="A1396" s="374"/>
      <c r="C1396" s="374"/>
      <c r="CV1396" s="376"/>
    </row>
    <row r="1397" spans="1:100">
      <c r="A1397" s="374"/>
      <c r="C1397" s="374"/>
      <c r="CV1397" s="376"/>
    </row>
    <row r="1398" spans="1:100">
      <c r="A1398" s="374"/>
      <c r="C1398" s="374"/>
      <c r="CV1398" s="376"/>
    </row>
    <row r="1399" spans="1:100">
      <c r="A1399" s="374"/>
      <c r="C1399" s="374"/>
      <c r="CV1399" s="376"/>
    </row>
    <row r="1400" spans="1:100">
      <c r="A1400" s="374"/>
      <c r="C1400" s="374"/>
      <c r="CV1400" s="376"/>
    </row>
    <row r="1401" spans="1:100">
      <c r="A1401" s="374"/>
      <c r="C1401" s="374"/>
      <c r="CV1401" s="376"/>
    </row>
    <row r="1402" spans="1:100">
      <c r="A1402" s="374"/>
      <c r="C1402" s="374"/>
      <c r="CV1402" s="376"/>
    </row>
    <row r="1403" spans="1:100">
      <c r="A1403" s="374"/>
      <c r="C1403" s="374"/>
      <c r="CV1403" s="376"/>
    </row>
    <row r="1404" spans="1:100">
      <c r="A1404" s="374"/>
      <c r="C1404" s="374"/>
      <c r="CV1404" s="376"/>
    </row>
    <row r="1405" spans="1:100">
      <c r="A1405" s="374"/>
      <c r="C1405" s="374"/>
      <c r="CV1405" s="376"/>
    </row>
    <row r="1406" spans="1:100">
      <c r="A1406" s="374"/>
      <c r="C1406" s="374"/>
      <c r="CV1406" s="376"/>
    </row>
    <row r="1407" spans="1:100">
      <c r="A1407" s="374"/>
      <c r="C1407" s="374"/>
      <c r="CV1407" s="376"/>
    </row>
    <row r="1408" spans="1:100">
      <c r="A1408" s="374"/>
      <c r="C1408" s="374"/>
      <c r="CV1408" s="376"/>
    </row>
    <row r="1409" spans="1:100">
      <c r="A1409" s="374"/>
      <c r="C1409" s="374"/>
      <c r="CV1409" s="376"/>
    </row>
    <row r="1410" spans="1:100">
      <c r="A1410" s="374"/>
      <c r="C1410" s="374"/>
      <c r="CV1410" s="376"/>
    </row>
    <row r="1411" spans="1:100">
      <c r="A1411" s="374"/>
      <c r="C1411" s="374"/>
      <c r="CV1411" s="376"/>
    </row>
    <row r="1412" spans="1:100">
      <c r="A1412" s="374"/>
      <c r="C1412" s="374"/>
      <c r="CV1412" s="376"/>
    </row>
    <row r="1413" spans="1:100">
      <c r="A1413" s="374"/>
      <c r="C1413" s="374"/>
      <c r="CV1413" s="376"/>
    </row>
    <row r="1414" spans="1:100">
      <c r="A1414" s="374"/>
      <c r="C1414" s="374"/>
      <c r="CV1414" s="376"/>
    </row>
    <row r="1415" spans="1:100">
      <c r="A1415" s="374"/>
      <c r="C1415" s="374"/>
      <c r="CV1415" s="376"/>
    </row>
    <row r="1416" spans="1:100">
      <c r="A1416" s="374"/>
      <c r="C1416" s="374"/>
      <c r="CV1416" s="376"/>
    </row>
    <row r="1417" spans="1:100">
      <c r="A1417" s="374"/>
      <c r="C1417" s="374"/>
      <c r="CV1417" s="376"/>
    </row>
    <row r="1418" spans="1:100">
      <c r="A1418" s="374"/>
      <c r="C1418" s="374"/>
      <c r="CV1418" s="376"/>
    </row>
    <row r="1419" spans="1:100">
      <c r="A1419" s="374"/>
      <c r="C1419" s="374"/>
      <c r="CV1419" s="376"/>
    </row>
    <row r="1420" spans="1:100">
      <c r="A1420" s="374"/>
      <c r="C1420" s="374"/>
      <c r="CV1420" s="376"/>
    </row>
    <row r="1421" spans="1:100">
      <c r="A1421" s="374"/>
      <c r="C1421" s="374"/>
      <c r="CV1421" s="376"/>
    </row>
    <row r="1422" spans="1:100">
      <c r="A1422" s="374"/>
      <c r="C1422" s="374"/>
      <c r="CV1422" s="376"/>
    </row>
    <row r="1423" spans="1:100">
      <c r="A1423" s="374"/>
      <c r="C1423" s="374"/>
      <c r="CV1423" s="376"/>
    </row>
    <row r="1424" spans="1:100">
      <c r="A1424" s="374"/>
      <c r="C1424" s="374"/>
      <c r="CV1424" s="376"/>
    </row>
    <row r="1425" spans="1:100">
      <c r="A1425" s="374"/>
      <c r="C1425" s="374"/>
      <c r="CV1425" s="376"/>
    </row>
    <row r="1426" spans="1:100">
      <c r="A1426" s="374"/>
      <c r="C1426" s="374"/>
      <c r="CV1426" s="376"/>
    </row>
    <row r="1427" spans="1:100">
      <c r="A1427" s="374"/>
      <c r="C1427" s="374"/>
      <c r="CV1427" s="376"/>
    </row>
    <row r="1428" spans="1:100">
      <c r="A1428" s="374"/>
      <c r="C1428" s="374"/>
      <c r="CV1428" s="376"/>
    </row>
    <row r="1429" spans="1:100">
      <c r="A1429" s="374"/>
      <c r="C1429" s="374"/>
      <c r="CV1429" s="376"/>
    </row>
    <row r="1430" spans="1:100">
      <c r="A1430" s="374"/>
      <c r="C1430" s="374"/>
      <c r="CV1430" s="376"/>
    </row>
    <row r="1431" spans="1:100">
      <c r="A1431" s="374"/>
      <c r="C1431" s="374"/>
      <c r="CV1431" s="376"/>
    </row>
    <row r="1432" spans="1:100">
      <c r="A1432" s="374"/>
      <c r="C1432" s="374"/>
      <c r="CV1432" s="376"/>
    </row>
    <row r="1433" spans="1:100">
      <c r="A1433" s="374"/>
      <c r="C1433" s="374"/>
      <c r="CV1433" s="376"/>
    </row>
    <row r="1434" spans="1:100">
      <c r="A1434" s="374"/>
      <c r="C1434" s="374"/>
      <c r="CV1434" s="376"/>
    </row>
    <row r="1435" spans="1:100">
      <c r="A1435" s="374"/>
      <c r="C1435" s="374"/>
      <c r="CV1435" s="376"/>
    </row>
    <row r="1436" spans="1:100">
      <c r="A1436" s="374"/>
      <c r="C1436" s="374"/>
      <c r="CV1436" s="376"/>
    </row>
    <row r="1437" spans="1:100">
      <c r="A1437" s="374"/>
      <c r="C1437" s="374"/>
      <c r="CV1437" s="376"/>
    </row>
    <row r="1438" spans="1:100">
      <c r="A1438" s="374"/>
      <c r="C1438" s="374"/>
      <c r="CV1438" s="376"/>
    </row>
    <row r="1439" spans="1:100">
      <c r="A1439" s="374"/>
      <c r="C1439" s="374"/>
      <c r="CV1439" s="376"/>
    </row>
    <row r="1440" spans="1:100">
      <c r="A1440" s="374"/>
      <c r="C1440" s="374"/>
      <c r="CV1440" s="376"/>
    </row>
    <row r="1441" spans="1:100">
      <c r="A1441" s="374"/>
      <c r="C1441" s="374"/>
      <c r="CV1441" s="376"/>
    </row>
    <row r="1442" spans="1:100">
      <c r="A1442" s="374"/>
      <c r="C1442" s="374"/>
      <c r="CV1442" s="376"/>
    </row>
    <row r="1443" spans="1:100">
      <c r="A1443" s="374"/>
      <c r="C1443" s="374"/>
      <c r="CV1443" s="376"/>
    </row>
    <row r="1444" spans="1:100">
      <c r="A1444" s="374"/>
      <c r="C1444" s="374"/>
      <c r="CV1444" s="376"/>
    </row>
    <row r="1445" spans="1:100">
      <c r="A1445" s="374"/>
      <c r="C1445" s="374"/>
      <c r="CV1445" s="376"/>
    </row>
    <row r="1446" spans="1:100">
      <c r="A1446" s="374"/>
      <c r="C1446" s="374"/>
      <c r="CV1446" s="376"/>
    </row>
    <row r="1447" spans="1:100">
      <c r="A1447" s="374"/>
      <c r="C1447" s="374"/>
      <c r="CV1447" s="376"/>
    </row>
    <row r="1448" spans="1:100">
      <c r="A1448" s="374"/>
      <c r="C1448" s="374"/>
      <c r="CV1448" s="376"/>
    </row>
    <row r="1449" spans="1:100">
      <c r="A1449" s="374"/>
      <c r="C1449" s="374"/>
      <c r="CV1449" s="376"/>
    </row>
    <row r="1450" spans="1:100">
      <c r="A1450" s="374"/>
      <c r="C1450" s="374"/>
      <c r="CV1450" s="376"/>
    </row>
    <row r="1451" spans="1:100">
      <c r="A1451" s="374"/>
      <c r="C1451" s="374"/>
      <c r="CV1451" s="376"/>
    </row>
    <row r="1452" spans="1:100">
      <c r="A1452" s="374"/>
      <c r="C1452" s="374"/>
      <c r="CV1452" s="376"/>
    </row>
    <row r="1453" spans="1:100">
      <c r="A1453" s="374"/>
      <c r="C1453" s="374"/>
      <c r="CV1453" s="376"/>
    </row>
    <row r="1454" spans="1:100">
      <c r="A1454" s="374"/>
      <c r="C1454" s="374"/>
      <c r="CV1454" s="376"/>
    </row>
    <row r="1455" spans="1:100">
      <c r="A1455" s="374"/>
      <c r="C1455" s="374"/>
      <c r="CV1455" s="376"/>
    </row>
    <row r="1456" spans="1:100">
      <c r="A1456" s="374"/>
      <c r="C1456" s="374"/>
      <c r="CV1456" s="376"/>
    </row>
    <row r="1457" spans="1:100">
      <c r="A1457" s="374"/>
      <c r="C1457" s="374"/>
      <c r="CV1457" s="376"/>
    </row>
    <row r="1458" spans="1:100">
      <c r="A1458" s="374"/>
      <c r="C1458" s="374"/>
      <c r="CV1458" s="376"/>
    </row>
    <row r="1459" spans="1:100">
      <c r="A1459" s="374"/>
      <c r="C1459" s="374"/>
      <c r="CV1459" s="376"/>
    </row>
    <row r="1460" spans="1:100">
      <c r="A1460" s="374"/>
      <c r="C1460" s="374"/>
      <c r="CV1460" s="376"/>
    </row>
    <row r="1461" spans="1:100">
      <c r="A1461" s="374"/>
      <c r="C1461" s="374"/>
      <c r="CV1461" s="376"/>
    </row>
    <row r="1462" spans="1:100">
      <c r="A1462" s="374"/>
      <c r="C1462" s="374"/>
      <c r="CV1462" s="376"/>
    </row>
    <row r="1463" spans="1:100">
      <c r="A1463" s="374"/>
      <c r="C1463" s="374"/>
      <c r="CV1463" s="376"/>
    </row>
    <row r="1464" spans="1:100">
      <c r="A1464" s="374"/>
      <c r="C1464" s="374"/>
      <c r="CV1464" s="376"/>
    </row>
    <row r="1465" spans="1:100">
      <c r="A1465" s="374"/>
      <c r="C1465" s="374"/>
      <c r="CV1465" s="376"/>
    </row>
    <row r="1466" spans="1:100">
      <c r="A1466" s="374"/>
      <c r="C1466" s="374"/>
      <c r="CV1466" s="376"/>
    </row>
    <row r="1467" spans="1:100">
      <c r="A1467" s="374"/>
      <c r="C1467" s="374"/>
      <c r="CV1467" s="376"/>
    </row>
    <row r="1468" spans="1:100">
      <c r="A1468" s="374"/>
      <c r="C1468" s="374"/>
      <c r="CV1468" s="376"/>
    </row>
    <row r="1469" spans="1:100">
      <c r="A1469" s="374"/>
      <c r="C1469" s="374"/>
      <c r="CV1469" s="376"/>
    </row>
    <row r="1470" spans="1:100">
      <c r="A1470" s="374"/>
      <c r="C1470" s="374"/>
      <c r="CV1470" s="376"/>
    </row>
    <row r="1471" spans="1:100">
      <c r="A1471" s="374"/>
      <c r="C1471" s="374"/>
      <c r="CV1471" s="376"/>
    </row>
    <row r="1472" spans="1:100">
      <c r="A1472" s="374"/>
      <c r="C1472" s="374"/>
      <c r="CV1472" s="376"/>
    </row>
    <row r="1473" spans="1:100">
      <c r="A1473" s="374"/>
      <c r="C1473" s="374"/>
      <c r="CV1473" s="376"/>
    </row>
    <row r="1474" spans="1:100">
      <c r="A1474" s="374"/>
      <c r="C1474" s="374"/>
      <c r="CV1474" s="376"/>
    </row>
    <row r="1475" spans="1:100">
      <c r="A1475" s="374"/>
      <c r="C1475" s="374"/>
      <c r="CV1475" s="376"/>
    </row>
    <row r="1476" spans="1:100">
      <c r="A1476" s="374"/>
      <c r="C1476" s="374"/>
      <c r="CV1476" s="376"/>
    </row>
    <row r="1477" spans="1:100">
      <c r="A1477" s="374"/>
      <c r="C1477" s="374"/>
      <c r="CV1477" s="376"/>
    </row>
    <row r="1478" spans="1:100">
      <c r="A1478" s="374"/>
      <c r="C1478" s="374"/>
      <c r="CV1478" s="376"/>
    </row>
    <row r="1479" spans="1:100">
      <c r="A1479" s="374"/>
      <c r="C1479" s="374"/>
      <c r="CV1479" s="376"/>
    </row>
    <row r="1480" spans="1:100">
      <c r="A1480" s="374"/>
      <c r="C1480" s="374"/>
      <c r="CV1480" s="376"/>
    </row>
    <row r="1481" spans="1:100">
      <c r="A1481" s="374"/>
      <c r="C1481" s="374"/>
      <c r="CV1481" s="376"/>
    </row>
    <row r="1482" spans="1:100">
      <c r="A1482" s="374"/>
      <c r="C1482" s="374"/>
      <c r="CV1482" s="376"/>
    </row>
    <row r="1483" spans="1:100">
      <c r="A1483" s="374"/>
      <c r="C1483" s="374"/>
      <c r="CV1483" s="376"/>
    </row>
    <row r="1484" spans="1:100">
      <c r="A1484" s="374"/>
      <c r="C1484" s="374"/>
      <c r="CV1484" s="376"/>
    </row>
    <row r="1485" spans="1:100">
      <c r="A1485" s="374"/>
      <c r="C1485" s="374"/>
      <c r="CV1485" s="376"/>
    </row>
    <row r="1486" spans="1:100">
      <c r="A1486" s="374"/>
      <c r="C1486" s="374"/>
      <c r="CV1486" s="376"/>
    </row>
    <row r="1487" spans="1:100">
      <c r="A1487" s="374"/>
      <c r="C1487" s="374"/>
      <c r="CV1487" s="376"/>
    </row>
    <row r="1488" spans="1:100">
      <c r="A1488" s="374"/>
      <c r="C1488" s="374"/>
      <c r="CV1488" s="376"/>
    </row>
    <row r="1489" spans="1:100">
      <c r="A1489" s="374"/>
      <c r="C1489" s="374"/>
      <c r="CV1489" s="376"/>
    </row>
    <row r="1490" spans="1:100">
      <c r="A1490" s="374"/>
      <c r="C1490" s="374"/>
      <c r="CV1490" s="376"/>
    </row>
    <row r="1491" spans="1:100">
      <c r="A1491" s="374"/>
      <c r="C1491" s="374"/>
      <c r="CV1491" s="376"/>
    </row>
    <row r="1492" spans="1:100">
      <c r="A1492" s="374"/>
      <c r="C1492" s="374"/>
      <c r="CV1492" s="376"/>
    </row>
    <row r="1493" spans="1:100">
      <c r="A1493" s="374"/>
      <c r="C1493" s="374"/>
      <c r="CV1493" s="376"/>
    </row>
    <row r="1494" spans="1:100">
      <c r="A1494" s="374"/>
      <c r="C1494" s="374"/>
      <c r="CV1494" s="376"/>
    </row>
    <row r="1495" spans="1:100">
      <c r="A1495" s="374"/>
      <c r="C1495" s="374"/>
      <c r="CV1495" s="376"/>
    </row>
    <row r="1496" spans="1:100">
      <c r="A1496" s="374"/>
      <c r="C1496" s="374"/>
      <c r="CV1496" s="376"/>
    </row>
    <row r="1497" spans="1:100">
      <c r="A1497" s="374"/>
      <c r="C1497" s="374"/>
      <c r="CV1497" s="376"/>
    </row>
    <row r="1498" spans="1:100">
      <c r="A1498" s="374"/>
      <c r="C1498" s="374"/>
      <c r="CV1498" s="376"/>
    </row>
    <row r="1499" spans="1:100">
      <c r="A1499" s="374"/>
      <c r="C1499" s="374"/>
      <c r="CV1499" s="376"/>
    </row>
    <row r="1500" spans="1:100">
      <c r="A1500" s="374"/>
      <c r="C1500" s="374"/>
      <c r="CV1500" s="376"/>
    </row>
    <row r="1501" spans="1:100">
      <c r="A1501" s="374"/>
      <c r="C1501" s="374"/>
      <c r="CV1501" s="376"/>
    </row>
    <row r="1502" spans="1:100">
      <c r="A1502" s="374"/>
      <c r="C1502" s="374"/>
      <c r="CV1502" s="376"/>
    </row>
    <row r="1503" spans="1:100">
      <c r="A1503" s="374"/>
      <c r="C1503" s="374"/>
      <c r="CV1503" s="376"/>
    </row>
    <row r="1504" spans="1:100">
      <c r="A1504" s="374"/>
      <c r="C1504" s="374"/>
      <c r="CV1504" s="376"/>
    </row>
    <row r="1505" spans="1:100">
      <c r="A1505" s="374"/>
      <c r="C1505" s="374"/>
      <c r="CV1505" s="376"/>
    </row>
    <row r="1506" spans="1:100">
      <c r="A1506" s="374"/>
      <c r="C1506" s="374"/>
      <c r="CV1506" s="376"/>
    </row>
    <row r="1507" spans="1:100">
      <c r="A1507" s="374"/>
      <c r="C1507" s="374"/>
      <c r="CV1507" s="376"/>
    </row>
    <row r="1508" spans="1:100">
      <c r="A1508" s="374"/>
      <c r="C1508" s="374"/>
      <c r="CV1508" s="376"/>
    </row>
    <row r="1509" spans="1:100">
      <c r="A1509" s="374"/>
      <c r="C1509" s="374"/>
      <c r="CV1509" s="376"/>
    </row>
    <row r="1510" spans="1:100">
      <c r="A1510" s="374"/>
      <c r="C1510" s="374"/>
      <c r="CV1510" s="376"/>
    </row>
    <row r="1511" spans="1:100">
      <c r="A1511" s="374"/>
      <c r="C1511" s="374"/>
      <c r="CV1511" s="376"/>
    </row>
    <row r="1512" spans="1:100">
      <c r="A1512" s="374"/>
      <c r="C1512" s="374"/>
      <c r="CV1512" s="376"/>
    </row>
    <row r="1513" spans="1:100">
      <c r="A1513" s="374"/>
      <c r="C1513" s="374"/>
      <c r="CV1513" s="376"/>
    </row>
    <row r="1514" spans="1:100">
      <c r="A1514" s="374"/>
      <c r="C1514" s="374"/>
      <c r="CV1514" s="376"/>
    </row>
    <row r="1515" spans="1:100">
      <c r="A1515" s="374"/>
      <c r="C1515" s="374"/>
      <c r="CV1515" s="376"/>
    </row>
    <row r="1516" spans="1:100">
      <c r="A1516" s="374"/>
      <c r="C1516" s="374"/>
      <c r="CV1516" s="376"/>
    </row>
    <row r="1517" spans="1:100">
      <c r="A1517" s="374"/>
      <c r="C1517" s="374"/>
      <c r="CV1517" s="376"/>
    </row>
    <row r="1518" spans="1:100">
      <c r="A1518" s="374"/>
      <c r="C1518" s="374"/>
      <c r="CV1518" s="376"/>
    </row>
    <row r="1519" spans="1:100">
      <c r="A1519" s="374"/>
      <c r="C1519" s="374"/>
      <c r="CV1519" s="376"/>
    </row>
    <row r="1520" spans="1:100">
      <c r="A1520" s="374"/>
      <c r="C1520" s="374"/>
      <c r="CV1520" s="376"/>
    </row>
    <row r="1521" spans="1:100">
      <c r="A1521" s="374"/>
      <c r="C1521" s="374"/>
      <c r="CV1521" s="376"/>
    </row>
    <row r="1522" spans="1:100">
      <c r="A1522" s="374"/>
      <c r="C1522" s="374"/>
      <c r="CV1522" s="376"/>
    </row>
    <row r="1523" spans="1:100">
      <c r="A1523" s="374"/>
      <c r="C1523" s="374"/>
      <c r="CV1523" s="376"/>
    </row>
    <row r="1524" spans="1:100">
      <c r="A1524" s="374"/>
      <c r="C1524" s="374"/>
      <c r="CV1524" s="376"/>
    </row>
    <row r="1525" spans="1:100">
      <c r="A1525" s="374"/>
      <c r="C1525" s="374"/>
      <c r="CV1525" s="376"/>
    </row>
    <row r="1526" spans="1:100">
      <c r="A1526" s="374"/>
      <c r="C1526" s="374"/>
      <c r="CV1526" s="376"/>
    </row>
    <row r="1527" spans="1:100">
      <c r="A1527" s="374"/>
      <c r="C1527" s="374"/>
      <c r="CV1527" s="376"/>
    </row>
    <row r="1528" spans="1:100">
      <c r="A1528" s="374"/>
      <c r="C1528" s="374"/>
      <c r="CV1528" s="376"/>
    </row>
    <row r="1529" spans="1:100">
      <c r="A1529" s="374"/>
      <c r="C1529" s="374"/>
      <c r="CV1529" s="376"/>
    </row>
    <row r="1530" spans="1:100">
      <c r="A1530" s="374"/>
      <c r="C1530" s="374"/>
      <c r="CV1530" s="376"/>
    </row>
    <row r="1531" spans="1:100">
      <c r="A1531" s="374"/>
      <c r="C1531" s="374"/>
      <c r="CV1531" s="376"/>
    </row>
    <row r="1532" spans="1:100">
      <c r="A1532" s="374"/>
      <c r="C1532" s="374"/>
      <c r="CV1532" s="376"/>
    </row>
    <row r="1533" spans="1:100">
      <c r="A1533" s="374"/>
      <c r="C1533" s="374"/>
      <c r="CV1533" s="376"/>
    </row>
    <row r="1534" spans="1:100">
      <c r="A1534" s="374"/>
      <c r="C1534" s="374"/>
      <c r="CV1534" s="376"/>
    </row>
    <row r="1535" spans="1:100">
      <c r="A1535" s="374"/>
      <c r="C1535" s="374"/>
      <c r="CV1535" s="376"/>
    </row>
    <row r="1536" spans="1:100">
      <c r="A1536" s="374"/>
      <c r="C1536" s="374"/>
      <c r="CV1536" s="376"/>
    </row>
    <row r="1537" spans="1:100">
      <c r="A1537" s="374"/>
      <c r="C1537" s="374"/>
      <c r="CV1537" s="376"/>
    </row>
    <row r="1538" spans="1:100">
      <c r="A1538" s="374"/>
      <c r="C1538" s="374"/>
      <c r="CV1538" s="376"/>
    </row>
    <row r="1539" spans="1:100">
      <c r="A1539" s="374"/>
      <c r="C1539" s="374"/>
      <c r="CV1539" s="376"/>
    </row>
    <row r="1540" spans="1:100">
      <c r="A1540" s="374"/>
      <c r="C1540" s="374"/>
      <c r="CV1540" s="376"/>
    </row>
    <row r="1541" spans="1:100">
      <c r="A1541" s="374"/>
      <c r="C1541" s="374"/>
      <c r="CV1541" s="376"/>
    </row>
    <row r="1542" spans="1:100">
      <c r="A1542" s="374"/>
      <c r="C1542" s="374"/>
      <c r="CV1542" s="376"/>
    </row>
    <row r="1543" spans="1:100">
      <c r="A1543" s="374"/>
      <c r="C1543" s="374"/>
      <c r="CV1543" s="376"/>
    </row>
    <row r="1544" spans="1:100">
      <c r="A1544" s="374"/>
      <c r="C1544" s="374"/>
      <c r="CV1544" s="376"/>
    </row>
    <row r="1545" spans="1:100">
      <c r="A1545" s="374"/>
      <c r="C1545" s="374"/>
      <c r="CV1545" s="376"/>
    </row>
    <row r="1546" spans="1:100">
      <c r="A1546" s="374"/>
      <c r="C1546" s="374"/>
      <c r="CV1546" s="376"/>
    </row>
    <row r="1547" spans="1:100">
      <c r="A1547" s="374"/>
      <c r="C1547" s="374"/>
      <c r="CV1547" s="376"/>
    </row>
    <row r="1548" spans="1:100">
      <c r="A1548" s="374"/>
      <c r="C1548" s="374"/>
      <c r="CV1548" s="376"/>
    </row>
    <row r="1549" spans="1:100">
      <c r="A1549" s="374"/>
      <c r="C1549" s="374"/>
      <c r="CV1549" s="376"/>
    </row>
    <row r="1550" spans="1:100">
      <c r="A1550" s="374"/>
      <c r="C1550" s="374"/>
      <c r="CV1550" s="376"/>
    </row>
    <row r="1551" spans="1:100">
      <c r="A1551" s="374"/>
      <c r="C1551" s="374"/>
      <c r="CV1551" s="376"/>
    </row>
    <row r="1552" spans="1:100">
      <c r="A1552" s="374"/>
      <c r="C1552" s="374"/>
      <c r="CV1552" s="376"/>
    </row>
    <row r="1553" spans="1:100">
      <c r="A1553" s="374"/>
      <c r="C1553" s="374"/>
      <c r="CV1553" s="376"/>
    </row>
    <row r="1554" spans="1:100">
      <c r="A1554" s="374"/>
      <c r="C1554" s="374"/>
      <c r="CV1554" s="376"/>
    </row>
    <row r="1555" spans="1:100">
      <c r="A1555" s="374"/>
      <c r="C1555" s="374"/>
      <c r="CV1555" s="376"/>
    </row>
    <row r="1556" spans="1:100">
      <c r="A1556" s="374"/>
      <c r="C1556" s="374"/>
      <c r="CV1556" s="376"/>
    </row>
    <row r="1557" spans="1:100">
      <c r="A1557" s="374"/>
      <c r="C1557" s="374"/>
      <c r="CV1557" s="376"/>
    </row>
    <row r="1558" spans="1:100">
      <c r="A1558" s="374"/>
      <c r="C1558" s="374"/>
      <c r="CV1558" s="376"/>
    </row>
    <row r="1559" spans="1:100">
      <c r="A1559" s="374"/>
      <c r="C1559" s="374"/>
      <c r="CV1559" s="376"/>
    </row>
    <row r="1560" spans="1:100">
      <c r="A1560" s="374"/>
      <c r="C1560" s="374"/>
      <c r="CV1560" s="376"/>
    </row>
    <row r="1561" spans="1:100">
      <c r="A1561" s="374"/>
      <c r="C1561" s="374"/>
      <c r="CV1561" s="376"/>
    </row>
    <row r="1562" spans="1:100">
      <c r="A1562" s="374"/>
      <c r="C1562" s="374"/>
      <c r="CV1562" s="376"/>
    </row>
    <row r="1563" spans="1:100">
      <c r="A1563" s="374"/>
      <c r="C1563" s="374"/>
      <c r="CV1563" s="376"/>
    </row>
    <row r="1564" spans="1:100">
      <c r="A1564" s="374"/>
      <c r="C1564" s="374"/>
      <c r="CV1564" s="376"/>
    </row>
    <row r="1565" spans="1:100">
      <c r="A1565" s="374"/>
      <c r="C1565" s="374"/>
      <c r="CV1565" s="376"/>
    </row>
    <row r="1566" spans="1:100">
      <c r="A1566" s="374"/>
      <c r="C1566" s="374"/>
      <c r="CV1566" s="376"/>
    </row>
    <row r="1567" spans="1:100">
      <c r="A1567" s="374"/>
      <c r="C1567" s="374"/>
      <c r="CV1567" s="376"/>
    </row>
    <row r="1568" spans="1:100">
      <c r="A1568" s="374"/>
      <c r="C1568" s="374"/>
      <c r="CV1568" s="376"/>
    </row>
    <row r="1569" spans="1:100">
      <c r="A1569" s="374"/>
      <c r="C1569" s="374"/>
      <c r="CV1569" s="376"/>
    </row>
    <row r="1570" spans="1:100">
      <c r="A1570" s="374"/>
      <c r="C1570" s="374"/>
      <c r="CV1570" s="376"/>
    </row>
    <row r="1571" spans="1:100">
      <c r="A1571" s="374"/>
      <c r="C1571" s="374"/>
      <c r="CV1571" s="376"/>
    </row>
    <row r="1572" spans="1:100">
      <c r="A1572" s="374"/>
      <c r="C1572" s="374"/>
      <c r="CV1572" s="376"/>
    </row>
    <row r="1573" spans="1:100">
      <c r="A1573" s="374"/>
      <c r="C1573" s="374"/>
      <c r="CV1573" s="376"/>
    </row>
    <row r="1574" spans="1:100">
      <c r="A1574" s="374"/>
      <c r="C1574" s="374"/>
      <c r="CV1574" s="376"/>
    </row>
    <row r="1575" spans="1:100">
      <c r="A1575" s="374"/>
      <c r="C1575" s="374"/>
      <c r="CV1575" s="376"/>
    </row>
    <row r="1576" spans="1:100">
      <c r="A1576" s="374"/>
      <c r="C1576" s="374"/>
      <c r="CV1576" s="376"/>
    </row>
    <row r="1577" spans="1:100">
      <c r="A1577" s="374"/>
      <c r="C1577" s="374"/>
      <c r="CV1577" s="376"/>
    </row>
    <row r="1578" spans="1:100">
      <c r="A1578" s="374"/>
      <c r="C1578" s="374"/>
      <c r="CV1578" s="376"/>
    </row>
    <row r="1579" spans="1:100">
      <c r="A1579" s="374"/>
      <c r="C1579" s="374"/>
      <c r="CV1579" s="376"/>
    </row>
    <row r="1580" spans="1:100">
      <c r="A1580" s="374"/>
      <c r="C1580" s="374"/>
      <c r="CV1580" s="376"/>
    </row>
    <row r="1581" spans="1:100">
      <c r="A1581" s="374"/>
      <c r="C1581" s="374"/>
      <c r="CV1581" s="376"/>
    </row>
    <row r="1582" spans="1:100">
      <c r="A1582" s="374"/>
      <c r="C1582" s="374"/>
      <c r="CV1582" s="376"/>
    </row>
    <row r="1583" spans="1:100">
      <c r="A1583" s="374"/>
      <c r="C1583" s="374"/>
      <c r="CV1583" s="376"/>
    </row>
    <row r="1584" spans="1:100">
      <c r="A1584" s="374"/>
      <c r="C1584" s="374"/>
      <c r="CV1584" s="376"/>
    </row>
    <row r="1585" spans="1:100">
      <c r="A1585" s="374"/>
      <c r="C1585" s="374"/>
      <c r="CV1585" s="376"/>
    </row>
    <row r="1586" spans="1:100">
      <c r="A1586" s="374"/>
      <c r="C1586" s="374"/>
      <c r="CV1586" s="376"/>
    </row>
    <row r="1587" spans="1:100">
      <c r="A1587" s="374"/>
      <c r="C1587" s="374"/>
      <c r="CV1587" s="376"/>
    </row>
    <row r="1588" spans="1:100">
      <c r="A1588" s="374"/>
      <c r="C1588" s="374"/>
      <c r="CV1588" s="376"/>
    </row>
    <row r="1589" spans="1:100">
      <c r="A1589" s="374"/>
      <c r="C1589" s="374"/>
      <c r="CV1589" s="376"/>
    </row>
    <row r="1590" spans="1:100">
      <c r="A1590" s="374"/>
      <c r="C1590" s="374"/>
      <c r="CV1590" s="376"/>
    </row>
    <row r="1591" spans="1:100">
      <c r="A1591" s="374"/>
      <c r="C1591" s="374"/>
      <c r="CV1591" s="376"/>
    </row>
    <row r="1592" spans="1:100">
      <c r="A1592" s="374"/>
      <c r="C1592" s="374"/>
      <c r="CV1592" s="376"/>
    </row>
    <row r="1593" spans="1:100">
      <c r="A1593" s="374"/>
      <c r="C1593" s="374"/>
      <c r="CV1593" s="376"/>
    </row>
    <row r="1594" spans="1:100">
      <c r="A1594" s="374"/>
      <c r="C1594" s="374"/>
      <c r="CV1594" s="376"/>
    </row>
    <row r="1595" spans="1:100">
      <c r="A1595" s="374"/>
      <c r="C1595" s="374"/>
      <c r="CV1595" s="376"/>
    </row>
    <row r="1596" spans="1:100">
      <c r="A1596" s="374"/>
      <c r="C1596" s="374"/>
      <c r="CV1596" s="376"/>
    </row>
    <row r="1597" spans="1:100">
      <c r="A1597" s="374"/>
      <c r="C1597" s="374"/>
      <c r="CV1597" s="376"/>
    </row>
    <row r="1598" spans="1:100">
      <c r="A1598" s="374"/>
      <c r="C1598" s="374"/>
      <c r="CV1598" s="376"/>
    </row>
    <row r="1599" spans="1:100">
      <c r="A1599" s="374"/>
      <c r="C1599" s="374"/>
      <c r="CV1599" s="376"/>
    </row>
    <row r="1600" spans="1:100">
      <c r="A1600" s="374"/>
      <c r="C1600" s="374"/>
      <c r="CV1600" s="376"/>
    </row>
    <row r="1601" spans="1:100">
      <c r="A1601" s="374"/>
      <c r="C1601" s="374"/>
      <c r="CV1601" s="376"/>
    </row>
    <row r="1602" spans="1:100">
      <c r="A1602" s="374"/>
      <c r="C1602" s="374"/>
      <c r="CV1602" s="376"/>
    </row>
    <row r="1603" spans="1:100">
      <c r="A1603" s="374"/>
      <c r="C1603" s="374"/>
      <c r="CV1603" s="376"/>
    </row>
    <row r="1604" spans="1:100">
      <c r="A1604" s="374"/>
      <c r="C1604" s="374"/>
      <c r="CV1604" s="376"/>
    </row>
    <row r="1605" spans="1:100">
      <c r="A1605" s="374"/>
      <c r="C1605" s="374"/>
      <c r="CV1605" s="376"/>
    </row>
    <row r="1606" spans="1:100">
      <c r="A1606" s="374"/>
      <c r="C1606" s="374"/>
      <c r="CV1606" s="376"/>
    </row>
    <row r="1607" spans="1:100">
      <c r="A1607" s="374"/>
      <c r="C1607" s="374"/>
      <c r="CV1607" s="376"/>
    </row>
    <row r="1608" spans="1:100">
      <c r="A1608" s="374"/>
      <c r="C1608" s="374"/>
      <c r="CV1608" s="376"/>
    </row>
    <row r="1609" spans="1:100">
      <c r="A1609" s="374"/>
      <c r="C1609" s="374"/>
      <c r="CV1609" s="376"/>
    </row>
    <row r="1610" spans="1:100">
      <c r="A1610" s="374"/>
      <c r="C1610" s="374"/>
      <c r="CV1610" s="376"/>
    </row>
    <row r="1611" spans="1:100">
      <c r="A1611" s="374"/>
      <c r="C1611" s="374"/>
      <c r="CV1611" s="376"/>
    </row>
    <row r="1612" spans="1:100">
      <c r="A1612" s="374"/>
      <c r="C1612" s="374"/>
      <c r="CV1612" s="376"/>
    </row>
    <row r="1613" spans="1:100">
      <c r="A1613" s="374"/>
      <c r="C1613" s="374"/>
      <c r="CV1613" s="376"/>
    </row>
    <row r="1614" spans="1:100">
      <c r="A1614" s="374"/>
      <c r="C1614" s="374"/>
      <c r="CV1614" s="376"/>
    </row>
    <row r="1615" spans="1:100">
      <c r="A1615" s="374"/>
      <c r="C1615" s="374"/>
      <c r="CV1615" s="376"/>
    </row>
    <row r="1616" spans="1:100">
      <c r="A1616" s="374"/>
      <c r="C1616" s="374"/>
      <c r="CV1616" s="376"/>
    </row>
    <row r="1617" spans="1:100">
      <c r="A1617" s="374"/>
      <c r="C1617" s="374"/>
      <c r="CV1617" s="376"/>
    </row>
    <row r="1618" spans="1:100">
      <c r="A1618" s="374"/>
      <c r="C1618" s="374"/>
      <c r="CV1618" s="376"/>
    </row>
    <row r="1619" spans="1:100">
      <c r="A1619" s="374"/>
      <c r="C1619" s="374"/>
      <c r="CV1619" s="376"/>
    </row>
    <row r="1620" spans="1:100">
      <c r="A1620" s="374"/>
      <c r="C1620" s="374"/>
      <c r="CV1620" s="376"/>
    </row>
    <row r="1621" spans="1:100">
      <c r="A1621" s="374"/>
      <c r="C1621" s="374"/>
      <c r="CV1621" s="376"/>
    </row>
    <row r="1622" spans="1:100">
      <c r="A1622" s="374"/>
      <c r="C1622" s="374"/>
      <c r="CV1622" s="376"/>
    </row>
    <row r="1623" spans="1:100">
      <c r="A1623" s="374"/>
      <c r="C1623" s="374"/>
      <c r="CV1623" s="376"/>
    </row>
    <row r="1624" spans="1:100">
      <c r="A1624" s="374"/>
      <c r="C1624" s="374"/>
      <c r="CV1624" s="376"/>
    </row>
    <row r="1625" spans="1:100">
      <c r="A1625" s="374"/>
      <c r="C1625" s="374"/>
      <c r="CV1625" s="376"/>
    </row>
    <row r="1626" spans="1:100">
      <c r="A1626" s="374"/>
      <c r="C1626" s="374"/>
      <c r="CV1626" s="376"/>
    </row>
    <row r="1627" spans="1:100">
      <c r="A1627" s="374"/>
      <c r="C1627" s="374"/>
      <c r="CV1627" s="376"/>
    </row>
    <row r="1628" spans="1:100">
      <c r="A1628" s="374"/>
      <c r="C1628" s="374"/>
      <c r="CV1628" s="376"/>
    </row>
    <row r="1629" spans="1:100">
      <c r="A1629" s="374"/>
      <c r="C1629" s="374"/>
      <c r="CV1629" s="376"/>
    </row>
    <row r="1630" spans="1:100">
      <c r="A1630" s="374"/>
      <c r="C1630" s="374"/>
      <c r="CV1630" s="376"/>
    </row>
    <row r="1631" spans="1:100">
      <c r="A1631" s="374"/>
      <c r="C1631" s="374"/>
      <c r="CV1631" s="376"/>
    </row>
    <row r="1632" spans="1:100">
      <c r="A1632" s="374"/>
      <c r="C1632" s="374"/>
      <c r="CV1632" s="376"/>
    </row>
    <row r="1633" spans="1:100">
      <c r="A1633" s="374"/>
      <c r="C1633" s="374"/>
      <c r="CV1633" s="376"/>
    </row>
    <row r="1634" spans="1:100">
      <c r="A1634" s="374"/>
      <c r="C1634" s="374"/>
      <c r="CV1634" s="376"/>
    </row>
    <row r="1635" spans="1:100">
      <c r="A1635" s="374"/>
      <c r="C1635" s="374"/>
      <c r="CV1635" s="376"/>
    </row>
    <row r="1636" spans="1:100">
      <c r="A1636" s="374"/>
      <c r="C1636" s="374"/>
      <c r="CV1636" s="376"/>
    </row>
    <row r="1637" spans="1:100">
      <c r="A1637" s="374"/>
      <c r="C1637" s="374"/>
      <c r="CV1637" s="376"/>
    </row>
    <row r="1638" spans="1:100">
      <c r="A1638" s="374"/>
      <c r="C1638" s="374"/>
      <c r="CV1638" s="376"/>
    </row>
    <row r="1639" spans="1:100">
      <c r="A1639" s="374"/>
      <c r="C1639" s="374"/>
      <c r="CV1639" s="376"/>
    </row>
    <row r="1640" spans="1:100">
      <c r="A1640" s="374"/>
      <c r="C1640" s="374"/>
      <c r="CV1640" s="376"/>
    </row>
    <row r="1641" spans="1:100">
      <c r="A1641" s="374"/>
      <c r="C1641" s="374"/>
      <c r="CV1641" s="376"/>
    </row>
    <row r="1642" spans="1:100">
      <c r="A1642" s="374"/>
      <c r="C1642" s="374"/>
      <c r="CV1642" s="376"/>
    </row>
    <row r="1643" spans="1:100">
      <c r="A1643" s="374"/>
      <c r="C1643" s="374"/>
      <c r="CV1643" s="376"/>
    </row>
    <row r="1644" spans="1:100">
      <c r="A1644" s="374"/>
      <c r="C1644" s="374"/>
      <c r="CV1644" s="376"/>
    </row>
    <row r="1645" spans="1:100">
      <c r="A1645" s="374"/>
      <c r="C1645" s="374"/>
      <c r="CV1645" s="376"/>
    </row>
    <row r="1646" spans="1:100">
      <c r="A1646" s="374"/>
      <c r="C1646" s="374"/>
      <c r="CV1646" s="376"/>
    </row>
    <row r="1647" spans="1:100">
      <c r="A1647" s="374"/>
      <c r="C1647" s="374"/>
      <c r="CV1647" s="376"/>
    </row>
    <row r="1648" spans="1:100">
      <c r="A1648" s="374"/>
      <c r="C1648" s="374"/>
      <c r="CV1648" s="376"/>
    </row>
    <row r="1649" spans="1:100">
      <c r="A1649" s="374"/>
      <c r="C1649" s="374"/>
      <c r="CV1649" s="376"/>
    </row>
    <row r="1650" spans="1:100">
      <c r="A1650" s="374"/>
      <c r="C1650" s="374"/>
      <c r="CV1650" s="376"/>
    </row>
    <row r="1651" spans="1:100">
      <c r="A1651" s="374"/>
      <c r="C1651" s="374"/>
      <c r="CV1651" s="376"/>
    </row>
    <row r="1652" spans="1:100">
      <c r="A1652" s="374"/>
      <c r="C1652" s="374"/>
      <c r="CV1652" s="376"/>
    </row>
    <row r="1653" spans="1:100">
      <c r="A1653" s="374"/>
      <c r="C1653" s="374"/>
      <c r="CV1653" s="376"/>
    </row>
    <row r="1654" spans="1:100">
      <c r="A1654" s="374"/>
      <c r="C1654" s="374"/>
      <c r="CV1654" s="376"/>
    </row>
    <row r="1655" spans="1:100">
      <c r="A1655" s="374"/>
      <c r="C1655" s="374"/>
      <c r="CV1655" s="376"/>
    </row>
    <row r="1656" spans="1:100">
      <c r="A1656" s="374"/>
      <c r="C1656" s="374"/>
      <c r="CV1656" s="376"/>
    </row>
    <row r="1657" spans="1:100">
      <c r="A1657" s="374"/>
      <c r="C1657" s="374"/>
      <c r="CV1657" s="376"/>
    </row>
    <row r="1658" spans="1:100">
      <c r="A1658" s="374"/>
      <c r="C1658" s="374"/>
      <c r="CV1658" s="376"/>
    </row>
    <row r="1659" spans="1:100">
      <c r="A1659" s="374"/>
      <c r="C1659" s="374"/>
      <c r="CV1659" s="376"/>
    </row>
    <row r="1660" spans="1:100">
      <c r="A1660" s="374"/>
      <c r="C1660" s="374"/>
      <c r="CV1660" s="376"/>
    </row>
    <row r="1661" spans="1:100">
      <c r="A1661" s="374"/>
      <c r="C1661" s="374"/>
      <c r="CV1661" s="376"/>
    </row>
    <row r="1662" spans="1:100">
      <c r="A1662" s="374"/>
      <c r="C1662" s="374"/>
      <c r="CV1662" s="376"/>
    </row>
    <row r="1663" spans="1:100">
      <c r="A1663" s="374"/>
      <c r="C1663" s="374"/>
      <c r="CV1663" s="376"/>
    </row>
    <row r="1664" spans="1:100">
      <c r="A1664" s="374"/>
      <c r="C1664" s="374"/>
      <c r="CV1664" s="376"/>
    </row>
    <row r="1665" spans="1:100">
      <c r="A1665" s="374"/>
      <c r="C1665" s="374"/>
      <c r="CV1665" s="376"/>
    </row>
    <row r="1666" spans="1:100">
      <c r="A1666" s="374"/>
      <c r="C1666" s="374"/>
      <c r="CV1666" s="376"/>
    </row>
    <row r="1667" spans="1:100">
      <c r="A1667" s="374"/>
      <c r="C1667" s="374"/>
      <c r="CV1667" s="376"/>
    </row>
    <row r="1668" spans="1:100">
      <c r="A1668" s="374"/>
      <c r="C1668" s="374"/>
      <c r="CV1668" s="376"/>
    </row>
    <row r="1669" spans="1:100">
      <c r="A1669" s="374"/>
      <c r="C1669" s="374"/>
      <c r="CV1669" s="376"/>
    </row>
    <row r="1670" spans="1:100">
      <c r="A1670" s="374"/>
      <c r="C1670" s="374"/>
      <c r="CV1670" s="376"/>
    </row>
    <row r="1671" spans="1:100">
      <c r="A1671" s="374"/>
      <c r="C1671" s="374"/>
      <c r="CV1671" s="376"/>
    </row>
    <row r="1672" spans="1:100">
      <c r="A1672" s="374"/>
      <c r="C1672" s="374"/>
      <c r="CV1672" s="376"/>
    </row>
    <row r="1673" spans="1:100">
      <c r="A1673" s="374"/>
      <c r="C1673" s="374"/>
      <c r="CV1673" s="376"/>
    </row>
    <row r="1674" spans="1:100">
      <c r="A1674" s="374"/>
      <c r="C1674" s="374"/>
      <c r="CV1674" s="376"/>
    </row>
    <row r="1675" spans="1:100">
      <c r="A1675" s="374"/>
      <c r="C1675" s="374"/>
      <c r="CV1675" s="376"/>
    </row>
    <row r="1676" spans="1:100">
      <c r="A1676" s="374"/>
      <c r="C1676" s="374"/>
      <c r="CV1676" s="376"/>
    </row>
    <row r="1677" spans="1:100">
      <c r="A1677" s="374"/>
      <c r="C1677" s="374"/>
      <c r="CV1677" s="376"/>
    </row>
    <row r="1678" spans="1:100">
      <c r="A1678" s="374"/>
      <c r="C1678" s="374"/>
      <c r="CV1678" s="376"/>
    </row>
    <row r="1679" spans="1:100">
      <c r="A1679" s="374"/>
      <c r="C1679" s="374"/>
      <c r="CV1679" s="376"/>
    </row>
    <row r="1680" spans="1:100">
      <c r="A1680" s="374"/>
      <c r="C1680" s="374"/>
      <c r="CV1680" s="376"/>
    </row>
    <row r="1681" spans="1:100">
      <c r="A1681" s="374"/>
      <c r="C1681" s="374"/>
      <c r="CV1681" s="376"/>
    </row>
    <row r="1682" spans="1:100">
      <c r="A1682" s="374"/>
      <c r="C1682" s="374"/>
      <c r="CV1682" s="376"/>
    </row>
    <row r="1683" spans="1:100">
      <c r="A1683" s="374"/>
      <c r="C1683" s="374"/>
      <c r="CV1683" s="376"/>
    </row>
    <row r="1684" spans="1:100">
      <c r="A1684" s="374"/>
      <c r="C1684" s="374"/>
      <c r="CV1684" s="376"/>
    </row>
    <row r="1685" spans="1:100">
      <c r="A1685" s="374"/>
      <c r="C1685" s="374"/>
      <c r="CV1685" s="376"/>
    </row>
    <row r="1686" spans="1:100">
      <c r="A1686" s="374"/>
      <c r="C1686" s="374"/>
      <c r="CV1686" s="376"/>
    </row>
    <row r="1687" spans="1:100">
      <c r="A1687" s="374"/>
      <c r="C1687" s="374"/>
      <c r="CV1687" s="376"/>
    </row>
    <row r="1688" spans="1:100">
      <c r="A1688" s="374"/>
      <c r="C1688" s="374"/>
      <c r="CV1688" s="376"/>
    </row>
    <row r="1689" spans="1:100">
      <c r="A1689" s="374"/>
      <c r="C1689" s="374"/>
      <c r="CV1689" s="376"/>
    </row>
    <row r="1690" spans="1:100">
      <c r="A1690" s="374"/>
      <c r="C1690" s="374"/>
      <c r="CV1690" s="376"/>
    </row>
    <row r="1691" spans="1:100">
      <c r="A1691" s="374"/>
      <c r="C1691" s="374"/>
      <c r="CV1691" s="376"/>
    </row>
    <row r="1692" spans="1:100">
      <c r="A1692" s="374"/>
      <c r="C1692" s="374"/>
      <c r="CV1692" s="376"/>
    </row>
    <row r="1693" spans="1:100">
      <c r="A1693" s="374"/>
      <c r="C1693" s="374"/>
      <c r="CV1693" s="376"/>
    </row>
    <row r="1694" spans="1:100">
      <c r="A1694" s="374"/>
      <c r="C1694" s="374"/>
      <c r="CV1694" s="376"/>
    </row>
    <row r="1695" spans="1:100">
      <c r="A1695" s="374"/>
      <c r="C1695" s="374"/>
      <c r="CV1695" s="376"/>
    </row>
    <row r="1696" spans="1:100">
      <c r="A1696" s="374"/>
      <c r="C1696" s="374"/>
      <c r="CV1696" s="376"/>
    </row>
    <row r="1697" spans="1:100">
      <c r="A1697" s="374"/>
      <c r="C1697" s="374"/>
      <c r="CV1697" s="376"/>
    </row>
    <row r="1698" spans="1:100">
      <c r="A1698" s="374"/>
      <c r="C1698" s="374"/>
      <c r="CV1698" s="376"/>
    </row>
    <row r="1699" spans="1:100">
      <c r="A1699" s="374"/>
      <c r="C1699" s="374"/>
      <c r="CV1699" s="376"/>
    </row>
    <row r="1700" spans="1:100">
      <c r="A1700" s="374"/>
      <c r="C1700" s="374"/>
      <c r="CV1700" s="376"/>
    </row>
    <row r="1701" spans="1:100">
      <c r="A1701" s="374"/>
      <c r="C1701" s="374"/>
      <c r="CV1701" s="376"/>
    </row>
    <row r="1702" spans="1:100">
      <c r="A1702" s="374"/>
      <c r="C1702" s="374"/>
      <c r="CV1702" s="376"/>
    </row>
    <row r="1703" spans="1:100">
      <c r="A1703" s="374"/>
      <c r="C1703" s="374"/>
      <c r="CV1703" s="376"/>
    </row>
    <row r="1704" spans="1:100">
      <c r="A1704" s="374"/>
      <c r="C1704" s="374"/>
      <c r="CV1704" s="376"/>
    </row>
    <row r="1705" spans="1:100">
      <c r="A1705" s="374"/>
      <c r="C1705" s="374"/>
      <c r="CV1705" s="376"/>
    </row>
    <row r="1706" spans="1:100">
      <c r="A1706" s="374"/>
      <c r="C1706" s="374"/>
      <c r="CV1706" s="376"/>
    </row>
    <row r="1707" spans="1:100">
      <c r="A1707" s="374"/>
      <c r="C1707" s="374"/>
      <c r="CV1707" s="376"/>
    </row>
    <row r="1708" spans="1:100">
      <c r="A1708" s="374"/>
      <c r="C1708" s="374"/>
      <c r="CV1708" s="376"/>
    </row>
    <row r="1709" spans="1:100">
      <c r="A1709" s="374"/>
      <c r="C1709" s="374"/>
      <c r="CV1709" s="376"/>
    </row>
    <row r="1710" spans="1:100">
      <c r="A1710" s="374"/>
      <c r="C1710" s="374"/>
      <c r="CV1710" s="376"/>
    </row>
    <row r="1711" spans="1:100">
      <c r="A1711" s="374"/>
      <c r="C1711" s="374"/>
      <c r="CV1711" s="376"/>
    </row>
    <row r="1712" spans="1:100">
      <c r="A1712" s="374"/>
      <c r="C1712" s="374"/>
      <c r="CV1712" s="376"/>
    </row>
    <row r="1713" spans="1:100">
      <c r="A1713" s="374"/>
      <c r="C1713" s="374"/>
      <c r="CV1713" s="376"/>
    </row>
    <row r="1714" spans="1:100">
      <c r="A1714" s="374"/>
      <c r="C1714" s="374"/>
      <c r="CV1714" s="376"/>
    </row>
    <row r="1715" spans="1:100">
      <c r="A1715" s="374"/>
      <c r="C1715" s="374"/>
      <c r="CV1715" s="376"/>
    </row>
    <row r="1716" spans="1:100">
      <c r="A1716" s="374"/>
      <c r="C1716" s="374"/>
      <c r="CV1716" s="376"/>
    </row>
    <row r="1717" spans="1:100">
      <c r="A1717" s="374"/>
      <c r="C1717" s="374"/>
      <c r="CV1717" s="376"/>
    </row>
    <row r="1718" spans="1:100">
      <c r="A1718" s="374"/>
      <c r="C1718" s="374"/>
      <c r="CV1718" s="376"/>
    </row>
    <row r="1719" spans="1:100">
      <c r="A1719" s="374"/>
      <c r="C1719" s="374"/>
      <c r="CV1719" s="376"/>
    </row>
    <row r="1720" spans="1:100">
      <c r="A1720" s="374"/>
      <c r="C1720" s="374"/>
      <c r="CV1720" s="376"/>
    </row>
    <row r="1721" spans="1:100">
      <c r="A1721" s="374"/>
      <c r="C1721" s="374"/>
      <c r="CV1721" s="376"/>
    </row>
    <row r="1722" spans="1:100">
      <c r="A1722" s="374"/>
      <c r="C1722" s="374"/>
      <c r="CV1722" s="376"/>
    </row>
    <row r="1723" spans="1:100">
      <c r="A1723" s="374"/>
      <c r="C1723" s="374"/>
      <c r="CV1723" s="376"/>
    </row>
    <row r="1724" spans="1:100">
      <c r="A1724" s="374"/>
      <c r="C1724" s="374"/>
      <c r="CV1724" s="376"/>
    </row>
    <row r="1725" spans="1:100">
      <c r="A1725" s="374"/>
      <c r="C1725" s="374"/>
      <c r="CV1725" s="376"/>
    </row>
    <row r="1726" spans="1:100">
      <c r="A1726" s="374"/>
      <c r="C1726" s="374"/>
      <c r="CV1726" s="376"/>
    </row>
    <row r="1727" spans="1:100">
      <c r="A1727" s="374"/>
      <c r="C1727" s="374"/>
      <c r="CV1727" s="376"/>
    </row>
    <row r="1728" spans="1:100">
      <c r="A1728" s="374"/>
      <c r="C1728" s="374"/>
      <c r="CV1728" s="376"/>
    </row>
    <row r="1729" spans="1:100">
      <c r="A1729" s="374"/>
      <c r="C1729" s="374"/>
      <c r="CV1729" s="376"/>
    </row>
    <row r="1730" spans="1:100">
      <c r="A1730" s="374"/>
      <c r="C1730" s="374"/>
      <c r="CV1730" s="376"/>
    </row>
    <row r="1731" spans="1:100">
      <c r="A1731" s="374"/>
      <c r="C1731" s="374"/>
      <c r="CV1731" s="376"/>
    </row>
    <row r="1732" spans="1:100">
      <c r="A1732" s="374"/>
      <c r="C1732" s="374"/>
      <c r="CV1732" s="376"/>
    </row>
    <row r="1733" spans="1:100">
      <c r="A1733" s="374"/>
      <c r="C1733" s="374"/>
      <c r="CV1733" s="376"/>
    </row>
    <row r="1734" spans="1:100">
      <c r="A1734" s="374"/>
      <c r="C1734" s="374"/>
      <c r="CV1734" s="376"/>
    </row>
    <row r="1735" spans="1:100">
      <c r="A1735" s="374"/>
      <c r="C1735" s="374"/>
      <c r="CV1735" s="376"/>
    </row>
    <row r="1736" spans="1:100">
      <c r="A1736" s="374"/>
      <c r="C1736" s="374"/>
      <c r="CV1736" s="376"/>
    </row>
    <row r="1737" spans="1:100">
      <c r="A1737" s="374"/>
      <c r="C1737" s="374"/>
      <c r="CV1737" s="376"/>
    </row>
    <row r="1738" spans="1:100">
      <c r="A1738" s="374"/>
      <c r="C1738" s="374"/>
      <c r="CV1738" s="376"/>
    </row>
    <row r="1739" spans="1:100">
      <c r="A1739" s="374"/>
      <c r="C1739" s="374"/>
      <c r="CV1739" s="376"/>
    </row>
    <row r="1740" spans="1:100">
      <c r="A1740" s="374"/>
      <c r="C1740" s="374"/>
      <c r="CV1740" s="376"/>
    </row>
    <row r="1741" spans="1:100">
      <c r="A1741" s="374"/>
      <c r="C1741" s="374"/>
      <c r="CV1741" s="376"/>
    </row>
    <row r="1742" spans="1:100">
      <c r="A1742" s="374"/>
      <c r="C1742" s="374"/>
      <c r="CV1742" s="376"/>
    </row>
    <row r="1743" spans="1:100">
      <c r="A1743" s="374"/>
      <c r="C1743" s="374"/>
      <c r="CV1743" s="376"/>
    </row>
    <row r="1744" spans="1:100">
      <c r="A1744" s="374"/>
      <c r="C1744" s="374"/>
      <c r="CV1744" s="376"/>
    </row>
    <row r="1745" spans="1:100">
      <c r="A1745" s="374"/>
      <c r="C1745" s="374"/>
      <c r="CV1745" s="376"/>
    </row>
    <row r="1746" spans="1:100">
      <c r="A1746" s="374"/>
      <c r="C1746" s="374"/>
      <c r="CV1746" s="376"/>
    </row>
    <row r="1747" spans="1:100">
      <c r="A1747" s="374"/>
      <c r="C1747" s="374"/>
      <c r="CV1747" s="376"/>
    </row>
    <row r="1748" spans="1:100">
      <c r="A1748" s="374"/>
      <c r="C1748" s="374"/>
      <c r="CV1748" s="376"/>
    </row>
    <row r="1749" spans="1:100">
      <c r="A1749" s="374"/>
      <c r="C1749" s="374"/>
      <c r="CV1749" s="376"/>
    </row>
    <row r="1750" spans="1:100">
      <c r="A1750" s="374"/>
      <c r="C1750" s="374"/>
      <c r="CV1750" s="376"/>
    </row>
    <row r="1751" spans="1:100">
      <c r="A1751" s="374"/>
      <c r="C1751" s="374"/>
      <c r="CV1751" s="376"/>
    </row>
    <row r="1752" spans="1:100">
      <c r="A1752" s="374"/>
      <c r="C1752" s="374"/>
      <c r="CV1752" s="376"/>
    </row>
    <row r="1753" spans="1:100">
      <c r="A1753" s="374"/>
      <c r="C1753" s="374"/>
      <c r="CV1753" s="376"/>
    </row>
    <row r="1754" spans="1:100">
      <c r="A1754" s="374"/>
      <c r="C1754" s="374"/>
      <c r="CV1754" s="376"/>
    </row>
    <row r="1755" spans="1:100">
      <c r="A1755" s="374"/>
      <c r="C1755" s="374"/>
      <c r="CV1755" s="376"/>
    </row>
    <row r="1756" spans="1:100">
      <c r="A1756" s="374"/>
      <c r="C1756" s="374"/>
      <c r="CV1756" s="376"/>
    </row>
    <row r="1757" spans="1:100">
      <c r="A1757" s="374"/>
      <c r="C1757" s="374"/>
      <c r="CV1757" s="376"/>
    </row>
    <row r="1758" spans="1:100">
      <c r="A1758" s="374"/>
      <c r="C1758" s="374"/>
      <c r="CV1758" s="376"/>
    </row>
    <row r="1759" spans="1:100">
      <c r="A1759" s="374"/>
      <c r="C1759" s="374"/>
      <c r="CV1759" s="376"/>
    </row>
    <row r="1760" spans="1:100">
      <c r="A1760" s="374"/>
      <c r="C1760" s="374"/>
      <c r="CV1760" s="376"/>
    </row>
    <row r="1761" spans="1:100">
      <c r="A1761" s="374"/>
      <c r="C1761" s="374"/>
      <c r="CV1761" s="376"/>
    </row>
    <row r="1762" spans="1:100">
      <c r="A1762" s="374"/>
      <c r="C1762" s="374"/>
      <c r="CV1762" s="376"/>
    </row>
    <row r="1763" spans="1:100">
      <c r="A1763" s="374"/>
      <c r="C1763" s="374"/>
      <c r="CV1763" s="376"/>
    </row>
    <row r="1764" spans="1:100">
      <c r="A1764" s="374"/>
      <c r="C1764" s="374"/>
      <c r="CV1764" s="376"/>
    </row>
    <row r="1765" spans="1:100">
      <c r="A1765" s="374"/>
      <c r="C1765" s="374"/>
      <c r="CV1765" s="376"/>
    </row>
    <row r="1766" spans="1:100">
      <c r="A1766" s="374"/>
      <c r="C1766" s="374"/>
      <c r="CV1766" s="376"/>
    </row>
    <row r="1767" spans="1:100">
      <c r="A1767" s="374"/>
      <c r="C1767" s="374"/>
      <c r="CV1767" s="376"/>
    </row>
    <row r="1768" spans="1:100">
      <c r="A1768" s="374"/>
      <c r="C1768" s="374"/>
      <c r="CV1768" s="376"/>
    </row>
    <row r="1769" spans="1:100">
      <c r="A1769" s="374"/>
      <c r="C1769" s="374"/>
      <c r="CV1769" s="376"/>
    </row>
    <row r="1770" spans="1:100">
      <c r="A1770" s="374"/>
      <c r="C1770" s="374"/>
      <c r="CV1770" s="376"/>
    </row>
    <row r="1771" spans="1:100">
      <c r="A1771" s="374"/>
      <c r="C1771" s="374"/>
      <c r="CV1771" s="376"/>
    </row>
    <row r="1772" spans="1:100">
      <c r="A1772" s="374"/>
      <c r="C1772" s="374"/>
      <c r="CV1772" s="376"/>
    </row>
    <row r="1773" spans="1:100">
      <c r="A1773" s="374"/>
      <c r="C1773" s="374"/>
      <c r="CV1773" s="376"/>
    </row>
    <row r="1774" spans="1:100">
      <c r="A1774" s="374"/>
      <c r="C1774" s="374"/>
      <c r="CV1774" s="376"/>
    </row>
    <row r="1775" spans="1:100">
      <c r="A1775" s="374"/>
      <c r="C1775" s="374"/>
      <c r="CV1775" s="376"/>
    </row>
    <row r="1776" spans="1:100">
      <c r="A1776" s="374"/>
      <c r="C1776" s="374"/>
      <c r="CV1776" s="376"/>
    </row>
    <row r="1777" spans="1:100">
      <c r="A1777" s="374"/>
      <c r="C1777" s="374"/>
      <c r="CV1777" s="376"/>
    </row>
    <row r="1778" spans="1:100">
      <c r="A1778" s="374"/>
      <c r="C1778" s="374"/>
      <c r="CV1778" s="376"/>
    </row>
    <row r="1779" spans="1:100">
      <c r="A1779" s="374"/>
      <c r="C1779" s="374"/>
      <c r="CV1779" s="376"/>
    </row>
    <row r="1780" spans="1:100">
      <c r="A1780" s="374"/>
      <c r="C1780" s="374"/>
      <c r="CV1780" s="376"/>
    </row>
    <row r="1781" spans="1:100">
      <c r="A1781" s="374"/>
      <c r="C1781" s="374"/>
      <c r="CV1781" s="376"/>
    </row>
    <row r="1782" spans="1:100">
      <c r="A1782" s="374"/>
      <c r="C1782" s="374"/>
      <c r="CV1782" s="376"/>
    </row>
    <row r="1783" spans="1:100">
      <c r="A1783" s="374"/>
      <c r="C1783" s="374"/>
      <c r="CV1783" s="376"/>
    </row>
    <row r="1784" spans="1:100">
      <c r="A1784" s="374"/>
      <c r="C1784" s="374"/>
      <c r="CV1784" s="376"/>
    </row>
    <row r="1785" spans="1:100">
      <c r="A1785" s="374"/>
      <c r="C1785" s="374"/>
      <c r="CV1785" s="376"/>
    </row>
    <row r="1786" spans="1:100">
      <c r="A1786" s="374"/>
      <c r="C1786" s="374"/>
      <c r="CV1786" s="376"/>
    </row>
    <row r="1787" spans="1:100">
      <c r="A1787" s="374"/>
      <c r="C1787" s="374"/>
      <c r="CV1787" s="376"/>
    </row>
    <row r="1788" spans="1:100">
      <c r="A1788" s="374"/>
      <c r="C1788" s="374"/>
      <c r="CV1788" s="376"/>
    </row>
    <row r="1789" spans="1:100">
      <c r="A1789" s="374"/>
      <c r="C1789" s="374"/>
      <c r="CV1789" s="376"/>
    </row>
    <row r="1790" spans="1:100">
      <c r="A1790" s="374"/>
      <c r="C1790" s="374"/>
      <c r="CV1790" s="376"/>
    </row>
    <row r="1791" spans="1:100">
      <c r="A1791" s="374"/>
      <c r="C1791" s="374"/>
      <c r="CV1791" s="376"/>
    </row>
    <row r="1792" spans="1:100">
      <c r="A1792" s="374"/>
      <c r="C1792" s="374"/>
      <c r="CV1792" s="376"/>
    </row>
    <row r="1793" spans="1:100">
      <c r="A1793" s="374"/>
      <c r="C1793" s="374"/>
      <c r="CV1793" s="376"/>
    </row>
    <row r="1794" spans="1:100">
      <c r="A1794" s="374"/>
      <c r="C1794" s="374"/>
      <c r="CV1794" s="376"/>
    </row>
    <row r="1795" spans="1:100">
      <c r="A1795" s="374"/>
      <c r="C1795" s="374"/>
      <c r="CV1795" s="376"/>
    </row>
    <row r="1796" spans="1:100">
      <c r="A1796" s="374"/>
      <c r="C1796" s="374"/>
      <c r="CV1796" s="376"/>
    </row>
    <row r="1797" spans="1:100">
      <c r="A1797" s="374"/>
      <c r="C1797" s="374"/>
      <c r="CV1797" s="376"/>
    </row>
    <row r="1798" spans="1:100">
      <c r="A1798" s="374"/>
      <c r="C1798" s="374"/>
      <c r="CV1798" s="376"/>
    </row>
    <row r="1799" spans="1:100">
      <c r="A1799" s="374"/>
      <c r="C1799" s="374"/>
      <c r="CV1799" s="376"/>
    </row>
    <row r="1800" spans="1:100">
      <c r="A1800" s="374"/>
      <c r="C1800" s="374"/>
      <c r="CV1800" s="376"/>
    </row>
    <row r="1801" spans="1:100">
      <c r="A1801" s="374"/>
      <c r="C1801" s="374"/>
      <c r="CV1801" s="376"/>
    </row>
    <row r="1802" spans="1:100">
      <c r="A1802" s="374"/>
      <c r="C1802" s="374"/>
      <c r="CV1802" s="376"/>
    </row>
    <row r="1803" spans="1:100">
      <c r="A1803" s="374"/>
      <c r="C1803" s="374"/>
      <c r="CV1803" s="376"/>
    </row>
    <row r="1804" spans="1:100">
      <c r="A1804" s="374"/>
      <c r="C1804" s="374"/>
      <c r="CV1804" s="376"/>
    </row>
    <row r="1805" spans="1:100">
      <c r="A1805" s="374"/>
      <c r="C1805" s="374"/>
      <c r="CV1805" s="376"/>
    </row>
    <row r="1806" spans="1:100">
      <c r="A1806" s="374"/>
      <c r="C1806" s="374"/>
      <c r="CV1806" s="376"/>
    </row>
    <row r="1807" spans="1:100">
      <c r="A1807" s="374"/>
      <c r="C1807" s="374"/>
      <c r="CV1807" s="376"/>
    </row>
    <row r="1808" spans="1:100">
      <c r="A1808" s="374"/>
      <c r="C1808" s="374"/>
      <c r="CV1808" s="376"/>
    </row>
    <row r="1809" spans="1:100">
      <c r="A1809" s="374"/>
      <c r="C1809" s="374"/>
      <c r="CV1809" s="376"/>
    </row>
    <row r="1810" spans="1:100">
      <c r="A1810" s="374"/>
      <c r="C1810" s="374"/>
      <c r="CV1810" s="376"/>
    </row>
    <row r="1811" spans="1:100">
      <c r="A1811" s="374"/>
      <c r="C1811" s="374"/>
      <c r="CV1811" s="376"/>
    </row>
    <row r="1812" spans="1:100">
      <c r="A1812" s="374"/>
      <c r="C1812" s="374"/>
      <c r="CV1812" s="376"/>
    </row>
    <row r="1813" spans="1:100">
      <c r="A1813" s="374"/>
      <c r="C1813" s="374"/>
      <c r="CV1813" s="376"/>
    </row>
    <row r="1814" spans="1:100">
      <c r="A1814" s="374"/>
      <c r="C1814" s="374"/>
      <c r="CV1814" s="376"/>
    </row>
    <row r="1815" spans="1:100">
      <c r="A1815" s="374"/>
      <c r="C1815" s="374"/>
      <c r="CV1815" s="376"/>
    </row>
    <row r="1816" spans="1:100">
      <c r="A1816" s="374"/>
      <c r="C1816" s="374"/>
      <c r="CV1816" s="376"/>
    </row>
    <row r="1817" spans="1:100">
      <c r="A1817" s="374"/>
      <c r="C1817" s="374"/>
      <c r="CV1817" s="376"/>
    </row>
    <row r="1818" spans="1:100">
      <c r="A1818" s="374"/>
      <c r="C1818" s="374"/>
      <c r="CV1818" s="376"/>
    </row>
    <row r="1819" spans="1:100">
      <c r="A1819" s="374"/>
      <c r="C1819" s="374"/>
      <c r="CV1819" s="376"/>
    </row>
    <row r="1820" spans="1:100">
      <c r="A1820" s="374"/>
      <c r="C1820" s="374"/>
      <c r="CV1820" s="376"/>
    </row>
    <row r="1821" spans="1:100">
      <c r="A1821" s="374"/>
      <c r="C1821" s="374"/>
      <c r="CV1821" s="376"/>
    </row>
    <row r="1822" spans="1:100">
      <c r="A1822" s="374"/>
      <c r="C1822" s="374"/>
      <c r="CV1822" s="376"/>
    </row>
    <row r="1823" spans="1:100">
      <c r="A1823" s="374"/>
      <c r="C1823" s="374"/>
      <c r="CV1823" s="376"/>
    </row>
    <row r="1824" spans="1:100">
      <c r="A1824" s="374"/>
      <c r="C1824" s="374"/>
      <c r="CV1824" s="376"/>
    </row>
    <row r="1825" spans="1:100">
      <c r="A1825" s="374"/>
      <c r="C1825" s="374"/>
      <c r="CV1825" s="376"/>
    </row>
    <row r="1826" spans="1:100">
      <c r="A1826" s="374"/>
      <c r="C1826" s="374"/>
      <c r="CV1826" s="376"/>
    </row>
    <row r="1827" spans="1:100">
      <c r="A1827" s="374"/>
      <c r="C1827" s="374"/>
      <c r="CV1827" s="376"/>
    </row>
    <row r="1828" spans="1:100">
      <c r="A1828" s="374"/>
      <c r="C1828" s="374"/>
      <c r="CV1828" s="376"/>
    </row>
    <row r="1829" spans="1:100">
      <c r="A1829" s="374"/>
      <c r="C1829" s="374"/>
      <c r="CV1829" s="376"/>
    </row>
    <row r="1830" spans="1:100">
      <c r="A1830" s="374"/>
      <c r="C1830" s="374"/>
      <c r="CV1830" s="376"/>
    </row>
    <row r="1831" spans="1:100">
      <c r="A1831" s="374"/>
      <c r="C1831" s="374"/>
      <c r="CV1831" s="376"/>
    </row>
    <row r="1832" spans="1:100">
      <c r="A1832" s="374"/>
      <c r="C1832" s="374"/>
      <c r="CV1832" s="376"/>
    </row>
    <row r="1833" spans="1:100">
      <c r="A1833" s="374"/>
      <c r="C1833" s="374"/>
      <c r="CV1833" s="376"/>
    </row>
    <row r="1834" spans="1:100">
      <c r="A1834" s="374"/>
      <c r="C1834" s="374"/>
      <c r="CV1834" s="376"/>
    </row>
    <row r="1835" spans="1:100">
      <c r="A1835" s="374"/>
      <c r="C1835" s="374"/>
      <c r="CV1835" s="376"/>
    </row>
    <row r="1836" spans="1:100">
      <c r="A1836" s="374"/>
      <c r="C1836" s="374"/>
      <c r="CV1836" s="376"/>
    </row>
    <row r="1837" spans="1:100">
      <c r="A1837" s="374"/>
      <c r="C1837" s="374"/>
      <c r="CV1837" s="376"/>
    </row>
    <row r="1838" spans="1:100">
      <c r="A1838" s="374"/>
      <c r="C1838" s="374"/>
      <c r="CV1838" s="376"/>
    </row>
    <row r="1839" spans="1:100">
      <c r="A1839" s="374"/>
      <c r="C1839" s="374"/>
      <c r="CV1839" s="376"/>
    </row>
    <row r="1840" spans="1:100">
      <c r="A1840" s="374"/>
      <c r="C1840" s="374"/>
      <c r="CV1840" s="376"/>
    </row>
    <row r="1841" spans="1:100">
      <c r="A1841" s="374"/>
      <c r="C1841" s="374"/>
      <c r="CV1841" s="376"/>
    </row>
    <row r="1842" spans="1:100">
      <c r="A1842" s="374"/>
      <c r="C1842" s="374"/>
      <c r="CV1842" s="376"/>
    </row>
    <row r="1843" spans="1:100">
      <c r="A1843" s="374"/>
      <c r="C1843" s="374"/>
      <c r="CV1843" s="376"/>
    </row>
    <row r="1844" spans="1:100">
      <c r="A1844" s="374"/>
      <c r="C1844" s="374"/>
      <c r="CV1844" s="376"/>
    </row>
    <row r="1845" spans="1:100">
      <c r="A1845" s="374"/>
      <c r="C1845" s="374"/>
      <c r="CV1845" s="376"/>
    </row>
    <row r="1846" spans="1:100">
      <c r="A1846" s="374"/>
      <c r="C1846" s="374"/>
      <c r="CV1846" s="376"/>
    </row>
    <row r="1847" spans="1:100">
      <c r="A1847" s="374"/>
      <c r="C1847" s="374"/>
      <c r="CV1847" s="376"/>
    </row>
    <row r="1848" spans="1:100">
      <c r="A1848" s="374"/>
      <c r="C1848" s="374"/>
      <c r="CV1848" s="376"/>
    </row>
    <row r="1849" spans="1:100">
      <c r="A1849" s="374"/>
      <c r="C1849" s="374"/>
      <c r="CV1849" s="376"/>
    </row>
    <row r="1850" spans="1:100">
      <c r="A1850" s="374"/>
      <c r="C1850" s="374"/>
      <c r="CV1850" s="376"/>
    </row>
    <row r="1851" spans="1:100">
      <c r="A1851" s="374"/>
      <c r="C1851" s="374"/>
      <c r="CV1851" s="376"/>
    </row>
    <row r="1852" spans="1:100">
      <c r="A1852" s="374"/>
      <c r="C1852" s="374"/>
      <c r="CV1852" s="376"/>
    </row>
    <row r="1853" spans="1:100">
      <c r="A1853" s="374"/>
      <c r="C1853" s="374"/>
      <c r="CV1853" s="376"/>
    </row>
    <row r="1854" spans="1:100">
      <c r="A1854" s="374"/>
      <c r="C1854" s="374"/>
      <c r="CV1854" s="376"/>
    </row>
    <row r="1855" spans="1:100">
      <c r="A1855" s="374"/>
      <c r="C1855" s="374"/>
      <c r="CV1855" s="376"/>
    </row>
    <row r="1856" spans="1:100">
      <c r="A1856" s="374"/>
      <c r="C1856" s="374"/>
      <c r="CV1856" s="376"/>
    </row>
    <row r="1857" spans="1:100">
      <c r="A1857" s="374"/>
      <c r="C1857" s="374"/>
      <c r="CV1857" s="376"/>
    </row>
    <row r="1858" spans="1:100">
      <c r="A1858" s="374"/>
      <c r="C1858" s="374"/>
      <c r="CV1858" s="376"/>
    </row>
    <row r="1859" spans="1:100">
      <c r="A1859" s="374"/>
      <c r="C1859" s="374"/>
      <c r="CV1859" s="376"/>
    </row>
    <row r="1860" spans="1:100">
      <c r="A1860" s="374"/>
      <c r="C1860" s="374"/>
      <c r="CV1860" s="376"/>
    </row>
    <row r="1861" spans="1:100">
      <c r="A1861" s="374"/>
      <c r="C1861" s="374"/>
      <c r="CV1861" s="376"/>
    </row>
    <row r="1862" spans="1:100">
      <c r="A1862" s="374"/>
      <c r="C1862" s="374"/>
      <c r="CV1862" s="376"/>
    </row>
    <row r="1863" spans="1:100">
      <c r="A1863" s="374"/>
      <c r="C1863" s="374"/>
      <c r="CV1863" s="376"/>
    </row>
    <row r="1864" spans="1:100">
      <c r="A1864" s="374"/>
      <c r="C1864" s="374"/>
      <c r="CV1864" s="376"/>
    </row>
    <row r="1865" spans="1:100">
      <c r="A1865" s="374"/>
      <c r="C1865" s="374"/>
      <c r="CV1865" s="376"/>
    </row>
    <row r="1866" spans="1:100">
      <c r="A1866" s="374"/>
      <c r="C1866" s="374"/>
      <c r="CV1866" s="376"/>
    </row>
    <row r="1867" spans="1:100">
      <c r="A1867" s="374"/>
      <c r="C1867" s="374"/>
      <c r="CV1867" s="376"/>
    </row>
    <row r="1868" spans="1:100">
      <c r="A1868" s="374"/>
      <c r="C1868" s="374"/>
      <c r="CV1868" s="376"/>
    </row>
    <row r="1869" spans="1:100">
      <c r="A1869" s="374"/>
      <c r="C1869" s="374"/>
      <c r="CV1869" s="376"/>
    </row>
    <row r="1870" spans="1:100">
      <c r="A1870" s="374"/>
      <c r="C1870" s="374"/>
      <c r="CV1870" s="376"/>
    </row>
    <row r="1871" spans="1:100">
      <c r="A1871" s="374"/>
      <c r="C1871" s="374"/>
      <c r="CV1871" s="376"/>
    </row>
    <row r="1872" spans="1:100">
      <c r="A1872" s="374"/>
      <c r="C1872" s="374"/>
      <c r="CV1872" s="376"/>
    </row>
    <row r="1873" spans="1:100">
      <c r="A1873" s="374"/>
      <c r="C1873" s="374"/>
      <c r="CV1873" s="376"/>
    </row>
    <row r="1874" spans="1:100">
      <c r="A1874" s="374"/>
      <c r="C1874" s="374"/>
      <c r="CV1874" s="376"/>
    </row>
    <row r="1875" spans="1:100">
      <c r="A1875" s="374"/>
      <c r="C1875" s="374"/>
      <c r="CV1875" s="376"/>
    </row>
    <row r="1876" spans="1:100">
      <c r="A1876" s="374"/>
      <c r="C1876" s="374"/>
      <c r="CV1876" s="376"/>
    </row>
    <row r="1877" spans="1:100">
      <c r="A1877" s="374"/>
      <c r="C1877" s="374"/>
      <c r="CV1877" s="376"/>
    </row>
    <row r="1878" spans="1:100">
      <c r="A1878" s="374"/>
      <c r="C1878" s="374"/>
      <c r="CV1878" s="376"/>
    </row>
    <row r="1879" spans="1:100">
      <c r="A1879" s="374"/>
      <c r="C1879" s="374"/>
      <c r="CV1879" s="376"/>
    </row>
    <row r="1880" spans="1:100">
      <c r="A1880" s="374"/>
      <c r="C1880" s="374"/>
      <c r="CV1880" s="376"/>
    </row>
    <row r="1881" spans="1:100">
      <c r="A1881" s="374"/>
      <c r="C1881" s="374"/>
      <c r="CV1881" s="376"/>
    </row>
    <row r="1882" spans="1:100">
      <c r="A1882" s="374"/>
      <c r="C1882" s="374"/>
      <c r="CV1882" s="376"/>
    </row>
    <row r="1883" spans="1:100">
      <c r="A1883" s="374"/>
      <c r="C1883" s="374"/>
      <c r="CV1883" s="376"/>
    </row>
    <row r="1884" spans="1:100">
      <c r="A1884" s="374"/>
      <c r="C1884" s="374"/>
      <c r="CV1884" s="376"/>
    </row>
    <row r="1885" spans="1:100">
      <c r="A1885" s="374"/>
      <c r="C1885" s="374"/>
      <c r="CV1885" s="376"/>
    </row>
    <row r="1886" spans="1:100">
      <c r="A1886" s="374"/>
      <c r="C1886" s="374"/>
      <c r="CV1886" s="376"/>
    </row>
    <row r="1887" spans="1:100">
      <c r="A1887" s="374"/>
      <c r="C1887" s="374"/>
      <c r="CV1887" s="376"/>
    </row>
    <row r="1888" spans="1:100">
      <c r="A1888" s="374"/>
      <c r="C1888" s="374"/>
      <c r="CV1888" s="376"/>
    </row>
    <row r="1889" spans="1:100">
      <c r="A1889" s="374"/>
      <c r="C1889" s="374"/>
      <c r="CV1889" s="376"/>
    </row>
    <row r="1890" spans="1:100">
      <c r="A1890" s="374"/>
      <c r="C1890" s="374"/>
      <c r="CV1890" s="376"/>
    </row>
    <row r="1891" spans="1:100">
      <c r="A1891" s="374"/>
      <c r="C1891" s="374"/>
      <c r="CV1891" s="376"/>
    </row>
    <row r="1892" spans="1:100">
      <c r="A1892" s="374"/>
      <c r="C1892" s="374"/>
      <c r="CV1892" s="376"/>
    </row>
    <row r="1893" spans="1:100">
      <c r="A1893" s="374"/>
      <c r="C1893" s="374"/>
      <c r="CV1893" s="376"/>
    </row>
    <row r="1894" spans="1:100">
      <c r="A1894" s="374"/>
      <c r="C1894" s="374"/>
      <c r="CV1894" s="376"/>
    </row>
    <row r="1895" spans="1:100">
      <c r="A1895" s="374"/>
      <c r="C1895" s="374"/>
      <c r="CV1895" s="376"/>
    </row>
    <row r="1896" spans="1:100">
      <c r="A1896" s="374"/>
      <c r="C1896" s="374"/>
      <c r="CV1896" s="376"/>
    </row>
    <row r="1897" spans="1:100">
      <c r="A1897" s="374"/>
      <c r="C1897" s="374"/>
      <c r="CV1897" s="376"/>
    </row>
    <row r="1898" spans="1:100">
      <c r="A1898" s="374"/>
      <c r="C1898" s="374"/>
      <c r="CV1898" s="376"/>
    </row>
    <row r="1899" spans="1:100">
      <c r="A1899" s="374"/>
      <c r="C1899" s="374"/>
      <c r="CV1899" s="376"/>
    </row>
    <row r="1900" spans="1:100">
      <c r="A1900" s="374"/>
      <c r="C1900" s="374"/>
      <c r="CV1900" s="376"/>
    </row>
    <row r="1901" spans="1:100">
      <c r="A1901" s="374"/>
      <c r="C1901" s="374"/>
      <c r="CV1901" s="376"/>
    </row>
    <row r="1902" spans="1:100">
      <c r="A1902" s="374"/>
      <c r="C1902" s="374"/>
      <c r="CV1902" s="376"/>
    </row>
    <row r="1903" spans="1:100">
      <c r="A1903" s="374"/>
      <c r="C1903" s="374"/>
      <c r="CV1903" s="376"/>
    </row>
    <row r="1904" spans="1:100">
      <c r="A1904" s="374"/>
      <c r="C1904" s="374"/>
      <c r="CV1904" s="376"/>
    </row>
    <row r="1905" spans="1:100">
      <c r="A1905" s="374"/>
      <c r="C1905" s="374"/>
      <c r="CV1905" s="376"/>
    </row>
    <row r="1906" spans="1:100">
      <c r="A1906" s="374"/>
      <c r="C1906" s="374"/>
      <c r="CV1906" s="376"/>
    </row>
    <row r="1907" spans="1:100">
      <c r="A1907" s="374"/>
      <c r="C1907" s="374"/>
      <c r="CV1907" s="376"/>
    </row>
    <row r="1908" spans="1:100">
      <c r="A1908" s="374"/>
      <c r="C1908" s="374"/>
      <c r="CV1908" s="376"/>
    </row>
    <row r="1909" spans="1:100">
      <c r="A1909" s="374"/>
      <c r="C1909" s="374"/>
      <c r="CV1909" s="376"/>
    </row>
    <row r="1910" spans="1:100">
      <c r="A1910" s="374"/>
      <c r="C1910" s="374"/>
      <c r="CV1910" s="376"/>
    </row>
    <row r="1911" spans="1:100">
      <c r="A1911" s="374"/>
      <c r="C1911" s="374"/>
      <c r="CV1911" s="376"/>
    </row>
    <row r="1912" spans="1:100">
      <c r="A1912" s="374"/>
      <c r="C1912" s="374"/>
      <c r="CV1912" s="376"/>
    </row>
    <row r="1913" spans="1:100">
      <c r="A1913" s="374"/>
      <c r="C1913" s="374"/>
      <c r="CV1913" s="376"/>
    </row>
    <row r="1914" spans="1:100">
      <c r="A1914" s="374"/>
      <c r="C1914" s="374"/>
      <c r="CV1914" s="376"/>
    </row>
    <row r="1915" spans="1:100">
      <c r="A1915" s="374"/>
      <c r="C1915" s="374"/>
      <c r="CV1915" s="376"/>
    </row>
    <row r="1916" spans="1:100">
      <c r="A1916" s="374"/>
      <c r="C1916" s="374"/>
      <c r="CV1916" s="376"/>
    </row>
    <row r="1917" spans="1:100">
      <c r="A1917" s="374"/>
      <c r="C1917" s="374"/>
      <c r="CV1917" s="376"/>
    </row>
    <row r="1918" spans="1:100">
      <c r="A1918" s="374"/>
      <c r="C1918" s="374"/>
      <c r="CV1918" s="376"/>
    </row>
    <row r="1919" spans="1:100">
      <c r="A1919" s="374"/>
      <c r="C1919" s="374"/>
      <c r="CV1919" s="376"/>
    </row>
    <row r="1920" spans="1:100">
      <c r="A1920" s="374"/>
      <c r="C1920" s="374"/>
      <c r="CV1920" s="376"/>
    </row>
    <row r="1921" spans="1:100">
      <c r="A1921" s="374"/>
      <c r="C1921" s="374"/>
      <c r="CV1921" s="376"/>
    </row>
    <row r="1922" spans="1:100">
      <c r="A1922" s="374"/>
      <c r="C1922" s="374"/>
      <c r="CV1922" s="376"/>
    </row>
    <row r="1923" spans="1:100">
      <c r="A1923" s="374"/>
      <c r="C1923" s="374"/>
      <c r="CV1923" s="376"/>
    </row>
    <row r="1924" spans="1:100">
      <c r="A1924" s="374"/>
      <c r="C1924" s="374"/>
      <c r="CV1924" s="376"/>
    </row>
    <row r="1925" spans="1:100">
      <c r="A1925" s="374"/>
      <c r="C1925" s="374"/>
      <c r="CV1925" s="376"/>
    </row>
    <row r="1926" spans="1:100">
      <c r="A1926" s="374"/>
      <c r="C1926" s="374"/>
      <c r="CV1926" s="376"/>
    </row>
    <row r="1927" spans="1:100">
      <c r="A1927" s="374"/>
      <c r="C1927" s="374"/>
      <c r="CV1927" s="376"/>
    </row>
    <row r="1928" spans="1:100">
      <c r="A1928" s="374"/>
      <c r="C1928" s="374"/>
      <c r="CV1928" s="376"/>
    </row>
    <row r="1929" spans="1:100">
      <c r="A1929" s="374"/>
      <c r="C1929" s="374"/>
      <c r="CV1929" s="376"/>
    </row>
    <row r="1930" spans="1:100">
      <c r="A1930" s="374"/>
      <c r="C1930" s="374"/>
      <c r="CV1930" s="376"/>
    </row>
    <row r="1931" spans="1:100">
      <c r="A1931" s="374"/>
      <c r="C1931" s="374"/>
      <c r="CV1931" s="376"/>
    </row>
    <row r="1932" spans="1:100">
      <c r="A1932" s="374"/>
      <c r="C1932" s="374"/>
      <c r="CV1932" s="376"/>
    </row>
    <row r="1933" spans="1:100">
      <c r="A1933" s="374"/>
      <c r="C1933" s="374"/>
      <c r="CV1933" s="376"/>
    </row>
    <row r="1934" spans="1:100">
      <c r="A1934" s="374"/>
      <c r="C1934" s="374"/>
      <c r="CV1934" s="376"/>
    </row>
    <row r="1935" spans="1:100">
      <c r="A1935" s="374"/>
      <c r="C1935" s="374"/>
      <c r="CV1935" s="376"/>
    </row>
    <row r="1936" spans="1:100">
      <c r="A1936" s="374"/>
      <c r="C1936" s="374"/>
      <c r="CV1936" s="376"/>
    </row>
    <row r="1937" spans="1:100">
      <c r="A1937" s="374"/>
      <c r="C1937" s="374"/>
      <c r="CV1937" s="376"/>
    </row>
    <row r="1938" spans="1:100">
      <c r="A1938" s="374"/>
      <c r="C1938" s="374"/>
      <c r="CV1938" s="376"/>
    </row>
    <row r="1939" spans="1:100">
      <c r="A1939" s="374"/>
      <c r="C1939" s="374"/>
      <c r="CV1939" s="376"/>
    </row>
    <row r="1940" spans="1:100">
      <c r="A1940" s="374"/>
      <c r="C1940" s="374"/>
      <c r="CV1940" s="376"/>
    </row>
    <row r="1941" spans="1:100">
      <c r="A1941" s="374"/>
      <c r="C1941" s="374"/>
      <c r="CV1941" s="376"/>
    </row>
    <row r="1942" spans="1:100">
      <c r="A1942" s="374"/>
      <c r="C1942" s="374"/>
      <c r="CV1942" s="376"/>
    </row>
    <row r="1943" spans="1:100">
      <c r="A1943" s="374"/>
      <c r="C1943" s="374"/>
      <c r="CV1943" s="376"/>
    </row>
    <row r="1944" spans="1:100">
      <c r="A1944" s="374"/>
      <c r="C1944" s="374"/>
      <c r="CV1944" s="376"/>
    </row>
    <row r="1945" spans="1:100">
      <c r="A1945" s="374"/>
      <c r="C1945" s="374"/>
      <c r="CV1945" s="376"/>
    </row>
    <row r="1946" spans="1:100">
      <c r="A1946" s="374"/>
      <c r="C1946" s="374"/>
      <c r="CV1946" s="376"/>
    </row>
    <row r="1947" spans="1:100">
      <c r="A1947" s="374"/>
      <c r="C1947" s="374"/>
      <c r="CV1947" s="376"/>
    </row>
    <row r="1948" spans="1:100">
      <c r="A1948" s="374"/>
      <c r="C1948" s="374"/>
      <c r="CV1948" s="376"/>
    </row>
    <row r="1949" spans="1:100">
      <c r="A1949" s="374"/>
      <c r="C1949" s="374"/>
      <c r="CV1949" s="376"/>
    </row>
    <row r="1950" spans="1:100">
      <c r="A1950" s="374"/>
      <c r="C1950" s="374"/>
      <c r="CV1950" s="376"/>
    </row>
    <row r="1951" spans="1:100">
      <c r="A1951" s="374"/>
      <c r="C1951" s="374"/>
      <c r="CV1951" s="376"/>
    </row>
    <row r="1952" spans="1:100">
      <c r="A1952" s="374"/>
      <c r="C1952" s="374"/>
      <c r="CV1952" s="376"/>
    </row>
    <row r="1953" spans="1:100">
      <c r="A1953" s="374"/>
      <c r="C1953" s="374"/>
      <c r="CV1953" s="376"/>
    </row>
    <row r="1954" spans="1:100">
      <c r="A1954" s="374"/>
      <c r="C1954" s="374"/>
      <c r="CV1954" s="376"/>
    </row>
    <row r="1955" spans="1:100">
      <c r="A1955" s="374"/>
      <c r="C1955" s="374"/>
      <c r="CV1955" s="376"/>
    </row>
    <row r="1956" spans="1:100">
      <c r="A1956" s="374"/>
      <c r="C1956" s="374"/>
      <c r="CV1956" s="376"/>
    </row>
    <row r="1957" spans="1:100">
      <c r="A1957" s="374"/>
      <c r="C1957" s="374"/>
      <c r="CV1957" s="376"/>
    </row>
    <row r="1958" spans="1:100">
      <c r="A1958" s="374"/>
      <c r="C1958" s="374"/>
      <c r="CV1958" s="376"/>
    </row>
    <row r="1959" spans="1:100">
      <c r="A1959" s="374"/>
      <c r="C1959" s="374"/>
      <c r="CV1959" s="376"/>
    </row>
    <row r="1960" spans="1:100">
      <c r="A1960" s="374"/>
      <c r="C1960" s="374"/>
      <c r="CV1960" s="376"/>
    </row>
    <row r="1961" spans="1:100">
      <c r="A1961" s="374"/>
      <c r="C1961" s="374"/>
      <c r="CV1961" s="376"/>
    </row>
    <row r="1962" spans="1:100">
      <c r="A1962" s="374"/>
      <c r="C1962" s="374"/>
      <c r="CV1962" s="376"/>
    </row>
    <row r="1963" spans="1:100">
      <c r="A1963" s="374"/>
      <c r="C1963" s="374"/>
      <c r="CV1963" s="376"/>
    </row>
    <row r="1964" spans="1:100">
      <c r="A1964" s="374"/>
      <c r="C1964" s="374"/>
      <c r="CV1964" s="376"/>
    </row>
    <row r="1965" spans="1:100">
      <c r="A1965" s="374"/>
      <c r="C1965" s="374"/>
      <c r="CV1965" s="376"/>
    </row>
    <row r="1966" spans="1:100">
      <c r="A1966" s="374"/>
      <c r="C1966" s="374"/>
      <c r="CV1966" s="376"/>
    </row>
    <row r="1967" spans="1:100">
      <c r="A1967" s="374"/>
      <c r="C1967" s="374"/>
      <c r="CV1967" s="376"/>
    </row>
    <row r="1968" spans="1:100">
      <c r="A1968" s="374"/>
      <c r="C1968" s="374"/>
      <c r="CV1968" s="376"/>
    </row>
    <row r="1969" spans="1:100">
      <c r="A1969" s="374"/>
      <c r="C1969" s="374"/>
      <c r="CV1969" s="376"/>
    </row>
    <row r="1970" spans="1:100">
      <c r="A1970" s="374"/>
      <c r="C1970" s="374"/>
      <c r="CV1970" s="376"/>
    </row>
    <row r="1971" spans="1:100">
      <c r="A1971" s="374"/>
      <c r="C1971" s="374"/>
      <c r="CV1971" s="376"/>
    </row>
    <row r="1972" spans="1:100">
      <c r="A1972" s="374"/>
      <c r="C1972" s="374"/>
      <c r="CV1972" s="376"/>
    </row>
    <row r="1973" spans="1:100">
      <c r="A1973" s="374"/>
      <c r="C1973" s="374"/>
      <c r="CV1973" s="376"/>
    </row>
    <row r="1974" spans="1:100">
      <c r="A1974" s="374"/>
      <c r="C1974" s="374"/>
      <c r="CV1974" s="376"/>
    </row>
    <row r="1975" spans="1:100">
      <c r="A1975" s="374"/>
      <c r="C1975" s="374"/>
      <c r="CV1975" s="376"/>
    </row>
    <row r="1976" spans="1:100">
      <c r="A1976" s="374"/>
      <c r="C1976" s="374"/>
      <c r="CV1976" s="376"/>
    </row>
    <row r="1977" spans="1:100">
      <c r="A1977" s="374"/>
      <c r="C1977" s="374"/>
      <c r="CV1977" s="376"/>
    </row>
    <row r="1978" spans="1:100">
      <c r="A1978" s="374"/>
      <c r="C1978" s="374"/>
      <c r="CV1978" s="376"/>
    </row>
    <row r="1979" spans="1:100">
      <c r="A1979" s="374"/>
      <c r="C1979" s="374"/>
      <c r="CV1979" s="376"/>
    </row>
    <row r="1980" spans="1:100">
      <c r="A1980" s="374"/>
      <c r="C1980" s="374"/>
      <c r="CV1980" s="376"/>
    </row>
    <row r="1981" spans="1:100">
      <c r="A1981" s="374"/>
      <c r="C1981" s="374"/>
      <c r="CV1981" s="376"/>
    </row>
    <row r="1982" spans="1:100">
      <c r="A1982" s="374"/>
      <c r="C1982" s="374"/>
      <c r="CV1982" s="376"/>
    </row>
    <row r="1983" spans="1:100">
      <c r="A1983" s="374"/>
      <c r="C1983" s="374"/>
      <c r="CV1983" s="376"/>
    </row>
    <row r="1984" spans="1:100">
      <c r="A1984" s="374"/>
      <c r="C1984" s="374"/>
      <c r="CV1984" s="376"/>
    </row>
    <row r="1985" spans="1:100">
      <c r="A1985" s="374"/>
      <c r="C1985" s="374"/>
      <c r="CV1985" s="376"/>
    </row>
    <row r="1986" spans="1:100">
      <c r="A1986" s="374"/>
      <c r="C1986" s="374"/>
      <c r="CV1986" s="376"/>
    </row>
    <row r="1987" spans="1:100">
      <c r="A1987" s="374"/>
      <c r="C1987" s="374"/>
      <c r="CV1987" s="376"/>
    </row>
    <row r="1988" spans="1:100">
      <c r="A1988" s="374"/>
      <c r="C1988" s="374"/>
      <c r="CV1988" s="376"/>
    </row>
    <row r="1989" spans="1:100">
      <c r="A1989" s="374"/>
      <c r="C1989" s="374"/>
      <c r="CV1989" s="376"/>
    </row>
    <row r="1990" spans="1:100">
      <c r="A1990" s="374"/>
      <c r="C1990" s="374"/>
      <c r="CV1990" s="376"/>
    </row>
    <row r="1991" spans="1:100">
      <c r="A1991" s="374"/>
      <c r="C1991" s="374"/>
      <c r="CV1991" s="376"/>
    </row>
    <row r="1992" spans="1:100">
      <c r="A1992" s="374"/>
      <c r="C1992" s="374"/>
      <c r="CV1992" s="376"/>
    </row>
    <row r="1993" spans="1:100">
      <c r="A1993" s="374"/>
      <c r="C1993" s="374"/>
      <c r="CV1993" s="376"/>
    </row>
    <row r="1994" spans="1:100">
      <c r="A1994" s="374"/>
      <c r="C1994" s="374"/>
      <c r="CV1994" s="376"/>
    </row>
    <row r="1995" spans="1:100">
      <c r="A1995" s="374"/>
      <c r="C1995" s="374"/>
      <c r="CV1995" s="376"/>
    </row>
    <row r="1996" spans="1:100">
      <c r="A1996" s="374"/>
      <c r="C1996" s="374"/>
      <c r="CV1996" s="376"/>
    </row>
    <row r="1997" spans="1:100">
      <c r="A1997" s="374"/>
      <c r="C1997" s="374"/>
      <c r="CV1997" s="376"/>
    </row>
    <row r="1998" spans="1:100">
      <c r="A1998" s="374"/>
      <c r="C1998" s="374"/>
      <c r="CV1998" s="376"/>
    </row>
    <row r="1999" spans="1:100">
      <c r="A1999" s="374"/>
      <c r="C1999" s="374"/>
      <c r="CV1999" s="376"/>
    </row>
    <row r="2000" spans="1:100">
      <c r="A2000" s="374"/>
      <c r="C2000" s="374"/>
      <c r="CV2000" s="376"/>
    </row>
    <row r="2001" spans="1:100">
      <c r="A2001" s="374"/>
      <c r="C2001" s="374"/>
      <c r="CV2001" s="376"/>
    </row>
    <row r="2002" spans="1:100">
      <c r="A2002" s="374"/>
      <c r="C2002" s="374"/>
      <c r="CV2002" s="376"/>
    </row>
    <row r="2003" spans="1:100">
      <c r="A2003" s="374"/>
      <c r="C2003" s="374"/>
      <c r="CV2003" s="376"/>
    </row>
    <row r="2004" spans="1:100">
      <c r="A2004" s="374"/>
      <c r="C2004" s="374"/>
      <c r="CV2004" s="376"/>
    </row>
    <row r="2005" spans="1:100">
      <c r="A2005" s="374"/>
      <c r="C2005" s="374"/>
      <c r="CV2005" s="376"/>
    </row>
    <row r="2006" spans="1:100">
      <c r="A2006" s="374"/>
      <c r="C2006" s="374"/>
      <c r="CV2006" s="376"/>
    </row>
    <row r="2007" spans="1:100">
      <c r="A2007" s="374"/>
      <c r="C2007" s="374"/>
      <c r="CV2007" s="376"/>
    </row>
    <row r="2008" spans="1:100">
      <c r="A2008" s="374"/>
      <c r="C2008" s="374"/>
      <c r="CV2008" s="376"/>
    </row>
    <row r="2009" spans="1:100">
      <c r="A2009" s="374"/>
      <c r="C2009" s="374"/>
      <c r="CV2009" s="376"/>
    </row>
    <row r="2010" spans="1:100">
      <c r="A2010" s="374"/>
      <c r="C2010" s="374"/>
      <c r="CV2010" s="376"/>
    </row>
    <row r="2011" spans="1:100">
      <c r="A2011" s="374"/>
      <c r="C2011" s="374"/>
      <c r="CV2011" s="376"/>
    </row>
    <row r="2012" spans="1:100">
      <c r="A2012" s="374"/>
      <c r="C2012" s="374"/>
      <c r="CV2012" s="376"/>
    </row>
    <row r="2013" spans="1:100">
      <c r="A2013" s="374"/>
      <c r="C2013" s="374"/>
      <c r="CV2013" s="376"/>
    </row>
    <row r="2014" spans="1:100">
      <c r="A2014" s="374"/>
      <c r="C2014" s="374"/>
      <c r="CV2014" s="376"/>
    </row>
    <row r="2015" spans="1:100">
      <c r="A2015" s="374"/>
      <c r="C2015" s="374"/>
      <c r="CV2015" s="376"/>
    </row>
    <row r="2016" spans="1:100">
      <c r="A2016" s="374"/>
      <c r="C2016" s="374"/>
      <c r="CV2016" s="376"/>
    </row>
    <row r="2017" spans="1:100">
      <c r="A2017" s="374"/>
      <c r="C2017" s="374"/>
      <c r="CV2017" s="376"/>
    </row>
    <row r="2018" spans="1:100">
      <c r="A2018" s="374"/>
      <c r="C2018" s="374"/>
      <c r="CV2018" s="376"/>
    </row>
    <row r="2019" spans="1:100">
      <c r="A2019" s="374"/>
      <c r="C2019" s="374"/>
      <c r="CV2019" s="376"/>
    </row>
    <row r="2020" spans="1:100">
      <c r="A2020" s="374"/>
      <c r="C2020" s="374"/>
      <c r="CV2020" s="376"/>
    </row>
    <row r="2021" spans="1:100">
      <c r="A2021" s="374"/>
      <c r="C2021" s="374"/>
      <c r="CV2021" s="376"/>
    </row>
    <row r="2022" spans="1:100">
      <c r="A2022" s="374"/>
      <c r="C2022" s="374"/>
      <c r="CV2022" s="376"/>
    </row>
    <row r="2023" spans="1:100">
      <c r="A2023" s="374"/>
      <c r="C2023" s="374"/>
      <c r="CV2023" s="376"/>
    </row>
    <row r="2024" spans="1:100">
      <c r="A2024" s="374"/>
      <c r="C2024" s="374"/>
      <c r="CV2024" s="376"/>
    </row>
    <row r="2025" spans="1:100">
      <c r="A2025" s="374"/>
      <c r="C2025" s="374"/>
      <c r="CV2025" s="376"/>
    </row>
    <row r="2026" spans="1:100">
      <c r="A2026" s="374"/>
      <c r="C2026" s="374"/>
      <c r="CV2026" s="376"/>
    </row>
    <row r="2027" spans="1:100">
      <c r="A2027" s="374"/>
      <c r="C2027" s="374"/>
      <c r="CV2027" s="376"/>
    </row>
    <row r="2028" spans="1:100">
      <c r="A2028" s="374"/>
      <c r="C2028" s="374"/>
      <c r="CV2028" s="376"/>
    </row>
    <row r="2029" spans="1:100">
      <c r="A2029" s="374"/>
      <c r="C2029" s="374"/>
      <c r="CV2029" s="376"/>
    </row>
    <row r="2030" spans="1:100">
      <c r="A2030" s="374"/>
      <c r="C2030" s="374"/>
      <c r="CV2030" s="376"/>
    </row>
    <row r="2031" spans="1:100">
      <c r="A2031" s="374"/>
      <c r="C2031" s="374"/>
      <c r="CV2031" s="376"/>
    </row>
    <row r="2032" spans="1:100">
      <c r="A2032" s="374"/>
      <c r="C2032" s="374"/>
      <c r="CV2032" s="376"/>
    </row>
    <row r="2033" spans="1:100">
      <c r="A2033" s="374"/>
      <c r="C2033" s="374"/>
      <c r="CV2033" s="376"/>
    </row>
    <row r="2034" spans="1:100">
      <c r="A2034" s="374"/>
      <c r="C2034" s="374"/>
      <c r="CV2034" s="376"/>
    </row>
    <row r="2035" spans="1:100">
      <c r="A2035" s="374"/>
      <c r="C2035" s="374"/>
      <c r="CV2035" s="376"/>
    </row>
    <row r="2036" spans="1:100">
      <c r="A2036" s="374"/>
      <c r="C2036" s="374"/>
      <c r="CV2036" s="376"/>
    </row>
    <row r="2037" spans="1:100">
      <c r="A2037" s="374"/>
      <c r="C2037" s="374"/>
      <c r="CV2037" s="376"/>
    </row>
    <row r="2038" spans="1:100">
      <c r="A2038" s="374"/>
      <c r="C2038" s="374"/>
      <c r="CV2038" s="376"/>
    </row>
    <row r="2039" spans="1:100">
      <c r="A2039" s="374"/>
      <c r="C2039" s="374"/>
      <c r="CV2039" s="376"/>
    </row>
    <row r="2040" spans="1:100">
      <c r="A2040" s="374"/>
      <c r="C2040" s="374"/>
      <c r="CV2040" s="376"/>
    </row>
    <row r="2041" spans="1:100">
      <c r="A2041" s="374"/>
      <c r="C2041" s="374"/>
      <c r="CV2041" s="376"/>
    </row>
    <row r="2042" spans="1:100">
      <c r="A2042" s="374"/>
      <c r="C2042" s="374"/>
      <c r="CV2042" s="376"/>
    </row>
    <row r="2043" spans="1:100">
      <c r="A2043" s="374"/>
      <c r="C2043" s="374"/>
      <c r="CV2043" s="376"/>
    </row>
    <row r="2044" spans="1:100">
      <c r="A2044" s="374"/>
      <c r="C2044" s="374"/>
      <c r="CV2044" s="376"/>
    </row>
    <row r="2045" spans="1:100">
      <c r="A2045" s="374"/>
      <c r="C2045" s="374"/>
      <c r="CV2045" s="376"/>
    </row>
    <row r="2046" spans="1:100">
      <c r="A2046" s="374"/>
      <c r="C2046" s="374"/>
      <c r="CV2046" s="376"/>
    </row>
    <row r="2047" spans="1:100">
      <c r="A2047" s="374"/>
      <c r="C2047" s="374"/>
      <c r="CV2047" s="376"/>
    </row>
    <row r="2048" spans="1:100">
      <c r="A2048" s="374"/>
      <c r="C2048" s="374"/>
      <c r="CV2048" s="376"/>
    </row>
    <row r="2049" spans="1:100">
      <c r="A2049" s="374"/>
      <c r="C2049" s="374"/>
      <c r="CV2049" s="376"/>
    </row>
    <row r="2050" spans="1:100">
      <c r="A2050" s="374"/>
      <c r="C2050" s="374"/>
      <c r="CV2050" s="376"/>
    </row>
    <row r="2051" spans="1:100">
      <c r="A2051" s="374"/>
      <c r="C2051" s="374"/>
      <c r="CV2051" s="376"/>
    </row>
    <row r="2052" spans="1:100">
      <c r="A2052" s="374"/>
      <c r="C2052" s="374"/>
      <c r="CV2052" s="376"/>
    </row>
    <row r="2053" spans="1:100">
      <c r="A2053" s="374"/>
      <c r="C2053" s="374"/>
      <c r="CV2053" s="376"/>
    </row>
    <row r="2054" spans="1:100">
      <c r="A2054" s="374"/>
      <c r="C2054" s="374"/>
      <c r="CV2054" s="376"/>
    </row>
    <row r="2055" spans="1:100">
      <c r="A2055" s="374"/>
      <c r="C2055" s="374"/>
      <c r="CV2055" s="376"/>
    </row>
    <row r="2056" spans="1:100">
      <c r="A2056" s="374"/>
      <c r="C2056" s="374"/>
      <c r="CV2056" s="376"/>
    </row>
    <row r="2057" spans="1:100">
      <c r="A2057" s="374"/>
      <c r="C2057" s="374"/>
      <c r="CV2057" s="376"/>
    </row>
    <row r="2058" spans="1:100">
      <c r="A2058" s="374"/>
      <c r="C2058" s="374"/>
      <c r="CV2058" s="376"/>
    </row>
    <row r="2059" spans="1:100">
      <c r="A2059" s="374"/>
      <c r="C2059" s="374"/>
      <c r="CV2059" s="376"/>
    </row>
    <row r="2060" spans="1:100">
      <c r="A2060" s="374"/>
      <c r="C2060" s="374"/>
      <c r="CV2060" s="376"/>
    </row>
    <row r="2061" spans="1:100">
      <c r="A2061" s="374"/>
      <c r="C2061" s="374"/>
      <c r="CV2061" s="376"/>
    </row>
    <row r="2062" spans="1:100">
      <c r="A2062" s="374"/>
      <c r="C2062" s="374"/>
      <c r="CV2062" s="376"/>
    </row>
    <row r="2063" spans="1:100">
      <c r="A2063" s="374"/>
      <c r="C2063" s="374"/>
      <c r="CV2063" s="376"/>
    </row>
    <row r="2064" spans="1:100">
      <c r="A2064" s="374"/>
      <c r="C2064" s="374"/>
      <c r="CV2064" s="376"/>
    </row>
    <row r="2065" spans="1:100">
      <c r="A2065" s="374"/>
      <c r="C2065" s="374"/>
      <c r="CV2065" s="376"/>
    </row>
    <row r="2066" spans="1:100">
      <c r="A2066" s="374"/>
      <c r="C2066" s="374"/>
      <c r="CV2066" s="376"/>
    </row>
    <row r="2067" spans="1:100">
      <c r="A2067" s="374"/>
      <c r="C2067" s="374"/>
      <c r="CV2067" s="376"/>
    </row>
    <row r="2068" spans="1:100">
      <c r="A2068" s="374"/>
      <c r="C2068" s="374"/>
      <c r="CV2068" s="376"/>
    </row>
    <row r="2069" spans="1:100">
      <c r="A2069" s="374"/>
      <c r="C2069" s="374"/>
      <c r="CV2069" s="376"/>
    </row>
    <row r="2070" spans="1:100">
      <c r="A2070" s="374"/>
      <c r="C2070" s="374"/>
      <c r="CV2070" s="376"/>
    </row>
    <row r="2071" spans="1:100">
      <c r="A2071" s="374"/>
      <c r="C2071" s="374"/>
      <c r="CV2071" s="376"/>
    </row>
    <row r="2072" spans="1:100">
      <c r="A2072" s="374"/>
      <c r="C2072" s="374"/>
      <c r="CV2072" s="376"/>
    </row>
    <row r="2073" spans="1:100">
      <c r="A2073" s="374"/>
      <c r="C2073" s="374"/>
      <c r="CV2073" s="376"/>
    </row>
    <row r="2074" spans="1:100">
      <c r="A2074" s="374"/>
      <c r="C2074" s="374"/>
      <c r="CV2074" s="376"/>
    </row>
    <row r="2075" spans="1:100">
      <c r="A2075" s="374"/>
      <c r="C2075" s="374"/>
      <c r="CV2075" s="376"/>
    </row>
    <row r="2076" spans="1:100">
      <c r="A2076" s="374"/>
      <c r="C2076" s="374"/>
      <c r="CV2076" s="376"/>
    </row>
    <row r="2077" spans="1:100">
      <c r="A2077" s="374"/>
      <c r="C2077" s="374"/>
      <c r="CV2077" s="376"/>
    </row>
    <row r="2078" spans="1:100">
      <c r="A2078" s="374"/>
      <c r="C2078" s="374"/>
      <c r="CV2078" s="376"/>
    </row>
    <row r="2079" spans="1:100">
      <c r="A2079" s="374"/>
      <c r="C2079" s="374"/>
      <c r="CV2079" s="376"/>
    </row>
    <row r="2080" spans="1:100">
      <c r="A2080" s="374"/>
      <c r="C2080" s="374"/>
      <c r="CV2080" s="376"/>
    </row>
    <row r="2081" spans="1:100">
      <c r="A2081" s="374"/>
      <c r="C2081" s="374"/>
      <c r="CV2081" s="376"/>
    </row>
    <row r="2082" spans="1:100">
      <c r="A2082" s="374"/>
      <c r="C2082" s="374"/>
      <c r="CV2082" s="376"/>
    </row>
    <row r="2083" spans="1:100">
      <c r="A2083" s="374"/>
      <c r="C2083" s="374"/>
      <c r="CV2083" s="376"/>
    </row>
    <row r="2084" spans="1:100">
      <c r="A2084" s="374"/>
      <c r="C2084" s="374"/>
      <c r="CV2084" s="376"/>
    </row>
    <row r="2085" spans="1:100">
      <c r="A2085" s="374"/>
      <c r="C2085" s="374"/>
      <c r="CV2085" s="376"/>
    </row>
    <row r="2086" spans="1:100">
      <c r="A2086" s="374"/>
      <c r="C2086" s="374"/>
      <c r="CV2086" s="376"/>
    </row>
    <row r="2087" spans="1:100">
      <c r="A2087" s="374"/>
      <c r="C2087" s="374"/>
      <c r="CV2087" s="376"/>
    </row>
    <row r="2088" spans="1:100">
      <c r="A2088" s="374"/>
      <c r="C2088" s="374"/>
      <c r="CV2088" s="376"/>
    </row>
    <row r="2089" spans="1:100">
      <c r="A2089" s="374"/>
      <c r="C2089" s="374"/>
      <c r="CV2089" s="376"/>
    </row>
    <row r="2090" spans="1:100">
      <c r="A2090" s="374"/>
      <c r="C2090" s="374"/>
      <c r="CV2090" s="376"/>
    </row>
    <row r="2091" spans="1:100">
      <c r="A2091" s="374"/>
      <c r="C2091" s="374"/>
      <c r="CV2091" s="376"/>
    </row>
    <row r="2092" spans="1:100">
      <c r="A2092" s="374"/>
      <c r="C2092" s="374"/>
      <c r="CV2092" s="376"/>
    </row>
    <row r="2093" spans="1:100">
      <c r="A2093" s="374"/>
      <c r="C2093" s="374"/>
      <c r="CV2093" s="376"/>
    </row>
    <row r="2094" spans="1:100">
      <c r="A2094" s="374"/>
      <c r="C2094" s="374"/>
      <c r="CV2094" s="376"/>
    </row>
    <row r="2095" spans="1:100">
      <c r="A2095" s="374"/>
      <c r="C2095" s="374"/>
      <c r="CV2095" s="376"/>
    </row>
    <row r="2096" spans="1:100">
      <c r="A2096" s="374"/>
      <c r="C2096" s="374"/>
      <c r="CV2096" s="376"/>
    </row>
    <row r="2097" spans="1:100">
      <c r="A2097" s="374"/>
      <c r="C2097" s="374"/>
      <c r="CV2097" s="376"/>
    </row>
    <row r="2098" spans="1:100">
      <c r="A2098" s="374"/>
      <c r="C2098" s="374"/>
      <c r="CV2098" s="376"/>
    </row>
    <row r="2099" spans="1:100">
      <c r="A2099" s="374"/>
      <c r="C2099" s="374"/>
      <c r="CV2099" s="376"/>
    </row>
    <row r="2100" spans="1:100">
      <c r="A2100" s="374"/>
      <c r="C2100" s="374"/>
      <c r="CV2100" s="376"/>
    </row>
    <row r="2101" spans="1:100">
      <c r="A2101" s="374"/>
      <c r="C2101" s="374"/>
      <c r="CV2101" s="376"/>
    </row>
    <row r="2102" spans="1:100">
      <c r="A2102" s="374"/>
      <c r="C2102" s="374"/>
      <c r="CV2102" s="376"/>
    </row>
    <row r="2103" spans="1:100">
      <c r="A2103" s="374"/>
      <c r="C2103" s="374"/>
      <c r="CV2103" s="376"/>
    </row>
    <row r="2104" spans="1:100">
      <c r="A2104" s="374"/>
      <c r="C2104" s="374"/>
      <c r="CV2104" s="376"/>
    </row>
    <row r="2105" spans="1:100">
      <c r="A2105" s="374"/>
      <c r="C2105" s="374"/>
      <c r="CV2105" s="376"/>
    </row>
    <row r="2106" spans="1:100">
      <c r="A2106" s="374"/>
      <c r="C2106" s="374"/>
      <c r="CV2106" s="376"/>
    </row>
    <row r="2107" spans="1:100">
      <c r="A2107" s="374"/>
      <c r="C2107" s="374"/>
      <c r="CV2107" s="376"/>
    </row>
    <row r="2108" spans="1:100">
      <c r="A2108" s="374"/>
      <c r="C2108" s="374"/>
      <c r="CV2108" s="376"/>
    </row>
    <row r="2109" spans="1:100">
      <c r="A2109" s="374"/>
      <c r="C2109" s="374"/>
      <c r="CV2109" s="376"/>
    </row>
    <row r="2110" spans="1:100">
      <c r="A2110" s="374"/>
      <c r="C2110" s="374"/>
      <c r="CV2110" s="376"/>
    </row>
    <row r="2111" spans="1:100">
      <c r="A2111" s="374"/>
      <c r="C2111" s="374"/>
      <c r="CV2111" s="376"/>
    </row>
    <row r="2112" spans="1:100">
      <c r="A2112" s="374"/>
      <c r="C2112" s="374"/>
      <c r="CV2112" s="376"/>
    </row>
    <row r="2113" spans="1:100">
      <c r="A2113" s="374"/>
      <c r="C2113" s="374"/>
      <c r="CV2113" s="376"/>
    </row>
    <row r="2114" spans="1:100">
      <c r="A2114" s="374"/>
      <c r="C2114" s="374"/>
      <c r="CV2114" s="376"/>
    </row>
    <row r="2115" spans="1:100">
      <c r="A2115" s="374"/>
      <c r="C2115" s="374"/>
      <c r="CV2115" s="376"/>
    </row>
    <row r="2116" spans="1:100">
      <c r="A2116" s="374"/>
      <c r="C2116" s="374"/>
      <c r="CV2116" s="376"/>
    </row>
    <row r="2117" spans="1:100">
      <c r="A2117" s="374"/>
      <c r="C2117" s="374"/>
      <c r="CV2117" s="376"/>
    </row>
    <row r="2118" spans="1:100">
      <c r="A2118" s="374"/>
      <c r="C2118" s="374"/>
      <c r="CV2118" s="376"/>
    </row>
    <row r="2119" spans="1:100">
      <c r="A2119" s="374"/>
      <c r="C2119" s="374"/>
      <c r="CV2119" s="376"/>
    </row>
    <row r="2120" spans="1:100">
      <c r="A2120" s="374"/>
      <c r="C2120" s="374"/>
      <c r="CV2120" s="376"/>
    </row>
    <row r="2121" spans="1:100">
      <c r="A2121" s="374"/>
      <c r="C2121" s="374"/>
      <c r="CV2121" s="376"/>
    </row>
    <row r="2122" spans="1:100">
      <c r="A2122" s="374"/>
      <c r="C2122" s="374"/>
      <c r="CV2122" s="376"/>
    </row>
    <row r="2123" spans="1:100">
      <c r="A2123" s="374"/>
      <c r="C2123" s="374"/>
      <c r="CV2123" s="376"/>
    </row>
    <row r="2124" spans="1:100">
      <c r="A2124" s="374"/>
      <c r="C2124" s="374"/>
      <c r="CV2124" s="376"/>
    </row>
    <row r="2125" spans="1:100">
      <c r="A2125" s="374"/>
      <c r="C2125" s="374"/>
      <c r="CV2125" s="376"/>
    </row>
    <row r="2126" spans="1:100">
      <c r="A2126" s="374"/>
      <c r="C2126" s="374"/>
      <c r="CV2126" s="376"/>
    </row>
    <row r="2127" spans="1:100">
      <c r="A2127" s="374"/>
      <c r="C2127" s="374"/>
      <c r="CV2127" s="376"/>
    </row>
    <row r="2128" spans="1:100">
      <c r="A2128" s="374"/>
      <c r="C2128" s="374"/>
      <c r="CV2128" s="376"/>
    </row>
    <row r="2129" spans="1:100">
      <c r="A2129" s="374"/>
      <c r="C2129" s="374"/>
      <c r="CV2129" s="376"/>
    </row>
    <row r="2130" spans="1:100">
      <c r="A2130" s="374"/>
      <c r="C2130" s="374"/>
      <c r="CV2130" s="376"/>
    </row>
    <row r="2131" spans="1:100">
      <c r="A2131" s="374"/>
      <c r="C2131" s="374"/>
      <c r="CV2131" s="376"/>
    </row>
    <row r="2132" spans="1:100">
      <c r="A2132" s="374"/>
      <c r="C2132" s="374"/>
      <c r="CV2132" s="376"/>
    </row>
    <row r="2133" spans="1:100">
      <c r="A2133" s="374"/>
      <c r="C2133" s="374"/>
      <c r="CV2133" s="376"/>
    </row>
    <row r="2134" spans="1:100">
      <c r="A2134" s="374"/>
      <c r="C2134" s="374"/>
      <c r="CV2134" s="376"/>
    </row>
    <row r="2135" spans="1:100">
      <c r="A2135" s="374"/>
      <c r="C2135" s="374"/>
      <c r="CV2135" s="376"/>
    </row>
    <row r="2136" spans="1:100">
      <c r="A2136" s="374"/>
      <c r="C2136" s="374"/>
      <c r="CV2136" s="376"/>
    </row>
    <row r="2137" spans="1:100">
      <c r="A2137" s="374"/>
      <c r="C2137" s="374"/>
      <c r="CV2137" s="376"/>
    </row>
    <row r="2138" spans="1:100">
      <c r="A2138" s="374"/>
      <c r="C2138" s="374"/>
      <c r="CV2138" s="376"/>
    </row>
    <row r="2139" spans="1:100">
      <c r="A2139" s="374"/>
      <c r="C2139" s="374"/>
      <c r="CV2139" s="376"/>
    </row>
    <row r="2140" spans="1:100">
      <c r="A2140" s="374"/>
      <c r="C2140" s="374"/>
      <c r="CV2140" s="376"/>
    </row>
    <row r="2141" spans="1:100">
      <c r="A2141" s="374"/>
      <c r="C2141" s="374"/>
      <c r="CV2141" s="376"/>
    </row>
    <row r="2142" spans="1:100">
      <c r="A2142" s="374"/>
      <c r="C2142" s="374"/>
      <c r="CV2142" s="376"/>
    </row>
    <row r="2143" spans="1:100">
      <c r="A2143" s="374"/>
      <c r="C2143" s="374"/>
      <c r="CV2143" s="376"/>
    </row>
    <row r="2144" spans="1:100">
      <c r="A2144" s="374"/>
      <c r="C2144" s="374"/>
      <c r="CV2144" s="376"/>
    </row>
    <row r="2145" spans="1:100">
      <c r="A2145" s="374"/>
      <c r="C2145" s="374"/>
      <c r="CV2145" s="376"/>
    </row>
    <row r="2146" spans="1:100">
      <c r="A2146" s="374"/>
      <c r="C2146" s="374"/>
      <c r="CV2146" s="376"/>
    </row>
    <row r="2147" spans="1:100">
      <c r="A2147" s="374"/>
      <c r="C2147" s="374"/>
      <c r="CV2147" s="376"/>
    </row>
    <row r="2148" spans="1:100">
      <c r="A2148" s="374"/>
      <c r="C2148" s="374"/>
      <c r="CV2148" s="376"/>
    </row>
    <row r="2149" spans="1:100">
      <c r="A2149" s="374"/>
      <c r="C2149" s="374"/>
      <c r="CV2149" s="376"/>
    </row>
    <row r="2150" spans="1:100">
      <c r="A2150" s="374"/>
      <c r="C2150" s="374"/>
      <c r="CV2150" s="376"/>
    </row>
    <row r="2151" spans="1:100">
      <c r="A2151" s="374"/>
      <c r="C2151" s="374"/>
      <c r="CV2151" s="376"/>
    </row>
    <row r="2152" spans="1:100">
      <c r="A2152" s="374"/>
      <c r="C2152" s="374"/>
      <c r="CV2152" s="376"/>
    </row>
    <row r="2153" spans="1:100">
      <c r="A2153" s="374"/>
      <c r="C2153" s="374"/>
      <c r="CV2153" s="376"/>
    </row>
    <row r="2154" spans="1:100">
      <c r="A2154" s="374"/>
      <c r="C2154" s="374"/>
      <c r="CV2154" s="376"/>
    </row>
    <row r="2155" spans="1:100">
      <c r="A2155" s="374"/>
      <c r="C2155" s="374"/>
      <c r="CV2155" s="376"/>
    </row>
    <row r="2156" spans="1:100">
      <c r="A2156" s="374"/>
      <c r="C2156" s="374"/>
      <c r="CV2156" s="376"/>
    </row>
    <row r="2157" spans="1:100">
      <c r="A2157" s="374"/>
      <c r="C2157" s="374"/>
      <c r="CV2157" s="376"/>
    </row>
    <row r="2158" spans="1:100">
      <c r="A2158" s="374"/>
      <c r="C2158" s="374"/>
      <c r="CV2158" s="376"/>
    </row>
    <row r="2159" spans="1:100">
      <c r="A2159" s="374"/>
      <c r="C2159" s="374"/>
      <c r="CV2159" s="376"/>
    </row>
    <row r="2160" spans="1:100">
      <c r="A2160" s="374"/>
      <c r="C2160" s="374"/>
      <c r="CV2160" s="376"/>
    </row>
    <row r="2161" spans="1:100">
      <c r="A2161" s="374"/>
      <c r="C2161" s="374"/>
      <c r="CV2161" s="376"/>
    </row>
    <row r="2162" spans="1:100">
      <c r="A2162" s="374"/>
      <c r="C2162" s="374"/>
      <c r="CV2162" s="376"/>
    </row>
    <row r="2163" spans="1:100">
      <c r="A2163" s="374"/>
      <c r="C2163" s="374"/>
      <c r="CV2163" s="376"/>
    </row>
    <row r="2164" spans="1:100">
      <c r="A2164" s="374"/>
      <c r="C2164" s="374"/>
      <c r="CV2164" s="376"/>
    </row>
    <row r="2165" spans="1:100">
      <c r="A2165" s="374"/>
      <c r="C2165" s="374"/>
      <c r="CV2165" s="376"/>
    </row>
    <row r="2166" spans="1:100">
      <c r="A2166" s="374"/>
      <c r="C2166" s="374"/>
      <c r="CV2166" s="376"/>
    </row>
    <row r="2167" spans="1:100">
      <c r="A2167" s="374"/>
      <c r="C2167" s="374"/>
      <c r="CV2167" s="376"/>
    </row>
    <row r="2168" spans="1:100">
      <c r="A2168" s="374"/>
      <c r="C2168" s="374"/>
      <c r="CV2168" s="376"/>
    </row>
    <row r="2169" spans="1:100">
      <c r="A2169" s="374"/>
      <c r="C2169" s="374"/>
      <c r="CV2169" s="376"/>
    </row>
    <row r="2170" spans="1:100">
      <c r="A2170" s="374"/>
      <c r="C2170" s="374"/>
      <c r="CV2170" s="376"/>
    </row>
    <row r="2171" spans="1:100">
      <c r="A2171" s="374"/>
      <c r="C2171" s="374"/>
      <c r="CV2171" s="376"/>
    </row>
    <row r="2172" spans="1:100">
      <c r="A2172" s="374"/>
      <c r="C2172" s="374"/>
      <c r="CV2172" s="376"/>
    </row>
    <row r="2173" spans="1:100">
      <c r="A2173" s="374"/>
      <c r="C2173" s="374"/>
      <c r="CV2173" s="376"/>
    </row>
    <row r="2174" spans="1:100">
      <c r="A2174" s="374"/>
      <c r="C2174" s="374"/>
      <c r="CV2174" s="376"/>
    </row>
    <row r="2175" spans="1:100">
      <c r="A2175" s="374"/>
      <c r="C2175" s="374"/>
      <c r="CV2175" s="376"/>
    </row>
    <row r="2176" spans="1:100">
      <c r="A2176" s="374"/>
      <c r="C2176" s="374"/>
      <c r="CV2176" s="376"/>
    </row>
    <row r="2177" spans="1:100">
      <c r="A2177" s="374"/>
      <c r="C2177" s="374"/>
      <c r="CV2177" s="376"/>
    </row>
    <row r="2178" spans="1:100">
      <c r="A2178" s="374"/>
      <c r="C2178" s="374"/>
      <c r="CV2178" s="376"/>
    </row>
    <row r="2179" spans="1:100">
      <c r="A2179" s="374"/>
      <c r="C2179" s="374"/>
      <c r="CV2179" s="376"/>
    </row>
    <row r="2180" spans="1:100">
      <c r="A2180" s="374"/>
      <c r="C2180" s="374"/>
      <c r="CV2180" s="376"/>
    </row>
    <row r="2181" spans="1:100">
      <c r="A2181" s="374"/>
      <c r="C2181" s="374"/>
      <c r="CV2181" s="376"/>
    </row>
    <row r="2182" spans="1:100">
      <c r="A2182" s="374"/>
      <c r="C2182" s="374"/>
      <c r="CV2182" s="376"/>
    </row>
    <row r="2183" spans="1:100">
      <c r="A2183" s="374"/>
      <c r="C2183" s="374"/>
      <c r="CV2183" s="376"/>
    </row>
    <row r="2184" spans="1:100">
      <c r="A2184" s="374"/>
      <c r="C2184" s="374"/>
      <c r="CV2184" s="376"/>
    </row>
    <row r="2185" spans="1:100">
      <c r="A2185" s="374"/>
      <c r="C2185" s="374"/>
      <c r="CV2185" s="376"/>
    </row>
    <row r="2186" spans="1:100">
      <c r="A2186" s="374"/>
      <c r="C2186" s="374"/>
      <c r="CV2186" s="376"/>
    </row>
    <row r="2187" spans="1:100">
      <c r="A2187" s="374"/>
      <c r="C2187" s="374"/>
      <c r="CV2187" s="376"/>
    </row>
    <row r="2188" spans="1:100">
      <c r="A2188" s="374"/>
      <c r="C2188" s="374"/>
      <c r="CV2188" s="376"/>
    </row>
    <row r="2189" spans="1:100">
      <c r="A2189" s="374"/>
      <c r="C2189" s="374"/>
      <c r="CV2189" s="376"/>
    </row>
    <row r="2190" spans="1:100">
      <c r="A2190" s="374"/>
      <c r="C2190" s="374"/>
      <c r="CV2190" s="376"/>
    </row>
    <row r="2191" spans="1:100">
      <c r="A2191" s="374"/>
      <c r="C2191" s="374"/>
      <c r="CV2191" s="376"/>
    </row>
    <row r="2192" spans="1:100">
      <c r="A2192" s="374"/>
      <c r="C2192" s="374"/>
      <c r="CV2192" s="376"/>
    </row>
    <row r="2193" spans="1:100">
      <c r="A2193" s="374"/>
      <c r="C2193" s="374"/>
      <c r="CV2193" s="376"/>
    </row>
    <row r="2194" spans="1:100">
      <c r="A2194" s="374"/>
      <c r="C2194" s="374"/>
      <c r="CV2194" s="376"/>
    </row>
    <row r="2195" spans="1:100">
      <c r="A2195" s="374"/>
      <c r="C2195" s="374"/>
      <c r="CV2195" s="376"/>
    </row>
    <row r="2196" spans="1:100">
      <c r="A2196" s="374"/>
      <c r="C2196" s="374"/>
      <c r="CV2196" s="376"/>
    </row>
    <row r="2197" spans="1:100">
      <c r="A2197" s="374"/>
      <c r="C2197" s="374"/>
      <c r="CV2197" s="376"/>
    </row>
    <row r="2198" spans="1:100">
      <c r="A2198" s="374"/>
      <c r="C2198" s="374"/>
      <c r="CV2198" s="376"/>
    </row>
    <row r="2199" spans="1:100">
      <c r="A2199" s="374"/>
      <c r="C2199" s="374"/>
      <c r="CV2199" s="376"/>
    </row>
    <row r="2200" spans="1:100">
      <c r="A2200" s="374"/>
      <c r="C2200" s="374"/>
      <c r="CV2200" s="376"/>
    </row>
    <row r="2201" spans="1:100">
      <c r="A2201" s="374"/>
      <c r="C2201" s="374"/>
      <c r="CV2201" s="376"/>
    </row>
    <row r="2202" spans="1:100">
      <c r="A2202" s="374"/>
      <c r="C2202" s="374"/>
      <c r="CV2202" s="376"/>
    </row>
    <row r="2203" spans="1:100">
      <c r="A2203" s="374"/>
      <c r="C2203" s="374"/>
      <c r="CV2203" s="376"/>
    </row>
    <row r="2204" spans="1:100">
      <c r="A2204" s="374"/>
      <c r="C2204" s="374"/>
      <c r="CV2204" s="376"/>
    </row>
    <row r="2205" spans="1:100">
      <c r="A2205" s="374"/>
      <c r="C2205" s="374"/>
      <c r="CV2205" s="376"/>
    </row>
    <row r="2206" spans="1:100">
      <c r="A2206" s="374"/>
      <c r="C2206" s="374"/>
      <c r="CV2206" s="376"/>
    </row>
    <row r="2207" spans="1:100">
      <c r="A2207" s="374"/>
      <c r="C2207" s="374"/>
      <c r="CV2207" s="376"/>
    </row>
    <row r="2208" spans="1:100">
      <c r="A2208" s="374"/>
      <c r="C2208" s="374"/>
      <c r="CV2208" s="376"/>
    </row>
    <row r="2209" spans="1:100">
      <c r="A2209" s="374"/>
      <c r="C2209" s="374"/>
      <c r="CV2209" s="376"/>
    </row>
    <row r="2210" spans="1:100">
      <c r="A2210" s="374"/>
      <c r="C2210" s="374"/>
      <c r="CV2210" s="376"/>
    </row>
    <row r="2211" spans="1:100">
      <c r="A2211" s="374"/>
      <c r="C2211" s="374"/>
      <c r="CV2211" s="376"/>
    </row>
    <row r="2212" spans="1:100">
      <c r="A2212" s="374"/>
      <c r="C2212" s="374"/>
      <c r="CV2212" s="376"/>
    </row>
    <row r="2213" spans="1:100">
      <c r="A2213" s="374"/>
      <c r="C2213" s="374"/>
      <c r="CV2213" s="376"/>
    </row>
    <row r="2214" spans="1:100">
      <c r="A2214" s="374"/>
      <c r="C2214" s="374"/>
      <c r="CV2214" s="376"/>
    </row>
    <row r="2215" spans="1:100">
      <c r="A2215" s="374"/>
      <c r="C2215" s="374"/>
      <c r="CV2215" s="376"/>
    </row>
    <row r="2216" spans="1:100">
      <c r="A2216" s="374"/>
      <c r="C2216" s="374"/>
      <c r="CV2216" s="376"/>
    </row>
    <row r="2217" spans="1:100">
      <c r="A2217" s="374"/>
      <c r="C2217" s="374"/>
      <c r="CV2217" s="376"/>
    </row>
    <row r="2218" spans="1:100">
      <c r="A2218" s="374"/>
      <c r="C2218" s="374"/>
      <c r="CV2218" s="376"/>
    </row>
    <row r="2219" spans="1:100">
      <c r="A2219" s="374"/>
      <c r="C2219" s="374"/>
      <c r="CV2219" s="376"/>
    </row>
    <row r="2220" spans="1:100">
      <c r="A2220" s="374"/>
      <c r="C2220" s="374"/>
      <c r="CV2220" s="376"/>
    </row>
    <row r="2221" spans="1:100">
      <c r="A2221" s="374"/>
      <c r="C2221" s="374"/>
      <c r="CV2221" s="376"/>
    </row>
    <row r="2222" spans="1:100">
      <c r="A2222" s="374"/>
      <c r="C2222" s="374"/>
      <c r="CV2222" s="376"/>
    </row>
    <row r="2223" spans="1:100">
      <c r="A2223" s="374"/>
      <c r="C2223" s="374"/>
      <c r="CV2223" s="376"/>
    </row>
    <row r="2224" spans="1:100">
      <c r="A2224" s="374"/>
      <c r="C2224" s="374"/>
      <c r="CV2224" s="376"/>
    </row>
    <row r="2225" spans="1:100">
      <c r="A2225" s="374"/>
      <c r="C2225" s="374"/>
      <c r="CV2225" s="376"/>
    </row>
    <row r="2226" spans="1:100">
      <c r="A2226" s="374"/>
      <c r="C2226" s="374"/>
      <c r="CV2226" s="376"/>
    </row>
    <row r="2227" spans="1:100">
      <c r="A2227" s="374"/>
      <c r="C2227" s="374"/>
      <c r="CV2227" s="376"/>
    </row>
    <row r="2228" spans="1:100">
      <c r="A2228" s="374"/>
      <c r="C2228" s="374"/>
      <c r="CV2228" s="376"/>
    </row>
    <row r="2229" spans="1:100">
      <c r="A2229" s="374"/>
      <c r="C2229" s="374"/>
      <c r="CV2229" s="376"/>
    </row>
    <row r="2230" spans="1:100">
      <c r="A2230" s="374"/>
      <c r="C2230" s="374"/>
      <c r="CV2230" s="376"/>
    </row>
    <row r="2231" spans="1:100">
      <c r="A2231" s="374"/>
      <c r="C2231" s="374"/>
      <c r="CV2231" s="376"/>
    </row>
    <row r="2232" spans="1:100">
      <c r="A2232" s="374"/>
      <c r="C2232" s="374"/>
      <c r="CV2232" s="376"/>
    </row>
    <row r="2233" spans="1:100">
      <c r="A2233" s="374"/>
      <c r="C2233" s="374"/>
      <c r="CV2233" s="376"/>
    </row>
    <row r="2234" spans="1:100">
      <c r="A2234" s="374"/>
      <c r="C2234" s="374"/>
      <c r="CV2234" s="376"/>
    </row>
    <row r="2235" spans="1:100">
      <c r="A2235" s="374"/>
      <c r="C2235" s="374"/>
      <c r="CV2235" s="376"/>
    </row>
    <row r="2236" spans="1:100">
      <c r="A2236" s="374"/>
      <c r="C2236" s="374"/>
      <c r="CV2236" s="376"/>
    </row>
    <row r="2237" spans="1:100">
      <c r="A2237" s="374"/>
      <c r="C2237" s="374"/>
      <c r="CV2237" s="376"/>
    </row>
    <row r="2238" spans="1:100">
      <c r="A2238" s="374"/>
      <c r="C2238" s="374"/>
      <c r="CV2238" s="376"/>
    </row>
    <row r="2239" spans="1:100">
      <c r="A2239" s="374"/>
      <c r="C2239" s="374"/>
      <c r="CV2239" s="376"/>
    </row>
    <row r="2240" spans="1:100">
      <c r="A2240" s="374"/>
      <c r="C2240" s="374"/>
      <c r="CV2240" s="376"/>
    </row>
    <row r="2241" spans="1:100">
      <c r="A2241" s="374"/>
      <c r="C2241" s="374"/>
      <c r="CV2241" s="376"/>
    </row>
    <row r="2242" spans="1:100">
      <c r="A2242" s="374"/>
      <c r="C2242" s="374"/>
      <c r="CV2242" s="376"/>
    </row>
    <row r="2243" spans="1:100">
      <c r="A2243" s="374"/>
      <c r="C2243" s="374"/>
      <c r="CV2243" s="376"/>
    </row>
    <row r="2244" spans="1:100">
      <c r="A2244" s="374"/>
      <c r="C2244" s="374"/>
      <c r="CV2244" s="376"/>
    </row>
    <row r="2245" spans="1:100">
      <c r="A2245" s="374"/>
      <c r="C2245" s="374"/>
      <c r="CV2245" s="376"/>
    </row>
    <row r="2246" spans="1:100">
      <c r="A2246" s="374"/>
      <c r="C2246" s="374"/>
      <c r="CV2246" s="376"/>
    </row>
    <row r="2247" spans="1:100">
      <c r="A2247" s="374"/>
      <c r="C2247" s="374"/>
      <c r="CV2247" s="376"/>
    </row>
    <row r="2248" spans="1:100">
      <c r="A2248" s="374"/>
      <c r="C2248" s="374"/>
      <c r="CV2248" s="376"/>
    </row>
    <row r="2249" spans="1:100">
      <c r="A2249" s="374"/>
      <c r="C2249" s="374"/>
      <c r="CV2249" s="376"/>
    </row>
    <row r="2250" spans="1:100">
      <c r="A2250" s="374"/>
      <c r="C2250" s="374"/>
      <c r="CV2250" s="376"/>
    </row>
    <row r="2251" spans="1:100">
      <c r="A2251" s="374"/>
      <c r="C2251" s="374"/>
      <c r="CV2251" s="376"/>
    </row>
    <row r="2252" spans="1:100">
      <c r="A2252" s="374"/>
      <c r="C2252" s="374"/>
      <c r="CV2252" s="376"/>
    </row>
    <row r="2253" spans="1:100">
      <c r="A2253" s="374"/>
      <c r="C2253" s="374"/>
      <c r="CV2253" s="376"/>
    </row>
    <row r="2254" spans="1:100">
      <c r="A2254" s="374"/>
      <c r="C2254" s="374"/>
      <c r="CV2254" s="376"/>
    </row>
    <row r="2255" spans="1:100">
      <c r="A2255" s="374"/>
      <c r="C2255" s="374"/>
      <c r="CV2255" s="376"/>
    </row>
    <row r="2256" spans="1:100">
      <c r="A2256" s="374"/>
      <c r="C2256" s="374"/>
      <c r="CV2256" s="376"/>
    </row>
    <row r="2257" spans="1:100">
      <c r="A2257" s="374"/>
      <c r="C2257" s="374"/>
      <c r="CV2257" s="376"/>
    </row>
    <row r="2258" spans="1:100">
      <c r="A2258" s="374"/>
      <c r="C2258" s="374"/>
      <c r="CV2258" s="376"/>
    </row>
    <row r="2259" spans="1:100">
      <c r="A2259" s="374"/>
      <c r="C2259" s="374"/>
      <c r="CV2259" s="376"/>
    </row>
    <row r="2260" spans="1:100">
      <c r="A2260" s="374"/>
      <c r="C2260" s="374"/>
      <c r="CV2260" s="376"/>
    </row>
    <row r="2261" spans="1:100">
      <c r="A2261" s="374"/>
      <c r="C2261" s="374"/>
      <c r="CV2261" s="376"/>
    </row>
    <row r="2262" spans="1:100">
      <c r="A2262" s="374"/>
      <c r="C2262" s="374"/>
      <c r="CV2262" s="376"/>
    </row>
    <row r="2263" spans="1:100">
      <c r="A2263" s="374"/>
      <c r="C2263" s="374"/>
      <c r="CV2263" s="376"/>
    </row>
    <row r="2264" spans="1:100">
      <c r="A2264" s="374"/>
      <c r="C2264" s="374"/>
      <c r="CV2264" s="376"/>
    </row>
    <row r="2265" spans="1:100">
      <c r="A2265" s="374"/>
      <c r="C2265" s="374"/>
      <c r="CV2265" s="376"/>
    </row>
    <row r="2266" spans="1:100">
      <c r="A2266" s="374"/>
      <c r="C2266" s="374"/>
      <c r="CV2266" s="376"/>
    </row>
    <row r="2267" spans="1:100">
      <c r="A2267" s="374"/>
      <c r="C2267" s="374"/>
      <c r="CV2267" s="376"/>
    </row>
    <row r="2268" spans="1:100">
      <c r="A2268" s="374"/>
      <c r="C2268" s="374"/>
      <c r="CV2268" s="376"/>
    </row>
    <row r="2269" spans="1:100">
      <c r="A2269" s="374"/>
      <c r="C2269" s="374"/>
      <c r="CV2269" s="376"/>
    </row>
    <row r="2270" spans="1:100">
      <c r="A2270" s="374"/>
      <c r="C2270" s="374"/>
      <c r="CV2270" s="376"/>
    </row>
    <row r="2271" spans="1:100">
      <c r="A2271" s="374"/>
      <c r="C2271" s="374"/>
      <c r="CV2271" s="376"/>
    </row>
    <row r="2272" spans="1:100">
      <c r="A2272" s="374"/>
      <c r="C2272" s="374"/>
      <c r="CV2272" s="376"/>
    </row>
    <row r="2273" spans="1:100">
      <c r="A2273" s="374"/>
      <c r="C2273" s="374"/>
      <c r="CV2273" s="376"/>
    </row>
    <row r="2274" spans="1:100">
      <c r="A2274" s="374"/>
      <c r="C2274" s="374"/>
      <c r="CV2274" s="376"/>
    </row>
    <row r="2275" spans="1:100">
      <c r="A2275" s="374"/>
      <c r="C2275" s="374"/>
      <c r="CV2275" s="376"/>
    </row>
    <row r="2276" spans="1:100">
      <c r="A2276" s="374"/>
      <c r="C2276" s="374"/>
      <c r="CV2276" s="376"/>
    </row>
    <row r="2277" spans="1:100">
      <c r="A2277" s="374"/>
      <c r="C2277" s="374"/>
      <c r="CV2277" s="376"/>
    </row>
    <row r="2278" spans="1:100">
      <c r="A2278" s="374"/>
      <c r="C2278" s="374"/>
      <c r="CV2278" s="376"/>
    </row>
    <row r="2279" spans="1:100">
      <c r="A2279" s="374"/>
      <c r="C2279" s="374"/>
      <c r="CV2279" s="376"/>
    </row>
    <row r="2280" spans="1:100">
      <c r="A2280" s="374"/>
      <c r="C2280" s="374"/>
      <c r="CV2280" s="376"/>
    </row>
    <row r="2281" spans="1:100">
      <c r="A2281" s="374"/>
      <c r="C2281" s="374"/>
      <c r="CV2281" s="376"/>
    </row>
    <row r="2282" spans="1:100">
      <c r="A2282" s="374"/>
      <c r="C2282" s="374"/>
      <c r="CV2282" s="376"/>
    </row>
    <row r="2283" spans="1:100">
      <c r="A2283" s="374"/>
      <c r="C2283" s="374"/>
      <c r="CV2283" s="376"/>
    </row>
    <row r="2284" spans="1:100">
      <c r="A2284" s="374"/>
      <c r="C2284" s="374"/>
      <c r="CV2284" s="376"/>
    </row>
    <row r="2285" spans="1:100">
      <c r="A2285" s="374"/>
      <c r="C2285" s="374"/>
      <c r="CV2285" s="376"/>
    </row>
    <row r="2286" spans="1:100">
      <c r="A2286" s="374"/>
      <c r="C2286" s="374"/>
      <c r="CV2286" s="376"/>
    </row>
    <row r="2287" spans="1:100">
      <c r="A2287" s="374"/>
      <c r="C2287" s="374"/>
      <c r="CV2287" s="376"/>
    </row>
    <row r="2288" spans="1:100">
      <c r="A2288" s="374"/>
      <c r="C2288" s="374"/>
      <c r="CV2288" s="376"/>
    </row>
    <row r="2289" spans="1:100">
      <c r="A2289" s="374"/>
      <c r="C2289" s="374"/>
      <c r="CV2289" s="376"/>
    </row>
    <row r="2290" spans="1:100">
      <c r="A2290" s="374"/>
      <c r="C2290" s="374"/>
      <c r="CV2290" s="376"/>
    </row>
    <row r="2291" spans="1:100">
      <c r="A2291" s="374"/>
      <c r="C2291" s="374"/>
      <c r="CV2291" s="376"/>
    </row>
    <row r="2292" spans="1:100">
      <c r="A2292" s="374"/>
      <c r="C2292" s="374"/>
      <c r="CV2292" s="376"/>
    </row>
    <row r="2293" spans="1:100">
      <c r="A2293" s="374"/>
      <c r="C2293" s="374"/>
      <c r="CV2293" s="376"/>
    </row>
    <row r="2294" spans="1:100">
      <c r="A2294" s="374"/>
      <c r="C2294" s="374"/>
      <c r="CV2294" s="376"/>
    </row>
    <row r="2295" spans="1:100">
      <c r="A2295" s="374"/>
      <c r="C2295" s="374"/>
      <c r="CV2295" s="376"/>
    </row>
    <row r="2296" spans="1:100">
      <c r="A2296" s="374"/>
      <c r="C2296" s="374"/>
      <c r="CV2296" s="376"/>
    </row>
    <row r="2297" spans="1:100">
      <c r="A2297" s="374"/>
      <c r="C2297" s="374"/>
      <c r="CV2297" s="376"/>
    </row>
    <row r="2298" spans="1:100">
      <c r="A2298" s="374"/>
      <c r="C2298" s="374"/>
      <c r="CV2298" s="376"/>
    </row>
    <row r="2299" spans="1:100">
      <c r="A2299" s="374"/>
      <c r="C2299" s="374"/>
      <c r="CV2299" s="376"/>
    </row>
    <row r="2300" spans="1:100">
      <c r="A2300" s="374"/>
      <c r="C2300" s="374"/>
      <c r="CV2300" s="376"/>
    </row>
    <row r="2301" spans="1:100">
      <c r="A2301" s="374"/>
      <c r="C2301" s="374"/>
      <c r="CV2301" s="376"/>
    </row>
    <row r="2302" spans="1:100">
      <c r="A2302" s="374"/>
      <c r="C2302" s="374"/>
      <c r="CV2302" s="376"/>
    </row>
    <row r="2303" spans="1:100">
      <c r="A2303" s="374"/>
      <c r="C2303" s="374"/>
      <c r="CV2303" s="376"/>
    </row>
    <row r="2304" spans="1:100">
      <c r="A2304" s="374"/>
      <c r="C2304" s="374"/>
      <c r="CV2304" s="376"/>
    </row>
    <row r="2305" spans="1:100">
      <c r="A2305" s="374"/>
      <c r="C2305" s="374"/>
      <c r="CV2305" s="376"/>
    </row>
    <row r="2306" spans="1:100">
      <c r="A2306" s="374"/>
      <c r="C2306" s="374"/>
      <c r="CV2306" s="376"/>
    </row>
    <row r="2307" spans="1:100">
      <c r="A2307" s="374"/>
      <c r="C2307" s="374"/>
      <c r="CV2307" s="376"/>
    </row>
    <row r="2308" spans="1:100">
      <c r="A2308" s="374"/>
      <c r="C2308" s="374"/>
      <c r="CV2308" s="376"/>
    </row>
    <row r="2309" spans="1:100">
      <c r="A2309" s="374"/>
      <c r="C2309" s="374"/>
      <c r="CV2309" s="376"/>
    </row>
    <row r="2310" spans="1:100">
      <c r="A2310" s="374"/>
      <c r="C2310" s="374"/>
      <c r="CV2310" s="376"/>
    </row>
    <row r="2311" spans="1:100">
      <c r="A2311" s="374"/>
      <c r="C2311" s="374"/>
      <c r="CV2311" s="376"/>
    </row>
    <row r="2312" spans="1:100">
      <c r="A2312" s="374"/>
      <c r="C2312" s="374"/>
      <c r="CV2312" s="376"/>
    </row>
    <row r="2313" spans="1:100">
      <c r="A2313" s="374"/>
      <c r="C2313" s="374"/>
      <c r="CV2313" s="376"/>
    </row>
    <row r="2314" spans="1:100">
      <c r="A2314" s="374"/>
      <c r="C2314" s="374"/>
      <c r="CV2314" s="376"/>
    </row>
    <row r="2315" spans="1:100">
      <c r="A2315" s="374"/>
      <c r="C2315" s="374"/>
      <c r="CV2315" s="376"/>
    </row>
    <row r="2316" spans="1:100">
      <c r="A2316" s="374"/>
      <c r="C2316" s="374"/>
      <c r="CV2316" s="376"/>
    </row>
    <row r="2317" spans="1:100">
      <c r="A2317" s="374"/>
      <c r="C2317" s="374"/>
      <c r="CV2317" s="376"/>
    </row>
    <row r="2318" spans="1:100">
      <c r="A2318" s="374"/>
      <c r="C2318" s="374"/>
      <c r="CV2318" s="376"/>
    </row>
    <row r="2319" spans="1:100">
      <c r="A2319" s="374"/>
      <c r="C2319" s="374"/>
      <c r="CV2319" s="376"/>
    </row>
    <row r="2320" spans="1:100">
      <c r="A2320" s="374"/>
      <c r="C2320" s="374"/>
      <c r="CV2320" s="376"/>
    </row>
    <row r="2321" spans="1:100">
      <c r="A2321" s="374"/>
      <c r="C2321" s="374"/>
      <c r="CV2321" s="376"/>
    </row>
    <row r="2322" spans="1:100">
      <c r="A2322" s="374"/>
      <c r="C2322" s="374"/>
      <c r="CV2322" s="376"/>
    </row>
    <row r="2323" spans="1:100">
      <c r="A2323" s="374"/>
      <c r="C2323" s="374"/>
      <c r="CV2323" s="376"/>
    </row>
    <row r="2324" spans="1:100">
      <c r="A2324" s="374"/>
      <c r="C2324" s="374"/>
      <c r="CV2324" s="376"/>
    </row>
    <row r="2325" spans="1:100">
      <c r="A2325" s="374"/>
      <c r="C2325" s="374"/>
      <c r="CV2325" s="376"/>
    </row>
    <row r="2326" spans="1:100">
      <c r="A2326" s="374"/>
      <c r="C2326" s="374"/>
      <c r="CV2326" s="376"/>
    </row>
    <row r="2327" spans="1:100">
      <c r="A2327" s="374"/>
      <c r="C2327" s="374"/>
      <c r="CV2327" s="376"/>
    </row>
    <row r="2328" spans="1:100">
      <c r="A2328" s="374"/>
      <c r="C2328" s="374"/>
      <c r="CV2328" s="376"/>
    </row>
    <row r="2329" spans="1:100">
      <c r="A2329" s="374"/>
      <c r="C2329" s="374"/>
      <c r="CV2329" s="376"/>
    </row>
    <row r="2330" spans="1:100">
      <c r="A2330" s="374"/>
      <c r="C2330" s="374"/>
      <c r="CV2330" s="376"/>
    </row>
    <row r="2331" spans="1:100">
      <c r="A2331" s="374"/>
      <c r="C2331" s="374"/>
      <c r="CV2331" s="376"/>
    </row>
    <row r="2332" spans="1:100">
      <c r="A2332" s="374"/>
      <c r="C2332" s="374"/>
      <c r="CV2332" s="376"/>
    </row>
    <row r="2333" spans="1:100">
      <c r="A2333" s="374"/>
      <c r="C2333" s="374"/>
      <c r="CV2333" s="376"/>
    </row>
    <row r="2334" spans="1:100">
      <c r="A2334" s="374"/>
      <c r="C2334" s="374"/>
      <c r="CV2334" s="376"/>
    </row>
    <row r="2335" spans="1:100">
      <c r="A2335" s="374"/>
      <c r="C2335" s="374"/>
      <c r="CV2335" s="376"/>
    </row>
    <row r="2336" spans="1:100">
      <c r="A2336" s="374"/>
      <c r="C2336" s="374"/>
      <c r="CV2336" s="376"/>
    </row>
    <row r="2337" spans="1:100">
      <c r="A2337" s="374"/>
      <c r="C2337" s="374"/>
      <c r="CV2337" s="376"/>
    </row>
    <row r="2338" spans="1:100">
      <c r="A2338" s="374"/>
      <c r="C2338" s="374"/>
      <c r="CV2338" s="376"/>
    </row>
    <row r="2339" spans="1:100">
      <c r="A2339" s="374"/>
      <c r="C2339" s="374"/>
      <c r="CV2339" s="376"/>
    </row>
    <row r="2340" spans="1:100">
      <c r="A2340" s="374"/>
      <c r="C2340" s="374"/>
      <c r="CV2340" s="376"/>
    </row>
    <row r="2341" spans="1:100">
      <c r="A2341" s="374"/>
      <c r="C2341" s="374"/>
      <c r="CV2341" s="376"/>
    </row>
    <row r="2342" spans="1:100">
      <c r="A2342" s="374"/>
      <c r="C2342" s="374"/>
      <c r="CV2342" s="376"/>
    </row>
    <row r="2343" spans="1:100">
      <c r="A2343" s="374"/>
      <c r="C2343" s="374"/>
      <c r="CV2343" s="376"/>
    </row>
    <row r="2344" spans="1:100">
      <c r="A2344" s="374"/>
      <c r="C2344" s="374"/>
      <c r="CV2344" s="376"/>
    </row>
    <row r="2345" spans="1:100">
      <c r="A2345" s="374"/>
      <c r="C2345" s="374"/>
      <c r="CV2345" s="376"/>
    </row>
    <row r="2346" spans="1:100">
      <c r="A2346" s="374"/>
      <c r="C2346" s="374"/>
      <c r="CV2346" s="376"/>
    </row>
    <row r="2347" spans="1:100">
      <c r="A2347" s="374"/>
      <c r="C2347" s="374"/>
      <c r="CV2347" s="376"/>
    </row>
    <row r="2348" spans="1:100">
      <c r="A2348" s="374"/>
      <c r="C2348" s="374"/>
      <c r="CV2348" s="376"/>
    </row>
    <row r="2349" spans="1:100">
      <c r="A2349" s="374"/>
      <c r="C2349" s="374"/>
      <c r="CV2349" s="376"/>
    </row>
    <row r="2350" spans="1:100">
      <c r="A2350" s="374"/>
      <c r="C2350" s="374"/>
      <c r="CV2350" s="376"/>
    </row>
    <row r="2351" spans="1:100">
      <c r="A2351" s="374"/>
      <c r="C2351" s="374"/>
      <c r="CV2351" s="376"/>
    </row>
    <row r="2352" spans="1:100">
      <c r="A2352" s="374"/>
      <c r="C2352" s="374"/>
      <c r="CV2352" s="376"/>
    </row>
    <row r="2353" spans="1:100">
      <c r="A2353" s="374"/>
      <c r="C2353" s="374"/>
      <c r="CV2353" s="376"/>
    </row>
    <row r="2354" spans="1:100">
      <c r="A2354" s="374"/>
      <c r="C2354" s="374"/>
      <c r="CV2354" s="376"/>
    </row>
    <row r="2355" spans="1:100">
      <c r="A2355" s="374"/>
      <c r="C2355" s="374"/>
      <c r="CV2355" s="376"/>
    </row>
    <row r="2356" spans="1:100">
      <c r="A2356" s="374"/>
      <c r="C2356" s="374"/>
      <c r="CV2356" s="376"/>
    </row>
    <row r="2357" spans="1:100">
      <c r="A2357" s="374"/>
      <c r="C2357" s="374"/>
      <c r="CV2357" s="376"/>
    </row>
    <row r="2358" spans="1:100">
      <c r="A2358" s="374"/>
      <c r="C2358" s="374"/>
      <c r="CV2358" s="376"/>
    </row>
    <row r="2359" spans="1:100">
      <c r="A2359" s="374"/>
      <c r="C2359" s="374"/>
      <c r="CV2359" s="376"/>
    </row>
    <row r="2360" spans="1:100">
      <c r="A2360" s="374"/>
      <c r="C2360" s="374"/>
      <c r="CV2360" s="376"/>
    </row>
    <row r="2361" spans="1:100">
      <c r="A2361" s="374"/>
      <c r="C2361" s="374"/>
      <c r="CV2361" s="376"/>
    </row>
    <row r="2362" spans="1:100">
      <c r="A2362" s="374"/>
      <c r="C2362" s="374"/>
      <c r="CV2362" s="376"/>
    </row>
    <row r="2363" spans="1:100">
      <c r="A2363" s="374"/>
      <c r="C2363" s="374"/>
      <c r="CV2363" s="376"/>
    </row>
    <row r="2364" spans="1:100">
      <c r="A2364" s="374"/>
      <c r="C2364" s="374"/>
      <c r="CV2364" s="376"/>
    </row>
    <row r="2365" spans="1:100">
      <c r="A2365" s="374"/>
      <c r="C2365" s="374"/>
      <c r="CV2365" s="376"/>
    </row>
    <row r="2366" spans="1:100">
      <c r="A2366" s="374"/>
      <c r="C2366" s="374"/>
      <c r="CV2366" s="376"/>
    </row>
    <row r="2367" spans="1:100">
      <c r="A2367" s="374"/>
      <c r="C2367" s="374"/>
      <c r="CV2367" s="376"/>
    </row>
    <row r="2368" spans="1:100">
      <c r="A2368" s="374"/>
      <c r="C2368" s="374"/>
      <c r="CV2368" s="376"/>
    </row>
    <row r="2369" spans="1:100">
      <c r="A2369" s="374"/>
      <c r="C2369" s="374"/>
      <c r="CV2369" s="376"/>
    </row>
    <row r="2370" spans="1:100">
      <c r="A2370" s="374"/>
      <c r="C2370" s="374"/>
      <c r="CV2370" s="376"/>
    </row>
    <row r="2371" spans="1:100">
      <c r="A2371" s="374"/>
      <c r="C2371" s="374"/>
      <c r="CV2371" s="376"/>
    </row>
    <row r="2372" spans="1:100">
      <c r="A2372" s="374"/>
      <c r="C2372" s="374"/>
      <c r="CV2372" s="376"/>
    </row>
    <row r="2373" spans="1:100">
      <c r="A2373" s="374"/>
      <c r="C2373" s="374"/>
      <c r="CV2373" s="376"/>
    </row>
    <row r="2374" spans="1:100">
      <c r="A2374" s="374"/>
      <c r="C2374" s="374"/>
      <c r="CV2374" s="376"/>
    </row>
    <row r="2375" spans="1:100">
      <c r="A2375" s="374"/>
      <c r="C2375" s="374"/>
      <c r="CV2375" s="376"/>
    </row>
    <row r="2376" spans="1:100">
      <c r="A2376" s="374"/>
      <c r="C2376" s="374"/>
      <c r="CV2376" s="376"/>
    </row>
    <row r="2377" spans="1:100">
      <c r="A2377" s="374"/>
      <c r="C2377" s="374"/>
      <c r="CV2377" s="376"/>
    </row>
    <row r="2378" spans="1:100">
      <c r="A2378" s="374"/>
      <c r="C2378" s="374"/>
      <c r="CV2378" s="376"/>
    </row>
    <row r="2379" spans="1:100">
      <c r="A2379" s="374"/>
      <c r="C2379" s="374"/>
      <c r="CV2379" s="376"/>
    </row>
    <row r="2380" spans="1:100">
      <c r="A2380" s="374"/>
      <c r="C2380" s="374"/>
      <c r="CV2380" s="376"/>
    </row>
    <row r="2381" spans="1:100">
      <c r="A2381" s="374"/>
      <c r="C2381" s="374"/>
      <c r="CV2381" s="376"/>
    </row>
    <row r="2382" spans="1:100">
      <c r="A2382" s="374"/>
      <c r="C2382" s="374"/>
      <c r="CV2382" s="376"/>
    </row>
    <row r="2383" spans="1:100">
      <c r="A2383" s="374"/>
      <c r="C2383" s="374"/>
      <c r="CV2383" s="376"/>
    </row>
    <row r="2384" spans="1:100">
      <c r="A2384" s="374"/>
      <c r="C2384" s="374"/>
      <c r="CV2384" s="376"/>
    </row>
    <row r="2385" spans="1:100">
      <c r="A2385" s="374"/>
      <c r="C2385" s="374"/>
      <c r="CV2385" s="376"/>
    </row>
    <row r="2386" spans="1:100">
      <c r="A2386" s="374"/>
      <c r="C2386" s="374"/>
      <c r="CV2386" s="376"/>
    </row>
    <row r="2387" spans="1:100">
      <c r="A2387" s="374"/>
      <c r="C2387" s="374"/>
      <c r="CV2387" s="376"/>
    </row>
    <row r="2388" spans="1:100">
      <c r="A2388" s="374"/>
      <c r="C2388" s="374"/>
      <c r="CV2388" s="376"/>
    </row>
    <row r="2389" spans="1:100">
      <c r="A2389" s="374"/>
      <c r="C2389" s="374"/>
      <c r="CV2389" s="376"/>
    </row>
    <row r="2390" spans="1:100">
      <c r="A2390" s="374"/>
      <c r="C2390" s="374"/>
      <c r="CV2390" s="376"/>
    </row>
    <row r="2391" spans="1:100">
      <c r="A2391" s="374"/>
      <c r="C2391" s="374"/>
      <c r="CV2391" s="376"/>
    </row>
    <row r="2392" spans="1:100">
      <c r="A2392" s="374"/>
      <c r="C2392" s="374"/>
      <c r="CV2392" s="376"/>
    </row>
    <row r="2393" spans="1:100">
      <c r="A2393" s="374"/>
      <c r="C2393" s="374"/>
      <c r="CV2393" s="376"/>
    </row>
    <row r="2394" spans="1:100">
      <c r="A2394" s="374"/>
      <c r="C2394" s="374"/>
      <c r="CV2394" s="376"/>
    </row>
    <row r="2395" spans="1:100">
      <c r="A2395" s="374"/>
      <c r="C2395" s="374"/>
      <c r="CV2395" s="376"/>
    </row>
    <row r="2396" spans="1:100">
      <c r="A2396" s="374"/>
      <c r="C2396" s="374"/>
      <c r="CV2396" s="376"/>
    </row>
    <row r="2397" spans="1:100">
      <c r="A2397" s="374"/>
      <c r="C2397" s="374"/>
      <c r="CV2397" s="376"/>
    </row>
    <row r="2398" spans="1:100">
      <c r="A2398" s="374"/>
      <c r="C2398" s="374"/>
      <c r="CV2398" s="376"/>
    </row>
    <row r="2399" spans="1:100">
      <c r="A2399" s="374"/>
      <c r="C2399" s="374"/>
      <c r="CV2399" s="376"/>
    </row>
    <row r="2400" spans="1:100">
      <c r="A2400" s="374"/>
      <c r="C2400" s="374"/>
      <c r="CV2400" s="376"/>
    </row>
    <row r="2401" spans="1:100">
      <c r="A2401" s="374"/>
      <c r="C2401" s="374"/>
      <c r="CV2401" s="376"/>
    </row>
    <row r="2402" spans="1:100">
      <c r="A2402" s="374"/>
      <c r="C2402" s="374"/>
      <c r="CV2402" s="376"/>
    </row>
    <row r="2403" spans="1:100">
      <c r="A2403" s="374"/>
      <c r="C2403" s="374"/>
      <c r="CV2403" s="376"/>
    </row>
    <row r="2404" spans="1:100">
      <c r="A2404" s="374"/>
      <c r="C2404" s="374"/>
      <c r="CV2404" s="376"/>
    </row>
    <row r="2405" spans="1:100">
      <c r="A2405" s="374"/>
      <c r="C2405" s="374"/>
      <c r="CV2405" s="376"/>
    </row>
    <row r="2406" spans="1:100">
      <c r="A2406" s="374"/>
      <c r="C2406" s="374"/>
      <c r="CV2406" s="376"/>
    </row>
    <row r="2407" spans="1:100">
      <c r="A2407" s="374"/>
      <c r="C2407" s="374"/>
      <c r="CV2407" s="376"/>
    </row>
    <row r="2408" spans="1:100">
      <c r="A2408" s="374"/>
      <c r="C2408" s="374"/>
      <c r="CV2408" s="376"/>
    </row>
    <row r="2409" spans="1:100">
      <c r="A2409" s="374"/>
      <c r="C2409" s="374"/>
      <c r="CV2409" s="376"/>
    </row>
    <row r="2410" spans="1:100">
      <c r="A2410" s="374"/>
      <c r="C2410" s="374"/>
      <c r="CV2410" s="376"/>
    </row>
    <row r="2411" spans="1:100">
      <c r="A2411" s="374"/>
      <c r="C2411" s="374"/>
      <c r="CV2411" s="376"/>
    </row>
    <row r="2412" spans="1:100">
      <c r="A2412" s="374"/>
      <c r="C2412" s="374"/>
      <c r="CV2412" s="376"/>
    </row>
    <row r="2413" spans="1:100">
      <c r="A2413" s="374"/>
      <c r="C2413" s="374"/>
      <c r="CV2413" s="376"/>
    </row>
    <row r="2414" spans="1:100">
      <c r="A2414" s="374"/>
      <c r="C2414" s="374"/>
      <c r="CV2414" s="376"/>
    </row>
    <row r="2415" spans="1:100">
      <c r="A2415" s="374"/>
      <c r="C2415" s="374"/>
      <c r="CV2415" s="376"/>
    </row>
    <row r="2416" spans="1:100">
      <c r="A2416" s="374"/>
      <c r="C2416" s="374"/>
      <c r="CV2416" s="376"/>
    </row>
    <row r="2417" spans="1:100">
      <c r="A2417" s="374"/>
      <c r="C2417" s="374"/>
      <c r="CV2417" s="376"/>
    </row>
    <row r="2418" spans="1:100">
      <c r="A2418" s="374"/>
      <c r="C2418" s="374"/>
      <c r="CV2418" s="376"/>
    </row>
    <row r="2419" spans="1:100">
      <c r="A2419" s="374"/>
      <c r="C2419" s="374"/>
      <c r="CV2419" s="376"/>
    </row>
    <row r="2420" spans="1:100">
      <c r="A2420" s="374"/>
      <c r="C2420" s="374"/>
      <c r="CV2420" s="376"/>
    </row>
    <row r="2421" spans="1:100">
      <c r="A2421" s="374"/>
      <c r="C2421" s="374"/>
      <c r="CV2421" s="376"/>
    </row>
    <row r="2422" spans="1:100">
      <c r="A2422" s="374"/>
      <c r="C2422" s="374"/>
      <c r="CV2422" s="376"/>
    </row>
    <row r="2423" spans="1:100">
      <c r="A2423" s="374"/>
      <c r="C2423" s="374"/>
      <c r="CV2423" s="376"/>
    </row>
    <row r="2424" spans="1:100">
      <c r="A2424" s="374"/>
      <c r="C2424" s="374"/>
      <c r="CV2424" s="376"/>
    </row>
    <row r="2425" spans="1:100">
      <c r="A2425" s="374"/>
      <c r="C2425" s="374"/>
      <c r="CV2425" s="376"/>
    </row>
    <row r="2426" spans="1:100">
      <c r="A2426" s="374"/>
      <c r="C2426" s="374"/>
      <c r="CV2426" s="376"/>
    </row>
    <row r="2427" spans="1:100">
      <c r="A2427" s="374"/>
      <c r="C2427" s="374"/>
      <c r="CV2427" s="376"/>
    </row>
    <row r="2428" spans="1:100">
      <c r="A2428" s="374"/>
      <c r="C2428" s="374"/>
      <c r="CV2428" s="376"/>
    </row>
    <row r="2429" spans="1:100">
      <c r="A2429" s="374"/>
      <c r="C2429" s="374"/>
      <c r="CV2429" s="376"/>
    </row>
    <row r="2430" spans="1:100">
      <c r="A2430" s="374"/>
      <c r="C2430" s="374"/>
      <c r="CV2430" s="376"/>
    </row>
    <row r="2431" spans="1:100">
      <c r="A2431" s="374"/>
      <c r="C2431" s="374"/>
      <c r="CV2431" s="376"/>
    </row>
    <row r="2432" spans="1:100">
      <c r="A2432" s="374"/>
      <c r="C2432" s="374"/>
      <c r="CV2432" s="376"/>
    </row>
    <row r="2433" spans="1:100">
      <c r="A2433" s="374"/>
      <c r="C2433" s="374"/>
      <c r="CV2433" s="376"/>
    </row>
    <row r="2434" spans="1:100">
      <c r="A2434" s="374"/>
      <c r="C2434" s="374"/>
      <c r="CV2434" s="376"/>
    </row>
    <row r="2435" spans="1:100">
      <c r="A2435" s="374"/>
      <c r="C2435" s="374"/>
      <c r="CV2435" s="376"/>
    </row>
    <row r="2436" spans="1:100">
      <c r="A2436" s="374"/>
      <c r="C2436" s="374"/>
      <c r="CV2436" s="376"/>
    </row>
    <row r="2437" spans="1:100">
      <c r="A2437" s="374"/>
      <c r="C2437" s="374"/>
      <c r="CV2437" s="376"/>
    </row>
    <row r="2438" spans="1:100">
      <c r="A2438" s="374"/>
      <c r="C2438" s="374"/>
      <c r="CV2438" s="376"/>
    </row>
    <row r="2439" spans="1:100">
      <c r="A2439" s="374"/>
      <c r="C2439" s="374"/>
      <c r="CV2439" s="376"/>
    </row>
    <row r="2440" spans="1:100">
      <c r="A2440" s="374"/>
      <c r="C2440" s="374"/>
      <c r="CV2440" s="376"/>
    </row>
    <row r="2441" spans="1:100">
      <c r="A2441" s="374"/>
      <c r="C2441" s="374"/>
      <c r="CV2441" s="376"/>
    </row>
    <row r="2442" spans="1:100">
      <c r="A2442" s="374"/>
      <c r="C2442" s="374"/>
      <c r="CV2442" s="376"/>
    </row>
    <row r="2443" spans="1:100">
      <c r="A2443" s="374"/>
      <c r="C2443" s="374"/>
      <c r="CV2443" s="376"/>
    </row>
    <row r="2444" spans="1:100">
      <c r="A2444" s="374"/>
      <c r="C2444" s="374"/>
      <c r="CV2444" s="376"/>
    </row>
    <row r="2445" spans="1:100">
      <c r="A2445" s="374"/>
      <c r="C2445" s="374"/>
      <c r="CV2445" s="376"/>
    </row>
    <row r="2446" spans="1:100">
      <c r="A2446" s="374"/>
      <c r="C2446" s="374"/>
      <c r="CV2446" s="376"/>
    </row>
    <row r="2447" spans="1:100">
      <c r="A2447" s="374"/>
      <c r="C2447" s="374"/>
      <c r="CV2447" s="376"/>
    </row>
    <row r="2448" spans="1:100">
      <c r="A2448" s="374"/>
      <c r="C2448" s="374"/>
      <c r="CV2448" s="376"/>
    </row>
    <row r="2449" spans="1:100">
      <c r="A2449" s="374"/>
      <c r="C2449" s="374"/>
      <c r="CV2449" s="376"/>
    </row>
    <row r="2450" spans="1:100">
      <c r="A2450" s="374"/>
      <c r="C2450" s="374"/>
      <c r="CV2450" s="376"/>
    </row>
    <row r="2451" spans="1:100">
      <c r="A2451" s="374"/>
      <c r="C2451" s="374"/>
      <c r="CV2451" s="376"/>
    </row>
    <row r="2452" spans="1:100">
      <c r="A2452" s="374"/>
      <c r="C2452" s="374"/>
      <c r="CV2452" s="376"/>
    </row>
    <row r="2453" spans="1:100">
      <c r="A2453" s="374"/>
      <c r="C2453" s="374"/>
      <c r="CV2453" s="376"/>
    </row>
    <row r="2454" spans="1:100">
      <c r="A2454" s="374"/>
      <c r="C2454" s="374"/>
      <c r="CV2454" s="376"/>
    </row>
    <row r="2455" spans="1:100">
      <c r="A2455" s="374"/>
      <c r="C2455" s="374"/>
      <c r="CV2455" s="376"/>
    </row>
    <row r="2456" spans="1:100">
      <c r="A2456" s="374"/>
      <c r="C2456" s="374"/>
      <c r="CV2456" s="376"/>
    </row>
    <row r="2457" spans="1:100">
      <c r="A2457" s="374"/>
      <c r="C2457" s="374"/>
      <c r="CV2457" s="376"/>
    </row>
    <row r="2458" spans="1:100">
      <c r="A2458" s="374"/>
      <c r="C2458" s="374"/>
      <c r="CV2458" s="376"/>
    </row>
    <row r="2459" spans="1:100">
      <c r="A2459" s="374"/>
      <c r="C2459" s="374"/>
      <c r="CV2459" s="376"/>
    </row>
    <row r="2460" spans="1:100">
      <c r="A2460" s="374"/>
      <c r="C2460" s="374"/>
      <c r="CV2460" s="376"/>
    </row>
    <row r="2461" spans="1:100">
      <c r="A2461" s="374"/>
      <c r="C2461" s="374"/>
      <c r="CV2461" s="376"/>
    </row>
    <row r="2462" spans="1:100">
      <c r="A2462" s="374"/>
      <c r="C2462" s="374"/>
      <c r="CV2462" s="376"/>
    </row>
    <row r="2463" spans="1:100">
      <c r="A2463" s="374"/>
      <c r="C2463" s="374"/>
      <c r="CV2463" s="376"/>
    </row>
    <row r="2464" spans="1:100">
      <c r="A2464" s="374"/>
      <c r="C2464" s="374"/>
      <c r="CV2464" s="376"/>
    </row>
    <row r="2465" spans="1:100">
      <c r="A2465" s="374"/>
      <c r="C2465" s="374"/>
      <c r="CV2465" s="376"/>
    </row>
    <row r="2466" spans="1:100">
      <c r="A2466" s="374"/>
      <c r="C2466" s="374"/>
      <c r="CV2466" s="376"/>
    </row>
    <row r="2467" spans="1:100">
      <c r="A2467" s="374"/>
      <c r="C2467" s="374"/>
      <c r="CV2467" s="376"/>
    </row>
    <row r="2468" spans="1:100">
      <c r="A2468" s="374"/>
      <c r="C2468" s="374"/>
      <c r="CV2468" s="376"/>
    </row>
    <row r="2469" spans="1:100">
      <c r="A2469" s="374"/>
      <c r="C2469" s="374"/>
      <c r="CV2469" s="376"/>
    </row>
    <row r="2470" spans="1:100">
      <c r="A2470" s="374"/>
      <c r="C2470" s="374"/>
      <c r="CV2470" s="376"/>
    </row>
    <row r="2471" spans="1:100">
      <c r="A2471" s="374"/>
      <c r="C2471" s="374"/>
      <c r="CV2471" s="376"/>
    </row>
    <row r="2472" spans="1:100">
      <c r="A2472" s="374"/>
      <c r="C2472" s="374"/>
      <c r="CV2472" s="376"/>
    </row>
    <row r="2473" spans="1:100">
      <c r="A2473" s="374"/>
      <c r="C2473" s="374"/>
      <c r="CV2473" s="376"/>
    </row>
    <row r="2474" spans="1:100">
      <c r="A2474" s="374"/>
      <c r="C2474" s="374"/>
      <c r="CV2474" s="376"/>
    </row>
    <row r="2475" spans="1:100">
      <c r="A2475" s="374"/>
      <c r="C2475" s="374"/>
      <c r="CV2475" s="376"/>
    </row>
    <row r="2476" spans="1:100">
      <c r="A2476" s="374"/>
      <c r="C2476" s="374"/>
      <c r="CV2476" s="376"/>
    </row>
    <row r="2477" spans="1:100">
      <c r="A2477" s="374"/>
      <c r="C2477" s="374"/>
      <c r="CV2477" s="376"/>
    </row>
    <row r="2478" spans="1:100">
      <c r="A2478" s="374"/>
      <c r="C2478" s="374"/>
      <c r="CV2478" s="376"/>
    </row>
    <row r="2479" spans="1:100">
      <c r="A2479" s="374"/>
      <c r="C2479" s="374"/>
      <c r="CV2479" s="376"/>
    </row>
    <row r="2480" spans="1:100">
      <c r="A2480" s="374"/>
      <c r="C2480" s="374"/>
      <c r="CV2480" s="376"/>
    </row>
    <row r="2481" spans="1:100">
      <c r="A2481" s="374"/>
      <c r="C2481" s="374"/>
      <c r="CV2481" s="376"/>
    </row>
    <row r="2482" spans="1:100">
      <c r="A2482" s="374"/>
      <c r="C2482" s="374"/>
      <c r="CV2482" s="376"/>
    </row>
    <row r="2483" spans="1:100">
      <c r="A2483" s="374"/>
      <c r="C2483" s="374"/>
      <c r="CV2483" s="376"/>
    </row>
    <row r="2484" spans="1:100">
      <c r="A2484" s="374"/>
      <c r="C2484" s="374"/>
      <c r="CV2484" s="376"/>
    </row>
    <row r="2485" spans="1:100">
      <c r="A2485" s="374"/>
      <c r="C2485" s="374"/>
      <c r="CV2485" s="376"/>
    </row>
    <row r="2486" spans="1:100">
      <c r="A2486" s="374"/>
      <c r="C2486" s="374"/>
      <c r="CV2486" s="376"/>
    </row>
    <row r="2487" spans="1:100">
      <c r="A2487" s="374"/>
      <c r="C2487" s="374"/>
      <c r="CV2487" s="376"/>
    </row>
    <row r="2488" spans="1:100">
      <c r="A2488" s="374"/>
      <c r="C2488" s="374"/>
      <c r="CV2488" s="376"/>
    </row>
    <row r="2489" spans="1:100">
      <c r="A2489" s="374"/>
      <c r="C2489" s="374"/>
      <c r="CV2489" s="376"/>
    </row>
    <row r="2490" spans="1:100">
      <c r="A2490" s="374"/>
      <c r="C2490" s="374"/>
      <c r="CV2490" s="376"/>
    </row>
    <row r="2491" spans="1:100">
      <c r="A2491" s="374"/>
      <c r="C2491" s="374"/>
      <c r="CV2491" s="376"/>
    </row>
    <row r="2492" spans="1:100">
      <c r="A2492" s="374"/>
      <c r="C2492" s="374"/>
      <c r="CV2492" s="376"/>
    </row>
    <row r="2493" spans="1:100">
      <c r="A2493" s="374"/>
      <c r="C2493" s="374"/>
      <c r="CV2493" s="376"/>
    </row>
    <row r="2494" spans="1:100">
      <c r="A2494" s="374"/>
      <c r="C2494" s="374"/>
      <c r="CV2494" s="376"/>
    </row>
    <row r="2495" spans="1:100">
      <c r="A2495" s="374"/>
      <c r="C2495" s="374"/>
      <c r="CV2495" s="376"/>
    </row>
    <row r="2496" spans="1:100">
      <c r="A2496" s="374"/>
      <c r="C2496" s="374"/>
      <c r="CV2496" s="376"/>
    </row>
    <row r="2497" spans="1:100">
      <c r="A2497" s="374"/>
      <c r="C2497" s="374"/>
      <c r="CV2497" s="376"/>
    </row>
    <row r="2498" spans="1:100">
      <c r="A2498" s="374"/>
      <c r="C2498" s="374"/>
      <c r="CV2498" s="376"/>
    </row>
    <row r="2499" spans="1:100">
      <c r="A2499" s="374"/>
      <c r="C2499" s="374"/>
      <c r="CV2499" s="376"/>
    </row>
    <row r="2500" spans="1:100">
      <c r="A2500" s="374"/>
      <c r="C2500" s="374"/>
      <c r="CV2500" s="376"/>
    </row>
    <row r="2501" spans="1:100">
      <c r="A2501" s="374"/>
      <c r="C2501" s="374"/>
      <c r="CV2501" s="376"/>
    </row>
    <row r="2502" spans="1:100">
      <c r="A2502" s="374"/>
      <c r="C2502" s="374"/>
      <c r="CV2502" s="376"/>
    </row>
    <row r="2503" spans="1:100">
      <c r="A2503" s="374"/>
      <c r="C2503" s="374"/>
      <c r="CV2503" s="376"/>
    </row>
    <row r="2504" spans="1:100">
      <c r="A2504" s="374"/>
      <c r="C2504" s="374"/>
      <c r="CV2504" s="376"/>
    </row>
    <row r="2505" spans="1:100">
      <c r="A2505" s="374"/>
      <c r="C2505" s="374"/>
      <c r="CV2505" s="376"/>
    </row>
    <row r="2506" spans="1:100">
      <c r="A2506" s="374"/>
      <c r="C2506" s="374"/>
      <c r="CV2506" s="376"/>
    </row>
    <row r="2507" spans="1:100">
      <c r="A2507" s="374"/>
      <c r="C2507" s="374"/>
      <c r="CV2507" s="376"/>
    </row>
    <row r="2508" spans="1:100">
      <c r="A2508" s="374"/>
      <c r="C2508" s="374"/>
      <c r="CV2508" s="376"/>
    </row>
    <row r="2509" spans="1:100">
      <c r="A2509" s="374"/>
      <c r="C2509" s="374"/>
      <c r="CV2509" s="376"/>
    </row>
    <row r="2510" spans="1:100">
      <c r="A2510" s="374"/>
      <c r="C2510" s="374"/>
      <c r="CV2510" s="376"/>
    </row>
    <row r="2511" spans="1:100">
      <c r="A2511" s="374"/>
      <c r="C2511" s="374"/>
      <c r="CV2511" s="376"/>
    </row>
    <row r="2512" spans="1:100">
      <c r="A2512" s="374"/>
      <c r="C2512" s="374"/>
      <c r="CV2512" s="376"/>
    </row>
    <row r="2513" spans="1:100">
      <c r="A2513" s="374"/>
      <c r="C2513" s="374"/>
      <c r="CV2513" s="376"/>
    </row>
    <row r="2514" spans="1:100">
      <c r="A2514" s="374"/>
      <c r="C2514" s="374"/>
      <c r="CV2514" s="376"/>
    </row>
    <row r="2515" spans="1:100">
      <c r="A2515" s="374"/>
      <c r="C2515" s="374"/>
      <c r="CV2515" s="376"/>
    </row>
    <row r="2516" spans="1:100">
      <c r="A2516" s="374"/>
      <c r="C2516" s="374"/>
      <c r="CV2516" s="376"/>
    </row>
    <row r="2517" spans="1:100">
      <c r="A2517" s="374"/>
      <c r="C2517" s="374"/>
      <c r="CV2517" s="376"/>
    </row>
    <row r="2518" spans="1:100">
      <c r="A2518" s="374"/>
      <c r="C2518" s="374"/>
      <c r="CV2518" s="376"/>
    </row>
    <row r="2519" spans="1:100">
      <c r="A2519" s="374"/>
      <c r="C2519" s="374"/>
      <c r="CV2519" s="376"/>
    </row>
    <row r="2520" spans="1:100">
      <c r="A2520" s="374"/>
      <c r="C2520" s="374"/>
      <c r="CV2520" s="376"/>
    </row>
    <row r="2521" spans="1:100">
      <c r="A2521" s="374"/>
      <c r="C2521" s="374"/>
      <c r="CV2521" s="376"/>
    </row>
    <row r="2522" spans="1:100">
      <c r="A2522" s="374"/>
      <c r="C2522" s="374"/>
      <c r="CV2522" s="376"/>
    </row>
    <row r="2523" spans="1:100">
      <c r="A2523" s="374"/>
      <c r="C2523" s="374"/>
      <c r="CV2523" s="376"/>
    </row>
    <row r="2524" spans="1:100">
      <c r="A2524" s="374"/>
      <c r="C2524" s="374"/>
      <c r="CV2524" s="376"/>
    </row>
    <row r="2525" spans="1:100">
      <c r="A2525" s="374"/>
      <c r="C2525" s="374"/>
      <c r="CV2525" s="376"/>
    </row>
    <row r="2526" spans="1:100">
      <c r="A2526" s="374"/>
      <c r="C2526" s="374"/>
      <c r="CV2526" s="376"/>
    </row>
    <row r="2527" spans="1:100">
      <c r="A2527" s="374"/>
      <c r="C2527" s="374"/>
      <c r="CV2527" s="376"/>
    </row>
    <row r="2528" spans="1:100">
      <c r="A2528" s="374"/>
      <c r="C2528" s="374"/>
      <c r="CV2528" s="376"/>
    </row>
    <row r="2529" spans="1:100">
      <c r="A2529" s="374"/>
      <c r="C2529" s="374"/>
      <c r="CV2529" s="376"/>
    </row>
    <row r="2530" spans="1:100">
      <c r="A2530" s="374"/>
      <c r="C2530" s="374"/>
      <c r="CV2530" s="376"/>
    </row>
    <row r="2531" spans="1:100">
      <c r="A2531" s="374"/>
      <c r="C2531" s="374"/>
      <c r="CV2531" s="376"/>
    </row>
    <row r="2532" spans="1:100">
      <c r="A2532" s="374"/>
      <c r="C2532" s="374"/>
      <c r="CV2532" s="376"/>
    </row>
    <row r="2533" spans="1:100">
      <c r="A2533" s="374"/>
      <c r="C2533" s="374"/>
      <c r="CV2533" s="376"/>
    </row>
    <row r="2534" spans="1:100">
      <c r="A2534" s="374"/>
      <c r="C2534" s="374"/>
      <c r="CV2534" s="376"/>
    </row>
    <row r="2535" spans="1:100">
      <c r="A2535" s="374"/>
      <c r="C2535" s="374"/>
      <c r="CV2535" s="376"/>
    </row>
    <row r="2536" spans="1:100">
      <c r="A2536" s="374"/>
      <c r="C2536" s="374"/>
      <c r="CV2536" s="376"/>
    </row>
    <row r="2537" spans="1:100">
      <c r="A2537" s="374"/>
      <c r="C2537" s="374"/>
      <c r="CV2537" s="376"/>
    </row>
    <row r="2538" spans="1:100">
      <c r="A2538" s="374"/>
      <c r="C2538" s="374"/>
      <c r="CV2538" s="376"/>
    </row>
    <row r="2539" spans="1:100">
      <c r="A2539" s="374"/>
      <c r="C2539" s="374"/>
      <c r="CV2539" s="376"/>
    </row>
    <row r="2540" spans="1:100">
      <c r="A2540" s="374"/>
      <c r="C2540" s="374"/>
      <c r="CV2540" s="376"/>
    </row>
    <row r="2541" spans="1:100">
      <c r="A2541" s="374"/>
      <c r="C2541" s="374"/>
      <c r="CV2541" s="376"/>
    </row>
    <row r="2542" spans="1:100">
      <c r="A2542" s="374"/>
      <c r="C2542" s="374"/>
      <c r="CV2542" s="376"/>
    </row>
    <row r="2543" spans="1:100">
      <c r="A2543" s="374"/>
      <c r="C2543" s="374"/>
      <c r="CV2543" s="376"/>
    </row>
    <row r="2544" spans="1:100">
      <c r="A2544" s="374"/>
      <c r="C2544" s="374"/>
      <c r="CV2544" s="376"/>
    </row>
    <row r="2545" spans="1:100">
      <c r="A2545" s="374"/>
      <c r="C2545" s="374"/>
      <c r="CV2545" s="376"/>
    </row>
    <row r="2546" spans="1:100">
      <c r="A2546" s="374"/>
      <c r="C2546" s="374"/>
      <c r="CV2546" s="376"/>
    </row>
    <row r="2547" spans="1:100">
      <c r="A2547" s="374"/>
      <c r="C2547" s="374"/>
      <c r="CV2547" s="376"/>
    </row>
    <row r="2548" spans="1:100">
      <c r="A2548" s="374"/>
      <c r="C2548" s="374"/>
      <c r="CV2548" s="376"/>
    </row>
    <row r="2549" spans="1:100">
      <c r="A2549" s="374"/>
      <c r="C2549" s="374"/>
      <c r="CV2549" s="376"/>
    </row>
    <row r="2550" spans="1:100">
      <c r="A2550" s="374"/>
      <c r="C2550" s="374"/>
      <c r="CV2550" s="376"/>
    </row>
    <row r="2551" spans="1:100">
      <c r="A2551" s="374"/>
      <c r="C2551" s="374"/>
      <c r="CV2551" s="376"/>
    </row>
    <row r="2552" spans="1:100">
      <c r="A2552" s="374"/>
      <c r="C2552" s="374"/>
      <c r="CV2552" s="376"/>
    </row>
    <row r="2553" spans="1:100">
      <c r="A2553" s="374"/>
      <c r="C2553" s="374"/>
      <c r="CV2553" s="376"/>
    </row>
    <row r="2554" spans="1:100">
      <c r="A2554" s="374"/>
      <c r="C2554" s="374"/>
      <c r="CV2554" s="376"/>
    </row>
    <row r="2555" spans="1:100">
      <c r="A2555" s="374"/>
      <c r="C2555" s="374"/>
      <c r="CV2555" s="376"/>
    </row>
    <row r="2556" spans="1:100">
      <c r="A2556" s="374"/>
      <c r="C2556" s="374"/>
      <c r="CV2556" s="376"/>
    </row>
    <row r="2557" spans="1:100">
      <c r="A2557" s="374"/>
      <c r="C2557" s="374"/>
      <c r="CV2557" s="376"/>
    </row>
    <row r="2558" spans="1:100">
      <c r="A2558" s="374"/>
      <c r="C2558" s="374"/>
      <c r="CV2558" s="376"/>
    </row>
    <row r="2559" spans="1:100">
      <c r="A2559" s="374"/>
      <c r="C2559" s="374"/>
      <c r="CV2559" s="376"/>
    </row>
    <row r="2560" spans="1:100">
      <c r="A2560" s="374"/>
      <c r="C2560" s="374"/>
      <c r="CV2560" s="376"/>
    </row>
    <row r="2561" spans="1:100">
      <c r="A2561" s="374"/>
      <c r="C2561" s="374"/>
      <c r="CV2561" s="376"/>
    </row>
    <row r="2562" spans="1:100">
      <c r="A2562" s="374"/>
      <c r="C2562" s="374"/>
      <c r="CV2562" s="376"/>
    </row>
    <row r="2563" spans="1:100">
      <c r="A2563" s="374"/>
      <c r="C2563" s="374"/>
      <c r="CV2563" s="376"/>
    </row>
    <row r="2564" spans="1:100">
      <c r="A2564" s="374"/>
      <c r="C2564" s="374"/>
      <c r="CV2564" s="376"/>
    </row>
    <row r="2565" spans="1:100">
      <c r="A2565" s="374"/>
      <c r="C2565" s="374"/>
      <c r="CV2565" s="376"/>
    </row>
    <row r="2566" spans="1:100">
      <c r="A2566" s="374"/>
      <c r="C2566" s="374"/>
      <c r="CV2566" s="376"/>
    </row>
    <row r="2567" spans="1:100">
      <c r="A2567" s="374"/>
      <c r="C2567" s="374"/>
      <c r="CV2567" s="376"/>
    </row>
    <row r="2568" spans="1:100">
      <c r="A2568" s="374"/>
      <c r="C2568" s="374"/>
      <c r="CV2568" s="376"/>
    </row>
    <row r="2569" spans="1:100">
      <c r="A2569" s="374"/>
      <c r="C2569" s="374"/>
      <c r="CV2569" s="376"/>
    </row>
    <row r="2570" spans="1:100">
      <c r="A2570" s="374"/>
      <c r="C2570" s="374"/>
      <c r="CV2570" s="376"/>
    </row>
    <row r="2571" spans="1:100">
      <c r="A2571" s="374"/>
      <c r="C2571" s="374"/>
      <c r="CV2571" s="376"/>
    </row>
    <row r="2572" spans="1:100">
      <c r="A2572" s="374"/>
      <c r="C2572" s="374"/>
      <c r="CV2572" s="376"/>
    </row>
    <row r="2573" spans="1:100">
      <c r="A2573" s="374"/>
      <c r="C2573" s="374"/>
      <c r="CV2573" s="376"/>
    </row>
    <row r="2574" spans="1:100">
      <c r="A2574" s="374"/>
      <c r="C2574" s="374"/>
      <c r="CV2574" s="376"/>
    </row>
    <row r="2575" spans="1:100">
      <c r="A2575" s="374"/>
      <c r="C2575" s="374"/>
      <c r="CV2575" s="376"/>
    </row>
    <row r="2576" spans="1:100">
      <c r="A2576" s="374"/>
      <c r="C2576" s="374"/>
      <c r="CV2576" s="376"/>
    </row>
    <row r="2577" spans="1:100">
      <c r="A2577" s="374"/>
      <c r="C2577" s="374"/>
      <c r="CV2577" s="376"/>
    </row>
    <row r="2578" spans="1:100">
      <c r="A2578" s="374"/>
      <c r="C2578" s="374"/>
      <c r="CV2578" s="376"/>
    </row>
    <row r="2579" spans="1:100">
      <c r="A2579" s="374"/>
      <c r="C2579" s="374"/>
      <c r="CV2579" s="376"/>
    </row>
    <row r="2580" spans="1:100">
      <c r="A2580" s="374"/>
      <c r="C2580" s="374"/>
      <c r="CV2580" s="376"/>
    </row>
    <row r="2581" spans="1:100">
      <c r="A2581" s="374"/>
      <c r="C2581" s="374"/>
      <c r="CV2581" s="376"/>
    </row>
    <row r="2582" spans="1:100">
      <c r="A2582" s="374"/>
      <c r="C2582" s="374"/>
      <c r="CV2582" s="376"/>
    </row>
    <row r="2583" spans="1:100">
      <c r="A2583" s="374"/>
      <c r="C2583" s="374"/>
      <c r="CV2583" s="376"/>
    </row>
    <row r="2584" spans="1:100">
      <c r="A2584" s="374"/>
      <c r="C2584" s="374"/>
      <c r="CV2584" s="376"/>
    </row>
    <row r="2585" spans="1:100">
      <c r="A2585" s="374"/>
      <c r="C2585" s="374"/>
      <c r="CV2585" s="376"/>
    </row>
    <row r="2586" spans="1:100">
      <c r="A2586" s="374"/>
      <c r="C2586" s="374"/>
      <c r="CV2586" s="376"/>
    </row>
    <row r="2587" spans="1:100">
      <c r="A2587" s="374"/>
      <c r="C2587" s="374"/>
      <c r="CV2587" s="376"/>
    </row>
    <row r="2588" spans="1:100">
      <c r="A2588" s="374"/>
      <c r="C2588" s="374"/>
      <c r="CV2588" s="376"/>
    </row>
    <row r="2589" spans="1:100">
      <c r="A2589" s="374"/>
      <c r="C2589" s="374"/>
      <c r="CV2589" s="376"/>
    </row>
    <row r="2590" spans="1:100">
      <c r="A2590" s="374"/>
      <c r="C2590" s="374"/>
      <c r="CV2590" s="376"/>
    </row>
    <row r="2591" spans="1:100">
      <c r="A2591" s="374"/>
      <c r="C2591" s="374"/>
      <c r="CV2591" s="376"/>
    </row>
    <row r="2592" spans="1:100">
      <c r="A2592" s="374"/>
      <c r="C2592" s="374"/>
      <c r="CV2592" s="376"/>
    </row>
    <row r="2593" spans="1:100">
      <c r="A2593" s="374"/>
      <c r="C2593" s="374"/>
      <c r="CV2593" s="376"/>
    </row>
    <row r="2594" spans="1:100">
      <c r="A2594" s="374"/>
      <c r="C2594" s="374"/>
      <c r="CV2594" s="376"/>
    </row>
    <row r="2595" spans="1:100">
      <c r="A2595" s="374"/>
      <c r="C2595" s="374"/>
      <c r="CV2595" s="376"/>
    </row>
    <row r="2596" spans="1:100">
      <c r="A2596" s="374"/>
      <c r="C2596" s="374"/>
      <c r="CV2596" s="376"/>
    </row>
    <row r="2597" spans="1:100">
      <c r="A2597" s="374"/>
      <c r="C2597" s="374"/>
      <c r="CV2597" s="376"/>
    </row>
    <row r="2598" spans="1:100">
      <c r="A2598" s="374"/>
      <c r="C2598" s="374"/>
      <c r="CV2598" s="376"/>
    </row>
    <row r="2599" spans="1:100">
      <c r="A2599" s="374"/>
      <c r="C2599" s="374"/>
      <c r="CV2599" s="376"/>
    </row>
    <row r="2600" spans="1:100">
      <c r="A2600" s="374"/>
      <c r="C2600" s="374"/>
      <c r="CV2600" s="376"/>
    </row>
    <row r="2601" spans="1:100">
      <c r="A2601" s="374"/>
      <c r="C2601" s="374"/>
      <c r="CV2601" s="376"/>
    </row>
    <row r="2602" spans="1:100">
      <c r="A2602" s="374"/>
      <c r="C2602" s="374"/>
      <c r="CV2602" s="376"/>
    </row>
    <row r="2603" spans="1:100">
      <c r="A2603" s="374"/>
      <c r="C2603" s="374"/>
      <c r="CV2603" s="376"/>
    </row>
    <row r="2604" spans="1:100">
      <c r="A2604" s="374"/>
      <c r="C2604" s="374"/>
      <c r="CV2604" s="376"/>
    </row>
    <row r="2605" spans="1:100">
      <c r="A2605" s="374"/>
      <c r="C2605" s="374"/>
      <c r="CV2605" s="376"/>
    </row>
    <row r="2606" spans="1:100">
      <c r="A2606" s="374"/>
      <c r="C2606" s="374"/>
      <c r="CV2606" s="376"/>
    </row>
    <row r="2607" spans="1:100">
      <c r="A2607" s="374"/>
      <c r="C2607" s="374"/>
      <c r="CV2607" s="376"/>
    </row>
    <row r="2608" spans="1:100">
      <c r="A2608" s="374"/>
      <c r="C2608" s="374"/>
      <c r="CV2608" s="376"/>
    </row>
    <row r="2609" spans="1:100">
      <c r="A2609" s="374"/>
      <c r="C2609" s="374"/>
      <c r="CV2609" s="376"/>
    </row>
    <row r="2610" spans="1:100">
      <c r="A2610" s="374"/>
      <c r="C2610" s="374"/>
      <c r="CV2610" s="376"/>
    </row>
    <row r="2611" spans="1:100">
      <c r="A2611" s="374"/>
      <c r="C2611" s="374"/>
      <c r="CV2611" s="376"/>
    </row>
    <row r="2612" spans="1:100">
      <c r="A2612" s="374"/>
      <c r="C2612" s="374"/>
      <c r="CV2612" s="376"/>
    </row>
    <row r="2613" spans="1:100">
      <c r="A2613" s="374"/>
      <c r="C2613" s="374"/>
      <c r="CV2613" s="376"/>
    </row>
    <row r="2614" spans="1:100">
      <c r="A2614" s="374"/>
      <c r="C2614" s="374"/>
      <c r="CV2614" s="376"/>
    </row>
    <row r="2615" spans="1:100">
      <c r="A2615" s="374"/>
      <c r="C2615" s="374"/>
      <c r="CV2615" s="376"/>
    </row>
    <row r="2616" spans="1:100">
      <c r="A2616" s="374"/>
      <c r="C2616" s="374"/>
      <c r="CV2616" s="376"/>
    </row>
    <row r="2617" spans="1:100">
      <c r="A2617" s="374"/>
      <c r="C2617" s="374"/>
      <c r="CV2617" s="376"/>
    </row>
    <row r="2618" spans="1:100">
      <c r="A2618" s="374"/>
      <c r="C2618" s="374"/>
      <c r="CV2618" s="376"/>
    </row>
    <row r="2619" spans="1:100">
      <c r="A2619" s="374"/>
      <c r="C2619" s="374"/>
      <c r="CV2619" s="376"/>
    </row>
    <row r="2620" spans="1:100">
      <c r="A2620" s="374"/>
      <c r="C2620" s="374"/>
      <c r="CV2620" s="376"/>
    </row>
    <row r="2621" spans="1:100">
      <c r="A2621" s="374"/>
      <c r="C2621" s="374"/>
      <c r="CV2621" s="376"/>
    </row>
    <row r="2622" spans="1:100">
      <c r="A2622" s="374"/>
      <c r="C2622" s="374"/>
      <c r="CV2622" s="376"/>
    </row>
    <row r="2623" spans="1:100">
      <c r="A2623" s="374"/>
      <c r="C2623" s="374"/>
      <c r="CV2623" s="376"/>
    </row>
    <row r="2624" spans="1:100">
      <c r="A2624" s="374"/>
      <c r="C2624" s="374"/>
      <c r="CV2624" s="376"/>
    </row>
    <row r="2625" spans="1:100">
      <c r="A2625" s="374"/>
      <c r="C2625" s="374"/>
      <c r="CV2625" s="376"/>
    </row>
    <row r="2626" spans="1:100">
      <c r="A2626" s="374"/>
      <c r="C2626" s="374"/>
      <c r="CV2626" s="376"/>
    </row>
    <row r="2627" spans="1:100">
      <c r="A2627" s="374"/>
      <c r="C2627" s="374"/>
      <c r="CV2627" s="376"/>
    </row>
    <row r="2628" spans="1:100">
      <c r="A2628" s="374"/>
      <c r="C2628" s="374"/>
      <c r="CV2628" s="376"/>
    </row>
    <row r="2629" spans="1:100">
      <c r="A2629" s="374"/>
      <c r="C2629" s="374"/>
      <c r="CV2629" s="376"/>
    </row>
    <row r="2630" spans="1:100">
      <c r="A2630" s="374"/>
      <c r="C2630" s="374"/>
      <c r="CV2630" s="376"/>
    </row>
    <row r="2631" spans="1:100">
      <c r="A2631" s="374"/>
      <c r="C2631" s="374"/>
      <c r="CV2631" s="376"/>
    </row>
    <row r="2632" spans="1:100">
      <c r="A2632" s="374"/>
      <c r="C2632" s="374"/>
      <c r="CV2632" s="376"/>
    </row>
    <row r="2633" spans="1:100">
      <c r="A2633" s="374"/>
      <c r="C2633" s="374"/>
      <c r="CV2633" s="376"/>
    </row>
    <row r="2634" spans="1:100">
      <c r="A2634" s="374"/>
      <c r="C2634" s="374"/>
      <c r="CV2634" s="376"/>
    </row>
    <row r="2635" spans="1:100">
      <c r="A2635" s="374"/>
      <c r="C2635" s="374"/>
      <c r="CV2635" s="376"/>
    </row>
    <row r="2636" spans="1:100">
      <c r="A2636" s="374"/>
      <c r="C2636" s="374"/>
      <c r="CV2636" s="376"/>
    </row>
    <row r="2637" spans="1:100">
      <c r="A2637" s="374"/>
      <c r="C2637" s="374"/>
      <c r="CV2637" s="376"/>
    </row>
    <row r="2638" spans="1:100">
      <c r="A2638" s="374"/>
      <c r="C2638" s="374"/>
      <c r="CV2638" s="376"/>
    </row>
    <row r="2639" spans="1:100">
      <c r="A2639" s="374"/>
      <c r="C2639" s="374"/>
      <c r="CV2639" s="376"/>
    </row>
    <row r="2640" spans="1:100">
      <c r="A2640" s="374"/>
      <c r="C2640" s="374"/>
      <c r="CV2640" s="376"/>
    </row>
    <row r="2641" spans="1:100">
      <c r="A2641" s="374"/>
      <c r="C2641" s="374"/>
      <c r="CV2641" s="376"/>
    </row>
    <row r="2642" spans="1:100">
      <c r="A2642" s="374"/>
      <c r="C2642" s="374"/>
      <c r="CV2642" s="376"/>
    </row>
    <row r="2643" spans="1:100">
      <c r="A2643" s="374"/>
      <c r="C2643" s="374"/>
      <c r="CV2643" s="376"/>
    </row>
    <row r="2644" spans="1:100">
      <c r="A2644" s="374"/>
      <c r="C2644" s="374"/>
      <c r="CV2644" s="376"/>
    </row>
    <row r="2645" spans="1:100">
      <c r="A2645" s="374"/>
      <c r="C2645" s="374"/>
      <c r="CV2645" s="376"/>
    </row>
    <row r="2646" spans="1:100">
      <c r="A2646" s="374"/>
      <c r="C2646" s="374"/>
      <c r="CV2646" s="376"/>
    </row>
    <row r="2647" spans="1:100">
      <c r="A2647" s="374"/>
      <c r="C2647" s="374"/>
      <c r="CV2647" s="376"/>
    </row>
    <row r="2648" spans="1:100">
      <c r="A2648" s="374"/>
      <c r="C2648" s="374"/>
      <c r="CV2648" s="376"/>
    </row>
    <row r="2649" spans="1:100">
      <c r="A2649" s="374"/>
      <c r="C2649" s="374"/>
      <c r="CV2649" s="376"/>
    </row>
    <row r="2650" spans="1:100">
      <c r="A2650" s="374"/>
      <c r="C2650" s="374"/>
      <c r="CV2650" s="376"/>
    </row>
    <row r="2651" spans="1:100">
      <c r="A2651" s="374"/>
      <c r="C2651" s="374"/>
      <c r="CV2651" s="376"/>
    </row>
    <row r="2652" spans="1:100">
      <c r="A2652" s="374"/>
      <c r="C2652" s="374"/>
      <c r="CV2652" s="376"/>
    </row>
    <row r="2653" spans="1:100">
      <c r="A2653" s="374"/>
      <c r="C2653" s="374"/>
      <c r="CV2653" s="376"/>
    </row>
    <row r="2654" spans="1:100">
      <c r="A2654" s="374"/>
      <c r="C2654" s="374"/>
      <c r="CV2654" s="376"/>
    </row>
    <row r="2655" spans="1:100">
      <c r="A2655" s="374"/>
      <c r="C2655" s="374"/>
      <c r="CV2655" s="376"/>
    </row>
    <row r="2656" spans="1:100">
      <c r="A2656" s="374"/>
      <c r="C2656" s="374"/>
      <c r="CV2656" s="376"/>
    </row>
    <row r="2657" spans="1:100">
      <c r="A2657" s="374"/>
      <c r="C2657" s="374"/>
      <c r="CV2657" s="376"/>
    </row>
    <row r="2658" spans="1:100">
      <c r="A2658" s="374"/>
      <c r="C2658" s="374"/>
      <c r="CV2658" s="376"/>
    </row>
    <row r="2659" spans="1:100">
      <c r="A2659" s="374"/>
      <c r="C2659" s="374"/>
      <c r="CV2659" s="376"/>
    </row>
    <row r="2660" spans="1:100">
      <c r="A2660" s="374"/>
      <c r="C2660" s="374"/>
      <c r="CV2660" s="376"/>
    </row>
    <row r="2661" spans="1:100">
      <c r="A2661" s="374"/>
      <c r="C2661" s="374"/>
      <c r="CV2661" s="376"/>
    </row>
    <row r="2662" spans="1:100">
      <c r="A2662" s="374"/>
      <c r="C2662" s="374"/>
      <c r="CV2662" s="376"/>
    </row>
    <row r="2663" spans="1:100">
      <c r="A2663" s="374"/>
      <c r="C2663" s="374"/>
      <c r="CV2663" s="376"/>
    </row>
    <row r="2664" spans="1:100">
      <c r="A2664" s="374"/>
      <c r="C2664" s="374"/>
      <c r="CV2664" s="376"/>
    </row>
    <row r="2665" spans="1:100">
      <c r="A2665" s="374"/>
      <c r="C2665" s="374"/>
      <c r="CV2665" s="376"/>
    </row>
    <row r="2666" spans="1:100">
      <c r="A2666" s="374"/>
      <c r="C2666" s="374"/>
      <c r="CV2666" s="376"/>
    </row>
    <row r="2667" spans="1:100">
      <c r="A2667" s="374"/>
      <c r="C2667" s="374"/>
      <c r="CV2667" s="376"/>
    </row>
    <row r="2668" spans="1:100">
      <c r="A2668" s="374"/>
      <c r="C2668" s="374"/>
      <c r="CV2668" s="376"/>
    </row>
    <row r="2669" spans="1:100">
      <c r="A2669" s="374"/>
      <c r="C2669" s="374"/>
      <c r="CV2669" s="376"/>
    </row>
    <row r="2670" spans="1:100">
      <c r="A2670" s="374"/>
      <c r="C2670" s="374"/>
      <c r="CV2670" s="376"/>
    </row>
    <row r="2671" spans="1:100">
      <c r="A2671" s="374"/>
      <c r="C2671" s="374"/>
      <c r="CV2671" s="376"/>
    </row>
    <row r="2672" spans="1:100">
      <c r="A2672" s="374"/>
      <c r="C2672" s="374"/>
      <c r="CV2672" s="376"/>
    </row>
    <row r="2673" spans="1:100">
      <c r="A2673" s="374"/>
      <c r="C2673" s="374"/>
      <c r="CV2673" s="376"/>
    </row>
    <row r="2674" spans="1:100">
      <c r="A2674" s="374"/>
      <c r="C2674" s="374"/>
      <c r="CV2674" s="376"/>
    </row>
    <row r="2675" spans="1:100">
      <c r="A2675" s="374"/>
      <c r="C2675" s="374"/>
      <c r="CV2675" s="376"/>
    </row>
    <row r="2676" spans="1:100">
      <c r="A2676" s="374"/>
      <c r="C2676" s="374"/>
      <c r="CV2676" s="376"/>
    </row>
    <row r="2677" spans="1:100">
      <c r="A2677" s="374"/>
      <c r="C2677" s="374"/>
      <c r="CV2677" s="376"/>
    </row>
    <row r="2678" spans="1:100">
      <c r="A2678" s="374"/>
      <c r="C2678" s="374"/>
      <c r="CV2678" s="376"/>
    </row>
    <row r="2679" spans="1:100">
      <c r="A2679" s="374"/>
      <c r="C2679" s="374"/>
      <c r="CV2679" s="376"/>
    </row>
    <row r="2680" spans="1:100">
      <c r="A2680" s="374"/>
      <c r="C2680" s="374"/>
      <c r="CV2680" s="376"/>
    </row>
    <row r="2681" spans="1:100">
      <c r="A2681" s="374"/>
      <c r="C2681" s="374"/>
      <c r="CV2681" s="376"/>
    </row>
    <row r="2682" spans="1:100">
      <c r="A2682" s="374"/>
      <c r="C2682" s="374"/>
      <c r="CV2682" s="376"/>
    </row>
    <row r="2683" spans="1:100">
      <c r="A2683" s="374"/>
      <c r="C2683" s="374"/>
      <c r="CV2683" s="376"/>
    </row>
    <row r="2684" spans="1:100">
      <c r="A2684" s="374"/>
      <c r="C2684" s="374"/>
      <c r="CV2684" s="376"/>
    </row>
    <row r="2685" spans="1:100">
      <c r="A2685" s="374"/>
      <c r="C2685" s="374"/>
      <c r="CV2685" s="376"/>
    </row>
    <row r="2686" spans="1:100">
      <c r="A2686" s="374"/>
      <c r="C2686" s="374"/>
      <c r="CV2686" s="376"/>
    </row>
    <row r="2687" spans="1:100">
      <c r="A2687" s="374"/>
      <c r="C2687" s="374"/>
      <c r="CV2687" s="376"/>
    </row>
    <row r="2688" spans="1:100">
      <c r="A2688" s="374"/>
      <c r="C2688" s="374"/>
      <c r="CV2688" s="376"/>
    </row>
    <row r="2689" spans="1:100">
      <c r="A2689" s="374"/>
      <c r="C2689" s="374"/>
      <c r="CV2689" s="376"/>
    </row>
    <row r="2690" spans="1:100">
      <c r="A2690" s="374"/>
      <c r="C2690" s="374"/>
      <c r="CV2690" s="376"/>
    </row>
    <row r="2691" spans="1:100">
      <c r="A2691" s="374"/>
      <c r="C2691" s="374"/>
      <c r="CV2691" s="376"/>
    </row>
    <row r="2692" spans="1:100">
      <c r="A2692" s="374"/>
      <c r="C2692" s="374"/>
      <c r="CV2692" s="376"/>
    </row>
    <row r="2693" spans="1:100">
      <c r="A2693" s="374"/>
      <c r="C2693" s="374"/>
      <c r="CV2693" s="376"/>
    </row>
    <row r="2694" spans="1:100">
      <c r="A2694" s="374"/>
      <c r="C2694" s="374"/>
      <c r="CV2694" s="376"/>
    </row>
    <row r="2695" spans="1:100">
      <c r="A2695" s="374"/>
      <c r="C2695" s="374"/>
      <c r="CV2695" s="376"/>
    </row>
    <row r="2696" spans="1:100">
      <c r="A2696" s="374"/>
      <c r="C2696" s="374"/>
      <c r="CV2696" s="376"/>
    </row>
    <row r="2697" spans="1:100">
      <c r="A2697" s="374"/>
      <c r="C2697" s="374"/>
      <c r="CV2697" s="376"/>
    </row>
    <row r="2698" spans="1:100">
      <c r="A2698" s="374"/>
      <c r="C2698" s="374"/>
      <c r="CV2698" s="376"/>
    </row>
    <row r="2699" spans="1:100">
      <c r="A2699" s="374"/>
      <c r="C2699" s="374"/>
      <c r="CV2699" s="376"/>
    </row>
    <row r="2700" spans="1:100">
      <c r="A2700" s="374"/>
      <c r="C2700" s="374"/>
      <c r="CV2700" s="376"/>
    </row>
    <row r="2701" spans="1:100">
      <c r="A2701" s="374"/>
      <c r="C2701" s="374"/>
      <c r="CV2701" s="376"/>
    </row>
    <row r="2702" spans="1:100">
      <c r="A2702" s="374"/>
      <c r="C2702" s="374"/>
      <c r="CV2702" s="376"/>
    </row>
    <row r="2703" spans="1:100">
      <c r="A2703" s="374"/>
      <c r="C2703" s="374"/>
      <c r="CV2703" s="376"/>
    </row>
    <row r="2704" spans="1:100">
      <c r="A2704" s="374"/>
      <c r="C2704" s="374"/>
      <c r="CV2704" s="376"/>
    </row>
    <row r="2705" spans="1:100">
      <c r="A2705" s="374"/>
      <c r="C2705" s="374"/>
      <c r="CV2705" s="376"/>
    </row>
    <row r="2706" spans="1:100">
      <c r="A2706" s="374"/>
      <c r="C2706" s="374"/>
      <c r="CV2706" s="376"/>
    </row>
    <row r="2707" spans="1:100">
      <c r="A2707" s="374"/>
      <c r="C2707" s="374"/>
      <c r="CV2707" s="376"/>
    </row>
    <row r="2708" spans="1:100">
      <c r="A2708" s="374"/>
      <c r="C2708" s="374"/>
      <c r="CV2708" s="376"/>
    </row>
    <row r="2709" spans="1:100">
      <c r="A2709" s="374"/>
      <c r="C2709" s="374"/>
      <c r="CV2709" s="376"/>
    </row>
    <row r="2710" spans="1:100">
      <c r="A2710" s="374"/>
      <c r="C2710" s="374"/>
      <c r="CV2710" s="376"/>
    </row>
    <row r="2711" spans="1:100">
      <c r="A2711" s="374"/>
      <c r="C2711" s="374"/>
      <c r="CV2711" s="376"/>
    </row>
    <row r="2712" spans="1:100">
      <c r="A2712" s="374"/>
      <c r="C2712" s="374"/>
      <c r="CV2712" s="376"/>
    </row>
    <row r="2713" spans="1:100">
      <c r="A2713" s="374"/>
      <c r="C2713" s="374"/>
      <c r="CV2713" s="376"/>
    </row>
    <row r="2714" spans="1:100">
      <c r="A2714" s="374"/>
      <c r="C2714" s="374"/>
      <c r="CV2714" s="376"/>
    </row>
    <row r="2715" spans="1:100">
      <c r="A2715" s="374"/>
      <c r="C2715" s="374"/>
      <c r="CV2715" s="376"/>
    </row>
    <row r="2716" spans="1:100">
      <c r="A2716" s="374"/>
      <c r="C2716" s="374"/>
      <c r="CV2716" s="376"/>
    </row>
    <row r="2717" spans="1:100">
      <c r="A2717" s="374"/>
      <c r="C2717" s="374"/>
      <c r="CV2717" s="376"/>
    </row>
    <row r="2718" spans="1:100">
      <c r="A2718" s="374"/>
      <c r="C2718" s="374"/>
      <c r="CV2718" s="376"/>
    </row>
    <row r="2719" spans="1:100">
      <c r="A2719" s="374"/>
      <c r="C2719" s="374"/>
      <c r="CV2719" s="376"/>
    </row>
    <row r="2720" spans="1:100">
      <c r="A2720" s="374"/>
      <c r="C2720" s="374"/>
      <c r="CV2720" s="376"/>
    </row>
    <row r="2721" spans="1:100">
      <c r="A2721" s="374"/>
      <c r="C2721" s="374"/>
      <c r="CV2721" s="376"/>
    </row>
    <row r="2722" spans="1:100">
      <c r="A2722" s="374"/>
      <c r="C2722" s="374"/>
      <c r="CV2722" s="376"/>
    </row>
    <row r="2723" spans="1:100">
      <c r="A2723" s="374"/>
      <c r="C2723" s="374"/>
      <c r="CV2723" s="376"/>
    </row>
    <row r="2724" spans="1:100">
      <c r="A2724" s="374"/>
      <c r="C2724" s="374"/>
      <c r="CV2724" s="376"/>
    </row>
    <row r="2725" spans="1:100">
      <c r="A2725" s="374"/>
      <c r="C2725" s="374"/>
      <c r="CV2725" s="376"/>
    </row>
    <row r="2726" spans="1:100">
      <c r="A2726" s="374"/>
      <c r="C2726" s="374"/>
      <c r="CV2726" s="376"/>
    </row>
    <row r="2727" spans="1:100">
      <c r="A2727" s="374"/>
      <c r="C2727" s="374"/>
      <c r="CV2727" s="376"/>
    </row>
    <row r="2728" spans="1:100">
      <c r="A2728" s="374"/>
      <c r="C2728" s="374"/>
      <c r="CV2728" s="376"/>
    </row>
    <row r="2729" spans="1:100">
      <c r="A2729" s="374"/>
      <c r="C2729" s="374"/>
      <c r="CV2729" s="376"/>
    </row>
    <row r="2730" spans="1:100">
      <c r="A2730" s="374"/>
      <c r="C2730" s="374"/>
      <c r="CV2730" s="376"/>
    </row>
    <row r="2731" spans="1:100">
      <c r="A2731" s="374"/>
      <c r="C2731" s="374"/>
      <c r="CV2731" s="376"/>
    </row>
    <row r="2732" spans="1:100">
      <c r="A2732" s="374"/>
      <c r="C2732" s="374"/>
      <c r="CV2732" s="376"/>
    </row>
    <row r="2733" spans="1:100">
      <c r="A2733" s="374"/>
      <c r="C2733" s="374"/>
      <c r="CV2733" s="376"/>
    </row>
    <row r="2734" spans="1:100">
      <c r="A2734" s="374"/>
      <c r="C2734" s="374"/>
      <c r="CV2734" s="376"/>
    </row>
    <row r="2735" spans="1:100">
      <c r="A2735" s="374"/>
      <c r="C2735" s="374"/>
      <c r="CV2735" s="376"/>
    </row>
    <row r="2736" spans="1:100">
      <c r="A2736" s="374"/>
      <c r="C2736" s="374"/>
      <c r="CV2736" s="376"/>
    </row>
    <row r="2737" spans="1:100">
      <c r="A2737" s="374"/>
      <c r="C2737" s="374"/>
      <c r="CV2737" s="376"/>
    </row>
    <row r="2738" spans="1:100">
      <c r="A2738" s="374"/>
      <c r="C2738" s="374"/>
      <c r="CV2738" s="376"/>
    </row>
    <row r="2739" spans="1:100">
      <c r="A2739" s="374"/>
      <c r="C2739" s="374"/>
      <c r="CV2739" s="376"/>
    </row>
    <row r="2740" spans="1:100">
      <c r="A2740" s="374"/>
      <c r="C2740" s="374"/>
      <c r="CV2740" s="376"/>
    </row>
    <row r="2741" spans="1:100">
      <c r="A2741" s="374"/>
      <c r="C2741" s="374"/>
      <c r="CV2741" s="376"/>
    </row>
    <row r="2742" spans="1:100">
      <c r="A2742" s="374"/>
      <c r="C2742" s="374"/>
      <c r="CV2742" s="376"/>
    </row>
    <row r="2743" spans="1:100">
      <c r="A2743" s="374"/>
      <c r="C2743" s="374"/>
      <c r="CV2743" s="376"/>
    </row>
    <row r="2744" spans="1:100">
      <c r="A2744" s="374"/>
      <c r="C2744" s="374"/>
      <c r="CV2744" s="376"/>
    </row>
    <row r="2745" spans="1:100">
      <c r="A2745" s="374"/>
      <c r="C2745" s="374"/>
      <c r="CV2745" s="376"/>
    </row>
    <row r="2746" spans="1:100">
      <c r="A2746" s="374"/>
      <c r="C2746" s="374"/>
      <c r="CV2746" s="376"/>
    </row>
    <row r="2747" spans="1:100">
      <c r="A2747" s="374"/>
      <c r="C2747" s="374"/>
      <c r="CV2747" s="376"/>
    </row>
    <row r="2748" spans="1:100">
      <c r="A2748" s="374"/>
      <c r="C2748" s="374"/>
      <c r="CV2748" s="376"/>
    </row>
    <row r="2749" spans="1:100">
      <c r="A2749" s="374"/>
      <c r="C2749" s="374"/>
      <c r="CV2749" s="376"/>
    </row>
    <row r="2750" spans="1:100">
      <c r="A2750" s="374"/>
      <c r="C2750" s="374"/>
      <c r="CV2750" s="376"/>
    </row>
    <row r="2751" spans="1:100">
      <c r="A2751" s="374"/>
      <c r="C2751" s="374"/>
      <c r="CV2751" s="376"/>
    </row>
    <row r="2752" spans="1:100">
      <c r="A2752" s="374"/>
      <c r="C2752" s="374"/>
      <c r="CV2752" s="376"/>
    </row>
    <row r="2753" spans="1:100">
      <c r="A2753" s="374"/>
      <c r="C2753" s="374"/>
      <c r="CV2753" s="376"/>
    </row>
    <row r="2754" spans="1:100">
      <c r="A2754" s="374"/>
      <c r="C2754" s="374"/>
      <c r="CV2754" s="376"/>
    </row>
    <row r="2755" spans="1:100">
      <c r="A2755" s="374"/>
      <c r="C2755" s="374"/>
      <c r="CV2755" s="376"/>
    </row>
    <row r="2756" spans="1:100">
      <c r="A2756" s="374"/>
      <c r="C2756" s="374"/>
      <c r="CV2756" s="376"/>
    </row>
    <row r="2757" spans="1:100">
      <c r="A2757" s="374"/>
      <c r="C2757" s="374"/>
      <c r="CV2757" s="376"/>
    </row>
    <row r="2758" spans="1:100">
      <c r="A2758" s="374"/>
      <c r="C2758" s="374"/>
      <c r="CV2758" s="376"/>
    </row>
    <row r="2759" spans="1:100">
      <c r="A2759" s="374"/>
      <c r="C2759" s="374"/>
      <c r="CV2759" s="376"/>
    </row>
    <row r="2760" spans="1:100">
      <c r="A2760" s="374"/>
      <c r="C2760" s="374"/>
      <c r="CV2760" s="376"/>
    </row>
    <row r="2761" spans="1:100">
      <c r="A2761" s="374"/>
      <c r="C2761" s="374"/>
      <c r="CV2761" s="376"/>
    </row>
    <row r="2762" spans="1:100">
      <c r="A2762" s="374"/>
      <c r="C2762" s="374"/>
      <c r="CV2762" s="376"/>
    </row>
    <row r="2763" spans="1:100">
      <c r="A2763" s="374"/>
      <c r="C2763" s="374"/>
      <c r="CV2763" s="376"/>
    </row>
    <row r="2764" spans="1:100">
      <c r="A2764" s="374"/>
      <c r="C2764" s="374"/>
      <c r="CV2764" s="376"/>
    </row>
    <row r="2765" spans="1:100">
      <c r="A2765" s="374"/>
      <c r="C2765" s="374"/>
      <c r="CV2765" s="376"/>
    </row>
    <row r="2766" spans="1:100">
      <c r="A2766" s="374"/>
      <c r="C2766" s="374"/>
      <c r="CV2766" s="376"/>
    </row>
    <row r="2767" spans="1:100">
      <c r="A2767" s="374"/>
      <c r="C2767" s="374"/>
      <c r="CV2767" s="376"/>
    </row>
    <row r="2768" spans="1:100">
      <c r="A2768" s="374"/>
      <c r="C2768" s="374"/>
      <c r="CV2768" s="376"/>
    </row>
    <row r="2769" spans="1:100">
      <c r="A2769" s="374"/>
      <c r="C2769" s="374"/>
      <c r="CV2769" s="376"/>
    </row>
    <row r="2770" spans="1:100">
      <c r="A2770" s="374"/>
      <c r="C2770" s="374"/>
      <c r="CV2770" s="376"/>
    </row>
    <row r="2771" spans="1:100">
      <c r="A2771" s="374"/>
      <c r="C2771" s="374"/>
      <c r="CV2771" s="376"/>
    </row>
    <row r="2772" spans="1:100">
      <c r="A2772" s="374"/>
      <c r="C2772" s="374"/>
      <c r="CV2772" s="376"/>
    </row>
    <row r="2773" spans="1:100">
      <c r="A2773" s="374"/>
      <c r="C2773" s="374"/>
      <c r="CV2773" s="376"/>
    </row>
    <row r="2774" spans="1:100">
      <c r="A2774" s="374"/>
      <c r="C2774" s="374"/>
      <c r="CV2774" s="376"/>
    </row>
    <row r="2775" spans="1:100">
      <c r="A2775" s="374"/>
      <c r="C2775" s="374"/>
      <c r="CV2775" s="376"/>
    </row>
    <row r="2776" spans="1:100">
      <c r="A2776" s="374"/>
      <c r="C2776" s="374"/>
      <c r="CV2776" s="376"/>
    </row>
    <row r="2777" spans="1:100">
      <c r="A2777" s="374"/>
      <c r="C2777" s="374"/>
      <c r="CV2777" s="376"/>
    </row>
    <row r="2778" spans="1:100">
      <c r="A2778" s="374"/>
      <c r="C2778" s="374"/>
      <c r="CV2778" s="376"/>
    </row>
    <row r="2779" spans="1:100">
      <c r="A2779" s="374"/>
      <c r="C2779" s="374"/>
      <c r="CV2779" s="376"/>
    </row>
    <row r="2780" spans="1:100">
      <c r="A2780" s="374"/>
      <c r="C2780" s="374"/>
      <c r="CV2780" s="376"/>
    </row>
    <row r="2781" spans="1:100">
      <c r="A2781" s="374"/>
      <c r="C2781" s="374"/>
      <c r="CV2781" s="376"/>
    </row>
    <row r="2782" spans="1:100">
      <c r="A2782" s="374"/>
      <c r="C2782" s="374"/>
      <c r="CV2782" s="376"/>
    </row>
    <row r="2783" spans="1:100">
      <c r="A2783" s="374"/>
      <c r="C2783" s="374"/>
      <c r="CV2783" s="376"/>
    </row>
    <row r="2784" spans="1:100">
      <c r="A2784" s="374"/>
      <c r="C2784" s="374"/>
      <c r="CV2784" s="376"/>
    </row>
    <row r="2785" spans="1:100">
      <c r="A2785" s="374"/>
      <c r="C2785" s="374"/>
      <c r="CV2785" s="376"/>
    </row>
    <row r="2786" spans="1:100">
      <c r="A2786" s="374"/>
      <c r="C2786" s="374"/>
      <c r="CV2786" s="376"/>
    </row>
    <row r="2787" spans="1:100">
      <c r="A2787" s="374"/>
      <c r="C2787" s="374"/>
      <c r="CV2787" s="376"/>
    </row>
    <row r="2788" spans="1:100">
      <c r="A2788" s="374"/>
      <c r="C2788" s="374"/>
      <c r="CV2788" s="376"/>
    </row>
    <row r="2789" spans="1:100">
      <c r="A2789" s="374"/>
      <c r="C2789" s="374"/>
      <c r="CV2789" s="376"/>
    </row>
    <row r="2790" spans="1:100">
      <c r="A2790" s="374"/>
      <c r="C2790" s="374"/>
      <c r="CV2790" s="376"/>
    </row>
    <row r="2791" spans="1:100">
      <c r="A2791" s="374"/>
      <c r="C2791" s="374"/>
      <c r="CV2791" s="376"/>
    </row>
    <row r="2792" spans="1:100">
      <c r="A2792" s="374"/>
      <c r="C2792" s="374"/>
      <c r="CV2792" s="376"/>
    </row>
    <row r="2793" spans="1:100">
      <c r="A2793" s="374"/>
      <c r="C2793" s="374"/>
      <c r="CV2793" s="376"/>
    </row>
    <row r="2794" spans="1:100">
      <c r="A2794" s="374"/>
      <c r="C2794" s="374"/>
      <c r="CV2794" s="376"/>
    </row>
    <row r="2795" spans="1:100">
      <c r="A2795" s="374"/>
      <c r="C2795" s="374"/>
      <c r="CV2795" s="376"/>
    </row>
    <row r="2796" spans="1:100">
      <c r="A2796" s="374"/>
      <c r="C2796" s="374"/>
      <c r="CV2796" s="376"/>
    </row>
    <row r="2797" spans="1:100">
      <c r="A2797" s="374"/>
      <c r="C2797" s="374"/>
      <c r="CV2797" s="376"/>
    </row>
    <row r="2798" spans="1:100">
      <c r="A2798" s="374"/>
      <c r="C2798" s="374"/>
      <c r="CV2798" s="376"/>
    </row>
    <row r="2799" spans="1:100">
      <c r="A2799" s="374"/>
      <c r="C2799" s="374"/>
      <c r="CV2799" s="376"/>
    </row>
    <row r="2800" spans="1:100">
      <c r="A2800" s="374"/>
      <c r="C2800" s="374"/>
      <c r="CV2800" s="376"/>
    </row>
    <row r="2801" spans="1:100">
      <c r="A2801" s="374"/>
      <c r="C2801" s="374"/>
      <c r="CV2801" s="376"/>
    </row>
    <row r="2802" spans="1:100">
      <c r="A2802" s="374"/>
      <c r="C2802" s="374"/>
      <c r="CV2802" s="376"/>
    </row>
    <row r="2803" spans="1:100">
      <c r="A2803" s="374"/>
      <c r="C2803" s="374"/>
      <c r="CV2803" s="376"/>
    </row>
    <row r="2804" spans="1:100">
      <c r="A2804" s="374"/>
      <c r="C2804" s="374"/>
      <c r="CV2804" s="376"/>
    </row>
    <row r="2805" spans="1:100">
      <c r="A2805" s="374"/>
      <c r="C2805" s="374"/>
      <c r="CV2805" s="376"/>
    </row>
    <row r="2806" spans="1:100">
      <c r="A2806" s="374"/>
      <c r="C2806" s="374"/>
      <c r="CV2806" s="376"/>
    </row>
    <row r="2807" spans="1:100">
      <c r="A2807" s="374"/>
      <c r="C2807" s="374"/>
      <c r="CV2807" s="376"/>
    </row>
    <row r="2808" spans="1:100">
      <c r="A2808" s="374"/>
      <c r="C2808" s="374"/>
      <c r="CV2808" s="376"/>
    </row>
    <row r="2809" spans="1:100">
      <c r="A2809" s="374"/>
      <c r="C2809" s="374"/>
      <c r="CV2809" s="376"/>
    </row>
    <row r="2810" spans="1:100">
      <c r="A2810" s="374"/>
      <c r="C2810" s="374"/>
      <c r="CV2810" s="376"/>
    </row>
    <row r="2811" spans="1:100">
      <c r="A2811" s="374"/>
      <c r="C2811" s="374"/>
      <c r="CV2811" s="376"/>
    </row>
    <row r="2812" spans="1:100">
      <c r="A2812" s="374"/>
      <c r="C2812" s="374"/>
      <c r="CV2812" s="376"/>
    </row>
    <row r="2813" spans="1:100">
      <c r="A2813" s="374"/>
      <c r="C2813" s="374"/>
      <c r="CV2813" s="376"/>
    </row>
    <row r="2814" spans="1:100">
      <c r="A2814" s="374"/>
      <c r="C2814" s="374"/>
      <c r="CV2814" s="376"/>
    </row>
    <row r="2815" spans="1:100">
      <c r="A2815" s="374"/>
      <c r="C2815" s="374"/>
      <c r="CV2815" s="376"/>
    </row>
    <row r="2816" spans="1:100">
      <c r="A2816" s="374"/>
      <c r="C2816" s="374"/>
      <c r="CV2816" s="376"/>
    </row>
    <row r="2817" spans="1:100">
      <c r="A2817" s="374"/>
      <c r="C2817" s="374"/>
      <c r="CV2817" s="376"/>
    </row>
    <row r="2818" spans="1:100">
      <c r="A2818" s="374"/>
      <c r="C2818" s="374"/>
      <c r="CV2818" s="376"/>
    </row>
    <row r="2819" spans="1:100">
      <c r="A2819" s="374"/>
      <c r="C2819" s="374"/>
      <c r="CV2819" s="376"/>
    </row>
    <row r="2820" spans="1:100">
      <c r="A2820" s="374"/>
      <c r="C2820" s="374"/>
      <c r="CV2820" s="376"/>
    </row>
    <row r="2821" spans="1:100">
      <c r="A2821" s="374"/>
      <c r="C2821" s="374"/>
      <c r="CV2821" s="376"/>
    </row>
    <row r="2822" spans="1:100">
      <c r="A2822" s="374"/>
      <c r="C2822" s="374"/>
      <c r="CV2822" s="376"/>
    </row>
    <row r="2823" spans="1:100">
      <c r="A2823" s="374"/>
      <c r="C2823" s="374"/>
      <c r="CV2823" s="376"/>
    </row>
    <row r="2824" spans="1:100">
      <c r="A2824" s="374"/>
      <c r="C2824" s="374"/>
      <c r="CV2824" s="376"/>
    </row>
    <row r="2825" spans="1:100">
      <c r="A2825" s="374"/>
      <c r="C2825" s="374"/>
      <c r="CV2825" s="376"/>
    </row>
    <row r="2826" spans="1:100">
      <c r="A2826" s="374"/>
      <c r="C2826" s="374"/>
      <c r="CV2826" s="376"/>
    </row>
    <row r="2827" spans="1:100">
      <c r="A2827" s="374"/>
      <c r="C2827" s="374"/>
      <c r="CV2827" s="376"/>
    </row>
    <row r="2828" spans="1:100">
      <c r="A2828" s="374"/>
      <c r="C2828" s="374"/>
      <c r="CV2828" s="376"/>
    </row>
    <row r="2829" spans="1:100">
      <c r="A2829" s="374"/>
      <c r="C2829" s="374"/>
      <c r="CV2829" s="376"/>
    </row>
    <row r="2830" spans="1:100">
      <c r="A2830" s="374"/>
      <c r="C2830" s="374"/>
      <c r="CV2830" s="376"/>
    </row>
    <row r="2831" spans="1:100">
      <c r="A2831" s="374"/>
      <c r="C2831" s="374"/>
      <c r="CV2831" s="376"/>
    </row>
    <row r="2832" spans="1:100">
      <c r="A2832" s="374"/>
      <c r="C2832" s="374"/>
      <c r="CV2832" s="376"/>
    </row>
    <row r="2833" spans="1:100">
      <c r="A2833" s="374"/>
      <c r="C2833" s="374"/>
      <c r="CV2833" s="376"/>
    </row>
    <row r="2834" spans="1:100">
      <c r="A2834" s="374"/>
      <c r="C2834" s="374"/>
      <c r="CV2834" s="376"/>
    </row>
    <row r="2835" spans="1:100">
      <c r="A2835" s="374"/>
      <c r="C2835" s="374"/>
      <c r="CV2835" s="376"/>
    </row>
    <row r="2836" spans="1:100">
      <c r="A2836" s="374"/>
      <c r="C2836" s="374"/>
      <c r="CV2836" s="376"/>
    </row>
    <row r="2837" spans="1:100">
      <c r="A2837" s="374"/>
      <c r="C2837" s="374"/>
      <c r="CV2837" s="376"/>
    </row>
    <row r="2838" spans="1:100">
      <c r="A2838" s="374"/>
      <c r="C2838" s="374"/>
      <c r="CV2838" s="376"/>
    </row>
    <row r="2839" spans="1:100">
      <c r="A2839" s="374"/>
      <c r="C2839" s="374"/>
      <c r="CV2839" s="376"/>
    </row>
    <row r="2840" spans="1:100">
      <c r="A2840" s="374"/>
      <c r="C2840" s="374"/>
      <c r="CV2840" s="376"/>
    </row>
    <row r="2841" spans="1:100">
      <c r="A2841" s="374"/>
      <c r="C2841" s="374"/>
      <c r="CV2841" s="376"/>
    </row>
    <row r="2842" spans="1:100">
      <c r="A2842" s="374"/>
      <c r="C2842" s="374"/>
      <c r="CV2842" s="376"/>
    </row>
    <row r="2843" spans="1:100">
      <c r="A2843" s="374"/>
      <c r="C2843" s="374"/>
      <c r="CV2843" s="376"/>
    </row>
    <row r="2844" spans="1:100">
      <c r="A2844" s="374"/>
      <c r="C2844" s="374"/>
      <c r="CV2844" s="376"/>
    </row>
    <row r="2845" spans="1:100">
      <c r="A2845" s="374"/>
      <c r="C2845" s="374"/>
      <c r="CV2845" s="376"/>
    </row>
    <row r="2846" spans="1:100">
      <c r="A2846" s="374"/>
      <c r="C2846" s="374"/>
      <c r="CV2846" s="376"/>
    </row>
    <row r="2847" spans="1:100">
      <c r="A2847" s="374"/>
      <c r="C2847" s="374"/>
      <c r="CV2847" s="376"/>
    </row>
    <row r="2848" spans="1:100">
      <c r="A2848" s="374"/>
      <c r="C2848" s="374"/>
      <c r="CV2848" s="376"/>
    </row>
    <row r="2849" spans="1:100">
      <c r="A2849" s="374"/>
      <c r="C2849" s="374"/>
      <c r="CV2849" s="376"/>
    </row>
    <row r="2850" spans="1:100">
      <c r="A2850" s="374"/>
      <c r="C2850" s="374"/>
      <c r="CV2850" s="376"/>
    </row>
    <row r="2851" spans="1:100">
      <c r="A2851" s="374"/>
      <c r="C2851" s="374"/>
      <c r="CV2851" s="376"/>
    </row>
    <row r="2852" spans="1:100">
      <c r="A2852" s="374"/>
      <c r="C2852" s="374"/>
      <c r="CV2852" s="376"/>
    </row>
    <row r="2853" spans="1:100">
      <c r="A2853" s="374"/>
      <c r="C2853" s="374"/>
      <c r="CV2853" s="376"/>
    </row>
    <row r="2854" spans="1:100">
      <c r="A2854" s="374"/>
      <c r="C2854" s="374"/>
      <c r="CV2854" s="376"/>
    </row>
    <row r="2855" spans="1:100">
      <c r="A2855" s="374"/>
      <c r="C2855" s="374"/>
      <c r="CV2855" s="376"/>
    </row>
    <row r="2856" spans="1:100">
      <c r="A2856" s="374"/>
      <c r="C2856" s="374"/>
      <c r="CV2856" s="376"/>
    </row>
    <row r="2857" spans="1:100">
      <c r="A2857" s="374"/>
      <c r="C2857" s="374"/>
      <c r="CV2857" s="376"/>
    </row>
    <row r="2858" spans="1:100">
      <c r="A2858" s="374"/>
      <c r="C2858" s="374"/>
      <c r="CV2858" s="376"/>
    </row>
    <row r="2859" spans="1:100">
      <c r="A2859" s="374"/>
      <c r="C2859" s="374"/>
      <c r="CV2859" s="376"/>
    </row>
    <row r="2860" spans="1:100">
      <c r="A2860" s="374"/>
      <c r="C2860" s="374"/>
      <c r="CV2860" s="376"/>
    </row>
    <row r="2861" spans="1:100">
      <c r="A2861" s="374"/>
      <c r="C2861" s="374"/>
      <c r="CV2861" s="376"/>
    </row>
    <row r="2862" spans="1:100">
      <c r="A2862" s="374"/>
      <c r="C2862" s="374"/>
      <c r="CV2862" s="376"/>
    </row>
    <row r="2863" spans="1:100">
      <c r="A2863" s="374"/>
      <c r="C2863" s="374"/>
      <c r="CV2863" s="376"/>
    </row>
    <row r="2864" spans="1:100">
      <c r="A2864" s="374"/>
      <c r="C2864" s="374"/>
      <c r="CV2864" s="376"/>
    </row>
    <row r="2865" spans="1:100">
      <c r="A2865" s="374"/>
      <c r="C2865" s="374"/>
      <c r="CV2865" s="376"/>
    </row>
    <row r="2866" spans="1:100">
      <c r="A2866" s="374"/>
      <c r="C2866" s="374"/>
      <c r="CV2866" s="376"/>
    </row>
    <row r="2867" spans="1:100">
      <c r="A2867" s="374"/>
      <c r="C2867" s="374"/>
      <c r="CV2867" s="376"/>
    </row>
    <row r="2868" spans="1:100">
      <c r="A2868" s="374"/>
      <c r="C2868" s="374"/>
      <c r="CV2868" s="376"/>
    </row>
    <row r="2869" spans="1:100">
      <c r="A2869" s="374"/>
      <c r="C2869" s="374"/>
      <c r="CV2869" s="376"/>
    </row>
    <row r="2870" spans="1:100">
      <c r="A2870" s="374"/>
      <c r="C2870" s="374"/>
      <c r="CV2870" s="376"/>
    </row>
    <row r="2871" spans="1:100">
      <c r="A2871" s="374"/>
      <c r="C2871" s="374"/>
      <c r="CV2871" s="376"/>
    </row>
    <row r="2872" spans="1:100">
      <c r="A2872" s="374"/>
      <c r="C2872" s="374"/>
      <c r="CV2872" s="376"/>
    </row>
    <row r="2873" spans="1:100">
      <c r="A2873" s="374"/>
      <c r="C2873" s="374"/>
      <c r="CV2873" s="376"/>
    </row>
    <row r="2874" spans="1:100">
      <c r="A2874" s="374"/>
      <c r="C2874" s="374"/>
      <c r="CV2874" s="376"/>
    </row>
    <row r="2875" spans="1:100">
      <c r="A2875" s="374"/>
      <c r="C2875" s="374"/>
      <c r="CV2875" s="376"/>
    </row>
    <row r="2876" spans="1:100">
      <c r="A2876" s="374"/>
      <c r="C2876" s="374"/>
      <c r="CV2876" s="376"/>
    </row>
    <row r="2877" spans="1:100">
      <c r="A2877" s="374"/>
      <c r="C2877" s="374"/>
      <c r="CV2877" s="376"/>
    </row>
    <row r="2878" spans="1:100">
      <c r="A2878" s="374"/>
      <c r="C2878" s="374"/>
      <c r="CV2878" s="376"/>
    </row>
    <row r="2879" spans="1:100">
      <c r="A2879" s="374"/>
      <c r="C2879" s="374"/>
      <c r="CV2879" s="376"/>
    </row>
    <row r="2880" spans="1:100">
      <c r="A2880" s="374"/>
      <c r="C2880" s="374"/>
      <c r="CV2880" s="376"/>
    </row>
    <row r="2881" spans="1:100">
      <c r="A2881" s="374"/>
      <c r="C2881" s="374"/>
      <c r="CV2881" s="376"/>
    </row>
    <row r="2882" spans="1:100">
      <c r="A2882" s="374"/>
      <c r="C2882" s="374"/>
      <c r="CV2882" s="376"/>
    </row>
    <row r="2883" spans="1:100">
      <c r="A2883" s="374"/>
      <c r="C2883" s="374"/>
      <c r="CV2883" s="376"/>
    </row>
    <row r="2884" spans="1:100">
      <c r="A2884" s="374"/>
      <c r="C2884" s="374"/>
      <c r="CV2884" s="376"/>
    </row>
    <row r="2885" spans="1:100">
      <c r="A2885" s="374"/>
      <c r="C2885" s="374"/>
      <c r="CV2885" s="376"/>
    </row>
    <row r="2886" spans="1:100">
      <c r="A2886" s="374"/>
      <c r="C2886" s="374"/>
      <c r="CV2886" s="376"/>
    </row>
    <row r="2887" spans="1:100">
      <c r="A2887" s="374"/>
      <c r="C2887" s="374"/>
      <c r="CV2887" s="376"/>
    </row>
    <row r="2888" spans="1:100">
      <c r="A2888" s="374"/>
      <c r="C2888" s="374"/>
      <c r="CV2888" s="376"/>
    </row>
    <row r="2889" spans="1:100">
      <c r="A2889" s="374"/>
      <c r="C2889" s="374"/>
      <c r="CV2889" s="376"/>
    </row>
    <row r="2890" spans="1:100">
      <c r="A2890" s="374"/>
      <c r="C2890" s="374"/>
      <c r="CV2890" s="376"/>
    </row>
    <row r="2891" spans="1:100">
      <c r="A2891" s="374"/>
      <c r="C2891" s="374"/>
      <c r="CV2891" s="376"/>
    </row>
    <row r="2892" spans="1:100">
      <c r="A2892" s="374"/>
      <c r="C2892" s="374"/>
      <c r="CV2892" s="376"/>
    </row>
    <row r="2893" spans="1:100">
      <c r="A2893" s="374"/>
      <c r="C2893" s="374"/>
      <c r="CV2893" s="376"/>
    </row>
    <row r="2894" spans="1:100">
      <c r="A2894" s="374"/>
      <c r="C2894" s="374"/>
      <c r="CV2894" s="376"/>
    </row>
    <row r="2895" spans="1:100">
      <c r="A2895" s="374"/>
      <c r="C2895" s="374"/>
      <c r="CV2895" s="376"/>
    </row>
    <row r="2896" spans="1:100">
      <c r="A2896" s="374"/>
      <c r="C2896" s="374"/>
      <c r="CV2896" s="376"/>
    </row>
    <row r="2897" spans="1:100">
      <c r="A2897" s="374"/>
      <c r="C2897" s="374"/>
      <c r="CV2897" s="376"/>
    </row>
    <row r="2898" spans="1:100">
      <c r="A2898" s="374"/>
      <c r="C2898" s="374"/>
      <c r="CV2898" s="376"/>
    </row>
    <row r="2899" spans="1:100">
      <c r="A2899" s="374"/>
      <c r="C2899" s="374"/>
      <c r="CV2899" s="376"/>
    </row>
    <row r="2900" spans="1:100">
      <c r="A2900" s="374"/>
      <c r="C2900" s="374"/>
      <c r="CV2900" s="376"/>
    </row>
    <row r="2901" spans="1:100">
      <c r="A2901" s="374"/>
      <c r="C2901" s="374"/>
      <c r="CV2901" s="376"/>
    </row>
    <row r="2902" spans="1:100">
      <c r="A2902" s="374"/>
      <c r="C2902" s="374"/>
      <c r="CV2902" s="376"/>
    </row>
    <row r="2903" spans="1:100">
      <c r="A2903" s="374"/>
      <c r="C2903" s="374"/>
      <c r="CV2903" s="376"/>
    </row>
    <row r="2904" spans="1:100">
      <c r="A2904" s="374"/>
      <c r="C2904" s="374"/>
      <c r="CV2904" s="376"/>
    </row>
    <row r="2905" spans="1:100">
      <c r="A2905" s="374"/>
      <c r="C2905" s="374"/>
      <c r="CV2905" s="376"/>
    </row>
    <row r="2906" spans="1:100">
      <c r="A2906" s="374"/>
      <c r="C2906" s="374"/>
      <c r="CV2906" s="376"/>
    </row>
    <row r="2907" spans="1:100">
      <c r="A2907" s="374"/>
      <c r="C2907" s="374"/>
      <c r="CV2907" s="376"/>
    </row>
    <row r="2908" spans="1:100">
      <c r="A2908" s="374"/>
      <c r="C2908" s="374"/>
      <c r="CV2908" s="376"/>
    </row>
    <row r="2909" spans="1:100">
      <c r="A2909" s="374"/>
      <c r="C2909" s="374"/>
      <c r="CV2909" s="376"/>
    </row>
    <row r="2910" spans="1:100">
      <c r="A2910" s="374"/>
      <c r="C2910" s="374"/>
      <c r="CV2910" s="376"/>
    </row>
    <row r="2911" spans="1:100">
      <c r="A2911" s="374"/>
      <c r="C2911" s="374"/>
      <c r="CV2911" s="376"/>
    </row>
    <row r="2912" spans="1:100">
      <c r="A2912" s="374"/>
      <c r="C2912" s="374"/>
      <c r="CV2912" s="376"/>
    </row>
    <row r="2913" spans="1:100">
      <c r="A2913" s="374"/>
      <c r="C2913" s="374"/>
      <c r="CV2913" s="376"/>
    </row>
    <row r="2914" spans="1:100">
      <c r="A2914" s="374"/>
      <c r="C2914" s="374"/>
      <c r="CV2914" s="376"/>
    </row>
    <row r="2915" spans="1:100">
      <c r="A2915" s="374"/>
      <c r="C2915" s="374"/>
      <c r="CV2915" s="376"/>
    </row>
    <row r="2916" spans="1:100">
      <c r="A2916" s="374"/>
      <c r="C2916" s="374"/>
      <c r="CV2916" s="376"/>
    </row>
    <row r="2917" spans="1:100">
      <c r="A2917" s="374"/>
      <c r="C2917" s="374"/>
      <c r="CV2917" s="376"/>
    </row>
    <row r="2918" spans="1:100">
      <c r="A2918" s="374"/>
      <c r="C2918" s="374"/>
      <c r="CV2918" s="376"/>
    </row>
    <row r="2919" spans="1:100">
      <c r="A2919" s="374"/>
      <c r="C2919" s="374"/>
      <c r="CV2919" s="376"/>
    </row>
    <row r="2920" spans="1:100">
      <c r="A2920" s="374"/>
      <c r="C2920" s="374"/>
      <c r="CV2920" s="376"/>
    </row>
    <row r="2921" spans="1:100">
      <c r="A2921" s="374"/>
      <c r="C2921" s="374"/>
      <c r="CV2921" s="376"/>
    </row>
    <row r="2922" spans="1:100">
      <c r="A2922" s="374"/>
      <c r="C2922" s="374"/>
      <c r="CV2922" s="376"/>
    </row>
    <row r="2923" spans="1:100">
      <c r="A2923" s="374"/>
      <c r="C2923" s="374"/>
      <c r="CV2923" s="376"/>
    </row>
    <row r="2924" spans="1:100">
      <c r="A2924" s="374"/>
      <c r="C2924" s="374"/>
      <c r="CV2924" s="376"/>
    </row>
    <row r="2925" spans="1:100">
      <c r="A2925" s="374"/>
      <c r="C2925" s="374"/>
      <c r="CV2925" s="376"/>
    </row>
    <row r="2926" spans="1:100">
      <c r="A2926" s="374"/>
      <c r="C2926" s="374"/>
      <c r="CV2926" s="376"/>
    </row>
    <row r="2927" spans="1:100">
      <c r="A2927" s="374"/>
      <c r="C2927" s="374"/>
      <c r="CV2927" s="376"/>
    </row>
    <row r="2928" spans="1:100">
      <c r="A2928" s="374"/>
      <c r="C2928" s="374"/>
      <c r="CV2928" s="376"/>
    </row>
    <row r="2929" spans="1:100">
      <c r="A2929" s="374"/>
      <c r="C2929" s="374"/>
      <c r="CV2929" s="376"/>
    </row>
    <row r="2930" spans="1:100">
      <c r="A2930" s="374"/>
      <c r="C2930" s="374"/>
      <c r="CV2930" s="376"/>
    </row>
    <row r="2931" spans="1:100">
      <c r="A2931" s="374"/>
      <c r="C2931" s="374"/>
      <c r="CV2931" s="376"/>
    </row>
    <row r="2932" spans="1:100">
      <c r="A2932" s="374"/>
      <c r="C2932" s="374"/>
      <c r="CV2932" s="376"/>
    </row>
    <row r="2933" spans="1:100">
      <c r="A2933" s="374"/>
      <c r="C2933" s="374"/>
      <c r="CV2933" s="376"/>
    </row>
    <row r="2934" spans="1:100">
      <c r="A2934" s="374"/>
      <c r="C2934" s="374"/>
      <c r="CV2934" s="376"/>
    </row>
    <row r="2935" spans="1:100">
      <c r="A2935" s="374"/>
      <c r="C2935" s="374"/>
      <c r="CV2935" s="376"/>
    </row>
    <row r="2936" spans="1:100">
      <c r="A2936" s="374"/>
      <c r="C2936" s="374"/>
      <c r="CV2936" s="376"/>
    </row>
    <row r="2937" spans="1:100">
      <c r="A2937" s="374"/>
      <c r="C2937" s="374"/>
      <c r="CV2937" s="376"/>
    </row>
    <row r="2938" spans="1:100">
      <c r="A2938" s="374"/>
      <c r="C2938" s="374"/>
      <c r="CV2938" s="376"/>
    </row>
    <row r="2939" spans="1:100">
      <c r="A2939" s="374"/>
      <c r="C2939" s="374"/>
      <c r="CV2939" s="376"/>
    </row>
    <row r="2940" spans="1:100">
      <c r="A2940" s="374"/>
      <c r="C2940" s="374"/>
      <c r="CV2940" s="376"/>
    </row>
    <row r="2941" spans="1:100">
      <c r="A2941" s="374"/>
      <c r="C2941" s="374"/>
      <c r="CV2941" s="376"/>
    </row>
    <row r="2942" spans="1:100">
      <c r="A2942" s="374"/>
      <c r="C2942" s="374"/>
      <c r="CV2942" s="376"/>
    </row>
    <row r="2943" spans="1:100">
      <c r="A2943" s="374"/>
      <c r="C2943" s="374"/>
      <c r="CV2943" s="376"/>
    </row>
    <row r="2944" spans="1:100">
      <c r="A2944" s="374"/>
      <c r="C2944" s="374"/>
      <c r="CV2944" s="376"/>
    </row>
    <row r="2945" spans="1:100">
      <c r="A2945" s="374"/>
      <c r="C2945" s="374"/>
      <c r="CV2945" s="376"/>
    </row>
    <row r="2946" spans="1:100">
      <c r="A2946" s="374"/>
      <c r="C2946" s="374"/>
      <c r="CV2946" s="376"/>
    </row>
    <row r="2947" spans="1:100">
      <c r="A2947" s="374"/>
      <c r="C2947" s="374"/>
      <c r="CV2947" s="376"/>
    </row>
    <row r="2948" spans="1:100">
      <c r="A2948" s="374"/>
      <c r="C2948" s="374"/>
      <c r="CV2948" s="376"/>
    </row>
    <row r="2949" spans="1:100">
      <c r="A2949" s="374"/>
      <c r="C2949" s="374"/>
      <c r="CV2949" s="376"/>
    </row>
    <row r="2950" spans="1:100">
      <c r="A2950" s="374"/>
      <c r="C2950" s="374"/>
      <c r="CV2950" s="376"/>
    </row>
    <row r="2951" spans="1:100">
      <c r="A2951" s="374"/>
      <c r="C2951" s="374"/>
      <c r="CV2951" s="376"/>
    </row>
    <row r="2952" spans="1:100">
      <c r="A2952" s="374"/>
      <c r="C2952" s="374"/>
      <c r="CV2952" s="376"/>
    </row>
    <row r="2953" spans="1:100">
      <c r="A2953" s="374"/>
      <c r="C2953" s="374"/>
      <c r="CV2953" s="376"/>
    </row>
    <row r="2954" spans="1:100">
      <c r="A2954" s="374"/>
      <c r="C2954" s="374"/>
      <c r="CV2954" s="376"/>
    </row>
    <row r="2955" spans="1:100">
      <c r="A2955" s="374"/>
      <c r="C2955" s="374"/>
      <c r="CV2955" s="376"/>
    </row>
    <row r="2956" spans="1:100">
      <c r="A2956" s="374"/>
      <c r="C2956" s="374"/>
      <c r="CV2956" s="376"/>
    </row>
    <row r="2957" spans="1:100">
      <c r="A2957" s="374"/>
      <c r="C2957" s="374"/>
      <c r="CV2957" s="376"/>
    </row>
    <row r="2958" spans="1:100">
      <c r="A2958" s="374"/>
      <c r="C2958" s="374"/>
      <c r="CV2958" s="376"/>
    </row>
    <row r="2959" spans="1:100">
      <c r="A2959" s="374"/>
      <c r="C2959" s="374"/>
      <c r="CV2959" s="376"/>
    </row>
    <row r="2960" spans="1:100">
      <c r="A2960" s="374"/>
      <c r="C2960" s="374"/>
      <c r="CV2960" s="376"/>
    </row>
    <row r="2961" spans="1:100">
      <c r="A2961" s="374"/>
      <c r="C2961" s="374"/>
      <c r="CV2961" s="376"/>
    </row>
    <row r="2962" spans="1:100">
      <c r="A2962" s="374"/>
      <c r="C2962" s="374"/>
      <c r="CV2962" s="376"/>
    </row>
    <row r="2963" spans="1:100">
      <c r="A2963" s="374"/>
      <c r="C2963" s="374"/>
      <c r="CV2963" s="376"/>
    </row>
    <row r="2964" spans="1:100">
      <c r="A2964" s="374"/>
      <c r="C2964" s="374"/>
      <c r="CV2964" s="376"/>
    </row>
    <row r="2965" spans="1:100">
      <c r="A2965" s="374"/>
      <c r="C2965" s="374"/>
      <c r="CV2965" s="376"/>
    </row>
    <row r="2966" spans="1:100">
      <c r="A2966" s="374"/>
      <c r="C2966" s="374"/>
      <c r="CV2966" s="376"/>
    </row>
    <row r="2967" spans="1:100">
      <c r="A2967" s="374"/>
      <c r="C2967" s="374"/>
      <c r="CV2967" s="376"/>
    </row>
    <row r="2968" spans="1:100">
      <c r="A2968" s="374"/>
      <c r="C2968" s="374"/>
      <c r="CV2968" s="376"/>
    </row>
    <row r="2969" spans="1:100">
      <c r="A2969" s="374"/>
      <c r="C2969" s="374"/>
      <c r="CV2969" s="376"/>
    </row>
    <row r="2970" spans="1:100">
      <c r="A2970" s="374"/>
      <c r="C2970" s="374"/>
      <c r="CV2970" s="376"/>
    </row>
    <row r="2971" spans="1:100">
      <c r="A2971" s="374"/>
      <c r="C2971" s="374"/>
      <c r="CV2971" s="376"/>
    </row>
    <row r="2972" spans="1:100">
      <c r="A2972" s="374"/>
      <c r="C2972" s="374"/>
      <c r="CV2972" s="376"/>
    </row>
    <row r="2973" spans="1:100">
      <c r="A2973" s="374"/>
      <c r="C2973" s="374"/>
      <c r="CV2973" s="376"/>
    </row>
    <row r="2974" spans="1:100">
      <c r="A2974" s="374"/>
      <c r="C2974" s="374"/>
      <c r="CV2974" s="376"/>
    </row>
    <row r="2975" spans="1:100">
      <c r="A2975" s="374"/>
      <c r="C2975" s="374"/>
      <c r="CV2975" s="376"/>
    </row>
    <row r="2976" spans="1:100">
      <c r="A2976" s="374"/>
      <c r="C2976" s="374"/>
      <c r="CV2976" s="376"/>
    </row>
    <row r="2977" spans="1:100">
      <c r="A2977" s="374"/>
      <c r="C2977" s="374"/>
      <c r="CV2977" s="376"/>
    </row>
    <row r="2978" spans="1:100">
      <c r="A2978" s="374"/>
      <c r="C2978" s="374"/>
      <c r="CV2978" s="376"/>
    </row>
    <row r="2979" spans="1:100">
      <c r="A2979" s="374"/>
      <c r="C2979" s="374"/>
      <c r="CV2979" s="376"/>
    </row>
    <row r="2980" spans="1:100">
      <c r="A2980" s="374"/>
      <c r="C2980" s="374"/>
      <c r="CV2980" s="376"/>
    </row>
    <row r="2981" spans="1:100">
      <c r="A2981" s="374"/>
      <c r="C2981" s="374"/>
      <c r="CV2981" s="376"/>
    </row>
    <row r="2982" spans="1:100">
      <c r="A2982" s="374"/>
      <c r="C2982" s="374"/>
      <c r="CV2982" s="376"/>
    </row>
    <row r="2983" spans="1:100">
      <c r="A2983" s="374"/>
      <c r="C2983" s="374"/>
      <c r="CV2983" s="376"/>
    </row>
    <row r="2984" spans="1:100">
      <c r="A2984" s="374"/>
      <c r="C2984" s="374"/>
      <c r="CV2984" s="376"/>
    </row>
    <row r="2985" spans="1:100">
      <c r="A2985" s="374"/>
      <c r="C2985" s="374"/>
      <c r="CV2985" s="376"/>
    </row>
    <row r="2986" spans="1:100">
      <c r="A2986" s="374"/>
      <c r="C2986" s="374"/>
      <c r="CV2986" s="376"/>
    </row>
    <row r="2987" spans="1:100">
      <c r="A2987" s="374"/>
      <c r="C2987" s="374"/>
      <c r="CV2987" s="376"/>
    </row>
    <row r="2988" spans="1:100">
      <c r="A2988" s="374"/>
      <c r="C2988" s="374"/>
      <c r="CV2988" s="376"/>
    </row>
    <row r="2989" spans="1:100">
      <c r="A2989" s="374"/>
      <c r="C2989" s="374"/>
      <c r="CV2989" s="376"/>
    </row>
    <row r="2990" spans="1:100">
      <c r="A2990" s="374"/>
      <c r="C2990" s="374"/>
      <c r="CV2990" s="376"/>
    </row>
    <row r="2991" spans="1:100">
      <c r="A2991" s="374"/>
      <c r="C2991" s="374"/>
      <c r="CV2991" s="376"/>
    </row>
    <row r="2992" spans="1:100">
      <c r="A2992" s="374"/>
      <c r="C2992" s="374"/>
      <c r="CV2992" s="376"/>
    </row>
    <row r="2993" spans="1:100">
      <c r="A2993" s="374"/>
      <c r="C2993" s="374"/>
      <c r="CV2993" s="376"/>
    </row>
    <row r="2994" spans="1:100">
      <c r="A2994" s="374"/>
      <c r="C2994" s="374"/>
      <c r="CV2994" s="376"/>
    </row>
    <row r="2995" spans="1:100">
      <c r="A2995" s="374"/>
      <c r="C2995" s="374"/>
      <c r="CV2995" s="376"/>
    </row>
    <row r="2996" spans="1:100">
      <c r="A2996" s="374"/>
      <c r="C2996" s="374"/>
      <c r="CV2996" s="376"/>
    </row>
    <row r="2997" spans="1:100">
      <c r="A2997" s="374"/>
      <c r="C2997" s="374"/>
      <c r="CV2997" s="376"/>
    </row>
    <row r="2998" spans="1:100">
      <c r="A2998" s="374"/>
      <c r="C2998" s="374"/>
      <c r="CV2998" s="376"/>
    </row>
    <row r="2999" spans="1:100">
      <c r="A2999" s="374"/>
      <c r="C2999" s="374"/>
      <c r="CV2999" s="376"/>
    </row>
    <row r="3000" spans="1:100">
      <c r="A3000" s="374"/>
      <c r="C3000" s="374"/>
      <c r="CV3000" s="376"/>
    </row>
    <row r="3001" spans="1:100">
      <c r="A3001" s="374"/>
      <c r="C3001" s="374"/>
      <c r="CV3001" s="376"/>
    </row>
    <row r="3002" spans="1:100">
      <c r="A3002" s="374"/>
      <c r="C3002" s="374"/>
      <c r="CV3002" s="376"/>
    </row>
    <row r="3003" spans="1:100">
      <c r="A3003" s="374"/>
      <c r="C3003" s="374"/>
      <c r="CV3003" s="376"/>
    </row>
    <row r="3004" spans="1:100">
      <c r="A3004" s="374"/>
      <c r="C3004" s="374"/>
      <c r="CV3004" s="376"/>
    </row>
    <row r="3005" spans="1:100">
      <c r="A3005" s="374"/>
      <c r="C3005" s="374"/>
      <c r="CV3005" s="376"/>
    </row>
    <row r="3006" spans="1:100">
      <c r="A3006" s="374"/>
      <c r="C3006" s="374"/>
      <c r="CV3006" s="376"/>
    </row>
    <row r="3007" spans="1:100">
      <c r="A3007" s="374"/>
      <c r="C3007" s="374"/>
      <c r="CV3007" s="376"/>
    </row>
    <row r="3008" spans="1:100">
      <c r="A3008" s="374"/>
      <c r="C3008" s="374"/>
      <c r="CV3008" s="376"/>
    </row>
    <row r="3009" spans="1:100">
      <c r="A3009" s="374"/>
      <c r="C3009" s="374"/>
      <c r="CV3009" s="376"/>
    </row>
    <row r="3010" spans="1:100">
      <c r="A3010" s="374"/>
      <c r="C3010" s="374"/>
      <c r="CV3010" s="376"/>
    </row>
    <row r="3011" spans="1:100">
      <c r="A3011" s="374"/>
      <c r="C3011" s="374"/>
      <c r="CV3011" s="376"/>
    </row>
    <row r="3012" spans="1:100">
      <c r="A3012" s="374"/>
      <c r="C3012" s="374"/>
      <c r="CV3012" s="376"/>
    </row>
    <row r="3013" spans="1:100">
      <c r="A3013" s="374"/>
      <c r="C3013" s="374"/>
      <c r="CV3013" s="376"/>
    </row>
    <row r="3014" spans="1:100">
      <c r="A3014" s="374"/>
      <c r="C3014" s="374"/>
      <c r="CV3014" s="376"/>
    </row>
    <row r="3015" spans="1:100">
      <c r="A3015" s="374"/>
      <c r="C3015" s="374"/>
      <c r="CV3015" s="376"/>
    </row>
    <row r="3016" spans="1:100">
      <c r="A3016" s="374"/>
      <c r="C3016" s="374"/>
      <c r="CV3016" s="376"/>
    </row>
    <row r="3017" spans="1:100">
      <c r="A3017" s="374"/>
      <c r="C3017" s="374"/>
      <c r="CV3017" s="376"/>
    </row>
    <row r="3018" spans="1:100">
      <c r="A3018" s="374"/>
      <c r="C3018" s="374"/>
      <c r="CV3018" s="376"/>
    </row>
    <row r="3019" spans="1:100">
      <c r="A3019" s="374"/>
      <c r="C3019" s="374"/>
      <c r="CV3019" s="376"/>
    </row>
    <row r="3020" spans="1:100">
      <c r="A3020" s="374"/>
      <c r="C3020" s="374"/>
      <c r="CV3020" s="376"/>
    </row>
    <row r="3021" spans="1:100">
      <c r="A3021" s="374"/>
      <c r="C3021" s="374"/>
      <c r="CV3021" s="376"/>
    </row>
    <row r="3022" spans="1:100">
      <c r="A3022" s="374"/>
      <c r="C3022" s="374"/>
      <c r="CV3022" s="376"/>
    </row>
    <row r="3023" spans="1:100">
      <c r="A3023" s="374"/>
      <c r="C3023" s="374"/>
      <c r="CV3023" s="376"/>
    </row>
    <row r="3024" spans="1:100">
      <c r="A3024" s="374"/>
      <c r="C3024" s="374"/>
      <c r="CV3024" s="376"/>
    </row>
    <row r="3025" spans="1:100">
      <c r="A3025" s="374"/>
      <c r="C3025" s="374"/>
      <c r="CV3025" s="376"/>
    </row>
    <row r="3026" spans="1:100">
      <c r="A3026" s="374"/>
      <c r="C3026" s="374"/>
      <c r="CV3026" s="376"/>
    </row>
    <row r="3027" spans="1:100">
      <c r="A3027" s="374"/>
      <c r="C3027" s="374"/>
      <c r="CV3027" s="376"/>
    </row>
    <row r="3028" spans="1:100">
      <c r="A3028" s="374"/>
      <c r="C3028" s="374"/>
      <c r="CV3028" s="376"/>
    </row>
    <row r="3029" spans="1:100">
      <c r="A3029" s="374"/>
      <c r="C3029" s="374"/>
      <c r="CV3029" s="376"/>
    </row>
    <row r="3030" spans="1:100">
      <c r="A3030" s="374"/>
      <c r="C3030" s="374"/>
      <c r="CV3030" s="376"/>
    </row>
    <row r="3031" spans="1:100">
      <c r="A3031" s="374"/>
      <c r="C3031" s="374"/>
      <c r="CV3031" s="376"/>
    </row>
    <row r="3032" spans="1:100">
      <c r="A3032" s="374"/>
      <c r="C3032" s="374"/>
      <c r="CV3032" s="376"/>
    </row>
    <row r="3033" spans="1:100">
      <c r="A3033" s="374"/>
      <c r="C3033" s="374"/>
      <c r="CV3033" s="376"/>
    </row>
    <row r="3034" spans="1:100">
      <c r="A3034" s="374"/>
      <c r="C3034" s="374"/>
      <c r="CV3034" s="376"/>
    </row>
    <row r="3035" spans="1:100">
      <c r="A3035" s="374"/>
      <c r="C3035" s="374"/>
      <c r="CV3035" s="376"/>
    </row>
    <row r="3036" spans="1:100">
      <c r="A3036" s="374"/>
      <c r="C3036" s="374"/>
      <c r="CV3036" s="376"/>
    </row>
    <row r="3037" spans="1:100">
      <c r="A3037" s="374"/>
      <c r="C3037" s="374"/>
      <c r="CV3037" s="376"/>
    </row>
    <row r="3038" spans="1:100">
      <c r="A3038" s="374"/>
      <c r="C3038" s="374"/>
      <c r="CV3038" s="376"/>
    </row>
    <row r="3039" spans="1:100">
      <c r="A3039" s="374"/>
      <c r="C3039" s="374"/>
      <c r="CV3039" s="376"/>
    </row>
    <row r="3040" spans="1:100">
      <c r="A3040" s="374"/>
      <c r="C3040" s="374"/>
      <c r="CV3040" s="376"/>
    </row>
    <row r="3041" spans="1:100">
      <c r="A3041" s="374"/>
      <c r="C3041" s="374"/>
      <c r="CV3041" s="376"/>
    </row>
    <row r="3042" spans="1:100">
      <c r="A3042" s="374"/>
      <c r="C3042" s="374"/>
      <c r="CV3042" s="376"/>
    </row>
    <row r="3043" spans="1:100">
      <c r="A3043" s="374"/>
      <c r="C3043" s="374"/>
      <c r="CV3043" s="376"/>
    </row>
    <row r="3044" spans="1:100">
      <c r="A3044" s="374"/>
      <c r="C3044" s="374"/>
      <c r="CV3044" s="376"/>
    </row>
    <row r="3045" spans="1:100">
      <c r="A3045" s="374"/>
      <c r="C3045" s="374"/>
      <c r="CV3045" s="376"/>
    </row>
    <row r="3046" spans="1:100">
      <c r="A3046" s="374"/>
      <c r="C3046" s="374"/>
      <c r="CV3046" s="376"/>
    </row>
    <row r="3047" spans="1:100">
      <c r="A3047" s="374"/>
      <c r="C3047" s="374"/>
      <c r="CV3047" s="376"/>
    </row>
    <row r="3048" spans="1:100">
      <c r="A3048" s="374"/>
      <c r="C3048" s="374"/>
      <c r="CV3048" s="376"/>
    </row>
    <row r="3049" spans="1:100">
      <c r="A3049" s="374"/>
      <c r="C3049" s="374"/>
      <c r="CV3049" s="376"/>
    </row>
    <row r="3050" spans="1:100">
      <c r="A3050" s="374"/>
      <c r="C3050" s="374"/>
      <c r="CV3050" s="376"/>
    </row>
    <row r="3051" spans="1:100">
      <c r="A3051" s="374"/>
      <c r="C3051" s="374"/>
      <c r="CV3051" s="376"/>
    </row>
    <row r="3052" spans="1:100">
      <c r="A3052" s="374"/>
      <c r="C3052" s="374"/>
      <c r="CV3052" s="376"/>
    </row>
    <row r="3053" spans="1:100">
      <c r="A3053" s="374"/>
      <c r="C3053" s="374"/>
      <c r="CV3053" s="376"/>
    </row>
    <row r="3054" spans="1:100">
      <c r="A3054" s="374"/>
      <c r="C3054" s="374"/>
      <c r="CV3054" s="376"/>
    </row>
    <row r="3055" spans="1:100">
      <c r="A3055" s="374"/>
      <c r="C3055" s="374"/>
      <c r="CV3055" s="376"/>
    </row>
    <row r="3056" spans="1:100">
      <c r="A3056" s="374"/>
      <c r="C3056" s="374"/>
      <c r="CV3056" s="376"/>
    </row>
    <row r="3057" spans="1:100">
      <c r="A3057" s="374"/>
      <c r="C3057" s="374"/>
      <c r="CV3057" s="376"/>
    </row>
    <row r="3058" spans="1:100">
      <c r="A3058" s="374"/>
      <c r="C3058" s="374"/>
      <c r="CV3058" s="376"/>
    </row>
    <row r="3059" spans="1:100">
      <c r="A3059" s="374"/>
      <c r="C3059" s="374"/>
      <c r="CV3059" s="376"/>
    </row>
    <row r="3060" spans="1:100">
      <c r="A3060" s="374"/>
      <c r="C3060" s="374"/>
      <c r="CV3060" s="376"/>
    </row>
    <row r="3061" spans="1:100">
      <c r="A3061" s="374"/>
      <c r="C3061" s="374"/>
      <c r="CV3061" s="376"/>
    </row>
    <row r="3062" spans="1:100">
      <c r="A3062" s="374"/>
      <c r="C3062" s="374"/>
      <c r="CV3062" s="376"/>
    </row>
    <row r="3063" spans="1:100">
      <c r="A3063" s="374"/>
      <c r="C3063" s="374"/>
      <c r="CV3063" s="376"/>
    </row>
    <row r="3064" spans="1:100">
      <c r="A3064" s="374"/>
      <c r="C3064" s="374"/>
      <c r="CV3064" s="376"/>
    </row>
    <row r="3065" spans="1:100">
      <c r="A3065" s="374"/>
      <c r="C3065" s="374"/>
      <c r="CV3065" s="376"/>
    </row>
    <row r="3066" spans="1:100">
      <c r="A3066" s="374"/>
      <c r="C3066" s="374"/>
      <c r="CV3066" s="376"/>
    </row>
    <row r="3067" spans="1:100">
      <c r="A3067" s="374"/>
      <c r="C3067" s="374"/>
      <c r="CV3067" s="376"/>
    </row>
    <row r="3068" spans="1:100">
      <c r="A3068" s="374"/>
      <c r="C3068" s="374"/>
      <c r="CV3068" s="376"/>
    </row>
    <row r="3069" spans="1:100">
      <c r="A3069" s="374"/>
      <c r="C3069" s="374"/>
      <c r="CV3069" s="376"/>
    </row>
    <row r="3070" spans="1:100">
      <c r="A3070" s="374"/>
      <c r="C3070" s="374"/>
      <c r="CV3070" s="376"/>
    </row>
    <row r="3071" spans="1:100">
      <c r="A3071" s="374"/>
      <c r="C3071" s="374"/>
      <c r="CV3071" s="376"/>
    </row>
    <row r="3072" spans="1:100">
      <c r="A3072" s="374"/>
      <c r="C3072" s="374"/>
      <c r="CV3072" s="376"/>
    </row>
    <row r="3073" spans="1:100">
      <c r="A3073" s="374"/>
      <c r="C3073" s="374"/>
      <c r="CV3073" s="376"/>
    </row>
    <row r="3074" spans="1:100">
      <c r="A3074" s="374"/>
      <c r="C3074" s="374"/>
      <c r="CV3074" s="376"/>
    </row>
    <row r="3075" spans="1:100">
      <c r="A3075" s="374"/>
      <c r="C3075" s="374"/>
      <c r="CV3075" s="376"/>
    </row>
    <row r="3076" spans="1:100">
      <c r="A3076" s="374"/>
      <c r="C3076" s="374"/>
      <c r="CV3076" s="376"/>
    </row>
    <row r="3077" spans="1:100">
      <c r="A3077" s="374"/>
      <c r="C3077" s="374"/>
      <c r="CV3077" s="376"/>
    </row>
    <row r="3078" spans="1:100">
      <c r="A3078" s="374"/>
      <c r="C3078" s="374"/>
      <c r="CV3078" s="376"/>
    </row>
    <row r="3079" spans="1:100">
      <c r="A3079" s="374"/>
      <c r="C3079" s="374"/>
      <c r="CV3079" s="376"/>
    </row>
    <row r="3080" spans="1:100">
      <c r="A3080" s="374"/>
      <c r="C3080" s="374"/>
      <c r="CV3080" s="376"/>
    </row>
    <row r="3081" spans="1:100">
      <c r="A3081" s="374"/>
      <c r="C3081" s="374"/>
      <c r="CV3081" s="376"/>
    </row>
    <row r="3082" spans="1:100">
      <c r="A3082" s="374"/>
      <c r="C3082" s="374"/>
      <c r="CV3082" s="376"/>
    </row>
    <row r="3083" spans="1:100">
      <c r="A3083" s="374"/>
      <c r="C3083" s="374"/>
      <c r="CV3083" s="376"/>
    </row>
    <row r="3084" spans="1:100">
      <c r="A3084" s="374"/>
      <c r="C3084" s="374"/>
      <c r="CV3084" s="376"/>
    </row>
    <row r="3085" spans="1:100">
      <c r="A3085" s="374"/>
      <c r="C3085" s="374"/>
      <c r="CV3085" s="376"/>
    </row>
    <row r="3086" spans="1:100">
      <c r="A3086" s="374"/>
      <c r="C3086" s="374"/>
      <c r="CV3086" s="376"/>
    </row>
    <row r="3087" spans="1:100">
      <c r="A3087" s="374"/>
      <c r="C3087" s="374"/>
      <c r="CV3087" s="376"/>
    </row>
    <row r="3088" spans="1:100">
      <c r="A3088" s="374"/>
      <c r="C3088" s="374"/>
      <c r="CV3088" s="376"/>
    </row>
    <row r="3089" spans="1:100">
      <c r="A3089" s="374"/>
      <c r="C3089" s="374"/>
      <c r="CV3089" s="376"/>
    </row>
    <row r="3090" spans="1:100">
      <c r="A3090" s="374"/>
      <c r="C3090" s="374"/>
      <c r="CV3090" s="376"/>
    </row>
    <row r="3091" spans="1:100">
      <c r="A3091" s="374"/>
      <c r="C3091" s="374"/>
      <c r="CV3091" s="376"/>
    </row>
    <row r="3092" spans="1:100">
      <c r="A3092" s="374"/>
      <c r="C3092" s="374"/>
      <c r="CV3092" s="376"/>
    </row>
    <row r="3093" spans="1:100">
      <c r="A3093" s="374"/>
      <c r="C3093" s="374"/>
      <c r="CV3093" s="376"/>
    </row>
    <row r="3094" spans="1:100">
      <c r="A3094" s="374"/>
      <c r="C3094" s="374"/>
      <c r="CV3094" s="376"/>
    </row>
    <row r="3095" spans="1:100">
      <c r="A3095" s="374"/>
      <c r="C3095" s="374"/>
      <c r="CV3095" s="376"/>
    </row>
    <row r="3096" spans="1:100">
      <c r="A3096" s="374"/>
      <c r="C3096" s="374"/>
      <c r="CV3096" s="376"/>
    </row>
    <row r="3097" spans="1:100">
      <c r="A3097" s="374"/>
      <c r="C3097" s="374"/>
      <c r="CV3097" s="376"/>
    </row>
    <row r="3098" spans="1:100">
      <c r="A3098" s="374"/>
      <c r="C3098" s="374"/>
      <c r="CV3098" s="376"/>
    </row>
    <row r="3099" spans="1:100">
      <c r="A3099" s="374"/>
      <c r="C3099" s="374"/>
      <c r="CV3099" s="376"/>
    </row>
    <row r="3100" spans="1:100">
      <c r="A3100" s="374"/>
      <c r="C3100" s="374"/>
      <c r="CV3100" s="376"/>
    </row>
    <row r="3101" spans="1:100">
      <c r="A3101" s="374"/>
      <c r="C3101" s="374"/>
      <c r="CV3101" s="376"/>
    </row>
    <row r="3102" spans="1:100">
      <c r="A3102" s="374"/>
      <c r="C3102" s="374"/>
      <c r="CV3102" s="376"/>
    </row>
    <row r="3103" spans="1:100">
      <c r="A3103" s="374"/>
      <c r="C3103" s="374"/>
      <c r="CV3103" s="376"/>
    </row>
    <row r="3104" spans="1:100">
      <c r="A3104" s="374"/>
      <c r="C3104" s="374"/>
      <c r="CV3104" s="376"/>
    </row>
    <row r="3105" spans="1:100">
      <c r="A3105" s="374"/>
      <c r="C3105" s="374"/>
      <c r="CV3105" s="376"/>
    </row>
    <row r="3106" spans="1:100">
      <c r="A3106" s="374"/>
      <c r="C3106" s="374"/>
      <c r="CV3106" s="376"/>
    </row>
    <row r="3107" spans="1:100">
      <c r="A3107" s="374"/>
      <c r="C3107" s="374"/>
      <c r="CV3107" s="376"/>
    </row>
    <row r="3108" spans="1:100">
      <c r="A3108" s="374"/>
      <c r="C3108" s="374"/>
      <c r="CV3108" s="376"/>
    </row>
    <row r="3109" spans="1:100">
      <c r="A3109" s="374"/>
      <c r="C3109" s="374"/>
      <c r="CV3109" s="376"/>
    </row>
    <row r="3110" spans="1:100">
      <c r="A3110" s="374"/>
      <c r="C3110" s="374"/>
      <c r="CV3110" s="376"/>
    </row>
    <row r="3111" spans="1:100">
      <c r="A3111" s="374"/>
      <c r="C3111" s="374"/>
      <c r="CV3111" s="376"/>
    </row>
    <row r="3112" spans="1:100">
      <c r="A3112" s="374"/>
      <c r="C3112" s="374"/>
      <c r="CV3112" s="376"/>
    </row>
    <row r="3113" spans="1:100">
      <c r="A3113" s="374"/>
      <c r="C3113" s="374"/>
      <c r="CV3113" s="376"/>
    </row>
    <row r="3114" spans="1:100">
      <c r="A3114" s="374"/>
      <c r="C3114" s="374"/>
      <c r="CV3114" s="376"/>
    </row>
    <row r="3115" spans="1:100">
      <c r="A3115" s="374"/>
      <c r="C3115" s="374"/>
      <c r="CV3115" s="376"/>
    </row>
    <row r="3116" spans="1:100">
      <c r="A3116" s="374"/>
      <c r="C3116" s="374"/>
      <c r="CV3116" s="376"/>
    </row>
    <row r="3117" spans="1:100">
      <c r="A3117" s="374"/>
      <c r="C3117" s="374"/>
      <c r="CV3117" s="376"/>
    </row>
    <row r="3118" spans="1:100">
      <c r="A3118" s="374"/>
      <c r="C3118" s="374"/>
      <c r="CV3118" s="376"/>
    </row>
    <row r="3119" spans="1:100">
      <c r="A3119" s="374"/>
      <c r="C3119" s="374"/>
      <c r="CV3119" s="376"/>
    </row>
    <row r="3120" spans="1:100">
      <c r="A3120" s="374"/>
      <c r="C3120" s="374"/>
      <c r="CV3120" s="376"/>
    </row>
    <row r="3121" spans="1:100">
      <c r="A3121" s="374"/>
      <c r="C3121" s="374"/>
      <c r="CV3121" s="376"/>
    </row>
    <row r="3122" spans="1:100">
      <c r="A3122" s="374"/>
      <c r="C3122" s="374"/>
      <c r="CV3122" s="376"/>
    </row>
    <row r="3123" spans="1:100">
      <c r="A3123" s="374"/>
      <c r="C3123" s="374"/>
      <c r="CV3123" s="376"/>
    </row>
    <row r="3124" spans="1:100">
      <c r="A3124" s="374"/>
      <c r="C3124" s="374"/>
      <c r="CV3124" s="376"/>
    </row>
    <row r="3125" spans="1:100">
      <c r="A3125" s="374"/>
      <c r="C3125" s="374"/>
      <c r="CV3125" s="376"/>
    </row>
    <row r="3126" spans="1:100">
      <c r="A3126" s="374"/>
      <c r="C3126" s="374"/>
      <c r="CV3126" s="376"/>
    </row>
    <row r="3127" spans="1:100">
      <c r="A3127" s="374"/>
      <c r="C3127" s="374"/>
      <c r="CV3127" s="376"/>
    </row>
    <row r="3128" spans="1:100">
      <c r="A3128" s="374"/>
      <c r="C3128" s="374"/>
      <c r="CV3128" s="376"/>
    </row>
    <row r="3129" spans="1:100">
      <c r="A3129" s="374"/>
      <c r="C3129" s="374"/>
      <c r="CV3129" s="376"/>
    </row>
    <row r="3130" spans="1:100">
      <c r="A3130" s="374"/>
      <c r="C3130" s="374"/>
      <c r="CV3130" s="376"/>
    </row>
    <row r="3131" spans="1:100">
      <c r="A3131" s="374"/>
      <c r="C3131" s="374"/>
      <c r="CV3131" s="376"/>
    </row>
    <row r="3132" spans="1:100">
      <c r="A3132" s="374"/>
      <c r="C3132" s="374"/>
      <c r="CV3132" s="376"/>
    </row>
    <row r="3133" spans="1:100">
      <c r="A3133" s="374"/>
      <c r="C3133" s="374"/>
      <c r="CV3133" s="376"/>
    </row>
    <row r="3134" spans="1:100">
      <c r="A3134" s="374"/>
      <c r="C3134" s="374"/>
      <c r="CV3134" s="376"/>
    </row>
    <row r="3135" spans="1:100">
      <c r="A3135" s="374"/>
      <c r="C3135" s="374"/>
      <c r="CV3135" s="376"/>
    </row>
    <row r="3136" spans="1:100">
      <c r="A3136" s="374"/>
      <c r="C3136" s="374"/>
      <c r="CV3136" s="376"/>
    </row>
    <row r="3137" spans="1:100">
      <c r="A3137" s="374"/>
      <c r="C3137" s="374"/>
      <c r="CV3137" s="376"/>
    </row>
    <row r="3138" spans="1:100">
      <c r="A3138" s="374"/>
      <c r="C3138" s="374"/>
      <c r="CV3138" s="376"/>
    </row>
    <row r="3139" spans="1:100">
      <c r="A3139" s="374"/>
      <c r="C3139" s="374"/>
      <c r="CV3139" s="376"/>
    </row>
    <row r="3140" spans="1:100">
      <c r="A3140" s="374"/>
      <c r="C3140" s="374"/>
      <c r="CV3140" s="376"/>
    </row>
    <row r="3141" spans="1:100">
      <c r="A3141" s="374"/>
      <c r="C3141" s="374"/>
      <c r="CV3141" s="376"/>
    </row>
    <row r="3142" spans="1:100">
      <c r="A3142" s="374"/>
      <c r="C3142" s="374"/>
      <c r="CV3142" s="376"/>
    </row>
    <row r="3143" spans="1:100">
      <c r="A3143" s="374"/>
      <c r="C3143" s="374"/>
      <c r="CV3143" s="376"/>
    </row>
    <row r="3144" spans="1:100">
      <c r="A3144" s="374"/>
      <c r="C3144" s="374"/>
      <c r="CV3144" s="376"/>
    </row>
    <row r="3145" spans="1:100">
      <c r="A3145" s="374"/>
      <c r="C3145" s="374"/>
      <c r="CV3145" s="376"/>
    </row>
    <row r="3146" spans="1:100">
      <c r="A3146" s="374"/>
      <c r="C3146" s="374"/>
      <c r="CV3146" s="376"/>
    </row>
    <row r="3147" spans="1:100">
      <c r="A3147" s="374"/>
      <c r="C3147" s="374"/>
      <c r="CV3147" s="376"/>
    </row>
    <row r="3148" spans="1:100">
      <c r="A3148" s="374"/>
      <c r="C3148" s="374"/>
      <c r="CV3148" s="376"/>
    </row>
    <row r="3149" spans="1:100">
      <c r="A3149" s="374"/>
      <c r="C3149" s="374"/>
      <c r="CV3149" s="376"/>
    </row>
    <row r="3150" spans="1:100">
      <c r="A3150" s="374"/>
      <c r="C3150" s="374"/>
      <c r="CV3150" s="376"/>
    </row>
    <row r="3151" spans="1:100">
      <c r="A3151" s="374"/>
      <c r="C3151" s="374"/>
      <c r="CV3151" s="376"/>
    </row>
    <row r="3152" spans="1:100">
      <c r="A3152" s="374"/>
      <c r="C3152" s="374"/>
      <c r="CV3152" s="376"/>
    </row>
    <row r="3153" spans="1:100">
      <c r="A3153" s="374"/>
      <c r="C3153" s="374"/>
      <c r="CV3153" s="376"/>
    </row>
    <row r="3154" spans="1:100">
      <c r="A3154" s="374"/>
      <c r="C3154" s="374"/>
      <c r="CV3154" s="376"/>
    </row>
    <row r="3155" spans="1:100">
      <c r="A3155" s="374"/>
      <c r="C3155" s="374"/>
      <c r="CV3155" s="376"/>
    </row>
    <row r="3156" spans="1:100">
      <c r="A3156" s="374"/>
      <c r="C3156" s="374"/>
      <c r="CV3156" s="376"/>
    </row>
    <row r="3157" spans="1:100">
      <c r="A3157" s="374"/>
      <c r="C3157" s="374"/>
      <c r="CV3157" s="376"/>
    </row>
    <row r="3158" spans="1:100">
      <c r="A3158" s="374"/>
      <c r="C3158" s="374"/>
      <c r="CV3158" s="376"/>
    </row>
    <row r="3159" spans="1:100">
      <c r="A3159" s="374"/>
      <c r="C3159" s="374"/>
      <c r="CV3159" s="376"/>
    </row>
    <row r="3160" spans="1:100">
      <c r="A3160" s="374"/>
      <c r="C3160" s="374"/>
      <c r="CV3160" s="376"/>
    </row>
    <row r="3161" spans="1:100">
      <c r="A3161" s="374"/>
      <c r="C3161" s="374"/>
      <c r="CV3161" s="376"/>
    </row>
    <row r="3162" spans="1:100">
      <c r="A3162" s="374"/>
      <c r="C3162" s="374"/>
      <c r="CV3162" s="376"/>
    </row>
    <row r="3163" spans="1:100">
      <c r="A3163" s="374"/>
      <c r="C3163" s="374"/>
      <c r="CV3163" s="376"/>
    </row>
    <row r="3164" spans="1:100">
      <c r="A3164" s="374"/>
      <c r="C3164" s="374"/>
      <c r="CV3164" s="376"/>
    </row>
    <row r="3165" spans="1:100">
      <c r="A3165" s="374"/>
      <c r="C3165" s="374"/>
      <c r="CV3165" s="376"/>
    </row>
    <row r="3166" spans="1:100">
      <c r="A3166" s="374"/>
      <c r="C3166" s="374"/>
      <c r="CV3166" s="376"/>
    </row>
    <row r="3167" spans="1:100">
      <c r="A3167" s="374"/>
      <c r="C3167" s="374"/>
      <c r="CV3167" s="376"/>
    </row>
    <row r="3168" spans="1:100">
      <c r="A3168" s="374"/>
      <c r="C3168" s="374"/>
      <c r="CV3168" s="376"/>
    </row>
    <row r="3169" spans="1:100">
      <c r="A3169" s="374"/>
      <c r="C3169" s="374"/>
      <c r="CV3169" s="376"/>
    </row>
    <row r="3170" spans="1:100">
      <c r="A3170" s="374"/>
      <c r="C3170" s="374"/>
      <c r="CV3170" s="376"/>
    </row>
    <row r="3171" spans="1:100">
      <c r="A3171" s="374"/>
      <c r="C3171" s="374"/>
      <c r="CV3171" s="376"/>
    </row>
    <row r="3172" spans="1:100">
      <c r="A3172" s="374"/>
      <c r="C3172" s="374"/>
      <c r="CV3172" s="376"/>
    </row>
    <row r="3173" spans="1:100">
      <c r="A3173" s="374"/>
      <c r="C3173" s="374"/>
      <c r="CV3173" s="376"/>
    </row>
    <row r="3174" spans="1:100">
      <c r="A3174" s="374"/>
      <c r="C3174" s="374"/>
      <c r="CV3174" s="376"/>
    </row>
    <row r="3175" spans="1:100">
      <c r="A3175" s="374"/>
      <c r="C3175" s="374"/>
      <c r="CV3175" s="376"/>
    </row>
    <row r="3176" spans="1:100">
      <c r="A3176" s="374"/>
      <c r="C3176" s="374"/>
      <c r="CV3176" s="376"/>
    </row>
    <row r="3177" spans="1:100">
      <c r="A3177" s="374"/>
      <c r="C3177" s="374"/>
      <c r="CV3177" s="376"/>
    </row>
    <row r="3178" spans="1:100">
      <c r="A3178" s="374"/>
      <c r="C3178" s="374"/>
      <c r="CV3178" s="376"/>
    </row>
    <row r="3179" spans="1:100">
      <c r="A3179" s="374"/>
      <c r="C3179" s="374"/>
      <c r="CV3179" s="376"/>
    </row>
    <row r="3180" spans="1:100">
      <c r="A3180" s="374"/>
      <c r="C3180" s="374"/>
      <c r="CV3180" s="376"/>
    </row>
    <row r="3181" spans="1:100">
      <c r="A3181" s="374"/>
      <c r="C3181" s="374"/>
      <c r="CV3181" s="376"/>
    </row>
    <row r="3182" spans="1:100">
      <c r="A3182" s="374"/>
      <c r="C3182" s="374"/>
      <c r="CV3182" s="376"/>
    </row>
    <row r="3183" spans="1:100">
      <c r="A3183" s="374"/>
      <c r="C3183" s="374"/>
      <c r="CV3183" s="376"/>
    </row>
    <row r="3184" spans="1:100">
      <c r="A3184" s="374"/>
      <c r="C3184" s="374"/>
      <c r="CV3184" s="376"/>
    </row>
    <row r="3185" spans="1:100">
      <c r="A3185" s="374"/>
      <c r="C3185" s="374"/>
      <c r="CV3185" s="376"/>
    </row>
    <row r="3186" spans="1:100">
      <c r="A3186" s="374"/>
      <c r="C3186" s="374"/>
      <c r="CV3186" s="376"/>
    </row>
    <row r="3187" spans="1:100">
      <c r="A3187" s="374"/>
      <c r="C3187" s="374"/>
      <c r="CV3187" s="376"/>
    </row>
    <row r="3188" spans="1:100">
      <c r="A3188" s="374"/>
      <c r="C3188" s="374"/>
      <c r="CV3188" s="376"/>
    </row>
    <row r="3189" spans="1:100">
      <c r="A3189" s="374"/>
      <c r="C3189" s="374"/>
      <c r="CV3189" s="376"/>
    </row>
    <row r="3190" spans="1:100">
      <c r="A3190" s="374"/>
      <c r="C3190" s="374"/>
      <c r="CV3190" s="376"/>
    </row>
    <row r="3191" spans="1:100">
      <c r="A3191" s="374"/>
      <c r="C3191" s="374"/>
      <c r="CV3191" s="376"/>
    </row>
    <row r="3192" spans="1:100">
      <c r="A3192" s="374"/>
      <c r="C3192" s="374"/>
      <c r="CV3192" s="376"/>
    </row>
    <row r="3193" spans="1:100">
      <c r="A3193" s="374"/>
      <c r="C3193" s="374"/>
      <c r="CV3193" s="376"/>
    </row>
    <row r="3194" spans="1:100">
      <c r="A3194" s="374"/>
      <c r="C3194" s="374"/>
      <c r="CV3194" s="376"/>
    </row>
    <row r="3195" spans="1:100">
      <c r="A3195" s="374"/>
      <c r="C3195" s="374"/>
      <c r="CV3195" s="376"/>
    </row>
    <row r="3196" spans="1:100">
      <c r="A3196" s="374"/>
      <c r="C3196" s="374"/>
      <c r="CV3196" s="376"/>
    </row>
    <row r="3197" spans="1:100">
      <c r="A3197" s="374"/>
      <c r="C3197" s="374"/>
      <c r="CV3197" s="376"/>
    </row>
    <row r="3198" spans="1:100">
      <c r="A3198" s="374"/>
      <c r="C3198" s="374"/>
      <c r="CV3198" s="376"/>
    </row>
    <row r="3199" spans="1:100">
      <c r="A3199" s="374"/>
      <c r="C3199" s="374"/>
      <c r="CV3199" s="376"/>
    </row>
    <row r="3200" spans="1:100">
      <c r="A3200" s="374"/>
      <c r="C3200" s="374"/>
      <c r="CV3200" s="376"/>
    </row>
    <row r="3201" spans="1:100">
      <c r="A3201" s="374"/>
      <c r="C3201" s="374"/>
      <c r="CV3201" s="376"/>
    </row>
    <row r="3202" spans="1:100">
      <c r="A3202" s="374"/>
      <c r="C3202" s="374"/>
      <c r="CV3202" s="376"/>
    </row>
    <row r="3203" spans="1:100">
      <c r="A3203" s="374"/>
      <c r="C3203" s="374"/>
      <c r="CV3203" s="376"/>
    </row>
    <row r="3204" spans="1:100">
      <c r="A3204" s="374"/>
      <c r="C3204" s="374"/>
      <c r="CV3204" s="376"/>
    </row>
    <row r="3205" spans="1:100">
      <c r="A3205" s="374"/>
      <c r="C3205" s="374"/>
      <c r="CV3205" s="376"/>
    </row>
    <row r="3206" spans="1:100">
      <c r="A3206" s="374"/>
      <c r="C3206" s="374"/>
      <c r="CV3206" s="376"/>
    </row>
    <row r="3207" spans="1:100">
      <c r="A3207" s="374"/>
      <c r="C3207" s="374"/>
      <c r="CV3207" s="376"/>
    </row>
    <row r="3208" spans="1:100">
      <c r="A3208" s="374"/>
      <c r="C3208" s="374"/>
      <c r="CV3208" s="376"/>
    </row>
    <row r="3209" spans="1:100">
      <c r="A3209" s="374"/>
      <c r="C3209" s="374"/>
      <c r="CV3209" s="376"/>
    </row>
    <row r="3210" spans="1:100">
      <c r="A3210" s="374"/>
      <c r="C3210" s="374"/>
      <c r="CV3210" s="376"/>
    </row>
    <row r="3211" spans="1:100">
      <c r="A3211" s="374"/>
      <c r="C3211" s="374"/>
      <c r="CV3211" s="376"/>
    </row>
    <row r="3212" spans="1:100">
      <c r="A3212" s="374"/>
      <c r="C3212" s="374"/>
      <c r="CV3212" s="376"/>
    </row>
    <row r="3213" spans="1:100">
      <c r="A3213" s="374"/>
      <c r="C3213" s="374"/>
      <c r="CV3213" s="376"/>
    </row>
    <row r="3214" spans="1:100">
      <c r="A3214" s="374"/>
      <c r="C3214" s="374"/>
      <c r="CV3214" s="376"/>
    </row>
    <row r="3215" spans="1:100">
      <c r="A3215" s="374"/>
      <c r="C3215" s="374"/>
      <c r="CV3215" s="376"/>
    </row>
    <row r="3216" spans="1:100">
      <c r="A3216" s="374"/>
      <c r="C3216" s="374"/>
      <c r="CV3216" s="376"/>
    </row>
    <row r="3217" spans="1:100">
      <c r="A3217" s="374"/>
      <c r="C3217" s="374"/>
      <c r="CV3217" s="376"/>
    </row>
    <row r="3218" spans="1:100">
      <c r="A3218" s="374"/>
      <c r="C3218" s="374"/>
      <c r="CV3218" s="376"/>
    </row>
    <row r="3219" spans="1:100">
      <c r="A3219" s="374"/>
      <c r="C3219" s="374"/>
      <c r="CV3219" s="376"/>
    </row>
    <row r="3220" spans="1:100">
      <c r="A3220" s="374"/>
      <c r="C3220" s="374"/>
      <c r="CV3220" s="376"/>
    </row>
    <row r="3221" spans="1:100">
      <c r="A3221" s="374"/>
      <c r="C3221" s="374"/>
      <c r="CV3221" s="376"/>
    </row>
    <row r="3222" spans="1:100">
      <c r="A3222" s="374"/>
      <c r="C3222" s="374"/>
      <c r="CV3222" s="376"/>
    </row>
    <row r="3223" spans="1:100">
      <c r="A3223" s="374"/>
      <c r="C3223" s="374"/>
      <c r="CV3223" s="376"/>
    </row>
    <row r="3224" spans="1:100">
      <c r="A3224" s="374"/>
      <c r="C3224" s="374"/>
      <c r="CV3224" s="376"/>
    </row>
    <row r="3225" spans="1:100">
      <c r="A3225" s="374"/>
      <c r="C3225" s="374"/>
      <c r="CV3225" s="376"/>
    </row>
    <row r="3226" spans="1:100">
      <c r="A3226" s="374"/>
      <c r="C3226" s="374"/>
      <c r="CV3226" s="376"/>
    </row>
    <row r="3227" spans="1:100">
      <c r="A3227" s="374"/>
      <c r="C3227" s="374"/>
      <c r="CV3227" s="376"/>
    </row>
    <row r="3228" spans="1:100">
      <c r="A3228" s="374"/>
      <c r="C3228" s="374"/>
      <c r="CV3228" s="376"/>
    </row>
    <row r="3229" spans="1:100">
      <c r="A3229" s="374"/>
      <c r="C3229" s="374"/>
      <c r="CV3229" s="376"/>
    </row>
    <row r="3230" spans="1:100">
      <c r="A3230" s="374"/>
      <c r="C3230" s="374"/>
      <c r="CV3230" s="376"/>
    </row>
    <row r="3231" spans="1:100">
      <c r="A3231" s="374"/>
      <c r="C3231" s="374"/>
      <c r="CV3231" s="376"/>
    </row>
    <row r="3232" spans="1:100">
      <c r="A3232" s="374"/>
      <c r="C3232" s="374"/>
      <c r="CV3232" s="376"/>
    </row>
    <row r="3233" spans="1:100">
      <c r="A3233" s="374"/>
      <c r="C3233" s="374"/>
      <c r="CV3233" s="376"/>
    </row>
    <row r="3234" spans="1:100">
      <c r="A3234" s="374"/>
      <c r="C3234" s="374"/>
      <c r="CV3234" s="376"/>
    </row>
    <row r="3235" spans="1:100">
      <c r="A3235" s="374"/>
      <c r="C3235" s="374"/>
      <c r="CV3235" s="376"/>
    </row>
    <row r="3236" spans="1:100">
      <c r="A3236" s="374"/>
      <c r="C3236" s="374"/>
      <c r="CV3236" s="376"/>
    </row>
    <row r="3237" spans="1:100">
      <c r="A3237" s="374"/>
      <c r="C3237" s="374"/>
      <c r="CV3237" s="376"/>
    </row>
    <row r="3238" spans="1:100">
      <c r="A3238" s="374"/>
      <c r="C3238" s="374"/>
      <c r="CV3238" s="376"/>
    </row>
    <row r="3239" spans="1:100">
      <c r="A3239" s="374"/>
      <c r="C3239" s="374"/>
      <c r="CV3239" s="376"/>
    </row>
    <row r="3240" spans="1:100">
      <c r="A3240" s="374"/>
      <c r="C3240" s="374"/>
      <c r="CV3240" s="376"/>
    </row>
    <row r="3241" spans="1:100">
      <c r="A3241" s="374"/>
      <c r="C3241" s="374"/>
      <c r="CV3241" s="376"/>
    </row>
    <row r="3242" spans="1:100">
      <c r="A3242" s="374"/>
      <c r="C3242" s="374"/>
      <c r="CV3242" s="376"/>
    </row>
    <row r="3243" spans="1:100">
      <c r="A3243" s="374"/>
      <c r="C3243" s="374"/>
      <c r="CV3243" s="376"/>
    </row>
    <row r="3244" spans="1:100">
      <c r="A3244" s="374"/>
      <c r="C3244" s="374"/>
      <c r="CV3244" s="376"/>
    </row>
    <row r="3245" spans="1:100">
      <c r="A3245" s="374"/>
      <c r="C3245" s="374"/>
      <c r="CV3245" s="376"/>
    </row>
    <row r="3246" spans="1:100">
      <c r="A3246" s="374"/>
      <c r="C3246" s="374"/>
      <c r="CV3246" s="376"/>
    </row>
    <row r="3247" spans="1:100">
      <c r="A3247" s="374"/>
      <c r="C3247" s="374"/>
      <c r="CV3247" s="376"/>
    </row>
    <row r="3248" spans="1:100">
      <c r="A3248" s="374"/>
      <c r="C3248" s="374"/>
      <c r="CV3248" s="376"/>
    </row>
    <row r="3249" spans="1:100">
      <c r="A3249" s="374"/>
      <c r="C3249" s="374"/>
      <c r="CV3249" s="376"/>
    </row>
    <row r="3250" spans="1:100">
      <c r="A3250" s="374"/>
      <c r="C3250" s="374"/>
      <c r="CV3250" s="376"/>
    </row>
    <row r="3251" spans="1:100">
      <c r="A3251" s="374"/>
      <c r="C3251" s="374"/>
      <c r="CV3251" s="376"/>
    </row>
    <row r="3252" spans="1:100">
      <c r="A3252" s="374"/>
      <c r="C3252" s="374"/>
      <c r="CV3252" s="376"/>
    </row>
    <row r="3253" spans="1:100">
      <c r="A3253" s="374"/>
      <c r="C3253" s="374"/>
      <c r="CV3253" s="376"/>
    </row>
    <row r="3254" spans="1:100">
      <c r="A3254" s="374"/>
      <c r="C3254" s="374"/>
      <c r="CV3254" s="376"/>
    </row>
    <row r="3255" spans="1:100">
      <c r="A3255" s="374"/>
      <c r="C3255" s="374"/>
      <c r="CV3255" s="376"/>
    </row>
    <row r="3256" spans="1:100">
      <c r="A3256" s="374"/>
      <c r="C3256" s="374"/>
      <c r="CV3256" s="376"/>
    </row>
    <row r="3257" spans="1:100">
      <c r="A3257" s="374"/>
      <c r="C3257" s="374"/>
      <c r="CV3257" s="376"/>
    </row>
    <row r="3258" spans="1:100">
      <c r="A3258" s="374"/>
      <c r="C3258" s="374"/>
      <c r="CV3258" s="376"/>
    </row>
    <row r="3259" spans="1:100">
      <c r="A3259" s="374"/>
      <c r="C3259" s="374"/>
      <c r="CV3259" s="376"/>
    </row>
    <row r="3260" spans="1:100">
      <c r="A3260" s="374"/>
      <c r="C3260" s="374"/>
      <c r="CV3260" s="376"/>
    </row>
    <row r="3261" spans="1:100">
      <c r="A3261" s="374"/>
      <c r="C3261" s="374"/>
      <c r="CV3261" s="376"/>
    </row>
    <row r="3262" spans="1:100">
      <c r="A3262" s="374"/>
      <c r="C3262" s="374"/>
      <c r="CV3262" s="376"/>
    </row>
    <row r="3263" spans="1:100">
      <c r="A3263" s="374"/>
      <c r="C3263" s="374"/>
      <c r="CV3263" s="376"/>
    </row>
    <row r="3264" spans="1:100">
      <c r="A3264" s="374"/>
      <c r="C3264" s="374"/>
      <c r="CV3264" s="376"/>
    </row>
    <row r="3265" spans="1:100">
      <c r="A3265" s="374"/>
      <c r="C3265" s="374"/>
      <c r="CV3265" s="376"/>
    </row>
    <row r="3266" spans="1:100">
      <c r="A3266" s="374"/>
      <c r="C3266" s="374"/>
      <c r="CV3266" s="376"/>
    </row>
    <row r="3267" spans="1:100">
      <c r="A3267" s="374"/>
      <c r="C3267" s="374"/>
      <c r="CV3267" s="376"/>
    </row>
    <row r="3268" spans="1:100">
      <c r="A3268" s="374"/>
      <c r="C3268" s="374"/>
      <c r="CV3268" s="376"/>
    </row>
    <row r="3269" spans="1:100">
      <c r="A3269" s="374"/>
      <c r="C3269" s="374"/>
      <c r="CV3269" s="376"/>
    </row>
    <row r="3270" spans="1:100">
      <c r="A3270" s="374"/>
      <c r="C3270" s="374"/>
      <c r="CV3270" s="376"/>
    </row>
    <row r="3271" spans="1:100">
      <c r="A3271" s="374"/>
      <c r="C3271" s="374"/>
      <c r="CV3271" s="376"/>
    </row>
    <row r="3272" spans="1:100">
      <c r="A3272" s="374"/>
      <c r="C3272" s="374"/>
      <c r="CV3272" s="376"/>
    </row>
    <row r="3273" spans="1:100">
      <c r="A3273" s="374"/>
      <c r="C3273" s="374"/>
      <c r="CV3273" s="376"/>
    </row>
    <row r="3274" spans="1:100">
      <c r="A3274" s="374"/>
      <c r="C3274" s="374"/>
      <c r="CV3274" s="376"/>
    </row>
    <row r="3275" spans="1:100">
      <c r="A3275" s="374"/>
      <c r="C3275" s="374"/>
      <c r="CV3275" s="376"/>
    </row>
    <row r="3276" spans="1:100">
      <c r="A3276" s="374"/>
      <c r="C3276" s="374"/>
      <c r="CV3276" s="376"/>
    </row>
    <row r="3277" spans="1:100">
      <c r="A3277" s="374"/>
      <c r="C3277" s="374"/>
      <c r="CV3277" s="376"/>
    </row>
    <row r="3278" spans="1:100">
      <c r="A3278" s="374"/>
      <c r="C3278" s="374"/>
      <c r="CV3278" s="376"/>
    </row>
    <row r="3279" spans="1:100">
      <c r="A3279" s="374"/>
      <c r="C3279" s="374"/>
      <c r="CV3279" s="376"/>
    </row>
    <row r="3280" spans="1:100">
      <c r="A3280" s="374"/>
      <c r="C3280" s="374"/>
      <c r="CV3280" s="376"/>
    </row>
    <row r="3281" spans="1:100">
      <c r="A3281" s="374"/>
      <c r="C3281" s="374"/>
      <c r="CV3281" s="376"/>
    </row>
    <row r="3282" spans="1:100">
      <c r="A3282" s="374"/>
      <c r="C3282" s="374"/>
      <c r="CV3282" s="376"/>
    </row>
    <row r="3283" spans="1:100">
      <c r="A3283" s="374"/>
      <c r="C3283" s="374"/>
      <c r="CV3283" s="376"/>
    </row>
    <row r="3284" spans="1:100">
      <c r="A3284" s="374"/>
      <c r="C3284" s="374"/>
      <c r="CV3284" s="376"/>
    </row>
    <row r="3285" spans="1:100">
      <c r="A3285" s="374"/>
      <c r="C3285" s="374"/>
      <c r="CV3285" s="376"/>
    </row>
    <row r="3286" spans="1:100">
      <c r="A3286" s="374"/>
      <c r="C3286" s="374"/>
      <c r="CV3286" s="376"/>
    </row>
    <row r="3287" spans="1:100">
      <c r="A3287" s="374"/>
      <c r="C3287" s="374"/>
      <c r="CV3287" s="376"/>
    </row>
    <row r="3288" spans="1:100">
      <c r="A3288" s="374"/>
      <c r="C3288" s="374"/>
      <c r="CV3288" s="376"/>
    </row>
    <row r="3289" spans="1:100">
      <c r="A3289" s="374"/>
      <c r="C3289" s="374"/>
      <c r="CV3289" s="376"/>
    </row>
    <row r="3290" spans="1:100">
      <c r="A3290" s="374"/>
      <c r="C3290" s="374"/>
      <c r="CV3290" s="376"/>
    </row>
    <row r="3291" spans="1:100">
      <c r="A3291" s="374"/>
      <c r="C3291" s="374"/>
      <c r="CV3291" s="376"/>
    </row>
    <row r="3292" spans="1:100">
      <c r="A3292" s="374"/>
      <c r="C3292" s="374"/>
      <c r="CV3292" s="376"/>
    </row>
    <row r="3293" spans="1:100">
      <c r="A3293" s="374"/>
      <c r="C3293" s="374"/>
      <c r="CV3293" s="376"/>
    </row>
    <row r="3294" spans="1:100">
      <c r="A3294" s="374"/>
      <c r="C3294" s="374"/>
      <c r="CV3294" s="376"/>
    </row>
    <row r="3295" spans="1:100">
      <c r="A3295" s="374"/>
      <c r="C3295" s="374"/>
      <c r="CV3295" s="376"/>
    </row>
    <row r="3296" spans="1:100">
      <c r="A3296" s="374"/>
      <c r="C3296" s="374"/>
      <c r="CV3296" s="376"/>
    </row>
    <row r="3297" spans="1:100">
      <c r="A3297" s="374"/>
      <c r="C3297" s="374"/>
      <c r="CV3297" s="376"/>
    </row>
    <row r="3298" spans="1:100">
      <c r="A3298" s="374"/>
      <c r="C3298" s="374"/>
      <c r="CV3298" s="376"/>
    </row>
    <row r="3299" spans="1:100">
      <c r="A3299" s="374"/>
      <c r="C3299" s="374"/>
      <c r="CV3299" s="376"/>
    </row>
    <row r="3300" spans="1:100">
      <c r="A3300" s="374"/>
      <c r="C3300" s="374"/>
      <c r="CV3300" s="376"/>
    </row>
    <row r="3301" spans="1:100">
      <c r="A3301" s="374"/>
      <c r="C3301" s="374"/>
      <c r="CV3301" s="376"/>
    </row>
    <row r="3302" spans="1:100">
      <c r="A3302" s="374"/>
      <c r="C3302" s="374"/>
      <c r="CV3302" s="376"/>
    </row>
    <row r="3303" spans="1:100">
      <c r="A3303" s="374"/>
      <c r="C3303" s="374"/>
      <c r="CV3303" s="376"/>
    </row>
    <row r="3304" spans="1:100">
      <c r="A3304" s="374"/>
      <c r="C3304" s="374"/>
      <c r="CV3304" s="376"/>
    </row>
    <row r="3305" spans="1:100">
      <c r="A3305" s="374"/>
      <c r="C3305" s="374"/>
      <c r="CV3305" s="376"/>
    </row>
    <row r="3306" spans="1:100">
      <c r="A3306" s="374"/>
      <c r="C3306" s="374"/>
      <c r="CV3306" s="376"/>
    </row>
    <row r="3307" spans="1:100">
      <c r="A3307" s="374"/>
      <c r="C3307" s="374"/>
      <c r="CV3307" s="376"/>
    </row>
    <row r="3308" spans="1:100">
      <c r="A3308" s="374"/>
      <c r="C3308" s="374"/>
      <c r="CV3308" s="376"/>
    </row>
    <row r="3309" spans="1:100">
      <c r="A3309" s="374"/>
      <c r="C3309" s="374"/>
      <c r="CV3309" s="376"/>
    </row>
    <row r="3310" spans="1:100">
      <c r="A3310" s="374"/>
      <c r="C3310" s="374"/>
      <c r="CV3310" s="376"/>
    </row>
    <row r="3311" spans="1:100">
      <c r="A3311" s="374"/>
      <c r="C3311" s="374"/>
      <c r="CV3311" s="376"/>
    </row>
    <row r="3312" spans="1:100">
      <c r="A3312" s="374"/>
      <c r="C3312" s="374"/>
      <c r="CV3312" s="376"/>
    </row>
    <row r="3313" spans="1:100">
      <c r="A3313" s="374"/>
      <c r="C3313" s="374"/>
      <c r="CV3313" s="376"/>
    </row>
    <row r="3314" spans="1:100">
      <c r="A3314" s="374"/>
      <c r="C3314" s="374"/>
      <c r="CV3314" s="376"/>
    </row>
    <row r="3315" spans="1:100">
      <c r="A3315" s="374"/>
      <c r="C3315" s="374"/>
      <c r="CV3315" s="376"/>
    </row>
    <row r="3316" spans="1:100">
      <c r="A3316" s="374"/>
      <c r="C3316" s="374"/>
      <c r="CV3316" s="376"/>
    </row>
    <row r="3317" spans="1:100">
      <c r="A3317" s="374"/>
      <c r="C3317" s="374"/>
      <c r="CV3317" s="376"/>
    </row>
    <row r="3318" spans="1:100">
      <c r="A3318" s="374"/>
      <c r="C3318" s="374"/>
      <c r="CV3318" s="376"/>
    </row>
    <row r="3319" spans="1:100">
      <c r="A3319" s="374"/>
      <c r="C3319" s="374"/>
      <c r="CV3319" s="376"/>
    </row>
    <row r="3320" spans="1:100">
      <c r="A3320" s="374"/>
      <c r="C3320" s="374"/>
      <c r="CV3320" s="376"/>
    </row>
    <row r="3321" spans="1:100">
      <c r="A3321" s="374"/>
      <c r="C3321" s="374"/>
      <c r="CV3321" s="376"/>
    </row>
    <row r="3322" spans="1:100">
      <c r="A3322" s="374"/>
      <c r="C3322" s="374"/>
      <c r="CV3322" s="376"/>
    </row>
    <row r="3323" spans="1:100">
      <c r="A3323" s="374"/>
      <c r="C3323" s="374"/>
      <c r="CV3323" s="376"/>
    </row>
    <row r="3324" spans="1:100">
      <c r="A3324" s="374"/>
      <c r="C3324" s="374"/>
      <c r="CV3324" s="376"/>
    </row>
    <row r="3325" spans="1:100">
      <c r="A3325" s="374"/>
      <c r="C3325" s="374"/>
      <c r="CV3325" s="376"/>
    </row>
    <row r="3326" spans="1:100">
      <c r="A3326" s="374"/>
      <c r="C3326" s="374"/>
      <c r="CV3326" s="376"/>
    </row>
    <row r="3327" spans="1:100">
      <c r="A3327" s="374"/>
      <c r="C3327" s="374"/>
      <c r="CV3327" s="376"/>
    </row>
    <row r="3328" spans="1:100">
      <c r="A3328" s="374"/>
      <c r="C3328" s="374"/>
      <c r="CV3328" s="376"/>
    </row>
    <row r="3329" spans="1:100">
      <c r="A3329" s="374"/>
      <c r="C3329" s="374"/>
      <c r="CV3329" s="376"/>
    </row>
    <row r="3330" spans="1:100">
      <c r="A3330" s="374"/>
      <c r="C3330" s="374"/>
      <c r="CV3330" s="376"/>
    </row>
    <row r="3331" spans="1:100">
      <c r="A3331" s="374"/>
      <c r="C3331" s="374"/>
      <c r="CV3331" s="376"/>
    </row>
    <row r="3332" spans="1:100">
      <c r="A3332" s="374"/>
      <c r="C3332" s="374"/>
      <c r="CV3332" s="376"/>
    </row>
    <row r="3333" spans="1:100">
      <c r="A3333" s="374"/>
      <c r="C3333" s="374"/>
      <c r="CV3333" s="376"/>
    </row>
    <row r="3334" spans="1:100">
      <c r="A3334" s="374"/>
      <c r="C3334" s="374"/>
      <c r="CV3334" s="376"/>
    </row>
    <row r="3335" spans="1:100">
      <c r="A3335" s="374"/>
      <c r="C3335" s="374"/>
      <c r="CV3335" s="376"/>
    </row>
    <row r="3336" spans="1:100">
      <c r="A3336" s="374"/>
      <c r="C3336" s="374"/>
      <c r="CV3336" s="376"/>
    </row>
    <row r="3337" spans="1:100">
      <c r="A3337" s="374"/>
      <c r="C3337" s="374"/>
      <c r="CV3337" s="376"/>
    </row>
    <row r="3338" spans="1:100">
      <c r="A3338" s="374"/>
      <c r="C3338" s="374"/>
      <c r="CV3338" s="376"/>
    </row>
    <row r="3339" spans="1:100">
      <c r="A3339" s="374"/>
      <c r="C3339" s="374"/>
      <c r="CV3339" s="376"/>
    </row>
    <row r="3340" spans="1:100">
      <c r="A3340" s="374"/>
      <c r="C3340" s="374"/>
      <c r="CV3340" s="376"/>
    </row>
    <row r="3341" spans="1:100">
      <c r="A3341" s="374"/>
      <c r="C3341" s="374"/>
      <c r="CV3341" s="376"/>
    </row>
    <row r="3342" spans="1:100">
      <c r="A3342" s="374"/>
      <c r="C3342" s="374"/>
      <c r="CV3342" s="376"/>
    </row>
    <row r="3343" spans="1:100">
      <c r="A3343" s="374"/>
      <c r="C3343" s="374"/>
      <c r="CV3343" s="376"/>
    </row>
    <row r="3344" spans="1:100">
      <c r="A3344" s="374"/>
      <c r="C3344" s="374"/>
      <c r="CV3344" s="376"/>
    </row>
    <row r="3345" spans="1:100">
      <c r="A3345" s="374"/>
      <c r="C3345" s="374"/>
      <c r="CV3345" s="376"/>
    </row>
    <row r="3346" spans="1:100">
      <c r="A3346" s="374"/>
      <c r="C3346" s="374"/>
      <c r="CV3346" s="376"/>
    </row>
    <row r="3347" spans="1:100">
      <c r="A3347" s="374"/>
      <c r="C3347" s="374"/>
      <c r="CV3347" s="376"/>
    </row>
    <row r="3348" spans="1:100">
      <c r="A3348" s="374"/>
      <c r="C3348" s="374"/>
      <c r="CV3348" s="376"/>
    </row>
    <row r="3349" spans="1:100">
      <c r="A3349" s="374"/>
      <c r="C3349" s="374"/>
      <c r="CV3349" s="376"/>
    </row>
    <row r="3350" spans="1:100">
      <c r="A3350" s="374"/>
      <c r="C3350" s="374"/>
      <c r="CV3350" s="376"/>
    </row>
    <row r="3351" spans="1:100">
      <c r="A3351" s="374"/>
      <c r="C3351" s="374"/>
      <c r="CV3351" s="376"/>
    </row>
    <row r="3352" spans="1:100">
      <c r="A3352" s="374"/>
      <c r="C3352" s="374"/>
      <c r="CV3352" s="376"/>
    </row>
    <row r="3353" spans="1:100">
      <c r="A3353" s="374"/>
      <c r="C3353" s="374"/>
      <c r="CV3353" s="376"/>
    </row>
    <row r="3354" spans="1:100">
      <c r="A3354" s="374"/>
      <c r="C3354" s="374"/>
      <c r="CV3354" s="376"/>
    </row>
    <row r="3355" spans="1:100">
      <c r="A3355" s="374"/>
      <c r="C3355" s="374"/>
      <c r="CV3355" s="376"/>
    </row>
    <row r="3356" spans="1:100">
      <c r="A3356" s="374"/>
      <c r="C3356" s="374"/>
      <c r="CV3356" s="376"/>
    </row>
    <row r="3357" spans="1:100">
      <c r="A3357" s="374"/>
      <c r="C3357" s="374"/>
      <c r="CV3357" s="376"/>
    </row>
    <row r="3358" spans="1:100">
      <c r="A3358" s="374"/>
      <c r="C3358" s="374"/>
      <c r="CV3358" s="376"/>
    </row>
    <row r="3359" spans="1:100">
      <c r="A3359" s="374"/>
      <c r="C3359" s="374"/>
      <c r="CV3359" s="376"/>
    </row>
    <row r="3360" spans="1:100">
      <c r="A3360" s="374"/>
      <c r="C3360" s="374"/>
      <c r="CV3360" s="376"/>
    </row>
    <row r="3361" spans="1:100">
      <c r="A3361" s="374"/>
      <c r="C3361" s="374"/>
      <c r="CV3361" s="376"/>
    </row>
    <row r="3362" spans="1:100">
      <c r="A3362" s="374"/>
      <c r="C3362" s="374"/>
      <c r="CV3362" s="376"/>
    </row>
    <row r="3363" spans="1:100">
      <c r="A3363" s="374"/>
      <c r="C3363" s="374"/>
      <c r="CV3363" s="376"/>
    </row>
    <row r="3364" spans="1:100">
      <c r="A3364" s="374"/>
      <c r="C3364" s="374"/>
      <c r="CV3364" s="376"/>
    </row>
    <row r="3365" spans="1:100">
      <c r="A3365" s="374"/>
      <c r="C3365" s="374"/>
      <c r="CV3365" s="376"/>
    </row>
    <row r="3366" spans="1:100">
      <c r="A3366" s="374"/>
      <c r="C3366" s="374"/>
      <c r="CV3366" s="376"/>
    </row>
    <row r="3367" spans="1:100">
      <c r="A3367" s="374"/>
      <c r="C3367" s="374"/>
      <c r="CV3367" s="376"/>
    </row>
    <row r="3368" spans="1:100">
      <c r="A3368" s="374"/>
      <c r="C3368" s="374"/>
      <c r="CV3368" s="376"/>
    </row>
    <row r="3369" spans="1:100">
      <c r="A3369" s="374"/>
      <c r="C3369" s="374"/>
      <c r="CV3369" s="376"/>
    </row>
    <row r="3370" spans="1:100">
      <c r="A3370" s="374"/>
      <c r="C3370" s="374"/>
      <c r="CV3370" s="376"/>
    </row>
    <row r="3371" spans="1:100">
      <c r="A3371" s="374"/>
      <c r="C3371" s="374"/>
      <c r="CV3371" s="376"/>
    </row>
    <row r="3372" spans="1:100">
      <c r="A3372" s="374"/>
      <c r="C3372" s="374"/>
      <c r="CV3372" s="376"/>
    </row>
    <row r="3373" spans="1:100">
      <c r="A3373" s="374"/>
      <c r="C3373" s="374"/>
      <c r="CV3373" s="376"/>
    </row>
    <row r="3374" spans="1:100">
      <c r="A3374" s="374"/>
      <c r="C3374" s="374"/>
      <c r="CV3374" s="376"/>
    </row>
    <row r="3375" spans="1:100">
      <c r="A3375" s="374"/>
      <c r="C3375" s="374"/>
      <c r="CV3375" s="376"/>
    </row>
    <row r="3376" spans="1:100">
      <c r="A3376" s="374"/>
      <c r="C3376" s="374"/>
      <c r="CV3376" s="376"/>
    </row>
    <row r="3377" spans="1:100">
      <c r="A3377" s="374"/>
      <c r="C3377" s="374"/>
      <c r="CV3377" s="376"/>
    </row>
    <row r="3378" spans="1:100">
      <c r="A3378" s="374"/>
      <c r="C3378" s="374"/>
      <c r="CV3378" s="376"/>
    </row>
    <row r="3379" spans="1:100">
      <c r="A3379" s="374"/>
      <c r="C3379" s="374"/>
      <c r="CV3379" s="376"/>
    </row>
    <row r="3380" spans="1:100">
      <c r="A3380" s="374"/>
      <c r="C3380" s="374"/>
      <c r="CV3380" s="376"/>
    </row>
    <row r="3381" spans="1:100">
      <c r="A3381" s="374"/>
      <c r="C3381" s="374"/>
      <c r="CV3381" s="376"/>
    </row>
    <row r="3382" spans="1:100">
      <c r="A3382" s="374"/>
      <c r="C3382" s="374"/>
      <c r="CV3382" s="376"/>
    </row>
    <row r="3383" spans="1:100">
      <c r="A3383" s="374"/>
      <c r="C3383" s="374"/>
      <c r="CV3383" s="376"/>
    </row>
    <row r="3384" spans="1:100">
      <c r="A3384" s="374"/>
      <c r="C3384" s="374"/>
      <c r="CV3384" s="376"/>
    </row>
    <row r="3385" spans="1:100">
      <c r="A3385" s="374"/>
      <c r="C3385" s="374"/>
      <c r="CV3385" s="376"/>
    </row>
    <row r="3386" spans="1:100">
      <c r="A3386" s="374"/>
      <c r="C3386" s="374"/>
      <c r="CV3386" s="376"/>
    </row>
    <row r="3387" spans="1:100">
      <c r="A3387" s="374"/>
      <c r="C3387" s="374"/>
      <c r="CV3387" s="376"/>
    </row>
    <row r="3388" spans="1:100">
      <c r="A3388" s="374"/>
      <c r="C3388" s="374"/>
      <c r="CV3388" s="376"/>
    </row>
    <row r="3389" spans="1:100">
      <c r="A3389" s="374"/>
      <c r="C3389" s="374"/>
      <c r="CV3389" s="376"/>
    </row>
    <row r="3390" spans="1:100">
      <c r="A3390" s="374"/>
      <c r="C3390" s="374"/>
      <c r="CV3390" s="376"/>
    </row>
    <row r="3391" spans="1:100">
      <c r="A3391" s="374"/>
      <c r="C3391" s="374"/>
      <c r="CV3391" s="376"/>
    </row>
    <row r="3392" spans="1:100">
      <c r="A3392" s="374"/>
      <c r="C3392" s="374"/>
      <c r="CV3392" s="376"/>
    </row>
    <row r="3393" spans="1:100">
      <c r="A3393" s="374"/>
      <c r="C3393" s="374"/>
      <c r="CV3393" s="376"/>
    </row>
    <row r="3394" spans="1:100">
      <c r="A3394" s="374"/>
      <c r="C3394" s="374"/>
      <c r="CV3394" s="376"/>
    </row>
    <row r="3395" spans="1:100">
      <c r="A3395" s="374"/>
      <c r="C3395" s="374"/>
      <c r="CV3395" s="376"/>
    </row>
    <row r="3396" spans="1:100">
      <c r="A3396" s="374"/>
      <c r="C3396" s="374"/>
      <c r="CV3396" s="376"/>
    </row>
    <row r="3397" spans="1:100">
      <c r="A3397" s="374"/>
      <c r="C3397" s="374"/>
      <c r="CV3397" s="376"/>
    </row>
    <row r="3398" spans="1:100">
      <c r="A3398" s="374"/>
      <c r="C3398" s="374"/>
      <c r="CV3398" s="376"/>
    </row>
    <row r="3399" spans="1:100">
      <c r="A3399" s="374"/>
      <c r="C3399" s="374"/>
      <c r="CV3399" s="376"/>
    </row>
    <row r="3400" spans="1:100">
      <c r="A3400" s="374"/>
      <c r="C3400" s="374"/>
      <c r="CV3400" s="376"/>
    </row>
    <row r="3401" spans="1:100">
      <c r="A3401" s="374"/>
      <c r="C3401" s="374"/>
      <c r="CV3401" s="376"/>
    </row>
    <row r="3402" spans="1:100">
      <c r="A3402" s="374"/>
      <c r="C3402" s="374"/>
      <c r="CV3402" s="376"/>
    </row>
    <row r="3403" spans="1:100">
      <c r="A3403" s="374"/>
      <c r="C3403" s="374"/>
      <c r="CV3403" s="376"/>
    </row>
    <row r="3404" spans="1:100">
      <c r="A3404" s="374"/>
      <c r="C3404" s="374"/>
      <c r="CV3404" s="376"/>
    </row>
    <row r="3405" spans="1:100">
      <c r="A3405" s="374"/>
      <c r="C3405" s="374"/>
      <c r="CV3405" s="376"/>
    </row>
    <row r="3406" spans="1:100">
      <c r="A3406" s="374"/>
      <c r="C3406" s="374"/>
      <c r="CV3406" s="376"/>
    </row>
    <row r="3407" spans="1:100">
      <c r="A3407" s="374"/>
      <c r="C3407" s="374"/>
      <c r="CV3407" s="376"/>
    </row>
    <row r="3408" spans="1:100">
      <c r="A3408" s="374"/>
      <c r="C3408" s="374"/>
      <c r="CV3408" s="376"/>
    </row>
    <row r="3409" spans="1:100">
      <c r="A3409" s="374"/>
      <c r="C3409" s="374"/>
      <c r="CV3409" s="376"/>
    </row>
    <row r="3410" spans="1:100">
      <c r="A3410" s="374"/>
      <c r="C3410" s="374"/>
      <c r="CV3410" s="376"/>
    </row>
    <row r="3411" spans="1:100">
      <c r="A3411" s="374"/>
      <c r="C3411" s="374"/>
      <c r="CV3411" s="376"/>
    </row>
    <row r="3412" spans="1:100">
      <c r="A3412" s="374"/>
      <c r="C3412" s="374"/>
      <c r="CV3412" s="376"/>
    </row>
    <row r="3413" spans="1:100">
      <c r="A3413" s="374"/>
      <c r="C3413" s="374"/>
      <c r="CV3413" s="376"/>
    </row>
    <row r="3414" spans="1:100">
      <c r="A3414" s="374"/>
      <c r="C3414" s="374"/>
      <c r="CV3414" s="376"/>
    </row>
    <row r="3415" spans="1:100">
      <c r="A3415" s="374"/>
      <c r="C3415" s="374"/>
      <c r="CV3415" s="376"/>
    </row>
    <row r="3416" spans="1:100">
      <c r="A3416" s="374"/>
      <c r="C3416" s="374"/>
      <c r="CV3416" s="376"/>
    </row>
    <row r="3417" spans="1:100">
      <c r="A3417" s="374"/>
      <c r="C3417" s="374"/>
      <c r="CV3417" s="376"/>
    </row>
    <row r="3418" spans="1:100">
      <c r="A3418" s="374"/>
      <c r="C3418" s="374"/>
      <c r="CV3418" s="376"/>
    </row>
    <row r="3419" spans="1:100">
      <c r="A3419" s="374"/>
      <c r="C3419" s="374"/>
      <c r="CV3419" s="376"/>
    </row>
    <row r="3420" spans="1:100">
      <c r="A3420" s="374"/>
      <c r="C3420" s="374"/>
      <c r="CV3420" s="376"/>
    </row>
    <row r="3421" spans="1:100">
      <c r="A3421" s="374"/>
      <c r="C3421" s="374"/>
      <c r="CV3421" s="376"/>
    </row>
    <row r="3422" spans="1:100">
      <c r="A3422" s="374"/>
      <c r="C3422" s="374"/>
      <c r="CV3422" s="376"/>
    </row>
    <row r="3423" spans="1:100">
      <c r="A3423" s="374"/>
      <c r="C3423" s="374"/>
      <c r="CV3423" s="376"/>
    </row>
    <row r="3424" spans="1:100">
      <c r="A3424" s="374"/>
      <c r="C3424" s="374"/>
      <c r="CV3424" s="376"/>
    </row>
    <row r="3425" spans="1:100">
      <c r="A3425" s="374"/>
      <c r="C3425" s="374"/>
      <c r="CV3425" s="376"/>
    </row>
    <row r="3426" spans="1:100">
      <c r="A3426" s="374"/>
      <c r="C3426" s="374"/>
      <c r="CV3426" s="376"/>
    </row>
    <row r="3427" spans="1:100">
      <c r="A3427" s="374"/>
      <c r="C3427" s="374"/>
      <c r="CV3427" s="376"/>
    </row>
    <row r="3428" spans="1:100">
      <c r="A3428" s="374"/>
      <c r="C3428" s="374"/>
      <c r="CV3428" s="376"/>
    </row>
    <row r="3429" spans="1:100">
      <c r="A3429" s="374"/>
      <c r="C3429" s="374"/>
      <c r="CV3429" s="376"/>
    </row>
    <row r="3430" spans="1:100">
      <c r="A3430" s="374"/>
      <c r="C3430" s="374"/>
      <c r="CV3430" s="376"/>
    </row>
    <row r="3431" spans="1:100">
      <c r="A3431" s="374"/>
      <c r="C3431" s="374"/>
      <c r="CV3431" s="376"/>
    </row>
    <row r="3432" spans="1:100">
      <c r="A3432" s="374"/>
      <c r="C3432" s="374"/>
      <c r="CV3432" s="376"/>
    </row>
    <row r="3433" spans="1:100">
      <c r="A3433" s="374"/>
      <c r="C3433" s="374"/>
      <c r="CV3433" s="376"/>
    </row>
    <row r="3434" spans="1:100">
      <c r="A3434" s="374"/>
      <c r="C3434" s="374"/>
      <c r="CV3434" s="376"/>
    </row>
    <row r="3435" spans="1:100">
      <c r="A3435" s="374"/>
      <c r="C3435" s="374"/>
      <c r="CV3435" s="376"/>
    </row>
    <row r="3436" spans="1:100">
      <c r="A3436" s="374"/>
      <c r="C3436" s="374"/>
      <c r="CV3436" s="376"/>
    </row>
    <row r="3437" spans="1:100">
      <c r="A3437" s="374"/>
      <c r="C3437" s="374"/>
      <c r="CV3437" s="376"/>
    </row>
    <row r="3438" spans="1:100">
      <c r="A3438" s="374"/>
      <c r="C3438" s="374"/>
      <c r="CV3438" s="376"/>
    </row>
    <row r="3439" spans="1:100">
      <c r="A3439" s="374"/>
      <c r="C3439" s="374"/>
      <c r="CV3439" s="376"/>
    </row>
    <row r="3440" spans="1:100">
      <c r="A3440" s="374"/>
      <c r="C3440" s="374"/>
      <c r="CV3440" s="376"/>
    </row>
    <row r="3441" spans="1:100">
      <c r="A3441" s="374"/>
      <c r="C3441" s="374"/>
      <c r="CV3441" s="376"/>
    </row>
    <row r="3442" spans="1:100">
      <c r="A3442" s="374"/>
      <c r="C3442" s="374"/>
      <c r="CV3442" s="376"/>
    </row>
    <row r="3443" spans="1:100">
      <c r="A3443" s="374"/>
      <c r="C3443" s="374"/>
      <c r="CV3443" s="376"/>
    </row>
    <row r="3444" spans="1:100">
      <c r="A3444" s="374"/>
      <c r="C3444" s="374"/>
      <c r="CV3444" s="376"/>
    </row>
    <row r="3445" spans="1:100">
      <c r="A3445" s="374"/>
      <c r="C3445" s="374"/>
      <c r="CV3445" s="376"/>
    </row>
    <row r="3446" spans="1:100">
      <c r="A3446" s="374"/>
      <c r="C3446" s="374"/>
      <c r="CV3446" s="376"/>
    </row>
    <row r="3447" spans="1:100">
      <c r="A3447" s="374"/>
      <c r="C3447" s="374"/>
      <c r="CV3447" s="376"/>
    </row>
    <row r="3448" spans="1:100">
      <c r="A3448" s="374"/>
      <c r="C3448" s="374"/>
      <c r="CV3448" s="376"/>
    </row>
    <row r="3449" spans="1:100">
      <c r="A3449" s="374"/>
      <c r="C3449" s="374"/>
      <c r="CV3449" s="376"/>
    </row>
    <row r="3450" spans="1:100">
      <c r="A3450" s="374"/>
      <c r="C3450" s="374"/>
      <c r="CV3450" s="376"/>
    </row>
    <row r="3451" spans="1:100">
      <c r="A3451" s="374"/>
      <c r="C3451" s="374"/>
      <c r="CV3451" s="376"/>
    </row>
    <row r="3452" spans="1:100">
      <c r="A3452" s="374"/>
      <c r="C3452" s="374"/>
      <c r="CV3452" s="376"/>
    </row>
    <row r="3453" spans="1:100">
      <c r="A3453" s="374"/>
      <c r="C3453" s="374"/>
      <c r="CV3453" s="376"/>
    </row>
    <row r="3454" spans="1:100">
      <c r="A3454" s="374"/>
      <c r="C3454" s="374"/>
      <c r="CV3454" s="376"/>
    </row>
    <row r="3455" spans="1:100">
      <c r="A3455" s="374"/>
      <c r="C3455" s="374"/>
      <c r="CV3455" s="376"/>
    </row>
    <row r="3456" spans="1:100">
      <c r="A3456" s="374"/>
      <c r="C3456" s="374"/>
      <c r="CV3456" s="376"/>
    </row>
    <row r="3457" spans="1:100">
      <c r="A3457" s="374"/>
      <c r="C3457" s="374"/>
      <c r="CV3457" s="376"/>
    </row>
    <row r="3458" spans="1:100">
      <c r="A3458" s="374"/>
      <c r="C3458" s="374"/>
      <c r="CV3458" s="376"/>
    </row>
    <row r="3459" spans="1:100">
      <c r="A3459" s="374"/>
      <c r="C3459" s="374"/>
      <c r="CV3459" s="376"/>
    </row>
    <row r="3460" spans="1:100">
      <c r="A3460" s="374"/>
      <c r="C3460" s="374"/>
      <c r="CV3460" s="376"/>
    </row>
    <row r="3461" spans="1:100">
      <c r="A3461" s="374"/>
      <c r="C3461" s="374"/>
      <c r="CV3461" s="376"/>
    </row>
    <row r="3462" spans="1:100">
      <c r="A3462" s="374"/>
      <c r="C3462" s="374"/>
      <c r="CV3462" s="376"/>
    </row>
    <row r="3463" spans="1:100">
      <c r="A3463" s="374"/>
      <c r="C3463" s="374"/>
      <c r="CV3463" s="376"/>
    </row>
    <row r="3464" spans="1:100">
      <c r="A3464" s="374"/>
      <c r="C3464" s="374"/>
      <c r="CV3464" s="376"/>
    </row>
    <row r="3465" spans="1:100">
      <c r="A3465" s="374"/>
      <c r="C3465" s="374"/>
      <c r="CV3465" s="376"/>
    </row>
    <row r="3466" spans="1:100">
      <c r="A3466" s="374"/>
      <c r="C3466" s="374"/>
      <c r="CV3466" s="376"/>
    </row>
    <row r="3467" spans="1:100">
      <c r="A3467" s="374"/>
      <c r="C3467" s="374"/>
      <c r="CV3467" s="376"/>
    </row>
    <row r="3468" spans="1:100">
      <c r="A3468" s="374"/>
      <c r="C3468" s="374"/>
      <c r="CV3468" s="376"/>
    </row>
    <row r="3469" spans="1:100">
      <c r="A3469" s="374"/>
      <c r="C3469" s="374"/>
      <c r="CV3469" s="376"/>
    </row>
    <row r="3470" spans="1:100">
      <c r="A3470" s="374"/>
      <c r="C3470" s="374"/>
      <c r="CV3470" s="376"/>
    </row>
    <row r="3471" spans="1:100">
      <c r="A3471" s="374"/>
      <c r="C3471" s="374"/>
      <c r="CV3471" s="376"/>
    </row>
    <row r="3472" spans="1:100">
      <c r="A3472" s="374"/>
      <c r="C3472" s="374"/>
      <c r="CV3472" s="376"/>
    </row>
    <row r="3473" spans="1:100">
      <c r="A3473" s="374"/>
      <c r="C3473" s="374"/>
      <c r="CV3473" s="376"/>
    </row>
    <row r="3474" spans="1:100">
      <c r="A3474" s="374"/>
      <c r="C3474" s="374"/>
      <c r="CV3474" s="376"/>
    </row>
    <row r="3475" spans="1:100">
      <c r="A3475" s="374"/>
      <c r="C3475" s="374"/>
      <c r="CV3475" s="376"/>
    </row>
    <row r="3476" spans="1:100">
      <c r="A3476" s="374"/>
      <c r="C3476" s="374"/>
      <c r="CV3476" s="376"/>
    </row>
    <row r="3477" spans="1:100">
      <c r="A3477" s="374"/>
      <c r="C3477" s="374"/>
      <c r="CV3477" s="376"/>
    </row>
    <row r="3478" spans="1:100">
      <c r="A3478" s="374"/>
      <c r="C3478" s="374"/>
      <c r="CV3478" s="376"/>
    </row>
    <row r="3479" spans="1:100">
      <c r="A3479" s="374"/>
      <c r="C3479" s="374"/>
      <c r="CV3479" s="376"/>
    </row>
    <row r="3480" spans="1:100">
      <c r="A3480" s="374"/>
      <c r="C3480" s="374"/>
      <c r="CV3480" s="376"/>
    </row>
    <row r="3481" spans="1:100">
      <c r="A3481" s="374"/>
      <c r="C3481" s="374"/>
      <c r="CV3481" s="376"/>
    </row>
    <row r="3482" spans="1:100">
      <c r="A3482" s="374"/>
      <c r="C3482" s="374"/>
      <c r="CV3482" s="376"/>
    </row>
    <row r="3483" spans="1:100">
      <c r="A3483" s="374"/>
      <c r="C3483" s="374"/>
      <c r="CV3483" s="376"/>
    </row>
    <row r="3484" spans="1:100">
      <c r="A3484" s="374"/>
      <c r="C3484" s="374"/>
      <c r="CV3484" s="376"/>
    </row>
    <row r="3485" spans="1:100">
      <c r="A3485" s="374"/>
      <c r="C3485" s="374"/>
      <c r="CV3485" s="376"/>
    </row>
    <row r="3486" spans="1:100">
      <c r="A3486" s="374"/>
      <c r="C3486" s="374"/>
      <c r="CV3486" s="376"/>
    </row>
    <row r="3487" spans="1:100">
      <c r="A3487" s="374"/>
      <c r="C3487" s="374"/>
      <c r="CV3487" s="376"/>
    </row>
    <row r="3488" spans="1:100">
      <c r="A3488" s="374"/>
      <c r="C3488" s="374"/>
      <c r="CV3488" s="376"/>
    </row>
    <row r="3489" spans="1:100">
      <c r="A3489" s="374"/>
      <c r="C3489" s="374"/>
      <c r="CV3489" s="376"/>
    </row>
    <row r="3490" spans="1:100">
      <c r="A3490" s="374"/>
      <c r="C3490" s="374"/>
      <c r="CV3490" s="376"/>
    </row>
    <row r="3491" spans="1:100">
      <c r="A3491" s="374"/>
      <c r="C3491" s="374"/>
      <c r="CV3491" s="376"/>
    </row>
    <row r="3492" spans="1:100">
      <c r="A3492" s="374"/>
      <c r="C3492" s="374"/>
      <c r="CV3492" s="376"/>
    </row>
    <row r="3493" spans="1:100">
      <c r="A3493" s="374"/>
      <c r="C3493" s="374"/>
      <c r="CV3493" s="376"/>
    </row>
    <row r="3494" spans="1:100">
      <c r="A3494" s="374"/>
      <c r="C3494" s="374"/>
      <c r="CV3494" s="376"/>
    </row>
    <row r="3495" spans="1:100">
      <c r="A3495" s="374"/>
      <c r="C3495" s="374"/>
      <c r="CV3495" s="376"/>
    </row>
    <row r="3496" spans="1:100">
      <c r="A3496" s="374"/>
      <c r="C3496" s="374"/>
      <c r="CV3496" s="376"/>
    </row>
    <row r="3497" spans="1:100">
      <c r="A3497" s="374"/>
      <c r="C3497" s="374"/>
      <c r="CV3497" s="376"/>
    </row>
    <row r="3498" spans="1:100">
      <c r="A3498" s="374"/>
      <c r="C3498" s="374"/>
      <c r="CV3498" s="376"/>
    </row>
    <row r="3499" spans="1:100">
      <c r="A3499" s="374"/>
      <c r="C3499" s="374"/>
      <c r="CV3499" s="376"/>
    </row>
    <row r="3500" spans="1:100">
      <c r="A3500" s="374"/>
      <c r="C3500" s="374"/>
      <c r="CV3500" s="376"/>
    </row>
    <row r="3501" spans="1:100">
      <c r="A3501" s="374"/>
      <c r="C3501" s="374"/>
      <c r="CV3501" s="376"/>
    </row>
    <row r="3502" spans="1:100">
      <c r="A3502" s="374"/>
      <c r="C3502" s="374"/>
      <c r="CV3502" s="376"/>
    </row>
    <row r="3503" spans="1:100">
      <c r="A3503" s="374"/>
      <c r="C3503" s="374"/>
      <c r="CV3503" s="376"/>
    </row>
    <row r="3504" spans="1:100">
      <c r="A3504" s="374"/>
      <c r="C3504" s="374"/>
      <c r="CV3504" s="376"/>
    </row>
    <row r="3505" spans="1:100">
      <c r="A3505" s="374"/>
      <c r="C3505" s="374"/>
      <c r="CV3505" s="376"/>
    </row>
    <row r="3506" spans="1:100">
      <c r="A3506" s="374"/>
      <c r="C3506" s="374"/>
      <c r="CV3506" s="376"/>
    </row>
    <row r="3507" spans="1:100">
      <c r="A3507" s="374"/>
      <c r="C3507" s="374"/>
      <c r="CV3507" s="376"/>
    </row>
    <row r="3508" spans="1:100">
      <c r="A3508" s="374"/>
      <c r="C3508" s="374"/>
      <c r="CV3508" s="376"/>
    </row>
    <row r="3509" spans="1:100">
      <c r="A3509" s="374"/>
      <c r="C3509" s="374"/>
      <c r="CV3509" s="376"/>
    </row>
    <row r="3510" spans="1:100">
      <c r="A3510" s="374"/>
      <c r="C3510" s="374"/>
      <c r="CV3510" s="376"/>
    </row>
    <row r="3511" spans="1:100">
      <c r="A3511" s="374"/>
      <c r="C3511" s="374"/>
      <c r="CV3511" s="376"/>
    </row>
    <row r="3512" spans="1:100">
      <c r="A3512" s="374"/>
      <c r="C3512" s="374"/>
      <c r="CV3512" s="376"/>
    </row>
    <row r="3513" spans="1:100">
      <c r="A3513" s="374"/>
      <c r="C3513" s="374"/>
      <c r="CV3513" s="376"/>
    </row>
    <row r="3514" spans="1:100">
      <c r="A3514" s="374"/>
      <c r="C3514" s="374"/>
      <c r="CV3514" s="376"/>
    </row>
    <row r="3515" spans="1:100">
      <c r="A3515" s="374"/>
      <c r="C3515" s="374"/>
      <c r="CV3515" s="376"/>
    </row>
    <row r="3516" spans="1:100">
      <c r="A3516" s="374"/>
      <c r="C3516" s="374"/>
      <c r="CV3516" s="376"/>
    </row>
    <row r="3517" spans="1:100">
      <c r="A3517" s="374"/>
      <c r="C3517" s="374"/>
      <c r="CV3517" s="376"/>
    </row>
    <row r="3518" spans="1:100">
      <c r="A3518" s="374"/>
      <c r="C3518" s="374"/>
      <c r="CV3518" s="376"/>
    </row>
    <row r="3519" spans="1:100">
      <c r="A3519" s="374"/>
      <c r="C3519" s="374"/>
      <c r="CV3519" s="376"/>
    </row>
    <row r="3520" spans="1:100">
      <c r="A3520" s="374"/>
      <c r="C3520" s="374"/>
      <c r="CV3520" s="376"/>
    </row>
    <row r="3521" spans="1:100">
      <c r="A3521" s="374"/>
      <c r="C3521" s="374"/>
      <c r="CV3521" s="376"/>
    </row>
    <row r="3522" spans="1:100">
      <c r="A3522" s="374"/>
      <c r="C3522" s="374"/>
      <c r="CV3522" s="376"/>
    </row>
    <row r="3523" spans="1:100">
      <c r="A3523" s="374"/>
      <c r="C3523" s="374"/>
      <c r="CV3523" s="376"/>
    </row>
    <row r="3524" spans="1:100">
      <c r="A3524" s="374"/>
      <c r="C3524" s="374"/>
      <c r="CV3524" s="376"/>
    </row>
    <row r="3525" spans="1:100">
      <c r="A3525" s="374"/>
      <c r="C3525" s="374"/>
      <c r="CV3525" s="376"/>
    </row>
    <row r="3526" spans="1:100">
      <c r="A3526" s="374"/>
      <c r="C3526" s="374"/>
      <c r="CV3526" s="376"/>
    </row>
    <row r="3527" spans="1:100">
      <c r="A3527" s="374"/>
      <c r="C3527" s="374"/>
      <c r="CV3527" s="376"/>
    </row>
    <row r="3528" spans="1:100">
      <c r="A3528" s="374"/>
      <c r="C3528" s="374"/>
      <c r="CV3528" s="376"/>
    </row>
    <row r="3529" spans="1:100">
      <c r="A3529" s="374"/>
      <c r="C3529" s="374"/>
      <c r="CV3529" s="376"/>
    </row>
    <row r="3530" spans="1:100">
      <c r="A3530" s="374"/>
      <c r="C3530" s="374"/>
      <c r="CV3530" s="376"/>
    </row>
    <row r="3531" spans="1:100">
      <c r="A3531" s="374"/>
      <c r="C3531" s="374"/>
      <c r="CV3531" s="376"/>
    </row>
    <row r="3532" spans="1:100">
      <c r="A3532" s="374"/>
      <c r="C3532" s="374"/>
      <c r="CV3532" s="376"/>
    </row>
    <row r="3533" spans="1:100">
      <c r="A3533" s="374"/>
      <c r="C3533" s="374"/>
      <c r="CV3533" s="376"/>
    </row>
    <row r="3534" spans="1:100">
      <c r="A3534" s="374"/>
      <c r="C3534" s="374"/>
      <c r="CV3534" s="376"/>
    </row>
    <row r="3535" spans="1:100">
      <c r="A3535" s="374"/>
      <c r="C3535" s="374"/>
      <c r="CV3535" s="376"/>
    </row>
    <row r="3536" spans="1:100">
      <c r="A3536" s="374"/>
      <c r="C3536" s="374"/>
      <c r="CV3536" s="376"/>
    </row>
    <row r="3537" spans="1:100">
      <c r="A3537" s="374"/>
      <c r="C3537" s="374"/>
      <c r="CV3537" s="376"/>
    </row>
    <row r="3538" spans="1:100">
      <c r="A3538" s="374"/>
      <c r="C3538" s="374"/>
      <c r="CV3538" s="376"/>
    </row>
    <row r="3539" spans="1:100">
      <c r="A3539" s="374"/>
      <c r="C3539" s="374"/>
      <c r="CV3539" s="376"/>
    </row>
    <row r="3540" spans="1:100">
      <c r="A3540" s="374"/>
      <c r="C3540" s="374"/>
      <c r="CV3540" s="376"/>
    </row>
    <row r="3541" spans="1:100">
      <c r="A3541" s="374"/>
      <c r="C3541" s="374"/>
      <c r="CV3541" s="376"/>
    </row>
    <row r="3542" spans="1:100">
      <c r="A3542" s="374"/>
      <c r="C3542" s="374"/>
      <c r="CV3542" s="376"/>
    </row>
    <row r="3543" spans="1:100">
      <c r="A3543" s="374"/>
      <c r="C3543" s="374"/>
      <c r="CV3543" s="376"/>
    </row>
    <row r="3544" spans="1:100">
      <c r="A3544" s="374"/>
      <c r="C3544" s="374"/>
      <c r="CV3544" s="376"/>
    </row>
    <row r="3545" spans="1:100">
      <c r="A3545" s="374"/>
      <c r="C3545" s="374"/>
      <c r="CV3545" s="376"/>
    </row>
    <row r="3546" spans="1:100">
      <c r="A3546" s="374"/>
      <c r="C3546" s="374"/>
      <c r="CV3546" s="376"/>
    </row>
    <row r="3547" spans="1:100">
      <c r="A3547" s="374"/>
      <c r="C3547" s="374"/>
      <c r="CV3547" s="376"/>
    </row>
    <row r="3548" spans="1:100">
      <c r="A3548" s="374"/>
      <c r="C3548" s="374"/>
      <c r="CV3548" s="376"/>
    </row>
    <row r="3549" spans="1:100">
      <c r="A3549" s="374"/>
      <c r="C3549" s="374"/>
      <c r="CV3549" s="376"/>
    </row>
    <row r="3550" spans="1:100">
      <c r="A3550" s="374"/>
      <c r="C3550" s="374"/>
      <c r="CV3550" s="376"/>
    </row>
    <row r="3551" spans="1:100">
      <c r="A3551" s="374"/>
      <c r="C3551" s="374"/>
      <c r="CV3551" s="376"/>
    </row>
    <row r="3552" spans="1:100">
      <c r="A3552" s="374"/>
      <c r="C3552" s="374"/>
      <c r="CV3552" s="376"/>
    </row>
    <row r="3553" spans="1:100">
      <c r="A3553" s="374"/>
      <c r="C3553" s="374"/>
      <c r="CV3553" s="376"/>
    </row>
    <row r="3554" spans="1:100">
      <c r="A3554" s="374"/>
      <c r="C3554" s="374"/>
      <c r="CV3554" s="376"/>
    </row>
    <row r="3555" spans="1:100">
      <c r="A3555" s="374"/>
      <c r="C3555" s="374"/>
      <c r="CV3555" s="376"/>
    </row>
    <row r="3556" spans="1:100">
      <c r="A3556" s="374"/>
      <c r="C3556" s="374"/>
      <c r="CV3556" s="376"/>
    </row>
    <row r="3557" spans="1:100">
      <c r="A3557" s="374"/>
      <c r="C3557" s="374"/>
      <c r="CV3557" s="376"/>
    </row>
    <row r="3558" spans="1:100">
      <c r="A3558" s="374"/>
      <c r="C3558" s="374"/>
      <c r="CV3558" s="376"/>
    </row>
    <row r="3559" spans="1:100">
      <c r="A3559" s="374"/>
      <c r="C3559" s="374"/>
      <c r="CV3559" s="376"/>
    </row>
    <row r="3560" spans="1:100">
      <c r="A3560" s="374"/>
      <c r="C3560" s="374"/>
      <c r="CV3560" s="376"/>
    </row>
    <row r="3561" spans="1:100">
      <c r="A3561" s="374"/>
      <c r="C3561" s="374"/>
      <c r="CV3561" s="376"/>
    </row>
    <row r="3562" spans="1:100">
      <c r="A3562" s="374"/>
      <c r="C3562" s="374"/>
      <c r="CV3562" s="376"/>
    </row>
    <row r="3563" spans="1:100">
      <c r="A3563" s="374"/>
      <c r="C3563" s="374"/>
      <c r="CV3563" s="376"/>
    </row>
    <row r="3564" spans="1:100">
      <c r="A3564" s="374"/>
      <c r="C3564" s="374"/>
      <c r="CV3564" s="376"/>
    </row>
    <row r="3565" spans="1:100">
      <c r="A3565" s="374"/>
      <c r="C3565" s="374"/>
      <c r="CV3565" s="376"/>
    </row>
    <row r="3566" spans="1:100">
      <c r="A3566" s="374"/>
      <c r="C3566" s="374"/>
      <c r="CV3566" s="376"/>
    </row>
    <row r="3567" spans="1:100">
      <c r="A3567" s="374"/>
      <c r="C3567" s="374"/>
      <c r="CV3567" s="376"/>
    </row>
    <row r="3568" spans="1:100">
      <c r="A3568" s="374"/>
      <c r="C3568" s="374"/>
      <c r="CV3568" s="376"/>
    </row>
    <row r="3569" spans="1:100">
      <c r="A3569" s="374"/>
      <c r="C3569" s="374"/>
      <c r="CV3569" s="376"/>
    </row>
    <row r="3570" spans="1:100">
      <c r="A3570" s="374"/>
      <c r="C3570" s="374"/>
      <c r="CV3570" s="376"/>
    </row>
    <row r="3571" spans="1:100">
      <c r="A3571" s="374"/>
      <c r="C3571" s="374"/>
      <c r="CV3571" s="376"/>
    </row>
    <row r="3572" spans="1:100">
      <c r="A3572" s="374"/>
      <c r="C3572" s="374"/>
      <c r="CV3572" s="376"/>
    </row>
    <row r="3573" spans="1:100">
      <c r="A3573" s="374"/>
      <c r="C3573" s="374"/>
      <c r="CV3573" s="376"/>
    </row>
    <row r="3574" spans="1:100">
      <c r="A3574" s="374"/>
      <c r="C3574" s="374"/>
      <c r="CV3574" s="376"/>
    </row>
    <row r="3575" spans="1:100">
      <c r="A3575" s="374"/>
      <c r="C3575" s="374"/>
      <c r="CV3575" s="376"/>
    </row>
    <row r="3576" spans="1:100">
      <c r="A3576" s="374"/>
      <c r="C3576" s="374"/>
      <c r="CV3576" s="376"/>
    </row>
    <row r="3577" spans="1:100">
      <c r="A3577" s="374"/>
      <c r="C3577" s="374"/>
      <c r="CV3577" s="376"/>
    </row>
    <row r="3578" spans="1:100">
      <c r="A3578" s="374"/>
      <c r="C3578" s="374"/>
      <c r="CV3578" s="376"/>
    </row>
    <row r="3579" spans="1:100">
      <c r="A3579" s="374"/>
      <c r="C3579" s="374"/>
      <c r="CV3579" s="376"/>
    </row>
    <row r="3580" spans="1:100">
      <c r="A3580" s="374"/>
      <c r="C3580" s="374"/>
      <c r="CV3580" s="376"/>
    </row>
    <row r="3581" spans="1:100">
      <c r="A3581" s="374"/>
      <c r="C3581" s="374"/>
      <c r="CV3581" s="376"/>
    </row>
    <row r="3582" spans="1:100">
      <c r="A3582" s="374"/>
      <c r="C3582" s="374"/>
      <c r="CV3582" s="376"/>
    </row>
    <row r="3583" spans="1:100">
      <c r="A3583" s="374"/>
      <c r="C3583" s="374"/>
      <c r="CV3583" s="376"/>
    </row>
    <row r="3584" spans="1:100">
      <c r="A3584" s="374"/>
      <c r="C3584" s="374"/>
      <c r="CV3584" s="376"/>
    </row>
    <row r="3585" spans="1:100">
      <c r="A3585" s="374"/>
      <c r="C3585" s="374"/>
      <c r="CV3585" s="376"/>
    </row>
    <row r="3586" spans="1:100">
      <c r="A3586" s="374"/>
      <c r="C3586" s="374"/>
      <c r="CV3586" s="376"/>
    </row>
    <row r="3587" spans="1:100">
      <c r="A3587" s="374"/>
      <c r="C3587" s="374"/>
      <c r="CV3587" s="376"/>
    </row>
    <row r="3588" spans="1:100">
      <c r="A3588" s="374"/>
      <c r="C3588" s="374"/>
      <c r="CV3588" s="376"/>
    </row>
    <row r="3589" spans="1:100">
      <c r="A3589" s="374"/>
      <c r="C3589" s="374"/>
      <c r="CV3589" s="376"/>
    </row>
    <row r="3590" spans="1:100">
      <c r="A3590" s="374"/>
      <c r="C3590" s="374"/>
      <c r="CV3590" s="376"/>
    </row>
    <row r="3591" spans="1:100">
      <c r="A3591" s="374"/>
      <c r="C3591" s="374"/>
      <c r="CV3591" s="376"/>
    </row>
    <row r="3592" spans="1:100">
      <c r="A3592" s="374"/>
      <c r="C3592" s="374"/>
      <c r="CV3592" s="376"/>
    </row>
    <row r="3593" spans="1:100">
      <c r="A3593" s="374"/>
      <c r="C3593" s="374"/>
      <c r="CV3593" s="376"/>
    </row>
    <row r="3594" spans="1:100">
      <c r="A3594" s="374"/>
      <c r="C3594" s="374"/>
      <c r="CV3594" s="376"/>
    </row>
    <row r="3595" spans="1:100">
      <c r="A3595" s="374"/>
      <c r="C3595" s="374"/>
      <c r="CV3595" s="376"/>
    </row>
    <row r="3596" spans="1:100">
      <c r="A3596" s="374"/>
      <c r="C3596" s="374"/>
      <c r="CV3596" s="376"/>
    </row>
    <row r="3597" spans="1:100">
      <c r="A3597" s="374"/>
      <c r="C3597" s="374"/>
      <c r="CV3597" s="376"/>
    </row>
    <row r="3598" spans="1:100">
      <c r="A3598" s="374"/>
      <c r="C3598" s="374"/>
      <c r="CV3598" s="376"/>
    </row>
    <row r="3599" spans="1:100">
      <c r="A3599" s="374"/>
      <c r="C3599" s="374"/>
      <c r="CV3599" s="376"/>
    </row>
    <row r="3600" spans="1:100">
      <c r="A3600" s="374"/>
      <c r="C3600" s="374"/>
      <c r="CV3600" s="376"/>
    </row>
    <row r="3601" spans="1:100">
      <c r="A3601" s="374"/>
      <c r="C3601" s="374"/>
      <c r="CV3601" s="376"/>
    </row>
    <row r="3602" spans="1:100">
      <c r="A3602" s="374"/>
      <c r="C3602" s="374"/>
      <c r="CV3602" s="376"/>
    </row>
    <row r="3603" spans="1:100">
      <c r="A3603" s="374"/>
      <c r="C3603" s="374"/>
      <c r="CV3603" s="376"/>
    </row>
    <row r="3604" spans="1:100">
      <c r="A3604" s="374"/>
      <c r="C3604" s="374"/>
      <c r="CV3604" s="376"/>
    </row>
    <row r="3605" spans="1:100">
      <c r="A3605" s="374"/>
      <c r="C3605" s="374"/>
      <c r="CV3605" s="376"/>
    </row>
    <row r="3606" spans="1:100">
      <c r="A3606" s="374"/>
      <c r="C3606" s="374"/>
      <c r="CV3606" s="376"/>
    </row>
    <row r="3607" spans="1:100">
      <c r="A3607" s="374"/>
      <c r="C3607" s="374"/>
      <c r="CV3607" s="376"/>
    </row>
    <row r="3608" spans="1:100">
      <c r="A3608" s="374"/>
      <c r="C3608" s="374"/>
      <c r="CV3608" s="376"/>
    </row>
    <row r="3609" spans="1:100">
      <c r="A3609" s="374"/>
      <c r="C3609" s="374"/>
      <c r="CV3609" s="376"/>
    </row>
    <row r="3610" spans="1:100">
      <c r="A3610" s="374"/>
      <c r="C3610" s="374"/>
      <c r="CV3610" s="376"/>
    </row>
    <row r="3611" spans="1:100">
      <c r="A3611" s="374"/>
      <c r="C3611" s="374"/>
      <c r="CV3611" s="376"/>
    </row>
    <row r="3612" spans="1:100">
      <c r="A3612" s="374"/>
      <c r="C3612" s="374"/>
      <c r="CV3612" s="376"/>
    </row>
    <row r="3613" spans="1:100">
      <c r="A3613" s="374"/>
      <c r="C3613" s="374"/>
      <c r="CV3613" s="376"/>
    </row>
    <row r="3614" spans="1:100">
      <c r="A3614" s="374"/>
      <c r="C3614" s="374"/>
      <c r="CV3614" s="376"/>
    </row>
    <row r="3615" spans="1:100">
      <c r="A3615" s="374"/>
      <c r="C3615" s="374"/>
      <c r="CV3615" s="376"/>
    </row>
    <row r="3616" spans="1:100">
      <c r="A3616" s="374"/>
      <c r="C3616" s="374"/>
      <c r="CV3616" s="376"/>
    </row>
    <row r="3617" spans="1:100">
      <c r="A3617" s="374"/>
      <c r="C3617" s="374"/>
      <c r="CV3617" s="376"/>
    </row>
    <row r="3618" spans="1:100">
      <c r="A3618" s="374"/>
      <c r="C3618" s="374"/>
      <c r="CV3618" s="376"/>
    </row>
    <row r="3619" spans="1:100">
      <c r="A3619" s="374"/>
      <c r="C3619" s="374"/>
      <c r="CV3619" s="376"/>
    </row>
    <row r="3620" spans="1:100">
      <c r="A3620" s="374"/>
      <c r="C3620" s="374"/>
      <c r="CV3620" s="376"/>
    </row>
    <row r="3621" spans="1:100">
      <c r="A3621" s="374"/>
      <c r="C3621" s="374"/>
      <c r="CV3621" s="376"/>
    </row>
    <row r="3622" spans="1:100">
      <c r="A3622" s="374"/>
      <c r="C3622" s="374"/>
      <c r="CV3622" s="376"/>
    </row>
    <row r="3623" spans="1:100">
      <c r="A3623" s="374"/>
      <c r="C3623" s="374"/>
      <c r="CV3623" s="376"/>
    </row>
    <row r="3624" spans="1:100">
      <c r="A3624" s="374"/>
      <c r="C3624" s="374"/>
      <c r="CV3624" s="376"/>
    </row>
    <row r="3625" spans="1:100">
      <c r="A3625" s="374"/>
      <c r="C3625" s="374"/>
      <c r="CV3625" s="376"/>
    </row>
    <row r="3626" spans="1:100">
      <c r="A3626" s="374"/>
      <c r="C3626" s="374"/>
      <c r="CV3626" s="376"/>
    </row>
    <row r="3627" spans="1:100">
      <c r="A3627" s="374"/>
      <c r="C3627" s="374"/>
      <c r="CV3627" s="376"/>
    </row>
    <row r="3628" spans="1:100">
      <c r="A3628" s="374"/>
      <c r="C3628" s="374"/>
      <c r="CV3628" s="376"/>
    </row>
    <row r="3629" spans="1:100">
      <c r="A3629" s="374"/>
      <c r="C3629" s="374"/>
      <c r="CV3629" s="376"/>
    </row>
    <row r="3630" spans="1:100">
      <c r="A3630" s="374"/>
      <c r="C3630" s="374"/>
      <c r="CV3630" s="376"/>
    </row>
    <row r="3631" spans="1:100">
      <c r="A3631" s="374"/>
      <c r="C3631" s="374"/>
      <c r="CV3631" s="376"/>
    </row>
    <row r="3632" spans="1:100">
      <c r="A3632" s="374"/>
      <c r="C3632" s="374"/>
      <c r="CV3632" s="376"/>
    </row>
    <row r="3633" spans="1:100">
      <c r="A3633" s="374"/>
      <c r="C3633" s="374"/>
      <c r="CV3633" s="376"/>
    </row>
    <row r="3634" spans="1:100">
      <c r="A3634" s="374"/>
      <c r="C3634" s="374"/>
      <c r="CV3634" s="376"/>
    </row>
    <row r="3635" spans="1:100">
      <c r="A3635" s="374"/>
      <c r="C3635" s="374"/>
      <c r="CV3635" s="376"/>
    </row>
    <row r="3636" spans="1:100">
      <c r="A3636" s="374"/>
      <c r="C3636" s="374"/>
      <c r="CV3636" s="376"/>
    </row>
    <row r="3637" spans="1:100">
      <c r="A3637" s="374"/>
      <c r="C3637" s="374"/>
      <c r="CV3637" s="376"/>
    </row>
    <row r="3638" spans="1:100">
      <c r="A3638" s="374"/>
      <c r="C3638" s="374"/>
      <c r="CV3638" s="376"/>
    </row>
    <row r="3639" spans="1:100">
      <c r="A3639" s="374"/>
      <c r="C3639" s="374"/>
      <c r="CV3639" s="376"/>
    </row>
    <row r="3640" spans="1:100">
      <c r="A3640" s="374"/>
      <c r="C3640" s="374"/>
      <c r="CV3640" s="376"/>
    </row>
    <row r="3641" spans="1:100">
      <c r="A3641" s="374"/>
      <c r="C3641" s="374"/>
      <c r="CV3641" s="376"/>
    </row>
    <row r="3642" spans="1:100">
      <c r="A3642" s="374"/>
      <c r="C3642" s="374"/>
      <c r="CV3642" s="376"/>
    </row>
    <row r="3643" spans="1:100">
      <c r="A3643" s="374"/>
      <c r="C3643" s="374"/>
      <c r="CV3643" s="376"/>
    </row>
    <row r="3644" spans="1:100">
      <c r="A3644" s="374"/>
      <c r="C3644" s="374"/>
      <c r="CV3644" s="376"/>
    </row>
    <row r="3645" spans="1:100">
      <c r="A3645" s="374"/>
      <c r="C3645" s="374"/>
      <c r="CV3645" s="376"/>
    </row>
    <row r="3646" spans="1:100">
      <c r="A3646" s="374"/>
      <c r="C3646" s="374"/>
      <c r="CV3646" s="376"/>
    </row>
    <row r="3647" spans="1:100">
      <c r="A3647" s="374"/>
      <c r="C3647" s="374"/>
      <c r="CV3647" s="376"/>
    </row>
    <row r="3648" spans="1:100">
      <c r="A3648" s="374"/>
      <c r="C3648" s="374"/>
      <c r="CV3648" s="376"/>
    </row>
    <row r="3649" spans="1:100">
      <c r="A3649" s="374"/>
      <c r="C3649" s="374"/>
      <c r="CV3649" s="376"/>
    </row>
    <row r="3650" spans="1:100">
      <c r="A3650" s="374"/>
      <c r="C3650" s="374"/>
      <c r="CV3650" s="376"/>
    </row>
    <row r="3651" spans="1:100">
      <c r="A3651" s="374"/>
      <c r="C3651" s="374"/>
      <c r="CV3651" s="376"/>
    </row>
    <row r="3652" spans="1:100">
      <c r="A3652" s="374"/>
      <c r="C3652" s="374"/>
      <c r="CV3652" s="376"/>
    </row>
    <row r="3653" spans="1:100">
      <c r="A3653" s="374"/>
      <c r="C3653" s="374"/>
      <c r="CV3653" s="376"/>
    </row>
    <row r="3654" spans="1:100">
      <c r="A3654" s="374"/>
      <c r="C3654" s="374"/>
      <c r="CV3654" s="376"/>
    </row>
    <row r="3655" spans="1:100">
      <c r="A3655" s="374"/>
      <c r="C3655" s="374"/>
      <c r="CV3655" s="376"/>
    </row>
    <row r="3656" spans="1:100">
      <c r="A3656" s="374"/>
      <c r="C3656" s="374"/>
      <c r="CV3656" s="376"/>
    </row>
    <row r="3657" spans="1:100">
      <c r="A3657" s="374"/>
      <c r="C3657" s="374"/>
      <c r="CV3657" s="376"/>
    </row>
    <row r="3658" spans="1:100">
      <c r="A3658" s="374"/>
      <c r="C3658" s="374"/>
      <c r="CV3658" s="376"/>
    </row>
    <row r="3659" spans="1:100">
      <c r="A3659" s="374"/>
      <c r="C3659" s="374"/>
      <c r="CV3659" s="376"/>
    </row>
    <row r="3660" spans="1:100">
      <c r="A3660" s="374"/>
      <c r="C3660" s="374"/>
      <c r="CV3660" s="376"/>
    </row>
    <row r="3661" spans="1:100">
      <c r="A3661" s="374"/>
      <c r="C3661" s="374"/>
      <c r="CV3661" s="376"/>
    </row>
    <row r="3662" spans="1:100">
      <c r="A3662" s="374"/>
      <c r="C3662" s="374"/>
      <c r="CV3662" s="376"/>
    </row>
    <row r="3663" spans="1:100">
      <c r="A3663" s="374"/>
      <c r="C3663" s="374"/>
      <c r="CV3663" s="376"/>
    </row>
    <row r="3664" spans="1:100">
      <c r="A3664" s="374"/>
      <c r="C3664" s="374"/>
      <c r="CV3664" s="376"/>
    </row>
    <row r="3665" spans="1:100">
      <c r="A3665" s="374"/>
      <c r="C3665" s="374"/>
      <c r="CV3665" s="376"/>
    </row>
    <row r="3666" spans="1:100">
      <c r="A3666" s="374"/>
      <c r="C3666" s="374"/>
      <c r="CV3666" s="376"/>
    </row>
    <row r="3667" spans="1:100">
      <c r="A3667" s="374"/>
      <c r="C3667" s="374"/>
      <c r="CV3667" s="376"/>
    </row>
    <row r="3668" spans="1:100">
      <c r="A3668" s="374"/>
      <c r="C3668" s="374"/>
      <c r="CV3668" s="376"/>
    </row>
    <row r="3669" spans="1:100">
      <c r="A3669" s="374"/>
      <c r="C3669" s="374"/>
      <c r="CV3669" s="376"/>
    </row>
    <row r="3670" spans="1:100">
      <c r="A3670" s="374"/>
      <c r="C3670" s="374"/>
      <c r="CV3670" s="376"/>
    </row>
    <row r="3671" spans="1:100">
      <c r="A3671" s="374"/>
      <c r="C3671" s="374"/>
      <c r="CV3671" s="376"/>
    </row>
    <row r="3672" spans="1:100">
      <c r="A3672" s="374"/>
      <c r="C3672" s="374"/>
      <c r="CV3672" s="376"/>
    </row>
    <row r="3673" spans="1:100">
      <c r="A3673" s="374"/>
      <c r="C3673" s="374"/>
      <c r="CV3673" s="376"/>
    </row>
    <row r="3674" spans="1:100">
      <c r="A3674" s="374"/>
      <c r="C3674" s="374"/>
      <c r="CV3674" s="376"/>
    </row>
    <row r="3675" spans="1:100">
      <c r="A3675" s="374"/>
      <c r="C3675" s="374"/>
      <c r="CV3675" s="376"/>
    </row>
    <row r="3676" spans="1:100">
      <c r="A3676" s="374"/>
      <c r="C3676" s="374"/>
      <c r="CV3676" s="376"/>
    </row>
    <row r="3677" spans="1:100">
      <c r="A3677" s="374"/>
      <c r="C3677" s="374"/>
      <c r="CV3677" s="376"/>
    </row>
    <row r="3678" spans="1:100">
      <c r="A3678" s="374"/>
      <c r="C3678" s="374"/>
      <c r="CV3678" s="376"/>
    </row>
    <row r="3679" spans="1:100">
      <c r="A3679" s="374"/>
      <c r="C3679" s="374"/>
      <c r="CV3679" s="376"/>
    </row>
    <row r="3680" spans="1:100">
      <c r="A3680" s="374"/>
      <c r="C3680" s="374"/>
      <c r="CV3680" s="376"/>
    </row>
    <row r="3681" spans="1:100">
      <c r="A3681" s="374"/>
      <c r="C3681" s="374"/>
      <c r="CV3681" s="376"/>
    </row>
    <row r="3682" spans="1:100">
      <c r="A3682" s="374"/>
      <c r="C3682" s="374"/>
      <c r="CV3682" s="376"/>
    </row>
    <row r="3683" spans="1:100">
      <c r="A3683" s="374"/>
      <c r="C3683" s="374"/>
      <c r="CV3683" s="376"/>
    </row>
    <row r="3684" spans="1:100">
      <c r="A3684" s="374"/>
      <c r="C3684" s="374"/>
      <c r="CV3684" s="376"/>
    </row>
    <row r="3685" spans="1:100">
      <c r="A3685" s="374"/>
      <c r="C3685" s="374"/>
      <c r="CV3685" s="376"/>
    </row>
    <row r="3686" spans="1:100">
      <c r="A3686" s="374"/>
      <c r="C3686" s="374"/>
      <c r="CV3686" s="376"/>
    </row>
    <row r="3687" spans="1:100">
      <c r="A3687" s="374"/>
      <c r="C3687" s="374"/>
      <c r="CV3687" s="376"/>
    </row>
    <row r="3688" spans="1:100">
      <c r="A3688" s="374"/>
      <c r="C3688" s="374"/>
      <c r="CV3688" s="376"/>
    </row>
    <row r="3689" spans="1:100">
      <c r="A3689" s="374"/>
      <c r="C3689" s="374"/>
      <c r="CV3689" s="376"/>
    </row>
    <row r="3690" spans="1:100">
      <c r="A3690" s="374"/>
      <c r="C3690" s="374"/>
      <c r="CV3690" s="376"/>
    </row>
    <row r="3691" spans="1:100">
      <c r="A3691" s="374"/>
      <c r="C3691" s="374"/>
      <c r="CV3691" s="376"/>
    </row>
    <row r="3692" spans="1:100">
      <c r="A3692" s="374"/>
      <c r="C3692" s="374"/>
      <c r="CV3692" s="376"/>
    </row>
    <row r="3693" spans="1:100">
      <c r="A3693" s="374"/>
      <c r="C3693" s="374"/>
      <c r="CV3693" s="376"/>
    </row>
    <row r="3694" spans="1:100">
      <c r="A3694" s="374"/>
      <c r="C3694" s="374"/>
      <c r="CV3694" s="376"/>
    </row>
    <row r="3695" spans="1:100">
      <c r="A3695" s="374"/>
      <c r="C3695" s="374"/>
      <c r="CV3695" s="376"/>
    </row>
    <row r="3696" spans="1:100">
      <c r="A3696" s="374"/>
      <c r="C3696" s="374"/>
      <c r="CV3696" s="376"/>
    </row>
    <row r="3697" spans="1:100">
      <c r="A3697" s="374"/>
      <c r="C3697" s="374"/>
      <c r="CV3697" s="376"/>
    </row>
    <row r="3698" spans="1:100">
      <c r="A3698" s="374"/>
      <c r="C3698" s="374"/>
      <c r="CV3698" s="376"/>
    </row>
    <row r="3699" spans="1:100">
      <c r="A3699" s="374"/>
      <c r="C3699" s="374"/>
      <c r="CV3699" s="376"/>
    </row>
    <row r="3700" spans="1:100">
      <c r="A3700" s="374"/>
      <c r="C3700" s="374"/>
      <c r="CV3700" s="376"/>
    </row>
    <row r="3701" spans="1:100">
      <c r="A3701" s="374"/>
      <c r="C3701" s="374"/>
      <c r="CV3701" s="376"/>
    </row>
    <row r="3702" spans="1:100">
      <c r="A3702" s="374"/>
      <c r="C3702" s="374"/>
      <c r="CV3702" s="376"/>
    </row>
    <row r="3703" spans="1:100">
      <c r="A3703" s="374"/>
      <c r="C3703" s="374"/>
      <c r="CV3703" s="376"/>
    </row>
    <row r="3704" spans="1:100">
      <c r="A3704" s="374"/>
      <c r="C3704" s="374"/>
      <c r="CV3704" s="376"/>
    </row>
    <row r="3705" spans="1:100">
      <c r="A3705" s="374"/>
      <c r="C3705" s="374"/>
      <c r="CV3705" s="376"/>
    </row>
    <row r="3706" spans="1:100">
      <c r="A3706" s="374"/>
      <c r="C3706" s="374"/>
      <c r="CV3706" s="376"/>
    </row>
    <row r="3707" spans="1:100">
      <c r="A3707" s="374"/>
      <c r="C3707" s="374"/>
      <c r="CV3707" s="376"/>
    </row>
    <row r="3708" spans="1:100">
      <c r="A3708" s="374"/>
      <c r="C3708" s="374"/>
      <c r="CV3708" s="376"/>
    </row>
    <row r="3709" spans="1:100">
      <c r="A3709" s="374"/>
      <c r="C3709" s="374"/>
      <c r="CV3709" s="376"/>
    </row>
    <row r="3710" spans="1:100">
      <c r="A3710" s="374"/>
      <c r="C3710" s="374"/>
      <c r="CV3710" s="376"/>
    </row>
    <row r="3711" spans="1:100">
      <c r="A3711" s="374"/>
      <c r="C3711" s="374"/>
      <c r="CV3711" s="376"/>
    </row>
    <row r="3712" spans="1:100">
      <c r="A3712" s="374"/>
      <c r="C3712" s="374"/>
      <c r="CV3712" s="376"/>
    </row>
    <row r="3713" spans="1:100">
      <c r="A3713" s="374"/>
      <c r="C3713" s="374"/>
      <c r="CV3713" s="376"/>
    </row>
    <row r="3714" spans="1:100">
      <c r="A3714" s="374"/>
      <c r="C3714" s="374"/>
      <c r="CV3714" s="376"/>
    </row>
    <row r="3715" spans="1:100">
      <c r="A3715" s="374"/>
      <c r="C3715" s="374"/>
      <c r="CV3715" s="376"/>
    </row>
    <row r="3716" spans="1:100">
      <c r="A3716" s="374"/>
      <c r="C3716" s="374"/>
      <c r="CV3716" s="376"/>
    </row>
    <row r="3717" spans="1:100">
      <c r="A3717" s="374"/>
      <c r="C3717" s="374"/>
      <c r="CV3717" s="376"/>
    </row>
    <row r="3718" spans="1:100">
      <c r="A3718" s="374"/>
      <c r="C3718" s="374"/>
      <c r="CV3718" s="376"/>
    </row>
    <row r="3719" spans="1:100">
      <c r="A3719" s="374"/>
      <c r="C3719" s="374"/>
      <c r="CV3719" s="376"/>
    </row>
    <row r="3720" spans="1:100">
      <c r="A3720" s="374"/>
      <c r="C3720" s="374"/>
      <c r="CV3720" s="376"/>
    </row>
    <row r="3721" spans="1:100">
      <c r="A3721" s="374"/>
      <c r="C3721" s="374"/>
      <c r="CV3721" s="376"/>
    </row>
    <row r="3722" spans="1:100">
      <c r="A3722" s="374"/>
      <c r="C3722" s="374"/>
      <c r="CV3722" s="376"/>
    </row>
    <row r="3723" spans="1:100">
      <c r="A3723" s="374"/>
      <c r="C3723" s="374"/>
      <c r="CV3723" s="376"/>
    </row>
    <row r="3724" spans="1:100">
      <c r="A3724" s="374"/>
      <c r="C3724" s="374"/>
      <c r="CV3724" s="376"/>
    </row>
    <row r="3725" spans="1:100">
      <c r="A3725" s="374"/>
      <c r="C3725" s="374"/>
      <c r="CV3725" s="376"/>
    </row>
    <row r="3726" spans="1:100">
      <c r="A3726" s="374"/>
      <c r="C3726" s="374"/>
      <c r="CV3726" s="376"/>
    </row>
    <row r="3727" spans="1:100">
      <c r="A3727" s="374"/>
      <c r="C3727" s="374"/>
      <c r="CV3727" s="376"/>
    </row>
    <row r="3728" spans="1:100">
      <c r="A3728" s="374"/>
      <c r="C3728" s="374"/>
      <c r="CV3728" s="376"/>
    </row>
    <row r="3729" spans="1:100">
      <c r="A3729" s="374"/>
      <c r="C3729" s="374"/>
      <c r="CV3729" s="376"/>
    </row>
    <row r="3730" spans="1:100">
      <c r="A3730" s="374"/>
      <c r="C3730" s="374"/>
      <c r="CV3730" s="376"/>
    </row>
    <row r="3731" spans="1:100">
      <c r="A3731" s="374"/>
      <c r="C3731" s="374"/>
      <c r="CV3731" s="376"/>
    </row>
    <row r="3732" spans="1:100">
      <c r="A3732" s="374"/>
      <c r="C3732" s="374"/>
      <c r="CV3732" s="376"/>
    </row>
    <row r="3733" spans="1:100">
      <c r="A3733" s="374"/>
      <c r="C3733" s="374"/>
      <c r="CV3733" s="376"/>
    </row>
    <row r="3734" spans="1:100">
      <c r="A3734" s="374"/>
      <c r="C3734" s="374"/>
      <c r="CV3734" s="376"/>
    </row>
    <row r="3735" spans="1:100">
      <c r="A3735" s="374"/>
      <c r="C3735" s="374"/>
      <c r="CV3735" s="376"/>
    </row>
    <row r="3736" spans="1:100">
      <c r="A3736" s="374"/>
      <c r="C3736" s="374"/>
      <c r="CV3736" s="376"/>
    </row>
    <row r="3737" spans="1:100">
      <c r="A3737" s="374"/>
      <c r="C3737" s="374"/>
      <c r="CV3737" s="376"/>
    </row>
    <row r="3738" spans="1:100">
      <c r="A3738" s="374"/>
      <c r="C3738" s="374"/>
      <c r="CV3738" s="376"/>
    </row>
    <row r="3739" spans="1:100">
      <c r="A3739" s="374"/>
      <c r="C3739" s="374"/>
      <c r="CV3739" s="376"/>
    </row>
    <row r="3740" spans="1:100">
      <c r="A3740" s="374"/>
      <c r="C3740" s="374"/>
      <c r="CV3740" s="376"/>
    </row>
    <row r="3741" spans="1:100">
      <c r="A3741" s="374"/>
      <c r="C3741" s="374"/>
      <c r="CV3741" s="376"/>
    </row>
    <row r="3742" spans="1:100">
      <c r="A3742" s="374"/>
      <c r="C3742" s="374"/>
      <c r="CV3742" s="376"/>
    </row>
    <row r="3743" spans="1:100">
      <c r="A3743" s="374"/>
      <c r="C3743" s="374"/>
      <c r="CV3743" s="376"/>
    </row>
    <row r="3744" spans="1:100">
      <c r="A3744" s="374"/>
      <c r="C3744" s="374"/>
      <c r="CV3744" s="376"/>
    </row>
    <row r="3745" spans="1:100">
      <c r="A3745" s="374"/>
      <c r="C3745" s="374"/>
      <c r="CV3745" s="376"/>
    </row>
    <row r="3746" spans="1:100">
      <c r="A3746" s="374"/>
      <c r="C3746" s="374"/>
      <c r="CV3746" s="376"/>
    </row>
    <row r="3747" spans="1:100">
      <c r="A3747" s="374"/>
      <c r="C3747" s="374"/>
      <c r="CV3747" s="376"/>
    </row>
    <row r="3748" spans="1:100">
      <c r="A3748" s="374"/>
      <c r="C3748" s="374"/>
      <c r="CV3748" s="376"/>
    </row>
    <row r="3749" spans="1:100">
      <c r="A3749" s="374"/>
      <c r="C3749" s="374"/>
      <c r="CV3749" s="376"/>
    </row>
    <row r="3750" spans="1:100">
      <c r="A3750" s="374"/>
      <c r="C3750" s="374"/>
      <c r="CV3750" s="376"/>
    </row>
    <row r="3751" spans="1:100">
      <c r="A3751" s="374"/>
      <c r="C3751" s="374"/>
      <c r="CV3751" s="376"/>
    </row>
    <row r="3752" spans="1:100">
      <c r="A3752" s="374"/>
      <c r="C3752" s="374"/>
      <c r="CV3752" s="376"/>
    </row>
    <row r="3753" spans="1:100">
      <c r="A3753" s="374"/>
      <c r="C3753" s="374"/>
      <c r="CV3753" s="376"/>
    </row>
    <row r="3754" spans="1:100">
      <c r="A3754" s="374"/>
      <c r="C3754" s="374"/>
      <c r="CV3754" s="376"/>
    </row>
    <row r="3755" spans="1:100">
      <c r="A3755" s="374"/>
      <c r="C3755" s="374"/>
      <c r="CV3755" s="376"/>
    </row>
    <row r="3756" spans="1:100">
      <c r="A3756" s="374"/>
      <c r="C3756" s="374"/>
      <c r="CV3756" s="376"/>
    </row>
    <row r="3757" spans="1:100">
      <c r="A3757" s="374"/>
      <c r="C3757" s="374"/>
      <c r="CV3757" s="376"/>
    </row>
    <row r="3758" spans="1:100">
      <c r="A3758" s="374"/>
      <c r="C3758" s="374"/>
      <c r="CV3758" s="376"/>
    </row>
    <row r="3759" spans="1:100">
      <c r="A3759" s="374"/>
      <c r="C3759" s="374"/>
      <c r="CV3759" s="376"/>
    </row>
    <row r="3760" spans="1:100">
      <c r="A3760" s="374"/>
      <c r="C3760" s="374"/>
      <c r="CV3760" s="376"/>
    </row>
    <row r="3761" spans="1:100">
      <c r="A3761" s="374"/>
      <c r="C3761" s="374"/>
      <c r="CV3761" s="376"/>
    </row>
    <row r="3762" spans="1:100">
      <c r="A3762" s="374"/>
      <c r="C3762" s="374"/>
      <c r="CV3762" s="376"/>
    </row>
    <row r="3763" spans="1:100">
      <c r="A3763" s="374"/>
      <c r="C3763" s="374"/>
      <c r="CV3763" s="376"/>
    </row>
    <row r="3764" spans="1:100">
      <c r="A3764" s="374"/>
      <c r="C3764" s="374"/>
      <c r="CV3764" s="376"/>
    </row>
    <row r="3765" spans="1:100">
      <c r="A3765" s="374"/>
      <c r="C3765" s="374"/>
      <c r="CV3765" s="376"/>
    </row>
    <row r="3766" spans="1:100">
      <c r="A3766" s="374"/>
      <c r="C3766" s="374"/>
      <c r="CV3766" s="376"/>
    </row>
    <row r="3767" spans="1:100">
      <c r="A3767" s="374"/>
      <c r="C3767" s="374"/>
      <c r="CV3767" s="376"/>
    </row>
    <row r="3768" spans="1:100">
      <c r="A3768" s="374"/>
      <c r="C3768" s="374"/>
      <c r="CV3768" s="376"/>
    </row>
    <row r="3769" spans="1:100">
      <c r="A3769" s="374"/>
      <c r="C3769" s="374"/>
      <c r="CV3769" s="376"/>
    </row>
    <row r="3770" spans="1:100">
      <c r="A3770" s="374"/>
      <c r="C3770" s="374"/>
      <c r="CV3770" s="376"/>
    </row>
    <row r="3771" spans="1:100">
      <c r="A3771" s="374"/>
      <c r="C3771" s="374"/>
      <c r="CV3771" s="376"/>
    </row>
    <row r="3772" spans="1:100">
      <c r="A3772" s="374"/>
      <c r="C3772" s="374"/>
      <c r="CV3772" s="376"/>
    </row>
    <row r="3773" spans="1:100">
      <c r="A3773" s="374"/>
      <c r="C3773" s="374"/>
      <c r="CV3773" s="376"/>
    </row>
    <row r="3774" spans="1:100">
      <c r="A3774" s="374"/>
      <c r="C3774" s="374"/>
      <c r="CV3774" s="376"/>
    </row>
    <row r="3775" spans="1:100">
      <c r="A3775" s="374"/>
      <c r="C3775" s="374"/>
      <c r="CV3775" s="376"/>
    </row>
    <row r="3776" spans="1:100">
      <c r="A3776" s="374"/>
      <c r="C3776" s="374"/>
      <c r="CV3776" s="376"/>
    </row>
    <row r="3777" spans="1:100">
      <c r="A3777" s="374"/>
      <c r="C3777" s="374"/>
      <c r="CV3777" s="376"/>
    </row>
    <row r="3778" spans="1:100">
      <c r="A3778" s="374"/>
      <c r="C3778" s="374"/>
      <c r="CV3778" s="376"/>
    </row>
    <row r="3779" spans="1:100">
      <c r="A3779" s="374"/>
      <c r="C3779" s="374"/>
      <c r="CV3779" s="376"/>
    </row>
    <row r="3780" spans="1:100">
      <c r="A3780" s="374"/>
      <c r="C3780" s="374"/>
      <c r="CV3780" s="376"/>
    </row>
    <row r="3781" spans="1:100">
      <c r="A3781" s="374"/>
      <c r="C3781" s="374"/>
      <c r="CV3781" s="376"/>
    </row>
    <row r="3782" spans="1:100">
      <c r="A3782" s="374"/>
      <c r="C3782" s="374"/>
      <c r="CV3782" s="376"/>
    </row>
    <row r="3783" spans="1:100">
      <c r="A3783" s="374"/>
      <c r="C3783" s="374"/>
      <c r="CV3783" s="376"/>
    </row>
    <row r="3784" spans="1:100">
      <c r="A3784" s="374"/>
      <c r="C3784" s="374"/>
      <c r="CV3784" s="376"/>
    </row>
    <row r="3785" spans="1:100">
      <c r="A3785" s="374"/>
      <c r="C3785" s="374"/>
      <c r="CV3785" s="376"/>
    </row>
    <row r="3786" spans="1:100">
      <c r="A3786" s="374"/>
      <c r="C3786" s="374"/>
      <c r="CV3786" s="376"/>
    </row>
    <row r="3787" spans="1:100">
      <c r="A3787" s="374"/>
      <c r="C3787" s="374"/>
      <c r="CV3787" s="376"/>
    </row>
    <row r="3788" spans="1:100">
      <c r="A3788" s="374"/>
      <c r="C3788" s="374"/>
      <c r="CV3788" s="376"/>
    </row>
    <row r="3789" spans="1:100">
      <c r="A3789" s="374"/>
      <c r="C3789" s="374"/>
      <c r="CV3789" s="376"/>
    </row>
    <row r="3790" spans="1:100">
      <c r="A3790" s="374"/>
      <c r="C3790" s="374"/>
      <c r="CV3790" s="376"/>
    </row>
    <row r="3791" spans="1:100">
      <c r="A3791" s="374"/>
      <c r="C3791" s="374"/>
      <c r="CV3791" s="376"/>
    </row>
    <row r="3792" spans="1:100">
      <c r="A3792" s="374"/>
      <c r="C3792" s="374"/>
      <c r="CV3792" s="376"/>
    </row>
    <row r="3793" spans="1:100">
      <c r="A3793" s="374"/>
      <c r="C3793" s="374"/>
      <c r="CV3793" s="376"/>
    </row>
    <row r="3794" spans="1:100">
      <c r="A3794" s="374"/>
      <c r="C3794" s="374"/>
      <c r="CV3794" s="376"/>
    </row>
    <row r="3795" spans="1:100">
      <c r="A3795" s="374"/>
      <c r="C3795" s="374"/>
      <c r="CV3795" s="376"/>
    </row>
    <row r="3796" spans="1:100">
      <c r="A3796" s="374"/>
      <c r="C3796" s="374"/>
      <c r="CV3796" s="376"/>
    </row>
    <row r="3797" spans="1:100">
      <c r="A3797" s="374"/>
      <c r="C3797" s="374"/>
      <c r="CV3797" s="376"/>
    </row>
    <row r="3798" spans="1:100">
      <c r="A3798" s="374"/>
      <c r="C3798" s="374"/>
      <c r="CV3798" s="376"/>
    </row>
    <row r="3799" spans="1:100">
      <c r="A3799" s="374"/>
      <c r="C3799" s="374"/>
      <c r="CV3799" s="376"/>
    </row>
    <row r="3800" spans="1:100">
      <c r="A3800" s="374"/>
      <c r="C3800" s="374"/>
      <c r="CV3800" s="376"/>
    </row>
    <row r="3801" spans="1:100">
      <c r="A3801" s="374"/>
      <c r="C3801" s="374"/>
      <c r="CV3801" s="376"/>
    </row>
    <row r="3802" spans="1:100">
      <c r="A3802" s="374"/>
      <c r="C3802" s="374"/>
      <c r="CV3802" s="376"/>
    </row>
    <row r="3803" spans="1:100">
      <c r="A3803" s="374"/>
      <c r="C3803" s="374"/>
      <c r="CV3803" s="376"/>
    </row>
    <row r="3804" spans="1:100">
      <c r="A3804" s="374"/>
      <c r="C3804" s="374"/>
      <c r="CV3804" s="376"/>
    </row>
    <row r="3805" spans="1:100">
      <c r="A3805" s="374"/>
      <c r="C3805" s="374"/>
      <c r="CV3805" s="376"/>
    </row>
    <row r="3806" spans="1:100">
      <c r="A3806" s="374"/>
      <c r="C3806" s="374"/>
      <c r="CV3806" s="376"/>
    </row>
    <row r="3807" spans="1:100">
      <c r="A3807" s="374"/>
      <c r="C3807" s="374"/>
      <c r="CV3807" s="376"/>
    </row>
    <row r="3808" spans="1:100">
      <c r="A3808" s="374"/>
      <c r="C3808" s="374"/>
      <c r="CV3808" s="376"/>
    </row>
    <row r="3809" spans="1:100">
      <c r="A3809" s="374"/>
      <c r="C3809" s="374"/>
      <c r="CV3809" s="376"/>
    </row>
    <row r="3810" spans="1:100">
      <c r="A3810" s="374"/>
      <c r="C3810" s="374"/>
      <c r="CV3810" s="376"/>
    </row>
    <row r="3811" spans="1:100">
      <c r="A3811" s="374"/>
      <c r="C3811" s="374"/>
      <c r="CV3811" s="376"/>
    </row>
    <row r="3812" spans="1:100">
      <c r="A3812" s="374"/>
      <c r="C3812" s="374"/>
      <c r="CV3812" s="376"/>
    </row>
    <row r="3813" spans="1:100">
      <c r="A3813" s="374"/>
      <c r="C3813" s="374"/>
      <c r="CV3813" s="376"/>
    </row>
    <row r="3814" spans="1:100">
      <c r="A3814" s="374"/>
      <c r="C3814" s="374"/>
      <c r="CV3814" s="376"/>
    </row>
    <row r="3815" spans="1:100">
      <c r="A3815" s="374"/>
      <c r="C3815" s="374"/>
      <c r="CV3815" s="376"/>
    </row>
    <row r="3816" spans="1:100">
      <c r="A3816" s="374"/>
      <c r="C3816" s="374"/>
      <c r="CV3816" s="376"/>
    </row>
    <row r="3817" spans="1:100">
      <c r="A3817" s="374"/>
      <c r="C3817" s="374"/>
      <c r="CV3817" s="376"/>
    </row>
    <row r="3818" spans="1:100">
      <c r="A3818" s="374"/>
      <c r="C3818" s="374"/>
      <c r="CV3818" s="376"/>
    </row>
    <row r="3819" spans="1:100">
      <c r="A3819" s="374"/>
      <c r="C3819" s="374"/>
      <c r="CV3819" s="376"/>
    </row>
    <row r="3820" spans="1:100">
      <c r="A3820" s="374"/>
      <c r="C3820" s="374"/>
      <c r="CV3820" s="376"/>
    </row>
    <row r="3821" spans="1:100">
      <c r="A3821" s="374"/>
      <c r="C3821" s="374"/>
      <c r="CV3821" s="376"/>
    </row>
    <row r="3822" spans="1:100">
      <c r="A3822" s="374"/>
      <c r="C3822" s="374"/>
      <c r="CV3822" s="376"/>
    </row>
    <row r="3823" spans="1:100">
      <c r="A3823" s="374"/>
      <c r="C3823" s="374"/>
      <c r="CV3823" s="376"/>
    </row>
    <row r="3824" spans="1:100">
      <c r="A3824" s="374"/>
      <c r="C3824" s="374"/>
      <c r="CV3824" s="376"/>
    </row>
    <row r="3825" spans="1:100">
      <c r="A3825" s="374"/>
      <c r="C3825" s="374"/>
      <c r="CV3825" s="376"/>
    </row>
    <row r="3826" spans="1:100">
      <c r="A3826" s="374"/>
      <c r="C3826" s="374"/>
      <c r="CV3826" s="376"/>
    </row>
    <row r="3827" spans="1:100">
      <c r="A3827" s="374"/>
      <c r="C3827" s="374"/>
      <c r="CV3827" s="376"/>
    </row>
    <row r="3828" spans="1:100">
      <c r="A3828" s="374"/>
      <c r="C3828" s="374"/>
      <c r="CV3828" s="376"/>
    </row>
    <row r="3829" spans="1:100">
      <c r="A3829" s="374"/>
      <c r="C3829" s="374"/>
      <c r="CV3829" s="376"/>
    </row>
    <row r="3830" spans="1:100">
      <c r="A3830" s="374"/>
      <c r="C3830" s="374"/>
      <c r="CV3830" s="376"/>
    </row>
    <row r="3831" spans="1:100">
      <c r="A3831" s="374"/>
      <c r="C3831" s="374"/>
      <c r="CV3831" s="376"/>
    </row>
    <row r="3832" spans="1:100">
      <c r="A3832" s="374"/>
      <c r="C3832" s="374"/>
      <c r="CV3832" s="376"/>
    </row>
    <row r="3833" spans="1:100">
      <c r="A3833" s="374"/>
      <c r="C3833" s="374"/>
      <c r="CV3833" s="376"/>
    </row>
    <row r="3834" spans="1:100">
      <c r="A3834" s="374"/>
      <c r="C3834" s="374"/>
      <c r="CV3834" s="376"/>
    </row>
    <row r="3835" spans="1:100">
      <c r="A3835" s="374"/>
      <c r="C3835" s="374"/>
      <c r="CV3835" s="376"/>
    </row>
    <row r="3836" spans="1:100">
      <c r="A3836" s="374"/>
      <c r="C3836" s="374"/>
      <c r="CV3836" s="376"/>
    </row>
    <row r="3837" spans="1:100">
      <c r="A3837" s="374"/>
      <c r="C3837" s="374"/>
      <c r="CV3837" s="376"/>
    </row>
    <row r="3838" spans="1:100">
      <c r="A3838" s="374"/>
      <c r="C3838" s="374"/>
      <c r="CV3838" s="376"/>
    </row>
    <row r="3839" spans="1:100">
      <c r="A3839" s="374"/>
      <c r="C3839" s="374"/>
      <c r="CV3839" s="376"/>
    </row>
    <row r="3840" spans="1:100">
      <c r="A3840" s="374"/>
      <c r="C3840" s="374"/>
      <c r="CV3840" s="376"/>
    </row>
    <row r="3841" spans="1:100">
      <c r="A3841" s="374"/>
      <c r="C3841" s="374"/>
      <c r="CV3841" s="376"/>
    </row>
    <row r="3842" spans="1:100">
      <c r="A3842" s="374"/>
      <c r="C3842" s="374"/>
      <c r="CV3842" s="376"/>
    </row>
    <row r="3843" spans="1:100">
      <c r="A3843" s="374"/>
      <c r="C3843" s="374"/>
      <c r="CV3843" s="376"/>
    </row>
    <row r="3844" spans="1:100">
      <c r="A3844" s="374"/>
      <c r="C3844" s="374"/>
      <c r="CV3844" s="376"/>
    </row>
    <row r="3845" spans="1:100">
      <c r="A3845" s="374"/>
      <c r="C3845" s="374"/>
      <c r="CV3845" s="376"/>
    </row>
    <row r="3846" spans="1:100">
      <c r="A3846" s="374"/>
      <c r="C3846" s="374"/>
      <c r="CV3846" s="376"/>
    </row>
    <row r="3847" spans="1:100">
      <c r="A3847" s="374"/>
      <c r="C3847" s="374"/>
      <c r="CV3847" s="376"/>
    </row>
    <row r="3848" spans="1:100">
      <c r="A3848" s="374"/>
      <c r="C3848" s="374"/>
      <c r="CV3848" s="376"/>
    </row>
    <row r="3849" spans="1:100">
      <c r="A3849" s="374"/>
      <c r="C3849" s="374"/>
      <c r="CV3849" s="376"/>
    </row>
    <row r="3850" spans="1:100">
      <c r="A3850" s="374"/>
      <c r="C3850" s="374"/>
      <c r="CV3850" s="376"/>
    </row>
    <row r="3851" spans="1:100">
      <c r="A3851" s="374"/>
      <c r="C3851" s="374"/>
      <c r="CV3851" s="376"/>
    </row>
    <row r="3852" spans="1:100">
      <c r="A3852" s="374"/>
      <c r="C3852" s="374"/>
      <c r="CV3852" s="376"/>
    </row>
    <row r="3853" spans="1:100">
      <c r="A3853" s="374"/>
      <c r="C3853" s="374"/>
      <c r="CV3853" s="376"/>
    </row>
    <row r="3854" spans="1:100">
      <c r="A3854" s="374"/>
      <c r="C3854" s="374"/>
      <c r="CV3854" s="376"/>
    </row>
    <row r="3855" spans="1:100">
      <c r="A3855" s="374"/>
      <c r="C3855" s="374"/>
      <c r="CV3855" s="376"/>
    </row>
    <row r="3856" spans="1:100">
      <c r="A3856" s="374"/>
      <c r="C3856" s="374"/>
      <c r="CV3856" s="376"/>
    </row>
    <row r="3857" spans="1:100">
      <c r="A3857" s="374"/>
      <c r="C3857" s="374"/>
      <c r="CV3857" s="376"/>
    </row>
    <row r="3858" spans="1:100">
      <c r="A3858" s="374"/>
      <c r="C3858" s="374"/>
      <c r="CV3858" s="376"/>
    </row>
    <row r="3859" spans="1:100">
      <c r="A3859" s="374"/>
      <c r="C3859" s="374"/>
      <c r="CV3859" s="376"/>
    </row>
    <row r="3860" spans="1:100">
      <c r="A3860" s="374"/>
      <c r="C3860" s="374"/>
      <c r="CV3860" s="376"/>
    </row>
    <row r="3861" spans="1:100">
      <c r="A3861" s="374"/>
      <c r="C3861" s="374"/>
      <c r="CV3861" s="376"/>
    </row>
    <row r="3862" spans="1:100">
      <c r="A3862" s="374"/>
      <c r="C3862" s="374"/>
      <c r="CV3862" s="376"/>
    </row>
    <row r="3863" spans="1:100">
      <c r="A3863" s="374"/>
      <c r="C3863" s="374"/>
      <c r="CV3863" s="376"/>
    </row>
    <row r="3864" spans="1:100">
      <c r="A3864" s="374"/>
      <c r="C3864" s="374"/>
      <c r="CV3864" s="376"/>
    </row>
    <row r="3865" spans="1:100">
      <c r="A3865" s="374"/>
      <c r="C3865" s="374"/>
      <c r="CV3865" s="376"/>
    </row>
    <row r="3866" spans="1:100">
      <c r="A3866" s="374"/>
      <c r="C3866" s="374"/>
      <c r="CV3866" s="376"/>
    </row>
    <row r="3867" spans="1:100">
      <c r="A3867" s="374"/>
      <c r="C3867" s="374"/>
      <c r="CV3867" s="376"/>
    </row>
    <row r="3868" spans="1:100">
      <c r="A3868" s="374"/>
      <c r="C3868" s="374"/>
      <c r="CV3868" s="376"/>
    </row>
    <row r="3869" spans="1:100">
      <c r="A3869" s="374"/>
      <c r="C3869" s="374"/>
      <c r="CV3869" s="376"/>
    </row>
    <row r="3870" spans="1:100">
      <c r="A3870" s="374"/>
      <c r="C3870" s="374"/>
      <c r="CV3870" s="376"/>
    </row>
    <row r="3871" spans="1:100">
      <c r="A3871" s="374"/>
      <c r="C3871" s="374"/>
      <c r="CV3871" s="376"/>
    </row>
    <row r="3872" spans="1:100">
      <c r="A3872" s="374"/>
      <c r="C3872" s="374"/>
      <c r="CV3872" s="376"/>
    </row>
    <row r="3873" spans="1:100">
      <c r="A3873" s="374"/>
      <c r="C3873" s="374"/>
      <c r="CV3873" s="376"/>
    </row>
    <row r="3874" spans="1:100">
      <c r="A3874" s="374"/>
      <c r="C3874" s="374"/>
      <c r="CV3874" s="376"/>
    </row>
    <row r="3875" spans="1:100">
      <c r="A3875" s="374"/>
      <c r="C3875" s="374"/>
      <c r="CV3875" s="376"/>
    </row>
    <row r="3876" spans="1:100">
      <c r="A3876" s="374"/>
      <c r="C3876" s="374"/>
      <c r="CV3876" s="376"/>
    </row>
    <row r="3877" spans="1:100">
      <c r="A3877" s="374"/>
      <c r="C3877" s="374"/>
      <c r="CV3877" s="376"/>
    </row>
    <row r="3878" spans="1:100">
      <c r="A3878" s="374"/>
      <c r="C3878" s="374"/>
      <c r="CV3878" s="376"/>
    </row>
    <row r="3879" spans="1:100">
      <c r="A3879" s="374"/>
      <c r="C3879" s="374"/>
      <c r="CV3879" s="376"/>
    </row>
    <row r="3880" spans="1:100">
      <c r="A3880" s="374"/>
      <c r="C3880" s="374"/>
      <c r="CV3880" s="376"/>
    </row>
    <row r="3881" spans="1:100">
      <c r="A3881" s="374"/>
      <c r="C3881" s="374"/>
      <c r="CV3881" s="376"/>
    </row>
    <row r="3882" spans="1:100">
      <c r="A3882" s="374"/>
      <c r="C3882" s="374"/>
      <c r="CV3882" s="376"/>
    </row>
    <row r="3883" spans="1:100">
      <c r="A3883" s="374"/>
      <c r="C3883" s="374"/>
      <c r="CV3883" s="376"/>
    </row>
    <row r="3884" spans="1:100">
      <c r="A3884" s="374"/>
      <c r="C3884" s="374"/>
      <c r="CV3884" s="376"/>
    </row>
    <row r="3885" spans="1:100">
      <c r="A3885" s="374"/>
      <c r="C3885" s="374"/>
      <c r="CV3885" s="376"/>
    </row>
    <row r="3886" spans="1:100">
      <c r="A3886" s="374"/>
      <c r="C3886" s="374"/>
      <c r="CV3886" s="376"/>
    </row>
    <row r="3887" spans="1:100">
      <c r="A3887" s="374"/>
      <c r="C3887" s="374"/>
      <c r="CV3887" s="376"/>
    </row>
    <row r="3888" spans="1:100">
      <c r="A3888" s="374"/>
      <c r="C3888" s="374"/>
      <c r="CV3888" s="376"/>
    </row>
    <row r="3889" spans="1:100">
      <c r="A3889" s="374"/>
      <c r="C3889" s="374"/>
      <c r="CV3889" s="376"/>
    </row>
    <row r="3890" spans="1:100">
      <c r="A3890" s="374"/>
      <c r="C3890" s="374"/>
      <c r="CV3890" s="376"/>
    </row>
    <row r="3891" spans="1:100">
      <c r="A3891" s="374"/>
      <c r="C3891" s="374"/>
      <c r="CV3891" s="376"/>
    </row>
    <row r="3892" spans="1:100">
      <c r="A3892" s="374"/>
      <c r="C3892" s="374"/>
      <c r="CV3892" s="376"/>
    </row>
    <row r="3893" spans="1:100">
      <c r="A3893" s="374"/>
      <c r="C3893" s="374"/>
      <c r="CV3893" s="376"/>
    </row>
    <row r="3894" spans="1:100">
      <c r="A3894" s="374"/>
      <c r="C3894" s="374"/>
      <c r="CV3894" s="376"/>
    </row>
    <row r="3895" spans="1:100">
      <c r="A3895" s="374"/>
      <c r="C3895" s="374"/>
      <c r="CV3895" s="376"/>
    </row>
    <row r="3896" spans="1:100">
      <c r="A3896" s="374"/>
      <c r="C3896" s="374"/>
      <c r="CV3896" s="376"/>
    </row>
    <row r="3897" spans="1:100">
      <c r="A3897" s="374"/>
      <c r="C3897" s="374"/>
      <c r="CV3897" s="376"/>
    </row>
    <row r="3898" spans="1:100">
      <c r="A3898" s="374"/>
      <c r="C3898" s="374"/>
      <c r="CV3898" s="376"/>
    </row>
    <row r="3899" spans="1:100">
      <c r="A3899" s="374"/>
      <c r="C3899" s="374"/>
      <c r="CV3899" s="376"/>
    </row>
    <row r="3900" spans="1:100">
      <c r="A3900" s="374"/>
      <c r="C3900" s="374"/>
      <c r="CV3900" s="376"/>
    </row>
    <row r="3901" spans="1:100">
      <c r="A3901" s="374"/>
      <c r="C3901" s="374"/>
      <c r="CV3901" s="376"/>
    </row>
    <row r="3902" spans="1:100">
      <c r="A3902" s="374"/>
      <c r="C3902" s="374"/>
      <c r="CV3902" s="376"/>
    </row>
    <row r="3903" spans="1:100">
      <c r="A3903" s="374"/>
      <c r="C3903" s="374"/>
      <c r="CV3903" s="376"/>
    </row>
    <row r="3904" spans="1:100">
      <c r="A3904" s="374"/>
      <c r="C3904" s="374"/>
      <c r="CV3904" s="376"/>
    </row>
    <row r="3905" spans="1:100">
      <c r="A3905" s="374"/>
      <c r="C3905" s="374"/>
      <c r="CV3905" s="376"/>
    </row>
    <row r="3906" spans="1:100">
      <c r="A3906" s="374"/>
      <c r="C3906" s="374"/>
      <c r="CV3906" s="376"/>
    </row>
    <row r="3907" spans="1:100">
      <c r="A3907" s="374"/>
      <c r="C3907" s="374"/>
      <c r="CV3907" s="376"/>
    </row>
    <row r="3908" spans="1:100">
      <c r="A3908" s="374"/>
      <c r="C3908" s="374"/>
      <c r="CV3908" s="376"/>
    </row>
    <row r="3909" spans="1:100">
      <c r="A3909" s="374"/>
      <c r="C3909" s="374"/>
      <c r="CV3909" s="376"/>
    </row>
    <row r="3910" spans="1:100">
      <c r="A3910" s="374"/>
      <c r="C3910" s="374"/>
      <c r="CV3910" s="376"/>
    </row>
    <row r="3911" spans="1:100">
      <c r="A3911" s="374"/>
      <c r="C3911" s="374"/>
      <c r="CV3911" s="376"/>
    </row>
    <row r="3912" spans="1:100">
      <c r="A3912" s="374"/>
      <c r="C3912" s="374"/>
      <c r="CV3912" s="376"/>
    </row>
    <row r="3913" spans="1:100">
      <c r="A3913" s="374"/>
      <c r="C3913" s="374"/>
      <c r="CV3913" s="376"/>
    </row>
    <row r="3914" spans="1:100">
      <c r="A3914" s="374"/>
      <c r="C3914" s="374"/>
      <c r="CV3914" s="376"/>
    </row>
    <row r="3915" spans="1:100">
      <c r="A3915" s="374"/>
      <c r="C3915" s="374"/>
      <c r="CV3915" s="376"/>
    </row>
    <row r="3916" spans="1:100">
      <c r="A3916" s="374"/>
      <c r="C3916" s="374"/>
      <c r="CV3916" s="376"/>
    </row>
    <row r="3917" spans="1:100">
      <c r="A3917" s="374"/>
      <c r="C3917" s="374"/>
      <c r="CV3917" s="376"/>
    </row>
    <row r="3918" spans="1:100">
      <c r="A3918" s="374"/>
      <c r="C3918" s="374"/>
      <c r="CV3918" s="376"/>
    </row>
    <row r="3919" spans="1:100">
      <c r="A3919" s="374"/>
      <c r="C3919" s="374"/>
      <c r="CV3919" s="376"/>
    </row>
    <row r="3920" spans="1:100">
      <c r="A3920" s="374"/>
      <c r="C3920" s="374"/>
      <c r="CV3920" s="376"/>
    </row>
    <row r="3921" spans="1:100">
      <c r="A3921" s="374"/>
      <c r="C3921" s="374"/>
      <c r="CV3921" s="376"/>
    </row>
    <row r="3922" spans="1:100">
      <c r="A3922" s="374"/>
      <c r="C3922" s="374"/>
      <c r="CV3922" s="376"/>
    </row>
    <row r="3923" spans="1:100">
      <c r="A3923" s="374"/>
      <c r="C3923" s="374"/>
      <c r="CV3923" s="376"/>
    </row>
    <row r="3924" spans="1:100">
      <c r="A3924" s="374"/>
      <c r="C3924" s="374"/>
      <c r="CV3924" s="376"/>
    </row>
    <row r="3925" spans="1:100">
      <c r="A3925" s="374"/>
      <c r="C3925" s="374"/>
      <c r="CV3925" s="376"/>
    </row>
    <row r="3926" spans="1:100">
      <c r="A3926" s="374"/>
      <c r="C3926" s="374"/>
      <c r="CV3926" s="376"/>
    </row>
    <row r="3927" spans="1:100">
      <c r="A3927" s="374"/>
      <c r="C3927" s="374"/>
      <c r="CV3927" s="376"/>
    </row>
    <row r="3928" spans="1:100">
      <c r="A3928" s="374"/>
      <c r="C3928" s="374"/>
      <c r="CV3928" s="376"/>
    </row>
    <row r="3929" spans="1:100">
      <c r="A3929" s="374"/>
      <c r="C3929" s="374"/>
      <c r="CV3929" s="376"/>
    </row>
    <row r="3930" spans="1:100">
      <c r="A3930" s="374"/>
      <c r="C3930" s="374"/>
      <c r="CV3930" s="376"/>
    </row>
    <row r="3931" spans="1:100">
      <c r="A3931" s="374"/>
      <c r="C3931" s="374"/>
      <c r="CV3931" s="376"/>
    </row>
    <row r="3932" spans="1:100">
      <c r="A3932" s="374"/>
      <c r="C3932" s="374"/>
      <c r="CV3932" s="376"/>
    </row>
    <row r="3933" spans="1:100">
      <c r="A3933" s="374"/>
      <c r="C3933" s="374"/>
      <c r="CV3933" s="376"/>
    </row>
    <row r="3934" spans="1:100">
      <c r="A3934" s="374"/>
      <c r="C3934" s="374"/>
      <c r="CV3934" s="376"/>
    </row>
    <row r="3935" spans="1:100">
      <c r="A3935" s="374"/>
      <c r="C3935" s="374"/>
      <c r="CV3935" s="376"/>
    </row>
    <row r="3936" spans="1:100">
      <c r="A3936" s="374"/>
      <c r="C3936" s="374"/>
      <c r="CV3936" s="376"/>
    </row>
    <row r="3937" spans="1:100">
      <c r="A3937" s="374"/>
      <c r="C3937" s="374"/>
      <c r="CV3937" s="376"/>
    </row>
    <row r="3938" spans="1:100">
      <c r="A3938" s="374"/>
      <c r="C3938" s="374"/>
      <c r="CV3938" s="376"/>
    </row>
    <row r="3939" spans="1:100">
      <c r="A3939" s="374"/>
      <c r="C3939" s="374"/>
      <c r="CV3939" s="376"/>
    </row>
    <row r="3940" spans="1:100">
      <c r="A3940" s="374"/>
      <c r="C3940" s="374"/>
      <c r="CV3940" s="376"/>
    </row>
    <row r="3941" spans="1:100">
      <c r="A3941" s="374"/>
      <c r="C3941" s="374"/>
      <c r="CV3941" s="376"/>
    </row>
    <row r="3942" spans="1:100">
      <c r="A3942" s="374"/>
      <c r="C3942" s="374"/>
      <c r="CV3942" s="376"/>
    </row>
    <row r="3943" spans="1:100">
      <c r="A3943" s="374"/>
      <c r="C3943" s="374"/>
      <c r="CV3943" s="376"/>
    </row>
    <row r="3944" spans="1:100">
      <c r="A3944" s="374"/>
      <c r="C3944" s="374"/>
      <c r="CV3944" s="376"/>
    </row>
    <row r="3945" spans="1:100">
      <c r="A3945" s="374"/>
      <c r="C3945" s="374"/>
      <c r="CV3945" s="376"/>
    </row>
    <row r="3946" spans="1:100">
      <c r="A3946" s="374"/>
      <c r="C3946" s="374"/>
      <c r="CV3946" s="376"/>
    </row>
    <row r="3947" spans="1:100">
      <c r="A3947" s="374"/>
      <c r="C3947" s="374"/>
      <c r="CV3947" s="376"/>
    </row>
    <row r="3948" spans="1:100">
      <c r="A3948" s="374"/>
      <c r="C3948" s="374"/>
      <c r="CV3948" s="376"/>
    </row>
    <row r="3949" spans="1:100">
      <c r="A3949" s="374"/>
      <c r="C3949" s="374"/>
      <c r="CV3949" s="376"/>
    </row>
    <row r="3950" spans="1:100">
      <c r="A3950" s="374"/>
      <c r="C3950" s="374"/>
      <c r="CV3950" s="376"/>
    </row>
    <row r="3951" spans="1:100">
      <c r="A3951" s="374"/>
      <c r="C3951" s="374"/>
      <c r="CV3951" s="376"/>
    </row>
    <row r="3952" spans="1:100">
      <c r="A3952" s="374"/>
      <c r="C3952" s="374"/>
      <c r="CV3952" s="376"/>
    </row>
    <row r="3953" spans="1:100">
      <c r="A3953" s="374"/>
      <c r="C3953" s="374"/>
      <c r="CV3953" s="376"/>
    </row>
    <row r="3954" spans="1:100">
      <c r="A3954" s="374"/>
      <c r="C3954" s="374"/>
      <c r="CV3954" s="376"/>
    </row>
    <row r="3955" spans="1:100">
      <c r="A3955" s="374"/>
      <c r="C3955" s="374"/>
      <c r="CV3955" s="376"/>
    </row>
    <row r="3956" spans="1:100">
      <c r="A3956" s="374"/>
      <c r="C3956" s="374"/>
      <c r="CV3956" s="376"/>
    </row>
    <row r="3957" spans="1:100">
      <c r="A3957" s="374"/>
      <c r="C3957" s="374"/>
      <c r="CV3957" s="376"/>
    </row>
    <row r="3958" spans="1:100">
      <c r="A3958" s="374"/>
      <c r="C3958" s="374"/>
      <c r="CV3958" s="376"/>
    </row>
    <row r="3959" spans="1:100">
      <c r="A3959" s="374"/>
      <c r="C3959" s="374"/>
      <c r="CV3959" s="376"/>
    </row>
    <row r="3960" spans="1:100">
      <c r="A3960" s="374"/>
      <c r="C3960" s="374"/>
      <c r="CV3960" s="376"/>
    </row>
    <row r="3961" spans="1:100">
      <c r="A3961" s="374"/>
      <c r="C3961" s="374"/>
      <c r="CV3961" s="376"/>
    </row>
    <row r="3962" spans="1:100">
      <c r="A3962" s="374"/>
      <c r="C3962" s="374"/>
      <c r="CV3962" s="376"/>
    </row>
    <row r="3963" spans="1:100">
      <c r="A3963" s="374"/>
      <c r="C3963" s="374"/>
      <c r="CV3963" s="376"/>
    </row>
    <row r="3964" spans="1:100">
      <c r="A3964" s="374"/>
      <c r="C3964" s="374"/>
      <c r="CV3964" s="376"/>
    </row>
    <row r="3965" spans="1:100">
      <c r="A3965" s="374"/>
      <c r="C3965" s="374"/>
      <c r="CV3965" s="376"/>
    </row>
    <row r="3966" spans="1:100">
      <c r="A3966" s="374"/>
      <c r="C3966" s="374"/>
      <c r="CV3966" s="376"/>
    </row>
    <row r="3967" spans="1:100">
      <c r="A3967" s="374"/>
      <c r="C3967" s="374"/>
      <c r="CV3967" s="376"/>
    </row>
    <row r="3968" spans="1:100">
      <c r="A3968" s="374"/>
      <c r="C3968" s="374"/>
      <c r="CV3968" s="376"/>
    </row>
    <row r="3969" spans="1:100">
      <c r="A3969" s="374"/>
      <c r="C3969" s="374"/>
      <c r="CV3969" s="376"/>
    </row>
    <row r="3970" spans="1:100">
      <c r="A3970" s="374"/>
      <c r="C3970" s="374"/>
      <c r="CV3970" s="376"/>
    </row>
    <row r="3971" spans="1:100">
      <c r="A3971" s="374"/>
      <c r="C3971" s="374"/>
      <c r="CV3971" s="376"/>
    </row>
    <row r="3972" spans="1:100">
      <c r="A3972" s="374"/>
      <c r="C3972" s="374"/>
      <c r="CV3972" s="376"/>
    </row>
    <row r="3973" spans="1:100">
      <c r="A3973" s="374"/>
      <c r="C3973" s="374"/>
      <c r="CV3973" s="376"/>
    </row>
    <row r="3974" spans="1:100">
      <c r="A3974" s="374"/>
      <c r="C3974" s="374"/>
      <c r="CV3974" s="376"/>
    </row>
    <row r="3975" spans="1:100">
      <c r="A3975" s="374"/>
      <c r="C3975" s="374"/>
      <c r="CV3975" s="376"/>
    </row>
    <row r="3976" spans="1:100">
      <c r="A3976" s="374"/>
      <c r="C3976" s="374"/>
      <c r="CV3976" s="376"/>
    </row>
    <row r="3977" spans="1:100">
      <c r="A3977" s="374"/>
      <c r="C3977" s="374"/>
      <c r="CV3977" s="376"/>
    </row>
    <row r="3978" spans="1:100">
      <c r="A3978" s="374"/>
      <c r="C3978" s="374"/>
      <c r="CV3978" s="376"/>
    </row>
    <row r="3979" spans="1:100">
      <c r="A3979" s="374"/>
      <c r="C3979" s="374"/>
      <c r="CV3979" s="376"/>
    </row>
    <row r="3980" spans="1:100">
      <c r="A3980" s="374"/>
      <c r="C3980" s="374"/>
      <c r="CV3980" s="376"/>
    </row>
    <row r="3981" spans="1:100">
      <c r="A3981" s="374"/>
      <c r="C3981" s="374"/>
      <c r="CV3981" s="376"/>
    </row>
    <row r="3982" spans="1:100">
      <c r="A3982" s="374"/>
      <c r="C3982" s="374"/>
      <c r="CV3982" s="376"/>
    </row>
    <row r="3983" spans="1:100">
      <c r="A3983" s="374"/>
      <c r="C3983" s="374"/>
      <c r="CV3983" s="376"/>
    </row>
    <row r="3984" spans="1:100">
      <c r="A3984" s="374"/>
      <c r="C3984" s="374"/>
      <c r="CV3984" s="376"/>
    </row>
    <row r="3985" spans="1:100">
      <c r="A3985" s="374"/>
      <c r="C3985" s="374"/>
      <c r="CV3985" s="376"/>
    </row>
    <row r="3986" spans="1:100">
      <c r="A3986" s="374"/>
      <c r="C3986" s="374"/>
      <c r="CV3986" s="376"/>
    </row>
    <row r="3987" spans="1:100">
      <c r="A3987" s="374"/>
      <c r="C3987" s="374"/>
      <c r="CV3987" s="376"/>
    </row>
    <row r="3988" spans="1:100">
      <c r="A3988" s="374"/>
      <c r="C3988" s="374"/>
      <c r="CV3988" s="376"/>
    </row>
    <row r="3989" spans="1:100">
      <c r="A3989" s="374"/>
      <c r="C3989" s="374"/>
      <c r="CV3989" s="376"/>
    </row>
    <row r="3990" spans="1:100">
      <c r="A3990" s="374"/>
      <c r="C3990" s="374"/>
      <c r="CV3990" s="376"/>
    </row>
    <row r="3991" spans="1:100">
      <c r="A3991" s="374"/>
      <c r="C3991" s="374"/>
      <c r="CV3991" s="376"/>
    </row>
    <row r="3992" spans="1:100">
      <c r="A3992" s="374"/>
      <c r="C3992" s="374"/>
      <c r="CV3992" s="376"/>
    </row>
    <row r="3993" spans="1:100">
      <c r="A3993" s="374"/>
      <c r="C3993" s="374"/>
      <c r="CV3993" s="376"/>
    </row>
    <row r="3994" spans="1:100">
      <c r="A3994" s="374"/>
      <c r="C3994" s="374"/>
      <c r="CV3994" s="376"/>
    </row>
    <row r="3995" spans="1:100">
      <c r="A3995" s="374"/>
      <c r="C3995" s="374"/>
      <c r="CV3995" s="376"/>
    </row>
    <row r="3996" spans="1:100">
      <c r="A3996" s="374"/>
      <c r="C3996" s="374"/>
      <c r="CV3996" s="376"/>
    </row>
    <row r="3997" spans="1:100">
      <c r="A3997" s="374"/>
      <c r="C3997" s="374"/>
      <c r="CV3997" s="376"/>
    </row>
    <row r="3998" spans="1:100">
      <c r="A3998" s="374"/>
      <c r="C3998" s="374"/>
      <c r="CV3998" s="376"/>
    </row>
    <row r="3999" spans="1:100">
      <c r="A3999" s="374"/>
      <c r="C3999" s="374"/>
      <c r="CV3999" s="376"/>
    </row>
    <row r="4000" spans="1:100">
      <c r="A4000" s="374"/>
      <c r="C4000" s="374"/>
      <c r="CV4000" s="376"/>
    </row>
    <row r="4001" spans="1:100">
      <c r="A4001" s="374"/>
      <c r="C4001" s="374"/>
      <c r="CV4001" s="376"/>
    </row>
    <row r="4002" spans="1:100">
      <c r="A4002" s="374"/>
      <c r="C4002" s="374"/>
      <c r="CV4002" s="376"/>
    </row>
    <row r="4003" spans="1:100">
      <c r="A4003" s="374"/>
      <c r="C4003" s="374"/>
      <c r="CV4003" s="376"/>
    </row>
    <row r="4004" spans="1:100">
      <c r="A4004" s="374"/>
      <c r="C4004" s="374"/>
      <c r="CV4004" s="376"/>
    </row>
    <row r="4005" spans="1:100">
      <c r="A4005" s="374"/>
      <c r="C4005" s="374"/>
      <c r="CV4005" s="376"/>
    </row>
    <row r="4006" spans="1:100">
      <c r="A4006" s="374"/>
      <c r="C4006" s="374"/>
      <c r="CV4006" s="376"/>
    </row>
    <row r="4007" spans="1:100">
      <c r="A4007" s="374"/>
      <c r="C4007" s="374"/>
      <c r="CV4007" s="376"/>
    </row>
    <row r="4008" spans="1:100">
      <c r="A4008" s="374"/>
      <c r="C4008" s="374"/>
      <c r="CV4008" s="376"/>
    </row>
    <row r="4009" spans="1:100">
      <c r="A4009" s="374"/>
      <c r="C4009" s="374"/>
      <c r="CV4009" s="376"/>
    </row>
    <row r="4010" spans="1:100">
      <c r="A4010" s="374"/>
      <c r="C4010" s="374"/>
      <c r="CV4010" s="376"/>
    </row>
    <row r="4011" spans="1:100">
      <c r="A4011" s="374"/>
      <c r="C4011" s="374"/>
      <c r="CV4011" s="376"/>
    </row>
    <row r="4012" spans="1:100">
      <c r="A4012" s="374"/>
      <c r="C4012" s="374"/>
      <c r="CV4012" s="376"/>
    </row>
    <row r="4013" spans="1:100">
      <c r="A4013" s="374"/>
      <c r="C4013" s="374"/>
      <c r="CV4013" s="376"/>
    </row>
    <row r="4014" spans="1:100">
      <c r="A4014" s="374"/>
      <c r="C4014" s="374"/>
      <c r="CV4014" s="376"/>
    </row>
    <row r="4015" spans="1:100">
      <c r="A4015" s="374"/>
      <c r="C4015" s="374"/>
      <c r="CV4015" s="376"/>
    </row>
    <row r="4016" spans="1:100">
      <c r="A4016" s="374"/>
      <c r="C4016" s="374"/>
      <c r="CV4016" s="376"/>
    </row>
    <row r="4017" spans="1:100">
      <c r="A4017" s="374"/>
      <c r="C4017" s="374"/>
      <c r="CV4017" s="376"/>
    </row>
    <row r="4018" spans="1:100">
      <c r="A4018" s="374"/>
      <c r="C4018" s="374"/>
      <c r="CV4018" s="376"/>
    </row>
    <row r="4019" spans="1:100">
      <c r="A4019" s="374"/>
      <c r="C4019" s="374"/>
      <c r="CV4019" s="376"/>
    </row>
    <row r="4020" spans="1:100">
      <c r="A4020" s="374"/>
      <c r="C4020" s="374"/>
      <c r="CV4020" s="376"/>
    </row>
    <row r="4021" spans="1:100">
      <c r="A4021" s="374"/>
      <c r="C4021" s="374"/>
      <c r="CV4021" s="376"/>
    </row>
    <row r="4022" spans="1:100">
      <c r="A4022" s="374"/>
      <c r="C4022" s="374"/>
      <c r="CV4022" s="376"/>
    </row>
    <row r="4023" spans="1:100">
      <c r="A4023" s="374"/>
      <c r="C4023" s="374"/>
      <c r="CV4023" s="376"/>
    </row>
    <row r="4024" spans="1:100">
      <c r="A4024" s="374"/>
      <c r="C4024" s="374"/>
      <c r="CV4024" s="376"/>
    </row>
    <row r="4025" spans="1:100">
      <c r="A4025" s="374"/>
      <c r="C4025" s="374"/>
      <c r="CV4025" s="376"/>
    </row>
    <row r="4026" spans="1:100">
      <c r="A4026" s="374"/>
      <c r="C4026" s="374"/>
      <c r="CV4026" s="376"/>
    </row>
    <row r="4027" spans="1:100">
      <c r="A4027" s="374"/>
      <c r="C4027" s="374"/>
      <c r="CV4027" s="376"/>
    </row>
    <row r="4028" spans="1:100">
      <c r="A4028" s="374"/>
      <c r="C4028" s="374"/>
      <c r="CV4028" s="376"/>
    </row>
    <row r="4029" spans="1:100">
      <c r="A4029" s="374"/>
      <c r="C4029" s="374"/>
      <c r="CV4029" s="376"/>
    </row>
    <row r="4030" spans="1:100">
      <c r="A4030" s="374"/>
      <c r="C4030" s="374"/>
      <c r="CV4030" s="376"/>
    </row>
    <row r="4031" spans="1:100">
      <c r="A4031" s="374"/>
      <c r="C4031" s="374"/>
      <c r="CV4031" s="376"/>
    </row>
    <row r="4032" spans="1:100">
      <c r="A4032" s="374"/>
      <c r="C4032" s="374"/>
      <c r="CV4032" s="376"/>
    </row>
    <row r="4033" spans="1:100">
      <c r="A4033" s="374"/>
      <c r="C4033" s="374"/>
      <c r="CV4033" s="376"/>
    </row>
    <row r="4034" spans="1:100">
      <c r="A4034" s="374"/>
      <c r="C4034" s="374"/>
      <c r="CV4034" s="376"/>
    </row>
    <row r="4035" spans="1:100">
      <c r="A4035" s="374"/>
      <c r="C4035" s="374"/>
      <c r="CV4035" s="376"/>
    </row>
    <row r="4036" spans="1:100">
      <c r="A4036" s="374"/>
      <c r="C4036" s="374"/>
      <c r="CV4036" s="376"/>
    </row>
    <row r="4037" spans="1:100">
      <c r="A4037" s="374"/>
      <c r="C4037" s="374"/>
      <c r="CV4037" s="376"/>
    </row>
    <row r="4038" spans="1:100">
      <c r="A4038" s="374"/>
      <c r="C4038" s="374"/>
      <c r="CV4038" s="376"/>
    </row>
    <row r="4039" spans="1:100">
      <c r="A4039" s="374"/>
      <c r="C4039" s="374"/>
      <c r="CV4039" s="376"/>
    </row>
    <row r="4040" spans="1:100">
      <c r="A4040" s="374"/>
      <c r="C4040" s="374"/>
      <c r="CV4040" s="376"/>
    </row>
    <row r="4041" spans="1:100">
      <c r="A4041" s="374"/>
      <c r="C4041" s="374"/>
      <c r="CV4041" s="376"/>
    </row>
    <row r="4042" spans="1:100">
      <c r="A4042" s="374"/>
      <c r="C4042" s="374"/>
      <c r="CV4042" s="376"/>
    </row>
    <row r="4043" spans="1:100">
      <c r="A4043" s="374"/>
      <c r="C4043" s="374"/>
      <c r="CV4043" s="376"/>
    </row>
    <row r="4044" spans="1:100">
      <c r="A4044" s="374"/>
      <c r="C4044" s="374"/>
      <c r="CV4044" s="376"/>
    </row>
    <row r="4045" spans="1:100">
      <c r="A4045" s="374"/>
      <c r="C4045" s="374"/>
      <c r="CV4045" s="376"/>
    </row>
    <row r="4046" spans="1:100">
      <c r="A4046" s="374"/>
      <c r="C4046" s="374"/>
      <c r="CV4046" s="376"/>
    </row>
    <row r="4047" spans="1:100">
      <c r="A4047" s="374"/>
      <c r="C4047" s="374"/>
      <c r="CV4047" s="376"/>
    </row>
    <row r="4048" spans="1:100">
      <c r="A4048" s="374"/>
      <c r="C4048" s="374"/>
      <c r="CV4048" s="376"/>
    </row>
    <row r="4049" spans="1:100">
      <c r="A4049" s="374"/>
      <c r="C4049" s="374"/>
      <c r="CV4049" s="376"/>
    </row>
    <row r="4050" spans="1:100">
      <c r="A4050" s="374"/>
      <c r="C4050" s="374"/>
      <c r="CV4050" s="376"/>
    </row>
    <row r="4051" spans="1:100">
      <c r="A4051" s="374"/>
      <c r="C4051" s="374"/>
      <c r="CV4051" s="376"/>
    </row>
    <row r="4052" spans="1:100">
      <c r="A4052" s="374"/>
      <c r="C4052" s="374"/>
      <c r="CV4052" s="376"/>
    </row>
    <row r="4053" spans="1:100">
      <c r="A4053" s="374"/>
      <c r="C4053" s="374"/>
      <c r="CV4053" s="376"/>
    </row>
    <row r="4054" spans="1:100">
      <c r="A4054" s="374"/>
      <c r="C4054" s="374"/>
      <c r="CV4054" s="376"/>
    </row>
    <row r="4055" spans="1:100">
      <c r="A4055" s="374"/>
      <c r="C4055" s="374"/>
      <c r="CV4055" s="376"/>
    </row>
    <row r="4056" spans="1:100">
      <c r="A4056" s="374"/>
      <c r="C4056" s="374"/>
      <c r="CV4056" s="376"/>
    </row>
    <row r="4057" spans="1:100">
      <c r="A4057" s="374"/>
      <c r="C4057" s="374"/>
      <c r="CV4057" s="376"/>
    </row>
    <row r="4058" spans="1:100">
      <c r="A4058" s="374"/>
      <c r="C4058" s="374"/>
      <c r="CV4058" s="376"/>
    </row>
    <row r="4059" spans="1:100">
      <c r="A4059" s="374"/>
      <c r="C4059" s="374"/>
      <c r="CV4059" s="376"/>
    </row>
    <row r="4060" spans="1:100">
      <c r="A4060" s="374"/>
      <c r="C4060" s="374"/>
      <c r="CV4060" s="376"/>
    </row>
    <row r="4061" spans="1:100">
      <c r="A4061" s="374"/>
      <c r="C4061" s="374"/>
      <c r="CV4061" s="376"/>
    </row>
    <row r="4062" spans="1:100">
      <c r="A4062" s="374"/>
      <c r="C4062" s="374"/>
      <c r="CV4062" s="376"/>
    </row>
    <row r="4063" spans="1:100">
      <c r="A4063" s="374"/>
      <c r="C4063" s="374"/>
      <c r="CV4063" s="376"/>
    </row>
    <row r="4064" spans="1:100">
      <c r="A4064" s="374"/>
      <c r="C4064" s="374"/>
      <c r="CV4064" s="376"/>
    </row>
    <row r="4065" spans="1:100">
      <c r="A4065" s="374"/>
      <c r="C4065" s="374"/>
      <c r="CV4065" s="376"/>
    </row>
    <row r="4066" spans="1:100">
      <c r="A4066" s="374"/>
      <c r="C4066" s="374"/>
      <c r="CV4066" s="376"/>
    </row>
    <row r="4067" spans="1:100">
      <c r="A4067" s="374"/>
      <c r="C4067" s="374"/>
      <c r="CV4067" s="376"/>
    </row>
    <row r="4068" spans="1:100">
      <c r="A4068" s="374"/>
      <c r="C4068" s="374"/>
      <c r="CV4068" s="376"/>
    </row>
    <row r="4069" spans="1:100">
      <c r="A4069" s="374"/>
      <c r="C4069" s="374"/>
      <c r="CV4069" s="376"/>
    </row>
    <row r="4070" spans="1:100">
      <c r="A4070" s="374"/>
      <c r="C4070" s="374"/>
      <c r="CV4070" s="376"/>
    </row>
    <row r="4071" spans="1:100">
      <c r="A4071" s="374"/>
      <c r="C4071" s="374"/>
      <c r="CV4071" s="376"/>
    </row>
    <row r="4072" spans="1:100">
      <c r="A4072" s="374"/>
      <c r="C4072" s="374"/>
      <c r="CV4072" s="376"/>
    </row>
    <row r="4073" spans="1:100">
      <c r="A4073" s="374"/>
      <c r="C4073" s="374"/>
      <c r="CV4073" s="376"/>
    </row>
    <row r="4074" spans="1:100">
      <c r="A4074" s="374"/>
      <c r="C4074" s="374"/>
      <c r="CV4074" s="376"/>
    </row>
    <row r="4075" spans="1:100">
      <c r="A4075" s="374"/>
      <c r="C4075" s="374"/>
      <c r="CV4075" s="376"/>
    </row>
    <row r="4076" spans="1:100">
      <c r="A4076" s="374"/>
      <c r="C4076" s="374"/>
      <c r="CV4076" s="376"/>
    </row>
    <row r="4077" spans="1:100">
      <c r="A4077" s="374"/>
      <c r="C4077" s="374"/>
      <c r="CV4077" s="376"/>
    </row>
    <row r="4078" spans="1:100">
      <c r="A4078" s="374"/>
      <c r="C4078" s="374"/>
      <c r="CV4078" s="376"/>
    </row>
    <row r="4079" spans="1:100">
      <c r="A4079" s="374"/>
      <c r="C4079" s="374"/>
      <c r="CV4079" s="376"/>
    </row>
    <row r="4080" spans="1:100">
      <c r="A4080" s="374"/>
      <c r="C4080" s="374"/>
      <c r="CV4080" s="376"/>
    </row>
    <row r="4081" spans="1:100">
      <c r="A4081" s="374"/>
      <c r="C4081" s="374"/>
      <c r="CV4081" s="376"/>
    </row>
    <row r="4082" spans="1:100">
      <c r="A4082" s="374"/>
      <c r="C4082" s="374"/>
      <c r="CV4082" s="376"/>
    </row>
    <row r="4083" spans="1:100">
      <c r="A4083" s="374"/>
      <c r="C4083" s="374"/>
      <c r="CV4083" s="376"/>
    </row>
    <row r="4084" spans="1:100">
      <c r="A4084" s="374"/>
      <c r="C4084" s="374"/>
      <c r="CV4084" s="376"/>
    </row>
    <row r="4085" spans="1:100">
      <c r="A4085" s="374"/>
      <c r="C4085" s="374"/>
      <c r="CV4085" s="376"/>
    </row>
    <row r="4086" spans="1:100">
      <c r="A4086" s="374"/>
      <c r="C4086" s="374"/>
      <c r="CV4086" s="376"/>
    </row>
    <row r="4087" spans="1:100">
      <c r="A4087" s="374"/>
      <c r="C4087" s="374"/>
      <c r="CV4087" s="376"/>
    </row>
    <row r="4088" spans="1:100">
      <c r="A4088" s="374"/>
      <c r="C4088" s="374"/>
      <c r="CV4088" s="376"/>
    </row>
    <row r="4089" spans="1:100">
      <c r="A4089" s="374"/>
      <c r="C4089" s="374"/>
      <c r="CV4089" s="376"/>
    </row>
    <row r="4090" spans="1:100">
      <c r="A4090" s="374"/>
      <c r="C4090" s="374"/>
      <c r="CV4090" s="376"/>
    </row>
    <row r="4091" spans="1:100">
      <c r="A4091" s="374"/>
      <c r="C4091" s="374"/>
      <c r="CV4091" s="376"/>
    </row>
    <row r="4092" spans="1:100">
      <c r="A4092" s="374"/>
      <c r="C4092" s="374"/>
      <c r="CV4092" s="376"/>
    </row>
    <row r="4093" spans="1:100">
      <c r="A4093" s="374"/>
      <c r="C4093" s="374"/>
      <c r="CV4093" s="376"/>
    </row>
    <row r="4094" spans="1:100">
      <c r="A4094" s="374"/>
      <c r="C4094" s="374"/>
      <c r="CV4094" s="376"/>
    </row>
    <row r="4095" spans="1:100">
      <c r="A4095" s="374"/>
      <c r="C4095" s="374"/>
      <c r="CV4095" s="376"/>
    </row>
    <row r="4096" spans="1:100">
      <c r="A4096" s="374"/>
      <c r="C4096" s="374"/>
      <c r="CV4096" s="376"/>
    </row>
    <row r="4097" spans="1:100">
      <c r="A4097" s="374"/>
      <c r="C4097" s="374"/>
      <c r="CV4097" s="376"/>
    </row>
    <row r="4098" spans="1:100">
      <c r="A4098" s="374"/>
      <c r="C4098" s="374"/>
      <c r="CV4098" s="376"/>
    </row>
    <row r="4099" spans="1:100">
      <c r="A4099" s="374"/>
      <c r="C4099" s="374"/>
      <c r="CV4099" s="376"/>
    </row>
    <row r="4100" spans="1:100">
      <c r="A4100" s="374"/>
      <c r="C4100" s="374"/>
      <c r="CV4100" s="376"/>
    </row>
    <row r="4101" spans="1:100">
      <c r="A4101" s="374"/>
      <c r="C4101" s="374"/>
      <c r="CV4101" s="376"/>
    </row>
    <row r="4102" spans="1:100">
      <c r="A4102" s="374"/>
      <c r="C4102" s="374"/>
      <c r="CV4102" s="376"/>
    </row>
    <row r="4103" spans="1:100">
      <c r="A4103" s="374"/>
      <c r="C4103" s="374"/>
      <c r="CV4103" s="376"/>
    </row>
    <row r="4104" spans="1:100">
      <c r="A4104" s="374"/>
      <c r="C4104" s="374"/>
      <c r="CV4104" s="376"/>
    </row>
    <row r="4105" spans="1:100">
      <c r="A4105" s="374"/>
      <c r="C4105" s="374"/>
      <c r="CV4105" s="376"/>
    </row>
    <row r="4106" spans="1:100">
      <c r="A4106" s="374"/>
      <c r="C4106" s="374"/>
      <c r="CV4106" s="376"/>
    </row>
    <row r="4107" spans="1:100">
      <c r="A4107" s="374"/>
      <c r="C4107" s="374"/>
      <c r="CV4107" s="376"/>
    </row>
    <row r="4108" spans="1:100">
      <c r="A4108" s="374"/>
      <c r="C4108" s="374"/>
      <c r="CV4108" s="376"/>
    </row>
    <row r="4109" spans="1:100">
      <c r="A4109" s="374"/>
      <c r="C4109" s="374"/>
      <c r="CV4109" s="376"/>
    </row>
    <row r="4110" spans="1:100">
      <c r="A4110" s="374"/>
      <c r="C4110" s="374"/>
      <c r="CV4110" s="376"/>
    </row>
    <row r="4111" spans="1:100">
      <c r="A4111" s="374"/>
      <c r="C4111" s="374"/>
      <c r="CV4111" s="376"/>
    </row>
    <row r="4112" spans="1:100">
      <c r="A4112" s="374"/>
      <c r="C4112" s="374"/>
      <c r="CV4112" s="376"/>
    </row>
    <row r="4113" spans="1:100">
      <c r="A4113" s="374"/>
      <c r="C4113" s="374"/>
      <c r="CV4113" s="376"/>
    </row>
    <row r="4114" spans="1:100">
      <c r="A4114" s="374"/>
      <c r="C4114" s="374"/>
      <c r="CV4114" s="376"/>
    </row>
    <row r="4115" spans="1:100">
      <c r="A4115" s="374"/>
      <c r="C4115" s="374"/>
      <c r="CV4115" s="376"/>
    </row>
    <row r="4116" spans="1:100">
      <c r="A4116" s="374"/>
      <c r="C4116" s="374"/>
      <c r="CV4116" s="376"/>
    </row>
    <row r="4117" spans="1:100">
      <c r="A4117" s="374"/>
      <c r="C4117" s="374"/>
      <c r="CV4117" s="376"/>
    </row>
    <row r="4118" spans="1:100">
      <c r="A4118" s="374"/>
      <c r="C4118" s="374"/>
      <c r="CV4118" s="376"/>
    </row>
    <row r="4119" spans="1:100">
      <c r="A4119" s="374"/>
      <c r="C4119" s="374"/>
      <c r="CV4119" s="376"/>
    </row>
    <row r="4120" spans="1:100">
      <c r="A4120" s="374"/>
      <c r="C4120" s="374"/>
      <c r="CV4120" s="376"/>
    </row>
    <row r="4121" spans="1:100">
      <c r="A4121" s="374"/>
      <c r="C4121" s="374"/>
      <c r="CV4121" s="376"/>
    </row>
    <row r="4122" spans="1:100">
      <c r="A4122" s="374"/>
      <c r="C4122" s="374"/>
      <c r="CV4122" s="376"/>
    </row>
    <row r="4123" spans="1:100">
      <c r="A4123" s="374"/>
      <c r="C4123" s="374"/>
      <c r="CV4123" s="376"/>
    </row>
    <row r="4124" spans="1:100">
      <c r="A4124" s="374"/>
      <c r="C4124" s="374"/>
      <c r="CV4124" s="376"/>
    </row>
    <row r="4125" spans="1:100">
      <c r="A4125" s="374"/>
      <c r="C4125" s="374"/>
      <c r="CV4125" s="376"/>
    </row>
    <row r="4126" spans="1:100">
      <c r="A4126" s="374"/>
      <c r="C4126" s="374"/>
      <c r="CV4126" s="376"/>
    </row>
    <row r="4127" spans="1:100">
      <c r="A4127" s="374"/>
      <c r="C4127" s="374"/>
      <c r="CV4127" s="376"/>
    </row>
    <row r="4128" spans="1:100">
      <c r="A4128" s="374"/>
      <c r="C4128" s="374"/>
      <c r="CV4128" s="376"/>
    </row>
    <row r="4129" spans="1:100">
      <c r="A4129" s="374"/>
      <c r="C4129" s="374"/>
      <c r="CV4129" s="376"/>
    </row>
    <row r="4130" spans="1:100">
      <c r="A4130" s="374"/>
      <c r="C4130" s="374"/>
      <c r="CV4130" s="376"/>
    </row>
    <row r="4131" spans="1:100">
      <c r="A4131" s="374"/>
      <c r="C4131" s="374"/>
      <c r="CV4131" s="376"/>
    </row>
    <row r="4132" spans="1:100">
      <c r="A4132" s="374"/>
      <c r="C4132" s="374"/>
      <c r="CV4132" s="376"/>
    </row>
    <row r="4133" spans="1:100">
      <c r="A4133" s="374"/>
      <c r="C4133" s="374"/>
      <c r="CV4133" s="376"/>
    </row>
    <row r="4134" spans="1:100">
      <c r="A4134" s="374"/>
      <c r="C4134" s="374"/>
      <c r="CV4134" s="376"/>
    </row>
    <row r="4135" spans="1:100">
      <c r="A4135" s="374"/>
      <c r="C4135" s="374"/>
      <c r="CV4135" s="376"/>
    </row>
    <row r="4136" spans="1:100">
      <c r="A4136" s="374"/>
      <c r="C4136" s="374"/>
      <c r="CV4136" s="376"/>
    </row>
    <row r="4137" spans="1:100">
      <c r="A4137" s="374"/>
      <c r="C4137" s="374"/>
      <c r="CV4137" s="376"/>
    </row>
    <row r="4138" spans="1:100">
      <c r="A4138" s="374"/>
      <c r="C4138" s="374"/>
      <c r="CV4138" s="376"/>
    </row>
    <row r="4139" spans="1:100">
      <c r="A4139" s="374"/>
      <c r="C4139" s="374"/>
      <c r="CV4139" s="376"/>
    </row>
    <row r="4140" spans="1:100">
      <c r="A4140" s="374"/>
      <c r="C4140" s="374"/>
      <c r="CV4140" s="376"/>
    </row>
    <row r="4141" spans="1:100">
      <c r="A4141" s="374"/>
      <c r="C4141" s="374"/>
      <c r="CV4141" s="376"/>
    </row>
    <row r="4142" spans="1:100">
      <c r="A4142" s="374"/>
      <c r="C4142" s="374"/>
      <c r="CV4142" s="376"/>
    </row>
    <row r="4143" spans="1:100">
      <c r="A4143" s="374"/>
      <c r="C4143" s="374"/>
      <c r="CV4143" s="376"/>
    </row>
    <row r="4144" spans="1:100">
      <c r="A4144" s="374"/>
      <c r="C4144" s="374"/>
      <c r="CV4144" s="376"/>
    </row>
    <row r="4145" spans="1:100">
      <c r="A4145" s="374"/>
      <c r="C4145" s="374"/>
      <c r="CV4145" s="376"/>
    </row>
    <row r="4146" spans="1:100">
      <c r="A4146" s="374"/>
      <c r="C4146" s="374"/>
      <c r="CV4146" s="376"/>
    </row>
    <row r="4147" spans="1:100">
      <c r="A4147" s="374"/>
      <c r="C4147" s="374"/>
      <c r="CV4147" s="376"/>
    </row>
    <row r="4148" spans="1:100">
      <c r="A4148" s="374"/>
      <c r="C4148" s="374"/>
      <c r="CV4148" s="376"/>
    </row>
    <row r="4149" spans="1:100">
      <c r="A4149" s="374"/>
      <c r="C4149" s="374"/>
      <c r="CV4149" s="376"/>
    </row>
    <row r="4150" spans="1:100">
      <c r="A4150" s="374"/>
      <c r="C4150" s="374"/>
      <c r="CV4150" s="376"/>
    </row>
    <row r="4151" spans="1:100">
      <c r="A4151" s="374"/>
      <c r="C4151" s="374"/>
      <c r="CV4151" s="376"/>
    </row>
    <row r="4152" spans="1:100">
      <c r="A4152" s="374"/>
      <c r="C4152" s="374"/>
      <c r="CV4152" s="376"/>
    </row>
    <row r="4153" spans="1:100">
      <c r="A4153" s="374"/>
      <c r="C4153" s="374"/>
      <c r="CV4153" s="376"/>
    </row>
    <row r="4154" spans="1:100">
      <c r="A4154" s="374"/>
      <c r="C4154" s="374"/>
      <c r="CV4154" s="376"/>
    </row>
    <row r="4155" spans="1:100">
      <c r="A4155" s="374"/>
      <c r="C4155" s="374"/>
      <c r="CV4155" s="376"/>
    </row>
    <row r="4156" spans="1:100">
      <c r="A4156" s="374"/>
      <c r="C4156" s="374"/>
      <c r="CV4156" s="376"/>
    </row>
    <row r="4157" spans="1:100">
      <c r="A4157" s="374"/>
      <c r="C4157" s="374"/>
      <c r="CV4157" s="376"/>
    </row>
    <row r="4158" spans="1:100">
      <c r="A4158" s="374"/>
      <c r="C4158" s="374"/>
      <c r="CV4158" s="376"/>
    </row>
    <row r="4159" spans="1:100">
      <c r="A4159" s="374"/>
      <c r="C4159" s="374"/>
      <c r="CV4159" s="376"/>
    </row>
    <row r="4160" spans="1:100">
      <c r="A4160" s="374"/>
      <c r="C4160" s="374"/>
      <c r="CV4160" s="376"/>
    </row>
    <row r="4161" spans="1:100">
      <c r="A4161" s="374"/>
      <c r="C4161" s="374"/>
      <c r="CV4161" s="376"/>
    </row>
    <row r="4162" spans="1:100">
      <c r="A4162" s="374"/>
      <c r="C4162" s="374"/>
      <c r="CV4162" s="376"/>
    </row>
    <row r="4163" spans="1:100">
      <c r="A4163" s="374"/>
      <c r="C4163" s="374"/>
      <c r="CV4163" s="376"/>
    </row>
    <row r="4164" spans="1:100">
      <c r="A4164" s="374"/>
      <c r="C4164" s="374"/>
      <c r="CV4164" s="376"/>
    </row>
    <row r="4165" spans="1:100">
      <c r="A4165" s="374"/>
      <c r="C4165" s="374"/>
      <c r="CV4165" s="376"/>
    </row>
    <row r="4166" spans="1:100">
      <c r="A4166" s="374"/>
      <c r="C4166" s="374"/>
      <c r="CV4166" s="376"/>
    </row>
    <row r="4167" spans="1:100">
      <c r="A4167" s="374"/>
      <c r="C4167" s="374"/>
      <c r="CV4167" s="376"/>
    </row>
    <row r="4168" spans="1:100">
      <c r="A4168" s="374"/>
      <c r="C4168" s="374"/>
      <c r="CV4168" s="376"/>
    </row>
    <row r="4169" spans="1:100">
      <c r="A4169" s="374"/>
      <c r="C4169" s="374"/>
      <c r="CV4169" s="376"/>
    </row>
    <row r="4170" spans="1:100">
      <c r="A4170" s="374"/>
      <c r="C4170" s="374"/>
      <c r="CV4170" s="376"/>
    </row>
    <row r="4171" spans="1:100">
      <c r="A4171" s="374"/>
      <c r="C4171" s="374"/>
      <c r="CV4171" s="376"/>
    </row>
    <row r="4172" spans="1:100">
      <c r="A4172" s="374"/>
      <c r="C4172" s="374"/>
      <c r="CV4172" s="376"/>
    </row>
    <row r="4173" spans="1:100">
      <c r="A4173" s="374"/>
      <c r="C4173" s="374"/>
      <c r="CV4173" s="376"/>
    </row>
    <row r="4174" spans="1:100">
      <c r="A4174" s="374"/>
      <c r="C4174" s="374"/>
      <c r="CV4174" s="376"/>
    </row>
    <row r="4175" spans="1:100">
      <c r="A4175" s="374"/>
      <c r="C4175" s="374"/>
      <c r="CV4175" s="376"/>
    </row>
    <row r="4176" spans="1:100">
      <c r="A4176" s="374"/>
      <c r="C4176" s="374"/>
      <c r="CV4176" s="376"/>
    </row>
    <row r="4177" spans="1:100">
      <c r="A4177" s="374"/>
      <c r="C4177" s="374"/>
      <c r="CV4177" s="376"/>
    </row>
    <row r="4178" spans="1:100">
      <c r="A4178" s="374"/>
      <c r="C4178" s="374"/>
      <c r="CV4178" s="376"/>
    </row>
    <row r="4179" spans="1:100">
      <c r="A4179" s="374"/>
      <c r="C4179" s="374"/>
      <c r="CV4179" s="376"/>
    </row>
    <row r="4180" spans="1:100">
      <c r="A4180" s="374"/>
      <c r="C4180" s="374"/>
      <c r="CV4180" s="376"/>
    </row>
    <row r="4181" spans="1:100">
      <c r="A4181" s="374"/>
      <c r="C4181" s="374"/>
      <c r="CV4181" s="376"/>
    </row>
    <row r="4182" spans="1:100">
      <c r="A4182" s="374"/>
      <c r="C4182" s="374"/>
      <c r="CV4182" s="376"/>
    </row>
    <row r="4183" spans="1:100">
      <c r="A4183" s="374"/>
      <c r="C4183" s="374"/>
      <c r="CV4183" s="376"/>
    </row>
    <row r="4184" spans="1:100">
      <c r="A4184" s="374"/>
      <c r="C4184" s="374"/>
      <c r="CV4184" s="376"/>
    </row>
    <row r="4185" spans="1:100">
      <c r="A4185" s="374"/>
      <c r="C4185" s="374"/>
      <c r="CV4185" s="376"/>
    </row>
    <row r="4186" spans="1:100">
      <c r="A4186" s="374"/>
      <c r="C4186" s="374"/>
      <c r="CV4186" s="376"/>
    </row>
    <row r="4187" spans="1:100">
      <c r="A4187" s="374"/>
      <c r="C4187" s="374"/>
      <c r="CV4187" s="376"/>
    </row>
    <row r="4188" spans="1:100">
      <c r="A4188" s="374"/>
      <c r="C4188" s="374"/>
      <c r="CV4188" s="376"/>
    </row>
    <row r="4189" spans="1:100">
      <c r="A4189" s="374"/>
      <c r="C4189" s="374"/>
      <c r="CV4189" s="376"/>
    </row>
    <row r="4190" spans="1:100">
      <c r="A4190" s="374"/>
      <c r="C4190" s="374"/>
      <c r="CV4190" s="376"/>
    </row>
    <row r="4191" spans="1:100">
      <c r="A4191" s="374"/>
      <c r="C4191" s="374"/>
      <c r="CV4191" s="376"/>
    </row>
    <row r="4192" spans="1:100">
      <c r="A4192" s="374"/>
      <c r="C4192" s="374"/>
      <c r="CV4192" s="376"/>
    </row>
    <row r="4193" spans="1:100">
      <c r="A4193" s="374"/>
      <c r="C4193" s="374"/>
      <c r="CV4193" s="376"/>
    </row>
    <row r="4194" spans="1:100">
      <c r="A4194" s="374"/>
      <c r="C4194" s="374"/>
      <c r="CV4194" s="376"/>
    </row>
    <row r="4195" spans="1:100">
      <c r="A4195" s="374"/>
      <c r="C4195" s="374"/>
      <c r="CV4195" s="376"/>
    </row>
    <row r="4196" spans="1:100">
      <c r="A4196" s="374"/>
      <c r="C4196" s="374"/>
      <c r="CV4196" s="376"/>
    </row>
    <row r="4197" spans="1:100">
      <c r="A4197" s="374"/>
      <c r="C4197" s="374"/>
      <c r="CV4197" s="376"/>
    </row>
    <row r="4198" spans="1:100">
      <c r="A4198" s="374"/>
      <c r="C4198" s="374"/>
      <c r="CV4198" s="376"/>
    </row>
    <row r="4199" spans="1:100">
      <c r="A4199" s="374"/>
      <c r="C4199" s="374"/>
      <c r="CV4199" s="376"/>
    </row>
    <row r="4200" spans="1:100">
      <c r="A4200" s="374"/>
      <c r="C4200" s="374"/>
      <c r="CV4200" s="376"/>
    </row>
    <row r="4201" spans="1:100">
      <c r="A4201" s="374"/>
      <c r="C4201" s="374"/>
      <c r="CV4201" s="376"/>
    </row>
    <row r="4202" spans="1:100">
      <c r="A4202" s="374"/>
      <c r="C4202" s="374"/>
      <c r="CV4202" s="376"/>
    </row>
    <row r="4203" spans="1:100">
      <c r="A4203" s="374"/>
      <c r="C4203" s="374"/>
      <c r="CV4203" s="376"/>
    </row>
    <row r="4204" spans="1:100">
      <c r="A4204" s="374"/>
      <c r="C4204" s="374"/>
      <c r="CV4204" s="376"/>
    </row>
    <row r="4205" spans="1:100">
      <c r="A4205" s="374"/>
      <c r="C4205" s="374"/>
      <c r="CV4205" s="376"/>
    </row>
    <row r="4206" spans="1:100">
      <c r="A4206" s="374"/>
      <c r="C4206" s="374"/>
      <c r="CV4206" s="376"/>
    </row>
    <row r="4207" spans="1:100">
      <c r="A4207" s="374"/>
      <c r="C4207" s="374"/>
      <c r="CV4207" s="376"/>
    </row>
    <row r="4208" spans="1:100">
      <c r="A4208" s="374"/>
      <c r="C4208" s="374"/>
      <c r="CV4208" s="376"/>
    </row>
    <row r="4209" spans="1:100">
      <c r="A4209" s="374"/>
      <c r="C4209" s="374"/>
      <c r="CV4209" s="376"/>
    </row>
    <row r="4210" spans="1:100">
      <c r="A4210" s="374"/>
      <c r="C4210" s="374"/>
      <c r="CV4210" s="376"/>
    </row>
    <row r="4211" spans="1:100">
      <c r="A4211" s="374"/>
      <c r="C4211" s="374"/>
      <c r="CV4211" s="376"/>
    </row>
    <row r="4212" spans="1:100">
      <c r="A4212" s="374"/>
      <c r="C4212" s="374"/>
      <c r="CV4212" s="376"/>
    </row>
    <row r="4213" spans="1:100">
      <c r="A4213" s="374"/>
      <c r="C4213" s="374"/>
      <c r="CV4213" s="376"/>
    </row>
    <row r="4214" spans="1:100">
      <c r="A4214" s="374"/>
      <c r="C4214" s="374"/>
      <c r="CV4214" s="376"/>
    </row>
    <row r="4215" spans="1:100">
      <c r="A4215" s="374"/>
      <c r="C4215" s="374"/>
      <c r="CV4215" s="376"/>
    </row>
    <row r="4216" spans="1:100">
      <c r="A4216" s="374"/>
      <c r="C4216" s="374"/>
      <c r="CV4216" s="376"/>
    </row>
    <row r="4217" spans="1:100">
      <c r="A4217" s="374"/>
      <c r="C4217" s="374"/>
      <c r="CV4217" s="376"/>
    </row>
    <row r="4218" spans="1:100">
      <c r="A4218" s="374"/>
      <c r="C4218" s="374"/>
      <c r="CV4218" s="376"/>
    </row>
    <row r="4219" spans="1:100">
      <c r="A4219" s="374"/>
      <c r="C4219" s="374"/>
      <c r="CV4219" s="376"/>
    </row>
    <row r="4220" spans="1:100">
      <c r="A4220" s="374"/>
      <c r="C4220" s="374"/>
      <c r="CV4220" s="376"/>
    </row>
    <row r="4221" spans="1:100">
      <c r="A4221" s="374"/>
      <c r="C4221" s="374"/>
      <c r="CV4221" s="376"/>
    </row>
    <row r="4222" spans="1:100">
      <c r="A4222" s="374"/>
      <c r="C4222" s="374"/>
      <c r="CV4222" s="376"/>
    </row>
    <row r="4223" spans="1:100">
      <c r="A4223" s="374"/>
      <c r="C4223" s="374"/>
      <c r="CV4223" s="376"/>
    </row>
    <row r="4224" spans="1:100">
      <c r="A4224" s="374"/>
      <c r="C4224" s="374"/>
      <c r="CV4224" s="376"/>
    </row>
    <row r="4225" spans="1:100">
      <c r="A4225" s="374"/>
      <c r="C4225" s="374"/>
      <c r="CV4225" s="376"/>
    </row>
    <row r="4226" spans="1:100">
      <c r="A4226" s="374"/>
      <c r="C4226" s="374"/>
      <c r="CV4226" s="376"/>
    </row>
    <row r="4227" spans="1:100">
      <c r="A4227" s="374"/>
      <c r="C4227" s="374"/>
      <c r="CV4227" s="376"/>
    </row>
    <row r="4228" spans="1:100">
      <c r="A4228" s="374"/>
      <c r="C4228" s="374"/>
      <c r="CV4228" s="376"/>
    </row>
    <row r="4229" spans="1:100">
      <c r="A4229" s="374"/>
      <c r="C4229" s="374"/>
      <c r="CV4229" s="376"/>
    </row>
    <row r="4230" spans="1:100">
      <c r="A4230" s="374"/>
      <c r="C4230" s="374"/>
      <c r="CV4230" s="376"/>
    </row>
    <row r="4231" spans="1:100">
      <c r="A4231" s="374"/>
      <c r="C4231" s="374"/>
      <c r="CV4231" s="376"/>
    </row>
    <row r="4232" spans="1:100">
      <c r="A4232" s="374"/>
      <c r="C4232" s="374"/>
      <c r="CV4232" s="376"/>
    </row>
    <row r="4233" spans="1:100">
      <c r="A4233" s="374"/>
      <c r="C4233" s="374"/>
      <c r="CV4233" s="376"/>
    </row>
    <row r="4234" spans="1:100">
      <c r="A4234" s="374"/>
      <c r="C4234" s="374"/>
      <c r="CV4234" s="376"/>
    </row>
    <row r="4235" spans="1:100">
      <c r="A4235" s="374"/>
      <c r="C4235" s="374"/>
      <c r="CV4235" s="376"/>
    </row>
    <row r="4236" spans="1:100">
      <c r="A4236" s="374"/>
      <c r="C4236" s="374"/>
      <c r="CV4236" s="376"/>
    </row>
    <row r="4237" spans="1:100">
      <c r="A4237" s="374"/>
      <c r="C4237" s="374"/>
      <c r="CV4237" s="376"/>
    </row>
    <row r="4238" spans="1:100">
      <c r="A4238" s="374"/>
      <c r="C4238" s="374"/>
      <c r="CV4238" s="376"/>
    </row>
    <row r="4239" spans="1:100">
      <c r="A4239" s="374"/>
      <c r="C4239" s="374"/>
      <c r="CV4239" s="376"/>
    </row>
    <row r="4240" spans="1:100">
      <c r="A4240" s="374"/>
      <c r="C4240" s="374"/>
      <c r="CV4240" s="376"/>
    </row>
    <row r="4241" spans="1:100">
      <c r="A4241" s="374"/>
      <c r="C4241" s="374"/>
      <c r="CV4241" s="376"/>
    </row>
    <row r="4242" spans="1:100">
      <c r="A4242" s="374"/>
      <c r="C4242" s="374"/>
      <c r="CV4242" s="376"/>
    </row>
    <row r="4243" spans="1:100">
      <c r="A4243" s="374"/>
      <c r="C4243" s="374"/>
      <c r="CV4243" s="376"/>
    </row>
    <row r="4244" spans="1:100">
      <c r="A4244" s="374"/>
      <c r="C4244" s="374"/>
      <c r="CV4244" s="376"/>
    </row>
    <row r="4245" spans="1:100">
      <c r="A4245" s="374"/>
      <c r="C4245" s="374"/>
      <c r="CV4245" s="376"/>
    </row>
    <row r="4246" spans="1:100">
      <c r="A4246" s="374"/>
      <c r="C4246" s="374"/>
      <c r="CV4246" s="376"/>
    </row>
    <row r="4247" spans="1:100">
      <c r="A4247" s="374"/>
      <c r="C4247" s="374"/>
      <c r="CV4247" s="376"/>
    </row>
    <row r="4248" spans="1:100">
      <c r="A4248" s="374"/>
      <c r="C4248" s="374"/>
      <c r="CV4248" s="376"/>
    </row>
    <row r="4249" spans="1:100">
      <c r="A4249" s="374"/>
      <c r="C4249" s="374"/>
      <c r="CV4249" s="376"/>
    </row>
    <row r="4250" spans="1:100">
      <c r="A4250" s="374"/>
      <c r="C4250" s="374"/>
      <c r="CV4250" s="376"/>
    </row>
    <row r="4251" spans="1:100">
      <c r="A4251" s="374"/>
      <c r="C4251" s="374"/>
      <c r="CV4251" s="376"/>
    </row>
    <row r="4252" spans="1:100">
      <c r="A4252" s="374"/>
      <c r="C4252" s="374"/>
      <c r="CV4252" s="376"/>
    </row>
    <row r="4253" spans="1:100">
      <c r="A4253" s="374"/>
      <c r="C4253" s="374"/>
      <c r="CV4253" s="376"/>
    </row>
    <row r="4254" spans="1:100">
      <c r="A4254" s="374"/>
      <c r="C4254" s="374"/>
      <c r="CV4254" s="376"/>
    </row>
    <row r="4255" spans="1:100">
      <c r="A4255" s="374"/>
      <c r="C4255" s="374"/>
      <c r="CV4255" s="376"/>
    </row>
    <row r="4256" spans="1:100">
      <c r="A4256" s="374"/>
      <c r="C4256" s="374"/>
      <c r="CV4256" s="376"/>
    </row>
    <row r="4257" spans="1:100">
      <c r="A4257" s="374"/>
      <c r="C4257" s="374"/>
      <c r="CV4257" s="376"/>
    </row>
    <row r="4258" spans="1:100">
      <c r="A4258" s="374"/>
      <c r="C4258" s="374"/>
      <c r="CV4258" s="376"/>
    </row>
    <row r="4259" spans="1:100">
      <c r="A4259" s="374"/>
      <c r="C4259" s="374"/>
      <c r="CV4259" s="376"/>
    </row>
    <row r="4260" spans="1:100">
      <c r="A4260" s="374"/>
      <c r="C4260" s="374"/>
      <c r="CV4260" s="376"/>
    </row>
    <row r="4261" spans="1:100">
      <c r="A4261" s="374"/>
      <c r="C4261" s="374"/>
      <c r="CV4261" s="376"/>
    </row>
    <row r="4262" spans="1:100">
      <c r="A4262" s="374"/>
      <c r="C4262" s="374"/>
      <c r="CV4262" s="376"/>
    </row>
    <row r="4263" spans="1:100">
      <c r="A4263" s="374"/>
      <c r="C4263" s="374"/>
      <c r="CV4263" s="376"/>
    </row>
    <row r="4264" spans="1:100">
      <c r="A4264" s="374"/>
      <c r="C4264" s="374"/>
      <c r="CV4264" s="376"/>
    </row>
    <row r="4265" spans="1:100">
      <c r="A4265" s="374"/>
      <c r="C4265" s="374"/>
      <c r="CV4265" s="376"/>
    </row>
    <row r="4266" spans="1:100">
      <c r="A4266" s="374"/>
      <c r="C4266" s="374"/>
      <c r="CV4266" s="376"/>
    </row>
    <row r="4267" spans="1:100">
      <c r="A4267" s="374"/>
      <c r="C4267" s="374"/>
      <c r="CV4267" s="376"/>
    </row>
    <row r="4268" spans="1:100">
      <c r="A4268" s="374"/>
      <c r="C4268" s="374"/>
      <c r="CV4268" s="376"/>
    </row>
    <row r="4269" spans="1:100">
      <c r="A4269" s="374"/>
      <c r="C4269" s="374"/>
      <c r="CV4269" s="376"/>
    </row>
    <row r="4270" spans="1:100">
      <c r="A4270" s="374"/>
      <c r="C4270" s="374"/>
      <c r="CV4270" s="376"/>
    </row>
    <row r="4271" spans="1:100">
      <c r="A4271" s="374"/>
      <c r="C4271" s="374"/>
      <c r="CV4271" s="376"/>
    </row>
    <row r="4272" spans="1:100">
      <c r="A4272" s="374"/>
      <c r="C4272" s="374"/>
      <c r="CV4272" s="376"/>
    </row>
    <row r="4273" spans="1:100">
      <c r="A4273" s="374"/>
      <c r="C4273" s="374"/>
      <c r="CV4273" s="376"/>
    </row>
    <row r="4274" spans="1:100">
      <c r="A4274" s="374"/>
      <c r="C4274" s="374"/>
      <c r="CV4274" s="376"/>
    </row>
    <row r="4275" spans="1:100">
      <c r="A4275" s="374"/>
      <c r="C4275" s="374"/>
      <c r="CV4275" s="376"/>
    </row>
    <row r="4276" spans="1:100">
      <c r="A4276" s="374"/>
      <c r="C4276" s="374"/>
      <c r="CV4276" s="376"/>
    </row>
    <row r="4277" spans="1:100">
      <c r="A4277" s="374"/>
      <c r="C4277" s="374"/>
      <c r="CV4277" s="376"/>
    </row>
    <row r="4278" spans="1:100">
      <c r="A4278" s="374"/>
      <c r="C4278" s="374"/>
      <c r="CV4278" s="376"/>
    </row>
    <row r="4279" spans="1:100">
      <c r="A4279" s="374"/>
      <c r="C4279" s="374"/>
      <c r="CV4279" s="376"/>
    </row>
    <row r="4280" spans="1:100">
      <c r="A4280" s="374"/>
      <c r="C4280" s="374"/>
      <c r="CV4280" s="376"/>
    </row>
    <row r="4281" spans="1:100">
      <c r="A4281" s="374"/>
      <c r="C4281" s="374"/>
      <c r="CV4281" s="376"/>
    </row>
    <row r="4282" spans="1:100">
      <c r="A4282" s="374"/>
      <c r="C4282" s="374"/>
      <c r="CV4282" s="376"/>
    </row>
    <row r="4283" spans="1:100">
      <c r="A4283" s="374"/>
      <c r="C4283" s="374"/>
      <c r="CV4283" s="376"/>
    </row>
    <row r="4284" spans="1:100">
      <c r="A4284" s="374"/>
      <c r="C4284" s="374"/>
      <c r="CV4284" s="376"/>
    </row>
    <row r="4285" spans="1:100">
      <c r="A4285" s="374"/>
      <c r="C4285" s="374"/>
      <c r="CV4285" s="376"/>
    </row>
    <row r="4286" spans="1:100">
      <c r="A4286" s="374"/>
      <c r="C4286" s="374"/>
      <c r="CV4286" s="376"/>
    </row>
    <row r="4287" spans="1:100">
      <c r="A4287" s="374"/>
      <c r="C4287" s="374"/>
      <c r="CV4287" s="376"/>
    </row>
    <row r="4288" spans="1:100">
      <c r="A4288" s="374"/>
      <c r="C4288" s="374"/>
      <c r="CV4288" s="376"/>
    </row>
    <row r="4289" spans="1:100">
      <c r="A4289" s="374"/>
      <c r="C4289" s="374"/>
      <c r="CV4289" s="376"/>
    </row>
    <row r="4290" spans="1:100">
      <c r="A4290" s="374"/>
      <c r="C4290" s="374"/>
      <c r="CV4290" s="376"/>
    </row>
    <row r="4291" spans="1:100">
      <c r="A4291" s="374"/>
      <c r="C4291" s="374"/>
      <c r="CV4291" s="376"/>
    </row>
    <row r="4292" spans="1:100">
      <c r="A4292" s="374"/>
      <c r="C4292" s="374"/>
      <c r="CV4292" s="376"/>
    </row>
    <row r="4293" spans="1:100">
      <c r="A4293" s="374"/>
      <c r="C4293" s="374"/>
      <c r="CV4293" s="376"/>
    </row>
    <row r="4294" spans="1:100">
      <c r="A4294" s="374"/>
      <c r="C4294" s="374"/>
      <c r="CV4294" s="376"/>
    </row>
    <row r="4295" spans="1:100">
      <c r="A4295" s="374"/>
      <c r="C4295" s="374"/>
      <c r="CV4295" s="376"/>
    </row>
    <row r="4296" spans="1:100">
      <c r="A4296" s="374"/>
      <c r="C4296" s="374"/>
      <c r="CV4296" s="376"/>
    </row>
    <row r="4297" spans="1:100">
      <c r="A4297" s="374"/>
      <c r="C4297" s="374"/>
      <c r="CV4297" s="376"/>
    </row>
    <row r="4298" spans="1:100">
      <c r="A4298" s="374"/>
      <c r="C4298" s="374"/>
      <c r="CV4298" s="376"/>
    </row>
    <row r="4299" spans="1:100">
      <c r="A4299" s="374"/>
      <c r="C4299" s="374"/>
      <c r="CV4299" s="376"/>
    </row>
    <row r="4300" spans="1:100">
      <c r="A4300" s="374"/>
      <c r="C4300" s="374"/>
      <c r="CV4300" s="376"/>
    </row>
    <row r="4301" spans="1:100">
      <c r="A4301" s="374"/>
      <c r="C4301" s="374"/>
      <c r="CV4301" s="376"/>
    </row>
    <row r="4302" spans="1:100">
      <c r="A4302" s="374"/>
      <c r="C4302" s="374"/>
      <c r="CV4302" s="376"/>
    </row>
    <row r="4303" spans="1:100">
      <c r="A4303" s="374"/>
      <c r="C4303" s="374"/>
      <c r="CV4303" s="376"/>
    </row>
    <row r="4304" spans="1:100">
      <c r="A4304" s="374"/>
      <c r="C4304" s="374"/>
      <c r="CV4304" s="376"/>
    </row>
    <row r="4305" spans="1:100">
      <c r="A4305" s="374"/>
      <c r="C4305" s="374"/>
      <c r="CV4305" s="376"/>
    </row>
    <row r="4306" spans="1:100">
      <c r="A4306" s="374"/>
      <c r="C4306" s="374"/>
      <c r="CV4306" s="376"/>
    </row>
    <row r="4307" spans="1:100">
      <c r="A4307" s="374"/>
      <c r="C4307" s="374"/>
      <c r="CV4307" s="376"/>
    </row>
    <row r="4308" spans="1:100">
      <c r="A4308" s="374"/>
      <c r="C4308" s="374"/>
      <c r="CV4308" s="376"/>
    </row>
    <row r="4309" spans="1:100">
      <c r="A4309" s="374"/>
      <c r="C4309" s="374"/>
      <c r="CV4309" s="376"/>
    </row>
    <row r="4310" spans="1:100">
      <c r="A4310" s="374"/>
      <c r="C4310" s="374"/>
      <c r="CV4310" s="376"/>
    </row>
    <row r="4311" spans="1:100">
      <c r="A4311" s="374"/>
      <c r="C4311" s="374"/>
      <c r="CV4311" s="376"/>
    </row>
    <row r="4312" spans="1:100">
      <c r="A4312" s="374"/>
      <c r="C4312" s="374"/>
      <c r="CV4312" s="376"/>
    </row>
    <row r="4313" spans="1:100">
      <c r="A4313" s="374"/>
      <c r="C4313" s="374"/>
      <c r="CV4313" s="376"/>
    </row>
    <row r="4314" spans="1:100">
      <c r="A4314" s="374"/>
      <c r="C4314" s="374"/>
      <c r="CV4314" s="376"/>
    </row>
    <row r="4315" spans="1:100">
      <c r="A4315" s="374"/>
      <c r="C4315" s="374"/>
      <c r="CV4315" s="376"/>
    </row>
    <row r="4316" spans="1:100">
      <c r="A4316" s="374"/>
      <c r="C4316" s="374"/>
      <c r="CV4316" s="376"/>
    </row>
    <row r="4317" spans="1:100">
      <c r="A4317" s="374"/>
      <c r="C4317" s="374"/>
      <c r="CV4317" s="376"/>
    </row>
    <row r="4318" spans="1:100">
      <c r="A4318" s="374"/>
      <c r="C4318" s="374"/>
      <c r="CV4318" s="376"/>
    </row>
    <row r="4319" spans="1:100">
      <c r="A4319" s="374"/>
      <c r="C4319" s="374"/>
      <c r="CV4319" s="376"/>
    </row>
    <row r="4320" spans="1:100">
      <c r="A4320" s="374"/>
      <c r="C4320" s="374"/>
      <c r="CV4320" s="376"/>
    </row>
    <row r="4321" spans="1:100">
      <c r="A4321" s="374"/>
      <c r="C4321" s="374"/>
      <c r="CV4321" s="376"/>
    </row>
    <row r="4322" spans="1:100">
      <c r="A4322" s="374"/>
      <c r="C4322" s="374"/>
      <c r="CV4322" s="376"/>
    </row>
    <row r="4323" spans="1:100">
      <c r="A4323" s="374"/>
      <c r="C4323" s="374"/>
      <c r="CV4323" s="376"/>
    </row>
    <row r="4324" spans="1:100">
      <c r="A4324" s="374"/>
      <c r="C4324" s="374"/>
      <c r="CV4324" s="376"/>
    </row>
    <row r="4325" spans="1:100">
      <c r="A4325" s="374"/>
      <c r="C4325" s="374"/>
      <c r="CV4325" s="376"/>
    </row>
    <row r="4326" spans="1:100">
      <c r="A4326" s="374"/>
      <c r="C4326" s="374"/>
      <c r="CV4326" s="376"/>
    </row>
    <row r="4327" spans="1:100">
      <c r="A4327" s="374"/>
      <c r="C4327" s="374"/>
      <c r="CV4327" s="376"/>
    </row>
    <row r="4328" spans="1:100">
      <c r="A4328" s="374"/>
      <c r="C4328" s="374"/>
      <c r="CV4328" s="376"/>
    </row>
    <row r="4329" spans="1:100">
      <c r="A4329" s="374"/>
      <c r="C4329" s="374"/>
      <c r="CV4329" s="376"/>
    </row>
    <row r="4330" spans="1:100">
      <c r="A4330" s="374"/>
      <c r="C4330" s="374"/>
      <c r="CV4330" s="376"/>
    </row>
    <row r="4331" spans="1:100">
      <c r="A4331" s="374"/>
      <c r="C4331" s="374"/>
      <c r="CV4331" s="376"/>
    </row>
    <row r="4332" spans="1:100">
      <c r="A4332" s="374"/>
      <c r="C4332" s="374"/>
      <c r="CV4332" s="376"/>
    </row>
    <row r="4333" spans="1:100">
      <c r="A4333" s="374"/>
      <c r="C4333" s="374"/>
      <c r="CV4333" s="376"/>
    </row>
    <row r="4334" spans="1:100">
      <c r="A4334" s="374"/>
      <c r="C4334" s="374"/>
      <c r="CV4334" s="376"/>
    </row>
    <row r="4335" spans="1:100">
      <c r="A4335" s="374"/>
      <c r="C4335" s="374"/>
      <c r="CV4335" s="376"/>
    </row>
    <row r="4336" spans="1:100">
      <c r="A4336" s="374"/>
      <c r="C4336" s="374"/>
      <c r="CV4336" s="376"/>
    </row>
    <row r="4337" spans="1:100">
      <c r="A4337" s="374"/>
      <c r="C4337" s="374"/>
      <c r="CV4337" s="376"/>
    </row>
    <row r="4338" spans="1:100">
      <c r="A4338" s="374"/>
      <c r="C4338" s="374"/>
      <c r="CV4338" s="376"/>
    </row>
    <row r="4339" spans="1:100">
      <c r="A4339" s="374"/>
      <c r="C4339" s="374"/>
      <c r="CV4339" s="376"/>
    </row>
    <row r="4340" spans="1:100">
      <c r="A4340" s="374"/>
      <c r="C4340" s="374"/>
      <c r="CV4340" s="376"/>
    </row>
    <row r="4341" spans="1:100">
      <c r="A4341" s="374"/>
      <c r="C4341" s="374"/>
      <c r="CV4341" s="376"/>
    </row>
    <row r="4342" spans="1:100">
      <c r="A4342" s="374"/>
      <c r="C4342" s="374"/>
      <c r="CV4342" s="376"/>
    </row>
    <row r="4343" spans="1:100">
      <c r="A4343" s="374"/>
      <c r="C4343" s="374"/>
      <c r="CV4343" s="376"/>
    </row>
    <row r="4344" spans="1:100">
      <c r="A4344" s="374"/>
      <c r="C4344" s="374"/>
      <c r="CV4344" s="376"/>
    </row>
    <row r="4345" spans="1:100">
      <c r="A4345" s="374"/>
      <c r="C4345" s="374"/>
      <c r="CV4345" s="376"/>
    </row>
    <row r="4346" spans="1:100">
      <c r="A4346" s="374"/>
      <c r="C4346" s="374"/>
      <c r="CV4346" s="376"/>
    </row>
    <row r="4347" spans="1:100">
      <c r="A4347" s="374"/>
      <c r="C4347" s="374"/>
      <c r="CV4347" s="376"/>
    </row>
    <row r="4348" spans="1:100">
      <c r="A4348" s="374"/>
      <c r="C4348" s="374"/>
      <c r="CV4348" s="376"/>
    </row>
    <row r="4349" spans="1:100">
      <c r="A4349" s="374"/>
      <c r="C4349" s="374"/>
      <c r="CV4349" s="376"/>
    </row>
    <row r="4350" spans="1:100">
      <c r="A4350" s="374"/>
      <c r="C4350" s="374"/>
      <c r="CV4350" s="376"/>
    </row>
    <row r="4351" spans="1:100">
      <c r="A4351" s="374"/>
      <c r="C4351" s="374"/>
      <c r="CV4351" s="376"/>
    </row>
    <row r="4352" spans="1:100">
      <c r="A4352" s="374"/>
      <c r="C4352" s="374"/>
      <c r="CV4352" s="376"/>
    </row>
    <row r="4353" spans="1:100">
      <c r="A4353" s="374"/>
      <c r="C4353" s="374"/>
      <c r="CV4353" s="376"/>
    </row>
    <row r="4354" spans="1:100">
      <c r="A4354" s="374"/>
      <c r="C4354" s="374"/>
      <c r="CV4354" s="376"/>
    </row>
    <row r="4355" spans="1:100">
      <c r="A4355" s="374"/>
      <c r="C4355" s="374"/>
      <c r="CV4355" s="376"/>
    </row>
    <row r="4356" spans="1:100">
      <c r="A4356" s="374"/>
      <c r="C4356" s="374"/>
      <c r="CV4356" s="376"/>
    </row>
    <row r="4357" spans="1:100">
      <c r="A4357" s="374"/>
      <c r="C4357" s="374"/>
      <c r="CV4357" s="376"/>
    </row>
    <row r="4358" spans="1:100">
      <c r="A4358" s="374"/>
      <c r="C4358" s="374"/>
      <c r="CV4358" s="376"/>
    </row>
    <row r="4359" spans="1:100">
      <c r="A4359" s="374"/>
      <c r="C4359" s="374"/>
      <c r="CV4359" s="376"/>
    </row>
    <row r="4360" spans="1:100">
      <c r="A4360" s="374"/>
      <c r="C4360" s="374"/>
      <c r="CV4360" s="376"/>
    </row>
    <row r="4361" spans="1:100">
      <c r="A4361" s="374"/>
      <c r="C4361" s="374"/>
      <c r="CV4361" s="376"/>
    </row>
    <row r="4362" spans="1:100">
      <c r="A4362" s="374"/>
      <c r="C4362" s="374"/>
      <c r="CV4362" s="376"/>
    </row>
    <row r="4363" spans="1:100">
      <c r="A4363" s="374"/>
      <c r="C4363" s="374"/>
      <c r="CV4363" s="376"/>
    </row>
    <row r="4364" spans="1:100">
      <c r="A4364" s="374"/>
      <c r="C4364" s="374"/>
      <c r="CV4364" s="376"/>
    </row>
    <row r="4365" spans="1:100">
      <c r="A4365" s="374"/>
      <c r="C4365" s="374"/>
      <c r="CV4365" s="376"/>
    </row>
    <row r="4366" spans="1:100">
      <c r="A4366" s="374"/>
      <c r="C4366" s="374"/>
      <c r="CV4366" s="376"/>
    </row>
    <row r="4367" spans="1:100">
      <c r="A4367" s="374"/>
      <c r="C4367" s="374"/>
      <c r="CV4367" s="376"/>
    </row>
    <row r="4368" spans="1:100">
      <c r="A4368" s="374"/>
      <c r="C4368" s="374"/>
      <c r="CV4368" s="376"/>
    </row>
    <row r="4369" spans="1:100">
      <c r="A4369" s="374"/>
      <c r="C4369" s="374"/>
      <c r="CV4369" s="376"/>
    </row>
    <row r="4370" spans="1:100">
      <c r="A4370" s="374"/>
      <c r="C4370" s="374"/>
      <c r="CV4370" s="376"/>
    </row>
    <row r="4371" spans="1:100">
      <c r="A4371" s="374"/>
      <c r="C4371" s="374"/>
      <c r="CV4371" s="376"/>
    </row>
    <row r="4372" spans="1:100">
      <c r="A4372" s="374"/>
      <c r="C4372" s="374"/>
      <c r="CV4372" s="376"/>
    </row>
    <row r="4373" spans="1:100">
      <c r="A4373" s="374"/>
      <c r="C4373" s="374"/>
      <c r="CV4373" s="376"/>
    </row>
    <row r="4374" spans="1:100">
      <c r="A4374" s="374"/>
      <c r="C4374" s="374"/>
      <c r="CV4374" s="376"/>
    </row>
    <row r="4375" spans="1:100">
      <c r="A4375" s="374"/>
      <c r="C4375" s="374"/>
      <c r="CV4375" s="376"/>
    </row>
    <row r="4376" spans="1:100">
      <c r="A4376" s="374"/>
      <c r="C4376" s="374"/>
      <c r="CV4376" s="376"/>
    </row>
    <row r="4377" spans="1:100">
      <c r="A4377" s="374"/>
      <c r="C4377" s="374"/>
      <c r="CV4377" s="376"/>
    </row>
    <row r="4378" spans="1:100">
      <c r="A4378" s="374"/>
      <c r="C4378" s="374"/>
      <c r="CV4378" s="376"/>
    </row>
    <row r="4379" spans="1:100">
      <c r="A4379" s="374"/>
      <c r="C4379" s="374"/>
      <c r="CV4379" s="376"/>
    </row>
    <row r="4380" spans="1:100">
      <c r="A4380" s="374"/>
      <c r="C4380" s="374"/>
      <c r="CV4380" s="376"/>
    </row>
    <row r="4381" spans="1:100">
      <c r="A4381" s="374"/>
      <c r="C4381" s="374"/>
      <c r="CV4381" s="376"/>
    </row>
    <row r="4382" spans="1:100">
      <c r="A4382" s="374"/>
      <c r="C4382" s="374"/>
      <c r="CV4382" s="376"/>
    </row>
    <row r="4383" spans="1:100">
      <c r="A4383" s="374"/>
      <c r="C4383" s="374"/>
      <c r="CV4383" s="376"/>
    </row>
    <row r="4384" spans="1:100">
      <c r="A4384" s="374"/>
      <c r="C4384" s="374"/>
      <c r="CV4384" s="376"/>
    </row>
    <row r="4385" spans="1:100">
      <c r="A4385" s="374"/>
      <c r="C4385" s="374"/>
      <c r="CV4385" s="376"/>
    </row>
    <row r="4386" spans="1:100">
      <c r="A4386" s="374"/>
      <c r="C4386" s="374"/>
      <c r="CV4386" s="376"/>
    </row>
    <row r="4387" spans="1:100">
      <c r="A4387" s="374"/>
      <c r="C4387" s="374"/>
      <c r="CV4387" s="376"/>
    </row>
    <row r="4388" spans="1:100">
      <c r="A4388" s="374"/>
      <c r="C4388" s="374"/>
      <c r="CV4388" s="376"/>
    </row>
    <row r="4389" spans="1:100">
      <c r="A4389" s="374"/>
      <c r="C4389" s="374"/>
      <c r="CV4389" s="376"/>
    </row>
    <row r="4390" spans="1:100">
      <c r="A4390" s="374"/>
      <c r="C4390" s="374"/>
      <c r="CV4390" s="376"/>
    </row>
    <row r="4391" spans="1:100">
      <c r="A4391" s="374"/>
      <c r="C4391" s="374"/>
      <c r="CV4391" s="376"/>
    </row>
    <row r="4392" spans="1:100">
      <c r="A4392" s="374"/>
      <c r="C4392" s="374"/>
      <c r="CV4392" s="376"/>
    </row>
    <row r="4393" spans="1:100">
      <c r="A4393" s="374"/>
      <c r="C4393" s="374"/>
      <c r="CV4393" s="376"/>
    </row>
    <row r="4394" spans="1:100">
      <c r="A4394" s="374"/>
      <c r="C4394" s="374"/>
      <c r="CV4394" s="376"/>
    </row>
    <row r="4395" spans="1:100">
      <c r="A4395" s="374"/>
      <c r="C4395" s="374"/>
      <c r="CV4395" s="376"/>
    </row>
    <row r="4396" spans="1:100">
      <c r="A4396" s="374"/>
      <c r="C4396" s="374"/>
      <c r="CV4396" s="376"/>
    </row>
    <row r="4397" spans="1:100">
      <c r="A4397" s="374"/>
      <c r="C4397" s="374"/>
      <c r="CV4397" s="376"/>
    </row>
    <row r="4398" spans="1:100">
      <c r="A4398" s="374"/>
      <c r="C4398" s="374"/>
      <c r="CV4398" s="376"/>
    </row>
    <row r="4399" spans="1:100">
      <c r="A4399" s="374"/>
      <c r="C4399" s="374"/>
      <c r="CV4399" s="376"/>
    </row>
    <row r="4400" spans="1:100">
      <c r="A4400" s="374"/>
      <c r="C4400" s="374"/>
      <c r="CV4400" s="376"/>
    </row>
    <row r="4401" spans="1:100">
      <c r="A4401" s="374"/>
      <c r="C4401" s="374"/>
      <c r="CV4401" s="376"/>
    </row>
    <row r="4402" spans="1:100">
      <c r="A4402" s="374"/>
      <c r="C4402" s="374"/>
      <c r="CV4402" s="376"/>
    </row>
    <row r="4403" spans="1:100">
      <c r="A4403" s="374"/>
      <c r="C4403" s="374"/>
      <c r="CV4403" s="376"/>
    </row>
    <row r="4404" spans="1:100">
      <c r="A4404" s="374"/>
      <c r="C4404" s="374"/>
      <c r="CV4404" s="376"/>
    </row>
    <row r="4405" spans="1:100">
      <c r="A4405" s="374"/>
      <c r="C4405" s="374"/>
      <c r="CV4405" s="376"/>
    </row>
    <row r="4406" spans="1:100">
      <c r="A4406" s="374"/>
      <c r="C4406" s="374"/>
      <c r="CV4406" s="376"/>
    </row>
    <row r="4407" spans="1:100">
      <c r="A4407" s="374"/>
      <c r="C4407" s="374"/>
      <c r="CV4407" s="376"/>
    </row>
    <row r="4408" spans="1:100">
      <c r="A4408" s="374"/>
      <c r="C4408" s="374"/>
      <c r="CV4408" s="376"/>
    </row>
    <row r="4409" spans="1:100">
      <c r="A4409" s="374"/>
      <c r="C4409" s="374"/>
      <c r="CV4409" s="376"/>
    </row>
    <row r="4410" spans="1:100">
      <c r="A4410" s="374"/>
      <c r="C4410" s="374"/>
      <c r="CV4410" s="376"/>
    </row>
    <row r="4411" spans="1:100">
      <c r="A4411" s="374"/>
      <c r="C4411" s="374"/>
      <c r="CV4411" s="376"/>
    </row>
    <row r="4412" spans="1:100">
      <c r="A4412" s="374"/>
      <c r="C4412" s="374"/>
      <c r="CV4412" s="376"/>
    </row>
    <row r="4413" spans="1:100">
      <c r="A4413" s="374"/>
      <c r="C4413" s="374"/>
      <c r="CV4413" s="376"/>
    </row>
    <row r="4414" spans="1:100">
      <c r="A4414" s="374"/>
      <c r="C4414" s="374"/>
      <c r="CV4414" s="376"/>
    </row>
    <row r="4415" spans="1:100">
      <c r="A4415" s="374"/>
      <c r="C4415" s="374"/>
      <c r="CV4415" s="376"/>
    </row>
    <row r="4416" spans="1:100">
      <c r="A4416" s="374"/>
      <c r="C4416" s="374"/>
      <c r="CV4416" s="376"/>
    </row>
    <row r="4417" spans="1:100">
      <c r="A4417" s="374"/>
      <c r="C4417" s="374"/>
      <c r="CV4417" s="376"/>
    </row>
    <row r="4418" spans="1:100">
      <c r="A4418" s="374"/>
      <c r="C4418" s="374"/>
      <c r="CV4418" s="376"/>
    </row>
    <row r="4419" spans="1:100">
      <c r="A4419" s="374"/>
      <c r="C4419" s="374"/>
      <c r="CV4419" s="376"/>
    </row>
    <row r="4420" spans="1:100">
      <c r="A4420" s="374"/>
      <c r="C4420" s="374"/>
      <c r="CV4420" s="376"/>
    </row>
    <row r="4421" spans="1:100">
      <c r="A4421" s="374"/>
      <c r="C4421" s="374"/>
      <c r="CV4421" s="376"/>
    </row>
    <row r="4422" spans="1:100">
      <c r="A4422" s="374"/>
      <c r="C4422" s="374"/>
      <c r="CV4422" s="376"/>
    </row>
    <row r="4423" spans="1:100">
      <c r="A4423" s="374"/>
      <c r="C4423" s="374"/>
      <c r="CV4423" s="376"/>
    </row>
    <row r="4424" spans="1:100">
      <c r="A4424" s="374"/>
      <c r="C4424" s="374"/>
      <c r="CV4424" s="376"/>
    </row>
    <row r="4425" spans="1:100">
      <c r="A4425" s="374"/>
      <c r="C4425" s="374"/>
      <c r="CV4425" s="376"/>
    </row>
    <row r="4426" spans="1:100">
      <c r="A4426" s="374"/>
      <c r="C4426" s="374"/>
      <c r="CV4426" s="376"/>
    </row>
    <row r="4427" spans="1:100">
      <c r="A4427" s="374"/>
      <c r="C4427" s="374"/>
      <c r="CV4427" s="376"/>
    </row>
    <row r="4428" spans="1:100">
      <c r="A4428" s="374"/>
      <c r="C4428" s="374"/>
      <c r="CV4428" s="376"/>
    </row>
    <row r="4429" spans="1:100">
      <c r="A4429" s="374"/>
      <c r="C4429" s="374"/>
      <c r="CV4429" s="376"/>
    </row>
    <row r="4430" spans="1:100">
      <c r="A4430" s="374"/>
      <c r="C4430" s="374"/>
      <c r="CV4430" s="376"/>
    </row>
    <row r="4431" spans="1:100">
      <c r="A4431" s="374"/>
      <c r="C4431" s="374"/>
      <c r="CV4431" s="376"/>
    </row>
    <row r="4432" spans="1:100">
      <c r="A4432" s="374"/>
      <c r="C4432" s="374"/>
      <c r="CV4432" s="376"/>
    </row>
    <row r="4433" spans="1:100">
      <c r="A4433" s="374"/>
      <c r="C4433" s="374"/>
      <c r="CV4433" s="376"/>
    </row>
    <row r="4434" spans="1:100">
      <c r="A4434" s="374"/>
      <c r="C4434" s="374"/>
      <c r="CV4434" s="376"/>
    </row>
    <row r="4435" spans="1:100">
      <c r="A4435" s="374"/>
      <c r="C4435" s="374"/>
      <c r="CV4435" s="376"/>
    </row>
    <row r="4436" spans="1:100">
      <c r="A4436" s="374"/>
      <c r="C4436" s="374"/>
      <c r="CV4436" s="376"/>
    </row>
    <row r="4437" spans="1:100">
      <c r="A4437" s="374"/>
      <c r="C4437" s="374"/>
      <c r="CV4437" s="376"/>
    </row>
    <row r="4438" spans="1:100">
      <c r="A4438" s="374"/>
      <c r="C4438" s="374"/>
      <c r="CV4438" s="376"/>
    </row>
    <row r="4439" spans="1:100">
      <c r="A4439" s="374"/>
      <c r="C4439" s="374"/>
      <c r="CV4439" s="376"/>
    </row>
    <row r="4440" spans="1:100">
      <c r="A4440" s="374"/>
      <c r="C4440" s="374"/>
      <c r="CV4440" s="376"/>
    </row>
    <row r="4441" spans="1:100">
      <c r="A4441" s="374"/>
      <c r="C4441" s="374"/>
      <c r="CV4441" s="376"/>
    </row>
    <row r="4442" spans="1:100">
      <c r="A4442" s="374"/>
      <c r="C4442" s="374"/>
      <c r="CV4442" s="376"/>
    </row>
    <row r="4443" spans="1:100">
      <c r="A4443" s="374"/>
      <c r="C4443" s="374"/>
      <c r="CV4443" s="376"/>
    </row>
    <row r="4444" spans="1:100">
      <c r="A4444" s="374"/>
      <c r="C4444" s="374"/>
      <c r="CV4444" s="376"/>
    </row>
    <row r="4445" spans="1:100">
      <c r="A4445" s="374"/>
      <c r="C4445" s="374"/>
      <c r="CV4445" s="376"/>
    </row>
    <row r="4446" spans="1:100">
      <c r="A4446" s="374"/>
      <c r="C4446" s="374"/>
      <c r="CV4446" s="376"/>
    </row>
    <row r="4447" spans="1:100">
      <c r="A4447" s="374"/>
      <c r="C4447" s="374"/>
      <c r="CV4447" s="376"/>
    </row>
    <row r="4448" spans="1:100">
      <c r="A4448" s="374"/>
      <c r="C4448" s="374"/>
      <c r="CV4448" s="376"/>
    </row>
    <row r="4449" spans="1:100">
      <c r="A4449" s="374"/>
      <c r="C4449" s="374"/>
      <c r="CV4449" s="376"/>
    </row>
    <row r="4450" spans="1:100">
      <c r="A4450" s="374"/>
      <c r="C4450" s="374"/>
      <c r="CV4450" s="376"/>
    </row>
    <row r="4451" spans="1:100">
      <c r="A4451" s="374"/>
      <c r="C4451" s="374"/>
      <c r="CV4451" s="376"/>
    </row>
    <row r="4452" spans="1:100">
      <c r="A4452" s="374"/>
      <c r="C4452" s="374"/>
      <c r="CV4452" s="376"/>
    </row>
    <row r="4453" spans="1:100">
      <c r="A4453" s="374"/>
      <c r="C4453" s="374"/>
      <c r="CV4453" s="376"/>
    </row>
    <row r="4454" spans="1:100">
      <c r="A4454" s="374"/>
      <c r="C4454" s="374"/>
      <c r="CV4454" s="376"/>
    </row>
    <row r="4455" spans="1:100">
      <c r="A4455" s="374"/>
      <c r="C4455" s="374"/>
      <c r="CV4455" s="376"/>
    </row>
    <row r="4456" spans="1:100">
      <c r="A4456" s="374"/>
      <c r="C4456" s="374"/>
      <c r="CV4456" s="376"/>
    </row>
    <row r="4457" spans="1:100">
      <c r="A4457" s="374"/>
      <c r="C4457" s="374"/>
      <c r="CV4457" s="376"/>
    </row>
    <row r="4458" spans="1:100">
      <c r="A4458" s="374"/>
      <c r="C4458" s="374"/>
      <c r="CV4458" s="376"/>
    </row>
    <row r="4459" spans="1:100">
      <c r="A4459" s="374"/>
      <c r="C4459" s="374"/>
      <c r="CV4459" s="376"/>
    </row>
    <row r="4460" spans="1:100">
      <c r="A4460" s="374"/>
      <c r="C4460" s="374"/>
      <c r="CV4460" s="376"/>
    </row>
    <row r="4461" spans="1:100">
      <c r="A4461" s="374"/>
      <c r="C4461" s="374"/>
      <c r="CV4461" s="376"/>
    </row>
    <row r="4462" spans="1:100">
      <c r="A4462" s="374"/>
      <c r="C4462" s="374"/>
      <c r="CV4462" s="376"/>
    </row>
    <row r="4463" spans="1:100">
      <c r="A4463" s="374"/>
      <c r="C4463" s="374"/>
      <c r="CV4463" s="376"/>
    </row>
    <row r="4464" spans="1:100">
      <c r="A4464" s="374"/>
      <c r="C4464" s="374"/>
      <c r="CV4464" s="376"/>
    </row>
    <row r="4465" spans="1:100">
      <c r="A4465" s="374"/>
      <c r="C4465" s="374"/>
      <c r="CV4465" s="376"/>
    </row>
    <row r="4466" spans="1:100">
      <c r="A4466" s="374"/>
      <c r="C4466" s="374"/>
      <c r="CV4466" s="376"/>
    </row>
    <row r="4467" spans="1:100">
      <c r="A4467" s="374"/>
      <c r="C4467" s="374"/>
      <c r="CV4467" s="376"/>
    </row>
    <row r="4468" spans="1:100">
      <c r="A4468" s="374"/>
      <c r="C4468" s="374"/>
      <c r="CV4468" s="376"/>
    </row>
    <row r="4469" spans="1:100">
      <c r="A4469" s="374"/>
      <c r="C4469" s="374"/>
      <c r="CV4469" s="376"/>
    </row>
    <row r="4470" spans="1:100">
      <c r="A4470" s="374"/>
      <c r="C4470" s="374"/>
      <c r="CV4470" s="376"/>
    </row>
    <row r="4471" spans="1:100">
      <c r="A4471" s="374"/>
      <c r="C4471" s="374"/>
      <c r="CV4471" s="376"/>
    </row>
    <row r="4472" spans="1:100">
      <c r="A4472" s="374"/>
      <c r="C4472" s="374"/>
      <c r="CV4472" s="376"/>
    </row>
    <row r="4473" spans="1:100">
      <c r="A4473" s="374"/>
      <c r="C4473" s="374"/>
      <c r="CV4473" s="376"/>
    </row>
    <row r="4474" spans="1:100">
      <c r="A4474" s="374"/>
      <c r="C4474" s="374"/>
      <c r="CV4474" s="376"/>
    </row>
    <row r="4475" spans="1:100">
      <c r="A4475" s="374"/>
      <c r="C4475" s="374"/>
      <c r="CV4475" s="376"/>
    </row>
    <row r="4476" spans="1:100">
      <c r="A4476" s="374"/>
      <c r="C4476" s="374"/>
      <c r="CV4476" s="376"/>
    </row>
    <row r="4477" spans="1:100">
      <c r="A4477" s="374"/>
      <c r="C4477" s="374"/>
      <c r="CV4477" s="376"/>
    </row>
    <row r="4478" spans="1:100">
      <c r="A4478" s="374"/>
      <c r="C4478" s="374"/>
      <c r="CV4478" s="376"/>
    </row>
    <row r="4479" spans="1:100">
      <c r="A4479" s="374"/>
      <c r="C4479" s="374"/>
      <c r="CV4479" s="376"/>
    </row>
    <row r="4480" spans="1:100">
      <c r="A4480" s="374"/>
      <c r="C4480" s="374"/>
      <c r="CV4480" s="376"/>
    </row>
    <row r="4481" spans="1:100">
      <c r="A4481" s="374"/>
      <c r="C4481" s="374"/>
      <c r="CV4481" s="376"/>
    </row>
    <row r="4482" spans="1:100">
      <c r="A4482" s="374"/>
      <c r="C4482" s="374"/>
      <c r="CV4482" s="376"/>
    </row>
    <row r="4483" spans="1:100">
      <c r="A4483" s="374"/>
      <c r="C4483" s="374"/>
      <c r="CV4483" s="376"/>
    </row>
    <row r="4484" spans="1:100">
      <c r="A4484" s="374"/>
      <c r="C4484" s="374"/>
      <c r="CV4484" s="376"/>
    </row>
    <row r="4485" spans="1:100">
      <c r="A4485" s="374"/>
      <c r="C4485" s="374"/>
      <c r="CV4485" s="376"/>
    </row>
    <row r="4486" spans="1:100">
      <c r="A4486" s="374"/>
      <c r="C4486" s="374"/>
      <c r="CV4486" s="376"/>
    </row>
    <row r="4487" spans="1:100">
      <c r="A4487" s="374"/>
      <c r="C4487" s="374"/>
      <c r="CV4487" s="376"/>
    </row>
    <row r="4488" spans="1:100">
      <c r="A4488" s="374"/>
      <c r="C4488" s="374"/>
      <c r="CV4488" s="376"/>
    </row>
    <row r="4489" spans="1:100">
      <c r="A4489" s="374"/>
      <c r="C4489" s="374"/>
      <c r="CV4489" s="376"/>
    </row>
    <row r="4490" spans="1:100">
      <c r="A4490" s="374"/>
      <c r="C4490" s="374"/>
      <c r="CV4490" s="376"/>
    </row>
    <row r="4491" spans="1:100">
      <c r="A4491" s="374"/>
      <c r="C4491" s="374"/>
      <c r="CV4491" s="376"/>
    </row>
    <row r="4492" spans="1:100">
      <c r="A4492" s="374"/>
      <c r="C4492" s="374"/>
      <c r="CV4492" s="376"/>
    </row>
    <row r="4493" spans="1:100">
      <c r="A4493" s="374"/>
      <c r="C4493" s="374"/>
      <c r="CV4493" s="376"/>
    </row>
    <row r="4494" spans="1:100">
      <c r="A4494" s="374"/>
      <c r="C4494" s="374"/>
      <c r="CV4494" s="376"/>
    </row>
    <row r="4495" spans="1:100">
      <c r="A4495" s="374"/>
      <c r="C4495" s="374"/>
      <c r="CV4495" s="376"/>
    </row>
    <row r="4496" spans="1:100">
      <c r="A4496" s="374"/>
      <c r="C4496" s="374"/>
      <c r="CV4496" s="376"/>
    </row>
    <row r="4497" spans="1:100">
      <c r="A4497" s="374"/>
      <c r="C4497" s="374"/>
      <c r="CV4497" s="376"/>
    </row>
    <row r="4498" spans="1:100">
      <c r="A4498" s="374"/>
      <c r="C4498" s="374"/>
      <c r="CV4498" s="376"/>
    </row>
    <row r="4499" spans="1:100">
      <c r="A4499" s="374"/>
      <c r="C4499" s="374"/>
      <c r="CV4499" s="376"/>
    </row>
    <row r="4500" spans="1:100">
      <c r="A4500" s="374"/>
      <c r="C4500" s="374"/>
      <c r="CV4500" s="376"/>
    </row>
    <row r="4501" spans="1:100">
      <c r="A4501" s="374"/>
      <c r="C4501" s="374"/>
      <c r="CV4501" s="376"/>
    </row>
    <row r="4502" spans="1:100">
      <c r="A4502" s="374"/>
      <c r="C4502" s="374"/>
      <c r="CV4502" s="376"/>
    </row>
    <row r="4503" spans="1:100">
      <c r="A4503" s="374"/>
      <c r="C4503" s="374"/>
      <c r="CV4503" s="376"/>
    </row>
    <row r="4504" spans="1:100">
      <c r="A4504" s="374"/>
      <c r="C4504" s="374"/>
      <c r="CV4504" s="376"/>
    </row>
    <row r="4505" spans="1:100">
      <c r="A4505" s="374"/>
      <c r="C4505" s="374"/>
      <c r="CV4505" s="376"/>
    </row>
    <row r="4506" spans="1:100">
      <c r="A4506" s="374"/>
      <c r="C4506" s="374"/>
      <c r="CV4506" s="376"/>
    </row>
    <row r="4507" spans="1:100">
      <c r="A4507" s="374"/>
      <c r="C4507" s="374"/>
      <c r="CV4507" s="376"/>
    </row>
    <row r="4508" spans="1:100">
      <c r="A4508" s="374"/>
      <c r="C4508" s="374"/>
      <c r="CV4508" s="376"/>
    </row>
    <row r="4509" spans="1:100">
      <c r="A4509" s="374"/>
      <c r="C4509" s="374"/>
      <c r="CV4509" s="376"/>
    </row>
    <row r="4510" spans="1:100">
      <c r="A4510" s="374"/>
      <c r="C4510" s="374"/>
      <c r="CV4510" s="376"/>
    </row>
    <row r="4511" spans="1:100">
      <c r="A4511" s="374"/>
      <c r="C4511" s="374"/>
      <c r="CV4511" s="376"/>
    </row>
    <row r="4512" spans="1:100">
      <c r="A4512" s="374"/>
      <c r="C4512" s="374"/>
      <c r="CV4512" s="376"/>
    </row>
    <row r="4513" spans="1:100">
      <c r="A4513" s="374"/>
      <c r="C4513" s="374"/>
      <c r="CV4513" s="376"/>
    </row>
    <row r="4514" spans="1:100">
      <c r="A4514" s="374"/>
      <c r="C4514" s="374"/>
      <c r="CV4514" s="376"/>
    </row>
    <row r="4515" spans="1:100">
      <c r="A4515" s="374"/>
      <c r="C4515" s="374"/>
      <c r="CV4515" s="376"/>
    </row>
    <row r="4516" spans="1:100">
      <c r="A4516" s="374"/>
      <c r="C4516" s="374"/>
      <c r="CV4516" s="376"/>
    </row>
    <row r="4517" spans="1:100">
      <c r="A4517" s="374"/>
      <c r="C4517" s="374"/>
      <c r="CV4517" s="376"/>
    </row>
    <row r="4518" spans="1:100">
      <c r="A4518" s="374"/>
      <c r="C4518" s="374"/>
      <c r="CV4518" s="376"/>
    </row>
    <row r="4519" spans="1:100">
      <c r="A4519" s="374"/>
      <c r="C4519" s="374"/>
      <c r="CV4519" s="376"/>
    </row>
    <row r="4520" spans="1:100">
      <c r="A4520" s="374"/>
      <c r="C4520" s="374"/>
      <c r="CV4520" s="376"/>
    </row>
    <row r="4521" spans="1:100">
      <c r="A4521" s="374"/>
      <c r="C4521" s="374"/>
      <c r="CV4521" s="376"/>
    </row>
    <row r="4522" spans="1:100">
      <c r="A4522" s="374"/>
      <c r="C4522" s="374"/>
      <c r="CV4522" s="376"/>
    </row>
    <row r="4523" spans="1:100">
      <c r="A4523" s="374"/>
      <c r="C4523" s="374"/>
      <c r="CV4523" s="376"/>
    </row>
    <row r="4524" spans="1:100">
      <c r="A4524" s="374"/>
      <c r="C4524" s="374"/>
      <c r="CV4524" s="376"/>
    </row>
    <row r="4525" spans="1:100">
      <c r="A4525" s="374"/>
      <c r="C4525" s="374"/>
      <c r="CV4525" s="376"/>
    </row>
    <row r="4526" spans="1:100">
      <c r="A4526" s="374"/>
      <c r="C4526" s="374"/>
      <c r="CV4526" s="376"/>
    </row>
    <row r="4527" spans="1:100">
      <c r="A4527" s="374"/>
      <c r="C4527" s="374"/>
      <c r="CV4527" s="376"/>
    </row>
    <row r="4528" spans="1:100">
      <c r="A4528" s="374"/>
      <c r="C4528" s="374"/>
      <c r="CV4528" s="376"/>
    </row>
    <row r="4529" spans="1:100">
      <c r="A4529" s="374"/>
      <c r="C4529" s="374"/>
      <c r="CV4529" s="376"/>
    </row>
    <row r="4530" spans="1:100">
      <c r="A4530" s="374"/>
      <c r="C4530" s="374"/>
      <c r="CV4530" s="376"/>
    </row>
    <row r="4531" spans="1:100">
      <c r="A4531" s="374"/>
      <c r="C4531" s="374"/>
      <c r="CV4531" s="376"/>
    </row>
    <row r="4532" spans="1:100">
      <c r="A4532" s="374"/>
      <c r="C4532" s="374"/>
      <c r="CV4532" s="376"/>
    </row>
    <row r="4533" spans="1:100">
      <c r="A4533" s="374"/>
      <c r="C4533" s="374"/>
      <c r="CV4533" s="376"/>
    </row>
    <row r="4534" spans="1:100">
      <c r="A4534" s="374"/>
      <c r="C4534" s="374"/>
      <c r="CV4534" s="376"/>
    </row>
    <row r="4535" spans="1:100">
      <c r="A4535" s="374"/>
      <c r="C4535" s="374"/>
      <c r="CV4535" s="376"/>
    </row>
    <row r="4536" spans="1:100">
      <c r="A4536" s="374"/>
      <c r="C4536" s="374"/>
      <c r="CV4536" s="376"/>
    </row>
    <row r="4537" spans="1:100">
      <c r="A4537" s="374"/>
      <c r="C4537" s="374"/>
      <c r="CV4537" s="376"/>
    </row>
    <row r="4538" spans="1:100">
      <c r="A4538" s="374"/>
      <c r="C4538" s="374"/>
      <c r="CV4538" s="376"/>
    </row>
    <row r="4539" spans="1:100">
      <c r="A4539" s="374"/>
      <c r="C4539" s="374"/>
      <c r="CV4539" s="376"/>
    </row>
    <row r="4540" spans="1:100">
      <c r="A4540" s="374"/>
      <c r="C4540" s="374"/>
      <c r="CV4540" s="376"/>
    </row>
    <row r="4541" spans="1:100">
      <c r="A4541" s="374"/>
      <c r="C4541" s="374"/>
      <c r="CV4541" s="376"/>
    </row>
    <row r="4542" spans="1:100">
      <c r="A4542" s="374"/>
      <c r="C4542" s="374"/>
      <c r="CV4542" s="376"/>
    </row>
    <row r="4543" spans="1:100">
      <c r="A4543" s="374"/>
      <c r="C4543" s="374"/>
      <c r="CV4543" s="376"/>
    </row>
    <row r="4544" spans="1:100">
      <c r="A4544" s="374"/>
      <c r="C4544" s="374"/>
      <c r="CV4544" s="376"/>
    </row>
    <row r="4545" spans="1:100">
      <c r="A4545" s="374"/>
      <c r="C4545" s="374"/>
      <c r="CV4545" s="376"/>
    </row>
    <row r="4546" spans="1:100">
      <c r="A4546" s="374"/>
      <c r="C4546" s="374"/>
      <c r="CV4546" s="376"/>
    </row>
    <row r="4547" spans="1:100">
      <c r="A4547" s="374"/>
      <c r="C4547" s="374"/>
      <c r="CV4547" s="376"/>
    </row>
    <row r="4548" spans="1:100">
      <c r="A4548" s="374"/>
      <c r="C4548" s="374"/>
      <c r="CV4548" s="376"/>
    </row>
    <row r="4549" spans="1:100">
      <c r="A4549" s="374"/>
      <c r="C4549" s="374"/>
      <c r="CV4549" s="376"/>
    </row>
    <row r="4550" spans="1:100">
      <c r="A4550" s="374"/>
      <c r="C4550" s="374"/>
      <c r="CV4550" s="376"/>
    </row>
    <row r="4551" spans="1:100">
      <c r="A4551" s="374"/>
      <c r="C4551" s="374"/>
      <c r="CV4551" s="376"/>
    </row>
    <row r="4552" spans="1:100">
      <c r="A4552" s="374"/>
      <c r="C4552" s="374"/>
      <c r="CV4552" s="376"/>
    </row>
    <row r="4553" spans="1:100">
      <c r="A4553" s="374"/>
      <c r="C4553" s="374"/>
      <c r="CV4553" s="376"/>
    </row>
    <row r="4554" spans="1:100">
      <c r="A4554" s="374"/>
      <c r="C4554" s="374"/>
      <c r="CV4554" s="376"/>
    </row>
    <row r="4555" spans="1:100">
      <c r="A4555" s="374"/>
      <c r="C4555" s="374"/>
      <c r="CV4555" s="376"/>
    </row>
    <row r="4556" spans="1:100">
      <c r="A4556" s="374"/>
      <c r="C4556" s="374"/>
      <c r="CV4556" s="376"/>
    </row>
    <row r="4557" spans="1:100">
      <c r="A4557" s="374"/>
      <c r="C4557" s="374"/>
      <c r="CV4557" s="376"/>
    </row>
    <row r="4558" spans="1:100">
      <c r="A4558" s="374"/>
      <c r="C4558" s="374"/>
      <c r="CV4558" s="376"/>
    </row>
    <row r="4559" spans="1:100">
      <c r="A4559" s="374"/>
      <c r="C4559" s="374"/>
      <c r="CV4559" s="376"/>
    </row>
    <row r="4560" spans="1:100">
      <c r="A4560" s="374"/>
      <c r="C4560" s="374"/>
      <c r="CV4560" s="376"/>
    </row>
    <row r="4561" spans="1:100">
      <c r="A4561" s="374"/>
      <c r="C4561" s="374"/>
      <c r="CV4561" s="376"/>
    </row>
    <row r="4562" spans="1:100">
      <c r="A4562" s="374"/>
      <c r="C4562" s="374"/>
      <c r="CV4562" s="376"/>
    </row>
    <row r="4563" spans="1:100">
      <c r="A4563" s="374"/>
      <c r="C4563" s="374"/>
      <c r="CV4563" s="376"/>
    </row>
    <row r="4564" spans="1:100">
      <c r="A4564" s="374"/>
      <c r="C4564" s="374"/>
      <c r="CV4564" s="376"/>
    </row>
    <row r="4565" spans="1:100">
      <c r="A4565" s="374"/>
      <c r="C4565" s="374"/>
      <c r="CV4565" s="376"/>
    </row>
    <row r="4566" spans="1:100">
      <c r="A4566" s="374"/>
      <c r="C4566" s="374"/>
      <c r="CV4566" s="376"/>
    </row>
    <row r="4567" spans="1:100">
      <c r="A4567" s="374"/>
      <c r="C4567" s="374"/>
      <c r="CV4567" s="376"/>
    </row>
    <row r="4568" spans="1:100">
      <c r="A4568" s="374"/>
      <c r="C4568" s="374"/>
      <c r="CV4568" s="376"/>
    </row>
    <row r="4569" spans="1:100">
      <c r="A4569" s="374"/>
      <c r="C4569" s="374"/>
      <c r="CV4569" s="376"/>
    </row>
    <row r="4570" spans="1:100">
      <c r="A4570" s="374"/>
      <c r="C4570" s="374"/>
      <c r="CV4570" s="376"/>
    </row>
    <row r="4571" spans="1:100">
      <c r="A4571" s="374"/>
      <c r="C4571" s="374"/>
      <c r="CV4571" s="376"/>
    </row>
    <row r="4572" spans="1:100">
      <c r="A4572" s="374"/>
      <c r="C4572" s="374"/>
      <c r="CV4572" s="376"/>
    </row>
    <row r="4573" spans="1:100">
      <c r="A4573" s="374"/>
      <c r="C4573" s="374"/>
      <c r="CV4573" s="376"/>
    </row>
    <row r="4574" spans="1:100">
      <c r="A4574" s="374"/>
      <c r="C4574" s="374"/>
      <c r="CV4574" s="376"/>
    </row>
    <row r="4575" spans="1:100">
      <c r="A4575" s="374"/>
      <c r="C4575" s="374"/>
      <c r="CV4575" s="376"/>
    </row>
    <row r="4576" spans="1:100">
      <c r="A4576" s="374"/>
      <c r="C4576" s="374"/>
      <c r="CV4576" s="376"/>
    </row>
    <row r="4577" spans="1:100">
      <c r="A4577" s="374"/>
      <c r="C4577" s="374"/>
      <c r="CV4577" s="376"/>
    </row>
    <row r="4578" spans="1:100">
      <c r="A4578" s="374"/>
      <c r="C4578" s="374"/>
      <c r="CV4578" s="376"/>
    </row>
    <row r="4579" spans="1:100">
      <c r="A4579" s="374"/>
      <c r="C4579" s="374"/>
      <c r="CV4579" s="376"/>
    </row>
    <row r="4580" spans="1:100">
      <c r="A4580" s="374"/>
      <c r="C4580" s="374"/>
      <c r="CV4580" s="376"/>
    </row>
    <row r="4581" spans="1:100">
      <c r="A4581" s="374"/>
      <c r="C4581" s="374"/>
      <c r="CV4581" s="376"/>
    </row>
    <row r="4582" spans="1:100">
      <c r="A4582" s="374"/>
      <c r="C4582" s="374"/>
      <c r="CV4582" s="376"/>
    </row>
    <row r="4583" spans="1:100">
      <c r="A4583" s="374"/>
      <c r="C4583" s="374"/>
      <c r="CV4583" s="376"/>
    </row>
    <row r="4584" spans="1:100">
      <c r="A4584" s="374"/>
      <c r="C4584" s="374"/>
      <c r="CV4584" s="376"/>
    </row>
    <row r="4585" spans="1:100">
      <c r="A4585" s="374"/>
      <c r="C4585" s="374"/>
      <c r="CV4585" s="376"/>
    </row>
    <row r="4586" spans="1:100">
      <c r="A4586" s="374"/>
      <c r="C4586" s="374"/>
      <c r="CV4586" s="376"/>
    </row>
    <row r="4587" spans="1:100">
      <c r="A4587" s="374"/>
      <c r="C4587" s="374"/>
      <c r="CV4587" s="376"/>
    </row>
    <row r="4588" spans="1:100">
      <c r="A4588" s="374"/>
      <c r="C4588" s="374"/>
      <c r="CV4588" s="376"/>
    </row>
    <row r="4589" spans="1:100">
      <c r="A4589" s="374"/>
      <c r="C4589" s="374"/>
      <c r="CV4589" s="376"/>
    </row>
    <row r="4590" spans="1:100">
      <c r="A4590" s="374"/>
      <c r="C4590" s="374"/>
      <c r="CV4590" s="376"/>
    </row>
    <row r="4591" spans="1:100">
      <c r="A4591" s="374"/>
      <c r="C4591" s="374"/>
      <c r="CV4591" s="376"/>
    </row>
    <row r="4592" spans="1:100">
      <c r="A4592" s="374"/>
      <c r="C4592" s="374"/>
      <c r="CV4592" s="376"/>
    </row>
    <row r="4593" spans="1:100">
      <c r="A4593" s="374"/>
      <c r="C4593" s="374"/>
      <c r="CV4593" s="376"/>
    </row>
    <row r="4594" spans="1:100">
      <c r="A4594" s="374"/>
      <c r="C4594" s="374"/>
      <c r="CV4594" s="376"/>
    </row>
    <row r="4595" spans="1:100">
      <c r="A4595" s="374"/>
      <c r="C4595" s="374"/>
      <c r="CV4595" s="376"/>
    </row>
    <row r="4596" spans="1:100">
      <c r="A4596" s="374"/>
      <c r="C4596" s="374"/>
      <c r="CV4596" s="376"/>
    </row>
    <row r="4597" spans="1:100">
      <c r="A4597" s="374"/>
      <c r="C4597" s="374"/>
      <c r="CV4597" s="376"/>
    </row>
    <row r="4598" spans="1:100">
      <c r="A4598" s="374"/>
      <c r="C4598" s="374"/>
      <c r="CV4598" s="376"/>
    </row>
    <row r="4599" spans="1:100">
      <c r="A4599" s="374"/>
      <c r="C4599" s="374"/>
      <c r="CV4599" s="376"/>
    </row>
    <row r="4600" spans="1:100">
      <c r="A4600" s="374"/>
      <c r="C4600" s="374"/>
      <c r="CV4600" s="376"/>
    </row>
    <row r="4601" spans="1:100">
      <c r="A4601" s="374"/>
      <c r="C4601" s="374"/>
      <c r="CV4601" s="376"/>
    </row>
    <row r="4602" spans="1:100">
      <c r="A4602" s="374"/>
      <c r="C4602" s="374"/>
      <c r="CV4602" s="376"/>
    </row>
    <row r="4603" spans="1:100">
      <c r="A4603" s="374"/>
      <c r="C4603" s="374"/>
      <c r="CV4603" s="376"/>
    </row>
    <row r="4604" spans="1:100">
      <c r="A4604" s="374"/>
      <c r="C4604" s="374"/>
      <c r="CV4604" s="376"/>
    </row>
    <row r="4605" spans="1:100">
      <c r="A4605" s="374"/>
      <c r="C4605" s="374"/>
      <c r="CV4605" s="376"/>
    </row>
    <row r="4606" spans="1:100">
      <c r="A4606" s="374"/>
      <c r="C4606" s="374"/>
      <c r="CV4606" s="376"/>
    </row>
    <row r="4607" spans="1:100">
      <c r="A4607" s="374"/>
      <c r="C4607" s="374"/>
      <c r="CV4607" s="376"/>
    </row>
    <row r="4608" spans="1:100">
      <c r="A4608" s="374"/>
      <c r="C4608" s="374"/>
      <c r="CV4608" s="376"/>
    </row>
    <row r="4609" spans="1:100">
      <c r="A4609" s="374"/>
      <c r="C4609" s="374"/>
      <c r="CV4609" s="376"/>
    </row>
    <row r="4610" spans="1:100">
      <c r="A4610" s="374"/>
      <c r="C4610" s="374"/>
      <c r="CV4610" s="376"/>
    </row>
    <row r="4611" spans="1:100">
      <c r="A4611" s="374"/>
      <c r="C4611" s="374"/>
      <c r="CV4611" s="376"/>
    </row>
    <row r="4612" spans="1:100">
      <c r="A4612" s="374"/>
      <c r="C4612" s="374"/>
      <c r="CV4612" s="376"/>
    </row>
    <row r="4613" spans="1:100">
      <c r="A4613" s="374"/>
      <c r="C4613" s="374"/>
      <c r="CV4613" s="376"/>
    </row>
    <row r="4614" spans="1:100">
      <c r="A4614" s="374"/>
      <c r="C4614" s="374"/>
      <c r="CV4614" s="376"/>
    </row>
    <row r="4615" spans="1:100">
      <c r="A4615" s="374"/>
      <c r="C4615" s="374"/>
      <c r="CV4615" s="376"/>
    </row>
    <row r="4616" spans="1:100">
      <c r="A4616" s="374"/>
      <c r="C4616" s="374"/>
      <c r="CV4616" s="376"/>
    </row>
    <row r="4617" spans="1:100">
      <c r="A4617" s="374"/>
      <c r="C4617" s="374"/>
      <c r="CV4617" s="376"/>
    </row>
    <row r="4618" spans="1:100">
      <c r="A4618" s="374"/>
      <c r="C4618" s="374"/>
      <c r="CV4618" s="376"/>
    </row>
    <row r="4619" spans="1:100">
      <c r="A4619" s="374"/>
      <c r="C4619" s="374"/>
      <c r="CV4619" s="376"/>
    </row>
    <row r="4620" spans="1:100">
      <c r="A4620" s="374"/>
      <c r="C4620" s="374"/>
      <c r="CV4620" s="376"/>
    </row>
    <row r="4621" spans="1:100">
      <c r="A4621" s="374"/>
      <c r="C4621" s="374"/>
      <c r="CV4621" s="376"/>
    </row>
    <row r="4622" spans="1:100">
      <c r="A4622" s="374"/>
      <c r="C4622" s="374"/>
      <c r="CV4622" s="376"/>
    </row>
    <row r="4623" spans="1:100">
      <c r="A4623" s="374"/>
      <c r="C4623" s="374"/>
      <c r="CV4623" s="376"/>
    </row>
    <row r="4624" spans="1:100">
      <c r="A4624" s="374"/>
      <c r="C4624" s="374"/>
      <c r="CV4624" s="376"/>
    </row>
    <row r="4625" spans="1:100">
      <c r="A4625" s="374"/>
      <c r="C4625" s="374"/>
      <c r="CV4625" s="376"/>
    </row>
    <row r="4626" spans="1:100">
      <c r="A4626" s="374"/>
      <c r="C4626" s="374"/>
      <c r="CV4626" s="376"/>
    </row>
    <row r="4627" spans="1:100">
      <c r="A4627" s="374"/>
      <c r="C4627" s="374"/>
      <c r="CV4627" s="376"/>
    </row>
    <row r="4628" spans="1:100">
      <c r="A4628" s="374"/>
      <c r="C4628" s="374"/>
      <c r="CV4628" s="376"/>
    </row>
    <row r="4629" spans="1:100">
      <c r="A4629" s="374"/>
      <c r="C4629" s="374"/>
      <c r="CV4629" s="376"/>
    </row>
    <row r="4630" spans="1:100">
      <c r="A4630" s="374"/>
      <c r="C4630" s="374"/>
      <c r="CV4630" s="376"/>
    </row>
    <row r="4631" spans="1:100">
      <c r="A4631" s="374"/>
      <c r="C4631" s="374"/>
      <c r="CV4631" s="376"/>
    </row>
    <row r="4632" spans="1:100">
      <c r="A4632" s="374"/>
      <c r="C4632" s="374"/>
      <c r="CV4632" s="376"/>
    </row>
    <row r="4633" spans="1:100">
      <c r="A4633" s="374"/>
      <c r="C4633" s="374"/>
      <c r="CV4633" s="376"/>
    </row>
    <row r="4634" spans="1:100">
      <c r="A4634" s="374"/>
      <c r="C4634" s="374"/>
      <c r="CV4634" s="376"/>
    </row>
    <row r="4635" spans="1:100">
      <c r="A4635" s="374"/>
      <c r="C4635" s="374"/>
      <c r="CV4635" s="376"/>
    </row>
    <row r="4636" spans="1:100">
      <c r="A4636" s="374"/>
      <c r="C4636" s="374"/>
      <c r="CV4636" s="376"/>
    </row>
    <row r="4637" spans="1:100">
      <c r="A4637" s="374"/>
      <c r="C4637" s="374"/>
      <c r="CV4637" s="376"/>
    </row>
    <row r="4638" spans="1:100">
      <c r="A4638" s="374"/>
      <c r="C4638" s="374"/>
      <c r="CV4638" s="376"/>
    </row>
    <row r="4639" spans="1:100">
      <c r="A4639" s="374"/>
      <c r="C4639" s="374"/>
      <c r="CV4639" s="376"/>
    </row>
    <row r="4640" spans="1:100">
      <c r="A4640" s="374"/>
      <c r="C4640" s="374"/>
      <c r="CV4640" s="376"/>
    </row>
    <row r="4641" spans="1:100">
      <c r="A4641" s="374"/>
      <c r="C4641" s="374"/>
      <c r="CV4641" s="376"/>
    </row>
    <row r="4642" spans="1:100">
      <c r="A4642" s="374"/>
      <c r="C4642" s="374"/>
      <c r="CV4642" s="376"/>
    </row>
    <row r="4643" spans="1:100">
      <c r="A4643" s="374"/>
      <c r="C4643" s="374"/>
      <c r="CV4643" s="376"/>
    </row>
    <row r="4644" spans="1:100">
      <c r="A4644" s="374"/>
      <c r="C4644" s="374"/>
      <c r="CV4644" s="376"/>
    </row>
    <row r="4645" spans="1:100">
      <c r="A4645" s="374"/>
      <c r="C4645" s="374"/>
      <c r="CV4645" s="376"/>
    </row>
    <row r="4646" spans="1:100">
      <c r="A4646" s="374"/>
      <c r="C4646" s="374"/>
      <c r="CV4646" s="376"/>
    </row>
    <row r="4647" spans="1:100">
      <c r="A4647" s="374"/>
      <c r="C4647" s="374"/>
      <c r="CV4647" s="376"/>
    </row>
    <row r="4648" spans="1:100">
      <c r="A4648" s="374"/>
      <c r="C4648" s="374"/>
      <c r="CV4648" s="376"/>
    </row>
    <row r="4649" spans="1:100">
      <c r="A4649" s="374"/>
      <c r="C4649" s="374"/>
      <c r="CV4649" s="376"/>
    </row>
    <row r="4650" spans="1:100">
      <c r="A4650" s="374"/>
      <c r="C4650" s="374"/>
      <c r="CV4650" s="376"/>
    </row>
    <row r="4651" spans="1:100">
      <c r="A4651" s="374"/>
      <c r="C4651" s="374"/>
      <c r="CV4651" s="376"/>
    </row>
    <row r="4652" spans="1:100">
      <c r="A4652" s="374"/>
      <c r="C4652" s="374"/>
      <c r="CV4652" s="376"/>
    </row>
    <row r="4653" spans="1:100">
      <c r="A4653" s="374"/>
      <c r="C4653" s="374"/>
      <c r="CV4653" s="376"/>
    </row>
    <row r="4654" spans="1:100">
      <c r="A4654" s="374"/>
      <c r="C4654" s="374"/>
      <c r="CV4654" s="376"/>
    </row>
    <row r="4655" spans="1:100">
      <c r="A4655" s="374"/>
      <c r="C4655" s="374"/>
      <c r="CV4655" s="376"/>
    </row>
    <row r="4656" spans="1:100">
      <c r="A4656" s="374"/>
      <c r="C4656" s="374"/>
      <c r="CV4656" s="376"/>
    </row>
    <row r="4657" spans="1:100">
      <c r="A4657" s="374"/>
      <c r="C4657" s="374"/>
      <c r="CV4657" s="376"/>
    </row>
    <row r="4658" spans="1:100">
      <c r="A4658" s="374"/>
      <c r="C4658" s="374"/>
      <c r="CV4658" s="376"/>
    </row>
    <row r="4659" spans="1:100">
      <c r="A4659" s="374"/>
      <c r="C4659" s="374"/>
      <c r="CV4659" s="376"/>
    </row>
    <row r="4660" spans="1:100">
      <c r="A4660" s="374"/>
      <c r="C4660" s="374"/>
      <c r="CV4660" s="376"/>
    </row>
    <row r="4661" spans="1:100">
      <c r="A4661" s="374"/>
      <c r="C4661" s="374"/>
      <c r="CV4661" s="376"/>
    </row>
    <row r="4662" spans="1:100">
      <c r="A4662" s="374"/>
      <c r="C4662" s="374"/>
      <c r="CV4662" s="376"/>
    </row>
    <row r="4663" spans="1:100">
      <c r="A4663" s="374"/>
      <c r="C4663" s="374"/>
      <c r="CV4663" s="376"/>
    </row>
    <row r="4664" spans="1:100">
      <c r="A4664" s="374"/>
      <c r="C4664" s="374"/>
      <c r="CV4664" s="376"/>
    </row>
    <row r="4665" spans="1:100">
      <c r="A4665" s="374"/>
      <c r="C4665" s="374"/>
      <c r="CV4665" s="376"/>
    </row>
    <row r="4666" spans="1:100">
      <c r="A4666" s="374"/>
      <c r="C4666" s="374"/>
      <c r="CV4666" s="376"/>
    </row>
    <row r="4667" spans="1:100">
      <c r="A4667" s="374"/>
      <c r="C4667" s="374"/>
      <c r="CV4667" s="376"/>
    </row>
    <row r="4668" spans="1:100">
      <c r="A4668" s="374"/>
      <c r="C4668" s="374"/>
      <c r="CV4668" s="376"/>
    </row>
    <row r="4669" spans="1:100">
      <c r="A4669" s="374"/>
      <c r="C4669" s="374"/>
      <c r="CV4669" s="376"/>
    </row>
    <row r="4670" spans="1:100">
      <c r="A4670" s="374"/>
      <c r="C4670" s="374"/>
      <c r="CV4670" s="376"/>
    </row>
    <row r="4671" spans="1:100">
      <c r="A4671" s="374"/>
      <c r="C4671" s="374"/>
      <c r="CV4671" s="376"/>
    </row>
    <row r="4672" spans="1:100">
      <c r="A4672" s="374"/>
      <c r="C4672" s="374"/>
      <c r="CV4672" s="376"/>
    </row>
    <row r="4673" spans="1:100">
      <c r="A4673" s="374"/>
      <c r="C4673" s="374"/>
      <c r="CV4673" s="376"/>
    </row>
    <row r="4674" spans="1:100">
      <c r="A4674" s="374"/>
      <c r="C4674" s="374"/>
      <c r="CV4674" s="376"/>
    </row>
    <row r="4675" spans="1:100">
      <c r="A4675" s="374"/>
      <c r="C4675" s="374"/>
      <c r="CV4675" s="376"/>
    </row>
    <row r="4676" spans="1:100">
      <c r="A4676" s="374"/>
      <c r="C4676" s="374"/>
      <c r="CV4676" s="376"/>
    </row>
    <row r="4677" spans="1:100">
      <c r="A4677" s="374"/>
      <c r="C4677" s="374"/>
      <c r="CV4677" s="376"/>
    </row>
    <row r="4678" spans="1:100">
      <c r="A4678" s="374"/>
      <c r="C4678" s="374"/>
      <c r="CV4678" s="376"/>
    </row>
    <row r="4679" spans="1:100">
      <c r="A4679" s="374"/>
      <c r="C4679" s="374"/>
      <c r="CV4679" s="376"/>
    </row>
    <row r="4680" spans="1:100">
      <c r="A4680" s="374"/>
      <c r="C4680" s="374"/>
      <c r="CV4680" s="376"/>
    </row>
    <row r="4681" spans="1:100">
      <c r="A4681" s="374"/>
      <c r="C4681" s="374"/>
      <c r="CV4681" s="376"/>
    </row>
    <row r="4682" spans="1:100">
      <c r="A4682" s="374"/>
      <c r="C4682" s="374"/>
      <c r="CV4682" s="376"/>
    </row>
    <row r="4683" spans="1:100">
      <c r="A4683" s="374"/>
      <c r="C4683" s="374"/>
      <c r="CV4683" s="376"/>
    </row>
    <row r="4684" spans="1:100">
      <c r="A4684" s="374"/>
      <c r="C4684" s="374"/>
      <c r="CV4684" s="376"/>
    </row>
    <row r="4685" spans="1:100">
      <c r="A4685" s="374"/>
      <c r="C4685" s="374"/>
      <c r="CV4685" s="376"/>
    </row>
    <row r="4686" spans="1:100">
      <c r="A4686" s="374"/>
      <c r="C4686" s="374"/>
      <c r="CV4686" s="376"/>
    </row>
    <row r="4687" spans="1:100">
      <c r="A4687" s="374"/>
      <c r="C4687" s="374"/>
      <c r="CV4687" s="376"/>
    </row>
    <row r="4688" spans="1:100">
      <c r="A4688" s="374"/>
      <c r="C4688" s="374"/>
      <c r="CV4688" s="376"/>
    </row>
    <row r="4689" spans="1:100">
      <c r="A4689" s="374"/>
      <c r="C4689" s="374"/>
      <c r="CV4689" s="376"/>
    </row>
    <row r="4690" spans="1:100">
      <c r="A4690" s="374"/>
      <c r="C4690" s="374"/>
      <c r="CV4690" s="376"/>
    </row>
    <row r="4691" spans="1:100">
      <c r="A4691" s="374"/>
      <c r="C4691" s="374"/>
      <c r="CV4691" s="376"/>
    </row>
    <row r="4692" spans="1:100">
      <c r="A4692" s="374"/>
      <c r="C4692" s="374"/>
      <c r="CV4692" s="376"/>
    </row>
    <row r="4693" spans="1:100">
      <c r="A4693" s="374"/>
      <c r="C4693" s="374"/>
      <c r="CV4693" s="376"/>
    </row>
    <row r="4694" spans="1:100">
      <c r="A4694" s="374"/>
      <c r="C4694" s="374"/>
      <c r="CV4694" s="376"/>
    </row>
    <row r="4695" spans="1:100">
      <c r="A4695" s="374"/>
      <c r="C4695" s="374"/>
      <c r="CV4695" s="376"/>
    </row>
    <row r="4696" spans="1:100">
      <c r="A4696" s="374"/>
      <c r="C4696" s="374"/>
      <c r="CV4696" s="376"/>
    </row>
    <row r="4697" spans="1:100">
      <c r="A4697" s="374"/>
      <c r="C4697" s="374"/>
      <c r="CV4697" s="376"/>
    </row>
    <row r="4698" spans="1:100">
      <c r="A4698" s="374"/>
      <c r="C4698" s="374"/>
      <c r="CV4698" s="376"/>
    </row>
    <row r="4699" spans="1:100">
      <c r="A4699" s="374"/>
      <c r="C4699" s="374"/>
      <c r="CV4699" s="376"/>
    </row>
    <row r="4700" spans="1:100">
      <c r="A4700" s="374"/>
      <c r="C4700" s="374"/>
      <c r="CV4700" s="376"/>
    </row>
    <row r="4701" spans="1:100">
      <c r="A4701" s="374"/>
      <c r="C4701" s="374"/>
      <c r="CV4701" s="376"/>
    </row>
    <row r="4702" spans="1:100">
      <c r="A4702" s="374"/>
      <c r="C4702" s="374"/>
      <c r="CV4702" s="376"/>
    </row>
    <row r="4703" spans="1:100">
      <c r="A4703" s="374"/>
      <c r="C4703" s="374"/>
      <c r="CV4703" s="376"/>
    </row>
    <row r="4704" spans="1:100">
      <c r="A4704" s="374"/>
      <c r="C4704" s="374"/>
      <c r="CV4704" s="376"/>
    </row>
    <row r="4705" spans="1:100">
      <c r="A4705" s="374"/>
      <c r="C4705" s="374"/>
      <c r="CV4705" s="376"/>
    </row>
    <row r="4706" spans="1:100">
      <c r="A4706" s="374"/>
      <c r="C4706" s="374"/>
      <c r="CV4706" s="376"/>
    </row>
    <row r="4707" spans="1:100">
      <c r="A4707" s="374"/>
      <c r="C4707" s="374"/>
      <c r="CV4707" s="376"/>
    </row>
    <row r="4708" spans="1:100">
      <c r="A4708" s="374"/>
      <c r="C4708" s="374"/>
      <c r="CV4708" s="376"/>
    </row>
    <row r="4709" spans="1:100">
      <c r="A4709" s="374"/>
      <c r="C4709" s="374"/>
      <c r="CV4709" s="376"/>
    </row>
    <row r="4710" spans="1:100">
      <c r="A4710" s="374"/>
      <c r="C4710" s="374"/>
      <c r="CV4710" s="376"/>
    </row>
    <row r="4711" spans="1:100">
      <c r="A4711" s="374"/>
      <c r="C4711" s="374"/>
      <c r="CV4711" s="376"/>
    </row>
    <row r="4712" spans="1:100">
      <c r="A4712" s="374"/>
      <c r="C4712" s="374"/>
      <c r="CV4712" s="376"/>
    </row>
    <row r="4713" spans="1:100">
      <c r="A4713" s="374"/>
      <c r="C4713" s="374"/>
      <c r="CV4713" s="376"/>
    </row>
    <row r="4714" spans="1:100">
      <c r="A4714" s="374"/>
      <c r="C4714" s="374"/>
      <c r="CV4714" s="376"/>
    </row>
    <row r="4715" spans="1:100">
      <c r="A4715" s="374"/>
      <c r="C4715" s="374"/>
      <c r="CV4715" s="376"/>
    </row>
    <row r="4716" spans="1:100">
      <c r="A4716" s="374"/>
      <c r="C4716" s="374"/>
      <c r="CV4716" s="376"/>
    </row>
    <row r="4717" spans="1:100">
      <c r="A4717" s="374"/>
      <c r="C4717" s="374"/>
      <c r="CV4717" s="376"/>
    </row>
    <row r="4718" spans="1:100">
      <c r="A4718" s="374"/>
      <c r="C4718" s="374"/>
      <c r="CV4718" s="376"/>
    </row>
    <row r="4719" spans="1:100">
      <c r="A4719" s="374"/>
      <c r="C4719" s="374"/>
      <c r="CV4719" s="376"/>
    </row>
    <row r="4720" spans="1:100">
      <c r="A4720" s="374"/>
      <c r="C4720" s="374"/>
      <c r="CV4720" s="376"/>
    </row>
    <row r="4721" spans="1:100">
      <c r="A4721" s="374"/>
      <c r="C4721" s="374"/>
      <c r="CV4721" s="376"/>
    </row>
    <row r="4722" spans="1:100">
      <c r="A4722" s="374"/>
      <c r="C4722" s="374"/>
      <c r="CV4722" s="376"/>
    </row>
    <row r="4723" spans="1:100">
      <c r="A4723" s="374"/>
      <c r="C4723" s="374"/>
      <c r="CV4723" s="376"/>
    </row>
    <row r="4724" spans="1:100">
      <c r="A4724" s="374"/>
      <c r="C4724" s="374"/>
      <c r="CV4724" s="376"/>
    </row>
    <row r="4725" spans="1:100">
      <c r="A4725" s="374"/>
      <c r="C4725" s="374"/>
      <c r="CV4725" s="376"/>
    </row>
    <row r="4726" spans="1:100">
      <c r="A4726" s="374"/>
      <c r="C4726" s="374"/>
      <c r="CV4726" s="376"/>
    </row>
    <row r="4727" spans="1:100">
      <c r="A4727" s="374"/>
      <c r="C4727" s="374"/>
      <c r="CV4727" s="376"/>
    </row>
    <row r="4728" spans="1:100">
      <c r="A4728" s="374"/>
      <c r="C4728" s="374"/>
      <c r="CV4728" s="376"/>
    </row>
    <row r="4729" spans="1:100">
      <c r="A4729" s="374"/>
      <c r="C4729" s="374"/>
      <c r="CV4729" s="376"/>
    </row>
    <row r="4730" spans="1:100">
      <c r="A4730" s="374"/>
      <c r="C4730" s="374"/>
      <c r="CV4730" s="376"/>
    </row>
    <row r="4731" spans="1:100">
      <c r="A4731" s="374"/>
      <c r="C4731" s="374"/>
      <c r="CV4731" s="376"/>
    </row>
    <row r="4732" spans="1:100">
      <c r="A4732" s="374"/>
      <c r="C4732" s="374"/>
      <c r="CV4732" s="376"/>
    </row>
    <row r="4733" spans="1:100">
      <c r="A4733" s="374"/>
      <c r="C4733" s="374"/>
      <c r="CV4733" s="376"/>
    </row>
    <row r="4734" spans="1:100">
      <c r="A4734" s="374"/>
      <c r="C4734" s="374"/>
      <c r="CV4734" s="376"/>
    </row>
    <row r="4735" spans="1:100">
      <c r="A4735" s="374"/>
      <c r="C4735" s="374"/>
      <c r="CV4735" s="376"/>
    </row>
    <row r="4736" spans="1:100">
      <c r="A4736" s="374"/>
      <c r="C4736" s="374"/>
      <c r="CV4736" s="376"/>
    </row>
    <row r="4737" spans="1:100">
      <c r="A4737" s="374"/>
      <c r="C4737" s="374"/>
      <c r="CV4737" s="376"/>
    </row>
    <row r="4738" spans="1:100">
      <c r="A4738" s="374"/>
      <c r="C4738" s="374"/>
      <c r="CV4738" s="376"/>
    </row>
    <row r="4739" spans="1:100">
      <c r="A4739" s="374"/>
      <c r="C4739" s="374"/>
      <c r="CV4739" s="376"/>
    </row>
    <row r="4740" spans="1:100">
      <c r="A4740" s="374"/>
      <c r="C4740" s="374"/>
      <c r="CV4740" s="376"/>
    </row>
    <row r="4741" spans="1:100">
      <c r="A4741" s="374"/>
      <c r="C4741" s="374"/>
      <c r="CV4741" s="376"/>
    </row>
    <row r="4742" spans="1:100">
      <c r="A4742" s="374"/>
      <c r="C4742" s="374"/>
      <c r="CV4742" s="376"/>
    </row>
    <row r="4743" spans="1:100">
      <c r="A4743" s="374"/>
      <c r="C4743" s="374"/>
      <c r="CV4743" s="376"/>
    </row>
    <row r="4744" spans="1:100">
      <c r="A4744" s="374"/>
      <c r="C4744" s="374"/>
      <c r="CV4744" s="376"/>
    </row>
    <row r="4745" spans="1:100">
      <c r="A4745" s="374"/>
      <c r="C4745" s="374"/>
      <c r="CV4745" s="376"/>
    </row>
    <row r="4746" spans="1:100">
      <c r="A4746" s="374"/>
      <c r="C4746" s="374"/>
      <c r="CV4746" s="376"/>
    </row>
    <row r="4747" spans="1:100">
      <c r="A4747" s="374"/>
      <c r="C4747" s="374"/>
      <c r="CV4747" s="376"/>
    </row>
    <row r="4748" spans="1:100">
      <c r="A4748" s="374"/>
      <c r="C4748" s="374"/>
      <c r="CV4748" s="376"/>
    </row>
    <row r="4749" spans="1:100">
      <c r="A4749" s="374"/>
      <c r="C4749" s="374"/>
      <c r="CV4749" s="376"/>
    </row>
    <row r="4750" spans="1:100">
      <c r="A4750" s="374"/>
      <c r="C4750" s="374"/>
      <c r="CV4750" s="376"/>
    </row>
    <row r="4751" spans="1:100">
      <c r="A4751" s="374"/>
      <c r="C4751" s="374"/>
      <c r="CV4751" s="376"/>
    </row>
    <row r="4752" spans="1:100">
      <c r="A4752" s="374"/>
      <c r="C4752" s="374"/>
      <c r="CV4752" s="376"/>
    </row>
    <row r="4753" spans="1:100">
      <c r="A4753" s="374"/>
      <c r="C4753" s="374"/>
      <c r="CV4753" s="376"/>
    </row>
    <row r="4754" spans="1:100">
      <c r="A4754" s="374"/>
      <c r="C4754" s="374"/>
      <c r="CV4754" s="376"/>
    </row>
    <row r="4755" spans="1:100">
      <c r="A4755" s="374"/>
      <c r="C4755" s="374"/>
      <c r="CV4755" s="376"/>
    </row>
    <row r="4756" spans="1:100">
      <c r="A4756" s="374"/>
      <c r="C4756" s="374"/>
      <c r="CV4756" s="376"/>
    </row>
    <row r="4757" spans="1:100">
      <c r="A4757" s="374"/>
      <c r="C4757" s="374"/>
      <c r="CV4757" s="376"/>
    </row>
    <row r="4758" spans="1:100">
      <c r="A4758" s="374"/>
      <c r="C4758" s="374"/>
      <c r="CV4758" s="376"/>
    </row>
    <row r="4759" spans="1:100">
      <c r="A4759" s="374"/>
      <c r="C4759" s="374"/>
      <c r="CV4759" s="376"/>
    </row>
    <row r="4760" spans="1:100">
      <c r="A4760" s="374"/>
      <c r="C4760" s="374"/>
      <c r="CV4760" s="376"/>
    </row>
    <row r="4761" spans="1:100">
      <c r="A4761" s="374"/>
      <c r="C4761" s="374"/>
      <c r="CV4761" s="376"/>
    </row>
    <row r="4762" spans="1:100">
      <c r="A4762" s="374"/>
      <c r="C4762" s="374"/>
      <c r="CV4762" s="376"/>
    </row>
    <row r="4763" spans="1:100">
      <c r="A4763" s="374"/>
      <c r="C4763" s="374"/>
      <c r="CV4763" s="376"/>
    </row>
    <row r="4764" spans="1:100">
      <c r="A4764" s="374"/>
      <c r="C4764" s="374"/>
      <c r="CV4764" s="376"/>
    </row>
    <row r="4765" spans="1:100">
      <c r="A4765" s="374"/>
      <c r="C4765" s="374"/>
      <c r="CV4765" s="376"/>
    </row>
    <row r="4766" spans="1:100">
      <c r="A4766" s="374"/>
      <c r="C4766" s="374"/>
      <c r="CV4766" s="376"/>
    </row>
    <row r="4767" spans="1:100">
      <c r="A4767" s="374"/>
      <c r="C4767" s="374"/>
      <c r="CV4767" s="376"/>
    </row>
    <row r="4768" spans="1:100">
      <c r="A4768" s="374"/>
      <c r="C4768" s="374"/>
      <c r="CV4768" s="376"/>
    </row>
    <row r="4769" spans="1:100">
      <c r="A4769" s="374"/>
      <c r="C4769" s="374"/>
      <c r="CV4769" s="376"/>
    </row>
    <row r="4770" spans="1:100">
      <c r="A4770" s="374"/>
      <c r="C4770" s="374"/>
      <c r="CV4770" s="376"/>
    </row>
    <row r="4771" spans="1:100">
      <c r="A4771" s="374"/>
      <c r="C4771" s="374"/>
      <c r="CV4771" s="376"/>
    </row>
    <row r="4772" spans="1:100">
      <c r="A4772" s="374"/>
      <c r="C4772" s="374"/>
      <c r="CV4772" s="376"/>
    </row>
    <row r="4773" spans="1:100">
      <c r="A4773" s="374"/>
      <c r="C4773" s="374"/>
      <c r="CV4773" s="376"/>
    </row>
    <row r="4774" spans="1:100">
      <c r="A4774" s="374"/>
      <c r="C4774" s="374"/>
      <c r="CV4774" s="376"/>
    </row>
    <row r="4775" spans="1:100">
      <c r="A4775" s="374"/>
      <c r="C4775" s="374"/>
      <c r="CV4775" s="376"/>
    </row>
    <row r="4776" spans="1:100">
      <c r="A4776" s="374"/>
      <c r="C4776" s="374"/>
      <c r="CV4776" s="376"/>
    </row>
    <row r="4777" spans="1:100">
      <c r="A4777" s="374"/>
      <c r="C4777" s="374"/>
      <c r="CV4777" s="376"/>
    </row>
    <row r="4778" spans="1:100">
      <c r="A4778" s="374"/>
      <c r="C4778" s="374"/>
      <c r="CV4778" s="376"/>
    </row>
    <row r="4779" spans="1:100">
      <c r="A4779" s="374"/>
      <c r="C4779" s="374"/>
      <c r="CV4779" s="376"/>
    </row>
    <row r="4780" spans="1:100">
      <c r="A4780" s="374"/>
      <c r="C4780" s="374"/>
      <c r="CV4780" s="376"/>
    </row>
    <row r="4781" spans="1:100">
      <c r="A4781" s="374"/>
      <c r="C4781" s="374"/>
      <c r="CV4781" s="376"/>
    </row>
    <row r="4782" spans="1:100">
      <c r="A4782" s="374"/>
      <c r="C4782" s="374"/>
      <c r="CV4782" s="376"/>
    </row>
    <row r="4783" spans="1:100">
      <c r="A4783" s="374"/>
      <c r="C4783" s="374"/>
      <c r="CV4783" s="376"/>
    </row>
    <row r="4784" spans="1:100">
      <c r="A4784" s="374"/>
      <c r="C4784" s="374"/>
      <c r="CV4784" s="376"/>
    </row>
    <row r="4785" spans="1:100">
      <c r="A4785" s="374"/>
      <c r="C4785" s="374"/>
      <c r="CV4785" s="376"/>
    </row>
    <row r="4786" spans="1:100">
      <c r="A4786" s="374"/>
      <c r="C4786" s="374"/>
      <c r="CV4786" s="376"/>
    </row>
    <row r="4787" spans="1:100">
      <c r="A4787" s="374"/>
      <c r="C4787" s="374"/>
      <c r="CV4787" s="376"/>
    </row>
    <row r="4788" spans="1:100">
      <c r="A4788" s="374"/>
      <c r="C4788" s="374"/>
      <c r="CV4788" s="376"/>
    </row>
    <row r="4789" spans="1:100">
      <c r="A4789" s="374"/>
      <c r="C4789" s="374"/>
      <c r="CV4789" s="376"/>
    </row>
    <row r="4790" spans="1:100">
      <c r="A4790" s="374"/>
      <c r="C4790" s="374"/>
      <c r="CV4790" s="376"/>
    </row>
    <row r="4791" spans="1:100">
      <c r="A4791" s="374"/>
      <c r="C4791" s="374"/>
      <c r="CV4791" s="376"/>
    </row>
    <row r="4792" spans="1:100">
      <c r="A4792" s="374"/>
      <c r="C4792" s="374"/>
      <c r="CV4792" s="376"/>
    </row>
    <row r="4793" spans="1:100">
      <c r="A4793" s="374"/>
      <c r="C4793" s="374"/>
      <c r="CV4793" s="376"/>
    </row>
    <row r="4794" spans="1:100">
      <c r="A4794" s="374"/>
      <c r="C4794" s="374"/>
      <c r="CV4794" s="376"/>
    </row>
    <row r="4795" spans="1:100">
      <c r="A4795" s="374"/>
      <c r="C4795" s="374"/>
      <c r="CV4795" s="376"/>
    </row>
    <row r="4796" spans="1:100">
      <c r="A4796" s="374"/>
      <c r="C4796" s="374"/>
      <c r="CV4796" s="376"/>
    </row>
    <row r="4797" spans="1:100">
      <c r="A4797" s="374"/>
      <c r="C4797" s="374"/>
      <c r="CV4797" s="376"/>
    </row>
    <row r="4798" spans="1:100">
      <c r="A4798" s="374"/>
      <c r="C4798" s="374"/>
      <c r="CV4798" s="376"/>
    </row>
    <row r="4799" spans="1:100">
      <c r="A4799" s="374"/>
      <c r="C4799" s="374"/>
      <c r="CV4799" s="376"/>
    </row>
    <row r="4800" spans="1:100">
      <c r="A4800" s="374"/>
      <c r="C4800" s="374"/>
      <c r="CV4800" s="376"/>
    </row>
    <row r="4801" spans="1:100">
      <c r="A4801" s="374"/>
      <c r="C4801" s="374"/>
      <c r="CV4801" s="376"/>
    </row>
    <row r="4802" spans="1:100">
      <c r="A4802" s="374"/>
      <c r="C4802" s="374"/>
      <c r="CV4802" s="376"/>
    </row>
    <row r="4803" spans="1:100">
      <c r="A4803" s="374"/>
      <c r="C4803" s="374"/>
      <c r="CV4803" s="376"/>
    </row>
    <row r="4804" spans="1:100">
      <c r="A4804" s="374"/>
      <c r="C4804" s="374"/>
      <c r="CV4804" s="376"/>
    </row>
    <row r="4805" spans="1:100">
      <c r="A4805" s="374"/>
      <c r="C4805" s="374"/>
      <c r="CV4805" s="376"/>
    </row>
    <row r="4806" spans="1:100">
      <c r="A4806" s="374"/>
      <c r="C4806" s="374"/>
      <c r="CV4806" s="376"/>
    </row>
    <row r="4807" spans="1:100">
      <c r="A4807" s="374"/>
      <c r="C4807" s="374"/>
      <c r="CV4807" s="376"/>
    </row>
    <row r="4808" spans="1:100">
      <c r="A4808" s="374"/>
      <c r="C4808" s="374"/>
      <c r="CV4808" s="376"/>
    </row>
    <row r="4809" spans="1:100">
      <c r="A4809" s="374"/>
      <c r="C4809" s="374"/>
      <c r="CV4809" s="376"/>
    </row>
    <row r="4810" spans="1:100">
      <c r="A4810" s="374"/>
      <c r="C4810" s="374"/>
      <c r="CV4810" s="376"/>
    </row>
    <row r="4811" spans="1:100">
      <c r="A4811" s="374"/>
      <c r="C4811" s="374"/>
      <c r="CV4811" s="376"/>
    </row>
    <row r="4812" spans="1:100">
      <c r="A4812" s="374"/>
      <c r="C4812" s="374"/>
      <c r="CV4812" s="376"/>
    </row>
    <row r="4813" spans="1:100">
      <c r="A4813" s="374"/>
      <c r="C4813" s="374"/>
      <c r="CV4813" s="376"/>
    </row>
    <row r="4814" spans="1:100">
      <c r="A4814" s="374"/>
      <c r="C4814" s="374"/>
      <c r="CV4814" s="376"/>
    </row>
    <row r="4815" spans="1:100">
      <c r="A4815" s="374"/>
      <c r="C4815" s="374"/>
      <c r="CV4815" s="376"/>
    </row>
    <row r="4816" spans="1:100">
      <c r="A4816" s="374"/>
      <c r="C4816" s="374"/>
      <c r="CV4816" s="376"/>
    </row>
    <row r="4817" spans="1:100">
      <c r="A4817" s="374"/>
      <c r="C4817" s="374"/>
      <c r="CV4817" s="376"/>
    </row>
    <row r="4818" spans="1:100">
      <c r="A4818" s="374"/>
      <c r="C4818" s="374"/>
      <c r="CV4818" s="376"/>
    </row>
    <row r="4819" spans="1:100">
      <c r="A4819" s="374"/>
      <c r="C4819" s="374"/>
      <c r="CV4819" s="376"/>
    </row>
    <row r="4820" spans="1:100">
      <c r="A4820" s="374"/>
      <c r="C4820" s="374"/>
      <c r="CV4820" s="376"/>
    </row>
    <row r="4821" spans="1:100">
      <c r="A4821" s="374"/>
      <c r="C4821" s="374"/>
      <c r="CV4821" s="376"/>
    </row>
    <row r="4822" spans="1:100">
      <c r="A4822" s="374"/>
      <c r="C4822" s="374"/>
      <c r="CV4822" s="376"/>
    </row>
    <row r="4823" spans="1:100">
      <c r="A4823" s="374"/>
      <c r="C4823" s="374"/>
      <c r="CV4823" s="376"/>
    </row>
    <row r="4824" spans="1:100">
      <c r="A4824" s="374"/>
      <c r="C4824" s="374"/>
      <c r="CV4824" s="376"/>
    </row>
    <row r="4825" spans="1:100">
      <c r="A4825" s="374"/>
      <c r="C4825" s="374"/>
      <c r="CV4825" s="376"/>
    </row>
    <row r="4826" spans="1:100">
      <c r="A4826" s="374"/>
      <c r="C4826" s="374"/>
      <c r="CV4826" s="376"/>
    </row>
    <row r="4827" spans="1:100">
      <c r="A4827" s="374"/>
      <c r="C4827" s="374"/>
      <c r="CV4827" s="376"/>
    </row>
    <row r="4828" spans="1:100">
      <c r="A4828" s="374"/>
      <c r="C4828" s="374"/>
      <c r="CV4828" s="376"/>
    </row>
    <row r="4829" spans="1:100">
      <c r="A4829" s="374"/>
      <c r="C4829" s="374"/>
      <c r="CV4829" s="376"/>
    </row>
    <row r="4830" spans="1:100">
      <c r="A4830" s="374"/>
      <c r="C4830" s="374"/>
      <c r="CV4830" s="376"/>
    </row>
    <row r="4831" spans="1:100">
      <c r="A4831" s="374"/>
      <c r="C4831" s="374"/>
      <c r="CV4831" s="376"/>
    </row>
    <row r="4832" spans="1:100">
      <c r="A4832" s="374"/>
      <c r="C4832" s="374"/>
      <c r="CV4832" s="376"/>
    </row>
    <row r="4833" spans="1:100">
      <c r="A4833" s="374"/>
      <c r="C4833" s="374"/>
      <c r="CV4833" s="376"/>
    </row>
    <row r="4834" spans="1:100">
      <c r="A4834" s="374"/>
      <c r="C4834" s="374"/>
      <c r="CV4834" s="376"/>
    </row>
    <row r="4835" spans="1:100">
      <c r="A4835" s="374"/>
      <c r="C4835" s="374"/>
      <c r="CV4835" s="376"/>
    </row>
    <row r="4836" spans="1:100">
      <c r="A4836" s="374"/>
      <c r="C4836" s="374"/>
      <c r="CV4836" s="376"/>
    </row>
    <row r="4837" spans="1:100">
      <c r="A4837" s="374"/>
      <c r="C4837" s="374"/>
      <c r="CV4837" s="376"/>
    </row>
    <row r="4838" spans="1:100">
      <c r="A4838" s="374"/>
      <c r="C4838" s="374"/>
      <c r="CV4838" s="376"/>
    </row>
    <row r="4839" spans="1:100">
      <c r="A4839" s="374"/>
      <c r="C4839" s="374"/>
      <c r="CV4839" s="376"/>
    </row>
    <row r="4840" spans="1:100">
      <c r="A4840" s="374"/>
      <c r="C4840" s="374"/>
      <c r="CV4840" s="376"/>
    </row>
    <row r="4841" spans="1:100">
      <c r="A4841" s="374"/>
      <c r="C4841" s="374"/>
      <c r="CV4841" s="376"/>
    </row>
    <row r="4842" spans="1:100">
      <c r="A4842" s="374"/>
      <c r="C4842" s="374"/>
      <c r="CV4842" s="376"/>
    </row>
    <row r="4843" spans="1:100">
      <c r="A4843" s="374"/>
      <c r="C4843" s="374"/>
      <c r="CV4843" s="376"/>
    </row>
    <row r="4844" spans="1:100">
      <c r="A4844" s="374"/>
      <c r="C4844" s="374"/>
      <c r="CV4844" s="376"/>
    </row>
    <row r="4845" spans="1:100">
      <c r="A4845" s="374"/>
      <c r="C4845" s="374"/>
      <c r="CV4845" s="376"/>
    </row>
    <row r="4846" spans="1:100">
      <c r="A4846" s="374"/>
      <c r="C4846" s="374"/>
      <c r="CV4846" s="376"/>
    </row>
    <row r="4847" spans="1:100">
      <c r="A4847" s="374"/>
      <c r="C4847" s="374"/>
      <c r="CV4847" s="376"/>
    </row>
    <row r="4848" spans="1:100">
      <c r="A4848" s="374"/>
      <c r="C4848" s="374"/>
      <c r="CV4848" s="376"/>
    </row>
    <row r="4849" spans="1:100">
      <c r="A4849" s="374"/>
      <c r="C4849" s="374"/>
      <c r="CV4849" s="376"/>
    </row>
    <row r="4850" spans="1:100">
      <c r="A4850" s="374"/>
      <c r="C4850" s="374"/>
      <c r="CV4850" s="376"/>
    </row>
    <row r="4851" spans="1:100">
      <c r="A4851" s="374"/>
      <c r="C4851" s="374"/>
      <c r="CV4851" s="376"/>
    </row>
    <row r="4852" spans="1:100">
      <c r="A4852" s="374"/>
      <c r="C4852" s="374"/>
      <c r="CV4852" s="376"/>
    </row>
    <row r="4853" spans="1:100">
      <c r="A4853" s="374"/>
      <c r="C4853" s="374"/>
      <c r="CV4853" s="376"/>
    </row>
    <row r="4854" spans="1:100">
      <c r="A4854" s="374"/>
      <c r="C4854" s="374"/>
      <c r="CV4854" s="376"/>
    </row>
    <row r="4855" spans="1:100">
      <c r="A4855" s="374"/>
      <c r="C4855" s="374"/>
      <c r="CV4855" s="376"/>
    </row>
    <row r="4856" spans="1:100">
      <c r="A4856" s="374"/>
      <c r="C4856" s="374"/>
      <c r="CV4856" s="376"/>
    </row>
    <row r="4857" spans="1:100">
      <c r="A4857" s="374"/>
      <c r="C4857" s="374"/>
      <c r="CV4857" s="376"/>
    </row>
    <row r="4858" spans="1:100">
      <c r="A4858" s="374"/>
      <c r="C4858" s="374"/>
      <c r="CV4858" s="376"/>
    </row>
    <row r="4859" spans="1:100">
      <c r="A4859" s="374"/>
      <c r="C4859" s="374"/>
      <c r="CV4859" s="376"/>
    </row>
    <row r="4860" spans="1:100">
      <c r="A4860" s="374"/>
      <c r="C4860" s="374"/>
      <c r="CV4860" s="376"/>
    </row>
    <row r="4861" spans="1:100">
      <c r="A4861" s="374"/>
      <c r="C4861" s="374"/>
      <c r="CV4861" s="376"/>
    </row>
    <row r="4862" spans="1:100">
      <c r="A4862" s="374"/>
      <c r="C4862" s="374"/>
      <c r="CV4862" s="376"/>
    </row>
    <row r="4863" spans="1:100">
      <c r="A4863" s="374"/>
      <c r="C4863" s="374"/>
      <c r="CV4863" s="376"/>
    </row>
    <row r="4864" spans="1:100">
      <c r="A4864" s="374"/>
      <c r="C4864" s="374"/>
      <c r="CV4864" s="376"/>
    </row>
    <row r="4865" spans="1:100">
      <c r="A4865" s="374"/>
      <c r="C4865" s="374"/>
      <c r="CV4865" s="376"/>
    </row>
    <row r="4866" spans="1:100">
      <c r="A4866" s="374"/>
      <c r="C4866" s="374"/>
      <c r="CV4866" s="376"/>
    </row>
    <row r="4867" spans="1:100">
      <c r="A4867" s="374"/>
      <c r="C4867" s="374"/>
      <c r="CV4867" s="376"/>
    </row>
    <row r="4868" spans="1:100">
      <c r="A4868" s="374"/>
      <c r="C4868" s="374"/>
      <c r="CV4868" s="376"/>
    </row>
    <row r="4869" spans="1:100">
      <c r="A4869" s="374"/>
      <c r="C4869" s="374"/>
      <c r="CV4869" s="376"/>
    </row>
    <row r="4870" spans="1:100">
      <c r="A4870" s="374"/>
      <c r="C4870" s="374"/>
      <c r="CV4870" s="376"/>
    </row>
    <row r="4871" spans="1:100">
      <c r="A4871" s="374"/>
      <c r="C4871" s="374"/>
      <c r="CV4871" s="376"/>
    </row>
    <row r="4872" spans="1:100">
      <c r="A4872" s="374"/>
      <c r="C4872" s="374"/>
      <c r="CV4872" s="376"/>
    </row>
    <row r="4873" spans="1:100">
      <c r="A4873" s="374"/>
      <c r="C4873" s="374"/>
      <c r="CV4873" s="376"/>
    </row>
    <row r="4874" spans="1:100">
      <c r="A4874" s="374"/>
      <c r="C4874" s="374"/>
      <c r="CV4874" s="376"/>
    </row>
    <row r="4875" spans="1:100">
      <c r="A4875" s="374"/>
      <c r="C4875" s="374"/>
      <c r="CV4875" s="376"/>
    </row>
    <row r="4876" spans="1:100">
      <c r="A4876" s="374"/>
      <c r="C4876" s="374"/>
      <c r="CV4876" s="376"/>
    </row>
    <row r="4877" spans="1:100">
      <c r="A4877" s="374"/>
      <c r="C4877" s="374"/>
      <c r="CV4877" s="376"/>
    </row>
    <row r="4878" spans="1:100">
      <c r="A4878" s="374"/>
      <c r="C4878" s="374"/>
      <c r="CV4878" s="376"/>
    </row>
    <row r="4879" spans="1:100">
      <c r="A4879" s="374"/>
      <c r="C4879" s="374"/>
      <c r="CV4879" s="376"/>
    </row>
    <row r="4880" spans="1:100">
      <c r="A4880" s="374"/>
      <c r="C4880" s="374"/>
      <c r="CV4880" s="376"/>
    </row>
    <row r="4881" spans="1:100">
      <c r="A4881" s="374"/>
      <c r="C4881" s="374"/>
      <c r="CV4881" s="376"/>
    </row>
    <row r="4882" spans="1:100">
      <c r="A4882" s="374"/>
      <c r="C4882" s="374"/>
      <c r="CV4882" s="376"/>
    </row>
    <row r="4883" spans="1:100">
      <c r="A4883" s="374"/>
      <c r="C4883" s="374"/>
      <c r="CV4883" s="376"/>
    </row>
    <row r="4884" spans="1:100">
      <c r="A4884" s="374"/>
      <c r="C4884" s="374"/>
      <c r="CV4884" s="376"/>
    </row>
    <row r="4885" spans="1:100">
      <c r="A4885" s="374"/>
      <c r="C4885" s="374"/>
      <c r="CV4885" s="376"/>
    </row>
    <row r="4886" spans="1:100">
      <c r="A4886" s="374"/>
      <c r="C4886" s="374"/>
      <c r="CV4886" s="376"/>
    </row>
    <row r="4887" spans="1:100">
      <c r="A4887" s="374"/>
      <c r="C4887" s="374"/>
      <c r="CV4887" s="376"/>
    </row>
    <row r="4888" spans="1:100">
      <c r="A4888" s="374"/>
      <c r="C4888" s="374"/>
      <c r="CV4888" s="376"/>
    </row>
    <row r="4889" spans="1:100">
      <c r="A4889" s="374"/>
      <c r="C4889" s="374"/>
      <c r="CV4889" s="376"/>
    </row>
    <row r="4890" spans="1:100">
      <c r="A4890" s="374"/>
      <c r="C4890" s="374"/>
      <c r="CV4890" s="376"/>
    </row>
    <row r="4891" spans="1:100">
      <c r="A4891" s="374"/>
      <c r="C4891" s="374"/>
      <c r="CV4891" s="376"/>
    </row>
    <row r="4892" spans="1:100">
      <c r="A4892" s="374"/>
      <c r="C4892" s="374"/>
      <c r="CV4892" s="376"/>
    </row>
    <row r="4893" spans="1:100">
      <c r="A4893" s="374"/>
      <c r="C4893" s="374"/>
      <c r="CV4893" s="376"/>
    </row>
    <row r="4894" spans="1:100">
      <c r="A4894" s="374"/>
      <c r="C4894" s="374"/>
      <c r="CV4894" s="376"/>
    </row>
    <row r="4895" spans="1:100">
      <c r="A4895" s="374"/>
      <c r="C4895" s="374"/>
      <c r="CV4895" s="376"/>
    </row>
    <row r="4896" spans="1:100">
      <c r="A4896" s="374"/>
      <c r="C4896" s="374"/>
      <c r="CV4896" s="376"/>
    </row>
    <row r="4897" spans="1:100">
      <c r="A4897" s="374"/>
      <c r="C4897" s="374"/>
      <c r="CV4897" s="376"/>
    </row>
    <row r="4898" spans="1:100">
      <c r="A4898" s="374"/>
      <c r="C4898" s="374"/>
      <c r="CV4898" s="376"/>
    </row>
    <row r="4899" spans="1:100">
      <c r="A4899" s="374"/>
      <c r="C4899" s="374"/>
      <c r="CV4899" s="376"/>
    </row>
    <row r="4900" spans="1:100">
      <c r="A4900" s="374"/>
      <c r="C4900" s="374"/>
      <c r="CV4900" s="376"/>
    </row>
    <row r="4901" spans="1:100">
      <c r="A4901" s="374"/>
      <c r="C4901" s="374"/>
      <c r="CV4901" s="376"/>
    </row>
    <row r="4902" spans="1:100">
      <c r="A4902" s="374"/>
      <c r="C4902" s="374"/>
      <c r="CV4902" s="376"/>
    </row>
    <row r="4903" spans="1:100">
      <c r="A4903" s="374"/>
      <c r="C4903" s="374"/>
      <c r="CV4903" s="376"/>
    </row>
    <row r="4904" spans="1:100">
      <c r="A4904" s="374"/>
      <c r="C4904" s="374"/>
      <c r="CV4904" s="376"/>
    </row>
    <row r="4905" spans="1:100">
      <c r="A4905" s="374"/>
      <c r="C4905" s="374"/>
      <c r="CV4905" s="376"/>
    </row>
    <row r="4906" spans="1:100">
      <c r="A4906" s="374"/>
      <c r="C4906" s="374"/>
      <c r="CV4906" s="376"/>
    </row>
    <row r="4907" spans="1:100">
      <c r="A4907" s="374"/>
      <c r="C4907" s="374"/>
      <c r="CV4907" s="376"/>
    </row>
    <row r="4908" spans="1:100">
      <c r="A4908" s="374"/>
      <c r="C4908" s="374"/>
      <c r="CV4908" s="376"/>
    </row>
    <row r="4909" spans="1:100">
      <c r="A4909" s="374"/>
      <c r="C4909" s="374"/>
      <c r="CV4909" s="376"/>
    </row>
    <row r="4910" spans="1:100">
      <c r="A4910" s="374"/>
      <c r="C4910" s="374"/>
      <c r="CV4910" s="376"/>
    </row>
    <row r="4911" spans="1:100">
      <c r="A4911" s="374"/>
      <c r="C4911" s="374"/>
      <c r="CV4911" s="376"/>
    </row>
    <row r="4912" spans="1:100">
      <c r="A4912" s="374"/>
      <c r="C4912" s="374"/>
      <c r="CV4912" s="376"/>
    </row>
    <row r="4913" spans="1:100">
      <c r="A4913" s="374"/>
      <c r="C4913" s="374"/>
      <c r="CV4913" s="376"/>
    </row>
    <row r="4914" spans="1:100">
      <c r="A4914" s="374"/>
      <c r="C4914" s="374"/>
      <c r="CV4914" s="376"/>
    </row>
    <row r="4915" spans="1:100">
      <c r="A4915" s="374"/>
      <c r="C4915" s="374"/>
      <c r="CV4915" s="376"/>
    </row>
    <row r="4916" spans="1:100">
      <c r="A4916" s="374"/>
      <c r="C4916" s="374"/>
      <c r="CV4916" s="376"/>
    </row>
    <row r="4917" spans="1:100">
      <c r="A4917" s="374"/>
      <c r="C4917" s="374"/>
      <c r="CV4917" s="376"/>
    </row>
    <row r="4918" spans="1:100">
      <c r="A4918" s="374"/>
      <c r="C4918" s="374"/>
      <c r="CV4918" s="376"/>
    </row>
    <row r="4919" spans="1:100">
      <c r="A4919" s="374"/>
      <c r="C4919" s="374"/>
      <c r="CV4919" s="376"/>
    </row>
    <row r="4920" spans="1:100">
      <c r="A4920" s="374"/>
      <c r="C4920" s="374"/>
      <c r="CV4920" s="376"/>
    </row>
    <row r="4921" spans="1:100">
      <c r="A4921" s="374"/>
      <c r="C4921" s="374"/>
      <c r="CV4921" s="376"/>
    </row>
    <row r="4922" spans="1:100">
      <c r="A4922" s="374"/>
      <c r="C4922" s="374"/>
      <c r="CV4922" s="376"/>
    </row>
    <row r="4923" spans="1:100">
      <c r="A4923" s="374"/>
      <c r="C4923" s="374"/>
      <c r="CV4923" s="376"/>
    </row>
    <row r="4924" spans="1:100">
      <c r="A4924" s="374"/>
      <c r="C4924" s="374"/>
      <c r="CV4924" s="376"/>
    </row>
    <row r="4925" spans="1:100">
      <c r="A4925" s="374"/>
      <c r="C4925" s="374"/>
      <c r="CV4925" s="376"/>
    </row>
    <row r="4926" spans="1:100">
      <c r="A4926" s="374"/>
      <c r="C4926" s="374"/>
      <c r="CV4926" s="376"/>
    </row>
    <row r="4927" spans="1:100">
      <c r="A4927" s="374"/>
      <c r="C4927" s="374"/>
      <c r="CV4927" s="376"/>
    </row>
    <row r="4928" spans="1:100">
      <c r="A4928" s="374"/>
      <c r="C4928" s="374"/>
      <c r="CV4928" s="376"/>
    </row>
    <row r="4929" spans="1:100">
      <c r="A4929" s="374"/>
      <c r="C4929" s="374"/>
      <c r="CV4929" s="376"/>
    </row>
    <row r="4930" spans="1:100">
      <c r="A4930" s="374"/>
      <c r="C4930" s="374"/>
      <c r="CV4930" s="376"/>
    </row>
    <row r="4931" spans="1:100">
      <c r="A4931" s="374"/>
      <c r="C4931" s="374"/>
      <c r="CV4931" s="376"/>
    </row>
    <row r="4932" spans="1:100">
      <c r="A4932" s="374"/>
      <c r="C4932" s="374"/>
      <c r="CV4932" s="376"/>
    </row>
    <row r="4933" spans="1:100">
      <c r="A4933" s="374"/>
      <c r="C4933" s="374"/>
      <c r="CV4933" s="376"/>
    </row>
    <row r="4934" spans="1:100">
      <c r="A4934" s="374"/>
      <c r="C4934" s="374"/>
      <c r="CV4934" s="376"/>
    </row>
    <row r="4935" spans="1:100">
      <c r="A4935" s="374"/>
      <c r="C4935" s="374"/>
      <c r="CV4935" s="376"/>
    </row>
    <row r="4936" spans="1:100">
      <c r="A4936" s="374"/>
      <c r="C4936" s="374"/>
      <c r="CV4936" s="376"/>
    </row>
    <row r="4937" spans="1:100">
      <c r="A4937" s="374"/>
      <c r="C4937" s="374"/>
      <c r="CV4937" s="376"/>
    </row>
    <row r="4938" spans="1:100">
      <c r="A4938" s="374"/>
      <c r="C4938" s="374"/>
      <c r="CV4938" s="376"/>
    </row>
    <row r="4939" spans="1:100">
      <c r="A4939" s="374"/>
      <c r="C4939" s="374"/>
      <c r="CV4939" s="376"/>
    </row>
    <row r="4940" spans="1:100">
      <c r="A4940" s="374"/>
      <c r="C4940" s="374"/>
      <c r="CV4940" s="376"/>
    </row>
    <row r="4941" spans="1:100">
      <c r="A4941" s="374"/>
      <c r="C4941" s="374"/>
      <c r="CV4941" s="376"/>
    </row>
    <row r="4942" spans="1:100">
      <c r="A4942" s="374"/>
      <c r="C4942" s="374"/>
      <c r="CV4942" s="376"/>
    </row>
    <row r="4943" spans="1:100">
      <c r="A4943" s="374"/>
      <c r="C4943" s="374"/>
      <c r="CV4943" s="376"/>
    </row>
    <row r="4944" spans="1:100">
      <c r="A4944" s="374"/>
      <c r="C4944" s="374"/>
      <c r="CV4944" s="376"/>
    </row>
    <row r="4945" spans="1:100">
      <c r="A4945" s="374"/>
      <c r="C4945" s="374"/>
      <c r="CV4945" s="376"/>
    </row>
    <row r="4946" spans="1:100">
      <c r="A4946" s="374"/>
      <c r="C4946" s="374"/>
      <c r="CV4946" s="376"/>
    </row>
    <row r="4947" spans="1:100">
      <c r="A4947" s="374"/>
      <c r="C4947" s="374"/>
      <c r="CV4947" s="376"/>
    </row>
    <row r="4948" spans="1:100">
      <c r="A4948" s="374"/>
      <c r="C4948" s="374"/>
      <c r="CV4948" s="376"/>
    </row>
    <row r="4949" spans="1:100">
      <c r="A4949" s="374"/>
      <c r="C4949" s="374"/>
      <c r="CV4949" s="376"/>
    </row>
    <row r="4950" spans="1:100">
      <c r="A4950" s="374"/>
      <c r="C4950" s="374"/>
      <c r="CV4950" s="376"/>
    </row>
    <row r="4951" spans="1:100">
      <c r="A4951" s="374"/>
      <c r="C4951" s="374"/>
      <c r="CV4951" s="376"/>
    </row>
    <row r="4952" spans="1:100">
      <c r="A4952" s="374"/>
      <c r="C4952" s="374"/>
      <c r="CV4952" s="376"/>
    </row>
    <row r="4953" spans="1:100">
      <c r="A4953" s="374"/>
      <c r="C4953" s="374"/>
      <c r="CV4953" s="376"/>
    </row>
    <row r="4954" spans="1:100">
      <c r="A4954" s="374"/>
      <c r="C4954" s="374"/>
      <c r="CV4954" s="376"/>
    </row>
    <row r="4955" spans="1:100">
      <c r="A4955" s="374"/>
      <c r="C4955" s="374"/>
      <c r="CV4955" s="376"/>
    </row>
    <row r="4956" spans="1:100">
      <c r="A4956" s="374"/>
      <c r="C4956" s="374"/>
      <c r="CV4956" s="376"/>
    </row>
    <row r="4957" spans="1:100">
      <c r="A4957" s="374"/>
      <c r="C4957" s="374"/>
      <c r="CV4957" s="376"/>
    </row>
    <row r="4958" spans="1:100">
      <c r="A4958" s="374"/>
      <c r="C4958" s="374"/>
      <c r="CV4958" s="376"/>
    </row>
    <row r="4959" spans="1:100">
      <c r="A4959" s="374"/>
      <c r="C4959" s="374"/>
      <c r="CV4959" s="376"/>
    </row>
    <row r="4960" spans="1:100">
      <c r="A4960" s="374"/>
      <c r="C4960" s="374"/>
      <c r="CV4960" s="376"/>
    </row>
    <row r="4961" spans="1:100">
      <c r="A4961" s="374"/>
      <c r="C4961" s="374"/>
      <c r="CV4961" s="376"/>
    </row>
    <row r="4962" spans="1:100">
      <c r="A4962" s="374"/>
      <c r="C4962" s="374"/>
      <c r="CV4962" s="376"/>
    </row>
    <row r="4963" spans="1:100">
      <c r="A4963" s="374"/>
      <c r="C4963" s="374"/>
      <c r="CV4963" s="376"/>
    </row>
    <row r="4964" spans="1:100">
      <c r="A4964" s="374"/>
      <c r="C4964" s="374"/>
      <c r="CV4964" s="376"/>
    </row>
    <row r="4965" spans="1:100">
      <c r="A4965" s="374"/>
      <c r="C4965" s="374"/>
      <c r="CV4965" s="376"/>
    </row>
    <row r="4966" spans="1:100">
      <c r="A4966" s="374"/>
      <c r="C4966" s="374"/>
      <c r="CV4966" s="376"/>
    </row>
    <row r="4967" spans="1:100">
      <c r="A4967" s="374"/>
      <c r="C4967" s="374"/>
      <c r="CV4967" s="376"/>
    </row>
    <row r="4968" spans="1:100">
      <c r="A4968" s="374"/>
      <c r="C4968" s="374"/>
      <c r="CV4968" s="376"/>
    </row>
    <row r="4969" spans="1:100">
      <c r="A4969" s="374"/>
      <c r="C4969" s="374"/>
      <c r="CV4969" s="376"/>
    </row>
    <row r="4970" spans="1:100">
      <c r="A4970" s="374"/>
      <c r="C4970" s="374"/>
      <c r="CV4970" s="376"/>
    </row>
    <row r="4971" spans="1:100">
      <c r="A4971" s="374"/>
      <c r="C4971" s="374"/>
      <c r="CV4971" s="376"/>
    </row>
    <row r="4972" spans="1:100">
      <c r="A4972" s="374"/>
      <c r="C4972" s="374"/>
      <c r="CV4972" s="376"/>
    </row>
    <row r="4973" spans="1:100">
      <c r="A4973" s="374"/>
      <c r="C4973" s="374"/>
      <c r="CV4973" s="376"/>
    </row>
    <row r="4974" spans="1:100">
      <c r="A4974" s="374"/>
      <c r="C4974" s="374"/>
      <c r="CV4974" s="376"/>
    </row>
    <row r="4975" spans="1:100">
      <c r="A4975" s="374"/>
      <c r="C4975" s="374"/>
      <c r="CV4975" s="376"/>
    </row>
    <row r="4976" spans="1:100">
      <c r="A4976" s="374"/>
      <c r="C4976" s="374"/>
      <c r="CV4976" s="376"/>
    </row>
    <row r="4977" spans="1:100">
      <c r="A4977" s="374"/>
      <c r="C4977" s="374"/>
      <c r="CV4977" s="376"/>
    </row>
    <row r="4978" spans="1:100">
      <c r="A4978" s="374"/>
      <c r="C4978" s="374"/>
      <c r="CV4978" s="376"/>
    </row>
    <row r="4979" spans="1:100">
      <c r="A4979" s="374"/>
      <c r="C4979" s="374"/>
      <c r="CV4979" s="376"/>
    </row>
    <row r="4980" spans="1:100">
      <c r="A4980" s="374"/>
      <c r="C4980" s="374"/>
      <c r="CV4980" s="376"/>
    </row>
    <row r="4981" spans="1:100">
      <c r="A4981" s="374"/>
      <c r="C4981" s="374"/>
      <c r="CV4981" s="376"/>
    </row>
    <row r="4982" spans="1:100">
      <c r="A4982" s="374"/>
      <c r="C4982" s="374"/>
      <c r="CV4982" s="376"/>
    </row>
    <row r="4983" spans="1:100">
      <c r="A4983" s="374"/>
      <c r="C4983" s="374"/>
      <c r="CV4983" s="376"/>
    </row>
    <row r="4984" spans="1:100">
      <c r="A4984" s="374"/>
      <c r="C4984" s="374"/>
      <c r="CV4984" s="376"/>
    </row>
    <row r="4985" spans="1:100">
      <c r="A4985" s="374"/>
      <c r="C4985" s="374"/>
      <c r="CV4985" s="376"/>
    </row>
    <row r="4986" spans="1:100">
      <c r="A4986" s="374"/>
      <c r="C4986" s="374"/>
      <c r="CV4986" s="376"/>
    </row>
    <row r="4987" spans="1:100">
      <c r="A4987" s="374"/>
      <c r="C4987" s="374"/>
      <c r="CV4987" s="376"/>
    </row>
    <row r="4988" spans="1:100">
      <c r="A4988" s="374"/>
      <c r="C4988" s="374"/>
      <c r="CV4988" s="376"/>
    </row>
    <row r="4989" spans="1:100">
      <c r="A4989" s="374"/>
      <c r="C4989" s="374"/>
      <c r="CV4989" s="376"/>
    </row>
    <row r="4990" spans="1:100">
      <c r="A4990" s="374"/>
      <c r="C4990" s="374"/>
      <c r="CV4990" s="376"/>
    </row>
    <row r="4991" spans="1:100">
      <c r="A4991" s="374"/>
      <c r="C4991" s="374"/>
      <c r="CV4991" s="376"/>
    </row>
    <row r="4992" spans="1:100">
      <c r="A4992" s="374"/>
      <c r="C4992" s="374"/>
      <c r="CV4992" s="376"/>
    </row>
    <row r="4993" spans="1:100">
      <c r="A4993" s="374"/>
      <c r="C4993" s="374"/>
      <c r="CV4993" s="376"/>
    </row>
    <row r="4994" spans="1:100">
      <c r="A4994" s="374"/>
      <c r="C4994" s="374"/>
      <c r="CV4994" s="376"/>
    </row>
    <row r="4995" spans="1:100">
      <c r="A4995" s="374"/>
      <c r="C4995" s="374"/>
      <c r="CV4995" s="376"/>
    </row>
    <row r="4996" spans="1:100">
      <c r="A4996" s="374"/>
      <c r="C4996" s="374"/>
      <c r="CV4996" s="376"/>
    </row>
    <row r="4997" spans="1:100">
      <c r="A4997" s="374"/>
      <c r="C4997" s="374"/>
      <c r="CV4997" s="376"/>
    </row>
    <row r="4998" spans="1:100">
      <c r="A4998" s="374"/>
      <c r="C4998" s="374"/>
      <c r="CV4998" s="376"/>
    </row>
    <row r="4999" spans="1:100">
      <c r="A4999" s="374"/>
      <c r="C4999" s="374"/>
      <c r="CV4999" s="376"/>
    </row>
    <row r="5000" spans="1:100">
      <c r="A5000" s="374"/>
      <c r="C5000" s="374"/>
      <c r="CV5000" s="376"/>
    </row>
    <row r="5001" spans="1:100">
      <c r="A5001" s="374"/>
      <c r="C5001" s="374"/>
      <c r="CV5001" s="376"/>
    </row>
    <row r="5002" spans="1:100">
      <c r="A5002" s="374"/>
      <c r="C5002" s="374"/>
      <c r="CV5002" s="376"/>
    </row>
    <row r="5003" spans="1:100">
      <c r="A5003" s="374"/>
      <c r="C5003" s="374"/>
      <c r="CV5003" s="376"/>
    </row>
    <row r="5004" spans="1:100">
      <c r="A5004" s="374"/>
      <c r="C5004" s="374"/>
      <c r="CV5004" s="376"/>
    </row>
    <row r="5005" spans="1:100">
      <c r="A5005" s="374"/>
      <c r="C5005" s="374"/>
      <c r="CV5005" s="376"/>
    </row>
    <row r="5006" spans="1:100">
      <c r="A5006" s="374"/>
      <c r="C5006" s="374"/>
      <c r="CV5006" s="376"/>
    </row>
    <row r="5007" spans="1:100">
      <c r="A5007" s="374"/>
      <c r="C5007" s="374"/>
      <c r="CV5007" s="376"/>
    </row>
    <row r="5008" spans="1:100">
      <c r="A5008" s="374"/>
      <c r="C5008" s="374"/>
      <c r="CV5008" s="376"/>
    </row>
    <row r="5009" spans="1:100">
      <c r="A5009" s="374"/>
      <c r="C5009" s="374"/>
      <c r="CV5009" s="376"/>
    </row>
    <row r="5010" spans="1:100">
      <c r="A5010" s="374"/>
      <c r="C5010" s="374"/>
      <c r="CV5010" s="376"/>
    </row>
    <row r="5011" spans="1:100">
      <c r="A5011" s="374"/>
      <c r="C5011" s="374"/>
      <c r="CV5011" s="376"/>
    </row>
    <row r="5012" spans="1:100">
      <c r="A5012" s="374"/>
      <c r="C5012" s="374"/>
      <c r="CV5012" s="376"/>
    </row>
    <row r="5013" spans="1:100">
      <c r="A5013" s="374"/>
      <c r="C5013" s="374"/>
      <c r="CV5013" s="376"/>
    </row>
    <row r="5014" spans="1:100">
      <c r="A5014" s="374"/>
      <c r="C5014" s="374"/>
      <c r="CV5014" s="376"/>
    </row>
    <row r="5015" spans="1:100">
      <c r="A5015" s="374"/>
      <c r="C5015" s="374"/>
      <c r="CV5015" s="376"/>
    </row>
    <row r="5016" spans="1:100">
      <c r="A5016" s="374"/>
      <c r="C5016" s="374"/>
      <c r="CV5016" s="376"/>
    </row>
    <row r="5017" spans="1:100">
      <c r="A5017" s="374"/>
      <c r="C5017" s="374"/>
      <c r="CV5017" s="376"/>
    </row>
    <row r="5018" spans="1:100">
      <c r="A5018" s="374"/>
      <c r="C5018" s="374"/>
      <c r="CV5018" s="376"/>
    </row>
    <row r="5019" spans="1:100">
      <c r="A5019" s="374"/>
      <c r="C5019" s="374"/>
      <c r="CV5019" s="376"/>
    </row>
    <row r="5020" spans="1:100">
      <c r="A5020" s="374"/>
      <c r="C5020" s="374"/>
      <c r="CV5020" s="376"/>
    </row>
    <row r="5021" spans="1:100">
      <c r="A5021" s="374"/>
      <c r="C5021" s="374"/>
      <c r="CV5021" s="376"/>
    </row>
    <row r="5022" spans="1:100">
      <c r="A5022" s="374"/>
      <c r="C5022" s="374"/>
      <c r="CV5022" s="376"/>
    </row>
    <row r="5023" spans="1:100">
      <c r="A5023" s="374"/>
      <c r="C5023" s="374"/>
      <c r="CV5023" s="376"/>
    </row>
    <row r="5024" spans="1:100">
      <c r="A5024" s="374"/>
      <c r="C5024" s="374"/>
      <c r="CV5024" s="376"/>
    </row>
    <row r="5025" spans="1:100">
      <c r="A5025" s="374"/>
      <c r="C5025" s="374"/>
      <c r="CV5025" s="376"/>
    </row>
    <row r="5026" spans="1:100">
      <c r="A5026" s="374"/>
      <c r="C5026" s="374"/>
      <c r="CV5026" s="376"/>
    </row>
    <row r="5027" spans="1:100">
      <c r="A5027" s="374"/>
      <c r="C5027" s="374"/>
      <c r="CV5027" s="376"/>
    </row>
    <row r="5028" spans="1:100">
      <c r="A5028" s="374"/>
      <c r="C5028" s="374"/>
      <c r="CV5028" s="376"/>
    </row>
    <row r="5029" spans="1:100">
      <c r="A5029" s="374"/>
      <c r="C5029" s="374"/>
      <c r="CV5029" s="376"/>
    </row>
    <row r="5030" spans="1:100">
      <c r="A5030" s="374"/>
      <c r="C5030" s="374"/>
      <c r="CV5030" s="376"/>
    </row>
    <row r="5031" spans="1:100">
      <c r="A5031" s="374"/>
      <c r="C5031" s="374"/>
      <c r="CV5031" s="376"/>
    </row>
    <row r="5032" spans="1:100">
      <c r="A5032" s="374"/>
      <c r="C5032" s="374"/>
      <c r="CV5032" s="376"/>
    </row>
    <row r="5033" spans="1:100">
      <c r="A5033" s="374"/>
      <c r="C5033" s="374"/>
      <c r="CV5033" s="376"/>
    </row>
    <row r="5034" spans="1:100">
      <c r="A5034" s="374"/>
      <c r="C5034" s="374"/>
      <c r="CV5034" s="376"/>
    </row>
    <row r="5035" spans="1:100">
      <c r="A5035" s="374"/>
      <c r="C5035" s="374"/>
      <c r="CV5035" s="376"/>
    </row>
    <row r="5036" spans="1:100">
      <c r="A5036" s="374"/>
      <c r="C5036" s="374"/>
      <c r="CV5036" s="376"/>
    </row>
    <row r="5037" spans="1:100">
      <c r="A5037" s="374"/>
      <c r="C5037" s="374"/>
      <c r="CV5037" s="376"/>
    </row>
    <row r="5038" spans="1:100">
      <c r="A5038" s="374"/>
      <c r="C5038" s="374"/>
      <c r="CV5038" s="376"/>
    </row>
    <row r="5039" spans="1:100">
      <c r="A5039" s="374"/>
      <c r="C5039" s="374"/>
      <c r="CV5039" s="376"/>
    </row>
    <row r="5040" spans="1:100">
      <c r="A5040" s="374"/>
      <c r="C5040" s="374"/>
      <c r="CV5040" s="376"/>
    </row>
    <row r="5041" spans="1:100">
      <c r="A5041" s="374"/>
      <c r="C5041" s="374"/>
      <c r="CV5041" s="376"/>
    </row>
    <row r="5042" spans="1:100">
      <c r="A5042" s="374"/>
      <c r="C5042" s="374"/>
      <c r="CV5042" s="376"/>
    </row>
    <row r="5043" spans="1:100">
      <c r="A5043" s="374"/>
      <c r="C5043" s="374"/>
      <c r="CV5043" s="376"/>
    </row>
    <row r="5044" spans="1:100">
      <c r="A5044" s="374"/>
      <c r="C5044" s="374"/>
      <c r="CV5044" s="376"/>
    </row>
    <row r="5045" spans="1:100">
      <c r="A5045" s="374"/>
      <c r="C5045" s="374"/>
      <c r="CV5045" s="376"/>
    </row>
    <row r="5046" spans="1:100">
      <c r="A5046" s="374"/>
      <c r="C5046" s="374"/>
      <c r="CV5046" s="376"/>
    </row>
    <row r="5047" spans="1:100">
      <c r="A5047" s="374"/>
      <c r="C5047" s="374"/>
      <c r="CV5047" s="376"/>
    </row>
    <row r="5048" spans="1:100">
      <c r="A5048" s="374"/>
      <c r="C5048" s="374"/>
      <c r="CV5048" s="376"/>
    </row>
    <row r="5049" spans="1:100">
      <c r="A5049" s="374"/>
      <c r="C5049" s="374"/>
      <c r="CV5049" s="376"/>
    </row>
    <row r="5050" spans="1:100">
      <c r="A5050" s="374"/>
      <c r="C5050" s="374"/>
      <c r="CV5050" s="376"/>
    </row>
    <row r="5051" spans="1:100">
      <c r="A5051" s="374"/>
      <c r="C5051" s="374"/>
      <c r="CV5051" s="376"/>
    </row>
    <row r="5052" spans="1:100">
      <c r="A5052" s="374"/>
      <c r="C5052" s="374"/>
      <c r="CV5052" s="376"/>
    </row>
    <row r="5053" spans="1:100">
      <c r="A5053" s="374"/>
      <c r="C5053" s="374"/>
      <c r="CV5053" s="376"/>
    </row>
    <row r="5054" spans="1:100">
      <c r="A5054" s="374"/>
      <c r="C5054" s="374"/>
      <c r="CV5054" s="376"/>
    </row>
    <row r="5055" spans="1:100">
      <c r="A5055" s="374"/>
      <c r="C5055" s="374"/>
      <c r="CV5055" s="376"/>
    </row>
    <row r="5056" spans="1:100">
      <c r="A5056" s="374"/>
      <c r="C5056" s="374"/>
      <c r="CV5056" s="376"/>
    </row>
    <row r="5057" spans="1:100">
      <c r="A5057" s="374"/>
      <c r="C5057" s="374"/>
      <c r="CV5057" s="376"/>
    </row>
    <row r="5058" spans="1:100">
      <c r="A5058" s="374"/>
      <c r="C5058" s="374"/>
      <c r="CV5058" s="376"/>
    </row>
    <row r="5059" spans="1:100">
      <c r="A5059" s="374"/>
      <c r="C5059" s="374"/>
      <c r="CV5059" s="376"/>
    </row>
    <row r="5060" spans="1:100">
      <c r="A5060" s="374"/>
      <c r="C5060" s="374"/>
      <c r="CV5060" s="376"/>
    </row>
    <row r="5061" spans="1:100">
      <c r="A5061" s="374"/>
      <c r="C5061" s="374"/>
      <c r="CV5061" s="376"/>
    </row>
    <row r="5062" spans="1:100">
      <c r="A5062" s="374"/>
      <c r="C5062" s="374"/>
      <c r="CV5062" s="376"/>
    </row>
    <row r="5063" spans="1:100">
      <c r="A5063" s="374"/>
      <c r="C5063" s="374"/>
      <c r="CV5063" s="376"/>
    </row>
    <row r="5064" spans="1:100">
      <c r="A5064" s="374"/>
      <c r="C5064" s="374"/>
      <c r="CV5064" s="376"/>
    </row>
    <row r="5065" spans="1:100">
      <c r="A5065" s="374"/>
      <c r="C5065" s="374"/>
      <c r="CV5065" s="376"/>
    </row>
    <row r="5066" spans="1:100">
      <c r="A5066" s="374"/>
      <c r="C5066" s="374"/>
      <c r="CV5066" s="376"/>
    </row>
    <row r="5067" spans="1:100">
      <c r="A5067" s="374"/>
      <c r="C5067" s="374"/>
      <c r="CV5067" s="376"/>
    </row>
    <row r="5068" spans="1:100">
      <c r="A5068" s="374"/>
      <c r="C5068" s="374"/>
      <c r="CV5068" s="376"/>
    </row>
    <row r="5069" spans="1:100">
      <c r="A5069" s="374"/>
      <c r="C5069" s="374"/>
      <c r="CV5069" s="376"/>
    </row>
    <row r="5070" spans="1:100">
      <c r="A5070" s="374"/>
      <c r="C5070" s="374"/>
      <c r="CV5070" s="376"/>
    </row>
    <row r="5071" spans="1:100">
      <c r="A5071" s="374"/>
      <c r="C5071" s="374"/>
      <c r="CV5071" s="376"/>
    </row>
    <row r="5072" spans="1:100">
      <c r="A5072" s="374"/>
      <c r="C5072" s="374"/>
      <c r="CV5072" s="376"/>
    </row>
    <row r="5073" spans="1:100">
      <c r="A5073" s="374"/>
      <c r="C5073" s="374"/>
      <c r="CV5073" s="376"/>
    </row>
    <row r="5074" spans="1:100">
      <c r="A5074" s="374"/>
      <c r="C5074" s="374"/>
      <c r="CV5074" s="376"/>
    </row>
    <row r="5075" spans="1:100">
      <c r="A5075" s="374"/>
      <c r="C5075" s="374"/>
      <c r="CV5075" s="376"/>
    </row>
    <row r="5076" spans="1:100">
      <c r="A5076" s="374"/>
      <c r="C5076" s="374"/>
      <c r="CV5076" s="376"/>
    </row>
    <row r="5077" spans="1:100">
      <c r="A5077" s="374"/>
      <c r="C5077" s="374"/>
      <c r="CV5077" s="376"/>
    </row>
    <row r="5078" spans="1:100">
      <c r="A5078" s="374"/>
      <c r="C5078" s="374"/>
      <c r="CV5078" s="376"/>
    </row>
    <row r="5079" spans="1:100">
      <c r="A5079" s="374"/>
      <c r="C5079" s="374"/>
      <c r="CV5079" s="376"/>
    </row>
    <row r="5080" spans="1:100">
      <c r="A5080" s="374"/>
      <c r="C5080" s="374"/>
      <c r="CV5080" s="376"/>
    </row>
    <row r="5081" spans="1:100">
      <c r="A5081" s="374"/>
      <c r="C5081" s="374"/>
      <c r="CV5081" s="376"/>
    </row>
    <row r="5082" spans="1:100">
      <c r="A5082" s="374"/>
      <c r="C5082" s="374"/>
      <c r="CV5082" s="376"/>
    </row>
    <row r="5083" spans="1:100">
      <c r="A5083" s="374"/>
      <c r="C5083" s="374"/>
      <c r="CV5083" s="376"/>
    </row>
    <row r="5084" spans="1:100">
      <c r="A5084" s="374"/>
      <c r="C5084" s="374"/>
      <c r="CV5084" s="376"/>
    </row>
    <row r="5085" spans="1:100">
      <c r="A5085" s="374"/>
      <c r="C5085" s="374"/>
      <c r="CV5085" s="376"/>
    </row>
    <row r="5086" spans="1:100">
      <c r="A5086" s="374"/>
      <c r="C5086" s="374"/>
      <c r="CV5086" s="376"/>
    </row>
    <row r="5087" spans="1:100">
      <c r="A5087" s="374"/>
      <c r="C5087" s="374"/>
      <c r="CV5087" s="376"/>
    </row>
    <row r="5088" spans="1:100">
      <c r="A5088" s="374"/>
      <c r="C5088" s="374"/>
      <c r="CV5088" s="376"/>
    </row>
    <row r="5089" spans="1:100">
      <c r="A5089" s="374"/>
      <c r="C5089" s="374"/>
      <c r="CV5089" s="376"/>
    </row>
    <row r="5090" spans="1:100">
      <c r="A5090" s="374"/>
      <c r="C5090" s="374"/>
      <c r="CV5090" s="376"/>
    </row>
    <row r="5091" spans="1:100">
      <c r="A5091" s="374"/>
      <c r="C5091" s="374"/>
      <c r="CV5091" s="376"/>
    </row>
    <row r="5092" spans="1:100">
      <c r="A5092" s="374"/>
      <c r="C5092" s="374"/>
      <c r="CV5092" s="376"/>
    </row>
    <row r="5093" spans="1:100">
      <c r="A5093" s="374"/>
      <c r="C5093" s="374"/>
      <c r="CV5093" s="376"/>
    </row>
    <row r="5094" spans="1:100">
      <c r="A5094" s="374"/>
      <c r="C5094" s="374"/>
      <c r="CV5094" s="376"/>
    </row>
    <row r="5095" spans="1:100">
      <c r="A5095" s="374"/>
      <c r="C5095" s="374"/>
      <c r="CV5095" s="376"/>
    </row>
    <row r="5096" spans="1:100">
      <c r="A5096" s="374"/>
      <c r="C5096" s="374"/>
      <c r="CV5096" s="376"/>
    </row>
    <row r="5097" spans="1:100">
      <c r="A5097" s="374"/>
      <c r="C5097" s="374"/>
      <c r="CV5097" s="376"/>
    </row>
    <row r="5098" spans="1:100">
      <c r="A5098" s="374"/>
      <c r="C5098" s="374"/>
      <c r="CV5098" s="376"/>
    </row>
    <row r="5099" spans="1:100">
      <c r="A5099" s="374"/>
      <c r="C5099" s="374"/>
      <c r="CV5099" s="376"/>
    </row>
    <row r="5100" spans="1:100">
      <c r="A5100" s="374"/>
      <c r="C5100" s="374"/>
      <c r="CV5100" s="376"/>
    </row>
    <row r="5101" spans="1:100">
      <c r="A5101" s="374"/>
      <c r="C5101" s="374"/>
      <c r="CV5101" s="376"/>
    </row>
    <row r="5102" spans="1:100">
      <c r="A5102" s="374"/>
      <c r="C5102" s="374"/>
      <c r="CV5102" s="376"/>
    </row>
    <row r="5103" spans="1:100">
      <c r="A5103" s="374"/>
      <c r="C5103" s="374"/>
      <c r="CV5103" s="376"/>
    </row>
    <row r="5104" spans="1:100">
      <c r="A5104" s="374"/>
      <c r="C5104" s="374"/>
      <c r="CV5104" s="376"/>
    </row>
    <row r="5105" spans="1:100">
      <c r="A5105" s="374"/>
      <c r="C5105" s="374"/>
      <c r="CV5105" s="376"/>
    </row>
    <row r="5106" spans="1:100">
      <c r="A5106" s="374"/>
      <c r="C5106" s="374"/>
      <c r="CV5106" s="376"/>
    </row>
    <row r="5107" spans="1:100">
      <c r="A5107" s="374"/>
      <c r="C5107" s="374"/>
      <c r="CV5107" s="376"/>
    </row>
    <row r="5108" spans="1:100">
      <c r="A5108" s="374"/>
      <c r="C5108" s="374"/>
      <c r="CV5108" s="376"/>
    </row>
    <row r="5109" spans="1:100">
      <c r="A5109" s="374"/>
      <c r="C5109" s="374"/>
      <c r="CV5109" s="376"/>
    </row>
    <row r="5110" spans="1:100">
      <c r="A5110" s="374"/>
      <c r="C5110" s="374"/>
      <c r="CV5110" s="376"/>
    </row>
    <row r="5111" spans="1:100">
      <c r="A5111" s="374"/>
      <c r="C5111" s="374"/>
      <c r="CV5111" s="376"/>
    </row>
    <row r="5112" spans="1:100">
      <c r="A5112" s="374"/>
      <c r="C5112" s="374"/>
      <c r="CV5112" s="376"/>
    </row>
    <row r="5113" spans="1:100">
      <c r="A5113" s="374"/>
      <c r="C5113" s="374"/>
      <c r="CV5113" s="376"/>
    </row>
    <row r="5114" spans="1:100">
      <c r="A5114" s="374"/>
      <c r="C5114" s="374"/>
      <c r="CV5114" s="376"/>
    </row>
    <row r="5115" spans="1:100">
      <c r="A5115" s="374"/>
      <c r="C5115" s="374"/>
      <c r="CV5115" s="376"/>
    </row>
    <row r="5116" spans="1:100">
      <c r="A5116" s="374"/>
      <c r="C5116" s="374"/>
      <c r="CV5116" s="376"/>
    </row>
    <row r="5117" spans="1:100">
      <c r="A5117" s="374"/>
      <c r="C5117" s="374"/>
      <c r="CV5117" s="376"/>
    </row>
    <row r="5118" spans="1:100">
      <c r="A5118" s="374"/>
      <c r="C5118" s="374"/>
      <c r="CV5118" s="376"/>
    </row>
    <row r="5119" spans="1:100">
      <c r="A5119" s="374"/>
      <c r="C5119" s="374"/>
      <c r="CV5119" s="376"/>
    </row>
    <row r="5120" spans="1:100">
      <c r="A5120" s="374"/>
      <c r="C5120" s="374"/>
      <c r="CV5120" s="376"/>
    </row>
    <row r="5121" spans="1:100">
      <c r="A5121" s="374"/>
      <c r="C5121" s="374"/>
      <c r="CV5121" s="376"/>
    </row>
    <row r="5122" spans="1:100">
      <c r="A5122" s="374"/>
      <c r="C5122" s="374"/>
      <c r="CV5122" s="376"/>
    </row>
    <row r="5123" spans="1:100">
      <c r="A5123" s="374"/>
      <c r="C5123" s="374"/>
      <c r="CV5123" s="376"/>
    </row>
    <row r="5124" spans="1:100">
      <c r="A5124" s="374"/>
      <c r="C5124" s="374"/>
      <c r="CV5124" s="376"/>
    </row>
    <row r="5125" spans="1:100">
      <c r="A5125" s="374"/>
      <c r="C5125" s="374"/>
      <c r="CV5125" s="376"/>
    </row>
    <row r="5126" spans="1:100">
      <c r="A5126" s="374"/>
      <c r="C5126" s="374"/>
      <c r="CV5126" s="376"/>
    </row>
    <row r="5127" spans="1:100">
      <c r="A5127" s="374"/>
      <c r="C5127" s="374"/>
      <c r="CV5127" s="376"/>
    </row>
    <row r="5128" spans="1:100">
      <c r="A5128" s="374"/>
      <c r="C5128" s="374"/>
      <c r="CV5128" s="376"/>
    </row>
    <row r="5129" spans="1:100">
      <c r="A5129" s="374"/>
      <c r="C5129" s="374"/>
      <c r="CV5129" s="376"/>
    </row>
    <row r="5130" spans="1:100">
      <c r="A5130" s="374"/>
      <c r="C5130" s="374"/>
      <c r="CV5130" s="376"/>
    </row>
    <row r="5131" spans="1:100">
      <c r="A5131" s="374"/>
      <c r="C5131" s="374"/>
      <c r="CV5131" s="376"/>
    </row>
    <row r="5132" spans="1:100">
      <c r="A5132" s="374"/>
      <c r="C5132" s="374"/>
      <c r="CV5132" s="376"/>
    </row>
    <row r="5133" spans="1:100">
      <c r="A5133" s="374"/>
      <c r="C5133" s="374"/>
      <c r="CV5133" s="376"/>
    </row>
    <row r="5134" spans="1:100">
      <c r="A5134" s="374"/>
      <c r="C5134" s="374"/>
      <c r="CV5134" s="376"/>
    </row>
    <row r="5135" spans="1:100">
      <c r="A5135" s="374"/>
      <c r="C5135" s="374"/>
      <c r="CV5135" s="376"/>
    </row>
    <row r="5136" spans="1:100">
      <c r="A5136" s="374"/>
      <c r="C5136" s="374"/>
      <c r="CV5136" s="376"/>
    </row>
    <row r="5137" spans="1:100">
      <c r="A5137" s="374"/>
      <c r="C5137" s="374"/>
      <c r="CV5137" s="376"/>
    </row>
    <row r="5138" spans="1:100">
      <c r="A5138" s="374"/>
      <c r="C5138" s="374"/>
      <c r="CV5138" s="376"/>
    </row>
    <row r="5139" spans="1:100">
      <c r="A5139" s="374"/>
      <c r="C5139" s="374"/>
      <c r="CV5139" s="376"/>
    </row>
    <row r="5140" spans="1:100">
      <c r="A5140" s="374"/>
      <c r="C5140" s="374"/>
      <c r="CV5140" s="376"/>
    </row>
    <row r="5141" spans="1:100">
      <c r="A5141" s="374"/>
      <c r="C5141" s="374"/>
      <c r="CV5141" s="376"/>
    </row>
    <row r="5142" spans="1:100">
      <c r="A5142" s="374"/>
      <c r="C5142" s="374"/>
      <c r="CV5142" s="376"/>
    </row>
    <row r="5143" spans="1:100">
      <c r="A5143" s="374"/>
      <c r="C5143" s="374"/>
      <c r="CV5143" s="376"/>
    </row>
    <row r="5144" spans="1:100">
      <c r="A5144" s="374"/>
      <c r="C5144" s="374"/>
      <c r="CV5144" s="376"/>
    </row>
    <row r="5145" spans="1:100">
      <c r="A5145" s="374"/>
      <c r="C5145" s="374"/>
      <c r="CV5145" s="376"/>
    </row>
    <row r="5146" spans="1:100">
      <c r="A5146" s="374"/>
      <c r="C5146" s="374"/>
      <c r="CV5146" s="376"/>
    </row>
    <row r="5147" spans="1:100">
      <c r="A5147" s="374"/>
      <c r="C5147" s="374"/>
      <c r="CV5147" s="376"/>
    </row>
    <row r="5148" spans="1:100">
      <c r="A5148" s="374"/>
      <c r="C5148" s="374"/>
      <c r="CV5148" s="376"/>
    </row>
    <row r="5149" spans="1:100">
      <c r="A5149" s="374"/>
      <c r="C5149" s="374"/>
      <c r="CV5149" s="376"/>
    </row>
    <row r="5150" spans="1:100">
      <c r="A5150" s="374"/>
      <c r="C5150" s="374"/>
      <c r="CV5150" s="376"/>
    </row>
    <row r="5151" spans="1:100">
      <c r="A5151" s="374"/>
      <c r="C5151" s="374"/>
      <c r="CV5151" s="376"/>
    </row>
    <row r="5152" spans="1:100">
      <c r="A5152" s="374"/>
      <c r="C5152" s="374"/>
      <c r="CV5152" s="376"/>
    </row>
    <row r="5153" spans="1:100">
      <c r="A5153" s="374"/>
      <c r="C5153" s="374"/>
      <c r="CV5153" s="376"/>
    </row>
    <row r="5154" spans="1:100">
      <c r="A5154" s="374"/>
      <c r="C5154" s="374"/>
      <c r="CV5154" s="376"/>
    </row>
    <row r="5155" spans="1:100">
      <c r="A5155" s="374"/>
      <c r="C5155" s="374"/>
      <c r="CV5155" s="376"/>
    </row>
    <row r="5156" spans="1:100">
      <c r="A5156" s="374"/>
      <c r="C5156" s="374"/>
      <c r="CV5156" s="376"/>
    </row>
    <row r="5157" spans="1:100">
      <c r="A5157" s="374"/>
      <c r="C5157" s="374"/>
      <c r="CV5157" s="376"/>
    </row>
    <row r="5158" spans="1:100">
      <c r="A5158" s="374"/>
      <c r="C5158" s="374"/>
      <c r="CV5158" s="376"/>
    </row>
    <row r="5159" spans="1:100">
      <c r="A5159" s="374"/>
      <c r="C5159" s="374"/>
      <c r="CV5159" s="376"/>
    </row>
    <row r="5160" spans="1:100">
      <c r="A5160" s="374"/>
      <c r="C5160" s="374"/>
      <c r="CV5160" s="376"/>
    </row>
    <row r="5161" spans="1:100">
      <c r="A5161" s="374"/>
      <c r="C5161" s="374"/>
      <c r="CV5161" s="376"/>
    </row>
    <row r="5162" spans="1:100">
      <c r="A5162" s="374"/>
      <c r="C5162" s="374"/>
      <c r="CV5162" s="376"/>
    </row>
    <row r="5163" spans="1:100">
      <c r="A5163" s="374"/>
      <c r="C5163" s="374"/>
      <c r="CV5163" s="376"/>
    </row>
    <row r="5164" spans="1:100">
      <c r="A5164" s="374"/>
      <c r="C5164" s="374"/>
      <c r="CV5164" s="376"/>
    </row>
    <row r="5165" spans="1:100">
      <c r="A5165" s="374"/>
      <c r="C5165" s="374"/>
      <c r="CV5165" s="376"/>
    </row>
    <row r="5166" spans="1:100">
      <c r="A5166" s="374"/>
      <c r="C5166" s="374"/>
      <c r="CV5166" s="376"/>
    </row>
    <row r="5167" spans="1:100">
      <c r="A5167" s="374"/>
      <c r="C5167" s="374"/>
      <c r="CV5167" s="376"/>
    </row>
    <row r="5168" spans="1:100">
      <c r="A5168" s="374"/>
      <c r="C5168" s="374"/>
      <c r="CV5168" s="376"/>
    </row>
    <row r="5169" spans="1:100">
      <c r="A5169" s="374"/>
      <c r="C5169" s="374"/>
      <c r="CV5169" s="376"/>
    </row>
    <row r="5170" spans="1:100">
      <c r="A5170" s="374"/>
      <c r="C5170" s="374"/>
      <c r="CV5170" s="376"/>
    </row>
    <row r="5171" spans="1:100">
      <c r="A5171" s="374"/>
      <c r="C5171" s="374"/>
      <c r="CV5171" s="376"/>
    </row>
    <row r="5172" spans="1:100">
      <c r="A5172" s="374"/>
      <c r="C5172" s="374"/>
      <c r="CV5172" s="376"/>
    </row>
    <row r="5173" spans="1:100">
      <c r="A5173" s="374"/>
      <c r="C5173" s="374"/>
      <c r="CV5173" s="376"/>
    </row>
    <row r="5174" spans="1:100">
      <c r="A5174" s="374"/>
      <c r="C5174" s="374"/>
      <c r="CV5174" s="376"/>
    </row>
    <row r="5175" spans="1:100">
      <c r="A5175" s="374"/>
      <c r="C5175" s="374"/>
      <c r="CV5175" s="376"/>
    </row>
    <row r="5176" spans="1:100">
      <c r="A5176" s="374"/>
      <c r="C5176" s="374"/>
      <c r="CV5176" s="376"/>
    </row>
    <row r="5177" spans="1:100">
      <c r="A5177" s="374"/>
      <c r="C5177" s="374"/>
      <c r="CV5177" s="376"/>
    </row>
    <row r="5178" spans="1:100">
      <c r="A5178" s="374"/>
      <c r="C5178" s="374"/>
      <c r="CV5178" s="376"/>
    </row>
    <row r="5179" spans="1:100">
      <c r="A5179" s="374"/>
      <c r="C5179" s="374"/>
      <c r="CV5179" s="376"/>
    </row>
    <row r="5180" spans="1:100">
      <c r="A5180" s="374"/>
      <c r="C5180" s="374"/>
      <c r="CV5180" s="376"/>
    </row>
    <row r="5181" spans="1:100">
      <c r="A5181" s="374"/>
      <c r="C5181" s="374"/>
      <c r="CV5181" s="376"/>
    </row>
    <row r="5182" spans="1:100">
      <c r="A5182" s="374"/>
      <c r="C5182" s="374"/>
      <c r="CV5182" s="376"/>
    </row>
    <row r="5183" spans="1:100">
      <c r="A5183" s="374"/>
      <c r="C5183" s="374"/>
      <c r="CV5183" s="376"/>
    </row>
    <row r="5184" spans="1:100">
      <c r="A5184" s="374"/>
      <c r="C5184" s="374"/>
      <c r="CV5184" s="376"/>
    </row>
    <row r="5185" spans="1:100">
      <c r="A5185" s="374"/>
      <c r="C5185" s="374"/>
      <c r="CV5185" s="376"/>
    </row>
    <row r="5186" spans="1:100">
      <c r="A5186" s="374"/>
      <c r="C5186" s="374"/>
      <c r="CV5186" s="376"/>
    </row>
    <row r="5187" spans="1:100">
      <c r="A5187" s="374"/>
      <c r="C5187" s="374"/>
      <c r="CV5187" s="376"/>
    </row>
    <row r="5188" spans="1:100">
      <c r="A5188" s="374"/>
      <c r="C5188" s="374"/>
      <c r="CV5188" s="376"/>
    </row>
    <row r="5189" spans="1:100">
      <c r="A5189" s="374"/>
      <c r="C5189" s="374"/>
      <c r="CV5189" s="376"/>
    </row>
    <row r="5190" spans="1:100">
      <c r="A5190" s="374"/>
      <c r="C5190" s="374"/>
      <c r="CV5190" s="376"/>
    </row>
    <row r="5191" spans="1:100">
      <c r="A5191" s="374"/>
      <c r="C5191" s="374"/>
      <c r="CV5191" s="376"/>
    </row>
    <row r="5192" spans="1:100">
      <c r="A5192" s="374"/>
      <c r="C5192" s="374"/>
      <c r="CV5192" s="376"/>
    </row>
    <row r="5193" spans="1:100">
      <c r="A5193" s="374"/>
      <c r="C5193" s="374"/>
      <c r="CV5193" s="376"/>
    </row>
    <row r="5194" spans="1:100">
      <c r="A5194" s="374"/>
      <c r="C5194" s="374"/>
      <c r="CV5194" s="376"/>
    </row>
    <row r="5195" spans="1:100">
      <c r="A5195" s="374"/>
      <c r="C5195" s="374"/>
      <c r="CV5195" s="376"/>
    </row>
    <row r="5196" spans="1:100">
      <c r="A5196" s="374"/>
      <c r="C5196" s="374"/>
      <c r="CV5196" s="376"/>
    </row>
    <row r="5197" spans="1:100">
      <c r="A5197" s="374"/>
      <c r="C5197" s="374"/>
      <c r="CV5197" s="376"/>
    </row>
    <row r="5198" spans="1:100">
      <c r="A5198" s="374"/>
      <c r="C5198" s="374"/>
      <c r="CV5198" s="376"/>
    </row>
    <row r="5199" spans="1:100">
      <c r="A5199" s="374"/>
      <c r="C5199" s="374"/>
      <c r="CV5199" s="376"/>
    </row>
    <row r="5200" spans="1:100">
      <c r="A5200" s="374"/>
      <c r="C5200" s="374"/>
      <c r="CV5200" s="376"/>
    </row>
    <row r="5201" spans="1:100">
      <c r="A5201" s="374"/>
      <c r="C5201" s="374"/>
      <c r="CV5201" s="376"/>
    </row>
    <row r="5202" spans="1:100">
      <c r="A5202" s="374"/>
      <c r="C5202" s="374"/>
      <c r="CV5202" s="376"/>
    </row>
    <row r="5203" spans="1:100">
      <c r="A5203" s="374"/>
      <c r="C5203" s="374"/>
      <c r="CV5203" s="376"/>
    </row>
    <row r="5204" spans="1:100">
      <c r="A5204" s="374"/>
      <c r="C5204" s="374"/>
      <c r="CV5204" s="376"/>
    </row>
    <row r="5205" spans="1:100">
      <c r="A5205" s="374"/>
      <c r="C5205" s="374"/>
      <c r="CV5205" s="376"/>
    </row>
    <row r="5206" spans="1:100">
      <c r="A5206" s="374"/>
      <c r="C5206" s="374"/>
      <c r="CV5206" s="376"/>
    </row>
    <row r="5207" spans="1:100">
      <c r="A5207" s="374"/>
      <c r="C5207" s="374"/>
      <c r="CV5207" s="376"/>
    </row>
    <row r="5208" spans="1:100">
      <c r="A5208" s="374"/>
      <c r="C5208" s="374"/>
      <c r="CV5208" s="376"/>
    </row>
    <row r="5209" spans="1:100">
      <c r="A5209" s="374"/>
      <c r="C5209" s="374"/>
      <c r="CV5209" s="376"/>
    </row>
    <row r="5210" spans="1:100">
      <c r="A5210" s="374"/>
      <c r="C5210" s="374"/>
      <c r="CV5210" s="376"/>
    </row>
    <row r="5211" spans="1:100">
      <c r="A5211" s="374"/>
      <c r="C5211" s="374"/>
      <c r="CV5211" s="376"/>
    </row>
    <row r="5212" spans="1:100">
      <c r="A5212" s="374"/>
      <c r="C5212" s="374"/>
      <c r="CV5212" s="376"/>
    </row>
    <row r="5213" spans="1:100">
      <c r="A5213" s="374"/>
      <c r="C5213" s="374"/>
      <c r="CV5213" s="376"/>
    </row>
    <row r="5214" spans="1:100">
      <c r="A5214" s="374"/>
      <c r="C5214" s="374"/>
      <c r="CV5214" s="376"/>
    </row>
    <row r="5215" spans="1:100">
      <c r="A5215" s="374"/>
      <c r="C5215" s="374"/>
      <c r="CV5215" s="376"/>
    </row>
    <row r="5216" spans="1:100">
      <c r="A5216" s="374"/>
      <c r="C5216" s="374"/>
      <c r="CV5216" s="376"/>
    </row>
    <row r="5217" spans="1:100">
      <c r="A5217" s="374"/>
      <c r="C5217" s="374"/>
      <c r="CV5217" s="376"/>
    </row>
    <row r="5218" spans="1:100">
      <c r="A5218" s="374"/>
      <c r="C5218" s="374"/>
      <c r="CV5218" s="376"/>
    </row>
    <row r="5219" spans="1:100">
      <c r="A5219" s="374"/>
      <c r="C5219" s="374"/>
      <c r="CV5219" s="376"/>
    </row>
    <row r="5220" spans="1:100">
      <c r="A5220" s="374"/>
      <c r="C5220" s="374"/>
      <c r="CV5220" s="376"/>
    </row>
    <row r="5221" spans="1:100">
      <c r="A5221" s="374"/>
      <c r="C5221" s="374"/>
      <c r="CV5221" s="376"/>
    </row>
    <row r="5222" spans="1:100">
      <c r="A5222" s="374"/>
      <c r="C5222" s="374"/>
      <c r="CV5222" s="376"/>
    </row>
    <row r="5223" spans="1:100">
      <c r="A5223" s="374"/>
      <c r="C5223" s="374"/>
      <c r="CV5223" s="376"/>
    </row>
    <row r="5224" spans="1:100">
      <c r="A5224" s="374"/>
      <c r="C5224" s="374"/>
      <c r="CV5224" s="376"/>
    </row>
    <row r="5225" spans="1:100">
      <c r="A5225" s="374"/>
      <c r="C5225" s="374"/>
      <c r="CV5225" s="376"/>
    </row>
    <row r="5226" spans="1:100">
      <c r="A5226" s="374"/>
      <c r="C5226" s="374"/>
      <c r="CV5226" s="376"/>
    </row>
    <row r="5227" spans="1:100">
      <c r="A5227" s="374"/>
      <c r="C5227" s="374"/>
      <c r="CV5227" s="376"/>
    </row>
    <row r="5228" spans="1:100">
      <c r="A5228" s="374"/>
      <c r="C5228" s="374"/>
      <c r="CV5228" s="376"/>
    </row>
    <row r="5229" spans="1:100">
      <c r="A5229" s="374"/>
      <c r="C5229" s="374"/>
      <c r="CV5229" s="376"/>
    </row>
    <row r="5230" spans="1:100">
      <c r="A5230" s="374"/>
      <c r="C5230" s="374"/>
      <c r="CV5230" s="376"/>
    </row>
    <row r="5231" spans="1:100">
      <c r="A5231" s="374"/>
      <c r="C5231" s="374"/>
      <c r="CV5231" s="376"/>
    </row>
    <row r="5232" spans="1:100">
      <c r="A5232" s="374"/>
      <c r="C5232" s="374"/>
      <c r="CV5232" s="376"/>
    </row>
    <row r="5233" spans="1:100">
      <c r="A5233" s="374"/>
      <c r="C5233" s="374"/>
      <c r="CV5233" s="376"/>
    </row>
    <row r="5234" spans="1:100">
      <c r="A5234" s="374"/>
      <c r="C5234" s="374"/>
      <c r="CV5234" s="376"/>
    </row>
    <row r="5235" spans="1:100">
      <c r="A5235" s="374"/>
      <c r="C5235" s="374"/>
      <c r="CV5235" s="376"/>
    </row>
    <row r="5236" spans="1:100">
      <c r="A5236" s="374"/>
      <c r="C5236" s="374"/>
      <c r="CV5236" s="376"/>
    </row>
    <row r="5237" spans="1:100">
      <c r="A5237" s="374"/>
      <c r="C5237" s="374"/>
      <c r="CV5237" s="376"/>
    </row>
    <row r="5238" spans="1:100">
      <c r="A5238" s="374"/>
      <c r="C5238" s="374"/>
      <c r="CV5238" s="376"/>
    </row>
    <row r="5239" spans="1:100">
      <c r="A5239" s="374"/>
      <c r="C5239" s="374"/>
      <c r="CV5239" s="376"/>
    </row>
    <row r="5240" spans="1:100">
      <c r="A5240" s="374"/>
      <c r="C5240" s="374"/>
      <c r="CV5240" s="376"/>
    </row>
    <row r="5241" spans="1:100">
      <c r="A5241" s="374"/>
      <c r="C5241" s="374"/>
      <c r="CV5241" s="376"/>
    </row>
    <row r="5242" spans="1:100">
      <c r="A5242" s="374"/>
      <c r="C5242" s="374"/>
      <c r="CV5242" s="376"/>
    </row>
    <row r="5243" spans="1:100">
      <c r="A5243" s="374"/>
      <c r="C5243" s="374"/>
      <c r="CV5243" s="376"/>
    </row>
    <row r="5244" spans="1:100">
      <c r="A5244" s="374"/>
      <c r="C5244" s="374"/>
      <c r="CV5244" s="376"/>
    </row>
    <row r="5245" spans="1:100">
      <c r="A5245" s="374"/>
      <c r="C5245" s="374"/>
      <c r="CV5245" s="376"/>
    </row>
    <row r="5246" spans="1:100">
      <c r="A5246" s="374"/>
      <c r="C5246" s="374"/>
      <c r="CV5246" s="376"/>
    </row>
    <row r="5247" spans="1:100">
      <c r="A5247" s="374"/>
      <c r="C5247" s="374"/>
      <c r="CV5247" s="376"/>
    </row>
    <row r="5248" spans="1:100">
      <c r="A5248" s="374"/>
      <c r="C5248" s="374"/>
      <c r="CV5248" s="376"/>
    </row>
    <row r="5249" spans="1:100">
      <c r="A5249" s="374"/>
      <c r="C5249" s="374"/>
      <c r="CV5249" s="376"/>
    </row>
    <row r="5250" spans="1:100">
      <c r="A5250" s="374"/>
      <c r="C5250" s="374"/>
      <c r="CV5250" s="376"/>
    </row>
    <row r="5251" spans="1:100">
      <c r="A5251" s="374"/>
      <c r="C5251" s="374"/>
      <c r="CV5251" s="376"/>
    </row>
    <row r="5252" spans="1:100">
      <c r="A5252" s="374"/>
      <c r="C5252" s="374"/>
      <c r="CV5252" s="376"/>
    </row>
    <row r="5253" spans="1:100">
      <c r="A5253" s="374"/>
      <c r="C5253" s="374"/>
      <c r="CV5253" s="376"/>
    </row>
    <row r="5254" spans="1:100">
      <c r="A5254" s="374"/>
      <c r="C5254" s="374"/>
      <c r="CV5254" s="376"/>
    </row>
    <row r="5255" spans="1:100">
      <c r="A5255" s="374"/>
      <c r="C5255" s="374"/>
      <c r="CV5255" s="376"/>
    </row>
    <row r="5256" spans="1:100">
      <c r="A5256" s="374"/>
      <c r="C5256" s="374"/>
      <c r="CV5256" s="376"/>
    </row>
    <row r="5257" spans="1:100">
      <c r="A5257" s="374"/>
      <c r="C5257" s="374"/>
      <c r="CV5257" s="376"/>
    </row>
    <row r="5258" spans="1:100">
      <c r="A5258" s="374"/>
      <c r="C5258" s="374"/>
      <c r="CV5258" s="376"/>
    </row>
    <row r="5259" spans="1:100">
      <c r="A5259" s="374"/>
      <c r="C5259" s="374"/>
      <c r="CV5259" s="376"/>
    </row>
    <row r="5260" spans="1:100">
      <c r="A5260" s="374"/>
      <c r="C5260" s="374"/>
      <c r="CV5260" s="376"/>
    </row>
    <row r="5261" spans="1:100">
      <c r="A5261" s="374"/>
      <c r="C5261" s="374"/>
      <c r="CV5261" s="376"/>
    </row>
    <row r="5262" spans="1:100">
      <c r="A5262" s="374"/>
      <c r="C5262" s="374"/>
      <c r="CV5262" s="376"/>
    </row>
    <row r="5263" spans="1:100">
      <c r="A5263" s="374"/>
      <c r="C5263" s="374"/>
      <c r="CV5263" s="376"/>
    </row>
    <row r="5264" spans="1:100">
      <c r="A5264" s="374"/>
      <c r="C5264" s="374"/>
      <c r="CV5264" s="376"/>
    </row>
    <row r="5265" spans="1:100">
      <c r="A5265" s="374"/>
      <c r="C5265" s="374"/>
      <c r="CV5265" s="376"/>
    </row>
    <row r="5266" spans="1:100">
      <c r="A5266" s="374"/>
      <c r="C5266" s="374"/>
      <c r="CV5266" s="376"/>
    </row>
    <row r="5267" spans="1:100">
      <c r="A5267" s="374"/>
      <c r="C5267" s="374"/>
      <c r="CV5267" s="376"/>
    </row>
    <row r="5268" spans="1:100">
      <c r="A5268" s="374"/>
      <c r="C5268" s="374"/>
      <c r="CV5268" s="376"/>
    </row>
    <row r="5269" spans="1:100">
      <c r="A5269" s="374"/>
      <c r="C5269" s="374"/>
      <c r="CV5269" s="376"/>
    </row>
    <row r="5270" spans="1:100">
      <c r="A5270" s="374"/>
      <c r="C5270" s="374"/>
      <c r="CV5270" s="376"/>
    </row>
    <row r="5271" spans="1:100">
      <c r="A5271" s="374"/>
      <c r="C5271" s="374"/>
      <c r="CV5271" s="376"/>
    </row>
    <row r="5272" spans="1:100">
      <c r="A5272" s="374"/>
      <c r="C5272" s="374"/>
      <c r="CV5272" s="376"/>
    </row>
    <row r="5273" spans="1:100">
      <c r="A5273" s="374"/>
      <c r="C5273" s="374"/>
      <c r="CV5273" s="376"/>
    </row>
    <row r="5274" spans="1:100">
      <c r="A5274" s="374"/>
      <c r="C5274" s="374"/>
      <c r="CV5274" s="376"/>
    </row>
    <row r="5275" spans="1:100">
      <c r="A5275" s="374"/>
      <c r="C5275" s="374"/>
      <c r="CV5275" s="376"/>
    </row>
    <row r="5276" spans="1:100">
      <c r="A5276" s="374"/>
      <c r="C5276" s="374"/>
      <c r="CV5276" s="376"/>
    </row>
    <row r="5277" spans="1:100">
      <c r="A5277" s="374"/>
      <c r="C5277" s="374"/>
      <c r="CV5277" s="376"/>
    </row>
    <row r="5278" spans="1:100">
      <c r="A5278" s="374"/>
      <c r="C5278" s="374"/>
      <c r="CV5278" s="376"/>
    </row>
    <row r="5279" spans="1:100">
      <c r="A5279" s="374"/>
      <c r="C5279" s="374"/>
      <c r="CV5279" s="376"/>
    </row>
    <row r="5280" spans="1:100">
      <c r="A5280" s="374"/>
      <c r="C5280" s="374"/>
      <c r="CV5280" s="376"/>
    </row>
    <row r="5281" spans="1:100">
      <c r="A5281" s="374"/>
      <c r="C5281" s="374"/>
      <c r="CV5281" s="376"/>
    </row>
    <row r="5282" spans="1:100">
      <c r="A5282" s="374"/>
      <c r="C5282" s="374"/>
      <c r="CV5282" s="376"/>
    </row>
    <row r="5283" spans="1:100">
      <c r="A5283" s="374"/>
      <c r="C5283" s="374"/>
      <c r="CV5283" s="376"/>
    </row>
    <row r="5284" spans="1:100">
      <c r="A5284" s="374"/>
      <c r="C5284" s="374"/>
      <c r="CV5284" s="376"/>
    </row>
    <row r="5285" spans="1:100">
      <c r="A5285" s="374"/>
      <c r="C5285" s="374"/>
      <c r="CV5285" s="376"/>
    </row>
    <row r="5286" spans="1:100">
      <c r="A5286" s="374"/>
      <c r="C5286" s="374"/>
      <c r="CV5286" s="376"/>
    </row>
    <row r="5287" spans="1:100">
      <c r="A5287" s="374"/>
      <c r="C5287" s="374"/>
      <c r="CV5287" s="376"/>
    </row>
    <row r="5288" spans="1:100">
      <c r="A5288" s="374"/>
      <c r="C5288" s="374"/>
      <c r="CV5288" s="376"/>
    </row>
    <row r="5289" spans="1:100">
      <c r="A5289" s="374"/>
      <c r="C5289" s="374"/>
      <c r="CV5289" s="376"/>
    </row>
    <row r="5290" spans="1:100">
      <c r="A5290" s="374"/>
      <c r="C5290" s="374"/>
      <c r="CV5290" s="376"/>
    </row>
    <row r="5291" spans="1:100">
      <c r="A5291" s="374"/>
      <c r="C5291" s="374"/>
      <c r="CV5291" s="376"/>
    </row>
    <row r="5292" spans="1:100">
      <c r="A5292" s="374"/>
      <c r="C5292" s="374"/>
      <c r="CV5292" s="376"/>
    </row>
    <row r="5293" spans="1:100">
      <c r="A5293" s="374"/>
      <c r="C5293" s="374"/>
      <c r="CV5293" s="376"/>
    </row>
    <row r="5294" spans="1:100">
      <c r="A5294" s="374"/>
      <c r="C5294" s="374"/>
      <c r="CV5294" s="376"/>
    </row>
    <row r="5295" spans="1:100">
      <c r="A5295" s="374"/>
      <c r="C5295" s="374"/>
      <c r="CV5295" s="376"/>
    </row>
    <row r="5296" spans="1:100">
      <c r="A5296" s="374"/>
      <c r="C5296" s="374"/>
      <c r="CV5296" s="376"/>
    </row>
    <row r="5297" spans="1:100">
      <c r="A5297" s="374"/>
      <c r="C5297" s="374"/>
      <c r="CV5297" s="376"/>
    </row>
    <row r="5298" spans="1:100">
      <c r="A5298" s="374"/>
      <c r="C5298" s="374"/>
      <c r="CV5298" s="376"/>
    </row>
    <row r="5299" spans="1:100">
      <c r="A5299" s="374"/>
      <c r="C5299" s="374"/>
      <c r="CV5299" s="376"/>
    </row>
    <row r="5300" spans="1:100">
      <c r="A5300" s="374"/>
      <c r="C5300" s="374"/>
      <c r="CV5300" s="376"/>
    </row>
    <row r="5301" spans="1:100">
      <c r="A5301" s="374"/>
      <c r="C5301" s="374"/>
      <c r="CV5301" s="376"/>
    </row>
    <row r="5302" spans="1:100">
      <c r="A5302" s="374"/>
      <c r="C5302" s="374"/>
      <c r="CV5302" s="376"/>
    </row>
    <row r="5303" spans="1:100">
      <c r="A5303" s="374"/>
      <c r="C5303" s="374"/>
      <c r="CV5303" s="376"/>
    </row>
    <row r="5304" spans="1:100">
      <c r="A5304" s="374"/>
      <c r="C5304" s="374"/>
      <c r="CV5304" s="376"/>
    </row>
    <row r="5305" spans="1:100">
      <c r="A5305" s="374"/>
      <c r="C5305" s="374"/>
      <c r="CV5305" s="376"/>
    </row>
    <row r="5306" spans="1:100">
      <c r="A5306" s="374"/>
      <c r="C5306" s="374"/>
      <c r="CV5306" s="376"/>
    </row>
    <row r="5307" spans="1:100">
      <c r="A5307" s="374"/>
      <c r="C5307" s="374"/>
      <c r="CV5307" s="376"/>
    </row>
    <row r="5308" spans="1:100">
      <c r="A5308" s="374"/>
      <c r="C5308" s="374"/>
      <c r="CV5308" s="376"/>
    </row>
    <row r="5309" spans="1:100">
      <c r="A5309" s="374"/>
      <c r="C5309" s="374"/>
      <c r="CV5309" s="376"/>
    </row>
    <row r="5310" spans="1:100">
      <c r="A5310" s="374"/>
      <c r="C5310" s="374"/>
      <c r="CV5310" s="376"/>
    </row>
    <row r="5311" spans="1:100">
      <c r="A5311" s="374"/>
      <c r="C5311" s="374"/>
      <c r="CV5311" s="376"/>
    </row>
    <row r="5312" spans="1:100">
      <c r="A5312" s="374"/>
      <c r="C5312" s="374"/>
      <c r="CV5312" s="376"/>
    </row>
    <row r="5313" spans="1:100">
      <c r="A5313" s="374"/>
      <c r="C5313" s="374"/>
      <c r="CV5313" s="376"/>
    </row>
    <row r="5314" spans="1:100">
      <c r="A5314" s="374"/>
      <c r="C5314" s="374"/>
      <c r="CV5314" s="376"/>
    </row>
    <row r="5315" spans="1:100">
      <c r="A5315" s="374"/>
      <c r="C5315" s="374"/>
      <c r="CV5315" s="376"/>
    </row>
    <row r="5316" spans="1:100">
      <c r="A5316" s="374"/>
      <c r="C5316" s="374"/>
      <c r="CV5316" s="376"/>
    </row>
    <row r="5317" spans="1:100">
      <c r="A5317" s="374"/>
      <c r="C5317" s="374"/>
      <c r="CV5317" s="376"/>
    </row>
    <row r="5318" spans="1:100">
      <c r="A5318" s="374"/>
      <c r="C5318" s="374"/>
      <c r="CV5318" s="376"/>
    </row>
    <row r="5319" spans="1:100">
      <c r="A5319" s="374"/>
      <c r="C5319" s="374"/>
      <c r="CV5319" s="376"/>
    </row>
    <row r="5320" spans="1:100">
      <c r="A5320" s="374"/>
      <c r="C5320" s="374"/>
      <c r="CV5320" s="376"/>
    </row>
    <row r="5321" spans="1:100">
      <c r="A5321" s="374"/>
      <c r="C5321" s="374"/>
      <c r="CV5321" s="376"/>
    </row>
    <row r="5322" spans="1:100">
      <c r="A5322" s="374"/>
      <c r="C5322" s="374"/>
      <c r="CV5322" s="376"/>
    </row>
    <row r="5323" spans="1:100">
      <c r="A5323" s="374"/>
      <c r="C5323" s="374"/>
      <c r="CV5323" s="376"/>
    </row>
    <row r="5324" spans="1:100">
      <c r="A5324" s="374"/>
      <c r="C5324" s="374"/>
      <c r="CV5324" s="376"/>
    </row>
    <row r="5325" spans="1:100">
      <c r="A5325" s="374"/>
      <c r="C5325" s="374"/>
      <c r="CV5325" s="376"/>
    </row>
    <row r="5326" spans="1:100">
      <c r="A5326" s="374"/>
      <c r="C5326" s="374"/>
      <c r="CV5326" s="376"/>
    </row>
    <row r="5327" spans="1:100">
      <c r="A5327" s="374"/>
      <c r="C5327" s="374"/>
      <c r="CV5327" s="376"/>
    </row>
    <row r="5328" spans="1:100">
      <c r="A5328" s="374"/>
      <c r="C5328" s="374"/>
      <c r="CV5328" s="376"/>
    </row>
    <row r="5329" spans="1:100">
      <c r="A5329" s="374"/>
      <c r="C5329" s="374"/>
      <c r="CV5329" s="376"/>
    </row>
    <row r="5330" spans="1:100">
      <c r="A5330" s="374"/>
      <c r="C5330" s="374"/>
      <c r="CV5330" s="376"/>
    </row>
    <row r="5331" spans="1:100">
      <c r="A5331" s="374"/>
      <c r="C5331" s="374"/>
      <c r="CV5331" s="376"/>
    </row>
    <row r="5332" spans="1:100">
      <c r="A5332" s="374"/>
      <c r="C5332" s="374"/>
      <c r="CV5332" s="376"/>
    </row>
    <row r="5333" spans="1:100">
      <c r="A5333" s="374"/>
      <c r="C5333" s="374"/>
      <c r="CV5333" s="376"/>
    </row>
    <row r="5334" spans="1:100">
      <c r="A5334" s="374"/>
      <c r="C5334" s="374"/>
      <c r="CV5334" s="376"/>
    </row>
    <row r="5335" spans="1:100">
      <c r="A5335" s="374"/>
      <c r="C5335" s="374"/>
      <c r="CV5335" s="376"/>
    </row>
    <row r="5336" spans="1:100">
      <c r="A5336" s="374"/>
      <c r="C5336" s="374"/>
      <c r="CV5336" s="376"/>
    </row>
    <row r="5337" spans="1:100">
      <c r="A5337" s="374"/>
      <c r="C5337" s="374"/>
      <c r="CV5337" s="376"/>
    </row>
    <row r="5338" spans="1:100">
      <c r="A5338" s="374"/>
      <c r="C5338" s="374"/>
      <c r="CV5338" s="376"/>
    </row>
    <row r="5339" spans="1:100">
      <c r="A5339" s="374"/>
      <c r="C5339" s="374"/>
      <c r="CV5339" s="376"/>
    </row>
    <row r="5340" spans="1:100">
      <c r="A5340" s="374"/>
      <c r="C5340" s="374"/>
      <c r="CV5340" s="376"/>
    </row>
    <row r="5341" spans="1:100">
      <c r="A5341" s="374"/>
      <c r="C5341" s="374"/>
      <c r="CV5341" s="376"/>
    </row>
    <row r="5342" spans="1:100">
      <c r="A5342" s="374"/>
      <c r="C5342" s="374"/>
      <c r="CV5342" s="376"/>
    </row>
    <row r="5343" spans="1:100">
      <c r="A5343" s="374"/>
      <c r="C5343" s="374"/>
      <c r="CV5343" s="376"/>
    </row>
    <row r="5344" spans="1:100">
      <c r="A5344" s="374"/>
      <c r="C5344" s="374"/>
      <c r="CV5344" s="376"/>
    </row>
    <row r="5345" spans="1:100">
      <c r="A5345" s="374"/>
      <c r="C5345" s="374"/>
      <c r="CV5345" s="376"/>
    </row>
    <row r="5346" spans="1:100">
      <c r="A5346" s="374"/>
      <c r="C5346" s="374"/>
      <c r="CV5346" s="376"/>
    </row>
    <row r="5347" spans="1:100">
      <c r="A5347" s="374"/>
      <c r="C5347" s="374"/>
      <c r="CV5347" s="376"/>
    </row>
    <row r="5348" spans="1:100">
      <c r="A5348" s="374"/>
      <c r="C5348" s="374"/>
      <c r="CV5348" s="376"/>
    </row>
    <row r="5349" spans="1:100">
      <c r="A5349" s="374"/>
      <c r="C5349" s="374"/>
      <c r="CV5349" s="376"/>
    </row>
    <row r="5350" spans="1:100">
      <c r="A5350" s="374"/>
      <c r="C5350" s="374"/>
      <c r="CV5350" s="376"/>
    </row>
    <row r="5351" spans="1:100">
      <c r="A5351" s="374"/>
      <c r="C5351" s="374"/>
      <c r="CV5351" s="376"/>
    </row>
    <row r="5352" spans="1:100">
      <c r="A5352" s="374"/>
      <c r="C5352" s="374"/>
      <c r="CV5352" s="376"/>
    </row>
    <row r="5353" spans="1:100">
      <c r="A5353" s="374"/>
      <c r="C5353" s="374"/>
      <c r="CV5353" s="376"/>
    </row>
    <row r="5354" spans="1:100">
      <c r="A5354" s="374"/>
      <c r="C5354" s="374"/>
      <c r="CV5354" s="376"/>
    </row>
    <row r="5355" spans="1:100">
      <c r="A5355" s="374"/>
      <c r="C5355" s="374"/>
      <c r="CV5355" s="376"/>
    </row>
    <row r="5356" spans="1:100">
      <c r="A5356" s="374"/>
      <c r="C5356" s="374"/>
      <c r="CV5356" s="376"/>
    </row>
    <row r="5357" spans="1:100">
      <c r="A5357" s="374"/>
      <c r="C5357" s="374"/>
      <c r="CV5357" s="376"/>
    </row>
    <row r="5358" spans="1:100">
      <c r="A5358" s="374"/>
      <c r="C5358" s="374"/>
      <c r="CV5358" s="376"/>
    </row>
    <row r="5359" spans="1:100">
      <c r="A5359" s="374"/>
      <c r="C5359" s="374"/>
      <c r="CV5359" s="376"/>
    </row>
    <row r="5360" spans="1:100">
      <c r="A5360" s="374"/>
      <c r="C5360" s="374"/>
      <c r="CV5360" s="376"/>
    </row>
    <row r="5361" spans="1:100">
      <c r="A5361" s="374"/>
      <c r="C5361" s="374"/>
      <c r="CV5361" s="376"/>
    </row>
    <row r="5362" spans="1:100">
      <c r="A5362" s="374"/>
      <c r="C5362" s="374"/>
      <c r="CV5362" s="376"/>
    </row>
    <row r="5363" spans="1:100">
      <c r="A5363" s="374"/>
      <c r="C5363" s="374"/>
      <c r="CV5363" s="376"/>
    </row>
    <row r="5364" spans="1:100">
      <c r="A5364" s="374"/>
      <c r="C5364" s="374"/>
      <c r="CV5364" s="376"/>
    </row>
    <row r="5365" spans="1:100">
      <c r="A5365" s="374"/>
      <c r="C5365" s="374"/>
      <c r="CV5365" s="376"/>
    </row>
    <row r="5366" spans="1:100">
      <c r="A5366" s="374"/>
      <c r="C5366" s="374"/>
      <c r="CV5366" s="376"/>
    </row>
    <row r="5367" spans="1:100">
      <c r="A5367" s="374"/>
      <c r="C5367" s="374"/>
      <c r="CV5367" s="376"/>
    </row>
    <row r="5368" spans="1:100">
      <c r="A5368" s="374"/>
      <c r="C5368" s="374"/>
      <c r="CV5368" s="376"/>
    </row>
    <row r="5369" spans="1:100">
      <c r="A5369" s="374"/>
      <c r="C5369" s="374"/>
      <c r="CV5369" s="376"/>
    </row>
    <row r="5370" spans="1:100">
      <c r="A5370" s="374"/>
      <c r="C5370" s="374"/>
      <c r="CV5370" s="376"/>
    </row>
    <row r="5371" spans="1:100">
      <c r="A5371" s="374"/>
      <c r="C5371" s="374"/>
      <c r="CV5371" s="376"/>
    </row>
    <row r="5372" spans="1:100">
      <c r="A5372" s="374"/>
      <c r="C5372" s="374"/>
      <c r="CV5372" s="376"/>
    </row>
    <row r="5373" spans="1:100">
      <c r="A5373" s="374"/>
      <c r="C5373" s="374"/>
      <c r="CV5373" s="376"/>
    </row>
    <row r="5374" spans="1:100">
      <c r="A5374" s="374"/>
      <c r="C5374" s="374"/>
      <c r="CV5374" s="376"/>
    </row>
    <row r="5375" spans="1:100">
      <c r="A5375" s="374"/>
      <c r="C5375" s="374"/>
      <c r="CV5375" s="376"/>
    </row>
    <row r="5376" spans="1:100">
      <c r="A5376" s="374"/>
      <c r="C5376" s="374"/>
      <c r="CV5376" s="376"/>
    </row>
    <row r="5377" spans="1:100">
      <c r="A5377" s="374"/>
      <c r="C5377" s="374"/>
      <c r="CV5377" s="376"/>
    </row>
    <row r="5378" spans="1:100">
      <c r="A5378" s="374"/>
      <c r="C5378" s="374"/>
      <c r="CV5378" s="376"/>
    </row>
    <row r="5379" spans="1:100">
      <c r="A5379" s="374"/>
      <c r="C5379" s="374"/>
      <c r="CV5379" s="376"/>
    </row>
    <row r="5380" spans="1:100">
      <c r="A5380" s="374"/>
      <c r="C5380" s="374"/>
      <c r="CV5380" s="376"/>
    </row>
    <row r="5381" spans="1:100">
      <c r="A5381" s="374"/>
      <c r="C5381" s="374"/>
      <c r="CV5381" s="376"/>
    </row>
    <row r="5382" spans="1:100">
      <c r="A5382" s="374"/>
      <c r="C5382" s="374"/>
      <c r="CV5382" s="376"/>
    </row>
    <row r="5383" spans="1:100">
      <c r="A5383" s="374"/>
      <c r="C5383" s="374"/>
      <c r="CV5383" s="376"/>
    </row>
    <row r="5384" spans="1:100">
      <c r="A5384" s="374"/>
      <c r="C5384" s="374"/>
      <c r="CV5384" s="376"/>
    </row>
    <row r="5385" spans="1:100">
      <c r="A5385" s="374"/>
      <c r="C5385" s="374"/>
      <c r="CV5385" s="376"/>
    </row>
    <row r="5386" spans="1:100">
      <c r="A5386" s="374"/>
      <c r="C5386" s="374"/>
      <c r="CV5386" s="376"/>
    </row>
    <row r="5387" spans="1:100">
      <c r="A5387" s="374"/>
      <c r="C5387" s="374"/>
      <c r="CV5387" s="376"/>
    </row>
    <row r="5388" spans="1:100">
      <c r="A5388" s="374"/>
      <c r="C5388" s="374"/>
      <c r="CV5388" s="376"/>
    </row>
    <row r="5389" spans="1:100">
      <c r="A5389" s="374"/>
      <c r="C5389" s="374"/>
      <c r="CV5389" s="376"/>
    </row>
    <row r="5390" spans="1:100">
      <c r="A5390" s="374"/>
      <c r="C5390" s="374"/>
      <c r="CV5390" s="376"/>
    </row>
    <row r="5391" spans="1:100">
      <c r="A5391" s="374"/>
      <c r="C5391" s="374"/>
      <c r="CV5391" s="376"/>
    </row>
    <row r="5392" spans="1:100">
      <c r="A5392" s="374"/>
      <c r="C5392" s="374"/>
      <c r="CV5392" s="376"/>
    </row>
    <row r="5393" spans="1:100">
      <c r="A5393" s="374"/>
      <c r="C5393" s="374"/>
      <c r="CV5393" s="376"/>
    </row>
    <row r="5394" spans="1:100">
      <c r="A5394" s="374"/>
      <c r="C5394" s="374"/>
      <c r="CV5394" s="376"/>
    </row>
    <row r="5395" spans="1:100">
      <c r="A5395" s="374"/>
      <c r="C5395" s="374"/>
      <c r="CV5395" s="376"/>
    </row>
    <row r="5396" spans="1:100">
      <c r="A5396" s="374"/>
      <c r="C5396" s="374"/>
      <c r="CV5396" s="376"/>
    </row>
    <row r="5397" spans="1:100">
      <c r="A5397" s="374"/>
      <c r="C5397" s="374"/>
      <c r="CV5397" s="376"/>
    </row>
    <row r="5398" spans="1:100">
      <c r="A5398" s="374"/>
      <c r="C5398" s="374"/>
      <c r="CV5398" s="376"/>
    </row>
    <row r="5399" spans="1:100">
      <c r="A5399" s="374"/>
      <c r="C5399" s="374"/>
      <c r="CV5399" s="376"/>
    </row>
    <row r="5400" spans="1:100">
      <c r="A5400" s="374"/>
      <c r="C5400" s="374"/>
      <c r="CV5400" s="376"/>
    </row>
    <row r="5401" spans="1:100">
      <c r="A5401" s="374"/>
      <c r="C5401" s="374"/>
      <c r="CV5401" s="376"/>
    </row>
    <row r="5402" spans="1:100">
      <c r="A5402" s="374"/>
      <c r="C5402" s="374"/>
      <c r="CV5402" s="376"/>
    </row>
    <row r="5403" spans="1:100">
      <c r="A5403" s="374"/>
      <c r="C5403" s="374"/>
      <c r="CV5403" s="376"/>
    </row>
    <row r="5404" spans="1:100">
      <c r="A5404" s="374"/>
      <c r="C5404" s="374"/>
      <c r="CV5404" s="376"/>
    </row>
    <row r="5405" spans="1:100">
      <c r="A5405" s="374"/>
      <c r="C5405" s="374"/>
      <c r="CV5405" s="376"/>
    </row>
    <row r="5406" spans="1:100">
      <c r="A5406" s="374"/>
      <c r="C5406" s="374"/>
      <c r="CV5406" s="376"/>
    </row>
    <row r="5407" spans="1:100">
      <c r="A5407" s="374"/>
      <c r="C5407" s="374"/>
      <c r="CV5407" s="376"/>
    </row>
    <row r="5408" spans="1:100">
      <c r="A5408" s="374"/>
      <c r="C5408" s="374"/>
      <c r="CV5408" s="376"/>
    </row>
    <row r="5409" spans="1:100">
      <c r="A5409" s="374"/>
      <c r="C5409" s="374"/>
      <c r="CV5409" s="376"/>
    </row>
    <row r="5410" spans="1:100">
      <c r="A5410" s="374"/>
      <c r="C5410" s="374"/>
      <c r="CV5410" s="376"/>
    </row>
    <row r="5411" spans="1:100">
      <c r="A5411" s="374"/>
      <c r="C5411" s="374"/>
      <c r="CV5411" s="376"/>
    </row>
    <row r="5412" spans="1:100">
      <c r="A5412" s="374"/>
      <c r="C5412" s="374"/>
      <c r="CV5412" s="376"/>
    </row>
    <row r="5413" spans="1:100">
      <c r="A5413" s="374"/>
      <c r="C5413" s="374"/>
      <c r="CV5413" s="376"/>
    </row>
    <row r="5414" spans="1:100">
      <c r="A5414" s="374"/>
      <c r="C5414" s="374"/>
      <c r="CV5414" s="376"/>
    </row>
    <row r="5415" spans="1:100">
      <c r="A5415" s="374"/>
      <c r="C5415" s="374"/>
      <c r="CV5415" s="376"/>
    </row>
    <row r="5416" spans="1:100">
      <c r="A5416" s="374"/>
      <c r="C5416" s="374"/>
      <c r="CV5416" s="376"/>
    </row>
    <row r="5417" spans="1:100">
      <c r="A5417" s="374"/>
      <c r="C5417" s="374"/>
      <c r="CV5417" s="376"/>
    </row>
    <row r="5418" spans="1:100">
      <c r="A5418" s="374"/>
      <c r="C5418" s="374"/>
      <c r="CV5418" s="376"/>
    </row>
    <row r="5419" spans="1:100">
      <c r="A5419" s="374"/>
      <c r="C5419" s="374"/>
      <c r="CV5419" s="376"/>
    </row>
    <row r="5420" spans="1:100">
      <c r="A5420" s="374"/>
      <c r="C5420" s="374"/>
      <c r="CV5420" s="376"/>
    </row>
    <row r="5421" spans="1:100">
      <c r="A5421" s="374"/>
      <c r="C5421" s="374"/>
      <c r="CV5421" s="376"/>
    </row>
    <row r="5422" spans="1:100">
      <c r="A5422" s="374"/>
      <c r="C5422" s="374"/>
      <c r="CV5422" s="376"/>
    </row>
    <row r="5423" spans="1:100">
      <c r="A5423" s="374"/>
      <c r="C5423" s="374"/>
      <c r="CV5423" s="376"/>
    </row>
    <row r="5424" spans="1:100">
      <c r="A5424" s="374"/>
      <c r="C5424" s="374"/>
      <c r="CV5424" s="376"/>
    </row>
    <row r="5425" spans="1:100">
      <c r="A5425" s="374"/>
      <c r="C5425" s="374"/>
      <c r="CV5425" s="376"/>
    </row>
    <row r="5426" spans="1:100">
      <c r="A5426" s="374"/>
      <c r="C5426" s="374"/>
      <c r="CV5426" s="376"/>
    </row>
    <row r="5427" spans="1:100">
      <c r="A5427" s="374"/>
      <c r="C5427" s="374"/>
      <c r="CV5427" s="376"/>
    </row>
    <row r="5428" spans="1:100">
      <c r="A5428" s="374"/>
      <c r="C5428" s="374"/>
      <c r="CV5428" s="376"/>
    </row>
    <row r="5429" spans="1:100">
      <c r="A5429" s="374"/>
      <c r="C5429" s="374"/>
      <c r="CV5429" s="376"/>
    </row>
    <row r="5430" spans="1:100">
      <c r="A5430" s="374"/>
      <c r="C5430" s="374"/>
      <c r="CV5430" s="376"/>
    </row>
    <row r="5431" spans="1:100">
      <c r="A5431" s="374"/>
      <c r="C5431" s="374"/>
      <c r="CV5431" s="376"/>
    </row>
    <row r="5432" spans="1:100">
      <c r="A5432" s="374"/>
      <c r="C5432" s="374"/>
      <c r="CV5432" s="376"/>
    </row>
    <row r="5433" spans="1:100">
      <c r="A5433" s="374"/>
      <c r="C5433" s="374"/>
      <c r="CV5433" s="376"/>
    </row>
    <row r="5434" spans="1:100">
      <c r="A5434" s="374"/>
      <c r="C5434" s="374"/>
      <c r="CV5434" s="376"/>
    </row>
    <row r="5435" spans="1:100">
      <c r="A5435" s="374"/>
      <c r="C5435" s="374"/>
      <c r="CV5435" s="376"/>
    </row>
    <row r="5436" spans="1:100">
      <c r="A5436" s="374"/>
      <c r="C5436" s="374"/>
      <c r="CV5436" s="376"/>
    </row>
    <row r="5437" spans="1:100">
      <c r="A5437" s="374"/>
      <c r="C5437" s="374"/>
      <c r="CV5437" s="376"/>
    </row>
    <row r="5438" spans="1:100">
      <c r="A5438" s="374"/>
      <c r="C5438" s="374"/>
      <c r="CV5438" s="376"/>
    </row>
    <row r="5439" spans="1:100">
      <c r="A5439" s="374"/>
      <c r="C5439" s="374"/>
      <c r="CV5439" s="376"/>
    </row>
    <row r="5440" spans="1:100">
      <c r="A5440" s="374"/>
      <c r="C5440" s="374"/>
      <c r="CV5440" s="376"/>
    </row>
    <row r="5441" spans="1:100">
      <c r="A5441" s="374"/>
      <c r="C5441" s="374"/>
      <c r="CV5441" s="376"/>
    </row>
    <row r="5442" spans="1:100">
      <c r="A5442" s="374"/>
      <c r="C5442" s="374"/>
      <c r="CV5442" s="376"/>
    </row>
    <row r="5443" spans="1:100">
      <c r="A5443" s="374"/>
      <c r="C5443" s="374"/>
      <c r="CV5443" s="376"/>
    </row>
    <row r="5444" spans="1:100">
      <c r="A5444" s="374"/>
      <c r="C5444" s="374"/>
      <c r="CV5444" s="376"/>
    </row>
    <row r="5445" spans="1:100">
      <c r="A5445" s="374"/>
      <c r="C5445" s="374"/>
      <c r="CV5445" s="376"/>
    </row>
    <row r="5446" spans="1:100">
      <c r="A5446" s="374"/>
      <c r="C5446" s="374"/>
      <c r="CV5446" s="376"/>
    </row>
    <row r="5447" spans="1:100">
      <c r="A5447" s="374"/>
      <c r="C5447" s="374"/>
      <c r="CV5447" s="376"/>
    </row>
    <row r="5448" spans="1:100">
      <c r="A5448" s="374"/>
      <c r="C5448" s="374"/>
      <c r="CV5448" s="376"/>
    </row>
    <row r="5449" spans="1:100">
      <c r="A5449" s="374"/>
      <c r="C5449" s="374"/>
      <c r="CV5449" s="376"/>
    </row>
    <row r="5450" spans="1:100">
      <c r="A5450" s="374"/>
      <c r="C5450" s="374"/>
      <c r="CV5450" s="376"/>
    </row>
    <row r="5451" spans="1:100">
      <c r="A5451" s="374"/>
      <c r="C5451" s="374"/>
      <c r="CV5451" s="376"/>
    </row>
    <row r="5452" spans="1:100">
      <c r="A5452" s="374"/>
      <c r="C5452" s="374"/>
      <c r="CV5452" s="376"/>
    </row>
    <row r="5453" spans="1:100">
      <c r="A5453" s="374"/>
      <c r="C5453" s="374"/>
      <c r="CV5453" s="376"/>
    </row>
    <row r="5454" spans="1:100">
      <c r="A5454" s="374"/>
      <c r="C5454" s="374"/>
      <c r="CV5454" s="376"/>
    </row>
    <row r="5455" spans="1:100">
      <c r="A5455" s="374"/>
      <c r="C5455" s="374"/>
      <c r="CV5455" s="376"/>
    </row>
    <row r="5456" spans="1:100">
      <c r="A5456" s="374"/>
      <c r="C5456" s="374"/>
      <c r="CV5456" s="376"/>
    </row>
    <row r="5457" spans="1:100">
      <c r="A5457" s="374"/>
      <c r="C5457" s="374"/>
      <c r="CV5457" s="376"/>
    </row>
    <row r="5458" spans="1:100">
      <c r="A5458" s="374"/>
      <c r="C5458" s="374"/>
      <c r="CV5458" s="376"/>
    </row>
    <row r="5459" spans="1:100">
      <c r="A5459" s="374"/>
      <c r="C5459" s="374"/>
      <c r="CV5459" s="376"/>
    </row>
    <row r="5460" spans="1:100">
      <c r="A5460" s="374"/>
      <c r="C5460" s="374"/>
      <c r="CV5460" s="376"/>
    </row>
    <row r="5461" spans="1:100">
      <c r="A5461" s="374"/>
      <c r="C5461" s="374"/>
      <c r="CV5461" s="376"/>
    </row>
    <row r="5462" spans="1:100">
      <c r="A5462" s="374"/>
      <c r="C5462" s="374"/>
      <c r="CV5462" s="376"/>
    </row>
    <row r="5463" spans="1:100">
      <c r="A5463" s="374"/>
      <c r="C5463" s="374"/>
      <c r="CV5463" s="376"/>
    </row>
    <row r="5464" spans="1:100">
      <c r="A5464" s="374"/>
      <c r="C5464" s="374"/>
      <c r="CV5464" s="376"/>
    </row>
    <row r="5465" spans="1:100">
      <c r="A5465" s="374"/>
      <c r="C5465" s="374"/>
      <c r="CV5465" s="376"/>
    </row>
    <row r="5466" spans="1:100">
      <c r="A5466" s="374"/>
      <c r="C5466" s="374"/>
      <c r="CV5466" s="376"/>
    </row>
    <row r="5467" spans="1:100">
      <c r="A5467" s="374"/>
      <c r="C5467" s="374"/>
      <c r="CV5467" s="376"/>
    </row>
    <row r="5468" spans="1:100">
      <c r="A5468" s="374"/>
      <c r="C5468" s="374"/>
      <c r="CV5468" s="376"/>
    </row>
    <row r="5469" spans="1:100">
      <c r="A5469" s="374"/>
      <c r="C5469" s="374"/>
      <c r="CV5469" s="376"/>
    </row>
    <row r="5470" spans="1:100">
      <c r="A5470" s="374"/>
      <c r="C5470" s="374"/>
      <c r="CV5470" s="376"/>
    </row>
    <row r="5471" spans="1:100">
      <c r="A5471" s="374"/>
      <c r="C5471" s="374"/>
      <c r="CV5471" s="376"/>
    </row>
    <row r="5472" spans="1:100">
      <c r="A5472" s="374"/>
      <c r="C5472" s="374"/>
      <c r="CV5472" s="376"/>
    </row>
    <row r="5473" spans="1:100">
      <c r="A5473" s="374"/>
      <c r="C5473" s="374"/>
      <c r="CV5473" s="376"/>
    </row>
    <row r="5474" spans="1:100">
      <c r="A5474" s="374"/>
      <c r="C5474" s="374"/>
      <c r="CV5474" s="376"/>
    </row>
    <row r="5475" spans="1:100">
      <c r="A5475" s="374"/>
      <c r="C5475" s="374"/>
      <c r="CV5475" s="376"/>
    </row>
    <row r="5476" spans="1:100">
      <c r="A5476" s="374"/>
      <c r="C5476" s="374"/>
      <c r="CV5476" s="376"/>
    </row>
    <row r="5477" spans="1:100">
      <c r="A5477" s="374"/>
      <c r="C5477" s="374"/>
      <c r="CV5477" s="376"/>
    </row>
    <row r="5478" spans="1:100">
      <c r="A5478" s="374"/>
      <c r="C5478" s="374"/>
      <c r="CV5478" s="376"/>
    </row>
    <row r="5479" spans="1:100">
      <c r="A5479" s="374"/>
      <c r="C5479" s="374"/>
      <c r="CV5479" s="376"/>
    </row>
    <row r="5480" spans="1:100">
      <c r="A5480" s="374"/>
      <c r="C5480" s="374"/>
      <c r="CV5480" s="376"/>
    </row>
    <row r="5481" spans="1:100">
      <c r="A5481" s="374"/>
      <c r="C5481" s="374"/>
      <c r="CV5481" s="376"/>
    </row>
    <row r="5482" spans="1:100">
      <c r="A5482" s="374"/>
      <c r="C5482" s="374"/>
      <c r="CV5482" s="376"/>
    </row>
    <row r="5483" spans="1:100">
      <c r="A5483" s="374"/>
      <c r="C5483" s="374"/>
      <c r="CV5483" s="376"/>
    </row>
    <row r="5484" spans="1:100">
      <c r="A5484" s="374"/>
      <c r="C5484" s="374"/>
      <c r="CV5484" s="376"/>
    </row>
    <row r="5485" spans="1:100">
      <c r="A5485" s="374"/>
      <c r="C5485" s="374"/>
      <c r="CV5485" s="376"/>
    </row>
    <row r="5486" spans="1:100">
      <c r="A5486" s="374"/>
      <c r="C5486" s="374"/>
      <c r="CV5486" s="376"/>
    </row>
    <row r="5487" spans="1:100">
      <c r="A5487" s="374"/>
      <c r="C5487" s="374"/>
      <c r="CV5487" s="376"/>
    </row>
    <row r="5488" spans="1:100">
      <c r="A5488" s="374"/>
      <c r="C5488" s="374"/>
      <c r="CV5488" s="376"/>
    </row>
    <row r="5489" spans="1:100">
      <c r="A5489" s="374"/>
      <c r="C5489" s="374"/>
      <c r="CV5489" s="376"/>
    </row>
    <row r="5490" spans="1:100">
      <c r="A5490" s="374"/>
      <c r="C5490" s="374"/>
      <c r="CV5490" s="376"/>
    </row>
    <row r="5491" spans="1:100">
      <c r="A5491" s="374"/>
      <c r="C5491" s="374"/>
      <c r="CV5491" s="376"/>
    </row>
    <row r="5492" spans="1:100">
      <c r="A5492" s="374"/>
      <c r="C5492" s="374"/>
      <c r="CV5492" s="376"/>
    </row>
    <row r="5493" spans="1:100">
      <c r="A5493" s="374"/>
      <c r="C5493" s="374"/>
      <c r="CV5493" s="376"/>
    </row>
    <row r="5494" spans="1:100">
      <c r="A5494" s="374"/>
      <c r="C5494" s="374"/>
      <c r="CV5494" s="376"/>
    </row>
    <row r="5495" spans="1:100">
      <c r="A5495" s="374"/>
      <c r="C5495" s="374"/>
      <c r="CV5495" s="376"/>
    </row>
    <row r="5496" spans="1:100">
      <c r="A5496" s="374"/>
      <c r="C5496" s="374"/>
      <c r="CV5496" s="376"/>
    </row>
    <row r="5497" spans="1:100">
      <c r="A5497" s="374"/>
      <c r="C5497" s="374"/>
      <c r="CV5497" s="376"/>
    </row>
    <row r="5498" spans="1:100">
      <c r="A5498" s="374"/>
      <c r="C5498" s="374"/>
      <c r="CV5498" s="376"/>
    </row>
    <row r="5499" spans="1:100">
      <c r="A5499" s="374"/>
      <c r="C5499" s="374"/>
      <c r="CV5499" s="376"/>
    </row>
    <row r="5500" spans="1:100">
      <c r="A5500" s="374"/>
      <c r="C5500" s="374"/>
      <c r="CV5500" s="376"/>
    </row>
    <row r="5501" spans="1:100">
      <c r="A5501" s="374"/>
      <c r="C5501" s="374"/>
      <c r="CV5501" s="376"/>
    </row>
    <row r="5502" spans="1:100">
      <c r="A5502" s="374"/>
      <c r="C5502" s="374"/>
      <c r="CV5502" s="376"/>
    </row>
    <row r="5503" spans="1:100">
      <c r="A5503" s="374"/>
      <c r="C5503" s="374"/>
      <c r="CV5503" s="376"/>
    </row>
    <row r="5504" spans="1:100">
      <c r="A5504" s="374"/>
      <c r="C5504" s="374"/>
      <c r="CV5504" s="376"/>
    </row>
    <row r="5505" spans="1:100">
      <c r="A5505" s="374"/>
      <c r="C5505" s="374"/>
      <c r="CV5505" s="376"/>
    </row>
    <row r="5506" spans="1:100">
      <c r="A5506" s="374"/>
      <c r="C5506" s="374"/>
      <c r="CV5506" s="376"/>
    </row>
    <row r="5507" spans="1:100">
      <c r="A5507" s="374"/>
      <c r="C5507" s="374"/>
      <c r="CV5507" s="376"/>
    </row>
    <row r="5508" spans="1:100">
      <c r="A5508" s="374"/>
      <c r="C5508" s="374"/>
      <c r="CV5508" s="376"/>
    </row>
    <row r="5509" spans="1:100">
      <c r="A5509" s="374"/>
      <c r="C5509" s="374"/>
      <c r="CV5509" s="376"/>
    </row>
    <row r="5510" spans="1:100">
      <c r="A5510" s="374"/>
      <c r="C5510" s="374"/>
      <c r="CV5510" s="376"/>
    </row>
    <row r="5511" spans="1:100">
      <c r="A5511" s="374"/>
      <c r="C5511" s="374"/>
      <c r="CV5511" s="376"/>
    </row>
    <row r="5512" spans="1:100">
      <c r="A5512" s="374"/>
      <c r="C5512" s="374"/>
      <c r="CV5512" s="376"/>
    </row>
    <row r="5513" spans="1:100">
      <c r="A5513" s="374"/>
      <c r="C5513" s="374"/>
      <c r="CV5513" s="376"/>
    </row>
    <row r="5514" spans="1:100">
      <c r="A5514" s="374"/>
      <c r="C5514" s="374"/>
      <c r="CV5514" s="376"/>
    </row>
    <row r="5515" spans="1:100">
      <c r="A5515" s="374"/>
      <c r="C5515" s="374"/>
      <c r="CV5515" s="376"/>
    </row>
    <row r="5516" spans="1:100">
      <c r="A5516" s="374"/>
      <c r="C5516" s="374"/>
      <c r="CV5516" s="376"/>
    </row>
    <row r="5517" spans="1:100">
      <c r="A5517" s="374"/>
      <c r="C5517" s="374"/>
      <c r="CV5517" s="376"/>
    </row>
    <row r="5518" spans="1:100">
      <c r="A5518" s="374"/>
      <c r="C5518" s="374"/>
      <c r="CV5518" s="376"/>
    </row>
    <row r="5519" spans="1:100">
      <c r="A5519" s="374"/>
      <c r="C5519" s="374"/>
      <c r="CV5519" s="376"/>
    </row>
    <row r="5520" spans="1:100">
      <c r="A5520" s="374"/>
      <c r="C5520" s="374"/>
      <c r="CV5520" s="376"/>
    </row>
    <row r="5521" spans="1:100">
      <c r="A5521" s="374"/>
      <c r="C5521" s="374"/>
      <c r="CV5521" s="376"/>
    </row>
    <row r="5522" spans="1:100">
      <c r="A5522" s="374"/>
      <c r="C5522" s="374"/>
      <c r="CV5522" s="376"/>
    </row>
    <row r="5523" spans="1:100">
      <c r="A5523" s="374"/>
      <c r="C5523" s="374"/>
      <c r="CV5523" s="376"/>
    </row>
    <row r="5524" spans="1:100">
      <c r="A5524" s="374"/>
      <c r="C5524" s="374"/>
      <c r="CV5524" s="376"/>
    </row>
    <row r="5525" spans="1:100">
      <c r="A5525" s="374"/>
      <c r="C5525" s="374"/>
      <c r="CV5525" s="376"/>
    </row>
    <row r="5526" spans="1:100">
      <c r="A5526" s="374"/>
      <c r="C5526" s="374"/>
      <c r="CV5526" s="376"/>
    </row>
    <row r="5527" spans="1:100">
      <c r="A5527" s="374"/>
      <c r="C5527" s="374"/>
      <c r="CV5527" s="376"/>
    </row>
    <row r="5528" spans="1:100">
      <c r="A5528" s="374"/>
      <c r="C5528" s="374"/>
      <c r="CV5528" s="376"/>
    </row>
    <row r="5529" spans="1:100">
      <c r="A5529" s="374"/>
      <c r="C5529" s="374"/>
      <c r="CV5529" s="376"/>
    </row>
    <row r="5530" spans="1:100">
      <c r="A5530" s="374"/>
      <c r="C5530" s="374"/>
      <c r="CV5530" s="376"/>
    </row>
    <row r="5531" spans="1:100">
      <c r="A5531" s="374"/>
      <c r="C5531" s="374"/>
      <c r="CV5531" s="376"/>
    </row>
    <row r="5532" spans="1:100">
      <c r="A5532" s="374"/>
      <c r="C5532" s="374"/>
      <c r="CV5532" s="376"/>
    </row>
    <row r="5533" spans="1:100">
      <c r="A5533" s="374"/>
      <c r="C5533" s="374"/>
      <c r="CV5533" s="376"/>
    </row>
    <row r="5534" spans="1:100">
      <c r="A5534" s="374"/>
      <c r="C5534" s="374"/>
      <c r="CV5534" s="376"/>
    </row>
    <row r="5535" spans="1:100">
      <c r="A5535" s="374"/>
      <c r="C5535" s="374"/>
      <c r="CV5535" s="376"/>
    </row>
    <row r="5536" spans="1:100">
      <c r="A5536" s="374"/>
      <c r="C5536" s="374"/>
      <c r="CV5536" s="376"/>
    </row>
    <row r="5537" spans="1:100">
      <c r="A5537" s="374"/>
      <c r="C5537" s="374"/>
      <c r="CV5537" s="376"/>
    </row>
    <row r="5538" spans="1:100">
      <c r="A5538" s="374"/>
      <c r="C5538" s="374"/>
      <c r="CV5538" s="376"/>
    </row>
    <row r="5539" spans="1:100">
      <c r="A5539" s="374"/>
      <c r="C5539" s="374"/>
      <c r="CV5539" s="376"/>
    </row>
    <row r="5540" spans="1:100">
      <c r="A5540" s="374"/>
      <c r="C5540" s="374"/>
      <c r="CV5540" s="376"/>
    </row>
    <row r="5541" spans="1:100">
      <c r="A5541" s="374"/>
      <c r="C5541" s="374"/>
      <c r="CV5541" s="376"/>
    </row>
    <row r="5542" spans="1:100">
      <c r="A5542" s="374"/>
      <c r="C5542" s="374"/>
      <c r="CV5542" s="376"/>
    </row>
    <row r="5543" spans="1:100">
      <c r="A5543" s="374"/>
      <c r="C5543" s="374"/>
      <c r="CV5543" s="376"/>
    </row>
    <row r="5544" spans="1:100">
      <c r="A5544" s="374"/>
      <c r="C5544" s="374"/>
      <c r="CV5544" s="376"/>
    </row>
    <row r="5545" spans="1:100">
      <c r="A5545" s="374"/>
      <c r="C5545" s="374"/>
      <c r="CV5545" s="376"/>
    </row>
    <row r="5546" spans="1:100">
      <c r="A5546" s="374"/>
      <c r="C5546" s="374"/>
      <c r="CV5546" s="376"/>
    </row>
    <row r="5547" spans="1:100">
      <c r="A5547" s="374"/>
      <c r="C5547" s="374"/>
      <c r="CV5547" s="376"/>
    </row>
    <row r="5548" spans="1:100">
      <c r="A5548" s="374"/>
      <c r="C5548" s="374"/>
      <c r="CV5548" s="376"/>
    </row>
    <row r="5549" spans="1:100">
      <c r="A5549" s="374"/>
      <c r="C5549" s="374"/>
      <c r="CV5549" s="376"/>
    </row>
    <row r="5550" spans="1:100">
      <c r="A5550" s="374"/>
      <c r="C5550" s="374"/>
      <c r="CV5550" s="376"/>
    </row>
    <row r="5551" spans="1:100">
      <c r="A5551" s="374"/>
      <c r="C5551" s="374"/>
      <c r="CV5551" s="376"/>
    </row>
    <row r="5552" spans="1:100">
      <c r="A5552" s="374"/>
      <c r="C5552" s="374"/>
      <c r="CV5552" s="376"/>
    </row>
    <row r="5553" spans="1:100">
      <c r="A5553" s="374"/>
      <c r="C5553" s="374"/>
      <c r="CV5553" s="376"/>
    </row>
    <row r="5554" spans="1:100">
      <c r="A5554" s="374"/>
      <c r="C5554" s="374"/>
      <c r="CV5554" s="376"/>
    </row>
    <row r="5555" spans="1:100">
      <c r="A5555" s="374"/>
      <c r="C5555" s="374"/>
      <c r="CV5555" s="376"/>
    </row>
    <row r="5556" spans="1:100">
      <c r="A5556" s="374"/>
      <c r="C5556" s="374"/>
      <c r="CV5556" s="376"/>
    </row>
    <row r="5557" spans="1:100">
      <c r="A5557" s="374"/>
      <c r="C5557" s="374"/>
      <c r="CV5557" s="376"/>
    </row>
    <row r="5558" spans="1:100">
      <c r="A5558" s="374"/>
      <c r="C5558" s="374"/>
      <c r="CV5558" s="376"/>
    </row>
    <row r="5559" spans="1:100">
      <c r="A5559" s="374"/>
      <c r="C5559" s="374"/>
      <c r="CV5559" s="376"/>
    </row>
    <row r="5560" spans="1:100">
      <c r="A5560" s="374"/>
      <c r="C5560" s="374"/>
      <c r="CV5560" s="376"/>
    </row>
    <row r="5561" spans="1:100">
      <c r="A5561" s="374"/>
      <c r="C5561" s="374"/>
      <c r="CV5561" s="376"/>
    </row>
    <row r="5562" spans="1:100">
      <c r="A5562" s="374"/>
      <c r="C5562" s="374"/>
      <c r="CV5562" s="376"/>
    </row>
    <row r="5563" spans="1:100">
      <c r="A5563" s="374"/>
      <c r="C5563" s="374"/>
      <c r="CV5563" s="376"/>
    </row>
    <row r="5564" spans="1:100">
      <c r="A5564" s="374"/>
      <c r="C5564" s="374"/>
      <c r="CV5564" s="376"/>
    </row>
    <row r="5565" spans="1:100">
      <c r="A5565" s="374"/>
      <c r="C5565" s="374"/>
      <c r="CV5565" s="376"/>
    </row>
    <row r="5566" spans="1:100">
      <c r="A5566" s="374"/>
      <c r="C5566" s="374"/>
      <c r="CV5566" s="376"/>
    </row>
    <row r="5567" spans="1:100">
      <c r="A5567" s="374"/>
      <c r="C5567" s="374"/>
      <c r="CV5567" s="376"/>
    </row>
    <row r="5568" spans="1:100">
      <c r="A5568" s="374"/>
      <c r="C5568" s="374"/>
      <c r="CV5568" s="376"/>
    </row>
    <row r="5569" spans="1:100">
      <c r="A5569" s="374"/>
      <c r="C5569" s="374"/>
      <c r="CV5569" s="376"/>
    </row>
    <row r="5570" spans="1:100">
      <c r="A5570" s="374"/>
      <c r="C5570" s="374"/>
      <c r="CV5570" s="376"/>
    </row>
    <row r="5571" spans="1:100">
      <c r="A5571" s="374"/>
      <c r="C5571" s="374"/>
      <c r="CV5571" s="376"/>
    </row>
    <row r="5572" spans="1:100">
      <c r="A5572" s="374"/>
      <c r="C5572" s="374"/>
      <c r="CV5572" s="376"/>
    </row>
    <row r="5573" spans="1:100">
      <c r="A5573" s="374"/>
      <c r="C5573" s="374"/>
      <c r="CV5573" s="376"/>
    </row>
    <row r="5574" spans="1:100">
      <c r="A5574" s="374"/>
      <c r="C5574" s="374"/>
      <c r="CV5574" s="376"/>
    </row>
    <row r="5575" spans="1:100">
      <c r="A5575" s="374"/>
      <c r="C5575" s="374"/>
      <c r="CV5575" s="376"/>
    </row>
    <row r="5576" spans="1:100">
      <c r="A5576" s="374"/>
      <c r="C5576" s="374"/>
      <c r="CV5576" s="376"/>
    </row>
    <row r="5577" spans="1:100">
      <c r="A5577" s="374"/>
      <c r="C5577" s="374"/>
      <c r="CV5577" s="376"/>
    </row>
    <row r="5578" spans="1:100">
      <c r="A5578" s="374"/>
      <c r="C5578" s="374"/>
      <c r="CV5578" s="376"/>
    </row>
    <row r="5579" spans="1:100">
      <c r="A5579" s="374"/>
      <c r="C5579" s="374"/>
      <c r="CV5579" s="376"/>
    </row>
    <row r="5580" spans="1:100">
      <c r="A5580" s="374"/>
      <c r="C5580" s="374"/>
      <c r="CV5580" s="376"/>
    </row>
    <row r="5581" spans="1:100">
      <c r="A5581" s="374"/>
      <c r="C5581" s="374"/>
      <c r="CV5581" s="376"/>
    </row>
    <row r="5582" spans="1:100">
      <c r="A5582" s="374"/>
      <c r="C5582" s="374"/>
      <c r="CV5582" s="376"/>
    </row>
    <row r="5583" spans="1:100">
      <c r="A5583" s="374"/>
      <c r="C5583" s="374"/>
      <c r="CV5583" s="376"/>
    </row>
    <row r="5584" spans="1:100">
      <c r="A5584" s="374"/>
      <c r="C5584" s="374"/>
      <c r="CV5584" s="376"/>
    </row>
    <row r="5585" spans="1:100">
      <c r="A5585" s="374"/>
      <c r="C5585" s="374"/>
      <c r="CV5585" s="376"/>
    </row>
    <row r="5586" spans="1:100">
      <c r="A5586" s="374"/>
      <c r="C5586" s="374"/>
      <c r="CV5586" s="376"/>
    </row>
    <row r="5587" spans="1:100">
      <c r="A5587" s="374"/>
      <c r="C5587" s="374"/>
      <c r="CV5587" s="376"/>
    </row>
    <row r="5588" spans="1:100">
      <c r="A5588" s="374"/>
      <c r="C5588" s="374"/>
      <c r="CV5588" s="376"/>
    </row>
    <row r="5589" spans="1:100">
      <c r="A5589" s="374"/>
      <c r="C5589" s="374"/>
      <c r="CV5589" s="376"/>
    </row>
    <row r="5590" spans="1:100">
      <c r="A5590" s="374"/>
      <c r="C5590" s="374"/>
      <c r="CV5590" s="376"/>
    </row>
    <row r="5591" spans="1:100">
      <c r="A5591" s="374"/>
      <c r="C5591" s="374"/>
      <c r="CV5591" s="376"/>
    </row>
    <row r="5592" spans="1:100">
      <c r="A5592" s="374"/>
      <c r="C5592" s="374"/>
      <c r="CV5592" s="376"/>
    </row>
    <row r="5593" spans="1:100">
      <c r="A5593" s="374"/>
      <c r="C5593" s="374"/>
      <c r="CV5593" s="376"/>
    </row>
    <row r="5594" spans="1:100">
      <c r="A5594" s="374"/>
      <c r="C5594" s="374"/>
      <c r="CV5594" s="376"/>
    </row>
    <row r="5595" spans="1:100">
      <c r="A5595" s="374"/>
      <c r="C5595" s="374"/>
      <c r="CV5595" s="376"/>
    </row>
    <row r="5596" spans="1:100">
      <c r="A5596" s="374"/>
      <c r="C5596" s="374"/>
      <c r="CV5596" s="376"/>
    </row>
    <row r="5597" spans="1:100">
      <c r="A5597" s="374"/>
      <c r="C5597" s="374"/>
      <c r="CV5597" s="376"/>
    </row>
    <row r="5598" spans="1:100">
      <c r="A5598" s="374"/>
      <c r="C5598" s="374"/>
      <c r="CV5598" s="376"/>
    </row>
    <row r="5599" spans="1:100">
      <c r="A5599" s="374"/>
      <c r="C5599" s="374"/>
      <c r="CV5599" s="376"/>
    </row>
    <row r="5600" spans="1:100">
      <c r="A5600" s="374"/>
      <c r="C5600" s="374"/>
      <c r="CV5600" s="376"/>
    </row>
    <row r="5601" spans="1:100">
      <c r="A5601" s="374"/>
      <c r="C5601" s="374"/>
      <c r="CV5601" s="376"/>
    </row>
    <row r="5602" spans="1:100">
      <c r="A5602" s="374"/>
      <c r="C5602" s="374"/>
      <c r="CV5602" s="376"/>
    </row>
    <row r="5603" spans="1:100">
      <c r="A5603" s="374"/>
      <c r="C5603" s="374"/>
      <c r="CV5603" s="376"/>
    </row>
    <row r="5604" spans="1:100">
      <c r="A5604" s="374"/>
      <c r="C5604" s="374"/>
      <c r="CV5604" s="376"/>
    </row>
    <row r="5605" spans="1:100">
      <c r="A5605" s="374"/>
      <c r="C5605" s="374"/>
      <c r="CV5605" s="376"/>
    </row>
    <row r="5606" spans="1:100">
      <c r="A5606" s="374"/>
      <c r="C5606" s="374"/>
      <c r="CV5606" s="376"/>
    </row>
    <row r="5607" spans="1:100">
      <c r="A5607" s="374"/>
      <c r="C5607" s="374"/>
      <c r="CV5607" s="376"/>
    </row>
    <row r="5608" spans="1:100">
      <c r="A5608" s="374"/>
      <c r="C5608" s="374"/>
      <c r="CV5608" s="376"/>
    </row>
    <row r="5609" spans="1:100">
      <c r="A5609" s="374"/>
      <c r="C5609" s="374"/>
      <c r="CV5609" s="376"/>
    </row>
    <row r="5610" spans="1:100">
      <c r="A5610" s="374"/>
      <c r="C5610" s="374"/>
      <c r="CV5610" s="376"/>
    </row>
    <row r="5611" spans="1:100">
      <c r="A5611" s="374"/>
      <c r="C5611" s="374"/>
      <c r="CV5611" s="376"/>
    </row>
    <row r="5612" spans="1:100">
      <c r="A5612" s="374"/>
      <c r="C5612" s="374"/>
      <c r="CV5612" s="376"/>
    </row>
    <row r="5613" spans="1:100">
      <c r="A5613" s="374"/>
      <c r="C5613" s="374"/>
      <c r="CV5613" s="376"/>
    </row>
    <row r="5614" spans="1:100">
      <c r="A5614" s="374"/>
      <c r="C5614" s="374"/>
      <c r="CV5614" s="376"/>
    </row>
    <row r="5615" spans="1:100">
      <c r="A5615" s="374"/>
      <c r="C5615" s="374"/>
      <c r="CV5615" s="376"/>
    </row>
    <row r="5616" spans="1:100">
      <c r="A5616" s="374"/>
      <c r="C5616" s="374"/>
      <c r="CV5616" s="376"/>
    </row>
    <row r="5617" spans="1:100">
      <c r="A5617" s="374"/>
      <c r="C5617" s="374"/>
      <c r="CV5617" s="376"/>
    </row>
    <row r="5618" spans="1:100">
      <c r="A5618" s="374"/>
      <c r="C5618" s="374"/>
      <c r="CV5618" s="376"/>
    </row>
    <row r="5619" spans="1:100">
      <c r="A5619" s="374"/>
      <c r="C5619" s="374"/>
      <c r="CV5619" s="376"/>
    </row>
    <row r="5620" spans="1:100">
      <c r="A5620" s="374"/>
      <c r="C5620" s="374"/>
      <c r="CV5620" s="376"/>
    </row>
    <row r="5621" spans="1:100">
      <c r="A5621" s="374"/>
      <c r="C5621" s="374"/>
      <c r="CV5621" s="376"/>
    </row>
    <row r="5622" spans="1:100">
      <c r="A5622" s="374"/>
      <c r="C5622" s="374"/>
      <c r="CV5622" s="376"/>
    </row>
    <row r="5623" spans="1:100">
      <c r="A5623" s="374"/>
      <c r="C5623" s="374"/>
      <c r="CV5623" s="376"/>
    </row>
    <row r="5624" spans="1:100">
      <c r="A5624" s="374"/>
      <c r="C5624" s="374"/>
      <c r="CV5624" s="376"/>
    </row>
    <row r="5625" spans="1:100">
      <c r="A5625" s="374"/>
      <c r="C5625" s="374"/>
      <c r="CV5625" s="376"/>
    </row>
    <row r="5626" spans="1:100">
      <c r="A5626" s="374"/>
      <c r="C5626" s="374"/>
      <c r="CV5626" s="376"/>
    </row>
    <row r="5627" spans="1:100">
      <c r="A5627" s="374"/>
      <c r="C5627" s="374"/>
      <c r="CV5627" s="376"/>
    </row>
    <row r="5628" spans="1:100">
      <c r="A5628" s="374"/>
      <c r="C5628" s="374"/>
      <c r="CV5628" s="376"/>
    </row>
    <row r="5629" spans="1:100">
      <c r="A5629" s="374"/>
      <c r="C5629" s="374"/>
      <c r="CV5629" s="376"/>
    </row>
    <row r="5630" spans="1:100">
      <c r="A5630" s="374"/>
      <c r="C5630" s="374"/>
      <c r="CV5630" s="376"/>
    </row>
    <row r="5631" spans="1:100">
      <c r="A5631" s="374"/>
      <c r="C5631" s="374"/>
      <c r="CV5631" s="376"/>
    </row>
    <row r="5632" spans="1:100">
      <c r="A5632" s="374"/>
      <c r="C5632" s="374"/>
      <c r="CV5632" s="376"/>
    </row>
    <row r="5633" spans="1:100">
      <c r="A5633" s="374"/>
      <c r="C5633" s="374"/>
      <c r="CV5633" s="376"/>
    </row>
    <row r="5634" spans="1:100">
      <c r="A5634" s="374"/>
      <c r="C5634" s="374"/>
      <c r="CV5634" s="376"/>
    </row>
    <row r="5635" spans="1:100">
      <c r="A5635" s="374"/>
      <c r="C5635" s="374"/>
      <c r="CV5635" s="376"/>
    </row>
    <row r="5636" spans="1:100">
      <c r="A5636" s="374"/>
      <c r="C5636" s="374"/>
      <c r="CV5636" s="376"/>
    </row>
    <row r="5637" spans="1:100">
      <c r="A5637" s="374"/>
      <c r="C5637" s="374"/>
      <c r="CV5637" s="376"/>
    </row>
    <row r="5638" spans="1:100">
      <c r="A5638" s="374"/>
      <c r="C5638" s="374"/>
      <c r="CV5638" s="376"/>
    </row>
    <row r="5639" spans="1:100">
      <c r="A5639" s="374"/>
      <c r="C5639" s="374"/>
      <c r="CV5639" s="376"/>
    </row>
    <row r="5640" spans="1:100">
      <c r="A5640" s="374"/>
      <c r="C5640" s="374"/>
      <c r="CV5640" s="376"/>
    </row>
    <row r="5641" spans="1:100">
      <c r="A5641" s="374"/>
      <c r="C5641" s="374"/>
      <c r="CV5641" s="376"/>
    </row>
    <row r="5642" spans="1:100">
      <c r="A5642" s="374"/>
      <c r="C5642" s="374"/>
      <c r="CV5642" s="376"/>
    </row>
    <row r="5643" spans="1:100">
      <c r="A5643" s="374"/>
      <c r="C5643" s="374"/>
      <c r="CV5643" s="376"/>
    </row>
    <row r="5644" spans="1:100">
      <c r="A5644" s="374"/>
      <c r="C5644" s="374"/>
      <c r="CV5644" s="376"/>
    </row>
    <row r="5645" spans="1:100">
      <c r="A5645" s="374"/>
      <c r="C5645" s="374"/>
      <c r="CV5645" s="376"/>
    </row>
    <row r="5646" spans="1:100">
      <c r="A5646" s="374"/>
      <c r="C5646" s="374"/>
      <c r="CV5646" s="376"/>
    </row>
    <row r="5647" spans="1:100">
      <c r="A5647" s="374"/>
      <c r="C5647" s="374"/>
      <c r="CV5647" s="376"/>
    </row>
    <row r="5648" spans="1:100">
      <c r="A5648" s="374"/>
      <c r="C5648" s="374"/>
      <c r="CV5648" s="376"/>
    </row>
    <row r="5649" spans="1:100">
      <c r="A5649" s="374"/>
      <c r="C5649" s="374"/>
      <c r="CV5649" s="376"/>
    </row>
    <row r="5650" spans="1:100">
      <c r="A5650" s="374"/>
      <c r="C5650" s="374"/>
      <c r="CV5650" s="376"/>
    </row>
    <row r="5651" spans="1:100">
      <c r="A5651" s="374"/>
      <c r="C5651" s="374"/>
      <c r="CV5651" s="376"/>
    </row>
    <row r="5652" spans="1:100">
      <c r="A5652" s="374"/>
      <c r="C5652" s="374"/>
      <c r="CV5652" s="376"/>
    </row>
    <row r="5653" spans="1:100">
      <c r="A5653" s="374"/>
      <c r="C5653" s="374"/>
      <c r="CV5653" s="376"/>
    </row>
    <row r="5654" spans="1:100">
      <c r="A5654" s="374"/>
      <c r="C5654" s="374"/>
      <c r="CV5654" s="376"/>
    </row>
    <row r="5655" spans="1:100">
      <c r="A5655" s="374"/>
      <c r="C5655" s="374"/>
      <c r="CV5655" s="376"/>
    </row>
    <row r="5656" spans="1:100">
      <c r="A5656" s="374"/>
      <c r="C5656" s="374"/>
      <c r="CV5656" s="376"/>
    </row>
    <row r="5657" spans="1:100">
      <c r="A5657" s="374"/>
      <c r="C5657" s="374"/>
      <c r="CV5657" s="376"/>
    </row>
    <row r="5658" spans="1:100">
      <c r="A5658" s="374"/>
      <c r="C5658" s="374"/>
      <c r="CV5658" s="376"/>
    </row>
    <row r="5659" spans="1:100">
      <c r="A5659" s="374"/>
      <c r="C5659" s="374"/>
      <c r="CV5659" s="376"/>
    </row>
    <row r="5660" spans="1:100">
      <c r="A5660" s="374"/>
      <c r="C5660" s="374"/>
      <c r="CV5660" s="376"/>
    </row>
    <row r="5661" spans="1:100">
      <c r="A5661" s="374"/>
      <c r="C5661" s="374"/>
      <c r="CV5661" s="376"/>
    </row>
    <row r="5662" spans="1:100">
      <c r="A5662" s="374"/>
      <c r="C5662" s="374"/>
      <c r="CV5662" s="376"/>
    </row>
    <row r="5663" spans="1:100">
      <c r="A5663" s="374"/>
      <c r="C5663" s="374"/>
      <c r="CV5663" s="376"/>
    </row>
    <row r="5664" spans="1:100">
      <c r="A5664" s="374"/>
      <c r="C5664" s="374"/>
      <c r="CV5664" s="376"/>
    </row>
    <row r="5665" spans="1:100">
      <c r="A5665" s="374"/>
      <c r="C5665" s="374"/>
      <c r="CV5665" s="376"/>
    </row>
    <row r="5666" spans="1:100">
      <c r="A5666" s="374"/>
      <c r="C5666" s="374"/>
      <c r="CV5666" s="376"/>
    </row>
    <row r="5667" spans="1:100">
      <c r="A5667" s="374"/>
      <c r="C5667" s="374"/>
      <c r="CV5667" s="376"/>
    </row>
    <row r="5668" spans="1:100">
      <c r="A5668" s="374"/>
      <c r="C5668" s="374"/>
      <c r="CV5668" s="376"/>
    </row>
    <row r="5669" spans="1:100">
      <c r="A5669" s="374"/>
      <c r="C5669" s="374"/>
      <c r="CV5669" s="376"/>
    </row>
    <row r="5670" spans="1:100">
      <c r="A5670" s="374"/>
      <c r="C5670" s="374"/>
      <c r="CV5670" s="376"/>
    </row>
    <row r="5671" spans="1:100">
      <c r="A5671" s="374"/>
      <c r="C5671" s="374"/>
      <c r="CV5671" s="376"/>
    </row>
    <row r="5672" spans="1:100">
      <c r="A5672" s="374"/>
      <c r="C5672" s="374"/>
      <c r="CV5672" s="376"/>
    </row>
    <row r="5673" spans="1:100">
      <c r="A5673" s="374"/>
      <c r="C5673" s="374"/>
      <c r="CV5673" s="376"/>
    </row>
    <row r="5674" spans="1:100">
      <c r="A5674" s="374"/>
      <c r="C5674" s="374"/>
      <c r="CV5674" s="376"/>
    </row>
    <row r="5675" spans="1:100">
      <c r="A5675" s="374"/>
      <c r="C5675" s="374"/>
      <c r="CV5675" s="376"/>
    </row>
    <row r="5676" spans="1:100">
      <c r="A5676" s="374"/>
      <c r="C5676" s="374"/>
      <c r="CV5676" s="376"/>
    </row>
    <row r="5677" spans="1:100">
      <c r="A5677" s="374"/>
      <c r="C5677" s="374"/>
      <c r="CV5677" s="376"/>
    </row>
    <row r="5678" spans="1:100">
      <c r="A5678" s="374"/>
      <c r="C5678" s="374"/>
      <c r="CV5678" s="376"/>
    </row>
    <row r="5679" spans="1:100">
      <c r="A5679" s="374"/>
      <c r="C5679" s="374"/>
      <c r="CV5679" s="376"/>
    </row>
    <row r="5680" spans="1:100">
      <c r="A5680" s="374"/>
      <c r="C5680" s="374"/>
      <c r="CV5680" s="376"/>
    </row>
    <row r="5681" spans="1:100">
      <c r="A5681" s="374"/>
      <c r="C5681" s="374"/>
      <c r="CV5681" s="376"/>
    </row>
    <row r="5682" spans="1:100">
      <c r="A5682" s="374"/>
      <c r="C5682" s="374"/>
      <c r="CV5682" s="376"/>
    </row>
    <row r="5683" spans="1:100">
      <c r="A5683" s="374"/>
      <c r="C5683" s="374"/>
      <c r="CV5683" s="376"/>
    </row>
    <row r="5684" spans="1:100">
      <c r="A5684" s="374"/>
      <c r="C5684" s="374"/>
      <c r="CV5684" s="376"/>
    </row>
    <row r="5685" spans="1:100">
      <c r="A5685" s="374"/>
      <c r="C5685" s="374"/>
      <c r="CV5685" s="376"/>
    </row>
    <row r="5686" spans="1:100">
      <c r="A5686" s="374"/>
      <c r="C5686" s="374"/>
      <c r="CV5686" s="376"/>
    </row>
    <row r="5687" spans="1:100">
      <c r="A5687" s="374"/>
      <c r="C5687" s="374"/>
      <c r="CV5687" s="376"/>
    </row>
    <row r="5688" spans="1:100">
      <c r="A5688" s="374"/>
      <c r="C5688" s="374"/>
      <c r="CV5688" s="376"/>
    </row>
    <row r="5689" spans="1:100">
      <c r="A5689" s="374"/>
      <c r="C5689" s="374"/>
      <c r="CV5689" s="376"/>
    </row>
    <row r="5690" spans="1:100">
      <c r="A5690" s="374"/>
      <c r="C5690" s="374"/>
      <c r="CV5690" s="376"/>
    </row>
    <row r="5691" spans="1:100">
      <c r="A5691" s="374"/>
      <c r="C5691" s="374"/>
      <c r="CV5691" s="376"/>
    </row>
    <row r="5692" spans="1:100">
      <c r="A5692" s="374"/>
      <c r="C5692" s="374"/>
      <c r="CV5692" s="376"/>
    </row>
    <row r="5693" spans="1:100">
      <c r="A5693" s="374"/>
      <c r="C5693" s="374"/>
      <c r="CV5693" s="376"/>
    </row>
    <row r="5694" spans="1:100">
      <c r="A5694" s="374"/>
      <c r="C5694" s="374"/>
      <c r="CV5694" s="376"/>
    </row>
    <row r="5695" spans="1:100">
      <c r="A5695" s="374"/>
      <c r="C5695" s="374"/>
      <c r="CV5695" s="376"/>
    </row>
    <row r="5696" spans="1:100">
      <c r="A5696" s="374"/>
      <c r="C5696" s="374"/>
      <c r="CV5696" s="376"/>
    </row>
    <row r="5697" spans="1:100">
      <c r="A5697" s="374"/>
      <c r="C5697" s="374"/>
      <c r="CV5697" s="376"/>
    </row>
    <row r="5698" spans="1:100">
      <c r="A5698" s="374"/>
      <c r="C5698" s="374"/>
      <c r="CV5698" s="376"/>
    </row>
    <row r="5699" spans="1:100">
      <c r="A5699" s="374"/>
      <c r="C5699" s="374"/>
      <c r="CV5699" s="376"/>
    </row>
    <row r="5700" spans="1:100">
      <c r="A5700" s="374"/>
      <c r="C5700" s="374"/>
      <c r="CV5700" s="376"/>
    </row>
    <row r="5701" spans="1:100">
      <c r="A5701" s="374"/>
      <c r="C5701" s="374"/>
      <c r="CV5701" s="376"/>
    </row>
    <row r="5702" spans="1:100">
      <c r="A5702" s="374"/>
      <c r="C5702" s="374"/>
      <c r="CV5702" s="376"/>
    </row>
    <row r="5703" spans="1:100">
      <c r="A5703" s="374"/>
      <c r="C5703" s="374"/>
      <c r="CV5703" s="376"/>
    </row>
    <row r="5704" spans="1:100">
      <c r="A5704" s="374"/>
      <c r="C5704" s="374"/>
      <c r="CV5704" s="376"/>
    </row>
    <row r="5705" spans="1:100">
      <c r="A5705" s="374"/>
      <c r="C5705" s="374"/>
      <c r="CV5705" s="376"/>
    </row>
    <row r="5706" spans="1:100">
      <c r="A5706" s="374"/>
      <c r="C5706" s="374"/>
      <c r="CV5706" s="376"/>
    </row>
    <row r="5707" spans="1:100">
      <c r="A5707" s="374"/>
      <c r="C5707" s="374"/>
      <c r="CV5707" s="376"/>
    </row>
    <row r="5708" spans="1:100">
      <c r="A5708" s="374"/>
      <c r="C5708" s="374"/>
      <c r="CV5708" s="376"/>
    </row>
    <row r="5709" spans="1:100">
      <c r="A5709" s="374"/>
      <c r="C5709" s="374"/>
      <c r="CV5709" s="376"/>
    </row>
    <row r="5710" spans="1:100">
      <c r="A5710" s="374"/>
      <c r="C5710" s="374"/>
      <c r="CV5710" s="376"/>
    </row>
    <row r="5711" spans="1:100">
      <c r="A5711" s="374"/>
      <c r="C5711" s="374"/>
      <c r="CV5711" s="376"/>
    </row>
    <row r="5712" spans="1:100">
      <c r="A5712" s="374"/>
      <c r="C5712" s="374"/>
      <c r="CV5712" s="376"/>
    </row>
    <row r="5713" spans="1:100">
      <c r="A5713" s="374"/>
      <c r="C5713" s="374"/>
      <c r="CV5713" s="376"/>
    </row>
    <row r="5714" spans="1:100">
      <c r="A5714" s="374"/>
      <c r="C5714" s="374"/>
      <c r="CV5714" s="376"/>
    </row>
    <row r="5715" spans="1:100">
      <c r="A5715" s="374"/>
      <c r="C5715" s="374"/>
      <c r="CV5715" s="376"/>
    </row>
    <row r="5716" spans="1:100">
      <c r="A5716" s="374"/>
      <c r="C5716" s="374"/>
      <c r="CV5716" s="376"/>
    </row>
    <row r="5717" spans="1:100">
      <c r="A5717" s="374"/>
      <c r="C5717" s="374"/>
      <c r="CV5717" s="376"/>
    </row>
    <row r="5718" spans="1:100">
      <c r="A5718" s="374"/>
      <c r="C5718" s="374"/>
      <c r="CV5718" s="376"/>
    </row>
    <row r="5719" spans="1:100">
      <c r="A5719" s="374"/>
      <c r="C5719" s="374"/>
      <c r="CV5719" s="376"/>
    </row>
    <row r="5720" spans="1:100">
      <c r="A5720" s="374"/>
      <c r="C5720" s="374"/>
      <c r="CV5720" s="376"/>
    </row>
    <row r="5721" spans="1:100">
      <c r="A5721" s="374"/>
      <c r="C5721" s="374"/>
      <c r="CV5721" s="376"/>
    </row>
    <row r="5722" spans="1:100">
      <c r="A5722" s="374"/>
      <c r="C5722" s="374"/>
      <c r="CV5722" s="376"/>
    </row>
    <row r="5723" spans="1:100">
      <c r="A5723" s="374"/>
      <c r="C5723" s="374"/>
      <c r="CV5723" s="376"/>
    </row>
    <row r="5724" spans="1:100">
      <c r="A5724" s="374"/>
      <c r="C5724" s="374"/>
      <c r="CV5724" s="376"/>
    </row>
    <row r="5725" spans="1:100">
      <c r="A5725" s="374"/>
      <c r="C5725" s="374"/>
      <c r="CV5725" s="376"/>
    </row>
    <row r="5726" spans="1:100">
      <c r="A5726" s="374"/>
      <c r="C5726" s="374"/>
      <c r="CV5726" s="376"/>
    </row>
    <row r="5727" spans="1:100">
      <c r="A5727" s="374"/>
      <c r="C5727" s="374"/>
      <c r="CV5727" s="376"/>
    </row>
    <row r="5728" spans="1:100">
      <c r="A5728" s="374"/>
      <c r="C5728" s="374"/>
      <c r="CV5728" s="376"/>
    </row>
    <row r="5729" spans="1:100">
      <c r="A5729" s="374"/>
      <c r="C5729" s="374"/>
      <c r="CV5729" s="376"/>
    </row>
    <row r="5730" spans="1:100">
      <c r="A5730" s="374"/>
      <c r="C5730" s="374"/>
      <c r="CV5730" s="376"/>
    </row>
    <row r="5731" spans="1:100">
      <c r="A5731" s="374"/>
      <c r="C5731" s="374"/>
      <c r="CV5731" s="376"/>
    </row>
    <row r="5732" spans="1:100">
      <c r="A5732" s="374"/>
      <c r="C5732" s="374"/>
      <c r="CV5732" s="376"/>
    </row>
    <row r="5733" spans="1:100">
      <c r="A5733" s="374"/>
      <c r="C5733" s="374"/>
      <c r="CV5733" s="376"/>
    </row>
    <row r="5734" spans="1:100">
      <c r="A5734" s="374"/>
      <c r="C5734" s="374"/>
      <c r="CV5734" s="376"/>
    </row>
    <row r="5735" spans="1:100">
      <c r="A5735" s="374"/>
      <c r="C5735" s="374"/>
      <c r="CV5735" s="376"/>
    </row>
    <row r="5736" spans="1:100">
      <c r="A5736" s="374"/>
      <c r="C5736" s="374"/>
      <c r="CV5736" s="376"/>
    </row>
    <row r="5737" spans="1:100">
      <c r="A5737" s="374"/>
      <c r="C5737" s="374"/>
      <c r="CV5737" s="376"/>
    </row>
    <row r="5738" spans="1:100">
      <c r="A5738" s="374"/>
      <c r="C5738" s="374"/>
      <c r="CV5738" s="376"/>
    </row>
    <row r="5739" spans="1:100">
      <c r="A5739" s="374"/>
      <c r="C5739" s="374"/>
      <c r="CV5739" s="376"/>
    </row>
    <row r="5740" spans="1:100">
      <c r="A5740" s="374"/>
      <c r="C5740" s="374"/>
      <c r="CV5740" s="376"/>
    </row>
    <row r="5741" spans="1:100">
      <c r="A5741" s="374"/>
      <c r="C5741" s="374"/>
      <c r="CV5741" s="376"/>
    </row>
    <row r="5742" spans="1:100">
      <c r="A5742" s="374"/>
      <c r="C5742" s="374"/>
      <c r="CV5742" s="376"/>
    </row>
    <row r="5743" spans="1:100">
      <c r="A5743" s="374"/>
      <c r="C5743" s="374"/>
      <c r="CV5743" s="376"/>
    </row>
    <row r="5744" spans="1:100">
      <c r="A5744" s="374"/>
      <c r="C5744" s="374"/>
      <c r="CV5744" s="376"/>
    </row>
    <row r="5745" spans="1:100">
      <c r="A5745" s="374"/>
      <c r="C5745" s="374"/>
      <c r="CV5745" s="376"/>
    </row>
    <row r="5746" spans="1:100">
      <c r="A5746" s="374"/>
      <c r="C5746" s="374"/>
      <c r="CV5746" s="376"/>
    </row>
    <row r="5747" spans="1:100">
      <c r="A5747" s="374"/>
      <c r="C5747" s="374"/>
      <c r="CV5747" s="376"/>
    </row>
    <row r="5748" spans="1:100">
      <c r="A5748" s="374"/>
      <c r="C5748" s="374"/>
      <c r="CV5748" s="376"/>
    </row>
    <row r="5749" spans="1:100">
      <c r="A5749" s="374"/>
      <c r="C5749" s="374"/>
      <c r="CV5749" s="376"/>
    </row>
    <row r="5750" spans="1:100">
      <c r="A5750" s="374"/>
      <c r="C5750" s="374"/>
      <c r="CV5750" s="376"/>
    </row>
    <row r="5751" spans="1:100">
      <c r="A5751" s="374"/>
      <c r="C5751" s="374"/>
      <c r="CV5751" s="376"/>
    </row>
    <row r="5752" spans="1:100">
      <c r="A5752" s="374"/>
      <c r="C5752" s="374"/>
      <c r="CV5752" s="376"/>
    </row>
    <row r="5753" spans="1:100">
      <c r="A5753" s="374"/>
      <c r="C5753" s="374"/>
      <c r="CV5753" s="376"/>
    </row>
    <row r="5754" spans="1:100">
      <c r="A5754" s="374"/>
      <c r="C5754" s="374"/>
      <c r="CV5754" s="376"/>
    </row>
    <row r="5755" spans="1:100">
      <c r="A5755" s="374"/>
      <c r="C5755" s="374"/>
      <c r="CV5755" s="376"/>
    </row>
    <row r="5756" spans="1:100">
      <c r="A5756" s="374"/>
      <c r="C5756" s="374"/>
      <c r="CV5756" s="376"/>
    </row>
    <row r="5757" spans="1:100">
      <c r="A5757" s="374"/>
      <c r="C5757" s="374"/>
      <c r="CV5757" s="376"/>
    </row>
    <row r="5758" spans="1:100">
      <c r="A5758" s="374"/>
      <c r="C5758" s="374"/>
      <c r="CV5758" s="376"/>
    </row>
    <row r="5759" spans="1:100">
      <c r="A5759" s="374"/>
      <c r="C5759" s="374"/>
      <c r="CV5759" s="376"/>
    </row>
    <row r="5760" spans="1:100">
      <c r="A5760" s="374"/>
      <c r="C5760" s="374"/>
      <c r="CV5760" s="376"/>
    </row>
    <row r="5761" spans="1:100">
      <c r="A5761" s="374"/>
      <c r="C5761" s="374"/>
      <c r="CV5761" s="376"/>
    </row>
    <row r="5762" spans="1:100">
      <c r="A5762" s="374"/>
      <c r="C5762" s="374"/>
      <c r="CV5762" s="376"/>
    </row>
    <row r="5763" spans="1:100">
      <c r="A5763" s="374"/>
      <c r="C5763" s="374"/>
      <c r="CV5763" s="376"/>
    </row>
    <row r="5764" spans="1:100">
      <c r="A5764" s="374"/>
      <c r="C5764" s="374"/>
      <c r="CV5764" s="376"/>
    </row>
    <row r="5765" spans="1:100">
      <c r="A5765" s="374"/>
      <c r="C5765" s="374"/>
      <c r="CV5765" s="376"/>
    </row>
    <row r="5766" spans="1:100">
      <c r="A5766" s="374"/>
      <c r="C5766" s="374"/>
      <c r="CV5766" s="376"/>
    </row>
    <row r="5767" spans="1:100">
      <c r="A5767" s="374"/>
      <c r="C5767" s="374"/>
      <c r="CV5767" s="376"/>
    </row>
    <row r="5768" spans="1:100">
      <c r="A5768" s="374"/>
      <c r="C5768" s="374"/>
      <c r="CV5768" s="376"/>
    </row>
    <row r="5769" spans="1:100">
      <c r="A5769" s="374"/>
      <c r="C5769" s="374"/>
      <c r="CV5769" s="376"/>
    </row>
    <row r="5770" spans="1:100">
      <c r="A5770" s="374"/>
      <c r="C5770" s="374"/>
      <c r="CV5770" s="376"/>
    </row>
    <row r="5771" spans="1:100">
      <c r="A5771" s="374"/>
      <c r="C5771" s="374"/>
      <c r="CV5771" s="376"/>
    </row>
    <row r="5772" spans="1:100">
      <c r="A5772" s="374"/>
      <c r="C5772" s="374"/>
      <c r="CV5772" s="376"/>
    </row>
    <row r="5773" spans="1:100">
      <c r="A5773" s="374"/>
      <c r="C5773" s="374"/>
      <c r="CV5773" s="376"/>
    </row>
    <row r="5774" spans="1:100">
      <c r="A5774" s="374"/>
      <c r="C5774" s="374"/>
      <c r="CV5774" s="376"/>
    </row>
    <row r="5775" spans="1:100">
      <c r="A5775" s="374"/>
      <c r="C5775" s="374"/>
      <c r="CV5775" s="376"/>
    </row>
    <row r="5776" spans="1:100">
      <c r="A5776" s="374"/>
      <c r="C5776" s="374"/>
      <c r="CV5776" s="376"/>
    </row>
    <row r="5777" spans="1:100">
      <c r="A5777" s="374"/>
      <c r="C5777" s="374"/>
      <c r="CV5777" s="376"/>
    </row>
    <row r="5778" spans="1:100">
      <c r="A5778" s="374"/>
      <c r="C5778" s="374"/>
      <c r="CV5778" s="376"/>
    </row>
    <row r="5779" spans="1:100">
      <c r="A5779" s="374"/>
      <c r="C5779" s="374"/>
      <c r="CV5779" s="376"/>
    </row>
    <row r="5780" spans="1:100">
      <c r="A5780" s="374"/>
      <c r="C5780" s="374"/>
      <c r="CV5780" s="376"/>
    </row>
    <row r="5781" spans="1:100">
      <c r="A5781" s="374"/>
      <c r="C5781" s="374"/>
      <c r="CV5781" s="376"/>
    </row>
    <row r="5782" spans="1:100">
      <c r="A5782" s="374"/>
      <c r="C5782" s="374"/>
      <c r="CV5782" s="376"/>
    </row>
    <row r="5783" spans="1:100">
      <c r="A5783" s="374"/>
      <c r="C5783" s="374"/>
      <c r="CV5783" s="376"/>
    </row>
    <row r="5784" spans="1:100">
      <c r="A5784" s="374"/>
      <c r="C5784" s="374"/>
      <c r="CV5784" s="376"/>
    </row>
    <row r="5785" spans="1:100">
      <c r="A5785" s="374"/>
      <c r="C5785" s="374"/>
      <c r="CV5785" s="376"/>
    </row>
    <row r="5786" spans="1:100">
      <c r="A5786" s="374"/>
      <c r="C5786" s="374"/>
      <c r="CV5786" s="376"/>
    </row>
    <row r="5787" spans="1:100">
      <c r="A5787" s="374"/>
      <c r="C5787" s="374"/>
      <c r="CV5787" s="376"/>
    </row>
    <row r="5788" spans="1:100">
      <c r="A5788" s="374"/>
      <c r="C5788" s="374"/>
      <c r="CV5788" s="376"/>
    </row>
    <row r="5789" spans="1:100">
      <c r="A5789" s="374"/>
      <c r="C5789" s="374"/>
      <c r="CV5789" s="376"/>
    </row>
    <row r="5790" spans="1:100">
      <c r="A5790" s="374"/>
      <c r="C5790" s="374"/>
      <c r="CV5790" s="376"/>
    </row>
    <row r="5791" spans="1:100">
      <c r="A5791" s="374"/>
      <c r="C5791" s="374"/>
      <c r="CV5791" s="376"/>
    </row>
    <row r="5792" spans="1:100">
      <c r="A5792" s="374"/>
      <c r="C5792" s="374"/>
      <c r="CV5792" s="376"/>
    </row>
    <row r="5793" spans="1:100">
      <c r="A5793" s="374"/>
      <c r="C5793" s="374"/>
      <c r="CV5793" s="376"/>
    </row>
    <row r="5794" spans="1:100">
      <c r="A5794" s="374"/>
      <c r="C5794" s="374"/>
      <c r="CV5794" s="376"/>
    </row>
    <row r="5795" spans="1:100">
      <c r="A5795" s="374"/>
      <c r="C5795" s="374"/>
      <c r="CV5795" s="376"/>
    </row>
    <row r="5796" spans="1:100">
      <c r="A5796" s="374"/>
      <c r="C5796" s="374"/>
      <c r="CV5796" s="376"/>
    </row>
    <row r="5797" spans="1:100">
      <c r="A5797" s="374"/>
      <c r="C5797" s="374"/>
      <c r="CV5797" s="376"/>
    </row>
    <row r="5798" spans="1:100">
      <c r="A5798" s="374"/>
      <c r="C5798" s="374"/>
      <c r="CV5798" s="376"/>
    </row>
    <row r="5799" spans="1:100">
      <c r="A5799" s="374"/>
      <c r="C5799" s="374"/>
      <c r="CV5799" s="376"/>
    </row>
    <row r="5800" spans="1:100">
      <c r="A5800" s="374"/>
      <c r="C5800" s="374"/>
      <c r="CV5800" s="376"/>
    </row>
    <row r="5801" spans="1:100">
      <c r="A5801" s="374"/>
      <c r="C5801" s="374"/>
      <c r="CV5801" s="376"/>
    </row>
    <row r="5802" spans="1:100">
      <c r="A5802" s="374"/>
      <c r="C5802" s="374"/>
      <c r="CV5802" s="376"/>
    </row>
    <row r="5803" spans="1:100">
      <c r="A5803" s="374"/>
      <c r="C5803" s="374"/>
      <c r="CV5803" s="376"/>
    </row>
    <row r="5804" spans="1:100">
      <c r="A5804" s="374"/>
      <c r="C5804" s="374"/>
      <c r="CV5804" s="376"/>
    </row>
    <row r="5805" spans="1:100">
      <c r="A5805" s="374"/>
      <c r="C5805" s="374"/>
      <c r="CV5805" s="376"/>
    </row>
    <row r="5806" spans="1:100">
      <c r="A5806" s="374"/>
      <c r="C5806" s="374"/>
      <c r="CV5806" s="376"/>
    </row>
    <row r="5807" spans="1:100">
      <c r="A5807" s="374"/>
      <c r="C5807" s="374"/>
      <c r="CV5807" s="376"/>
    </row>
    <row r="5808" spans="1:100">
      <c r="A5808" s="374"/>
      <c r="C5808" s="374"/>
      <c r="CV5808" s="376"/>
    </row>
    <row r="5809" spans="1:100">
      <c r="A5809" s="374"/>
      <c r="C5809" s="374"/>
      <c r="CV5809" s="376"/>
    </row>
    <row r="5810" spans="1:100">
      <c r="A5810" s="374"/>
      <c r="C5810" s="374"/>
      <c r="CV5810" s="376"/>
    </row>
    <row r="5811" spans="1:100">
      <c r="A5811" s="374"/>
      <c r="C5811" s="374"/>
      <c r="CV5811" s="376"/>
    </row>
    <row r="5812" spans="1:100">
      <c r="A5812" s="374"/>
      <c r="C5812" s="374"/>
      <c r="CV5812" s="376"/>
    </row>
    <row r="5813" spans="1:100">
      <c r="A5813" s="374"/>
      <c r="C5813" s="374"/>
      <c r="CV5813" s="376"/>
    </row>
    <row r="5814" spans="1:100">
      <c r="A5814" s="374"/>
      <c r="C5814" s="374"/>
      <c r="CV5814" s="376"/>
    </row>
    <row r="5815" spans="1:100">
      <c r="A5815" s="374"/>
      <c r="C5815" s="374"/>
      <c r="CV5815" s="376"/>
    </row>
    <row r="5816" spans="1:100">
      <c r="A5816" s="374"/>
      <c r="C5816" s="374"/>
      <c r="CV5816" s="376"/>
    </row>
    <row r="5817" spans="1:100">
      <c r="A5817" s="374"/>
      <c r="C5817" s="374"/>
      <c r="CV5817" s="376"/>
    </row>
    <row r="5818" spans="1:100">
      <c r="A5818" s="374"/>
      <c r="C5818" s="374"/>
      <c r="CV5818" s="376"/>
    </row>
    <row r="5819" spans="1:100">
      <c r="A5819" s="374"/>
      <c r="C5819" s="374"/>
      <c r="CV5819" s="376"/>
    </row>
    <row r="5820" spans="1:100">
      <c r="A5820" s="374"/>
      <c r="C5820" s="374"/>
      <c r="CV5820" s="376"/>
    </row>
    <row r="5821" spans="1:100">
      <c r="A5821" s="374"/>
      <c r="C5821" s="374"/>
      <c r="CV5821" s="376"/>
    </row>
    <row r="5822" spans="1:100">
      <c r="A5822" s="374"/>
      <c r="C5822" s="374"/>
      <c r="CV5822" s="376"/>
    </row>
    <row r="5823" spans="1:100">
      <c r="A5823" s="374"/>
      <c r="C5823" s="374"/>
      <c r="CV5823" s="376"/>
    </row>
    <row r="5824" spans="1:100">
      <c r="A5824" s="374"/>
      <c r="C5824" s="374"/>
      <c r="CV5824" s="376"/>
    </row>
    <row r="5825" spans="1:100">
      <c r="A5825" s="374"/>
      <c r="C5825" s="374"/>
      <c r="CV5825" s="376"/>
    </row>
    <row r="5826" spans="1:100">
      <c r="A5826" s="374"/>
      <c r="C5826" s="374"/>
      <c r="CV5826" s="376"/>
    </row>
    <row r="5827" spans="1:100">
      <c r="A5827" s="374"/>
      <c r="C5827" s="374"/>
      <c r="CV5827" s="376"/>
    </row>
    <row r="5828" spans="1:100">
      <c r="A5828" s="374"/>
      <c r="C5828" s="374"/>
      <c r="CV5828" s="376"/>
    </row>
    <row r="5829" spans="1:100">
      <c r="A5829" s="374"/>
      <c r="C5829" s="374"/>
      <c r="CV5829" s="376"/>
    </row>
    <row r="5830" spans="1:100">
      <c r="A5830" s="374"/>
      <c r="C5830" s="374"/>
      <c r="CV5830" s="376"/>
    </row>
    <row r="5831" spans="1:100">
      <c r="A5831" s="374"/>
      <c r="C5831" s="374"/>
      <c r="CV5831" s="376"/>
    </row>
    <row r="5832" spans="1:100">
      <c r="A5832" s="374"/>
      <c r="C5832" s="374"/>
      <c r="CV5832" s="376"/>
    </row>
    <row r="5833" spans="1:100">
      <c r="A5833" s="374"/>
      <c r="C5833" s="374"/>
      <c r="CV5833" s="376"/>
    </row>
    <row r="5834" spans="1:100">
      <c r="A5834" s="374"/>
      <c r="C5834" s="374"/>
      <c r="CV5834" s="376"/>
    </row>
    <row r="5835" spans="1:100">
      <c r="A5835" s="374"/>
      <c r="C5835" s="374"/>
      <c r="CV5835" s="376"/>
    </row>
    <row r="5836" spans="1:100">
      <c r="A5836" s="374"/>
      <c r="C5836" s="374"/>
      <c r="CV5836" s="376"/>
    </row>
    <row r="5837" spans="1:100">
      <c r="A5837" s="374"/>
      <c r="C5837" s="374"/>
      <c r="CV5837" s="376"/>
    </row>
    <row r="5838" spans="1:100">
      <c r="A5838" s="374"/>
      <c r="C5838" s="374"/>
      <c r="CV5838" s="376"/>
    </row>
    <row r="5839" spans="1:100">
      <c r="A5839" s="374"/>
      <c r="C5839" s="374"/>
      <c r="CV5839" s="376"/>
    </row>
    <row r="5840" spans="1:100">
      <c r="A5840" s="374"/>
      <c r="C5840" s="374"/>
      <c r="CV5840" s="376"/>
    </row>
    <row r="5841" spans="1:100">
      <c r="A5841" s="374"/>
      <c r="C5841" s="374"/>
      <c r="CV5841" s="376"/>
    </row>
    <row r="5842" spans="1:100">
      <c r="A5842" s="374"/>
      <c r="C5842" s="374"/>
      <c r="CV5842" s="376"/>
    </row>
    <row r="5843" spans="1:100">
      <c r="A5843" s="374"/>
      <c r="C5843" s="374"/>
      <c r="CV5843" s="376"/>
    </row>
    <row r="5844" spans="1:100">
      <c r="A5844" s="374"/>
      <c r="C5844" s="374"/>
      <c r="CV5844" s="376"/>
    </row>
    <row r="5845" spans="1:100">
      <c r="A5845" s="374"/>
      <c r="C5845" s="374"/>
      <c r="CV5845" s="376"/>
    </row>
    <row r="5846" spans="1:100">
      <c r="A5846" s="374"/>
      <c r="C5846" s="374"/>
      <c r="CV5846" s="376"/>
    </row>
    <row r="5847" spans="1:100">
      <c r="A5847" s="374"/>
      <c r="C5847" s="374"/>
      <c r="CV5847" s="376"/>
    </row>
    <row r="5848" spans="1:100">
      <c r="A5848" s="374"/>
      <c r="C5848" s="374"/>
      <c r="CV5848" s="376"/>
    </row>
    <row r="5849" spans="1:100">
      <c r="A5849" s="374"/>
      <c r="C5849" s="374"/>
      <c r="CV5849" s="376"/>
    </row>
    <row r="5850" spans="1:100">
      <c r="A5850" s="374"/>
      <c r="C5850" s="374"/>
      <c r="CV5850" s="376"/>
    </row>
    <row r="5851" spans="1:100">
      <c r="A5851" s="374"/>
      <c r="C5851" s="374"/>
      <c r="CV5851" s="376"/>
    </row>
    <row r="5852" spans="1:100">
      <c r="A5852" s="374"/>
      <c r="C5852" s="374"/>
      <c r="CV5852" s="376"/>
    </row>
    <row r="5853" spans="1:100">
      <c r="A5853" s="374"/>
      <c r="C5853" s="374"/>
      <c r="CV5853" s="376"/>
    </row>
    <row r="5854" spans="1:100">
      <c r="A5854" s="374"/>
      <c r="C5854" s="374"/>
      <c r="CV5854" s="376"/>
    </row>
    <row r="5855" spans="1:100">
      <c r="A5855" s="374"/>
      <c r="C5855" s="374"/>
      <c r="CV5855" s="376"/>
    </row>
    <row r="5856" spans="1:100">
      <c r="A5856" s="374"/>
      <c r="C5856" s="374"/>
      <c r="CV5856" s="376"/>
    </row>
    <row r="5857" spans="1:100">
      <c r="A5857" s="374"/>
      <c r="C5857" s="374"/>
      <c r="CV5857" s="376"/>
    </row>
    <row r="5858" spans="1:100">
      <c r="A5858" s="374"/>
      <c r="C5858" s="374"/>
      <c r="CV5858" s="376"/>
    </row>
    <row r="5859" spans="1:100">
      <c r="A5859" s="374"/>
      <c r="C5859" s="374"/>
      <c r="CV5859" s="376"/>
    </row>
    <row r="5860" spans="1:100">
      <c r="A5860" s="374"/>
      <c r="C5860" s="374"/>
      <c r="CV5860" s="376"/>
    </row>
    <row r="5861" spans="1:100">
      <c r="A5861" s="374"/>
      <c r="C5861" s="374"/>
      <c r="CV5861" s="376"/>
    </row>
    <row r="5862" spans="1:100">
      <c r="A5862" s="374"/>
      <c r="C5862" s="374"/>
      <c r="CV5862" s="376"/>
    </row>
    <row r="5863" spans="1:100">
      <c r="A5863" s="374"/>
      <c r="C5863" s="374"/>
      <c r="CV5863" s="376"/>
    </row>
    <row r="5864" spans="1:100">
      <c r="A5864" s="374"/>
      <c r="C5864" s="374"/>
      <c r="CV5864" s="376"/>
    </row>
    <row r="5865" spans="1:100">
      <c r="A5865" s="374"/>
      <c r="C5865" s="374"/>
      <c r="CV5865" s="376"/>
    </row>
    <row r="5866" spans="1:100">
      <c r="A5866" s="374"/>
      <c r="C5866" s="374"/>
      <c r="CV5866" s="376"/>
    </row>
    <row r="5867" spans="1:100">
      <c r="A5867" s="374"/>
      <c r="C5867" s="374"/>
      <c r="CV5867" s="376"/>
    </row>
    <row r="5868" spans="1:100">
      <c r="A5868" s="374"/>
      <c r="C5868" s="374"/>
      <c r="CV5868" s="376"/>
    </row>
    <row r="5869" spans="1:100">
      <c r="A5869" s="374"/>
      <c r="C5869" s="374"/>
      <c r="CV5869" s="376"/>
    </row>
    <row r="5870" spans="1:100">
      <c r="A5870" s="374"/>
      <c r="C5870" s="374"/>
      <c r="CV5870" s="376"/>
    </row>
    <row r="5871" spans="1:100">
      <c r="A5871" s="374"/>
      <c r="C5871" s="374"/>
      <c r="CV5871" s="376"/>
    </row>
    <row r="5872" spans="1:100">
      <c r="A5872" s="374"/>
      <c r="C5872" s="374"/>
      <c r="CV5872" s="376"/>
    </row>
    <row r="5873" spans="1:100">
      <c r="A5873" s="374"/>
      <c r="C5873" s="374"/>
      <c r="CV5873" s="376"/>
    </row>
    <row r="5874" spans="1:100">
      <c r="A5874" s="374"/>
      <c r="C5874" s="374"/>
      <c r="CV5874" s="376"/>
    </row>
    <row r="5875" spans="1:100">
      <c r="A5875" s="374"/>
      <c r="C5875" s="374"/>
      <c r="CV5875" s="376"/>
    </row>
    <row r="5876" spans="1:100">
      <c r="A5876" s="374"/>
      <c r="C5876" s="374"/>
      <c r="CV5876" s="376"/>
    </row>
    <row r="5877" spans="1:100">
      <c r="A5877" s="374"/>
      <c r="C5877" s="374"/>
      <c r="CV5877" s="376"/>
    </row>
    <row r="5878" spans="1:100">
      <c r="A5878" s="374"/>
      <c r="C5878" s="374"/>
      <c r="CV5878" s="376"/>
    </row>
    <row r="5879" spans="1:100">
      <c r="A5879" s="374"/>
      <c r="C5879" s="374"/>
      <c r="CV5879" s="376"/>
    </row>
    <row r="5880" spans="1:100">
      <c r="A5880" s="374"/>
      <c r="C5880" s="374"/>
      <c r="CV5880" s="376"/>
    </row>
    <row r="5881" spans="1:100">
      <c r="A5881" s="374"/>
      <c r="C5881" s="374"/>
      <c r="CV5881" s="376"/>
    </row>
    <row r="5882" spans="1:100">
      <c r="A5882" s="374"/>
      <c r="C5882" s="374"/>
      <c r="CV5882" s="376"/>
    </row>
    <row r="5883" spans="1:100">
      <c r="A5883" s="374"/>
      <c r="C5883" s="374"/>
      <c r="CV5883" s="376"/>
    </row>
    <row r="5884" spans="1:100">
      <c r="A5884" s="374"/>
      <c r="C5884" s="374"/>
      <c r="CV5884" s="376"/>
    </row>
    <row r="5885" spans="1:100">
      <c r="A5885" s="374"/>
      <c r="C5885" s="374"/>
      <c r="CV5885" s="376"/>
    </row>
    <row r="5886" spans="1:100">
      <c r="A5886" s="374"/>
      <c r="C5886" s="374"/>
      <c r="CV5886" s="376"/>
    </row>
    <row r="5887" spans="1:100">
      <c r="A5887" s="374"/>
      <c r="C5887" s="374"/>
      <c r="CV5887" s="376"/>
    </row>
    <row r="5888" spans="1:100">
      <c r="A5888" s="374"/>
      <c r="C5888" s="374"/>
      <c r="CV5888" s="376"/>
    </row>
    <row r="5889" spans="1:100">
      <c r="A5889" s="374"/>
      <c r="C5889" s="374"/>
      <c r="CV5889" s="376"/>
    </row>
    <row r="5890" spans="1:100">
      <c r="A5890" s="374"/>
      <c r="C5890" s="374"/>
      <c r="CV5890" s="376"/>
    </row>
    <row r="5891" spans="1:100">
      <c r="A5891" s="374"/>
      <c r="C5891" s="374"/>
      <c r="CV5891" s="376"/>
    </row>
    <row r="5892" spans="1:100">
      <c r="A5892" s="374"/>
      <c r="C5892" s="374"/>
      <c r="CV5892" s="376"/>
    </row>
    <row r="5893" spans="1:100">
      <c r="A5893" s="374"/>
      <c r="C5893" s="374"/>
      <c r="CV5893" s="376"/>
    </row>
    <row r="5894" spans="1:100">
      <c r="A5894" s="374"/>
      <c r="C5894" s="374"/>
      <c r="CV5894" s="376"/>
    </row>
    <row r="5895" spans="1:100">
      <c r="A5895" s="374"/>
      <c r="C5895" s="374"/>
      <c r="CV5895" s="376"/>
    </row>
    <row r="5896" spans="1:100">
      <c r="A5896" s="374"/>
      <c r="C5896" s="374"/>
      <c r="CV5896" s="376"/>
    </row>
    <row r="5897" spans="1:100">
      <c r="A5897" s="374"/>
      <c r="C5897" s="374"/>
      <c r="CV5897" s="376"/>
    </row>
    <row r="5898" spans="1:100">
      <c r="A5898" s="374"/>
      <c r="C5898" s="374"/>
      <c r="CV5898" s="376"/>
    </row>
    <row r="5899" spans="1:100">
      <c r="A5899" s="374"/>
      <c r="C5899" s="374"/>
      <c r="CV5899" s="376"/>
    </row>
    <row r="5900" spans="1:100">
      <c r="A5900" s="374"/>
      <c r="C5900" s="374"/>
      <c r="CV5900" s="376"/>
    </row>
    <row r="5901" spans="1:100">
      <c r="A5901" s="374"/>
      <c r="C5901" s="374"/>
      <c r="CV5901" s="376"/>
    </row>
    <row r="5902" spans="1:100">
      <c r="A5902" s="374"/>
      <c r="C5902" s="374"/>
      <c r="CV5902" s="376"/>
    </row>
    <row r="5903" spans="1:100">
      <c r="A5903" s="374"/>
      <c r="C5903" s="374"/>
      <c r="CV5903" s="376"/>
    </row>
    <row r="5904" spans="1:100">
      <c r="A5904" s="374"/>
      <c r="C5904" s="374"/>
      <c r="CV5904" s="376"/>
    </row>
    <row r="5905" spans="1:100">
      <c r="A5905" s="374"/>
      <c r="C5905" s="374"/>
      <c r="CV5905" s="376"/>
    </row>
    <row r="5906" spans="1:100">
      <c r="A5906" s="374"/>
      <c r="C5906" s="374"/>
      <c r="CV5906" s="376"/>
    </row>
    <row r="5907" spans="1:100">
      <c r="A5907" s="374"/>
      <c r="C5907" s="374"/>
      <c r="CV5907" s="376"/>
    </row>
    <row r="5908" spans="1:100">
      <c r="A5908" s="374"/>
      <c r="C5908" s="374"/>
      <c r="CV5908" s="376"/>
    </row>
    <row r="5909" spans="1:100">
      <c r="A5909" s="374"/>
      <c r="C5909" s="374"/>
      <c r="CV5909" s="376"/>
    </row>
    <row r="5910" spans="1:100">
      <c r="A5910" s="374"/>
      <c r="C5910" s="374"/>
      <c r="CV5910" s="376"/>
    </row>
    <row r="5911" spans="1:100">
      <c r="A5911" s="374"/>
      <c r="C5911" s="374"/>
      <c r="CV5911" s="376"/>
    </row>
    <row r="5912" spans="1:100">
      <c r="A5912" s="374"/>
      <c r="C5912" s="374"/>
      <c r="CV5912" s="376"/>
    </row>
    <row r="5913" spans="1:100">
      <c r="A5913" s="374"/>
      <c r="C5913" s="374"/>
      <c r="CV5913" s="376"/>
    </row>
    <row r="5914" spans="1:100">
      <c r="A5914" s="374"/>
      <c r="C5914" s="374"/>
      <c r="CV5914" s="376"/>
    </row>
    <row r="5915" spans="1:100">
      <c r="A5915" s="374"/>
      <c r="C5915" s="374"/>
      <c r="CV5915" s="376"/>
    </row>
    <row r="5916" spans="1:100">
      <c r="A5916" s="374"/>
      <c r="C5916" s="374"/>
      <c r="CV5916" s="376"/>
    </row>
    <row r="5917" spans="1:100">
      <c r="A5917" s="374"/>
      <c r="C5917" s="374"/>
      <c r="CV5917" s="376"/>
    </row>
    <row r="5918" spans="1:100">
      <c r="A5918" s="374"/>
      <c r="C5918" s="374"/>
      <c r="CV5918" s="376"/>
    </row>
    <row r="5919" spans="1:100">
      <c r="A5919" s="374"/>
      <c r="C5919" s="374"/>
      <c r="CV5919" s="376"/>
    </row>
    <row r="5920" spans="1:100">
      <c r="A5920" s="374"/>
      <c r="C5920" s="374"/>
      <c r="CV5920" s="376"/>
    </row>
    <row r="5921" spans="1:100">
      <c r="A5921" s="374"/>
      <c r="C5921" s="374"/>
      <c r="CV5921" s="376"/>
    </row>
    <row r="5922" spans="1:100">
      <c r="A5922" s="374"/>
      <c r="C5922" s="374"/>
      <c r="CV5922" s="376"/>
    </row>
    <row r="5923" spans="1:100">
      <c r="A5923" s="374"/>
      <c r="C5923" s="374"/>
      <c r="CV5923" s="376"/>
    </row>
    <row r="5924" spans="1:100">
      <c r="A5924" s="374"/>
      <c r="C5924" s="374"/>
      <c r="CV5924" s="376"/>
    </row>
    <row r="5925" spans="1:100">
      <c r="A5925" s="374"/>
      <c r="C5925" s="374"/>
      <c r="CV5925" s="376"/>
    </row>
    <row r="5926" spans="1:100">
      <c r="A5926" s="374"/>
      <c r="C5926" s="374"/>
      <c r="CV5926" s="376"/>
    </row>
    <row r="5927" spans="1:100">
      <c r="A5927" s="374"/>
      <c r="C5927" s="374"/>
      <c r="CV5927" s="376"/>
    </row>
    <row r="5928" spans="1:100">
      <c r="A5928" s="374"/>
      <c r="C5928" s="374"/>
      <c r="CV5928" s="376"/>
    </row>
    <row r="5929" spans="1:100">
      <c r="A5929" s="374"/>
      <c r="C5929" s="374"/>
      <c r="CV5929" s="376"/>
    </row>
    <row r="5930" spans="1:100">
      <c r="A5930" s="374"/>
      <c r="C5930" s="374"/>
      <c r="CV5930" s="376"/>
    </row>
    <row r="5931" spans="1:100">
      <c r="A5931" s="374"/>
      <c r="C5931" s="374"/>
      <c r="CV5931" s="376"/>
    </row>
    <row r="5932" spans="1:100">
      <c r="A5932" s="374"/>
      <c r="C5932" s="374"/>
      <c r="CV5932" s="376"/>
    </row>
    <row r="5933" spans="1:100">
      <c r="A5933" s="374"/>
      <c r="C5933" s="374"/>
      <c r="CV5933" s="376"/>
    </row>
    <row r="5934" spans="1:100">
      <c r="A5934" s="374"/>
      <c r="C5934" s="374"/>
      <c r="CV5934" s="376"/>
    </row>
    <row r="5935" spans="1:100">
      <c r="A5935" s="374"/>
      <c r="C5935" s="374"/>
      <c r="CV5935" s="376"/>
    </row>
    <row r="5936" spans="1:100">
      <c r="A5936" s="374"/>
      <c r="C5936" s="374"/>
      <c r="CV5936" s="376"/>
    </row>
    <row r="5937" spans="1:100">
      <c r="A5937" s="374"/>
      <c r="C5937" s="374"/>
      <c r="CV5937" s="376"/>
    </row>
    <row r="5938" spans="1:100">
      <c r="A5938" s="374"/>
      <c r="C5938" s="374"/>
      <c r="CV5938" s="376"/>
    </row>
    <row r="5939" spans="1:100">
      <c r="A5939" s="374"/>
      <c r="C5939" s="374"/>
      <c r="CV5939" s="376"/>
    </row>
    <row r="5940" spans="1:100">
      <c r="A5940" s="374"/>
      <c r="C5940" s="374"/>
      <c r="CV5940" s="376"/>
    </row>
    <row r="5941" spans="1:100">
      <c r="A5941" s="374"/>
      <c r="C5941" s="374"/>
      <c r="CV5941" s="376"/>
    </row>
    <row r="5942" spans="1:100">
      <c r="A5942" s="374"/>
      <c r="C5942" s="374"/>
      <c r="CV5942" s="376"/>
    </row>
    <row r="5943" spans="1:100">
      <c r="A5943" s="374"/>
      <c r="C5943" s="374"/>
      <c r="CV5943" s="376"/>
    </row>
    <row r="5944" spans="1:100">
      <c r="A5944" s="374"/>
      <c r="C5944" s="374"/>
      <c r="CV5944" s="376"/>
    </row>
    <row r="5945" spans="1:100">
      <c r="A5945" s="374"/>
      <c r="C5945" s="374"/>
      <c r="CV5945" s="376"/>
    </row>
    <row r="5946" spans="1:100">
      <c r="A5946" s="374"/>
      <c r="C5946" s="374"/>
      <c r="CV5946" s="376"/>
    </row>
    <row r="5947" spans="1:100">
      <c r="A5947" s="374"/>
      <c r="C5947" s="374"/>
      <c r="CV5947" s="376"/>
    </row>
    <row r="5948" spans="1:100">
      <c r="A5948" s="374"/>
      <c r="C5948" s="374"/>
      <c r="CV5948" s="376"/>
    </row>
    <row r="5949" spans="1:100">
      <c r="A5949" s="374"/>
      <c r="C5949" s="374"/>
      <c r="CV5949" s="376"/>
    </row>
    <row r="5950" spans="1:100">
      <c r="A5950" s="374"/>
      <c r="C5950" s="374"/>
      <c r="CV5950" s="376"/>
    </row>
    <row r="5951" spans="1:100">
      <c r="A5951" s="374"/>
      <c r="C5951" s="374"/>
      <c r="CV5951" s="376"/>
    </row>
    <row r="5952" spans="1:100">
      <c r="A5952" s="374"/>
      <c r="C5952" s="374"/>
      <c r="CV5952" s="376"/>
    </row>
    <row r="5953" spans="1:100">
      <c r="A5953" s="374"/>
      <c r="C5953" s="374"/>
      <c r="CV5953" s="376"/>
    </row>
    <row r="5954" spans="1:100">
      <c r="A5954" s="374"/>
      <c r="C5954" s="374"/>
      <c r="CV5954" s="376"/>
    </row>
    <row r="5955" spans="1:100">
      <c r="A5955" s="374"/>
      <c r="C5955" s="374"/>
      <c r="CV5955" s="376"/>
    </row>
    <row r="5956" spans="1:100">
      <c r="A5956" s="374"/>
      <c r="C5956" s="374"/>
      <c r="CV5956" s="376"/>
    </row>
    <row r="5957" spans="1:100">
      <c r="A5957" s="374"/>
      <c r="C5957" s="374"/>
      <c r="CV5957" s="376"/>
    </row>
    <row r="5958" spans="1:100">
      <c r="A5958" s="374"/>
      <c r="C5958" s="374"/>
      <c r="CV5958" s="376"/>
    </row>
    <row r="5959" spans="1:100">
      <c r="A5959" s="374"/>
      <c r="C5959" s="374"/>
      <c r="CV5959" s="376"/>
    </row>
    <row r="5960" spans="1:100">
      <c r="A5960" s="374"/>
      <c r="C5960" s="374"/>
      <c r="CV5960" s="376"/>
    </row>
    <row r="5961" spans="1:100">
      <c r="A5961" s="374"/>
      <c r="C5961" s="374"/>
      <c r="CV5961" s="376"/>
    </row>
    <row r="5962" spans="1:100">
      <c r="A5962" s="374"/>
      <c r="C5962" s="374"/>
      <c r="CV5962" s="376"/>
    </row>
    <row r="5963" spans="1:100">
      <c r="A5963" s="374"/>
      <c r="C5963" s="374"/>
      <c r="CV5963" s="376"/>
    </row>
    <row r="5964" spans="1:100">
      <c r="A5964" s="374"/>
      <c r="C5964" s="374"/>
      <c r="CV5964" s="376"/>
    </row>
    <row r="5965" spans="1:100">
      <c r="A5965" s="374"/>
      <c r="C5965" s="374"/>
      <c r="CV5965" s="376"/>
    </row>
    <row r="5966" spans="1:100">
      <c r="A5966" s="374"/>
      <c r="C5966" s="374"/>
      <c r="CV5966" s="376"/>
    </row>
    <row r="5967" spans="1:100">
      <c r="A5967" s="374"/>
      <c r="C5967" s="374"/>
      <c r="CV5967" s="376"/>
    </row>
    <row r="5968" spans="1:100">
      <c r="A5968" s="374"/>
      <c r="C5968" s="374"/>
      <c r="CV5968" s="376"/>
    </row>
    <row r="5969" spans="1:100">
      <c r="A5969" s="374"/>
      <c r="C5969" s="374"/>
      <c r="CV5969" s="376"/>
    </row>
    <row r="5970" spans="1:100">
      <c r="A5970" s="374"/>
      <c r="C5970" s="374"/>
      <c r="CV5970" s="376"/>
    </row>
    <row r="5971" spans="1:100">
      <c r="A5971" s="374"/>
      <c r="C5971" s="374"/>
      <c r="CV5971" s="376"/>
    </row>
    <row r="5972" spans="1:100">
      <c r="A5972" s="374"/>
      <c r="C5972" s="374"/>
      <c r="CV5972" s="376"/>
    </row>
    <row r="5973" spans="1:100">
      <c r="A5973" s="374"/>
      <c r="C5973" s="374"/>
      <c r="CV5973" s="376"/>
    </row>
    <row r="5974" spans="1:100">
      <c r="A5974" s="374"/>
      <c r="C5974" s="374"/>
      <c r="CV5974" s="376"/>
    </row>
    <row r="5975" spans="1:100">
      <c r="A5975" s="374"/>
      <c r="C5975" s="374"/>
      <c r="CV5975" s="376"/>
    </row>
    <row r="5976" spans="1:100">
      <c r="A5976" s="374"/>
      <c r="C5976" s="374"/>
      <c r="CV5976" s="376"/>
    </row>
    <row r="5977" spans="1:100">
      <c r="A5977" s="374"/>
      <c r="C5977" s="374"/>
      <c r="CV5977" s="376"/>
    </row>
    <row r="5978" spans="1:100">
      <c r="A5978" s="374"/>
      <c r="C5978" s="374"/>
      <c r="CV5978" s="376"/>
    </row>
    <row r="5979" spans="1:100">
      <c r="A5979" s="374"/>
      <c r="C5979" s="374"/>
      <c r="CV5979" s="376"/>
    </row>
    <row r="5980" spans="1:100">
      <c r="A5980" s="374"/>
      <c r="C5980" s="374"/>
      <c r="CV5980" s="376"/>
    </row>
    <row r="5981" spans="1:100">
      <c r="A5981" s="374"/>
      <c r="C5981" s="374"/>
      <c r="CV5981" s="376"/>
    </row>
    <row r="5982" spans="1:100">
      <c r="A5982" s="374"/>
      <c r="C5982" s="374"/>
      <c r="CV5982" s="376"/>
    </row>
    <row r="5983" spans="1:100">
      <c r="A5983" s="374"/>
      <c r="C5983" s="374"/>
      <c r="CV5983" s="376"/>
    </row>
    <row r="5984" spans="1:100">
      <c r="A5984" s="374"/>
      <c r="C5984" s="374"/>
      <c r="CV5984" s="376"/>
    </row>
    <row r="5985" spans="1:100">
      <c r="A5985" s="374"/>
      <c r="C5985" s="374"/>
      <c r="CV5985" s="376"/>
    </row>
    <row r="5986" spans="1:100">
      <c r="A5986" s="374"/>
      <c r="C5986" s="374"/>
      <c r="CV5986" s="376"/>
    </row>
    <row r="5987" spans="1:100">
      <c r="A5987" s="374"/>
      <c r="C5987" s="374"/>
      <c r="CV5987" s="376"/>
    </row>
    <row r="5988" spans="1:100">
      <c r="A5988" s="374"/>
      <c r="C5988" s="374"/>
      <c r="CV5988" s="376"/>
    </row>
    <row r="5989" spans="1:100">
      <c r="A5989" s="374"/>
      <c r="C5989" s="374"/>
      <c r="CV5989" s="376"/>
    </row>
    <row r="5990" spans="1:100">
      <c r="A5990" s="374"/>
      <c r="C5990" s="374"/>
      <c r="CV5990" s="376"/>
    </row>
    <row r="5991" spans="1:100">
      <c r="A5991" s="374"/>
      <c r="C5991" s="374"/>
      <c r="CV5991" s="376"/>
    </row>
    <row r="5992" spans="1:100">
      <c r="A5992" s="374"/>
      <c r="C5992" s="374"/>
      <c r="CV5992" s="376"/>
    </row>
    <row r="5993" spans="1:100">
      <c r="A5993" s="374"/>
      <c r="C5993" s="374"/>
      <c r="CV5993" s="376"/>
    </row>
    <row r="5994" spans="1:100">
      <c r="A5994" s="374"/>
      <c r="C5994" s="374"/>
      <c r="CV5994" s="376"/>
    </row>
    <row r="5995" spans="1:100">
      <c r="A5995" s="374"/>
      <c r="C5995" s="374"/>
      <c r="CV5995" s="376"/>
    </row>
    <row r="5996" spans="1:100">
      <c r="A5996" s="374"/>
      <c r="C5996" s="374"/>
      <c r="CV5996" s="376"/>
    </row>
    <row r="5997" spans="1:100">
      <c r="A5997" s="374"/>
      <c r="C5997" s="374"/>
      <c r="CV5997" s="376"/>
    </row>
    <row r="5998" spans="1:100">
      <c r="A5998" s="374"/>
      <c r="C5998" s="374"/>
      <c r="CV5998" s="376"/>
    </row>
    <row r="5999" spans="1:100">
      <c r="A5999" s="374"/>
      <c r="C5999" s="374"/>
      <c r="CV5999" s="376"/>
    </row>
    <row r="6000" spans="1:100">
      <c r="A6000" s="374"/>
      <c r="C6000" s="374"/>
      <c r="CV6000" s="376"/>
    </row>
    <row r="6001" spans="1:100">
      <c r="A6001" s="374"/>
      <c r="C6001" s="374"/>
      <c r="CV6001" s="376"/>
    </row>
    <row r="6002" spans="1:100">
      <c r="A6002" s="374"/>
      <c r="C6002" s="374"/>
      <c r="CV6002" s="376"/>
    </row>
    <row r="6003" spans="1:100">
      <c r="A6003" s="374"/>
      <c r="C6003" s="374"/>
      <c r="CV6003" s="376"/>
    </row>
    <row r="6004" spans="1:100">
      <c r="A6004" s="374"/>
      <c r="C6004" s="374"/>
      <c r="CV6004" s="376"/>
    </row>
    <row r="6005" spans="1:100">
      <c r="A6005" s="374"/>
      <c r="C6005" s="374"/>
      <c r="CV6005" s="376"/>
    </row>
    <row r="6006" spans="1:100">
      <c r="A6006" s="374"/>
      <c r="C6006" s="374"/>
      <c r="CV6006" s="376"/>
    </row>
    <row r="6007" spans="1:100">
      <c r="A6007" s="374"/>
      <c r="C6007" s="374"/>
      <c r="CV6007" s="376"/>
    </row>
    <row r="6008" spans="1:100">
      <c r="A6008" s="374"/>
      <c r="C6008" s="374"/>
      <c r="CV6008" s="376"/>
    </row>
    <row r="6009" spans="1:100">
      <c r="A6009" s="374"/>
      <c r="C6009" s="374"/>
      <c r="CV6009" s="376"/>
    </row>
    <row r="6010" spans="1:100">
      <c r="A6010" s="374"/>
      <c r="C6010" s="374"/>
      <c r="CV6010" s="376"/>
    </row>
    <row r="6011" spans="1:100">
      <c r="A6011" s="374"/>
      <c r="C6011" s="374"/>
      <c r="CV6011" s="376"/>
    </row>
    <row r="6012" spans="1:100">
      <c r="A6012" s="374"/>
      <c r="C6012" s="374"/>
      <c r="CV6012" s="376"/>
    </row>
    <row r="6013" spans="1:100">
      <c r="A6013" s="374"/>
      <c r="C6013" s="374"/>
      <c r="CV6013" s="376"/>
    </row>
    <row r="6014" spans="1:100">
      <c r="A6014" s="374"/>
      <c r="C6014" s="374"/>
      <c r="CV6014" s="376"/>
    </row>
    <row r="6015" spans="1:100">
      <c r="A6015" s="374"/>
      <c r="C6015" s="374"/>
      <c r="CV6015" s="376"/>
    </row>
    <row r="6016" spans="1:100">
      <c r="A6016" s="374"/>
      <c r="C6016" s="374"/>
      <c r="CV6016" s="376"/>
    </row>
    <row r="6017" spans="1:100">
      <c r="A6017" s="374"/>
      <c r="C6017" s="374"/>
      <c r="CV6017" s="376"/>
    </row>
    <row r="6018" spans="1:100">
      <c r="A6018" s="374"/>
      <c r="C6018" s="374"/>
      <c r="CV6018" s="376"/>
    </row>
    <row r="6019" spans="1:100">
      <c r="A6019" s="374"/>
      <c r="C6019" s="374"/>
      <c r="CV6019" s="376"/>
    </row>
    <row r="6020" spans="1:100">
      <c r="A6020" s="374"/>
      <c r="C6020" s="374"/>
      <c r="CV6020" s="376"/>
    </row>
    <row r="6021" spans="1:100">
      <c r="A6021" s="374"/>
      <c r="C6021" s="374"/>
      <c r="CV6021" s="376"/>
    </row>
    <row r="6022" spans="1:100">
      <c r="A6022" s="374"/>
      <c r="C6022" s="374"/>
      <c r="CV6022" s="376"/>
    </row>
    <row r="6023" spans="1:100">
      <c r="A6023" s="374"/>
      <c r="C6023" s="374"/>
      <c r="CV6023" s="376"/>
    </row>
    <row r="6024" spans="1:100">
      <c r="A6024" s="374"/>
      <c r="C6024" s="374"/>
      <c r="CV6024" s="376"/>
    </row>
    <row r="6025" spans="1:100">
      <c r="A6025" s="374"/>
      <c r="C6025" s="374"/>
      <c r="CV6025" s="376"/>
    </row>
    <row r="6026" spans="1:100">
      <c r="A6026" s="374"/>
      <c r="C6026" s="374"/>
      <c r="CV6026" s="376"/>
    </row>
    <row r="6027" spans="1:100">
      <c r="A6027" s="374"/>
      <c r="C6027" s="374"/>
      <c r="CV6027" s="376"/>
    </row>
    <row r="6028" spans="1:100">
      <c r="A6028" s="374"/>
      <c r="C6028" s="374"/>
      <c r="CV6028" s="376"/>
    </row>
    <row r="6029" spans="1:100">
      <c r="A6029" s="374"/>
      <c r="C6029" s="374"/>
      <c r="CV6029" s="376"/>
    </row>
    <row r="6030" spans="1:100">
      <c r="A6030" s="374"/>
      <c r="C6030" s="374"/>
      <c r="CV6030" s="376"/>
    </row>
    <row r="6031" spans="1:100">
      <c r="A6031" s="374"/>
      <c r="C6031" s="374"/>
      <c r="CV6031" s="376"/>
    </row>
    <row r="6032" spans="1:100">
      <c r="A6032" s="374"/>
      <c r="C6032" s="374"/>
      <c r="CV6032" s="376"/>
    </row>
    <row r="6033" spans="1:100">
      <c r="A6033" s="374"/>
      <c r="C6033" s="374"/>
      <c r="CV6033" s="376"/>
    </row>
    <row r="6034" spans="1:100">
      <c r="A6034" s="374"/>
      <c r="C6034" s="374"/>
      <c r="CV6034" s="376"/>
    </row>
    <row r="6035" spans="1:100">
      <c r="A6035" s="374"/>
      <c r="C6035" s="374"/>
      <c r="CV6035" s="376"/>
    </row>
    <row r="6036" spans="1:100">
      <c r="A6036" s="374"/>
      <c r="C6036" s="374"/>
      <c r="CV6036" s="376"/>
    </row>
    <row r="6037" spans="1:100">
      <c r="A6037" s="374"/>
      <c r="C6037" s="374"/>
      <c r="CV6037" s="376"/>
    </row>
    <row r="6038" spans="1:100">
      <c r="A6038" s="374"/>
      <c r="C6038" s="374"/>
      <c r="CV6038" s="376"/>
    </row>
    <row r="6039" spans="1:100">
      <c r="A6039" s="374"/>
      <c r="C6039" s="374"/>
      <c r="CV6039" s="376"/>
    </row>
    <row r="6040" spans="1:100">
      <c r="A6040" s="374"/>
      <c r="C6040" s="374"/>
      <c r="CV6040" s="376"/>
    </row>
    <row r="6041" spans="1:100">
      <c r="A6041" s="374"/>
      <c r="C6041" s="374"/>
      <c r="CV6041" s="376"/>
    </row>
    <row r="6042" spans="1:100">
      <c r="A6042" s="374"/>
      <c r="C6042" s="374"/>
      <c r="CV6042" s="376"/>
    </row>
    <row r="6043" spans="1:100">
      <c r="A6043" s="374"/>
      <c r="C6043" s="374"/>
      <c r="CV6043" s="376"/>
    </row>
    <row r="6044" spans="1:100">
      <c r="A6044" s="374"/>
      <c r="C6044" s="374"/>
      <c r="CV6044" s="376"/>
    </row>
    <row r="6045" spans="1:100">
      <c r="A6045" s="374"/>
      <c r="C6045" s="374"/>
      <c r="CV6045" s="376"/>
    </row>
    <row r="6046" spans="1:100">
      <c r="A6046" s="374"/>
      <c r="C6046" s="374"/>
      <c r="CV6046" s="376"/>
    </row>
    <row r="6047" spans="1:100">
      <c r="A6047" s="374"/>
      <c r="C6047" s="374"/>
      <c r="CV6047" s="376"/>
    </row>
    <row r="6048" spans="1:100">
      <c r="A6048" s="374"/>
      <c r="C6048" s="374"/>
      <c r="CV6048" s="376"/>
    </row>
    <row r="6049" spans="1:100">
      <c r="A6049" s="374"/>
      <c r="C6049" s="374"/>
      <c r="CV6049" s="376"/>
    </row>
    <row r="6050" spans="1:100">
      <c r="A6050" s="374"/>
      <c r="C6050" s="374"/>
      <c r="CV6050" s="376"/>
    </row>
    <row r="6051" spans="1:100">
      <c r="A6051" s="374"/>
      <c r="C6051" s="374"/>
      <c r="CV6051" s="376"/>
    </row>
    <row r="6052" spans="1:100">
      <c r="A6052" s="374"/>
      <c r="C6052" s="374"/>
      <c r="CV6052" s="376"/>
    </row>
    <row r="6053" spans="1:100">
      <c r="A6053" s="374"/>
      <c r="C6053" s="374"/>
      <c r="CV6053" s="376"/>
    </row>
    <row r="6054" spans="1:100">
      <c r="A6054" s="374"/>
      <c r="C6054" s="374"/>
      <c r="CV6054" s="376"/>
    </row>
    <row r="6055" spans="1:100">
      <c r="A6055" s="374"/>
      <c r="C6055" s="374"/>
      <c r="CV6055" s="376"/>
    </row>
    <row r="6056" spans="1:100">
      <c r="A6056" s="374"/>
      <c r="C6056" s="374"/>
      <c r="CV6056" s="376"/>
    </row>
    <row r="6057" spans="1:100">
      <c r="A6057" s="374"/>
      <c r="C6057" s="374"/>
      <c r="CV6057" s="376"/>
    </row>
    <row r="6058" spans="1:100">
      <c r="A6058" s="374"/>
      <c r="C6058" s="374"/>
      <c r="CV6058" s="376"/>
    </row>
    <row r="6059" spans="1:100">
      <c r="A6059" s="374"/>
      <c r="C6059" s="374"/>
      <c r="CV6059" s="376"/>
    </row>
    <row r="6060" spans="1:100">
      <c r="A6060" s="374"/>
      <c r="C6060" s="374"/>
      <c r="CV6060" s="376"/>
    </row>
    <row r="6061" spans="1:100">
      <c r="A6061" s="374"/>
      <c r="C6061" s="374"/>
      <c r="CV6061" s="376"/>
    </row>
    <row r="6062" spans="1:100">
      <c r="A6062" s="374"/>
      <c r="C6062" s="374"/>
      <c r="CV6062" s="376"/>
    </row>
    <row r="6063" spans="1:100">
      <c r="A6063" s="374"/>
      <c r="C6063" s="374"/>
      <c r="CV6063" s="376"/>
    </row>
    <row r="6064" spans="1:100">
      <c r="A6064" s="374"/>
      <c r="C6064" s="374"/>
      <c r="CV6064" s="376"/>
    </row>
    <row r="6065" spans="1:100">
      <c r="A6065" s="374"/>
      <c r="C6065" s="374"/>
      <c r="CV6065" s="376"/>
    </row>
    <row r="6066" spans="1:100">
      <c r="A6066" s="374"/>
      <c r="C6066" s="374"/>
      <c r="CV6066" s="376"/>
    </row>
    <row r="6067" spans="1:100">
      <c r="A6067" s="374"/>
      <c r="C6067" s="374"/>
      <c r="CV6067" s="376"/>
    </row>
    <row r="6068" spans="1:100">
      <c r="A6068" s="374"/>
      <c r="C6068" s="374"/>
      <c r="CV6068" s="376"/>
    </row>
    <row r="6069" spans="1:100">
      <c r="A6069" s="374"/>
      <c r="C6069" s="374"/>
      <c r="CV6069" s="376"/>
    </row>
    <row r="6070" spans="1:100">
      <c r="A6070" s="374"/>
      <c r="C6070" s="374"/>
      <c r="CV6070" s="376"/>
    </row>
    <row r="6071" spans="1:100">
      <c r="A6071" s="374"/>
      <c r="C6071" s="374"/>
      <c r="CV6071" s="376"/>
    </row>
    <row r="6072" spans="1:100">
      <c r="A6072" s="374"/>
      <c r="C6072" s="374"/>
      <c r="CV6072" s="376"/>
    </row>
    <row r="6073" spans="1:100">
      <c r="A6073" s="374"/>
      <c r="C6073" s="374"/>
      <c r="CV6073" s="376"/>
    </row>
    <row r="6074" spans="1:100">
      <c r="A6074" s="374"/>
      <c r="C6074" s="374"/>
      <c r="CV6074" s="376"/>
    </row>
    <row r="6075" spans="1:100">
      <c r="A6075" s="374"/>
      <c r="C6075" s="374"/>
      <c r="CV6075" s="376"/>
    </row>
    <row r="6076" spans="1:100">
      <c r="A6076" s="374"/>
      <c r="C6076" s="374"/>
      <c r="CV6076" s="376"/>
    </row>
    <row r="6077" spans="1:100">
      <c r="A6077" s="374"/>
      <c r="C6077" s="374"/>
      <c r="CV6077" s="376"/>
    </row>
    <row r="6078" spans="1:100">
      <c r="A6078" s="374"/>
      <c r="C6078" s="374"/>
      <c r="CV6078" s="376"/>
    </row>
    <row r="6079" spans="1:100">
      <c r="A6079" s="374"/>
      <c r="C6079" s="374"/>
      <c r="CV6079" s="376"/>
    </row>
    <row r="6080" spans="1:100">
      <c r="A6080" s="374"/>
      <c r="C6080" s="374"/>
      <c r="CV6080" s="376"/>
    </row>
    <row r="6081" spans="1:100">
      <c r="A6081" s="374"/>
      <c r="C6081" s="374"/>
      <c r="CV6081" s="376"/>
    </row>
    <row r="6082" spans="1:100">
      <c r="A6082" s="374"/>
      <c r="C6082" s="374"/>
      <c r="CV6082" s="376"/>
    </row>
    <row r="6083" spans="1:100">
      <c r="A6083" s="374"/>
      <c r="C6083" s="374"/>
      <c r="CV6083" s="376"/>
    </row>
    <row r="6084" spans="1:100">
      <c r="A6084" s="374"/>
      <c r="C6084" s="374"/>
      <c r="CV6084" s="376"/>
    </row>
    <row r="6085" spans="1:100">
      <c r="A6085" s="374"/>
      <c r="C6085" s="374"/>
      <c r="CV6085" s="376"/>
    </row>
    <row r="6086" spans="1:100">
      <c r="A6086" s="374"/>
      <c r="C6086" s="374"/>
      <c r="CV6086" s="376"/>
    </row>
    <row r="6087" spans="1:100">
      <c r="A6087" s="374"/>
      <c r="C6087" s="374"/>
      <c r="CV6087" s="376"/>
    </row>
    <row r="6088" spans="1:100">
      <c r="A6088" s="374"/>
      <c r="C6088" s="374"/>
      <c r="CV6088" s="376"/>
    </row>
    <row r="6089" spans="1:100">
      <c r="A6089" s="374"/>
      <c r="C6089" s="374"/>
      <c r="CV6089" s="376"/>
    </row>
    <row r="6090" spans="1:100">
      <c r="A6090" s="374"/>
      <c r="C6090" s="374"/>
      <c r="CV6090" s="376"/>
    </row>
    <row r="6091" spans="1:100">
      <c r="A6091" s="374"/>
      <c r="C6091" s="374"/>
      <c r="CV6091" s="376"/>
    </row>
    <row r="6092" spans="1:100">
      <c r="A6092" s="374"/>
      <c r="C6092" s="374"/>
      <c r="CV6092" s="376"/>
    </row>
    <row r="6093" spans="1:100">
      <c r="A6093" s="374"/>
      <c r="C6093" s="374"/>
      <c r="CV6093" s="376"/>
    </row>
    <row r="6094" spans="1:100">
      <c r="A6094" s="374"/>
      <c r="C6094" s="374"/>
      <c r="CV6094" s="376"/>
    </row>
    <row r="6095" spans="1:100">
      <c r="A6095" s="374"/>
      <c r="C6095" s="374"/>
      <c r="CV6095" s="376"/>
    </row>
    <row r="6096" spans="1:100">
      <c r="A6096" s="374"/>
      <c r="C6096" s="374"/>
      <c r="CV6096" s="376"/>
    </row>
    <row r="6097" spans="1:100">
      <c r="A6097" s="374"/>
      <c r="C6097" s="374"/>
      <c r="CV6097" s="376"/>
    </row>
    <row r="6098" spans="1:100">
      <c r="A6098" s="374"/>
      <c r="C6098" s="374"/>
      <c r="CV6098" s="376"/>
    </row>
    <row r="6099" spans="1:100">
      <c r="A6099" s="374"/>
      <c r="C6099" s="374"/>
      <c r="CV6099" s="376"/>
    </row>
    <row r="6100" spans="1:100">
      <c r="A6100" s="374"/>
      <c r="C6100" s="374"/>
      <c r="CV6100" s="376"/>
    </row>
    <row r="6101" spans="1:100">
      <c r="A6101" s="374"/>
      <c r="C6101" s="374"/>
      <c r="CV6101" s="376"/>
    </row>
    <row r="6102" spans="1:100">
      <c r="A6102" s="374"/>
      <c r="C6102" s="374"/>
      <c r="CV6102" s="376"/>
    </row>
    <row r="6103" spans="1:100">
      <c r="A6103" s="374"/>
      <c r="C6103" s="374"/>
      <c r="CV6103" s="376"/>
    </row>
    <row r="6104" spans="1:100">
      <c r="A6104" s="374"/>
      <c r="C6104" s="374"/>
      <c r="CV6104" s="376"/>
    </row>
    <row r="6105" spans="1:100">
      <c r="A6105" s="374"/>
      <c r="C6105" s="374"/>
      <c r="CV6105" s="376"/>
    </row>
    <row r="6106" spans="1:100">
      <c r="A6106" s="374"/>
      <c r="C6106" s="374"/>
      <c r="CV6106" s="376"/>
    </row>
    <row r="6107" spans="1:100">
      <c r="A6107" s="374"/>
      <c r="C6107" s="374"/>
      <c r="CV6107" s="376"/>
    </row>
    <row r="6108" spans="1:100">
      <c r="A6108" s="374"/>
      <c r="C6108" s="374"/>
      <c r="CV6108" s="376"/>
    </row>
    <row r="6109" spans="1:100">
      <c r="A6109" s="374"/>
      <c r="C6109" s="374"/>
      <c r="CV6109" s="376"/>
    </row>
    <row r="6110" spans="1:100">
      <c r="A6110" s="374"/>
      <c r="C6110" s="374"/>
      <c r="CV6110" s="376"/>
    </row>
    <row r="6111" spans="1:100">
      <c r="A6111" s="374"/>
      <c r="C6111" s="374"/>
      <c r="CV6111" s="376"/>
    </row>
    <row r="6112" spans="1:100">
      <c r="A6112" s="374"/>
      <c r="C6112" s="374"/>
      <c r="CV6112" s="376"/>
    </row>
    <row r="6113" spans="1:100">
      <c r="A6113" s="374"/>
      <c r="C6113" s="374"/>
      <c r="CV6113" s="376"/>
    </row>
    <row r="6114" spans="1:100">
      <c r="A6114" s="374"/>
      <c r="C6114" s="374"/>
      <c r="CV6114" s="376"/>
    </row>
    <row r="6115" spans="1:100">
      <c r="A6115" s="374"/>
      <c r="C6115" s="374"/>
      <c r="CV6115" s="376"/>
    </row>
    <row r="6116" spans="1:100">
      <c r="A6116" s="374"/>
      <c r="C6116" s="374"/>
      <c r="CV6116" s="376"/>
    </row>
    <row r="6117" spans="1:100">
      <c r="A6117" s="374"/>
      <c r="C6117" s="374"/>
      <c r="CV6117" s="376"/>
    </row>
    <row r="6118" spans="1:100">
      <c r="A6118" s="374"/>
      <c r="C6118" s="374"/>
      <c r="CV6118" s="376"/>
    </row>
    <row r="6119" spans="1:100">
      <c r="A6119" s="374"/>
      <c r="C6119" s="374"/>
      <c r="CV6119" s="376"/>
    </row>
    <row r="6120" spans="1:100">
      <c r="A6120" s="374"/>
      <c r="C6120" s="374"/>
      <c r="CV6120" s="376"/>
    </row>
    <row r="6121" spans="1:100">
      <c r="A6121" s="374"/>
      <c r="C6121" s="374"/>
      <c r="CV6121" s="376"/>
    </row>
    <row r="6122" spans="1:100">
      <c r="A6122" s="374"/>
      <c r="C6122" s="374"/>
      <c r="CV6122" s="376"/>
    </row>
    <row r="6123" spans="1:100">
      <c r="A6123" s="374"/>
      <c r="C6123" s="374"/>
      <c r="CV6123" s="376"/>
    </row>
    <row r="6124" spans="1:100">
      <c r="A6124" s="374"/>
      <c r="C6124" s="374"/>
      <c r="CV6124" s="376"/>
    </row>
    <row r="6125" spans="1:100">
      <c r="A6125" s="374"/>
      <c r="C6125" s="374"/>
      <c r="CV6125" s="376"/>
    </row>
    <row r="6126" spans="1:100">
      <c r="A6126" s="374"/>
      <c r="C6126" s="374"/>
      <c r="CV6126" s="376"/>
    </row>
    <row r="6127" spans="1:100">
      <c r="A6127" s="374"/>
      <c r="C6127" s="374"/>
      <c r="CV6127" s="376"/>
    </row>
    <row r="6128" spans="1:100">
      <c r="A6128" s="374"/>
      <c r="C6128" s="374"/>
      <c r="CV6128" s="376"/>
    </row>
    <row r="6129" spans="1:100">
      <c r="A6129" s="374"/>
      <c r="C6129" s="374"/>
      <c r="CV6129" s="376"/>
    </row>
    <row r="6130" spans="1:100">
      <c r="A6130" s="374"/>
      <c r="C6130" s="374"/>
      <c r="CV6130" s="376"/>
    </row>
    <row r="6131" spans="1:100">
      <c r="A6131" s="374"/>
      <c r="C6131" s="374"/>
      <c r="CV6131" s="376"/>
    </row>
    <row r="6132" spans="1:100">
      <c r="A6132" s="374"/>
      <c r="C6132" s="374"/>
      <c r="CV6132" s="376"/>
    </row>
    <row r="6133" spans="1:100">
      <c r="A6133" s="374"/>
      <c r="C6133" s="374"/>
      <c r="CV6133" s="376"/>
    </row>
    <row r="6134" spans="1:100">
      <c r="A6134" s="374"/>
      <c r="C6134" s="374"/>
      <c r="CV6134" s="376"/>
    </row>
    <row r="6135" spans="1:100">
      <c r="A6135" s="374"/>
      <c r="C6135" s="374"/>
      <c r="CV6135" s="376"/>
    </row>
    <row r="6136" spans="1:100">
      <c r="A6136" s="374"/>
      <c r="C6136" s="374"/>
      <c r="CV6136" s="376"/>
    </row>
    <row r="6137" spans="1:100">
      <c r="A6137" s="374"/>
      <c r="C6137" s="374"/>
      <c r="CV6137" s="376"/>
    </row>
    <row r="6138" spans="1:100">
      <c r="A6138" s="374"/>
      <c r="C6138" s="374"/>
      <c r="CV6138" s="376"/>
    </row>
    <row r="6139" spans="1:100">
      <c r="A6139" s="374"/>
      <c r="C6139" s="374"/>
      <c r="CV6139" s="376"/>
    </row>
    <row r="6140" spans="1:100">
      <c r="A6140" s="374"/>
      <c r="C6140" s="374"/>
      <c r="CV6140" s="376"/>
    </row>
    <row r="6141" spans="1:100">
      <c r="A6141" s="374"/>
      <c r="C6141" s="374"/>
      <c r="CV6141" s="376"/>
    </row>
    <row r="6142" spans="1:100">
      <c r="A6142" s="374"/>
      <c r="C6142" s="374"/>
      <c r="CV6142" s="376"/>
    </row>
    <row r="6143" spans="1:100">
      <c r="A6143" s="374"/>
      <c r="C6143" s="374"/>
      <c r="CV6143" s="376"/>
    </row>
    <row r="6144" spans="1:100">
      <c r="A6144" s="374"/>
      <c r="C6144" s="374"/>
      <c r="CV6144" s="376"/>
    </row>
    <row r="6145" spans="1:100">
      <c r="A6145" s="374"/>
      <c r="C6145" s="374"/>
      <c r="CV6145" s="376"/>
    </row>
    <row r="6146" spans="1:100">
      <c r="A6146" s="374"/>
      <c r="C6146" s="374"/>
      <c r="CV6146" s="376"/>
    </row>
    <row r="6147" spans="1:100">
      <c r="A6147" s="374"/>
      <c r="C6147" s="374"/>
      <c r="CV6147" s="376"/>
    </row>
    <row r="6148" spans="1:100">
      <c r="A6148" s="374"/>
      <c r="C6148" s="374"/>
      <c r="CV6148" s="376"/>
    </row>
    <row r="6149" spans="1:100">
      <c r="A6149" s="374"/>
      <c r="C6149" s="374"/>
      <c r="CV6149" s="376"/>
    </row>
    <row r="6150" spans="1:100">
      <c r="A6150" s="374"/>
      <c r="C6150" s="374"/>
      <c r="CV6150" s="376"/>
    </row>
    <row r="6151" spans="1:100">
      <c r="A6151" s="374"/>
      <c r="C6151" s="374"/>
      <c r="CV6151" s="376"/>
    </row>
    <row r="6152" spans="1:100">
      <c r="A6152" s="374"/>
      <c r="C6152" s="374"/>
      <c r="CV6152" s="376"/>
    </row>
    <row r="6153" spans="1:100">
      <c r="A6153" s="374"/>
      <c r="C6153" s="374"/>
      <c r="CV6153" s="376"/>
    </row>
    <row r="6154" spans="1:100">
      <c r="A6154" s="374"/>
      <c r="C6154" s="374"/>
      <c r="CV6154" s="376"/>
    </row>
    <row r="6155" spans="1:100">
      <c r="A6155" s="374"/>
      <c r="C6155" s="374"/>
      <c r="CV6155" s="376"/>
    </row>
    <row r="6156" spans="1:100">
      <c r="A6156" s="374"/>
      <c r="C6156" s="374"/>
      <c r="CV6156" s="376"/>
    </row>
    <row r="6157" spans="1:100">
      <c r="A6157" s="374"/>
      <c r="C6157" s="374"/>
      <c r="CV6157" s="376"/>
    </row>
    <row r="6158" spans="1:100">
      <c r="A6158" s="374"/>
      <c r="C6158" s="374"/>
      <c r="CV6158" s="376"/>
    </row>
    <row r="6159" spans="1:100">
      <c r="A6159" s="374"/>
      <c r="C6159" s="374"/>
      <c r="CV6159" s="376"/>
    </row>
    <row r="6160" spans="1:100">
      <c r="A6160" s="374"/>
      <c r="C6160" s="374"/>
      <c r="CV6160" s="376"/>
    </row>
    <row r="6161" spans="1:100">
      <c r="A6161" s="374"/>
      <c r="C6161" s="374"/>
      <c r="CV6161" s="376"/>
    </row>
    <row r="6162" spans="1:100">
      <c r="A6162" s="374"/>
      <c r="C6162" s="374"/>
      <c r="CV6162" s="376"/>
    </row>
    <row r="6163" spans="1:100">
      <c r="A6163" s="374"/>
      <c r="C6163" s="374"/>
      <c r="CV6163" s="376"/>
    </row>
    <row r="6164" spans="1:100">
      <c r="A6164" s="374"/>
      <c r="C6164" s="374"/>
      <c r="CV6164" s="376"/>
    </row>
    <row r="6165" spans="1:100">
      <c r="A6165" s="374"/>
      <c r="C6165" s="374"/>
      <c r="CV6165" s="376"/>
    </row>
    <row r="6166" spans="1:100">
      <c r="A6166" s="374"/>
      <c r="C6166" s="374"/>
      <c r="CV6166" s="376"/>
    </row>
    <row r="6167" spans="1:100">
      <c r="A6167" s="374"/>
      <c r="C6167" s="374"/>
      <c r="CV6167" s="376"/>
    </row>
    <row r="6168" spans="1:100">
      <c r="A6168" s="374"/>
      <c r="C6168" s="374"/>
      <c r="CV6168" s="376"/>
    </row>
    <row r="6169" spans="1:100">
      <c r="A6169" s="374"/>
      <c r="C6169" s="374"/>
      <c r="CV6169" s="376"/>
    </row>
    <row r="6170" spans="1:100">
      <c r="A6170" s="374"/>
      <c r="C6170" s="374"/>
      <c r="CV6170" s="376"/>
    </row>
    <row r="6171" spans="1:100">
      <c r="A6171" s="374"/>
      <c r="C6171" s="374"/>
      <c r="CV6171" s="376"/>
    </row>
    <row r="6172" spans="1:100">
      <c r="A6172" s="374"/>
      <c r="C6172" s="374"/>
      <c r="CV6172" s="376"/>
    </row>
    <row r="6173" spans="1:100">
      <c r="A6173" s="374"/>
      <c r="C6173" s="374"/>
      <c r="CV6173" s="376"/>
    </row>
    <row r="6174" spans="1:100">
      <c r="A6174" s="374"/>
      <c r="C6174" s="374"/>
      <c r="CV6174" s="376"/>
    </row>
    <row r="6175" spans="1:100">
      <c r="A6175" s="374"/>
      <c r="C6175" s="374"/>
      <c r="CV6175" s="376"/>
    </row>
    <row r="6176" spans="1:100">
      <c r="A6176" s="374"/>
      <c r="C6176" s="374"/>
      <c r="CV6176" s="376"/>
    </row>
    <row r="6177" spans="1:100">
      <c r="A6177" s="374"/>
      <c r="C6177" s="374"/>
      <c r="CV6177" s="376"/>
    </row>
    <row r="6178" spans="1:100">
      <c r="A6178" s="374"/>
      <c r="C6178" s="374"/>
      <c r="CV6178" s="376"/>
    </row>
    <row r="6179" spans="1:100">
      <c r="A6179" s="374"/>
      <c r="C6179" s="374"/>
      <c r="CV6179" s="376"/>
    </row>
    <row r="6180" spans="1:100">
      <c r="A6180" s="374"/>
      <c r="C6180" s="374"/>
      <c r="CV6180" s="376"/>
    </row>
    <row r="6181" spans="1:100">
      <c r="A6181" s="374"/>
      <c r="C6181" s="374"/>
      <c r="CV6181" s="376"/>
    </row>
    <row r="6182" spans="1:100">
      <c r="A6182" s="374"/>
      <c r="C6182" s="374"/>
      <c r="CV6182" s="376"/>
    </row>
    <row r="6183" spans="1:100">
      <c r="A6183" s="374"/>
      <c r="C6183" s="374"/>
      <c r="CV6183" s="376"/>
    </row>
    <row r="6184" spans="1:100">
      <c r="A6184" s="374"/>
      <c r="C6184" s="374"/>
      <c r="CV6184" s="376"/>
    </row>
    <row r="6185" spans="1:100">
      <c r="A6185" s="374"/>
      <c r="C6185" s="374"/>
      <c r="CV6185" s="376"/>
    </row>
    <row r="6186" spans="1:100">
      <c r="A6186" s="374"/>
      <c r="C6186" s="374"/>
      <c r="CV6186" s="376"/>
    </row>
    <row r="6187" spans="1:100">
      <c r="A6187" s="374"/>
      <c r="C6187" s="374"/>
      <c r="CV6187" s="376"/>
    </row>
    <row r="6188" spans="1:100">
      <c r="A6188" s="374"/>
      <c r="C6188" s="374"/>
      <c r="CV6188" s="376"/>
    </row>
    <row r="6189" spans="1:100">
      <c r="A6189" s="374"/>
      <c r="C6189" s="374"/>
      <c r="CV6189" s="376"/>
    </row>
    <row r="6190" spans="1:100">
      <c r="A6190" s="374"/>
      <c r="C6190" s="374"/>
      <c r="CV6190" s="376"/>
    </row>
    <row r="6191" spans="1:100">
      <c r="A6191" s="374"/>
      <c r="C6191" s="374"/>
      <c r="CV6191" s="376"/>
    </row>
    <row r="6192" spans="1:100">
      <c r="A6192" s="374"/>
      <c r="C6192" s="374"/>
      <c r="CV6192" s="376"/>
    </row>
    <row r="6193" spans="1:100">
      <c r="A6193" s="374"/>
      <c r="C6193" s="374"/>
      <c r="CV6193" s="376"/>
    </row>
    <row r="6194" spans="1:100">
      <c r="A6194" s="374"/>
      <c r="C6194" s="374"/>
      <c r="CV6194" s="376"/>
    </row>
    <row r="6195" spans="1:100">
      <c r="A6195" s="374"/>
      <c r="C6195" s="374"/>
      <c r="CV6195" s="376"/>
    </row>
    <row r="6196" spans="1:100">
      <c r="A6196" s="374"/>
      <c r="C6196" s="374"/>
      <c r="CV6196" s="376"/>
    </row>
    <row r="6197" spans="1:100">
      <c r="A6197" s="374"/>
      <c r="C6197" s="374"/>
      <c r="CV6197" s="376"/>
    </row>
    <row r="6198" spans="1:100">
      <c r="A6198" s="374"/>
      <c r="C6198" s="374"/>
      <c r="CV6198" s="376"/>
    </row>
    <row r="6199" spans="1:100">
      <c r="A6199" s="374"/>
      <c r="C6199" s="374"/>
      <c r="CV6199" s="376"/>
    </row>
    <row r="6200" spans="1:100">
      <c r="A6200" s="374"/>
      <c r="C6200" s="374"/>
      <c r="CV6200" s="376"/>
    </row>
    <row r="6201" spans="1:100">
      <c r="A6201" s="374"/>
      <c r="C6201" s="374"/>
      <c r="CV6201" s="376"/>
    </row>
    <row r="6202" spans="1:100">
      <c r="A6202" s="374"/>
      <c r="C6202" s="374"/>
      <c r="CV6202" s="376"/>
    </row>
    <row r="6203" spans="1:100">
      <c r="A6203" s="374"/>
      <c r="C6203" s="374"/>
      <c r="CV6203" s="376"/>
    </row>
    <row r="6204" spans="1:100">
      <c r="A6204" s="374"/>
      <c r="C6204" s="374"/>
      <c r="CV6204" s="376"/>
    </row>
    <row r="6205" spans="1:100">
      <c r="A6205" s="374"/>
      <c r="C6205" s="374"/>
      <c r="CV6205" s="376"/>
    </row>
    <row r="6206" spans="1:100">
      <c r="A6206" s="374"/>
      <c r="C6206" s="374"/>
      <c r="CV6206" s="376"/>
    </row>
    <row r="6207" spans="1:100">
      <c r="A6207" s="374"/>
      <c r="C6207" s="374"/>
      <c r="CV6207" s="376"/>
    </row>
    <row r="6208" spans="1:100">
      <c r="A6208" s="374"/>
      <c r="C6208" s="374"/>
      <c r="CV6208" s="376"/>
    </row>
    <row r="6209" spans="1:100">
      <c r="A6209" s="374"/>
      <c r="C6209" s="374"/>
      <c r="CV6209" s="376"/>
    </row>
    <row r="6210" spans="1:100">
      <c r="A6210" s="374"/>
      <c r="C6210" s="374"/>
      <c r="CV6210" s="376"/>
    </row>
    <row r="6211" spans="1:100">
      <c r="A6211" s="374"/>
      <c r="C6211" s="374"/>
      <c r="CV6211" s="376"/>
    </row>
    <row r="6212" spans="1:100">
      <c r="A6212" s="374"/>
      <c r="C6212" s="374"/>
      <c r="CV6212" s="376"/>
    </row>
    <row r="6213" spans="1:100">
      <c r="A6213" s="374"/>
      <c r="C6213" s="374"/>
      <c r="CV6213" s="376"/>
    </row>
    <row r="6214" spans="1:100">
      <c r="A6214" s="374"/>
      <c r="C6214" s="374"/>
      <c r="CV6214" s="376"/>
    </row>
    <row r="6215" spans="1:100">
      <c r="A6215" s="374"/>
      <c r="C6215" s="374"/>
      <c r="CV6215" s="376"/>
    </row>
    <row r="6216" spans="1:100">
      <c r="A6216" s="374"/>
      <c r="C6216" s="374"/>
      <c r="CV6216" s="376"/>
    </row>
    <row r="6217" spans="1:100">
      <c r="A6217" s="374"/>
      <c r="C6217" s="374"/>
      <c r="CV6217" s="376"/>
    </row>
    <row r="6218" spans="1:100">
      <c r="A6218" s="374"/>
      <c r="C6218" s="374"/>
      <c r="CV6218" s="376"/>
    </row>
    <row r="6219" spans="1:100">
      <c r="A6219" s="374"/>
      <c r="C6219" s="374"/>
      <c r="CV6219" s="376"/>
    </row>
    <row r="6220" spans="1:100">
      <c r="A6220" s="374"/>
      <c r="C6220" s="374"/>
      <c r="CV6220" s="376"/>
    </row>
    <row r="6221" spans="1:100">
      <c r="A6221" s="374"/>
      <c r="C6221" s="374"/>
      <c r="CV6221" s="376"/>
    </row>
    <row r="6222" spans="1:100">
      <c r="A6222" s="374"/>
      <c r="C6222" s="374"/>
      <c r="CV6222" s="376"/>
    </row>
    <row r="6223" spans="1:100">
      <c r="A6223" s="374"/>
      <c r="C6223" s="374"/>
      <c r="CV6223" s="376"/>
    </row>
    <row r="6224" spans="1:100">
      <c r="A6224" s="374"/>
      <c r="C6224" s="374"/>
      <c r="CV6224" s="376"/>
    </row>
    <row r="6225" spans="1:100">
      <c r="A6225" s="374"/>
      <c r="C6225" s="374"/>
      <c r="CV6225" s="376"/>
    </row>
    <row r="6226" spans="1:100">
      <c r="A6226" s="374"/>
      <c r="C6226" s="374"/>
      <c r="CV6226" s="376"/>
    </row>
    <row r="6227" spans="1:100">
      <c r="A6227" s="374"/>
      <c r="C6227" s="374"/>
      <c r="CV6227" s="376"/>
    </row>
    <row r="6228" spans="1:100">
      <c r="A6228" s="374"/>
      <c r="C6228" s="374"/>
      <c r="CV6228" s="376"/>
    </row>
    <row r="6229" spans="1:100">
      <c r="A6229" s="374"/>
      <c r="C6229" s="374"/>
      <c r="CV6229" s="376"/>
    </row>
    <row r="6230" spans="1:100">
      <c r="A6230" s="374"/>
      <c r="C6230" s="374"/>
      <c r="CV6230" s="376"/>
    </row>
    <row r="6231" spans="1:100">
      <c r="A6231" s="374"/>
      <c r="C6231" s="374"/>
      <c r="CV6231" s="376"/>
    </row>
    <row r="6232" spans="1:100">
      <c r="A6232" s="374"/>
      <c r="C6232" s="374"/>
      <c r="CV6232" s="376"/>
    </row>
    <row r="6233" spans="1:100">
      <c r="A6233" s="374"/>
      <c r="C6233" s="374"/>
      <c r="CV6233" s="376"/>
    </row>
    <row r="6234" spans="1:100">
      <c r="A6234" s="374"/>
      <c r="C6234" s="374"/>
      <c r="CV6234" s="376"/>
    </row>
    <row r="6235" spans="1:100">
      <c r="A6235" s="374"/>
      <c r="C6235" s="374"/>
      <c r="CV6235" s="376"/>
    </row>
    <row r="6236" spans="1:100">
      <c r="A6236" s="374"/>
      <c r="C6236" s="374"/>
      <c r="CV6236" s="376"/>
    </row>
    <row r="6237" spans="1:100">
      <c r="A6237" s="374"/>
      <c r="C6237" s="374"/>
      <c r="CV6237" s="376"/>
    </row>
    <row r="6238" spans="1:100">
      <c r="A6238" s="374"/>
      <c r="C6238" s="374"/>
      <c r="CV6238" s="376"/>
    </row>
    <row r="6239" spans="1:100">
      <c r="A6239" s="374"/>
      <c r="C6239" s="374"/>
      <c r="CV6239" s="376"/>
    </row>
    <row r="6240" spans="1:100">
      <c r="A6240" s="374"/>
      <c r="C6240" s="374"/>
      <c r="CV6240" s="376"/>
    </row>
    <row r="6241" spans="1:100">
      <c r="A6241" s="374"/>
      <c r="C6241" s="374"/>
      <c r="CV6241" s="376"/>
    </row>
    <row r="6242" spans="1:100">
      <c r="A6242" s="374"/>
      <c r="C6242" s="374"/>
      <c r="CV6242" s="376"/>
    </row>
    <row r="6243" spans="1:100">
      <c r="A6243" s="374"/>
      <c r="C6243" s="374"/>
      <c r="CV6243" s="376"/>
    </row>
    <row r="6244" spans="1:100">
      <c r="A6244" s="374"/>
      <c r="C6244" s="374"/>
      <c r="CV6244" s="376"/>
    </row>
    <row r="6245" spans="1:100">
      <c r="A6245" s="374"/>
      <c r="C6245" s="374"/>
      <c r="CV6245" s="376"/>
    </row>
    <row r="6246" spans="1:100">
      <c r="A6246" s="374"/>
      <c r="C6246" s="374"/>
      <c r="CV6246" s="376"/>
    </row>
    <row r="6247" spans="1:100">
      <c r="A6247" s="374"/>
      <c r="C6247" s="374"/>
      <c r="CV6247" s="376"/>
    </row>
    <row r="6248" spans="1:100">
      <c r="A6248" s="374"/>
      <c r="C6248" s="374"/>
      <c r="CV6248" s="376"/>
    </row>
    <row r="6249" spans="1:100">
      <c r="A6249" s="374"/>
      <c r="C6249" s="374"/>
      <c r="CV6249" s="376"/>
    </row>
    <row r="6250" spans="1:100">
      <c r="A6250" s="374"/>
      <c r="C6250" s="374"/>
      <c r="CV6250" s="376"/>
    </row>
    <row r="6251" spans="1:100">
      <c r="A6251" s="374"/>
      <c r="C6251" s="374"/>
      <c r="CV6251" s="376"/>
    </row>
    <row r="6252" spans="1:100">
      <c r="A6252" s="374"/>
      <c r="C6252" s="374"/>
      <c r="CV6252" s="376"/>
    </row>
    <row r="6253" spans="1:100">
      <c r="A6253" s="374"/>
      <c r="C6253" s="374"/>
      <c r="CV6253" s="376"/>
    </row>
    <row r="6254" spans="1:100">
      <c r="A6254" s="374"/>
      <c r="C6254" s="374"/>
      <c r="CV6254" s="376"/>
    </row>
    <row r="6255" spans="1:100">
      <c r="A6255" s="374"/>
      <c r="C6255" s="374"/>
      <c r="CV6255" s="376"/>
    </row>
    <row r="6256" spans="1:100">
      <c r="A6256" s="374"/>
      <c r="C6256" s="374"/>
      <c r="CV6256" s="376"/>
    </row>
    <row r="6257" spans="1:100">
      <c r="A6257" s="374"/>
      <c r="C6257" s="374"/>
      <c r="CV6257" s="376"/>
    </row>
    <row r="6258" spans="1:100">
      <c r="A6258" s="374"/>
      <c r="C6258" s="374"/>
      <c r="CV6258" s="376"/>
    </row>
    <row r="6259" spans="1:100">
      <c r="A6259" s="374"/>
      <c r="C6259" s="374"/>
      <c r="CV6259" s="376"/>
    </row>
    <row r="6260" spans="1:100">
      <c r="A6260" s="374"/>
      <c r="C6260" s="374"/>
      <c r="CV6260" s="376"/>
    </row>
    <row r="6261" spans="1:100">
      <c r="A6261" s="374"/>
      <c r="C6261" s="374"/>
      <c r="CV6261" s="376"/>
    </row>
    <row r="6262" spans="1:100">
      <c r="A6262" s="374"/>
      <c r="C6262" s="374"/>
      <c r="CV6262" s="376"/>
    </row>
    <row r="6263" spans="1:100">
      <c r="A6263" s="374"/>
      <c r="C6263" s="374"/>
      <c r="CV6263" s="376"/>
    </row>
    <row r="6264" spans="1:100">
      <c r="A6264" s="374"/>
      <c r="C6264" s="374"/>
      <c r="CV6264" s="376"/>
    </row>
    <row r="6265" spans="1:100">
      <c r="A6265" s="374"/>
      <c r="C6265" s="374"/>
      <c r="CV6265" s="376"/>
    </row>
    <row r="6266" spans="1:100">
      <c r="A6266" s="374"/>
      <c r="C6266" s="374"/>
      <c r="CV6266" s="376"/>
    </row>
    <row r="6267" spans="1:100">
      <c r="A6267" s="374"/>
      <c r="C6267" s="374"/>
      <c r="CV6267" s="376"/>
    </row>
    <row r="6268" spans="1:100">
      <c r="A6268" s="374"/>
      <c r="C6268" s="374"/>
      <c r="CV6268" s="376"/>
    </row>
    <row r="6269" spans="1:100">
      <c r="A6269" s="374"/>
      <c r="C6269" s="374"/>
      <c r="CV6269" s="376"/>
    </row>
    <row r="6270" spans="1:100">
      <c r="A6270" s="374"/>
      <c r="C6270" s="374"/>
      <c r="CV6270" s="376"/>
    </row>
    <row r="6271" spans="1:100">
      <c r="A6271" s="374"/>
      <c r="C6271" s="374"/>
      <c r="CV6271" s="376"/>
    </row>
    <row r="6272" spans="1:100">
      <c r="A6272" s="374"/>
      <c r="C6272" s="374"/>
      <c r="CV6272" s="376"/>
    </row>
    <row r="6273" spans="1:100">
      <c r="A6273" s="374"/>
      <c r="C6273" s="374"/>
      <c r="CV6273" s="376"/>
    </row>
    <row r="6274" spans="1:100">
      <c r="A6274" s="374"/>
      <c r="C6274" s="374"/>
      <c r="CV6274" s="376"/>
    </row>
    <row r="6275" spans="1:100">
      <c r="A6275" s="374"/>
      <c r="C6275" s="374"/>
      <c r="CV6275" s="376"/>
    </row>
    <row r="6276" spans="1:100">
      <c r="A6276" s="374"/>
      <c r="C6276" s="374"/>
      <c r="CV6276" s="376"/>
    </row>
    <row r="6277" spans="1:100">
      <c r="A6277" s="374"/>
      <c r="C6277" s="374"/>
      <c r="CV6277" s="376"/>
    </row>
    <row r="6278" spans="1:100">
      <c r="A6278" s="374"/>
      <c r="C6278" s="374"/>
      <c r="CV6278" s="376"/>
    </row>
    <row r="6279" spans="1:100">
      <c r="A6279" s="374"/>
      <c r="C6279" s="374"/>
      <c r="CV6279" s="376"/>
    </row>
    <row r="6280" spans="1:100">
      <c r="A6280" s="374"/>
      <c r="C6280" s="374"/>
      <c r="CV6280" s="376"/>
    </row>
    <row r="6281" spans="1:100">
      <c r="A6281" s="374"/>
      <c r="C6281" s="374"/>
      <c r="CV6281" s="376"/>
    </row>
    <row r="6282" spans="1:100">
      <c r="A6282" s="374"/>
      <c r="C6282" s="374"/>
      <c r="CV6282" s="376"/>
    </row>
    <row r="6283" spans="1:100">
      <c r="A6283" s="374"/>
      <c r="C6283" s="374"/>
      <c r="CV6283" s="376"/>
    </row>
    <row r="6284" spans="1:100">
      <c r="A6284" s="374"/>
      <c r="C6284" s="374"/>
      <c r="CV6284" s="376"/>
    </row>
    <row r="6285" spans="1:100">
      <c r="A6285" s="374"/>
      <c r="C6285" s="374"/>
      <c r="CV6285" s="376"/>
    </row>
    <row r="6286" spans="1:100">
      <c r="A6286" s="374"/>
      <c r="C6286" s="374"/>
      <c r="CV6286" s="376"/>
    </row>
    <row r="6287" spans="1:100">
      <c r="A6287" s="374"/>
      <c r="C6287" s="374"/>
      <c r="CV6287" s="376"/>
    </row>
    <row r="6288" spans="1:100">
      <c r="A6288" s="374"/>
      <c r="C6288" s="374"/>
      <c r="CV6288" s="376"/>
    </row>
    <row r="6289" spans="1:100">
      <c r="A6289" s="374"/>
      <c r="C6289" s="374"/>
      <c r="CV6289" s="376"/>
    </row>
    <row r="6290" spans="1:100">
      <c r="A6290" s="374"/>
      <c r="C6290" s="374"/>
      <c r="CV6290" s="376"/>
    </row>
    <row r="6291" spans="1:100">
      <c r="A6291" s="374"/>
      <c r="C6291" s="374"/>
      <c r="CV6291" s="376"/>
    </row>
    <row r="6292" spans="1:100">
      <c r="A6292" s="374"/>
      <c r="C6292" s="374"/>
      <c r="CV6292" s="376"/>
    </row>
    <row r="6293" spans="1:100">
      <c r="A6293" s="374"/>
      <c r="C6293" s="374"/>
      <c r="CV6293" s="376"/>
    </row>
    <row r="6294" spans="1:100">
      <c r="A6294" s="374"/>
      <c r="C6294" s="374"/>
      <c r="CV6294" s="376"/>
    </row>
    <row r="6295" spans="1:100">
      <c r="A6295" s="374"/>
      <c r="C6295" s="374"/>
      <c r="CV6295" s="376"/>
    </row>
    <row r="6296" spans="1:100">
      <c r="A6296" s="374"/>
      <c r="C6296" s="374"/>
      <c r="CV6296" s="376"/>
    </row>
    <row r="6297" spans="1:100">
      <c r="A6297" s="374"/>
      <c r="C6297" s="374"/>
      <c r="CV6297" s="376"/>
    </row>
    <row r="6298" spans="1:100">
      <c r="A6298" s="374"/>
      <c r="C6298" s="374"/>
      <c r="CV6298" s="376"/>
    </row>
    <row r="6299" spans="1:100">
      <c r="A6299" s="374"/>
      <c r="C6299" s="374"/>
      <c r="CV6299" s="376"/>
    </row>
    <row r="6300" spans="1:100">
      <c r="A6300" s="374"/>
      <c r="C6300" s="374"/>
      <c r="CV6300" s="376"/>
    </row>
    <row r="6301" spans="1:100">
      <c r="A6301" s="374"/>
      <c r="C6301" s="374"/>
      <c r="CV6301" s="376"/>
    </row>
    <row r="6302" spans="1:100">
      <c r="A6302" s="374"/>
      <c r="C6302" s="374"/>
      <c r="CV6302" s="376"/>
    </row>
    <row r="6303" spans="1:100">
      <c r="A6303" s="374"/>
      <c r="C6303" s="374"/>
      <c r="CV6303" s="376"/>
    </row>
    <row r="6304" spans="1:100">
      <c r="A6304" s="374"/>
      <c r="C6304" s="374"/>
      <c r="CV6304" s="376"/>
    </row>
    <row r="6305" spans="1:100">
      <c r="A6305" s="374"/>
      <c r="C6305" s="374"/>
      <c r="CV6305" s="376"/>
    </row>
    <row r="6306" spans="1:100">
      <c r="A6306" s="374"/>
      <c r="C6306" s="374"/>
      <c r="CV6306" s="376"/>
    </row>
    <row r="6307" spans="1:100">
      <c r="A6307" s="374"/>
      <c r="C6307" s="374"/>
      <c r="CV6307" s="376"/>
    </row>
    <row r="6308" spans="1:100">
      <c r="A6308" s="374"/>
      <c r="C6308" s="374"/>
      <c r="CV6308" s="376"/>
    </row>
    <row r="6309" spans="1:100">
      <c r="A6309" s="374"/>
      <c r="C6309" s="374"/>
      <c r="CV6309" s="376"/>
    </row>
    <row r="6310" spans="1:100">
      <c r="A6310" s="374"/>
      <c r="C6310" s="374"/>
      <c r="CV6310" s="376"/>
    </row>
    <row r="6311" spans="1:100">
      <c r="A6311" s="374"/>
      <c r="C6311" s="374"/>
      <c r="CV6311" s="376"/>
    </row>
    <row r="6312" spans="1:100">
      <c r="A6312" s="374"/>
      <c r="C6312" s="374"/>
      <c r="CV6312" s="376"/>
    </row>
    <row r="6313" spans="1:100">
      <c r="A6313" s="374"/>
      <c r="C6313" s="374"/>
      <c r="CV6313" s="376"/>
    </row>
    <row r="6314" spans="1:100">
      <c r="A6314" s="374"/>
      <c r="C6314" s="374"/>
      <c r="CV6314" s="376"/>
    </row>
    <row r="6315" spans="1:100">
      <c r="A6315" s="374"/>
      <c r="C6315" s="374"/>
      <c r="CV6315" s="376"/>
    </row>
    <row r="6316" spans="1:100">
      <c r="A6316" s="374"/>
      <c r="C6316" s="374"/>
      <c r="CV6316" s="376"/>
    </row>
    <row r="6317" spans="1:100">
      <c r="A6317" s="374"/>
      <c r="C6317" s="374"/>
      <c r="CV6317" s="376"/>
    </row>
    <row r="6318" spans="1:100">
      <c r="A6318" s="374"/>
      <c r="C6318" s="374"/>
      <c r="CV6318" s="376"/>
    </row>
    <row r="6319" spans="1:100">
      <c r="A6319" s="374"/>
      <c r="C6319" s="374"/>
      <c r="CV6319" s="376"/>
    </row>
    <row r="6320" spans="1:100">
      <c r="A6320" s="374"/>
      <c r="C6320" s="374"/>
      <c r="CV6320" s="376"/>
    </row>
    <row r="6321" spans="1:100">
      <c r="A6321" s="374"/>
      <c r="C6321" s="374"/>
      <c r="CV6321" s="376"/>
    </row>
    <row r="6322" spans="1:100">
      <c r="A6322" s="374"/>
      <c r="C6322" s="374"/>
      <c r="CV6322" s="376"/>
    </row>
    <row r="6323" spans="1:100">
      <c r="A6323" s="374"/>
      <c r="C6323" s="374"/>
      <c r="CV6323" s="376"/>
    </row>
    <row r="6324" spans="1:100">
      <c r="A6324" s="374"/>
      <c r="C6324" s="374"/>
      <c r="CV6324" s="376"/>
    </row>
    <row r="6325" spans="1:100">
      <c r="A6325" s="374"/>
      <c r="C6325" s="374"/>
      <c r="CV6325" s="376"/>
    </row>
    <row r="6326" spans="1:100">
      <c r="A6326" s="374"/>
      <c r="C6326" s="374"/>
      <c r="CV6326" s="376"/>
    </row>
    <row r="6327" spans="1:100">
      <c r="A6327" s="374"/>
      <c r="C6327" s="374"/>
      <c r="CV6327" s="376"/>
    </row>
    <row r="6328" spans="1:100">
      <c r="A6328" s="374"/>
      <c r="C6328" s="374"/>
      <c r="CV6328" s="376"/>
    </row>
    <row r="6329" spans="1:100">
      <c r="A6329" s="374"/>
      <c r="C6329" s="374"/>
      <c r="CV6329" s="376"/>
    </row>
    <row r="6330" spans="1:100">
      <c r="A6330" s="374"/>
      <c r="C6330" s="374"/>
      <c r="CV6330" s="376"/>
    </row>
    <row r="6331" spans="1:100">
      <c r="A6331" s="374"/>
      <c r="C6331" s="374"/>
      <c r="CV6331" s="376"/>
    </row>
    <row r="6332" spans="1:100">
      <c r="A6332" s="374"/>
      <c r="C6332" s="374"/>
      <c r="CV6332" s="376"/>
    </row>
    <row r="6333" spans="1:100">
      <c r="A6333" s="374"/>
      <c r="C6333" s="374"/>
      <c r="CV6333" s="376"/>
    </row>
    <row r="6334" spans="1:100">
      <c r="A6334" s="374"/>
      <c r="C6334" s="374"/>
      <c r="CV6334" s="376"/>
    </row>
    <row r="6335" spans="1:100">
      <c r="A6335" s="374"/>
      <c r="C6335" s="374"/>
      <c r="CV6335" s="376"/>
    </row>
    <row r="6336" spans="1:100">
      <c r="A6336" s="374"/>
      <c r="C6336" s="374"/>
      <c r="CV6336" s="376"/>
    </row>
    <row r="6337" spans="1:100">
      <c r="A6337" s="374"/>
      <c r="C6337" s="374"/>
      <c r="CV6337" s="376"/>
    </row>
    <row r="6338" spans="1:100">
      <c r="A6338" s="374"/>
      <c r="C6338" s="374"/>
      <c r="CV6338" s="376"/>
    </row>
    <row r="6339" spans="1:100">
      <c r="A6339" s="374"/>
      <c r="C6339" s="374"/>
      <c r="CV6339" s="376"/>
    </row>
    <row r="6340" spans="1:100">
      <c r="A6340" s="374"/>
      <c r="C6340" s="374"/>
      <c r="CV6340" s="376"/>
    </row>
    <row r="6341" spans="1:100">
      <c r="A6341" s="374"/>
      <c r="C6341" s="374"/>
      <c r="CV6341" s="376"/>
    </row>
    <row r="6342" spans="1:100">
      <c r="A6342" s="374"/>
      <c r="C6342" s="374"/>
      <c r="CV6342" s="376"/>
    </row>
    <row r="6343" spans="1:100">
      <c r="A6343" s="374"/>
      <c r="C6343" s="374"/>
      <c r="CV6343" s="376"/>
    </row>
    <row r="6344" spans="1:100">
      <c r="A6344" s="374"/>
      <c r="C6344" s="374"/>
      <c r="CV6344" s="376"/>
    </row>
    <row r="6345" spans="1:100">
      <c r="A6345" s="374"/>
      <c r="C6345" s="374"/>
      <c r="CV6345" s="376"/>
    </row>
    <row r="6346" spans="1:100">
      <c r="A6346" s="374"/>
      <c r="C6346" s="374"/>
      <c r="CV6346" s="376"/>
    </row>
    <row r="6347" spans="1:100">
      <c r="A6347" s="374"/>
      <c r="C6347" s="374"/>
      <c r="CV6347" s="376"/>
    </row>
    <row r="6348" spans="1:100">
      <c r="A6348" s="374"/>
      <c r="C6348" s="374"/>
      <c r="CV6348" s="376"/>
    </row>
    <row r="6349" spans="1:100">
      <c r="A6349" s="374"/>
      <c r="C6349" s="374"/>
      <c r="CV6349" s="376"/>
    </row>
    <row r="6350" spans="1:100">
      <c r="A6350" s="374"/>
      <c r="C6350" s="374"/>
      <c r="CV6350" s="376"/>
    </row>
    <row r="6351" spans="1:100">
      <c r="A6351" s="374"/>
      <c r="C6351" s="374"/>
      <c r="CV6351" s="376"/>
    </row>
    <row r="6352" spans="1:100">
      <c r="A6352" s="374"/>
      <c r="C6352" s="374"/>
      <c r="CV6352" s="376"/>
    </row>
    <row r="6353" spans="1:100">
      <c r="A6353" s="374"/>
      <c r="C6353" s="374"/>
      <c r="CV6353" s="376"/>
    </row>
    <row r="6354" spans="1:100">
      <c r="A6354" s="374"/>
      <c r="C6354" s="374"/>
      <c r="CV6354" s="376"/>
    </row>
    <row r="6355" spans="1:100">
      <c r="A6355" s="374"/>
      <c r="C6355" s="374"/>
      <c r="CV6355" s="376"/>
    </row>
    <row r="6356" spans="1:100">
      <c r="A6356" s="374"/>
      <c r="C6356" s="374"/>
      <c r="CV6356" s="376"/>
    </row>
    <row r="6357" spans="1:100">
      <c r="A6357" s="374"/>
      <c r="C6357" s="374"/>
      <c r="CV6357" s="376"/>
    </row>
    <row r="6358" spans="1:100">
      <c r="A6358" s="374"/>
      <c r="C6358" s="374"/>
      <c r="CV6358" s="376"/>
    </row>
    <row r="6359" spans="1:100">
      <c r="A6359" s="374"/>
      <c r="C6359" s="374"/>
      <c r="CV6359" s="376"/>
    </row>
    <row r="6360" spans="1:100">
      <c r="A6360" s="374"/>
      <c r="C6360" s="374"/>
      <c r="CV6360" s="376"/>
    </row>
    <row r="6361" spans="1:100">
      <c r="A6361" s="374"/>
      <c r="C6361" s="374"/>
      <c r="CV6361" s="376"/>
    </row>
    <row r="6362" spans="1:100">
      <c r="A6362" s="374"/>
      <c r="C6362" s="374"/>
      <c r="CV6362" s="376"/>
    </row>
    <row r="6363" spans="1:100">
      <c r="A6363" s="374"/>
      <c r="C6363" s="374"/>
      <c r="CV6363" s="376"/>
    </row>
    <row r="6364" spans="1:100">
      <c r="A6364" s="374"/>
      <c r="C6364" s="374"/>
      <c r="CV6364" s="376"/>
    </row>
    <row r="6365" spans="1:100">
      <c r="A6365" s="374"/>
      <c r="C6365" s="374"/>
      <c r="CV6365" s="376"/>
    </row>
    <row r="6366" spans="1:100">
      <c r="A6366" s="374"/>
      <c r="C6366" s="374"/>
      <c r="CV6366" s="376"/>
    </row>
    <row r="6367" spans="1:100">
      <c r="A6367" s="374"/>
      <c r="C6367" s="374"/>
      <c r="CV6367" s="376"/>
    </row>
    <row r="6368" spans="1:100">
      <c r="A6368" s="374"/>
      <c r="C6368" s="374"/>
      <c r="CV6368" s="376"/>
    </row>
    <row r="6369" spans="1:100">
      <c r="A6369" s="374"/>
      <c r="C6369" s="374"/>
      <c r="CV6369" s="376"/>
    </row>
    <row r="6370" spans="1:100">
      <c r="A6370" s="374"/>
      <c r="C6370" s="374"/>
      <c r="CV6370" s="376"/>
    </row>
    <row r="6371" spans="1:100">
      <c r="A6371" s="374"/>
      <c r="C6371" s="374"/>
      <c r="CV6371" s="376"/>
    </row>
    <row r="6372" spans="1:100">
      <c r="A6372" s="374"/>
      <c r="C6372" s="374"/>
      <c r="CV6372" s="376"/>
    </row>
    <row r="6373" spans="1:100">
      <c r="A6373" s="374"/>
      <c r="C6373" s="374"/>
      <c r="CV6373" s="376"/>
    </row>
    <row r="6374" spans="1:100">
      <c r="A6374" s="374"/>
      <c r="C6374" s="374"/>
      <c r="CV6374" s="376"/>
    </row>
    <row r="6375" spans="1:100">
      <c r="A6375" s="374"/>
      <c r="C6375" s="374"/>
      <c r="CV6375" s="376"/>
    </row>
    <row r="6376" spans="1:100">
      <c r="A6376" s="374"/>
      <c r="C6376" s="374"/>
      <c r="CV6376" s="376"/>
    </row>
    <row r="6377" spans="1:100">
      <c r="A6377" s="374"/>
      <c r="C6377" s="374"/>
      <c r="CV6377" s="376"/>
    </row>
    <row r="6378" spans="1:100">
      <c r="A6378" s="374"/>
      <c r="C6378" s="374"/>
      <c r="CV6378" s="376"/>
    </row>
    <row r="6379" spans="1:100">
      <c r="A6379" s="374"/>
      <c r="C6379" s="374"/>
      <c r="CV6379" s="376"/>
    </row>
    <row r="6380" spans="1:100">
      <c r="A6380" s="374"/>
      <c r="C6380" s="374"/>
      <c r="CV6380" s="376"/>
    </row>
    <row r="6381" spans="1:100">
      <c r="A6381" s="374"/>
      <c r="C6381" s="374"/>
      <c r="CV6381" s="376"/>
    </row>
    <row r="6382" spans="1:100">
      <c r="A6382" s="374"/>
      <c r="C6382" s="374"/>
      <c r="CV6382" s="376"/>
    </row>
    <row r="6383" spans="1:100">
      <c r="A6383" s="374"/>
      <c r="C6383" s="374"/>
      <c r="CV6383" s="376"/>
    </row>
    <row r="6384" spans="1:100">
      <c r="A6384" s="374"/>
      <c r="C6384" s="374"/>
      <c r="CV6384" s="376"/>
    </row>
    <row r="6385" spans="1:100">
      <c r="A6385" s="374"/>
      <c r="C6385" s="374"/>
      <c r="CV6385" s="376"/>
    </row>
    <row r="6386" spans="1:100">
      <c r="A6386" s="374"/>
      <c r="C6386" s="374"/>
      <c r="CV6386" s="376"/>
    </row>
    <row r="6387" spans="1:100">
      <c r="A6387" s="374"/>
      <c r="C6387" s="374"/>
      <c r="CV6387" s="376"/>
    </row>
    <row r="6388" spans="1:100">
      <c r="A6388" s="374"/>
      <c r="C6388" s="374"/>
      <c r="CV6388" s="376"/>
    </row>
    <row r="6389" spans="1:100">
      <c r="A6389" s="374"/>
      <c r="C6389" s="374"/>
      <c r="CV6389" s="376"/>
    </row>
    <row r="6390" spans="1:100">
      <c r="A6390" s="374"/>
      <c r="C6390" s="374"/>
      <c r="CV6390" s="376"/>
    </row>
    <row r="6391" spans="1:100">
      <c r="A6391" s="374"/>
      <c r="C6391" s="374"/>
      <c r="CV6391" s="376"/>
    </row>
    <row r="6392" spans="1:100">
      <c r="A6392" s="374"/>
      <c r="C6392" s="374"/>
      <c r="CV6392" s="376"/>
    </row>
    <row r="6393" spans="1:100">
      <c r="A6393" s="374"/>
      <c r="C6393" s="374"/>
      <c r="CV6393" s="376"/>
    </row>
    <row r="6394" spans="1:100">
      <c r="A6394" s="374"/>
      <c r="C6394" s="374"/>
      <c r="CV6394" s="376"/>
    </row>
    <row r="6395" spans="1:100">
      <c r="A6395" s="374"/>
      <c r="C6395" s="374"/>
      <c r="CV6395" s="376"/>
    </row>
    <row r="6396" spans="1:100">
      <c r="A6396" s="374"/>
      <c r="C6396" s="374"/>
      <c r="CV6396" s="376"/>
    </row>
    <row r="6397" spans="1:100">
      <c r="A6397" s="374"/>
      <c r="C6397" s="374"/>
      <c r="CV6397" s="376"/>
    </row>
    <row r="6398" spans="1:100">
      <c r="A6398" s="374"/>
      <c r="C6398" s="374"/>
      <c r="CV6398" s="376"/>
    </row>
    <row r="6399" spans="1:100">
      <c r="A6399" s="374"/>
      <c r="C6399" s="374"/>
      <c r="CV6399" s="376"/>
    </row>
    <row r="6400" spans="1:100">
      <c r="A6400" s="374"/>
      <c r="C6400" s="374"/>
      <c r="CV6400" s="376"/>
    </row>
    <row r="6401" spans="1:100">
      <c r="A6401" s="374"/>
      <c r="C6401" s="374"/>
      <c r="CV6401" s="376"/>
    </row>
    <row r="6402" spans="1:100">
      <c r="A6402" s="374"/>
      <c r="C6402" s="374"/>
      <c r="CV6402" s="376"/>
    </row>
    <row r="6403" spans="1:100">
      <c r="A6403" s="374"/>
      <c r="C6403" s="374"/>
      <c r="CV6403" s="376"/>
    </row>
    <row r="6404" spans="1:100">
      <c r="A6404" s="374"/>
      <c r="C6404" s="374"/>
      <c r="CV6404" s="376"/>
    </row>
    <row r="6405" spans="1:100">
      <c r="A6405" s="374"/>
      <c r="C6405" s="374"/>
      <c r="CV6405" s="376"/>
    </row>
    <row r="6406" spans="1:100">
      <c r="A6406" s="374"/>
      <c r="C6406" s="374"/>
      <c r="CV6406" s="376"/>
    </row>
    <row r="6407" spans="1:100">
      <c r="A6407" s="374"/>
      <c r="C6407" s="374"/>
      <c r="CV6407" s="376"/>
    </row>
    <row r="6408" spans="1:100">
      <c r="A6408" s="374"/>
      <c r="C6408" s="374"/>
      <c r="CV6408" s="376"/>
    </row>
    <row r="6409" spans="1:100">
      <c r="A6409" s="374"/>
      <c r="C6409" s="374"/>
      <c r="CV6409" s="376"/>
    </row>
    <row r="6410" spans="1:100">
      <c r="A6410" s="374"/>
      <c r="C6410" s="374"/>
      <c r="CV6410" s="376"/>
    </row>
    <row r="6411" spans="1:100">
      <c r="A6411" s="374"/>
      <c r="C6411" s="374"/>
      <c r="CV6411" s="376"/>
    </row>
    <row r="6412" spans="1:100">
      <c r="A6412" s="374"/>
      <c r="C6412" s="374"/>
      <c r="CV6412" s="376"/>
    </row>
    <row r="6413" spans="1:100">
      <c r="A6413" s="374"/>
      <c r="C6413" s="374"/>
      <c r="CV6413" s="376"/>
    </row>
    <row r="6414" spans="1:100">
      <c r="A6414" s="374"/>
      <c r="C6414" s="374"/>
      <c r="CV6414" s="376"/>
    </row>
    <row r="6415" spans="1:100">
      <c r="A6415" s="374"/>
      <c r="C6415" s="374"/>
      <c r="CV6415" s="376"/>
    </row>
    <row r="6416" spans="1:100">
      <c r="A6416" s="374"/>
      <c r="C6416" s="374"/>
      <c r="CV6416" s="376"/>
    </row>
    <row r="6417" spans="1:100">
      <c r="A6417" s="374"/>
      <c r="C6417" s="374"/>
      <c r="CV6417" s="376"/>
    </row>
    <row r="6418" spans="1:100">
      <c r="A6418" s="374"/>
      <c r="C6418" s="374"/>
      <c r="CV6418" s="376"/>
    </row>
    <row r="6419" spans="1:100">
      <c r="A6419" s="374"/>
      <c r="C6419" s="374"/>
      <c r="CV6419" s="376"/>
    </row>
    <row r="6420" spans="1:100">
      <c r="A6420" s="374"/>
      <c r="C6420" s="374"/>
      <c r="CV6420" s="376"/>
    </row>
    <row r="6421" spans="1:100">
      <c r="A6421" s="374"/>
      <c r="C6421" s="374"/>
      <c r="CV6421" s="376"/>
    </row>
    <row r="6422" spans="1:100">
      <c r="A6422" s="374"/>
      <c r="C6422" s="374"/>
      <c r="CV6422" s="376"/>
    </row>
    <row r="6423" spans="1:100">
      <c r="A6423" s="374"/>
      <c r="C6423" s="374"/>
      <c r="CV6423" s="376"/>
    </row>
    <row r="6424" spans="1:100">
      <c r="A6424" s="374"/>
      <c r="C6424" s="374"/>
      <c r="CV6424" s="376"/>
    </row>
    <row r="6425" spans="1:100">
      <c r="A6425" s="374"/>
      <c r="C6425" s="374"/>
      <c r="CV6425" s="376"/>
    </row>
    <row r="6426" spans="1:100">
      <c r="A6426" s="374"/>
      <c r="C6426" s="374"/>
      <c r="CV6426" s="376"/>
    </row>
    <row r="6427" spans="1:100">
      <c r="A6427" s="374"/>
      <c r="C6427" s="374"/>
      <c r="CV6427" s="376"/>
    </row>
    <row r="6428" spans="1:100">
      <c r="A6428" s="374"/>
      <c r="C6428" s="374"/>
      <c r="CV6428" s="376"/>
    </row>
    <row r="6429" spans="1:100">
      <c r="A6429" s="374"/>
      <c r="C6429" s="374"/>
      <c r="CV6429" s="376"/>
    </row>
    <row r="6430" spans="1:100">
      <c r="A6430" s="374"/>
      <c r="C6430" s="374"/>
      <c r="CV6430" s="376"/>
    </row>
    <row r="6431" spans="1:100">
      <c r="A6431" s="374"/>
      <c r="C6431" s="374"/>
      <c r="CV6431" s="376"/>
    </row>
    <row r="6432" spans="1:100">
      <c r="A6432" s="374"/>
      <c r="C6432" s="374"/>
      <c r="CV6432" s="376"/>
    </row>
    <row r="6433" spans="1:100">
      <c r="A6433" s="374"/>
      <c r="C6433" s="374"/>
      <c r="CV6433" s="376"/>
    </row>
    <row r="6434" spans="1:100">
      <c r="A6434" s="374"/>
      <c r="C6434" s="374"/>
      <c r="CV6434" s="376"/>
    </row>
    <row r="6435" spans="1:100">
      <c r="A6435" s="374"/>
      <c r="C6435" s="374"/>
      <c r="CV6435" s="376"/>
    </row>
    <row r="6436" spans="1:100">
      <c r="A6436" s="374"/>
      <c r="C6436" s="374"/>
      <c r="CV6436" s="376"/>
    </row>
    <row r="6437" spans="1:100">
      <c r="A6437" s="374"/>
      <c r="C6437" s="374"/>
      <c r="CV6437" s="376"/>
    </row>
    <row r="6438" spans="1:100">
      <c r="A6438" s="374"/>
      <c r="C6438" s="374"/>
      <c r="CV6438" s="376"/>
    </row>
    <row r="6439" spans="1:100">
      <c r="A6439" s="374"/>
      <c r="C6439" s="374"/>
      <c r="CV6439" s="376"/>
    </row>
    <row r="6440" spans="1:100">
      <c r="A6440" s="374"/>
      <c r="C6440" s="374"/>
      <c r="CV6440" s="376"/>
    </row>
    <row r="6441" spans="1:100">
      <c r="A6441" s="374"/>
      <c r="C6441" s="374"/>
      <c r="CV6441" s="376"/>
    </row>
    <row r="6442" spans="1:100">
      <c r="A6442" s="374"/>
      <c r="C6442" s="374"/>
      <c r="CV6442" s="376"/>
    </row>
    <row r="6443" spans="1:100">
      <c r="A6443" s="374"/>
      <c r="C6443" s="374"/>
      <c r="CV6443" s="376"/>
    </row>
    <row r="6444" spans="1:100">
      <c r="A6444" s="374"/>
      <c r="C6444" s="374"/>
      <c r="CV6444" s="376"/>
    </row>
    <row r="6445" spans="1:100">
      <c r="A6445" s="374"/>
      <c r="C6445" s="374"/>
      <c r="CV6445" s="376"/>
    </row>
    <row r="6446" spans="1:100">
      <c r="A6446" s="374"/>
      <c r="C6446" s="374"/>
      <c r="CV6446" s="376"/>
    </row>
    <row r="6447" spans="1:100">
      <c r="A6447" s="374"/>
      <c r="C6447" s="374"/>
      <c r="CV6447" s="376"/>
    </row>
    <row r="6448" spans="1:100">
      <c r="A6448" s="374"/>
      <c r="C6448" s="374"/>
      <c r="CV6448" s="376"/>
    </row>
    <row r="6449" spans="1:100">
      <c r="A6449" s="374"/>
      <c r="C6449" s="374"/>
      <c r="CV6449" s="376"/>
    </row>
    <row r="6450" spans="1:100">
      <c r="A6450" s="374"/>
      <c r="C6450" s="374"/>
      <c r="CV6450" s="376"/>
    </row>
    <row r="6451" spans="1:100">
      <c r="A6451" s="374"/>
      <c r="C6451" s="374"/>
      <c r="CV6451" s="376"/>
    </row>
    <row r="6452" spans="1:100">
      <c r="A6452" s="374"/>
      <c r="C6452" s="374"/>
      <c r="CV6452" s="376"/>
    </row>
    <row r="6453" spans="1:100">
      <c r="A6453" s="374"/>
      <c r="C6453" s="374"/>
      <c r="CV6453" s="376"/>
    </row>
    <row r="6454" spans="1:100">
      <c r="A6454" s="374"/>
      <c r="C6454" s="374"/>
      <c r="CV6454" s="376"/>
    </row>
    <row r="6455" spans="1:100">
      <c r="A6455" s="374"/>
      <c r="C6455" s="374"/>
      <c r="CV6455" s="376"/>
    </row>
    <row r="6456" spans="1:100">
      <c r="A6456" s="374"/>
      <c r="C6456" s="374"/>
      <c r="CV6456" s="376"/>
    </row>
    <row r="6457" spans="1:100">
      <c r="A6457" s="374"/>
      <c r="C6457" s="374"/>
      <c r="CV6457" s="376"/>
    </row>
    <row r="6458" spans="1:100">
      <c r="A6458" s="374"/>
      <c r="C6458" s="374"/>
      <c r="CV6458" s="376"/>
    </row>
    <row r="6459" spans="1:100">
      <c r="A6459" s="374"/>
      <c r="C6459" s="374"/>
      <c r="CV6459" s="376"/>
    </row>
    <row r="6460" spans="1:100">
      <c r="A6460" s="374"/>
      <c r="C6460" s="374"/>
      <c r="CV6460" s="376"/>
    </row>
    <row r="6461" spans="1:100">
      <c r="A6461" s="374"/>
      <c r="C6461" s="374"/>
      <c r="CV6461" s="376"/>
    </row>
    <row r="6462" spans="1:100">
      <c r="A6462" s="374"/>
      <c r="C6462" s="374"/>
      <c r="CV6462" s="376"/>
    </row>
    <row r="6463" spans="1:100">
      <c r="A6463" s="374"/>
      <c r="C6463" s="374"/>
      <c r="CV6463" s="376"/>
    </row>
    <row r="6464" spans="1:100">
      <c r="A6464" s="374"/>
      <c r="C6464" s="374"/>
      <c r="CV6464" s="376"/>
    </row>
    <row r="6465" spans="1:100">
      <c r="A6465" s="374"/>
      <c r="C6465" s="374"/>
      <c r="CV6465" s="376"/>
    </row>
    <row r="6466" spans="1:100">
      <c r="A6466" s="374"/>
      <c r="C6466" s="374"/>
      <c r="CV6466" s="376"/>
    </row>
    <row r="6467" spans="1:100">
      <c r="A6467" s="374"/>
      <c r="C6467" s="374"/>
      <c r="CV6467" s="376"/>
    </row>
    <row r="6468" spans="1:100">
      <c r="A6468" s="374"/>
      <c r="C6468" s="374"/>
      <c r="CV6468" s="376"/>
    </row>
    <row r="6469" spans="1:100">
      <c r="A6469" s="374"/>
      <c r="C6469" s="374"/>
      <c r="CV6469" s="376"/>
    </row>
    <row r="6470" spans="1:100">
      <c r="A6470" s="374"/>
      <c r="C6470" s="374"/>
      <c r="CV6470" s="376"/>
    </row>
    <row r="6471" spans="1:100">
      <c r="A6471" s="374"/>
      <c r="C6471" s="374"/>
      <c r="CV6471" s="376"/>
    </row>
    <row r="6472" spans="1:100">
      <c r="A6472" s="374"/>
      <c r="C6472" s="374"/>
      <c r="CV6472" s="376"/>
    </row>
    <row r="6473" spans="1:100">
      <c r="A6473" s="374"/>
      <c r="C6473" s="374"/>
      <c r="CV6473" s="376"/>
    </row>
    <row r="6474" spans="1:100">
      <c r="A6474" s="374"/>
      <c r="C6474" s="374"/>
      <c r="CV6474" s="376"/>
    </row>
    <row r="6475" spans="1:100">
      <c r="A6475" s="374"/>
      <c r="C6475" s="374"/>
      <c r="CV6475" s="376"/>
    </row>
    <row r="6476" spans="1:100">
      <c r="A6476" s="374"/>
      <c r="C6476" s="374"/>
      <c r="CV6476" s="376"/>
    </row>
    <row r="6477" spans="1:100">
      <c r="A6477" s="374"/>
      <c r="C6477" s="374"/>
      <c r="CV6477" s="376"/>
    </row>
    <row r="6478" spans="1:100">
      <c r="A6478" s="374"/>
      <c r="C6478" s="374"/>
      <c r="CV6478" s="376"/>
    </row>
    <row r="6479" spans="1:100">
      <c r="A6479" s="374"/>
      <c r="C6479" s="374"/>
      <c r="CV6479" s="376"/>
    </row>
    <row r="6480" spans="1:100">
      <c r="A6480" s="374"/>
      <c r="C6480" s="374"/>
      <c r="CV6480" s="376"/>
    </row>
    <row r="6481" spans="1:100">
      <c r="A6481" s="374"/>
      <c r="C6481" s="374"/>
      <c r="CV6481" s="376"/>
    </row>
    <row r="6482" spans="1:100">
      <c r="A6482" s="374"/>
      <c r="C6482" s="374"/>
      <c r="CV6482" s="376"/>
    </row>
    <row r="6483" spans="1:100">
      <c r="A6483" s="374"/>
      <c r="C6483" s="374"/>
      <c r="CV6483" s="376"/>
    </row>
    <row r="6484" spans="1:100">
      <c r="A6484" s="374"/>
      <c r="C6484" s="374"/>
      <c r="CV6484" s="376"/>
    </row>
    <row r="6485" spans="1:100">
      <c r="A6485" s="374"/>
      <c r="C6485" s="374"/>
      <c r="CV6485" s="376"/>
    </row>
    <row r="6486" spans="1:100">
      <c r="A6486" s="374"/>
      <c r="C6486" s="374"/>
      <c r="CV6486" s="376"/>
    </row>
    <row r="6487" spans="1:100">
      <c r="A6487" s="374"/>
      <c r="C6487" s="374"/>
      <c r="CV6487" s="376"/>
    </row>
    <row r="6488" spans="1:100">
      <c r="A6488" s="374"/>
      <c r="C6488" s="374"/>
      <c r="CV6488" s="376"/>
    </row>
    <row r="6489" spans="1:100">
      <c r="A6489" s="374"/>
      <c r="C6489" s="374"/>
      <c r="CV6489" s="376"/>
    </row>
    <row r="6490" spans="1:100">
      <c r="A6490" s="374"/>
      <c r="C6490" s="374"/>
      <c r="CV6490" s="376"/>
    </row>
    <row r="6491" spans="1:100">
      <c r="A6491" s="374"/>
      <c r="C6491" s="374"/>
      <c r="CV6491" s="376"/>
    </row>
    <row r="6492" spans="1:100">
      <c r="A6492" s="374"/>
      <c r="C6492" s="374"/>
      <c r="CV6492" s="376"/>
    </row>
    <row r="6493" spans="1:100">
      <c r="A6493" s="374"/>
      <c r="C6493" s="374"/>
      <c r="CV6493" s="376"/>
    </row>
    <row r="6494" spans="1:100">
      <c r="A6494" s="374"/>
      <c r="C6494" s="374"/>
      <c r="CV6494" s="376"/>
    </row>
    <row r="6495" spans="1:100">
      <c r="A6495" s="374"/>
      <c r="C6495" s="374"/>
      <c r="CV6495" s="376"/>
    </row>
    <row r="6496" spans="1:100">
      <c r="A6496" s="374"/>
      <c r="C6496" s="374"/>
      <c r="CV6496" s="376"/>
    </row>
    <row r="6497" spans="1:100">
      <c r="A6497" s="374"/>
      <c r="C6497" s="374"/>
      <c r="CV6497" s="376"/>
    </row>
    <row r="6498" spans="1:100">
      <c r="A6498" s="374"/>
      <c r="C6498" s="374"/>
      <c r="CV6498" s="376"/>
    </row>
    <row r="6499" spans="1:100">
      <c r="A6499" s="374"/>
      <c r="C6499" s="374"/>
      <c r="CV6499" s="376"/>
    </row>
    <row r="6500" spans="1:100">
      <c r="A6500" s="374"/>
      <c r="C6500" s="374"/>
      <c r="CV6500" s="376"/>
    </row>
    <row r="6501" spans="1:100">
      <c r="A6501" s="374"/>
      <c r="C6501" s="374"/>
      <c r="CV6501" s="376"/>
    </row>
    <row r="6502" spans="1:100">
      <c r="A6502" s="374"/>
      <c r="C6502" s="374"/>
      <c r="CV6502" s="376"/>
    </row>
    <row r="6503" spans="1:100">
      <c r="A6503" s="374"/>
      <c r="C6503" s="374"/>
      <c r="CV6503" s="376"/>
    </row>
    <row r="6504" spans="1:100">
      <c r="A6504" s="374"/>
      <c r="C6504" s="374"/>
      <c r="CV6504" s="376"/>
    </row>
    <row r="6505" spans="1:100">
      <c r="A6505" s="374"/>
      <c r="C6505" s="374"/>
      <c r="CV6505" s="376"/>
    </row>
    <row r="6506" spans="1:100">
      <c r="A6506" s="374"/>
      <c r="C6506" s="374"/>
      <c r="CV6506" s="376"/>
    </row>
    <row r="6507" spans="1:100">
      <c r="A6507" s="374"/>
      <c r="C6507" s="374"/>
      <c r="CV6507" s="376"/>
    </row>
    <row r="6508" spans="1:100">
      <c r="A6508" s="374"/>
      <c r="C6508" s="374"/>
      <c r="CV6508" s="376"/>
    </row>
    <row r="6509" spans="1:100">
      <c r="A6509" s="374"/>
      <c r="C6509" s="374"/>
      <c r="CV6509" s="376"/>
    </row>
    <row r="6510" spans="1:100">
      <c r="A6510" s="374"/>
      <c r="C6510" s="374"/>
      <c r="CV6510" s="376"/>
    </row>
    <row r="6511" spans="1:100">
      <c r="A6511" s="374"/>
      <c r="C6511" s="374"/>
      <c r="CV6511" s="376"/>
    </row>
    <row r="6512" spans="1:100">
      <c r="A6512" s="374"/>
      <c r="C6512" s="374"/>
      <c r="CV6512" s="376"/>
    </row>
    <row r="6513" spans="1:100">
      <c r="A6513" s="374"/>
      <c r="C6513" s="374"/>
      <c r="CV6513" s="376"/>
    </row>
    <row r="6514" spans="1:100">
      <c r="A6514" s="374"/>
      <c r="C6514" s="374"/>
      <c r="CV6514" s="376"/>
    </row>
    <row r="6515" spans="1:100">
      <c r="A6515" s="374"/>
      <c r="C6515" s="374"/>
      <c r="CV6515" s="376"/>
    </row>
    <row r="6516" spans="1:100">
      <c r="A6516" s="374"/>
      <c r="C6516" s="374"/>
      <c r="CV6516" s="376"/>
    </row>
    <row r="6517" spans="1:100">
      <c r="A6517" s="374"/>
      <c r="C6517" s="374"/>
      <c r="CV6517" s="376"/>
    </row>
    <row r="6518" spans="1:100">
      <c r="A6518" s="374"/>
      <c r="C6518" s="374"/>
      <c r="CV6518" s="376"/>
    </row>
    <row r="6519" spans="1:100">
      <c r="A6519" s="374"/>
      <c r="C6519" s="374"/>
      <c r="CV6519" s="376"/>
    </row>
    <row r="6520" spans="1:100">
      <c r="A6520" s="374"/>
      <c r="C6520" s="374"/>
      <c r="CV6520" s="376"/>
    </row>
    <row r="6521" spans="1:100">
      <c r="A6521" s="374"/>
      <c r="C6521" s="374"/>
      <c r="CV6521" s="376"/>
    </row>
    <row r="6522" spans="1:100">
      <c r="A6522" s="374"/>
      <c r="C6522" s="374"/>
      <c r="CV6522" s="376"/>
    </row>
    <row r="6523" spans="1:100">
      <c r="A6523" s="374"/>
      <c r="C6523" s="374"/>
      <c r="CV6523" s="376"/>
    </row>
    <row r="6524" spans="1:100">
      <c r="A6524" s="374"/>
      <c r="C6524" s="374"/>
      <c r="CV6524" s="376"/>
    </row>
    <row r="6525" spans="1:100">
      <c r="A6525" s="374"/>
      <c r="C6525" s="374"/>
      <c r="CV6525" s="376"/>
    </row>
    <row r="6526" spans="1:100">
      <c r="A6526" s="374"/>
      <c r="C6526" s="374"/>
      <c r="CV6526" s="376"/>
    </row>
    <row r="6527" spans="1:100">
      <c r="A6527" s="374"/>
      <c r="C6527" s="374"/>
      <c r="CV6527" s="376"/>
    </row>
    <row r="6528" spans="1:100">
      <c r="A6528" s="374"/>
      <c r="C6528" s="374"/>
      <c r="CV6528" s="376"/>
    </row>
    <row r="6529" spans="1:100">
      <c r="A6529" s="374"/>
      <c r="C6529" s="374"/>
      <c r="CV6529" s="376"/>
    </row>
    <row r="6530" spans="1:100">
      <c r="A6530" s="374"/>
      <c r="C6530" s="374"/>
      <c r="CV6530" s="376"/>
    </row>
    <row r="6531" spans="1:100">
      <c r="A6531" s="374"/>
      <c r="C6531" s="374"/>
      <c r="CV6531" s="376"/>
    </row>
    <row r="6532" spans="1:100">
      <c r="A6532" s="374"/>
      <c r="C6532" s="374"/>
      <c r="CV6532" s="376"/>
    </row>
    <row r="6533" spans="1:100">
      <c r="A6533" s="374"/>
      <c r="C6533" s="374"/>
      <c r="CV6533" s="376"/>
    </row>
    <row r="6534" spans="1:100">
      <c r="A6534" s="374"/>
      <c r="C6534" s="374"/>
      <c r="CV6534" s="376"/>
    </row>
    <row r="6535" spans="1:100">
      <c r="A6535" s="374"/>
      <c r="C6535" s="374"/>
      <c r="CV6535" s="376"/>
    </row>
    <row r="6536" spans="1:100">
      <c r="A6536" s="374"/>
      <c r="C6536" s="374"/>
      <c r="CV6536" s="376"/>
    </row>
    <row r="6537" spans="1:100">
      <c r="A6537" s="374"/>
      <c r="C6537" s="374"/>
      <c r="CV6537" s="376"/>
    </row>
    <row r="6538" spans="1:100">
      <c r="A6538" s="374"/>
      <c r="C6538" s="374"/>
      <c r="CV6538" s="376"/>
    </row>
    <row r="6539" spans="1:100">
      <c r="A6539" s="374"/>
      <c r="C6539" s="374"/>
      <c r="CV6539" s="376"/>
    </row>
    <row r="6540" spans="1:100">
      <c r="A6540" s="374"/>
      <c r="C6540" s="374"/>
      <c r="CV6540" s="376"/>
    </row>
    <row r="6541" spans="1:100">
      <c r="A6541" s="374"/>
      <c r="C6541" s="374"/>
      <c r="CV6541" s="376"/>
    </row>
    <row r="6542" spans="1:100">
      <c r="A6542" s="374"/>
      <c r="C6542" s="374"/>
      <c r="CV6542" s="376"/>
    </row>
    <row r="6543" spans="1:100">
      <c r="A6543" s="374"/>
      <c r="C6543" s="374"/>
      <c r="CV6543" s="376"/>
    </row>
    <row r="6544" spans="1:100">
      <c r="A6544" s="374"/>
      <c r="C6544" s="374"/>
      <c r="CV6544" s="376"/>
    </row>
    <row r="6545" spans="1:100">
      <c r="A6545" s="374"/>
      <c r="C6545" s="374"/>
      <c r="CV6545" s="376"/>
    </row>
    <row r="6546" spans="1:100">
      <c r="A6546" s="374"/>
      <c r="C6546" s="374"/>
      <c r="CV6546" s="376"/>
    </row>
    <row r="6547" spans="1:100">
      <c r="A6547" s="374"/>
      <c r="C6547" s="374"/>
      <c r="CV6547" s="376"/>
    </row>
    <row r="6548" spans="1:100">
      <c r="A6548" s="374"/>
      <c r="C6548" s="374"/>
      <c r="CV6548" s="376"/>
    </row>
    <row r="6549" spans="1:100">
      <c r="A6549" s="374"/>
      <c r="C6549" s="374"/>
      <c r="CV6549" s="376"/>
    </row>
    <row r="6550" spans="1:100">
      <c r="A6550" s="374"/>
      <c r="C6550" s="374"/>
      <c r="CV6550" s="376"/>
    </row>
    <row r="6551" spans="1:100">
      <c r="A6551" s="374"/>
      <c r="C6551" s="374"/>
      <c r="CV6551" s="376"/>
    </row>
    <row r="6552" spans="1:100">
      <c r="A6552" s="374"/>
      <c r="C6552" s="374"/>
      <c r="CV6552" s="376"/>
    </row>
    <row r="6553" spans="1:100">
      <c r="A6553" s="374"/>
      <c r="C6553" s="374"/>
      <c r="CV6553" s="376"/>
    </row>
    <row r="6554" spans="1:100">
      <c r="A6554" s="374"/>
      <c r="C6554" s="374"/>
      <c r="CV6554" s="376"/>
    </row>
    <row r="6555" spans="1:100">
      <c r="A6555" s="374"/>
      <c r="C6555" s="374"/>
      <c r="CV6555" s="376"/>
    </row>
    <row r="6556" spans="1:100">
      <c r="A6556" s="374"/>
      <c r="C6556" s="374"/>
      <c r="CV6556" s="376"/>
    </row>
    <row r="6557" spans="1:100">
      <c r="A6557" s="374"/>
      <c r="C6557" s="374"/>
      <c r="CV6557" s="376"/>
    </row>
    <row r="6558" spans="1:100">
      <c r="A6558" s="374"/>
      <c r="C6558" s="374"/>
      <c r="CV6558" s="376"/>
    </row>
    <row r="6559" spans="1:100">
      <c r="A6559" s="374"/>
      <c r="C6559" s="374"/>
      <c r="CV6559" s="376"/>
    </row>
    <row r="6560" spans="1:100">
      <c r="A6560" s="374"/>
      <c r="C6560" s="374"/>
      <c r="CV6560" s="376"/>
    </row>
    <row r="6561" spans="1:100">
      <c r="A6561" s="374"/>
      <c r="C6561" s="374"/>
      <c r="CV6561" s="376"/>
    </row>
    <row r="6562" spans="1:100">
      <c r="A6562" s="374"/>
      <c r="C6562" s="374"/>
      <c r="CV6562" s="376"/>
    </row>
    <row r="6563" spans="1:100">
      <c r="A6563" s="374"/>
      <c r="C6563" s="374"/>
      <c r="CV6563" s="376"/>
    </row>
    <row r="6564" spans="1:100">
      <c r="A6564" s="374"/>
      <c r="C6564" s="374"/>
      <c r="CV6564" s="376"/>
    </row>
    <row r="6565" spans="1:100">
      <c r="A6565" s="374"/>
      <c r="C6565" s="374"/>
      <c r="CV6565" s="376"/>
    </row>
    <row r="6566" spans="1:100">
      <c r="A6566" s="374"/>
      <c r="C6566" s="374"/>
      <c r="CV6566" s="376"/>
    </row>
    <row r="6567" spans="1:100">
      <c r="A6567" s="374"/>
      <c r="C6567" s="374"/>
      <c r="CV6567" s="376"/>
    </row>
    <row r="6568" spans="1:100">
      <c r="A6568" s="374"/>
      <c r="C6568" s="374"/>
      <c r="CV6568" s="376"/>
    </row>
    <row r="6569" spans="1:100">
      <c r="A6569" s="374"/>
      <c r="C6569" s="374"/>
      <c r="CV6569" s="376"/>
    </row>
    <row r="6570" spans="1:100">
      <c r="A6570" s="374"/>
      <c r="C6570" s="374"/>
      <c r="CV6570" s="376"/>
    </row>
    <row r="6571" spans="1:100">
      <c r="A6571" s="374"/>
      <c r="C6571" s="374"/>
      <c r="CV6571" s="376"/>
    </row>
    <row r="6572" spans="1:100">
      <c r="A6572" s="374"/>
      <c r="C6572" s="374"/>
      <c r="CV6572" s="376"/>
    </row>
    <row r="6573" spans="1:100">
      <c r="A6573" s="374"/>
      <c r="C6573" s="374"/>
      <c r="CV6573" s="376"/>
    </row>
    <row r="6574" spans="1:100">
      <c r="A6574" s="374"/>
      <c r="C6574" s="374"/>
      <c r="CV6574" s="376"/>
    </row>
    <row r="6575" spans="1:100">
      <c r="A6575" s="374"/>
      <c r="C6575" s="374"/>
      <c r="CV6575" s="376"/>
    </row>
    <row r="6576" spans="1:100">
      <c r="A6576" s="374"/>
      <c r="C6576" s="374"/>
      <c r="CV6576" s="376"/>
    </row>
    <row r="6577" spans="1:100">
      <c r="A6577" s="374"/>
      <c r="C6577" s="374"/>
      <c r="CV6577" s="376"/>
    </row>
    <row r="6578" spans="1:100">
      <c r="A6578" s="374"/>
      <c r="C6578" s="374"/>
      <c r="CV6578" s="376"/>
    </row>
    <row r="6579" spans="1:100">
      <c r="A6579" s="374"/>
      <c r="C6579" s="374"/>
      <c r="CV6579" s="376"/>
    </row>
    <row r="6580" spans="1:100">
      <c r="A6580" s="374"/>
      <c r="C6580" s="374"/>
      <c r="CV6580" s="376"/>
    </row>
    <row r="6581" spans="1:100">
      <c r="A6581" s="374"/>
      <c r="C6581" s="374"/>
      <c r="CV6581" s="376"/>
    </row>
    <row r="6582" spans="1:100">
      <c r="A6582" s="374"/>
      <c r="C6582" s="374"/>
      <c r="CV6582" s="376"/>
    </row>
    <row r="6583" spans="1:100">
      <c r="A6583" s="374"/>
      <c r="C6583" s="374"/>
      <c r="CV6583" s="376"/>
    </row>
    <row r="6584" spans="1:100">
      <c r="A6584" s="374"/>
      <c r="C6584" s="374"/>
      <c r="CV6584" s="376"/>
    </row>
    <row r="6585" spans="1:100">
      <c r="A6585" s="374"/>
      <c r="C6585" s="374"/>
      <c r="CV6585" s="376"/>
    </row>
    <row r="6586" spans="1:100">
      <c r="A6586" s="374"/>
      <c r="C6586" s="374"/>
      <c r="CV6586" s="376"/>
    </row>
    <row r="6587" spans="1:100">
      <c r="A6587" s="374"/>
      <c r="C6587" s="374"/>
      <c r="CV6587" s="376"/>
    </row>
    <row r="6588" spans="1:100">
      <c r="A6588" s="374"/>
      <c r="C6588" s="374"/>
      <c r="CV6588" s="376"/>
    </row>
    <row r="6589" spans="1:100">
      <c r="A6589" s="374"/>
      <c r="C6589" s="374"/>
      <c r="CV6589" s="376"/>
    </row>
    <row r="6590" spans="1:100">
      <c r="A6590" s="374"/>
      <c r="C6590" s="374"/>
      <c r="CV6590" s="376"/>
    </row>
    <row r="6591" spans="1:100">
      <c r="A6591" s="374"/>
      <c r="C6591" s="374"/>
      <c r="CV6591" s="376"/>
    </row>
    <row r="6592" spans="1:100">
      <c r="A6592" s="374"/>
      <c r="C6592" s="374"/>
      <c r="CV6592" s="376"/>
    </row>
    <row r="6593" spans="1:100">
      <c r="A6593" s="374"/>
      <c r="C6593" s="374"/>
      <c r="CV6593" s="376"/>
    </row>
    <row r="6594" spans="1:100">
      <c r="A6594" s="374"/>
      <c r="C6594" s="374"/>
      <c r="CV6594" s="376"/>
    </row>
    <row r="6595" spans="1:100">
      <c r="A6595" s="374"/>
      <c r="C6595" s="374"/>
      <c r="CV6595" s="376"/>
    </row>
    <row r="6596" spans="1:100">
      <c r="A6596" s="374"/>
      <c r="C6596" s="374"/>
      <c r="CV6596" s="376"/>
    </row>
    <row r="6597" spans="1:100">
      <c r="A6597" s="374"/>
      <c r="C6597" s="374"/>
      <c r="CV6597" s="376"/>
    </row>
    <row r="6598" spans="1:100">
      <c r="A6598" s="374"/>
      <c r="C6598" s="374"/>
      <c r="CV6598" s="376"/>
    </row>
    <row r="6599" spans="1:100">
      <c r="A6599" s="374"/>
      <c r="C6599" s="374"/>
      <c r="CV6599" s="376"/>
    </row>
    <row r="6600" spans="1:100">
      <c r="A6600" s="374"/>
      <c r="C6600" s="374"/>
      <c r="CV6600" s="376"/>
    </row>
    <row r="6601" spans="1:100">
      <c r="A6601" s="374"/>
      <c r="C6601" s="374"/>
      <c r="CV6601" s="376"/>
    </row>
    <row r="6602" spans="1:100">
      <c r="A6602" s="374"/>
      <c r="C6602" s="374"/>
      <c r="CV6602" s="376"/>
    </row>
    <row r="6603" spans="1:100">
      <c r="A6603" s="374"/>
      <c r="C6603" s="374"/>
      <c r="CV6603" s="376"/>
    </row>
    <row r="6604" spans="1:100">
      <c r="A6604" s="374"/>
      <c r="C6604" s="374"/>
      <c r="CV6604" s="376"/>
    </row>
    <row r="6605" spans="1:100">
      <c r="A6605" s="374"/>
      <c r="C6605" s="374"/>
      <c r="CV6605" s="376"/>
    </row>
    <row r="6606" spans="1:100">
      <c r="A6606" s="374"/>
      <c r="C6606" s="374"/>
      <c r="CV6606" s="376"/>
    </row>
    <row r="6607" spans="1:100">
      <c r="A6607" s="374"/>
      <c r="C6607" s="374"/>
      <c r="CV6607" s="376"/>
    </row>
    <row r="6608" spans="1:100">
      <c r="A6608" s="374"/>
      <c r="C6608" s="374"/>
      <c r="CV6608" s="376"/>
    </row>
    <row r="6609" spans="1:100">
      <c r="A6609" s="374"/>
      <c r="C6609" s="374"/>
      <c r="CV6609" s="376"/>
    </row>
    <row r="6610" spans="1:100">
      <c r="A6610" s="374"/>
      <c r="C6610" s="374"/>
      <c r="CV6610" s="376"/>
    </row>
    <row r="6611" spans="1:100">
      <c r="A6611" s="374"/>
      <c r="C6611" s="374"/>
      <c r="CV6611" s="376"/>
    </row>
    <row r="6612" spans="1:100">
      <c r="A6612" s="374"/>
      <c r="C6612" s="374"/>
      <c r="CV6612" s="376"/>
    </row>
    <row r="6613" spans="1:100">
      <c r="A6613" s="374"/>
      <c r="C6613" s="374"/>
      <c r="CV6613" s="376"/>
    </row>
    <row r="6614" spans="1:100">
      <c r="A6614" s="374"/>
      <c r="C6614" s="374"/>
      <c r="CV6614" s="376"/>
    </row>
    <row r="6615" spans="1:100">
      <c r="A6615" s="374"/>
      <c r="C6615" s="374"/>
      <c r="CV6615" s="376"/>
    </row>
    <row r="6616" spans="1:100">
      <c r="A6616" s="374"/>
      <c r="C6616" s="374"/>
      <c r="CV6616" s="376"/>
    </row>
    <row r="6617" spans="1:100">
      <c r="A6617" s="374"/>
      <c r="C6617" s="374"/>
      <c r="CV6617" s="376"/>
    </row>
    <row r="6618" spans="1:100">
      <c r="A6618" s="374"/>
      <c r="C6618" s="374"/>
      <c r="CV6618" s="376"/>
    </row>
    <row r="6619" spans="1:100">
      <c r="A6619" s="374"/>
      <c r="C6619" s="374"/>
      <c r="CV6619" s="376"/>
    </row>
    <row r="6620" spans="1:100">
      <c r="A6620" s="374"/>
      <c r="C6620" s="374"/>
      <c r="CV6620" s="376"/>
    </row>
    <row r="6621" spans="1:100">
      <c r="A6621" s="374"/>
      <c r="C6621" s="374"/>
      <c r="CV6621" s="376"/>
    </row>
    <row r="6622" spans="1:100">
      <c r="A6622" s="374"/>
      <c r="C6622" s="374"/>
      <c r="CV6622" s="376"/>
    </row>
    <row r="6623" spans="1:100">
      <c r="A6623" s="374"/>
      <c r="C6623" s="374"/>
      <c r="CV6623" s="376"/>
    </row>
    <row r="6624" spans="1:100">
      <c r="A6624" s="374"/>
      <c r="C6624" s="374"/>
      <c r="CV6624" s="376"/>
    </row>
    <row r="6625" spans="1:100">
      <c r="A6625" s="374"/>
      <c r="C6625" s="374"/>
      <c r="CV6625" s="376"/>
    </row>
    <row r="6626" spans="1:100">
      <c r="A6626" s="374"/>
      <c r="C6626" s="374"/>
      <c r="CV6626" s="376"/>
    </row>
    <row r="6627" spans="1:100">
      <c r="A6627" s="374"/>
      <c r="C6627" s="374"/>
      <c r="CV6627" s="376"/>
    </row>
    <row r="6628" spans="1:100">
      <c r="A6628" s="374"/>
      <c r="C6628" s="374"/>
      <c r="CV6628" s="376"/>
    </row>
    <row r="6629" spans="1:100">
      <c r="A6629" s="374"/>
      <c r="C6629" s="374"/>
      <c r="CV6629" s="376"/>
    </row>
    <row r="6630" spans="1:100">
      <c r="A6630" s="374"/>
      <c r="C6630" s="374"/>
      <c r="CV6630" s="376"/>
    </row>
    <row r="6631" spans="1:100">
      <c r="A6631" s="374"/>
      <c r="C6631" s="374"/>
      <c r="CV6631" s="376"/>
    </row>
    <row r="6632" spans="1:100">
      <c r="A6632" s="374"/>
      <c r="C6632" s="374"/>
      <c r="CV6632" s="376"/>
    </row>
    <row r="6633" spans="1:100">
      <c r="A6633" s="374"/>
      <c r="C6633" s="374"/>
      <c r="CV6633" s="376"/>
    </row>
    <row r="6634" spans="1:100">
      <c r="A6634" s="374"/>
      <c r="C6634" s="374"/>
      <c r="CV6634" s="376"/>
    </row>
    <row r="6635" spans="1:100">
      <c r="A6635" s="374"/>
      <c r="C6635" s="374"/>
      <c r="CV6635" s="376"/>
    </row>
    <row r="6636" spans="1:100">
      <c r="A6636" s="374"/>
      <c r="C6636" s="374"/>
      <c r="CV6636" s="376"/>
    </row>
    <row r="6637" spans="1:100">
      <c r="A6637" s="374"/>
      <c r="C6637" s="374"/>
      <c r="CV6637" s="376"/>
    </row>
    <row r="6638" spans="1:100">
      <c r="A6638" s="374"/>
      <c r="C6638" s="374"/>
      <c r="CV6638" s="376"/>
    </row>
    <row r="6639" spans="1:100">
      <c r="A6639" s="374"/>
      <c r="C6639" s="374"/>
      <c r="CV6639" s="376"/>
    </row>
    <row r="6640" spans="1:100">
      <c r="A6640" s="374"/>
      <c r="C6640" s="374"/>
      <c r="CV6640" s="376"/>
    </row>
    <row r="6641" spans="1:100">
      <c r="A6641" s="374"/>
      <c r="C6641" s="374"/>
      <c r="CV6641" s="376"/>
    </row>
    <row r="6642" spans="1:100">
      <c r="A6642" s="374"/>
      <c r="C6642" s="374"/>
      <c r="CV6642" s="376"/>
    </row>
    <row r="6643" spans="1:100">
      <c r="A6643" s="374"/>
      <c r="C6643" s="374"/>
      <c r="CV6643" s="376"/>
    </row>
    <row r="6644" spans="1:100">
      <c r="A6644" s="374"/>
      <c r="C6644" s="374"/>
      <c r="CV6644" s="376"/>
    </row>
    <row r="6645" spans="1:100">
      <c r="A6645" s="374"/>
      <c r="C6645" s="374"/>
      <c r="CV6645" s="376"/>
    </row>
    <row r="6646" spans="1:100">
      <c r="A6646" s="374"/>
      <c r="C6646" s="374"/>
      <c r="CV6646" s="376"/>
    </row>
    <row r="6647" spans="1:100">
      <c r="A6647" s="374"/>
      <c r="C6647" s="374"/>
      <c r="CV6647" s="376"/>
    </row>
    <row r="6648" spans="1:100">
      <c r="A6648" s="374"/>
      <c r="C6648" s="374"/>
      <c r="CV6648" s="376"/>
    </row>
    <row r="6649" spans="1:100">
      <c r="A6649" s="374"/>
      <c r="C6649" s="374"/>
      <c r="CV6649" s="376"/>
    </row>
    <row r="6650" spans="1:100">
      <c r="A6650" s="374"/>
      <c r="C6650" s="374"/>
      <c r="CV6650" s="376"/>
    </row>
    <row r="6651" spans="1:100">
      <c r="A6651" s="374"/>
      <c r="C6651" s="374"/>
      <c r="CV6651" s="376"/>
    </row>
    <row r="6652" spans="1:100">
      <c r="A6652" s="374"/>
      <c r="C6652" s="374"/>
      <c r="CV6652" s="376"/>
    </row>
    <row r="6653" spans="1:100">
      <c r="A6653" s="374"/>
      <c r="C6653" s="374"/>
      <c r="CV6653" s="376"/>
    </row>
    <row r="6654" spans="1:100">
      <c r="A6654" s="374"/>
      <c r="C6654" s="374"/>
      <c r="CV6654" s="376"/>
    </row>
    <row r="6655" spans="1:100">
      <c r="A6655" s="374"/>
      <c r="C6655" s="374"/>
      <c r="CV6655" s="376"/>
    </row>
    <row r="6656" spans="1:100">
      <c r="A6656" s="374"/>
      <c r="C6656" s="374"/>
      <c r="CV6656" s="376"/>
    </row>
    <row r="6657" spans="1:100">
      <c r="A6657" s="374"/>
      <c r="C6657" s="374"/>
      <c r="CV6657" s="376"/>
    </row>
    <row r="6658" spans="1:100">
      <c r="A6658" s="374"/>
      <c r="C6658" s="374"/>
      <c r="CV6658" s="376"/>
    </row>
    <row r="6659" spans="1:100">
      <c r="A6659" s="374"/>
      <c r="C6659" s="374"/>
      <c r="CV6659" s="376"/>
    </row>
    <row r="6660" spans="1:100">
      <c r="A6660" s="374"/>
      <c r="C6660" s="374"/>
      <c r="CV6660" s="376"/>
    </row>
    <row r="6661" spans="1:100">
      <c r="A6661" s="374"/>
      <c r="C6661" s="374"/>
      <c r="CV6661" s="376"/>
    </row>
    <row r="6662" spans="1:100">
      <c r="A6662" s="374"/>
      <c r="C6662" s="374"/>
      <c r="CV6662" s="376"/>
    </row>
    <row r="6663" spans="1:100">
      <c r="A6663" s="374"/>
      <c r="C6663" s="374"/>
      <c r="CV6663" s="376"/>
    </row>
    <row r="6664" spans="1:100">
      <c r="A6664" s="374"/>
      <c r="C6664" s="374"/>
      <c r="CV6664" s="376"/>
    </row>
    <row r="6665" spans="1:100">
      <c r="A6665" s="374"/>
      <c r="C6665" s="374"/>
      <c r="CV6665" s="376"/>
    </row>
    <row r="6666" spans="1:100">
      <c r="A6666" s="374"/>
      <c r="C6666" s="374"/>
      <c r="CV6666" s="376"/>
    </row>
    <row r="6667" spans="1:100">
      <c r="A6667" s="374"/>
      <c r="C6667" s="374"/>
      <c r="CV6667" s="376"/>
    </row>
    <row r="6668" spans="1:100">
      <c r="A6668" s="374"/>
      <c r="C6668" s="374"/>
      <c r="CV6668" s="376"/>
    </row>
    <row r="6669" spans="1:100">
      <c r="A6669" s="374"/>
      <c r="C6669" s="374"/>
      <c r="CV6669" s="376"/>
    </row>
    <row r="6670" spans="1:100">
      <c r="A6670" s="374"/>
      <c r="C6670" s="374"/>
      <c r="CV6670" s="376"/>
    </row>
    <row r="6671" spans="1:100">
      <c r="A6671" s="374"/>
      <c r="C6671" s="374"/>
      <c r="CV6671" s="376"/>
    </row>
    <row r="6672" spans="1:100">
      <c r="A6672" s="374"/>
      <c r="C6672" s="374"/>
      <c r="CV6672" s="376"/>
    </row>
    <row r="6673" spans="1:100">
      <c r="A6673" s="374"/>
      <c r="C6673" s="374"/>
      <c r="CV6673" s="376"/>
    </row>
    <row r="6674" spans="1:100">
      <c r="A6674" s="374"/>
      <c r="C6674" s="374"/>
      <c r="CV6674" s="376"/>
    </row>
    <row r="6675" spans="1:100">
      <c r="A6675" s="374"/>
      <c r="C6675" s="374"/>
      <c r="CV6675" s="376"/>
    </row>
    <row r="6676" spans="1:100">
      <c r="A6676" s="374"/>
      <c r="C6676" s="374"/>
      <c r="CV6676" s="376"/>
    </row>
    <row r="6677" spans="1:100">
      <c r="A6677" s="374"/>
      <c r="C6677" s="374"/>
      <c r="CV6677" s="376"/>
    </row>
    <row r="6678" spans="1:100">
      <c r="A6678" s="374"/>
      <c r="C6678" s="374"/>
      <c r="CV6678" s="376"/>
    </row>
    <row r="6679" spans="1:100">
      <c r="A6679" s="374"/>
      <c r="C6679" s="374"/>
      <c r="CV6679" s="376"/>
    </row>
    <row r="6680" spans="1:100">
      <c r="A6680" s="374"/>
      <c r="C6680" s="374"/>
      <c r="CV6680" s="376"/>
    </row>
    <row r="6681" spans="1:100">
      <c r="A6681" s="374"/>
      <c r="C6681" s="374"/>
      <c r="CV6681" s="376"/>
    </row>
    <row r="6682" spans="1:100">
      <c r="A6682" s="374"/>
      <c r="C6682" s="374"/>
      <c r="CV6682" s="376"/>
    </row>
    <row r="6683" spans="1:100">
      <c r="A6683" s="374"/>
      <c r="C6683" s="374"/>
      <c r="CV6683" s="376"/>
    </row>
    <row r="6684" spans="1:100">
      <c r="A6684" s="374"/>
      <c r="C6684" s="374"/>
      <c r="CV6684" s="376"/>
    </row>
    <row r="6685" spans="1:100">
      <c r="A6685" s="374"/>
      <c r="C6685" s="374"/>
      <c r="CV6685" s="376"/>
    </row>
    <row r="6686" spans="1:100">
      <c r="A6686" s="374"/>
      <c r="C6686" s="374"/>
      <c r="CV6686" s="376"/>
    </row>
    <row r="6687" spans="1:100">
      <c r="A6687" s="374"/>
      <c r="C6687" s="374"/>
      <c r="CV6687" s="376"/>
    </row>
    <row r="6688" spans="1:100">
      <c r="A6688" s="374"/>
      <c r="C6688" s="374"/>
      <c r="CV6688" s="376"/>
    </row>
    <row r="6689" spans="1:100">
      <c r="A6689" s="374"/>
      <c r="C6689" s="374"/>
      <c r="CV6689" s="376"/>
    </row>
    <row r="6690" spans="1:100">
      <c r="A6690" s="374"/>
      <c r="C6690" s="374"/>
      <c r="CV6690" s="376"/>
    </row>
    <row r="6691" spans="1:100">
      <c r="A6691" s="374"/>
      <c r="C6691" s="374"/>
      <c r="CV6691" s="376"/>
    </row>
    <row r="6692" spans="1:100">
      <c r="A6692" s="374"/>
      <c r="C6692" s="374"/>
      <c r="CV6692" s="376"/>
    </row>
    <row r="6693" spans="1:100">
      <c r="A6693" s="374"/>
      <c r="C6693" s="374"/>
      <c r="CV6693" s="376"/>
    </row>
    <row r="6694" spans="1:100">
      <c r="A6694" s="374"/>
      <c r="C6694" s="374"/>
      <c r="CV6694" s="376"/>
    </row>
    <row r="6695" spans="1:100">
      <c r="A6695" s="374"/>
      <c r="C6695" s="374"/>
      <c r="CV6695" s="376"/>
    </row>
    <row r="6696" spans="1:100">
      <c r="A6696" s="374"/>
      <c r="C6696" s="374"/>
      <c r="CV6696" s="376"/>
    </row>
    <row r="6697" spans="1:100">
      <c r="A6697" s="374"/>
      <c r="C6697" s="374"/>
      <c r="CV6697" s="376"/>
    </row>
    <row r="6698" spans="1:100">
      <c r="A6698" s="374"/>
      <c r="C6698" s="374"/>
      <c r="CV6698" s="376"/>
    </row>
    <row r="6699" spans="1:100">
      <c r="A6699" s="374"/>
      <c r="C6699" s="374"/>
      <c r="CV6699" s="376"/>
    </row>
    <row r="6700" spans="1:100">
      <c r="A6700" s="374"/>
      <c r="C6700" s="374"/>
      <c r="CV6700" s="376"/>
    </row>
    <row r="6701" spans="1:100">
      <c r="A6701" s="374"/>
      <c r="C6701" s="374"/>
      <c r="CV6701" s="376"/>
    </row>
    <row r="6702" spans="1:100">
      <c r="A6702" s="374"/>
      <c r="C6702" s="374"/>
      <c r="CV6702" s="376"/>
    </row>
    <row r="6703" spans="1:100">
      <c r="A6703" s="374"/>
      <c r="C6703" s="374"/>
      <c r="CV6703" s="376"/>
    </row>
    <row r="6704" spans="1:100">
      <c r="A6704" s="374"/>
      <c r="C6704" s="374"/>
      <c r="CV6704" s="376"/>
    </row>
    <row r="6705" spans="1:100">
      <c r="A6705" s="374"/>
      <c r="C6705" s="374"/>
      <c r="CV6705" s="376"/>
    </row>
    <row r="6706" spans="1:100">
      <c r="A6706" s="374"/>
      <c r="C6706" s="374"/>
      <c r="CV6706" s="376"/>
    </row>
    <row r="6707" spans="1:100">
      <c r="A6707" s="374"/>
      <c r="C6707" s="374"/>
      <c r="CV6707" s="376"/>
    </row>
    <row r="6708" spans="1:100">
      <c r="A6708" s="374"/>
      <c r="C6708" s="374"/>
      <c r="CV6708" s="376"/>
    </row>
    <row r="6709" spans="1:100">
      <c r="A6709" s="374"/>
      <c r="C6709" s="374"/>
      <c r="CV6709" s="376"/>
    </row>
    <row r="6710" spans="1:100">
      <c r="A6710" s="374"/>
      <c r="C6710" s="374"/>
      <c r="CV6710" s="376"/>
    </row>
    <row r="6711" spans="1:100">
      <c r="A6711" s="374"/>
      <c r="C6711" s="374"/>
      <c r="CV6711" s="376"/>
    </row>
    <row r="6712" spans="1:100">
      <c r="A6712" s="374"/>
      <c r="C6712" s="374"/>
      <c r="CV6712" s="376"/>
    </row>
    <row r="6713" spans="1:100">
      <c r="A6713" s="374"/>
      <c r="C6713" s="374"/>
      <c r="CV6713" s="376"/>
    </row>
    <row r="6714" spans="1:100">
      <c r="A6714" s="374"/>
      <c r="C6714" s="374"/>
      <c r="CV6714" s="376"/>
    </row>
    <row r="6715" spans="1:100">
      <c r="A6715" s="374"/>
      <c r="C6715" s="374"/>
      <c r="CV6715" s="376"/>
    </row>
    <row r="6716" spans="1:100">
      <c r="A6716" s="374"/>
      <c r="C6716" s="374"/>
      <c r="CV6716" s="376"/>
    </row>
    <row r="6717" spans="1:100">
      <c r="A6717" s="374"/>
      <c r="C6717" s="374"/>
      <c r="CV6717" s="376"/>
    </row>
    <row r="6718" spans="1:100">
      <c r="A6718" s="374"/>
      <c r="C6718" s="374"/>
      <c r="CV6718" s="376"/>
    </row>
    <row r="6719" spans="1:100">
      <c r="A6719" s="374"/>
      <c r="C6719" s="374"/>
      <c r="CV6719" s="376"/>
    </row>
    <row r="6720" spans="1:100">
      <c r="A6720" s="374"/>
      <c r="C6720" s="374"/>
      <c r="CV6720" s="376"/>
    </row>
    <row r="6721" spans="1:100">
      <c r="A6721" s="374"/>
      <c r="C6721" s="374"/>
      <c r="CV6721" s="376"/>
    </row>
    <row r="6722" spans="1:100">
      <c r="A6722" s="374"/>
      <c r="C6722" s="374"/>
      <c r="CV6722" s="376"/>
    </row>
    <row r="6723" spans="1:100">
      <c r="A6723" s="374"/>
      <c r="C6723" s="374"/>
      <c r="CV6723" s="376"/>
    </row>
    <row r="6724" spans="1:100">
      <c r="A6724" s="374"/>
      <c r="C6724" s="374"/>
      <c r="CV6724" s="376"/>
    </row>
    <row r="6725" spans="1:100">
      <c r="A6725" s="374"/>
      <c r="C6725" s="374"/>
      <c r="CV6725" s="376"/>
    </row>
    <row r="6726" spans="1:100">
      <c r="A6726" s="374"/>
      <c r="C6726" s="374"/>
      <c r="CV6726" s="376"/>
    </row>
    <row r="6727" spans="1:100">
      <c r="A6727" s="374"/>
      <c r="C6727" s="374"/>
      <c r="CV6727" s="376"/>
    </row>
    <row r="6728" spans="1:100">
      <c r="A6728" s="374"/>
      <c r="C6728" s="374"/>
      <c r="CV6728" s="376"/>
    </row>
    <row r="6729" spans="1:100">
      <c r="A6729" s="374"/>
      <c r="C6729" s="374"/>
      <c r="CV6729" s="376"/>
    </row>
    <row r="6730" spans="1:100">
      <c r="A6730" s="374"/>
      <c r="C6730" s="374"/>
      <c r="CV6730" s="376"/>
    </row>
    <row r="6731" spans="1:100">
      <c r="A6731" s="374"/>
      <c r="C6731" s="374"/>
      <c r="CV6731" s="376"/>
    </row>
    <row r="6732" spans="1:100">
      <c r="A6732" s="374"/>
      <c r="C6732" s="374"/>
      <c r="CV6732" s="376"/>
    </row>
    <row r="6733" spans="1:100">
      <c r="A6733" s="374"/>
      <c r="C6733" s="374"/>
      <c r="CV6733" s="376"/>
    </row>
    <row r="6734" spans="1:100">
      <c r="A6734" s="374"/>
      <c r="C6734" s="374"/>
      <c r="CV6734" s="376"/>
    </row>
    <row r="6735" spans="1:100">
      <c r="A6735" s="374"/>
      <c r="C6735" s="374"/>
      <c r="CV6735" s="376"/>
    </row>
    <row r="6736" spans="1:100">
      <c r="A6736" s="374"/>
      <c r="C6736" s="374"/>
      <c r="CV6736" s="376"/>
    </row>
    <row r="6737" spans="1:100">
      <c r="A6737" s="374"/>
      <c r="C6737" s="374"/>
      <c r="CV6737" s="376"/>
    </row>
    <row r="6738" spans="1:100">
      <c r="A6738" s="374"/>
      <c r="C6738" s="374"/>
      <c r="CV6738" s="376"/>
    </row>
    <row r="6739" spans="1:100">
      <c r="A6739" s="374"/>
      <c r="C6739" s="374"/>
      <c r="CV6739" s="376"/>
    </row>
    <row r="6740" spans="1:100">
      <c r="A6740" s="374"/>
      <c r="C6740" s="374"/>
      <c r="CV6740" s="376"/>
    </row>
    <row r="6741" spans="1:100">
      <c r="A6741" s="374"/>
      <c r="C6741" s="374"/>
      <c r="CV6741" s="376"/>
    </row>
    <row r="6742" spans="1:100">
      <c r="A6742" s="374"/>
      <c r="C6742" s="374"/>
      <c r="CV6742" s="376"/>
    </row>
    <row r="6743" spans="1:100">
      <c r="A6743" s="374"/>
      <c r="C6743" s="374"/>
      <c r="CV6743" s="376"/>
    </row>
    <row r="6744" spans="1:100">
      <c r="A6744" s="374"/>
      <c r="C6744" s="374"/>
      <c r="CV6744" s="376"/>
    </row>
    <row r="6745" spans="1:100">
      <c r="A6745" s="374"/>
      <c r="C6745" s="374"/>
      <c r="CV6745" s="376"/>
    </row>
    <row r="6746" spans="1:100">
      <c r="A6746" s="374"/>
      <c r="C6746" s="374"/>
      <c r="CV6746" s="376"/>
    </row>
    <row r="6747" spans="1:100">
      <c r="A6747" s="374"/>
      <c r="C6747" s="374"/>
      <c r="CV6747" s="376"/>
    </row>
    <row r="6748" spans="1:100">
      <c r="A6748" s="374"/>
      <c r="C6748" s="374"/>
      <c r="CV6748" s="376"/>
    </row>
    <row r="6749" spans="1:100">
      <c r="A6749" s="374"/>
      <c r="C6749" s="374"/>
      <c r="CV6749" s="376"/>
    </row>
    <row r="6750" spans="1:100">
      <c r="A6750" s="374"/>
      <c r="C6750" s="374"/>
      <c r="CV6750" s="376"/>
    </row>
    <row r="6751" spans="1:100">
      <c r="A6751" s="374"/>
      <c r="C6751" s="374"/>
      <c r="CV6751" s="376"/>
    </row>
    <row r="6752" spans="1:100">
      <c r="A6752" s="374"/>
      <c r="C6752" s="374"/>
      <c r="CV6752" s="376"/>
    </row>
    <row r="6753" spans="1:100">
      <c r="A6753" s="374"/>
      <c r="C6753" s="374"/>
      <c r="CV6753" s="376"/>
    </row>
    <row r="6754" spans="1:100">
      <c r="A6754" s="374"/>
      <c r="C6754" s="374"/>
      <c r="CV6754" s="376"/>
    </row>
    <row r="6755" spans="1:100">
      <c r="A6755" s="374"/>
      <c r="C6755" s="374"/>
      <c r="CV6755" s="376"/>
    </row>
    <row r="6756" spans="1:100">
      <c r="A6756" s="374"/>
      <c r="C6756" s="374"/>
      <c r="CV6756" s="376"/>
    </row>
    <row r="6757" spans="1:100">
      <c r="A6757" s="374"/>
      <c r="C6757" s="374"/>
      <c r="CV6757" s="376"/>
    </row>
    <row r="6758" spans="1:100">
      <c r="A6758" s="374"/>
      <c r="C6758" s="374"/>
      <c r="CV6758" s="376"/>
    </row>
    <row r="6759" spans="1:100">
      <c r="A6759" s="374"/>
      <c r="C6759" s="374"/>
      <c r="CV6759" s="376"/>
    </row>
    <row r="6760" spans="1:100">
      <c r="A6760" s="374"/>
      <c r="C6760" s="374"/>
      <c r="CV6760" s="376"/>
    </row>
    <row r="6761" spans="1:100">
      <c r="A6761" s="374"/>
      <c r="C6761" s="374"/>
      <c r="CV6761" s="376"/>
    </row>
    <row r="6762" spans="1:100">
      <c r="A6762" s="374"/>
      <c r="C6762" s="374"/>
      <c r="CV6762" s="376"/>
    </row>
    <row r="6763" spans="1:100">
      <c r="A6763" s="374"/>
      <c r="C6763" s="374"/>
      <c r="CV6763" s="376"/>
    </row>
    <row r="6764" spans="1:100">
      <c r="A6764" s="374"/>
      <c r="C6764" s="374"/>
      <c r="CV6764" s="376"/>
    </row>
    <row r="6765" spans="1:100">
      <c r="A6765" s="374"/>
      <c r="C6765" s="374"/>
      <c r="CV6765" s="376"/>
    </row>
    <row r="6766" spans="1:100">
      <c r="A6766" s="374"/>
      <c r="C6766" s="374"/>
      <c r="CV6766" s="376"/>
    </row>
    <row r="6767" spans="1:100">
      <c r="A6767" s="374"/>
      <c r="C6767" s="374"/>
      <c r="CV6767" s="376"/>
    </row>
    <row r="6768" spans="1:100">
      <c r="A6768" s="374"/>
      <c r="C6768" s="374"/>
      <c r="CV6768" s="376"/>
    </row>
    <row r="6769" spans="1:100">
      <c r="A6769" s="374"/>
      <c r="C6769" s="374"/>
      <c r="CV6769" s="376"/>
    </row>
    <row r="6770" spans="1:100">
      <c r="A6770" s="374"/>
      <c r="C6770" s="374"/>
      <c r="CV6770" s="376"/>
    </row>
    <row r="6771" spans="1:100">
      <c r="A6771" s="374"/>
      <c r="C6771" s="374"/>
      <c r="CV6771" s="376"/>
    </row>
    <row r="6772" spans="1:100">
      <c r="A6772" s="374"/>
      <c r="C6772" s="374"/>
      <c r="CV6772" s="376"/>
    </row>
    <row r="6773" spans="1:100">
      <c r="A6773" s="374"/>
      <c r="C6773" s="374"/>
      <c r="CV6773" s="376"/>
    </row>
    <row r="6774" spans="1:100">
      <c r="A6774" s="374"/>
      <c r="C6774" s="374"/>
      <c r="CV6774" s="376"/>
    </row>
    <row r="6775" spans="1:100">
      <c r="A6775" s="374"/>
      <c r="C6775" s="374"/>
      <c r="CV6775" s="376"/>
    </row>
    <row r="6776" spans="1:100">
      <c r="A6776" s="374"/>
      <c r="C6776" s="374"/>
      <c r="CV6776" s="376"/>
    </row>
    <row r="6777" spans="1:100">
      <c r="A6777" s="374"/>
      <c r="C6777" s="374"/>
      <c r="CV6777" s="376"/>
    </row>
    <row r="6778" spans="1:100">
      <c r="A6778" s="374"/>
      <c r="C6778" s="374"/>
      <c r="CV6778" s="376"/>
    </row>
    <row r="6779" spans="1:100">
      <c r="A6779" s="374"/>
      <c r="C6779" s="374"/>
      <c r="CV6779" s="376"/>
    </row>
    <row r="6780" spans="1:100">
      <c r="A6780" s="374"/>
      <c r="C6780" s="374"/>
      <c r="CV6780" s="376"/>
    </row>
    <row r="6781" spans="1:100">
      <c r="A6781" s="374"/>
      <c r="C6781" s="374"/>
      <c r="CV6781" s="376"/>
    </row>
    <row r="6782" spans="1:100">
      <c r="A6782" s="374"/>
      <c r="C6782" s="374"/>
      <c r="CV6782" s="376"/>
    </row>
    <row r="6783" spans="1:100">
      <c r="A6783" s="374"/>
      <c r="C6783" s="374"/>
      <c r="CV6783" s="376"/>
    </row>
    <row r="6784" spans="1:100">
      <c r="A6784" s="374"/>
      <c r="C6784" s="374"/>
      <c r="CV6784" s="376"/>
    </row>
    <row r="6785" spans="1:100">
      <c r="A6785" s="374"/>
      <c r="C6785" s="374"/>
      <c r="CV6785" s="376"/>
    </row>
    <row r="6786" spans="1:100">
      <c r="A6786" s="374"/>
      <c r="C6786" s="374"/>
      <c r="CV6786" s="376"/>
    </row>
    <row r="6787" spans="1:100">
      <c r="A6787" s="374"/>
      <c r="C6787" s="374"/>
      <c r="CV6787" s="376"/>
    </row>
    <row r="6788" spans="1:100">
      <c r="A6788" s="374"/>
      <c r="C6788" s="374"/>
      <c r="CV6788" s="376"/>
    </row>
    <row r="6789" spans="1:100">
      <c r="A6789" s="374"/>
      <c r="C6789" s="374"/>
      <c r="CV6789" s="376"/>
    </row>
    <row r="6790" spans="1:100">
      <c r="A6790" s="374"/>
      <c r="C6790" s="374"/>
      <c r="CV6790" s="376"/>
    </row>
    <row r="6791" spans="1:100">
      <c r="A6791" s="374"/>
      <c r="C6791" s="374"/>
      <c r="CV6791" s="376"/>
    </row>
    <row r="6792" spans="1:100">
      <c r="A6792" s="374"/>
      <c r="C6792" s="374"/>
      <c r="CV6792" s="376"/>
    </row>
    <row r="6793" spans="1:100">
      <c r="A6793" s="374"/>
      <c r="C6793" s="374"/>
      <c r="CV6793" s="376"/>
    </row>
    <row r="6794" spans="1:100">
      <c r="A6794" s="374"/>
      <c r="C6794" s="374"/>
      <c r="CV6794" s="376"/>
    </row>
    <row r="6795" spans="1:100">
      <c r="A6795" s="374"/>
      <c r="C6795" s="374"/>
      <c r="CV6795" s="376"/>
    </row>
    <row r="6796" spans="1:100">
      <c r="A6796" s="374"/>
      <c r="C6796" s="374"/>
      <c r="CV6796" s="376"/>
    </row>
    <row r="6797" spans="1:100">
      <c r="A6797" s="374"/>
      <c r="C6797" s="374"/>
      <c r="CV6797" s="376"/>
    </row>
    <row r="6798" spans="1:100">
      <c r="A6798" s="374"/>
      <c r="C6798" s="374"/>
      <c r="CV6798" s="376"/>
    </row>
    <row r="6799" spans="1:100">
      <c r="A6799" s="374"/>
      <c r="C6799" s="374"/>
      <c r="CV6799" s="376"/>
    </row>
    <row r="6800" spans="1:100">
      <c r="A6800" s="374"/>
      <c r="C6800" s="374"/>
      <c r="CV6800" s="376"/>
    </row>
    <row r="6801" spans="1:100">
      <c r="A6801" s="374"/>
      <c r="C6801" s="374"/>
      <c r="CV6801" s="376"/>
    </row>
    <row r="6802" spans="1:100">
      <c r="A6802" s="374"/>
      <c r="C6802" s="374"/>
      <c r="CV6802" s="376"/>
    </row>
    <row r="6803" spans="1:100">
      <c r="A6803" s="374"/>
      <c r="C6803" s="374"/>
      <c r="CV6803" s="376"/>
    </row>
    <row r="6804" spans="1:100">
      <c r="A6804" s="374"/>
      <c r="C6804" s="374"/>
      <c r="CV6804" s="376"/>
    </row>
    <row r="6805" spans="1:100">
      <c r="A6805" s="374"/>
      <c r="C6805" s="374"/>
      <c r="CV6805" s="376"/>
    </row>
    <row r="6806" spans="1:100">
      <c r="A6806" s="374"/>
      <c r="C6806" s="374"/>
      <c r="CV6806" s="376"/>
    </row>
    <row r="6807" spans="1:100">
      <c r="A6807" s="374"/>
      <c r="C6807" s="374"/>
      <c r="CV6807" s="376"/>
    </row>
    <row r="6808" spans="1:100">
      <c r="A6808" s="374"/>
      <c r="C6808" s="374"/>
      <c r="CV6808" s="376"/>
    </row>
    <row r="6809" spans="1:100">
      <c r="A6809" s="374"/>
      <c r="C6809" s="374"/>
      <c r="CV6809" s="376"/>
    </row>
    <row r="6810" spans="1:100">
      <c r="A6810" s="374"/>
      <c r="C6810" s="374"/>
      <c r="CV6810" s="376"/>
    </row>
    <row r="6811" spans="1:100">
      <c r="A6811" s="374"/>
      <c r="C6811" s="374"/>
      <c r="CV6811" s="376"/>
    </row>
    <row r="6812" spans="1:100">
      <c r="A6812" s="374"/>
      <c r="C6812" s="374"/>
      <c r="CV6812" s="376"/>
    </row>
    <row r="6813" spans="1:100">
      <c r="A6813" s="374"/>
      <c r="C6813" s="374"/>
      <c r="CV6813" s="376"/>
    </row>
    <row r="6814" spans="1:100">
      <c r="A6814" s="374"/>
      <c r="C6814" s="374"/>
      <c r="CV6814" s="376"/>
    </row>
    <row r="6815" spans="1:100">
      <c r="A6815" s="374"/>
      <c r="C6815" s="374"/>
      <c r="CV6815" s="376"/>
    </row>
    <row r="6816" spans="1:100">
      <c r="A6816" s="374"/>
      <c r="C6816" s="374"/>
      <c r="CV6816" s="376"/>
    </row>
    <row r="6817" spans="1:100">
      <c r="A6817" s="374"/>
      <c r="C6817" s="374"/>
      <c r="CV6817" s="376"/>
    </row>
    <row r="6818" spans="1:100">
      <c r="A6818" s="374"/>
      <c r="C6818" s="374"/>
      <c r="CV6818" s="376"/>
    </row>
    <row r="6819" spans="1:100">
      <c r="A6819" s="374"/>
      <c r="C6819" s="374"/>
      <c r="CV6819" s="376"/>
    </row>
    <row r="6820" spans="1:100">
      <c r="A6820" s="374"/>
      <c r="C6820" s="374"/>
      <c r="CV6820" s="376"/>
    </row>
    <row r="6821" spans="1:100">
      <c r="A6821" s="374"/>
      <c r="C6821" s="374"/>
      <c r="CV6821" s="376"/>
    </row>
    <row r="6822" spans="1:100">
      <c r="A6822" s="374"/>
      <c r="C6822" s="374"/>
      <c r="CV6822" s="376"/>
    </row>
    <row r="6823" spans="1:100">
      <c r="A6823" s="374"/>
      <c r="C6823" s="374"/>
      <c r="CV6823" s="376"/>
    </row>
    <row r="6824" spans="1:100">
      <c r="A6824" s="374"/>
      <c r="C6824" s="374"/>
      <c r="CV6824" s="376"/>
    </row>
    <row r="6825" spans="1:100">
      <c r="A6825" s="374"/>
      <c r="C6825" s="374"/>
      <c r="CV6825" s="376"/>
    </row>
    <row r="6826" spans="1:100">
      <c r="A6826" s="374"/>
      <c r="C6826" s="374"/>
      <c r="CV6826" s="376"/>
    </row>
    <row r="6827" spans="1:100">
      <c r="A6827" s="374"/>
      <c r="C6827" s="374"/>
      <c r="CV6827" s="376"/>
    </row>
    <row r="6828" spans="1:100">
      <c r="A6828" s="374"/>
      <c r="C6828" s="374"/>
      <c r="CV6828" s="376"/>
    </row>
    <row r="6829" spans="1:100">
      <c r="A6829" s="374"/>
      <c r="C6829" s="374"/>
      <c r="CV6829" s="376"/>
    </row>
    <row r="6830" spans="1:100">
      <c r="A6830" s="374"/>
      <c r="C6830" s="374"/>
      <c r="CV6830" s="376"/>
    </row>
    <row r="6831" spans="1:100">
      <c r="A6831" s="374"/>
      <c r="C6831" s="374"/>
      <c r="CV6831" s="376"/>
    </row>
    <row r="6832" spans="1:100">
      <c r="A6832" s="374"/>
      <c r="C6832" s="374"/>
      <c r="CV6832" s="376"/>
    </row>
    <row r="6833" spans="1:100">
      <c r="A6833" s="374"/>
      <c r="C6833" s="374"/>
      <c r="CV6833" s="376"/>
    </row>
    <row r="6834" spans="1:100">
      <c r="A6834" s="374"/>
      <c r="C6834" s="374"/>
      <c r="CV6834" s="376"/>
    </row>
    <row r="6835" spans="1:100">
      <c r="A6835" s="374"/>
      <c r="C6835" s="374"/>
      <c r="CV6835" s="376"/>
    </row>
    <row r="6836" spans="1:100">
      <c r="A6836" s="374"/>
      <c r="C6836" s="374"/>
      <c r="CV6836" s="376"/>
    </row>
    <row r="6837" spans="1:100">
      <c r="A6837" s="374"/>
      <c r="C6837" s="374"/>
      <c r="CV6837" s="376"/>
    </row>
    <row r="6838" spans="1:100">
      <c r="A6838" s="374"/>
      <c r="C6838" s="374"/>
      <c r="CV6838" s="376"/>
    </row>
    <row r="6839" spans="1:100">
      <c r="A6839" s="374"/>
      <c r="C6839" s="374"/>
      <c r="CV6839" s="376"/>
    </row>
    <row r="6840" spans="1:100">
      <c r="A6840" s="374"/>
      <c r="C6840" s="374"/>
      <c r="CV6840" s="376"/>
    </row>
    <row r="6841" spans="1:100">
      <c r="A6841" s="374"/>
      <c r="C6841" s="374"/>
      <c r="CV6841" s="376"/>
    </row>
    <row r="6842" spans="1:100">
      <c r="A6842" s="374"/>
      <c r="C6842" s="374"/>
      <c r="CV6842" s="376"/>
    </row>
    <row r="6843" spans="1:100">
      <c r="A6843" s="374"/>
      <c r="C6843" s="374"/>
      <c r="CV6843" s="376"/>
    </row>
    <row r="6844" spans="1:100">
      <c r="A6844" s="374"/>
      <c r="C6844" s="374"/>
      <c r="CV6844" s="376"/>
    </row>
    <row r="6845" spans="1:100">
      <c r="A6845" s="374"/>
      <c r="C6845" s="374"/>
      <c r="CV6845" s="376"/>
    </row>
    <row r="6846" spans="1:100">
      <c r="A6846" s="374"/>
      <c r="C6846" s="374"/>
      <c r="CV6846" s="376"/>
    </row>
    <row r="6847" spans="1:100">
      <c r="A6847" s="374"/>
      <c r="C6847" s="374"/>
      <c r="CV6847" s="376"/>
    </row>
    <row r="6848" spans="1:100">
      <c r="A6848" s="374"/>
      <c r="C6848" s="374"/>
      <c r="CV6848" s="376"/>
    </row>
    <row r="6849" spans="1:100">
      <c r="A6849" s="374"/>
      <c r="C6849" s="374"/>
      <c r="CV6849" s="376"/>
    </row>
    <row r="6850" spans="1:100">
      <c r="A6850" s="374"/>
      <c r="C6850" s="374"/>
      <c r="CV6850" s="376"/>
    </row>
    <row r="6851" spans="1:100">
      <c r="A6851" s="374"/>
      <c r="C6851" s="374"/>
      <c r="CV6851" s="376"/>
    </row>
    <row r="6852" spans="1:100">
      <c r="A6852" s="374"/>
      <c r="C6852" s="374"/>
      <c r="CV6852" s="376"/>
    </row>
    <row r="6853" spans="1:100">
      <c r="A6853" s="374"/>
      <c r="C6853" s="374"/>
      <c r="CV6853" s="376"/>
    </row>
    <row r="6854" spans="1:100">
      <c r="A6854" s="374"/>
      <c r="C6854" s="374"/>
      <c r="CV6854" s="376"/>
    </row>
    <row r="6855" spans="1:100">
      <c r="A6855" s="374"/>
      <c r="C6855" s="374"/>
      <c r="CV6855" s="376"/>
    </row>
    <row r="6856" spans="1:100">
      <c r="A6856" s="374"/>
      <c r="C6856" s="374"/>
      <c r="CV6856" s="376"/>
    </row>
    <row r="6857" spans="1:100">
      <c r="A6857" s="374"/>
      <c r="C6857" s="374"/>
      <c r="CV6857" s="376"/>
    </row>
    <row r="6858" spans="1:100">
      <c r="A6858" s="374"/>
      <c r="C6858" s="374"/>
      <c r="CV6858" s="376"/>
    </row>
    <row r="6859" spans="1:100">
      <c r="A6859" s="374"/>
      <c r="C6859" s="374"/>
      <c r="CV6859" s="376"/>
    </row>
    <row r="6860" spans="1:100">
      <c r="A6860" s="374"/>
      <c r="C6860" s="374"/>
      <c r="CV6860" s="376"/>
    </row>
    <row r="6861" spans="1:100">
      <c r="A6861" s="374"/>
      <c r="C6861" s="374"/>
      <c r="CV6861" s="376"/>
    </row>
    <row r="6862" spans="1:100">
      <c r="A6862" s="374"/>
      <c r="C6862" s="374"/>
      <c r="CV6862" s="376"/>
    </row>
    <row r="6863" spans="1:100">
      <c r="A6863" s="374"/>
      <c r="C6863" s="374"/>
      <c r="CV6863" s="376"/>
    </row>
    <row r="6864" spans="1:100">
      <c r="A6864" s="374"/>
      <c r="C6864" s="374"/>
      <c r="CV6864" s="376"/>
    </row>
    <row r="6865" spans="1:100">
      <c r="A6865" s="374"/>
      <c r="C6865" s="374"/>
      <c r="CV6865" s="376"/>
    </row>
    <row r="6866" spans="1:100">
      <c r="A6866" s="374"/>
      <c r="C6866" s="374"/>
      <c r="CV6866" s="376"/>
    </row>
    <row r="6867" spans="1:100">
      <c r="A6867" s="374"/>
      <c r="C6867" s="374"/>
      <c r="CV6867" s="376"/>
    </row>
    <row r="6868" spans="1:100">
      <c r="A6868" s="374"/>
      <c r="C6868" s="374"/>
      <c r="CV6868" s="376"/>
    </row>
    <row r="6869" spans="1:100">
      <c r="A6869" s="374"/>
      <c r="C6869" s="374"/>
      <c r="CV6869" s="376"/>
    </row>
    <row r="6870" spans="1:100">
      <c r="A6870" s="374"/>
      <c r="C6870" s="374"/>
      <c r="CV6870" s="376"/>
    </row>
    <row r="6871" spans="1:100">
      <c r="A6871" s="374"/>
      <c r="C6871" s="374"/>
      <c r="CV6871" s="376"/>
    </row>
    <row r="6872" spans="1:100">
      <c r="A6872" s="374"/>
      <c r="C6872" s="374"/>
      <c r="CV6872" s="376"/>
    </row>
    <row r="6873" spans="1:100">
      <c r="A6873" s="374"/>
      <c r="C6873" s="374"/>
      <c r="CV6873" s="376"/>
    </row>
    <row r="6874" spans="1:100">
      <c r="A6874" s="374"/>
      <c r="C6874" s="374"/>
      <c r="CV6874" s="376"/>
    </row>
    <row r="6875" spans="1:100">
      <c r="A6875" s="374"/>
      <c r="C6875" s="374"/>
      <c r="CV6875" s="376"/>
    </row>
    <row r="6876" spans="1:100">
      <c r="A6876" s="374"/>
      <c r="C6876" s="374"/>
      <c r="CV6876" s="376"/>
    </row>
    <row r="6877" spans="1:100">
      <c r="A6877" s="374"/>
      <c r="C6877" s="374"/>
      <c r="CV6877" s="376"/>
    </row>
    <row r="6878" spans="1:100">
      <c r="A6878" s="374"/>
      <c r="C6878" s="374"/>
      <c r="CV6878" s="376"/>
    </row>
    <row r="6879" spans="1:100">
      <c r="A6879" s="374"/>
      <c r="C6879" s="374"/>
      <c r="CV6879" s="376"/>
    </row>
    <row r="6880" spans="1:100">
      <c r="A6880" s="374"/>
      <c r="C6880" s="374"/>
      <c r="CV6880" s="376"/>
    </row>
    <row r="6881" spans="1:100">
      <c r="A6881" s="374"/>
      <c r="C6881" s="374"/>
      <c r="CV6881" s="376"/>
    </row>
    <row r="6882" spans="1:100">
      <c r="A6882" s="374"/>
      <c r="C6882" s="374"/>
      <c r="CV6882" s="376"/>
    </row>
    <row r="6883" spans="1:100">
      <c r="A6883" s="374"/>
      <c r="C6883" s="374"/>
      <c r="CV6883" s="376"/>
    </row>
    <row r="6884" spans="1:100">
      <c r="A6884" s="374"/>
      <c r="C6884" s="374"/>
      <c r="CV6884" s="376"/>
    </row>
    <row r="6885" spans="1:100">
      <c r="A6885" s="374"/>
      <c r="C6885" s="374"/>
      <c r="CV6885" s="376"/>
    </row>
    <row r="6886" spans="1:100">
      <c r="A6886" s="374"/>
      <c r="C6886" s="374"/>
      <c r="CV6886" s="376"/>
    </row>
    <row r="6887" spans="1:100">
      <c r="A6887" s="374"/>
      <c r="C6887" s="374"/>
      <c r="CV6887" s="376"/>
    </row>
    <row r="6888" spans="1:100">
      <c r="A6888" s="374"/>
      <c r="C6888" s="374"/>
      <c r="CV6888" s="376"/>
    </row>
    <row r="6889" spans="1:100">
      <c r="A6889" s="374"/>
      <c r="C6889" s="374"/>
      <c r="CV6889" s="376"/>
    </row>
    <row r="6890" spans="1:100">
      <c r="A6890" s="374"/>
      <c r="C6890" s="374"/>
      <c r="CV6890" s="376"/>
    </row>
    <row r="6891" spans="1:100">
      <c r="A6891" s="374"/>
      <c r="C6891" s="374"/>
      <c r="CV6891" s="376"/>
    </row>
    <row r="6892" spans="1:100">
      <c r="A6892" s="374"/>
      <c r="C6892" s="374"/>
      <c r="CV6892" s="376"/>
    </row>
    <row r="6893" spans="1:100">
      <c r="A6893" s="374"/>
      <c r="C6893" s="374"/>
      <c r="CV6893" s="376"/>
    </row>
    <row r="6894" spans="1:100">
      <c r="A6894" s="374"/>
      <c r="C6894" s="374"/>
      <c r="CV6894" s="376"/>
    </row>
    <row r="6895" spans="1:100">
      <c r="A6895" s="374"/>
      <c r="C6895" s="374"/>
      <c r="CV6895" s="376"/>
    </row>
    <row r="6896" spans="1:100">
      <c r="A6896" s="374"/>
      <c r="C6896" s="374"/>
      <c r="CV6896" s="376"/>
    </row>
    <row r="6897" spans="1:100">
      <c r="A6897" s="374"/>
      <c r="C6897" s="374"/>
      <c r="CV6897" s="376"/>
    </row>
    <row r="6898" spans="1:100">
      <c r="A6898" s="374"/>
      <c r="C6898" s="374"/>
      <c r="CV6898" s="376"/>
    </row>
    <row r="6899" spans="1:100">
      <c r="A6899" s="374"/>
      <c r="C6899" s="374"/>
      <c r="CV6899" s="376"/>
    </row>
    <row r="6900" spans="1:100">
      <c r="A6900" s="374"/>
      <c r="C6900" s="374"/>
      <c r="CV6900" s="376"/>
    </row>
    <row r="6901" spans="1:100">
      <c r="A6901" s="374"/>
      <c r="C6901" s="374"/>
      <c r="CV6901" s="376"/>
    </row>
    <row r="6902" spans="1:100">
      <c r="A6902" s="374"/>
      <c r="C6902" s="374"/>
      <c r="CV6902" s="376"/>
    </row>
    <row r="6903" spans="1:100">
      <c r="A6903" s="374"/>
      <c r="C6903" s="374"/>
      <c r="CV6903" s="376"/>
    </row>
    <row r="6904" spans="1:100">
      <c r="A6904" s="374"/>
      <c r="C6904" s="374"/>
      <c r="CV6904" s="376"/>
    </row>
    <row r="6905" spans="1:100">
      <c r="A6905" s="374"/>
      <c r="C6905" s="374"/>
      <c r="CV6905" s="376"/>
    </row>
    <row r="6906" spans="1:100">
      <c r="A6906" s="374"/>
      <c r="C6906" s="374"/>
      <c r="CV6906" s="376"/>
    </row>
    <row r="6907" spans="1:100">
      <c r="A6907" s="374"/>
      <c r="C6907" s="374"/>
      <c r="CV6907" s="376"/>
    </row>
    <row r="6908" spans="1:100">
      <c r="A6908" s="374"/>
      <c r="C6908" s="374"/>
      <c r="CV6908" s="376"/>
    </row>
    <row r="6909" spans="1:100">
      <c r="A6909" s="374"/>
      <c r="C6909" s="374"/>
      <c r="CV6909" s="376"/>
    </row>
    <row r="6910" spans="1:100">
      <c r="A6910" s="374"/>
      <c r="C6910" s="374"/>
      <c r="CV6910" s="376"/>
    </row>
    <row r="6911" spans="1:100">
      <c r="A6911" s="374"/>
      <c r="C6911" s="374"/>
      <c r="CV6911" s="376"/>
    </row>
    <row r="6912" spans="1:100">
      <c r="A6912" s="374"/>
      <c r="C6912" s="374"/>
      <c r="CV6912" s="376"/>
    </row>
    <row r="6913" spans="1:100">
      <c r="A6913" s="374"/>
      <c r="C6913" s="374"/>
      <c r="CV6913" s="376"/>
    </row>
    <row r="6914" spans="1:100">
      <c r="A6914" s="374"/>
      <c r="C6914" s="374"/>
      <c r="CV6914" s="376"/>
    </row>
    <row r="6915" spans="1:100">
      <c r="A6915" s="374"/>
      <c r="C6915" s="374"/>
      <c r="CV6915" s="376"/>
    </row>
    <row r="6916" spans="1:100">
      <c r="A6916" s="374"/>
      <c r="C6916" s="374"/>
      <c r="CV6916" s="376"/>
    </row>
    <row r="6917" spans="1:100">
      <c r="A6917" s="374"/>
      <c r="C6917" s="374"/>
      <c r="CV6917" s="376"/>
    </row>
    <row r="6918" spans="1:100">
      <c r="A6918" s="374"/>
      <c r="C6918" s="374"/>
      <c r="CV6918" s="376"/>
    </row>
    <row r="6919" spans="1:100">
      <c r="A6919" s="374"/>
      <c r="C6919" s="374"/>
      <c r="CV6919" s="376"/>
    </row>
    <row r="6920" spans="1:100">
      <c r="A6920" s="374"/>
      <c r="C6920" s="374"/>
      <c r="CV6920" s="376"/>
    </row>
    <row r="6921" spans="1:100">
      <c r="A6921" s="374"/>
      <c r="C6921" s="374"/>
      <c r="CV6921" s="376"/>
    </row>
    <row r="6922" spans="1:100">
      <c r="A6922" s="374"/>
      <c r="C6922" s="374"/>
      <c r="CV6922" s="376"/>
    </row>
    <row r="6923" spans="1:100">
      <c r="A6923" s="374"/>
      <c r="C6923" s="374"/>
      <c r="CV6923" s="376"/>
    </row>
    <row r="6924" spans="1:100">
      <c r="A6924" s="374"/>
      <c r="C6924" s="374"/>
      <c r="CV6924" s="376"/>
    </row>
    <row r="6925" spans="1:100">
      <c r="A6925" s="374"/>
      <c r="C6925" s="374"/>
      <c r="CV6925" s="376"/>
    </row>
    <row r="6926" spans="1:100">
      <c r="A6926" s="374"/>
      <c r="C6926" s="374"/>
      <c r="CV6926" s="376"/>
    </row>
    <row r="6927" spans="1:100">
      <c r="A6927" s="374"/>
      <c r="C6927" s="374"/>
      <c r="CV6927" s="376"/>
    </row>
    <row r="6928" spans="1:100">
      <c r="A6928" s="374"/>
      <c r="C6928" s="374"/>
      <c r="CV6928" s="376"/>
    </row>
    <row r="6929" spans="1:100">
      <c r="A6929" s="374"/>
      <c r="C6929" s="374"/>
      <c r="CV6929" s="376"/>
    </row>
    <row r="6930" spans="1:100">
      <c r="A6930" s="374"/>
      <c r="C6930" s="374"/>
      <c r="CV6930" s="376"/>
    </row>
    <row r="6931" spans="1:100">
      <c r="A6931" s="374"/>
      <c r="C6931" s="374"/>
      <c r="CV6931" s="376"/>
    </row>
    <row r="6932" spans="1:100">
      <c r="A6932" s="374"/>
      <c r="C6932" s="374"/>
      <c r="CV6932" s="376"/>
    </row>
    <row r="6933" spans="1:100">
      <c r="A6933" s="374"/>
      <c r="C6933" s="374"/>
      <c r="CV6933" s="376"/>
    </row>
    <row r="6934" spans="1:100">
      <c r="A6934" s="374"/>
      <c r="C6934" s="374"/>
      <c r="CV6934" s="376"/>
    </row>
    <row r="6935" spans="1:100">
      <c r="A6935" s="374"/>
      <c r="C6935" s="374"/>
      <c r="CV6935" s="376"/>
    </row>
    <row r="6936" spans="1:100">
      <c r="A6936" s="374"/>
      <c r="C6936" s="374"/>
      <c r="CV6936" s="376"/>
    </row>
    <row r="6937" spans="1:100">
      <c r="A6937" s="374"/>
      <c r="C6937" s="374"/>
      <c r="CV6937" s="376"/>
    </row>
    <row r="6938" spans="1:100">
      <c r="A6938" s="374"/>
      <c r="C6938" s="374"/>
      <c r="CV6938" s="376"/>
    </row>
    <row r="6939" spans="1:100">
      <c r="A6939" s="374"/>
      <c r="C6939" s="374"/>
      <c r="CV6939" s="376"/>
    </row>
    <row r="6940" spans="1:100">
      <c r="A6940" s="374"/>
      <c r="C6940" s="374"/>
      <c r="CV6940" s="376"/>
    </row>
    <row r="6941" spans="1:100">
      <c r="A6941" s="374"/>
      <c r="C6941" s="374"/>
      <c r="CV6941" s="376"/>
    </row>
    <row r="6942" spans="1:100">
      <c r="A6942" s="374"/>
      <c r="C6942" s="374"/>
      <c r="CV6942" s="376"/>
    </row>
    <row r="6943" spans="1:100">
      <c r="A6943" s="374"/>
      <c r="C6943" s="374"/>
      <c r="CV6943" s="376"/>
    </row>
    <row r="6944" spans="1:100">
      <c r="A6944" s="374"/>
      <c r="C6944" s="374"/>
      <c r="CV6944" s="376"/>
    </row>
    <row r="6945" spans="1:100">
      <c r="A6945" s="374"/>
      <c r="C6945" s="374"/>
      <c r="CV6945" s="376"/>
    </row>
    <row r="6946" spans="1:100">
      <c r="A6946" s="374"/>
      <c r="C6946" s="374"/>
      <c r="CV6946" s="376"/>
    </row>
    <row r="6947" spans="1:100">
      <c r="A6947" s="374"/>
      <c r="C6947" s="374"/>
      <c r="CV6947" s="376"/>
    </row>
    <row r="6948" spans="1:100">
      <c r="A6948" s="374"/>
      <c r="C6948" s="374"/>
      <c r="CV6948" s="376"/>
    </row>
    <row r="6949" spans="1:100">
      <c r="A6949" s="374"/>
      <c r="C6949" s="374"/>
      <c r="CV6949" s="376"/>
    </row>
    <row r="6950" spans="1:100">
      <c r="A6950" s="374"/>
      <c r="C6950" s="374"/>
      <c r="CV6950" s="376"/>
    </row>
    <row r="6951" spans="1:100">
      <c r="A6951" s="374"/>
      <c r="C6951" s="374"/>
      <c r="CV6951" s="376"/>
    </row>
    <row r="6952" spans="1:100">
      <c r="A6952" s="374"/>
      <c r="C6952" s="374"/>
      <c r="CV6952" s="376"/>
    </row>
    <row r="6953" spans="1:100">
      <c r="A6953" s="374"/>
      <c r="C6953" s="374"/>
      <c r="CV6953" s="376"/>
    </row>
    <row r="6954" spans="1:100">
      <c r="A6954" s="374"/>
      <c r="C6954" s="374"/>
      <c r="CV6954" s="376"/>
    </row>
    <row r="6955" spans="1:100">
      <c r="A6955" s="374"/>
      <c r="C6955" s="374"/>
      <c r="CV6955" s="376"/>
    </row>
    <row r="6956" spans="1:100">
      <c r="A6956" s="374"/>
      <c r="C6956" s="374"/>
      <c r="CV6956" s="376"/>
    </row>
    <row r="6957" spans="1:100">
      <c r="A6957" s="374"/>
      <c r="C6957" s="374"/>
      <c r="CV6957" s="376"/>
    </row>
    <row r="6958" spans="1:100">
      <c r="A6958" s="374"/>
      <c r="C6958" s="374"/>
      <c r="CV6958" s="376"/>
    </row>
    <row r="6959" spans="1:100">
      <c r="A6959" s="374"/>
      <c r="C6959" s="374"/>
      <c r="CV6959" s="376"/>
    </row>
    <row r="6960" spans="1:100">
      <c r="A6960" s="374"/>
      <c r="C6960" s="374"/>
      <c r="CV6960" s="376"/>
    </row>
    <row r="6961" spans="1:100">
      <c r="A6961" s="374"/>
      <c r="C6961" s="374"/>
      <c r="CV6961" s="376"/>
    </row>
    <row r="6962" spans="1:100">
      <c r="A6962" s="374"/>
      <c r="C6962" s="374"/>
      <c r="CV6962" s="376"/>
    </row>
    <row r="6963" spans="1:100">
      <c r="A6963" s="374"/>
      <c r="C6963" s="374"/>
      <c r="CV6963" s="376"/>
    </row>
    <row r="6964" spans="1:100">
      <c r="A6964" s="374"/>
      <c r="C6964" s="374"/>
      <c r="CV6964" s="376"/>
    </row>
    <row r="6965" spans="1:100">
      <c r="A6965" s="374"/>
      <c r="C6965" s="374"/>
      <c r="CV6965" s="376"/>
    </row>
    <row r="6966" spans="1:100">
      <c r="A6966" s="374"/>
      <c r="C6966" s="374"/>
      <c r="CV6966" s="376"/>
    </row>
    <row r="6967" spans="1:100">
      <c r="A6967" s="374"/>
      <c r="C6967" s="374"/>
      <c r="CV6967" s="376"/>
    </row>
    <row r="6968" spans="1:100">
      <c r="A6968" s="374"/>
      <c r="C6968" s="374"/>
      <c r="CV6968" s="376"/>
    </row>
    <row r="6969" spans="1:100">
      <c r="A6969" s="374"/>
      <c r="C6969" s="374"/>
      <c r="CV6969" s="376"/>
    </row>
    <row r="6970" spans="1:100">
      <c r="A6970" s="374"/>
      <c r="C6970" s="374"/>
      <c r="CV6970" s="376"/>
    </row>
    <row r="6971" spans="1:100">
      <c r="A6971" s="374"/>
      <c r="C6971" s="374"/>
      <c r="CV6971" s="376"/>
    </row>
    <row r="6972" spans="1:100">
      <c r="A6972" s="374"/>
      <c r="C6972" s="374"/>
      <c r="CV6972" s="376"/>
    </row>
    <row r="6973" spans="1:100">
      <c r="A6973" s="374"/>
      <c r="C6973" s="374"/>
      <c r="CV6973" s="376"/>
    </row>
    <row r="6974" spans="1:100">
      <c r="A6974" s="374"/>
      <c r="C6974" s="374"/>
      <c r="CV6974" s="376"/>
    </row>
    <row r="6975" spans="1:100">
      <c r="A6975" s="374"/>
      <c r="C6975" s="374"/>
      <c r="CV6975" s="376"/>
    </row>
    <row r="6976" spans="1:100">
      <c r="A6976" s="374"/>
      <c r="C6976" s="374"/>
      <c r="CV6976" s="376"/>
    </row>
    <row r="6977" spans="1:100">
      <c r="A6977" s="374"/>
      <c r="C6977" s="374"/>
      <c r="CV6977" s="376"/>
    </row>
    <row r="6978" spans="1:100">
      <c r="A6978" s="374"/>
      <c r="C6978" s="374"/>
      <c r="CV6978" s="376"/>
    </row>
    <row r="6979" spans="1:100">
      <c r="A6979" s="374"/>
      <c r="C6979" s="374"/>
      <c r="CV6979" s="376"/>
    </row>
    <row r="6980" spans="1:100">
      <c r="A6980" s="374"/>
      <c r="C6980" s="374"/>
      <c r="CV6980" s="376"/>
    </row>
    <row r="6981" spans="1:100">
      <c r="A6981" s="374"/>
      <c r="C6981" s="374"/>
      <c r="CV6981" s="376"/>
    </row>
    <row r="6982" spans="1:100">
      <c r="A6982" s="374"/>
      <c r="C6982" s="374"/>
      <c r="CV6982" s="376"/>
    </row>
    <row r="6983" spans="1:100">
      <c r="A6983" s="374"/>
      <c r="C6983" s="374"/>
      <c r="CV6983" s="376"/>
    </row>
    <row r="6984" spans="1:100">
      <c r="A6984" s="374"/>
      <c r="C6984" s="374"/>
      <c r="CV6984" s="376"/>
    </row>
    <row r="6985" spans="1:100">
      <c r="A6985" s="374"/>
      <c r="C6985" s="374"/>
      <c r="CV6985" s="376"/>
    </row>
    <row r="6986" spans="1:100">
      <c r="A6986" s="374"/>
      <c r="C6986" s="374"/>
      <c r="CV6986" s="376"/>
    </row>
    <row r="6987" spans="1:100">
      <c r="A6987" s="374"/>
      <c r="C6987" s="374"/>
      <c r="CV6987" s="376"/>
    </row>
    <row r="6988" spans="1:100">
      <c r="A6988" s="374"/>
      <c r="C6988" s="374"/>
      <c r="CV6988" s="376"/>
    </row>
    <row r="6989" spans="1:100">
      <c r="A6989" s="374"/>
      <c r="C6989" s="374"/>
      <c r="CV6989" s="376"/>
    </row>
    <row r="6990" spans="1:100">
      <c r="A6990" s="374"/>
      <c r="C6990" s="374"/>
      <c r="CV6990" s="376"/>
    </row>
    <row r="6991" spans="1:100">
      <c r="A6991" s="374"/>
      <c r="C6991" s="374"/>
      <c r="CV6991" s="376"/>
    </row>
    <row r="6992" spans="1:100">
      <c r="A6992" s="374"/>
      <c r="C6992" s="374"/>
      <c r="CV6992" s="376"/>
    </row>
    <row r="6993" spans="1:100">
      <c r="A6993" s="374"/>
      <c r="C6993" s="374"/>
      <c r="CV6993" s="376"/>
    </row>
    <row r="6994" spans="1:100">
      <c r="A6994" s="374"/>
      <c r="C6994" s="374"/>
      <c r="CV6994" s="376"/>
    </row>
    <row r="6995" spans="1:100">
      <c r="A6995" s="374"/>
      <c r="C6995" s="374"/>
      <c r="CV6995" s="376"/>
    </row>
    <row r="6996" spans="1:100">
      <c r="A6996" s="374"/>
      <c r="C6996" s="374"/>
      <c r="CV6996" s="376"/>
    </row>
    <row r="6997" spans="1:100">
      <c r="A6997" s="374"/>
      <c r="C6997" s="374"/>
      <c r="CV6997" s="376"/>
    </row>
    <row r="6998" spans="1:100">
      <c r="A6998" s="374"/>
      <c r="C6998" s="374"/>
      <c r="CV6998" s="376"/>
    </row>
    <row r="6999" spans="1:100">
      <c r="A6999" s="374"/>
      <c r="C6999" s="374"/>
      <c r="CV6999" s="376"/>
    </row>
    <row r="7000" spans="1:100">
      <c r="A7000" s="374"/>
      <c r="C7000" s="374"/>
      <c r="CV7000" s="376"/>
    </row>
    <row r="7001" spans="1:100">
      <c r="A7001" s="374"/>
      <c r="C7001" s="374"/>
      <c r="CV7001" s="376"/>
    </row>
    <row r="7002" spans="1:100">
      <c r="A7002" s="374"/>
      <c r="C7002" s="374"/>
      <c r="CV7002" s="376"/>
    </row>
    <row r="7003" spans="1:100">
      <c r="A7003" s="374"/>
      <c r="C7003" s="374"/>
      <c r="CV7003" s="376"/>
    </row>
    <row r="7004" spans="1:100">
      <c r="A7004" s="374"/>
      <c r="C7004" s="374"/>
      <c r="CV7004" s="376"/>
    </row>
    <row r="7005" spans="1:100">
      <c r="A7005" s="374"/>
      <c r="C7005" s="374"/>
      <c r="CV7005" s="376"/>
    </row>
    <row r="7006" spans="1:100">
      <c r="A7006" s="374"/>
      <c r="C7006" s="374"/>
      <c r="CV7006" s="376"/>
    </row>
    <row r="7007" spans="1:100">
      <c r="A7007" s="374"/>
      <c r="C7007" s="374"/>
      <c r="CV7007" s="376"/>
    </row>
    <row r="7008" spans="1:100">
      <c r="A7008" s="374"/>
      <c r="C7008" s="374"/>
      <c r="CV7008" s="376"/>
    </row>
    <row r="7009" spans="1:100">
      <c r="A7009" s="374"/>
      <c r="C7009" s="374"/>
      <c r="CV7009" s="376"/>
    </row>
    <row r="7010" spans="1:100">
      <c r="A7010" s="374"/>
      <c r="C7010" s="374"/>
      <c r="CV7010" s="376"/>
    </row>
    <row r="7011" spans="1:100">
      <c r="A7011" s="374"/>
      <c r="C7011" s="374"/>
      <c r="CV7011" s="376"/>
    </row>
    <row r="7012" spans="1:100">
      <c r="A7012" s="374"/>
      <c r="C7012" s="374"/>
      <c r="CV7012" s="376"/>
    </row>
    <row r="7013" spans="1:100">
      <c r="A7013" s="374"/>
      <c r="C7013" s="374"/>
      <c r="CV7013" s="376"/>
    </row>
    <row r="7014" spans="1:100">
      <c r="A7014" s="374"/>
      <c r="C7014" s="374"/>
      <c r="CV7014" s="376"/>
    </row>
    <row r="7015" spans="1:100">
      <c r="A7015" s="374"/>
      <c r="C7015" s="374"/>
      <c r="CV7015" s="376"/>
    </row>
    <row r="7016" spans="1:100">
      <c r="A7016" s="374"/>
      <c r="C7016" s="374"/>
      <c r="CV7016" s="376"/>
    </row>
    <row r="7017" spans="1:100">
      <c r="A7017" s="374"/>
      <c r="C7017" s="374"/>
      <c r="CV7017" s="376"/>
    </row>
    <row r="7018" spans="1:100">
      <c r="A7018" s="374"/>
      <c r="C7018" s="374"/>
      <c r="CV7018" s="376"/>
    </row>
    <row r="7019" spans="1:100">
      <c r="A7019" s="374"/>
      <c r="C7019" s="374"/>
      <c r="CV7019" s="376"/>
    </row>
    <row r="7020" spans="1:100">
      <c r="A7020" s="374"/>
      <c r="C7020" s="374"/>
      <c r="CV7020" s="376"/>
    </row>
    <row r="7021" spans="1:100">
      <c r="A7021" s="374"/>
      <c r="C7021" s="374"/>
      <c r="CV7021" s="376"/>
    </row>
    <row r="7022" spans="1:100">
      <c r="A7022" s="374"/>
      <c r="C7022" s="374"/>
      <c r="CV7022" s="376"/>
    </row>
    <row r="7023" spans="1:100">
      <c r="A7023" s="374"/>
      <c r="C7023" s="374"/>
      <c r="CV7023" s="376"/>
    </row>
    <row r="7024" spans="1:100">
      <c r="A7024" s="374"/>
      <c r="C7024" s="374"/>
      <c r="CV7024" s="376"/>
    </row>
    <row r="7025" spans="1:100">
      <c r="A7025" s="374"/>
      <c r="C7025" s="374"/>
      <c r="CV7025" s="376"/>
    </row>
    <row r="7026" spans="1:100">
      <c r="A7026" s="374"/>
      <c r="C7026" s="374"/>
      <c r="CV7026" s="376"/>
    </row>
    <row r="7027" spans="1:100">
      <c r="A7027" s="374"/>
      <c r="C7027" s="374"/>
      <c r="CV7027" s="376"/>
    </row>
    <row r="7028" spans="1:100">
      <c r="A7028" s="374"/>
      <c r="C7028" s="374"/>
      <c r="CV7028" s="376"/>
    </row>
    <row r="7029" spans="1:100">
      <c r="A7029" s="374"/>
      <c r="C7029" s="374"/>
      <c r="CV7029" s="376"/>
    </row>
    <row r="7030" spans="1:100">
      <c r="A7030" s="374"/>
      <c r="C7030" s="374"/>
      <c r="CV7030" s="376"/>
    </row>
    <row r="7031" spans="1:100">
      <c r="A7031" s="374"/>
      <c r="C7031" s="374"/>
      <c r="CV7031" s="376"/>
    </row>
    <row r="7032" spans="1:100">
      <c r="A7032" s="374"/>
      <c r="C7032" s="374"/>
      <c r="CV7032" s="376"/>
    </row>
    <row r="7033" spans="1:100">
      <c r="A7033" s="374"/>
      <c r="C7033" s="374"/>
      <c r="CV7033" s="376"/>
    </row>
    <row r="7034" spans="1:100">
      <c r="A7034" s="374"/>
      <c r="C7034" s="374"/>
      <c r="CV7034" s="376"/>
    </row>
    <row r="7035" spans="1:100">
      <c r="A7035" s="374"/>
      <c r="C7035" s="374"/>
      <c r="CV7035" s="376"/>
    </row>
    <row r="7036" spans="1:100">
      <c r="A7036" s="374"/>
      <c r="C7036" s="374"/>
      <c r="CV7036" s="376"/>
    </row>
    <row r="7037" spans="1:100">
      <c r="A7037" s="374"/>
      <c r="C7037" s="374"/>
      <c r="CV7037" s="376"/>
    </row>
    <row r="7038" spans="1:100">
      <c r="A7038" s="374"/>
      <c r="C7038" s="374"/>
      <c r="CV7038" s="376"/>
    </row>
    <row r="7039" spans="1:100">
      <c r="A7039" s="374"/>
      <c r="C7039" s="374"/>
      <c r="CV7039" s="376"/>
    </row>
    <row r="7040" spans="1:100">
      <c r="A7040" s="374"/>
      <c r="C7040" s="374"/>
      <c r="CV7040" s="376"/>
    </row>
    <row r="7041" spans="1:100">
      <c r="A7041" s="374"/>
      <c r="C7041" s="374"/>
      <c r="CV7041" s="376"/>
    </row>
    <row r="7042" spans="1:100">
      <c r="A7042" s="374"/>
      <c r="C7042" s="374"/>
      <c r="CV7042" s="376"/>
    </row>
    <row r="7043" spans="1:100">
      <c r="A7043" s="374"/>
      <c r="C7043" s="374"/>
      <c r="CV7043" s="376"/>
    </row>
    <row r="7044" spans="1:100">
      <c r="A7044" s="374"/>
      <c r="C7044" s="374"/>
      <c r="CV7044" s="376"/>
    </row>
    <row r="7045" spans="1:100">
      <c r="A7045" s="374"/>
      <c r="C7045" s="374"/>
      <c r="CV7045" s="376"/>
    </row>
    <row r="7046" spans="1:100">
      <c r="A7046" s="374"/>
      <c r="C7046" s="374"/>
      <c r="CV7046" s="376"/>
    </row>
    <row r="7047" spans="1:100">
      <c r="A7047" s="374"/>
      <c r="C7047" s="374"/>
      <c r="CV7047" s="376"/>
    </row>
    <row r="7048" spans="1:100">
      <c r="A7048" s="374"/>
      <c r="C7048" s="374"/>
      <c r="CV7048" s="376"/>
    </row>
    <row r="7049" spans="1:100">
      <c r="A7049" s="374"/>
      <c r="C7049" s="374"/>
      <c r="CV7049" s="376"/>
    </row>
    <row r="7050" spans="1:100">
      <c r="A7050" s="374"/>
      <c r="C7050" s="374"/>
      <c r="CV7050" s="376"/>
    </row>
    <row r="7051" spans="1:100">
      <c r="A7051" s="374"/>
      <c r="C7051" s="374"/>
      <c r="CV7051" s="376"/>
    </row>
    <row r="7052" spans="1:100">
      <c r="A7052" s="374"/>
      <c r="C7052" s="374"/>
      <c r="CV7052" s="376"/>
    </row>
    <row r="7053" spans="1:100">
      <c r="A7053" s="374"/>
      <c r="C7053" s="374"/>
      <c r="CV7053" s="376"/>
    </row>
    <row r="7054" spans="1:100">
      <c r="A7054" s="374"/>
      <c r="C7054" s="374"/>
      <c r="CV7054" s="376"/>
    </row>
    <row r="7055" spans="1:100">
      <c r="A7055" s="374"/>
      <c r="C7055" s="374"/>
      <c r="CV7055" s="376"/>
    </row>
    <row r="7056" spans="1:100">
      <c r="A7056" s="374"/>
      <c r="C7056" s="374"/>
      <c r="CV7056" s="376"/>
    </row>
    <row r="7057" spans="1:100">
      <c r="A7057" s="374"/>
      <c r="C7057" s="374"/>
      <c r="CV7057" s="376"/>
    </row>
    <row r="7058" spans="1:100">
      <c r="A7058" s="374"/>
      <c r="C7058" s="374"/>
      <c r="CV7058" s="376"/>
    </row>
    <row r="7059" spans="1:100">
      <c r="A7059" s="374"/>
      <c r="C7059" s="374"/>
      <c r="CV7059" s="376"/>
    </row>
    <row r="7060" spans="1:100">
      <c r="A7060" s="374"/>
      <c r="C7060" s="374"/>
      <c r="CV7060" s="376"/>
    </row>
    <row r="7061" spans="1:100">
      <c r="A7061" s="374"/>
      <c r="C7061" s="374"/>
      <c r="CV7061" s="376"/>
    </row>
    <row r="7062" spans="1:100">
      <c r="A7062" s="374"/>
      <c r="C7062" s="374"/>
      <c r="CV7062" s="376"/>
    </row>
    <row r="7063" spans="1:100">
      <c r="A7063" s="374"/>
      <c r="C7063" s="374"/>
      <c r="CV7063" s="376"/>
    </row>
    <row r="7064" spans="1:100">
      <c r="A7064" s="374"/>
      <c r="C7064" s="374"/>
      <c r="CV7064" s="376"/>
    </row>
    <row r="7065" spans="1:100">
      <c r="A7065" s="374"/>
      <c r="C7065" s="374"/>
      <c r="CV7065" s="376"/>
    </row>
    <row r="7066" spans="1:100">
      <c r="A7066" s="374"/>
      <c r="C7066" s="374"/>
      <c r="CV7066" s="376"/>
    </row>
    <row r="7067" spans="1:100">
      <c r="A7067" s="374"/>
      <c r="C7067" s="374"/>
      <c r="CV7067" s="376"/>
    </row>
    <row r="7068" spans="1:100">
      <c r="A7068" s="374"/>
      <c r="C7068" s="374"/>
      <c r="CV7068" s="376"/>
    </row>
    <row r="7069" spans="1:100">
      <c r="A7069" s="374"/>
      <c r="C7069" s="374"/>
      <c r="CV7069" s="376"/>
    </row>
    <row r="7070" spans="1:100">
      <c r="A7070" s="374"/>
      <c r="C7070" s="374"/>
      <c r="CV7070" s="376"/>
    </row>
    <row r="7071" spans="1:100">
      <c r="A7071" s="374"/>
      <c r="C7071" s="374"/>
      <c r="CV7071" s="376"/>
    </row>
    <row r="7072" spans="1:100">
      <c r="A7072" s="374"/>
      <c r="C7072" s="374"/>
      <c r="CV7072" s="376"/>
    </row>
    <row r="7073" spans="1:100">
      <c r="A7073" s="374"/>
      <c r="C7073" s="374"/>
      <c r="CV7073" s="376"/>
    </row>
    <row r="7074" spans="1:100">
      <c r="A7074" s="374"/>
      <c r="C7074" s="374"/>
      <c r="CV7074" s="376"/>
    </row>
    <row r="7075" spans="1:100">
      <c r="A7075" s="374"/>
      <c r="C7075" s="374"/>
      <c r="CV7075" s="376"/>
    </row>
    <row r="7076" spans="1:100">
      <c r="A7076" s="374"/>
      <c r="C7076" s="374"/>
      <c r="CV7076" s="376"/>
    </row>
    <row r="7077" spans="1:100">
      <c r="A7077" s="374"/>
      <c r="C7077" s="374"/>
      <c r="CV7077" s="376"/>
    </row>
    <row r="7078" spans="1:100">
      <c r="A7078" s="374"/>
      <c r="C7078" s="374"/>
      <c r="CV7078" s="376"/>
    </row>
    <row r="7079" spans="1:100">
      <c r="A7079" s="374"/>
      <c r="C7079" s="374"/>
      <c r="CV7079" s="376"/>
    </row>
    <row r="7080" spans="1:100">
      <c r="A7080" s="374"/>
      <c r="C7080" s="374"/>
      <c r="CV7080" s="376"/>
    </row>
    <row r="7081" spans="1:100">
      <c r="A7081" s="374"/>
      <c r="C7081" s="374"/>
      <c r="CV7081" s="376"/>
    </row>
    <row r="7082" spans="1:100">
      <c r="A7082" s="374"/>
      <c r="C7082" s="374"/>
      <c r="CV7082" s="376"/>
    </row>
    <row r="7083" spans="1:100">
      <c r="A7083" s="374"/>
      <c r="C7083" s="374"/>
      <c r="CV7083" s="376"/>
    </row>
    <row r="7084" spans="1:100">
      <c r="A7084" s="374"/>
      <c r="C7084" s="374"/>
      <c r="CV7084" s="376"/>
    </row>
    <row r="7085" spans="1:100">
      <c r="A7085" s="374"/>
      <c r="C7085" s="374"/>
      <c r="CV7085" s="376"/>
    </row>
    <row r="7086" spans="1:100">
      <c r="A7086" s="374"/>
      <c r="C7086" s="374"/>
      <c r="CV7086" s="376"/>
    </row>
    <row r="7087" spans="1:100">
      <c r="A7087" s="374"/>
      <c r="C7087" s="374"/>
      <c r="CV7087" s="376"/>
    </row>
    <row r="7088" spans="1:100">
      <c r="A7088" s="374"/>
      <c r="C7088" s="374"/>
      <c r="CV7088" s="376"/>
    </row>
    <row r="7089" spans="1:100">
      <c r="A7089" s="374"/>
      <c r="C7089" s="374"/>
      <c r="CV7089" s="376"/>
    </row>
    <row r="7090" spans="1:100">
      <c r="A7090" s="374"/>
      <c r="C7090" s="374"/>
      <c r="CV7090" s="376"/>
    </row>
    <row r="7091" spans="1:100">
      <c r="A7091" s="374"/>
      <c r="C7091" s="374"/>
      <c r="CV7091" s="376"/>
    </row>
    <row r="7092" spans="1:100">
      <c r="A7092" s="374"/>
      <c r="C7092" s="374"/>
      <c r="CV7092" s="376"/>
    </row>
    <row r="7093" spans="1:100">
      <c r="A7093" s="374"/>
      <c r="C7093" s="374"/>
      <c r="CV7093" s="376"/>
    </row>
    <row r="7094" spans="1:100">
      <c r="A7094" s="374"/>
      <c r="C7094" s="374"/>
      <c r="CV7094" s="376"/>
    </row>
    <row r="7095" spans="1:100">
      <c r="A7095" s="374"/>
      <c r="C7095" s="374"/>
      <c r="CV7095" s="376"/>
    </row>
    <row r="7096" spans="1:100">
      <c r="A7096" s="374"/>
      <c r="C7096" s="374"/>
      <c r="CV7096" s="376"/>
    </row>
    <row r="7097" spans="1:100">
      <c r="A7097" s="374"/>
      <c r="C7097" s="374"/>
      <c r="CV7097" s="376"/>
    </row>
    <row r="7098" spans="1:100">
      <c r="A7098" s="374"/>
      <c r="C7098" s="374"/>
      <c r="CV7098" s="376"/>
    </row>
    <row r="7099" spans="1:100">
      <c r="A7099" s="374"/>
      <c r="C7099" s="374"/>
      <c r="CV7099" s="376"/>
    </row>
    <row r="7100" spans="1:100">
      <c r="A7100" s="374"/>
      <c r="C7100" s="374"/>
      <c r="CV7100" s="376"/>
    </row>
    <row r="7101" spans="1:100">
      <c r="A7101" s="374"/>
      <c r="C7101" s="374"/>
      <c r="CV7101" s="376"/>
    </row>
    <row r="7102" spans="1:100">
      <c r="A7102" s="374"/>
      <c r="C7102" s="374"/>
      <c r="CV7102" s="376"/>
    </row>
    <row r="7103" spans="1:100">
      <c r="A7103" s="374"/>
      <c r="C7103" s="374"/>
      <c r="CV7103" s="376"/>
    </row>
    <row r="7104" spans="1:100">
      <c r="A7104" s="374"/>
      <c r="C7104" s="374"/>
      <c r="CV7104" s="376"/>
    </row>
    <row r="7105" spans="1:100">
      <c r="A7105" s="374"/>
      <c r="C7105" s="374"/>
      <c r="CV7105" s="376"/>
    </row>
    <row r="7106" spans="1:100">
      <c r="A7106" s="374"/>
      <c r="C7106" s="374"/>
      <c r="CV7106" s="376"/>
    </row>
    <row r="7107" spans="1:100">
      <c r="A7107" s="374"/>
      <c r="C7107" s="374"/>
      <c r="CV7107" s="376"/>
    </row>
    <row r="7108" spans="1:100">
      <c r="A7108" s="374"/>
      <c r="C7108" s="374"/>
      <c r="CV7108" s="376"/>
    </row>
    <row r="7109" spans="1:100">
      <c r="A7109" s="374"/>
      <c r="C7109" s="374"/>
      <c r="CV7109" s="376"/>
    </row>
    <row r="7110" spans="1:100">
      <c r="A7110" s="374"/>
      <c r="C7110" s="374"/>
      <c r="CV7110" s="376"/>
    </row>
    <row r="7111" spans="1:100">
      <c r="A7111" s="374"/>
      <c r="C7111" s="374"/>
      <c r="CV7111" s="376"/>
    </row>
    <row r="7112" spans="1:100">
      <c r="A7112" s="374"/>
      <c r="C7112" s="374"/>
      <c r="CV7112" s="376"/>
    </row>
    <row r="7113" spans="1:100">
      <c r="A7113" s="374"/>
      <c r="C7113" s="374"/>
      <c r="CV7113" s="376"/>
    </row>
    <row r="7114" spans="1:100">
      <c r="A7114" s="374"/>
      <c r="C7114" s="374"/>
      <c r="CV7114" s="376"/>
    </row>
    <row r="7115" spans="1:100">
      <c r="A7115" s="374"/>
      <c r="C7115" s="374"/>
      <c r="CV7115" s="376"/>
    </row>
    <row r="7116" spans="1:100">
      <c r="A7116" s="374"/>
      <c r="C7116" s="374"/>
      <c r="CV7116" s="376"/>
    </row>
    <row r="7117" spans="1:100">
      <c r="A7117" s="374"/>
      <c r="C7117" s="374"/>
      <c r="CV7117" s="376"/>
    </row>
    <row r="7118" spans="1:100">
      <c r="A7118" s="374"/>
      <c r="C7118" s="374"/>
      <c r="CV7118" s="376"/>
    </row>
    <row r="7119" spans="1:100">
      <c r="A7119" s="374"/>
      <c r="C7119" s="374"/>
      <c r="CV7119" s="376"/>
    </row>
    <row r="7120" spans="1:100">
      <c r="A7120" s="374"/>
      <c r="C7120" s="374"/>
      <c r="CV7120" s="376"/>
    </row>
    <row r="7121" spans="1:100">
      <c r="A7121" s="374"/>
      <c r="C7121" s="374"/>
      <c r="CV7121" s="376"/>
    </row>
    <row r="7122" spans="1:100">
      <c r="A7122" s="374"/>
      <c r="C7122" s="374"/>
      <c r="CV7122" s="376"/>
    </row>
    <row r="7123" spans="1:100">
      <c r="A7123" s="374"/>
      <c r="C7123" s="374"/>
      <c r="CV7123" s="376"/>
    </row>
    <row r="7124" spans="1:100">
      <c r="A7124" s="374"/>
      <c r="C7124" s="374"/>
      <c r="CV7124" s="376"/>
    </row>
    <row r="7125" spans="1:100">
      <c r="A7125" s="374"/>
      <c r="C7125" s="374"/>
      <c r="CV7125" s="376"/>
    </row>
    <row r="7126" spans="1:100">
      <c r="A7126" s="374"/>
      <c r="C7126" s="374"/>
      <c r="CV7126" s="376"/>
    </row>
    <row r="7127" spans="1:100">
      <c r="A7127" s="374"/>
      <c r="C7127" s="374"/>
      <c r="CV7127" s="376"/>
    </row>
    <row r="7128" spans="1:100">
      <c r="A7128" s="374"/>
      <c r="C7128" s="374"/>
      <c r="CV7128" s="376"/>
    </row>
    <row r="7129" spans="1:100">
      <c r="A7129" s="374"/>
      <c r="C7129" s="374"/>
      <c r="CV7129" s="376"/>
    </row>
    <row r="7130" spans="1:100">
      <c r="A7130" s="374"/>
      <c r="C7130" s="374"/>
      <c r="CV7130" s="376"/>
    </row>
    <row r="7131" spans="1:100">
      <c r="A7131" s="374"/>
      <c r="C7131" s="374"/>
      <c r="CV7131" s="376"/>
    </row>
    <row r="7132" spans="1:100">
      <c r="A7132" s="374"/>
      <c r="C7132" s="374"/>
      <c r="CV7132" s="376"/>
    </row>
    <row r="7133" spans="1:100">
      <c r="A7133" s="374"/>
      <c r="C7133" s="374"/>
      <c r="CV7133" s="376"/>
    </row>
    <row r="7134" spans="1:100">
      <c r="A7134" s="374"/>
      <c r="C7134" s="374"/>
      <c r="CV7134" s="376"/>
    </row>
    <row r="7135" spans="1:100">
      <c r="A7135" s="374"/>
      <c r="C7135" s="374"/>
      <c r="CV7135" s="376"/>
    </row>
    <row r="7136" spans="1:100">
      <c r="A7136" s="374"/>
      <c r="C7136" s="374"/>
      <c r="CV7136" s="376"/>
    </row>
    <row r="7137" spans="1:100">
      <c r="A7137" s="374"/>
      <c r="C7137" s="374"/>
      <c r="CV7137" s="376"/>
    </row>
    <row r="7138" spans="1:100">
      <c r="A7138" s="374"/>
      <c r="C7138" s="374"/>
      <c r="CV7138" s="376"/>
    </row>
    <row r="7139" spans="1:100">
      <c r="A7139" s="374"/>
      <c r="C7139" s="374"/>
      <c r="CV7139" s="376"/>
    </row>
    <row r="7140" spans="1:100">
      <c r="A7140" s="374"/>
      <c r="C7140" s="374"/>
      <c r="CV7140" s="376"/>
    </row>
    <row r="7141" spans="1:100">
      <c r="A7141" s="374"/>
      <c r="C7141" s="374"/>
      <c r="CV7141" s="376"/>
    </row>
    <row r="7142" spans="1:100">
      <c r="A7142" s="374"/>
      <c r="C7142" s="374"/>
      <c r="CV7142" s="376"/>
    </row>
    <row r="7143" spans="1:100">
      <c r="A7143" s="374"/>
      <c r="C7143" s="374"/>
      <c r="CV7143" s="376"/>
    </row>
    <row r="7144" spans="1:100">
      <c r="A7144" s="374"/>
      <c r="C7144" s="374"/>
      <c r="CV7144" s="376"/>
    </row>
    <row r="7145" spans="1:100">
      <c r="A7145" s="374"/>
      <c r="C7145" s="374"/>
      <c r="CV7145" s="376"/>
    </row>
    <row r="7146" spans="1:100">
      <c r="A7146" s="374"/>
      <c r="C7146" s="374"/>
      <c r="CV7146" s="376"/>
    </row>
    <row r="7147" spans="1:100">
      <c r="A7147" s="374"/>
      <c r="C7147" s="374"/>
      <c r="CV7147" s="376"/>
    </row>
    <row r="7148" spans="1:100">
      <c r="A7148" s="374"/>
      <c r="C7148" s="374"/>
      <c r="CV7148" s="376"/>
    </row>
    <row r="7149" spans="1:100">
      <c r="A7149" s="374"/>
      <c r="C7149" s="374"/>
      <c r="CV7149" s="376"/>
    </row>
    <row r="7150" spans="1:100">
      <c r="A7150" s="374"/>
      <c r="C7150" s="374"/>
      <c r="CV7150" s="376"/>
    </row>
    <row r="7151" spans="1:100">
      <c r="A7151" s="374"/>
      <c r="C7151" s="374"/>
      <c r="CV7151" s="376"/>
    </row>
    <row r="7152" spans="1:100">
      <c r="A7152" s="374"/>
      <c r="C7152" s="374"/>
      <c r="CV7152" s="376"/>
    </row>
    <row r="7153" spans="1:100">
      <c r="A7153" s="374"/>
      <c r="C7153" s="374"/>
      <c r="CV7153" s="376"/>
    </row>
    <row r="7154" spans="1:100">
      <c r="A7154" s="374"/>
      <c r="C7154" s="374"/>
      <c r="CV7154" s="376"/>
    </row>
    <row r="7155" spans="1:100">
      <c r="A7155" s="374"/>
      <c r="C7155" s="374"/>
      <c r="CV7155" s="376"/>
    </row>
    <row r="7156" spans="1:100">
      <c r="A7156" s="374"/>
      <c r="C7156" s="374"/>
      <c r="CV7156" s="376"/>
    </row>
    <row r="7157" spans="1:100">
      <c r="A7157" s="374"/>
      <c r="C7157" s="374"/>
      <c r="CV7157" s="376"/>
    </row>
    <row r="7158" spans="1:100">
      <c r="A7158" s="374"/>
      <c r="C7158" s="374"/>
      <c r="CV7158" s="376"/>
    </row>
    <row r="7159" spans="1:100">
      <c r="A7159" s="374"/>
      <c r="C7159" s="374"/>
      <c r="CV7159" s="376"/>
    </row>
    <row r="7160" spans="1:100">
      <c r="A7160" s="374"/>
      <c r="C7160" s="374"/>
      <c r="CV7160" s="376"/>
    </row>
    <row r="7161" spans="1:100">
      <c r="A7161" s="374"/>
      <c r="C7161" s="374"/>
      <c r="CV7161" s="376"/>
    </row>
    <row r="7162" spans="1:100">
      <c r="A7162" s="374"/>
      <c r="C7162" s="374"/>
      <c r="CV7162" s="376"/>
    </row>
    <row r="7163" spans="1:100">
      <c r="A7163" s="374"/>
      <c r="C7163" s="374"/>
      <c r="CV7163" s="376"/>
    </row>
    <row r="7164" spans="1:100">
      <c r="A7164" s="374"/>
      <c r="C7164" s="374"/>
      <c r="CV7164" s="376"/>
    </row>
    <row r="7165" spans="1:100">
      <c r="A7165" s="374"/>
      <c r="C7165" s="374"/>
      <c r="CV7165" s="376"/>
    </row>
    <row r="7166" spans="1:100">
      <c r="A7166" s="374"/>
      <c r="C7166" s="374"/>
      <c r="CV7166" s="376"/>
    </row>
    <row r="7167" spans="1:100">
      <c r="A7167" s="374"/>
      <c r="C7167" s="374"/>
      <c r="CV7167" s="376"/>
    </row>
    <row r="7168" spans="1:100">
      <c r="A7168" s="374"/>
      <c r="C7168" s="374"/>
      <c r="CV7168" s="376"/>
    </row>
    <row r="7169" spans="1:100">
      <c r="A7169" s="374"/>
      <c r="C7169" s="374"/>
      <c r="CV7169" s="376"/>
    </row>
    <row r="7170" spans="1:100">
      <c r="A7170" s="374"/>
      <c r="C7170" s="374"/>
      <c r="CV7170" s="376"/>
    </row>
    <row r="7171" spans="1:100">
      <c r="A7171" s="374"/>
      <c r="C7171" s="374"/>
      <c r="CV7171" s="376"/>
    </row>
    <row r="7172" spans="1:100">
      <c r="A7172" s="374"/>
      <c r="C7172" s="374"/>
      <c r="CV7172" s="376"/>
    </row>
    <row r="7173" spans="1:100">
      <c r="A7173" s="374"/>
      <c r="C7173" s="374"/>
      <c r="CV7173" s="376"/>
    </row>
    <row r="7174" spans="1:100">
      <c r="A7174" s="374"/>
      <c r="C7174" s="374"/>
      <c r="CV7174" s="376"/>
    </row>
    <row r="7175" spans="1:100">
      <c r="A7175" s="374"/>
      <c r="C7175" s="374"/>
      <c r="CV7175" s="376"/>
    </row>
    <row r="7176" spans="1:100">
      <c r="A7176" s="374"/>
      <c r="C7176" s="374"/>
      <c r="CV7176" s="376"/>
    </row>
    <row r="7177" spans="1:100">
      <c r="A7177" s="374"/>
      <c r="C7177" s="374"/>
      <c r="CV7177" s="376"/>
    </row>
    <row r="7178" spans="1:100">
      <c r="A7178" s="374"/>
      <c r="C7178" s="374"/>
      <c r="CV7178" s="376"/>
    </row>
    <row r="7179" spans="1:100">
      <c r="A7179" s="374"/>
      <c r="C7179" s="374"/>
      <c r="CV7179" s="376"/>
    </row>
    <row r="7180" spans="1:100">
      <c r="A7180" s="374"/>
      <c r="C7180" s="374"/>
      <c r="CV7180" s="376"/>
    </row>
    <row r="7181" spans="1:100">
      <c r="A7181" s="374"/>
      <c r="C7181" s="374"/>
      <c r="CV7181" s="376"/>
    </row>
    <row r="7182" spans="1:100">
      <c r="A7182" s="374"/>
      <c r="C7182" s="374"/>
      <c r="CV7182" s="376"/>
    </row>
    <row r="7183" spans="1:100">
      <c r="A7183" s="374"/>
      <c r="C7183" s="374"/>
      <c r="CV7183" s="376"/>
    </row>
    <row r="7184" spans="1:100">
      <c r="A7184" s="374"/>
      <c r="C7184" s="374"/>
      <c r="CV7184" s="376"/>
    </row>
    <row r="7185" spans="1:100">
      <c r="A7185" s="374"/>
      <c r="C7185" s="374"/>
      <c r="CV7185" s="376"/>
    </row>
    <row r="7186" spans="1:100">
      <c r="A7186" s="374"/>
      <c r="C7186" s="374"/>
      <c r="CV7186" s="376"/>
    </row>
    <row r="7187" spans="1:100">
      <c r="A7187" s="374"/>
      <c r="C7187" s="374"/>
      <c r="CV7187" s="376"/>
    </row>
    <row r="7188" spans="1:100">
      <c r="A7188" s="374"/>
      <c r="C7188" s="374"/>
      <c r="CV7188" s="376"/>
    </row>
    <row r="7189" spans="1:100">
      <c r="A7189" s="374"/>
      <c r="C7189" s="374"/>
      <c r="CV7189" s="376"/>
    </row>
    <row r="7190" spans="1:100">
      <c r="A7190" s="374"/>
      <c r="C7190" s="374"/>
      <c r="CV7190" s="376"/>
    </row>
    <row r="7191" spans="1:100">
      <c r="A7191" s="374"/>
      <c r="C7191" s="374"/>
      <c r="CV7191" s="376"/>
    </row>
    <row r="7192" spans="1:100">
      <c r="A7192" s="374"/>
      <c r="C7192" s="374"/>
      <c r="CV7192" s="376"/>
    </row>
    <row r="7193" spans="1:100">
      <c r="A7193" s="374"/>
      <c r="C7193" s="374"/>
      <c r="CV7193" s="376"/>
    </row>
    <row r="7194" spans="1:100">
      <c r="A7194" s="374"/>
      <c r="C7194" s="374"/>
      <c r="CV7194" s="376"/>
    </row>
    <row r="7195" spans="1:100">
      <c r="A7195" s="374"/>
      <c r="C7195" s="374"/>
      <c r="CV7195" s="376"/>
    </row>
    <row r="7196" spans="1:100">
      <c r="A7196" s="374"/>
      <c r="C7196" s="374"/>
      <c r="CV7196" s="376"/>
    </row>
    <row r="7197" spans="1:100">
      <c r="A7197" s="374"/>
      <c r="C7197" s="374"/>
      <c r="CV7197" s="376"/>
    </row>
    <row r="7198" spans="1:100">
      <c r="A7198" s="374"/>
      <c r="C7198" s="374"/>
      <c r="CV7198" s="376"/>
    </row>
    <row r="7199" spans="1:100">
      <c r="A7199" s="374"/>
      <c r="C7199" s="374"/>
      <c r="CV7199" s="376"/>
    </row>
    <row r="7200" spans="1:100">
      <c r="A7200" s="374"/>
      <c r="C7200" s="374"/>
      <c r="CV7200" s="376"/>
    </row>
    <row r="7201" spans="1:100">
      <c r="A7201" s="374"/>
      <c r="C7201" s="374"/>
      <c r="CV7201" s="376"/>
    </row>
    <row r="7202" spans="1:100">
      <c r="A7202" s="374"/>
      <c r="C7202" s="374"/>
      <c r="CV7202" s="376"/>
    </row>
    <row r="7203" spans="1:100">
      <c r="A7203" s="374"/>
      <c r="C7203" s="374"/>
      <c r="CV7203" s="376"/>
    </row>
    <row r="7204" spans="1:100">
      <c r="A7204" s="374"/>
      <c r="C7204" s="374"/>
      <c r="CV7204" s="376"/>
    </row>
    <row r="7205" spans="1:100">
      <c r="A7205" s="374"/>
      <c r="C7205" s="374"/>
      <c r="CV7205" s="376"/>
    </row>
    <row r="7206" spans="1:100">
      <c r="A7206" s="374"/>
      <c r="C7206" s="374"/>
      <c r="CV7206" s="376"/>
    </row>
    <row r="7207" spans="1:100">
      <c r="A7207" s="374"/>
      <c r="C7207" s="374"/>
      <c r="CV7207" s="376"/>
    </row>
    <row r="7208" spans="1:100">
      <c r="A7208" s="374"/>
      <c r="C7208" s="374"/>
      <c r="CV7208" s="376"/>
    </row>
    <row r="7209" spans="1:100">
      <c r="A7209" s="374"/>
      <c r="C7209" s="374"/>
      <c r="CV7209" s="376"/>
    </row>
    <row r="7210" spans="1:100">
      <c r="A7210" s="374"/>
      <c r="C7210" s="374"/>
      <c r="CV7210" s="376"/>
    </row>
    <row r="7211" spans="1:100">
      <c r="A7211" s="374"/>
      <c r="C7211" s="374"/>
      <c r="CV7211" s="376"/>
    </row>
    <row r="7212" spans="1:100">
      <c r="A7212" s="374"/>
      <c r="C7212" s="374"/>
      <c r="CV7212" s="376"/>
    </row>
    <row r="7213" spans="1:100">
      <c r="A7213" s="374"/>
      <c r="C7213" s="374"/>
      <c r="CV7213" s="376"/>
    </row>
    <row r="7214" spans="1:100">
      <c r="A7214" s="374"/>
      <c r="C7214" s="374"/>
      <c r="CV7214" s="376"/>
    </row>
    <row r="7215" spans="1:100">
      <c r="A7215" s="374"/>
      <c r="C7215" s="374"/>
      <c r="CV7215" s="376"/>
    </row>
    <row r="7216" spans="1:100">
      <c r="A7216" s="374"/>
      <c r="C7216" s="374"/>
      <c r="CV7216" s="376"/>
    </row>
    <row r="7217" spans="1:100">
      <c r="A7217" s="374"/>
      <c r="C7217" s="374"/>
      <c r="CV7217" s="376"/>
    </row>
    <row r="7218" spans="1:100">
      <c r="A7218" s="374"/>
      <c r="C7218" s="374"/>
      <c r="CV7218" s="376"/>
    </row>
    <row r="7219" spans="1:100">
      <c r="A7219" s="374"/>
      <c r="C7219" s="374"/>
      <c r="CV7219" s="376"/>
    </row>
    <row r="7220" spans="1:100">
      <c r="A7220" s="374"/>
      <c r="C7220" s="374"/>
      <c r="CV7220" s="376"/>
    </row>
    <row r="7221" spans="1:100">
      <c r="A7221" s="374"/>
      <c r="C7221" s="374"/>
      <c r="CV7221" s="376"/>
    </row>
    <row r="7222" spans="1:100">
      <c r="A7222" s="374"/>
      <c r="C7222" s="374"/>
      <c r="CV7222" s="376"/>
    </row>
    <row r="7223" spans="1:100">
      <c r="A7223" s="374"/>
      <c r="C7223" s="374"/>
      <c r="CV7223" s="376"/>
    </row>
    <row r="7224" spans="1:100">
      <c r="A7224" s="374"/>
      <c r="C7224" s="374"/>
      <c r="CV7224" s="376"/>
    </row>
    <row r="7225" spans="1:100">
      <c r="A7225" s="374"/>
      <c r="C7225" s="374"/>
      <c r="CV7225" s="376"/>
    </row>
    <row r="7226" spans="1:100">
      <c r="A7226" s="374"/>
      <c r="C7226" s="374"/>
      <c r="CV7226" s="376"/>
    </row>
    <row r="7227" spans="1:100">
      <c r="A7227" s="374"/>
      <c r="C7227" s="374"/>
      <c r="CV7227" s="376"/>
    </row>
    <row r="7228" spans="1:100">
      <c r="A7228" s="374"/>
      <c r="C7228" s="374"/>
      <c r="CV7228" s="376"/>
    </row>
    <row r="7229" spans="1:100">
      <c r="A7229" s="374"/>
      <c r="C7229" s="374"/>
      <c r="CV7229" s="376"/>
    </row>
    <row r="7230" spans="1:100">
      <c r="A7230" s="374"/>
      <c r="C7230" s="374"/>
      <c r="CV7230" s="376"/>
    </row>
    <row r="7231" spans="1:100">
      <c r="A7231" s="374"/>
      <c r="C7231" s="374"/>
      <c r="CV7231" s="376"/>
    </row>
    <row r="7232" spans="1:100">
      <c r="A7232" s="374"/>
      <c r="C7232" s="374"/>
      <c r="CV7232" s="376"/>
    </row>
    <row r="7233" spans="1:100">
      <c r="A7233" s="374"/>
      <c r="C7233" s="374"/>
      <c r="CV7233" s="376"/>
    </row>
    <row r="7234" spans="1:100">
      <c r="A7234" s="374"/>
      <c r="C7234" s="374"/>
      <c r="CV7234" s="376"/>
    </row>
    <row r="7235" spans="1:100">
      <c r="A7235" s="374"/>
      <c r="C7235" s="374"/>
      <c r="CV7235" s="376"/>
    </row>
    <row r="7236" spans="1:100">
      <c r="A7236" s="374"/>
      <c r="C7236" s="374"/>
      <c r="CV7236" s="376"/>
    </row>
    <row r="7237" spans="1:100">
      <c r="A7237" s="374"/>
      <c r="C7237" s="374"/>
      <c r="CV7237" s="376"/>
    </row>
    <row r="7238" spans="1:100">
      <c r="A7238" s="374"/>
      <c r="C7238" s="374"/>
      <c r="CV7238" s="376"/>
    </row>
    <row r="7239" spans="1:100">
      <c r="A7239" s="374"/>
      <c r="C7239" s="374"/>
      <c r="CV7239" s="376"/>
    </row>
    <row r="7240" spans="1:100">
      <c r="A7240" s="374"/>
      <c r="C7240" s="374"/>
      <c r="CV7240" s="376"/>
    </row>
    <row r="7241" spans="1:100">
      <c r="A7241" s="374"/>
      <c r="C7241" s="374"/>
      <c r="CV7241" s="376"/>
    </row>
    <row r="7242" spans="1:100">
      <c r="A7242" s="374"/>
      <c r="C7242" s="374"/>
      <c r="CV7242" s="376"/>
    </row>
    <row r="7243" spans="1:100">
      <c r="A7243" s="374"/>
      <c r="C7243" s="374"/>
      <c r="CV7243" s="376"/>
    </row>
    <row r="7244" spans="1:100">
      <c r="A7244" s="374"/>
      <c r="C7244" s="374"/>
      <c r="CV7244" s="376"/>
    </row>
    <row r="7245" spans="1:100">
      <c r="A7245" s="374"/>
      <c r="C7245" s="374"/>
      <c r="CV7245" s="376"/>
    </row>
    <row r="7246" spans="1:100">
      <c r="A7246" s="374"/>
      <c r="C7246" s="374"/>
      <c r="CV7246" s="376"/>
    </row>
    <row r="7247" spans="1:100">
      <c r="A7247" s="374"/>
      <c r="C7247" s="374"/>
      <c r="CV7247" s="376"/>
    </row>
    <row r="7248" spans="1:100">
      <c r="A7248" s="374"/>
      <c r="C7248" s="374"/>
      <c r="CV7248" s="376"/>
    </row>
    <row r="7249" spans="1:100">
      <c r="A7249" s="374"/>
      <c r="C7249" s="374"/>
      <c r="CV7249" s="376"/>
    </row>
    <row r="7250" spans="1:100">
      <c r="A7250" s="374"/>
      <c r="C7250" s="374"/>
      <c r="CV7250" s="376"/>
    </row>
    <row r="7251" spans="1:100">
      <c r="A7251" s="374"/>
      <c r="C7251" s="374"/>
      <c r="CV7251" s="376"/>
    </row>
    <row r="7252" spans="1:100">
      <c r="A7252" s="374"/>
      <c r="C7252" s="374"/>
      <c r="CV7252" s="376"/>
    </row>
    <row r="7253" spans="1:100">
      <c r="A7253" s="374"/>
      <c r="C7253" s="374"/>
      <c r="CV7253" s="376"/>
    </row>
    <row r="7254" spans="1:100">
      <c r="A7254" s="374"/>
      <c r="C7254" s="374"/>
      <c r="CV7254" s="376"/>
    </row>
    <row r="7255" spans="1:100">
      <c r="A7255" s="374"/>
      <c r="C7255" s="374"/>
      <c r="CV7255" s="376"/>
    </row>
    <row r="7256" spans="1:100">
      <c r="A7256" s="374"/>
      <c r="C7256" s="374"/>
      <c r="CV7256" s="376"/>
    </row>
    <row r="7257" spans="1:100">
      <c r="A7257" s="374"/>
      <c r="C7257" s="374"/>
      <c r="CV7257" s="376"/>
    </row>
    <row r="7258" spans="1:100">
      <c r="A7258" s="374"/>
      <c r="C7258" s="374"/>
      <c r="CV7258" s="376"/>
    </row>
    <row r="7259" spans="1:100">
      <c r="A7259" s="374"/>
      <c r="C7259" s="374"/>
      <c r="CV7259" s="376"/>
    </row>
    <row r="7260" spans="1:100">
      <c r="A7260" s="374"/>
      <c r="C7260" s="374"/>
      <c r="CV7260" s="376"/>
    </row>
    <row r="7261" spans="1:100">
      <c r="A7261" s="374"/>
      <c r="C7261" s="374"/>
      <c r="CV7261" s="376"/>
    </row>
    <row r="7262" spans="1:100">
      <c r="A7262" s="374"/>
      <c r="C7262" s="374"/>
      <c r="CV7262" s="376"/>
    </row>
    <row r="7263" spans="1:100">
      <c r="A7263" s="374"/>
      <c r="C7263" s="374"/>
      <c r="CV7263" s="376"/>
    </row>
    <row r="7264" spans="1:100">
      <c r="A7264" s="374"/>
      <c r="C7264" s="374"/>
      <c r="CV7264" s="376"/>
    </row>
    <row r="7265" spans="1:100">
      <c r="A7265" s="374"/>
      <c r="C7265" s="374"/>
      <c r="CV7265" s="376"/>
    </row>
    <row r="7266" spans="1:100">
      <c r="A7266" s="374"/>
      <c r="C7266" s="374"/>
      <c r="CV7266" s="376"/>
    </row>
    <row r="7267" spans="1:100">
      <c r="A7267" s="374"/>
      <c r="C7267" s="374"/>
      <c r="CV7267" s="376"/>
    </row>
    <row r="7268" spans="1:100">
      <c r="A7268" s="374"/>
      <c r="C7268" s="374"/>
      <c r="CV7268" s="376"/>
    </row>
    <row r="7269" spans="1:100">
      <c r="A7269" s="374"/>
      <c r="C7269" s="374"/>
      <c r="CV7269" s="376"/>
    </row>
    <row r="7270" spans="1:100">
      <c r="A7270" s="374"/>
      <c r="C7270" s="374"/>
      <c r="CV7270" s="376"/>
    </row>
    <row r="7271" spans="1:100">
      <c r="A7271" s="374"/>
      <c r="C7271" s="374"/>
      <c r="CV7271" s="376"/>
    </row>
    <row r="7272" spans="1:100">
      <c r="A7272" s="374"/>
      <c r="C7272" s="374"/>
      <c r="CV7272" s="376"/>
    </row>
    <row r="7273" spans="1:100">
      <c r="A7273" s="374"/>
      <c r="C7273" s="374"/>
      <c r="CV7273" s="376"/>
    </row>
    <row r="7274" spans="1:100">
      <c r="A7274" s="374"/>
      <c r="C7274" s="374"/>
      <c r="CV7274" s="376"/>
    </row>
    <row r="7275" spans="1:100">
      <c r="A7275" s="374"/>
      <c r="C7275" s="374"/>
      <c r="CV7275" s="376"/>
    </row>
    <row r="7276" spans="1:100">
      <c r="A7276" s="374"/>
      <c r="C7276" s="374"/>
      <c r="CV7276" s="376"/>
    </row>
    <row r="7277" spans="1:100">
      <c r="A7277" s="374"/>
      <c r="C7277" s="374"/>
      <c r="CV7277" s="376"/>
    </row>
    <row r="7278" spans="1:100">
      <c r="A7278" s="374"/>
      <c r="C7278" s="374"/>
      <c r="CV7278" s="376"/>
    </row>
    <row r="7279" spans="1:100">
      <c r="A7279" s="374"/>
      <c r="C7279" s="374"/>
      <c r="CV7279" s="376"/>
    </row>
    <row r="7280" spans="1:100">
      <c r="A7280" s="374"/>
      <c r="C7280" s="374"/>
      <c r="CV7280" s="376"/>
    </row>
    <row r="7281" spans="1:100">
      <c r="A7281" s="374"/>
      <c r="C7281" s="374"/>
      <c r="CV7281" s="376"/>
    </row>
    <row r="7282" spans="1:100">
      <c r="A7282" s="374"/>
      <c r="C7282" s="374"/>
      <c r="CV7282" s="376"/>
    </row>
    <row r="7283" spans="1:100">
      <c r="A7283" s="374"/>
      <c r="C7283" s="374"/>
      <c r="CV7283" s="376"/>
    </row>
    <row r="7284" spans="1:100">
      <c r="A7284" s="374"/>
      <c r="C7284" s="374"/>
      <c r="CV7284" s="376"/>
    </row>
    <row r="7285" spans="1:100">
      <c r="A7285" s="374"/>
      <c r="C7285" s="374"/>
      <c r="CV7285" s="376"/>
    </row>
    <row r="7286" spans="1:100">
      <c r="A7286" s="374"/>
      <c r="C7286" s="374"/>
      <c r="CV7286" s="376"/>
    </row>
    <row r="7287" spans="1:100">
      <c r="A7287" s="374"/>
      <c r="C7287" s="374"/>
      <c r="CV7287" s="376"/>
    </row>
    <row r="7288" spans="1:100">
      <c r="A7288" s="374"/>
      <c r="C7288" s="374"/>
      <c r="CV7288" s="376"/>
    </row>
    <row r="7289" spans="1:100">
      <c r="A7289" s="374"/>
      <c r="C7289" s="374"/>
      <c r="CV7289" s="376"/>
    </row>
    <row r="7290" spans="1:100">
      <c r="A7290" s="374"/>
      <c r="C7290" s="374"/>
      <c r="CV7290" s="376"/>
    </row>
    <row r="7291" spans="1:100">
      <c r="A7291" s="374"/>
      <c r="C7291" s="374"/>
      <c r="CV7291" s="376"/>
    </row>
    <row r="7292" spans="1:100">
      <c r="A7292" s="374"/>
      <c r="C7292" s="374"/>
      <c r="CV7292" s="376"/>
    </row>
    <row r="7293" spans="1:100">
      <c r="A7293" s="374"/>
      <c r="C7293" s="374"/>
      <c r="CV7293" s="376"/>
    </row>
    <row r="7294" spans="1:100">
      <c r="A7294" s="374"/>
      <c r="C7294" s="374"/>
      <c r="CV7294" s="376"/>
    </row>
    <row r="7295" spans="1:100">
      <c r="A7295" s="374"/>
      <c r="C7295" s="374"/>
      <c r="CV7295" s="376"/>
    </row>
    <row r="7296" spans="1:100">
      <c r="A7296" s="374"/>
      <c r="C7296" s="374"/>
      <c r="CV7296" s="376"/>
    </row>
    <row r="7297" spans="1:100">
      <c r="A7297" s="374"/>
      <c r="C7297" s="374"/>
      <c r="CV7297" s="376"/>
    </row>
    <row r="7298" spans="1:100">
      <c r="A7298" s="374"/>
      <c r="C7298" s="374"/>
      <c r="CV7298" s="376"/>
    </row>
    <row r="7299" spans="1:100">
      <c r="A7299" s="374"/>
      <c r="C7299" s="374"/>
      <c r="CV7299" s="376"/>
    </row>
    <row r="7300" spans="1:100">
      <c r="A7300" s="374"/>
      <c r="C7300" s="374"/>
      <c r="CV7300" s="376"/>
    </row>
    <row r="7301" spans="1:100">
      <c r="A7301" s="374"/>
      <c r="C7301" s="374"/>
      <c r="CV7301" s="376"/>
    </row>
    <row r="7302" spans="1:100">
      <c r="A7302" s="374"/>
      <c r="C7302" s="374"/>
      <c r="CV7302" s="376"/>
    </row>
    <row r="7303" spans="1:100">
      <c r="A7303" s="374"/>
      <c r="C7303" s="374"/>
      <c r="CV7303" s="376"/>
    </row>
    <row r="7304" spans="1:100">
      <c r="A7304" s="374"/>
      <c r="C7304" s="374"/>
      <c r="CV7304" s="376"/>
    </row>
    <row r="7305" spans="1:100">
      <c r="A7305" s="374"/>
      <c r="C7305" s="374"/>
      <c r="CV7305" s="376"/>
    </row>
    <row r="7306" spans="1:100">
      <c r="A7306" s="374"/>
      <c r="C7306" s="374"/>
      <c r="CV7306" s="376"/>
    </row>
    <row r="7307" spans="1:100">
      <c r="A7307" s="374"/>
      <c r="C7307" s="374"/>
      <c r="CV7307" s="376"/>
    </row>
    <row r="7308" spans="1:100">
      <c r="A7308" s="374"/>
      <c r="C7308" s="374"/>
      <c r="CV7308" s="376"/>
    </row>
    <row r="7309" spans="1:100">
      <c r="A7309" s="374"/>
      <c r="C7309" s="374"/>
      <c r="CV7309" s="376"/>
    </row>
    <row r="7310" spans="1:100">
      <c r="A7310" s="374"/>
      <c r="C7310" s="374"/>
      <c r="CV7310" s="376"/>
    </row>
    <row r="7311" spans="1:100">
      <c r="A7311" s="374"/>
      <c r="C7311" s="374"/>
      <c r="CV7311" s="376"/>
    </row>
    <row r="7312" spans="1:100">
      <c r="A7312" s="374"/>
      <c r="C7312" s="374"/>
      <c r="CV7312" s="376"/>
    </row>
    <row r="7313" spans="1:100">
      <c r="A7313" s="374"/>
      <c r="C7313" s="374"/>
      <c r="CV7313" s="376"/>
    </row>
    <row r="7314" spans="1:100">
      <c r="A7314" s="374"/>
      <c r="C7314" s="374"/>
      <c r="CV7314" s="376"/>
    </row>
    <row r="7315" spans="1:100">
      <c r="A7315" s="374"/>
      <c r="C7315" s="374"/>
      <c r="CV7315" s="376"/>
    </row>
    <row r="7316" spans="1:100">
      <c r="A7316" s="374"/>
      <c r="C7316" s="374"/>
      <c r="CV7316" s="376"/>
    </row>
    <row r="7317" spans="1:100">
      <c r="A7317" s="374"/>
      <c r="C7317" s="374"/>
      <c r="CV7317" s="376"/>
    </row>
    <row r="7318" spans="1:100">
      <c r="A7318" s="374"/>
      <c r="C7318" s="374"/>
      <c r="CV7318" s="376"/>
    </row>
    <row r="7319" spans="1:100">
      <c r="A7319" s="374"/>
      <c r="C7319" s="374"/>
      <c r="CV7319" s="376"/>
    </row>
    <row r="7320" spans="1:100">
      <c r="A7320" s="374"/>
      <c r="C7320" s="374"/>
      <c r="CV7320" s="376"/>
    </row>
    <row r="7321" spans="1:100">
      <c r="A7321" s="374"/>
      <c r="C7321" s="374"/>
      <c r="CV7321" s="376"/>
    </row>
    <row r="7322" spans="1:100">
      <c r="A7322" s="374"/>
      <c r="C7322" s="374"/>
      <c r="CV7322" s="376"/>
    </row>
    <row r="7323" spans="1:100">
      <c r="A7323" s="374"/>
      <c r="C7323" s="374"/>
      <c r="CV7323" s="376"/>
    </row>
    <row r="7324" spans="1:100">
      <c r="A7324" s="374"/>
      <c r="C7324" s="374"/>
      <c r="CV7324" s="376"/>
    </row>
    <row r="7325" spans="1:100">
      <c r="A7325" s="374"/>
      <c r="C7325" s="374"/>
      <c r="CV7325" s="376"/>
    </row>
    <row r="7326" spans="1:100">
      <c r="A7326" s="374"/>
      <c r="C7326" s="374"/>
      <c r="CV7326" s="376"/>
    </row>
    <row r="7327" spans="1:100">
      <c r="A7327" s="374"/>
      <c r="C7327" s="374"/>
      <c r="CV7327" s="376"/>
    </row>
    <row r="7328" spans="1:100">
      <c r="A7328" s="374"/>
      <c r="C7328" s="374"/>
      <c r="CV7328" s="376"/>
    </row>
    <row r="7329" spans="1:100">
      <c r="A7329" s="374"/>
      <c r="C7329" s="374"/>
      <c r="CV7329" s="376"/>
    </row>
    <row r="7330" spans="1:100">
      <c r="A7330" s="374"/>
      <c r="C7330" s="374"/>
      <c r="CV7330" s="376"/>
    </row>
    <row r="7331" spans="1:100">
      <c r="A7331" s="374"/>
      <c r="C7331" s="374"/>
      <c r="CV7331" s="376"/>
    </row>
    <row r="7332" spans="1:100">
      <c r="A7332" s="374"/>
      <c r="C7332" s="374"/>
      <c r="CV7332" s="376"/>
    </row>
    <row r="7333" spans="1:100">
      <c r="A7333" s="374"/>
      <c r="C7333" s="374"/>
      <c r="CV7333" s="376"/>
    </row>
    <row r="7334" spans="1:100">
      <c r="A7334" s="374"/>
      <c r="C7334" s="374"/>
      <c r="CV7334" s="376"/>
    </row>
    <row r="7335" spans="1:100">
      <c r="A7335" s="374"/>
      <c r="C7335" s="374"/>
      <c r="CV7335" s="376"/>
    </row>
    <row r="7336" spans="1:100">
      <c r="A7336" s="374"/>
      <c r="C7336" s="374"/>
      <c r="CV7336" s="376"/>
    </row>
    <row r="7337" spans="1:100">
      <c r="A7337" s="374"/>
      <c r="C7337" s="374"/>
      <c r="CV7337" s="376"/>
    </row>
    <row r="7338" spans="1:100">
      <c r="A7338" s="374"/>
      <c r="C7338" s="374"/>
      <c r="CV7338" s="376"/>
    </row>
    <row r="7339" spans="1:100">
      <c r="A7339" s="374"/>
      <c r="C7339" s="374"/>
      <c r="CV7339" s="376"/>
    </row>
    <row r="7340" spans="1:100">
      <c r="A7340" s="374"/>
      <c r="C7340" s="374"/>
      <c r="CV7340" s="376"/>
    </row>
    <row r="7341" spans="1:100">
      <c r="A7341" s="374"/>
      <c r="C7341" s="374"/>
      <c r="CV7341" s="376"/>
    </row>
    <row r="7342" spans="1:100">
      <c r="A7342" s="374"/>
      <c r="C7342" s="374"/>
      <c r="CV7342" s="376"/>
    </row>
    <row r="7343" spans="1:100">
      <c r="A7343" s="374"/>
      <c r="C7343" s="374"/>
      <c r="CV7343" s="376"/>
    </row>
    <row r="7344" spans="1:100">
      <c r="A7344" s="374"/>
      <c r="C7344" s="374"/>
      <c r="CV7344" s="376"/>
    </row>
    <row r="7345" spans="1:100">
      <c r="A7345" s="374"/>
      <c r="C7345" s="374"/>
      <c r="CV7345" s="376"/>
    </row>
    <row r="7346" spans="1:100">
      <c r="A7346" s="374"/>
      <c r="C7346" s="374"/>
      <c r="CV7346" s="376"/>
    </row>
    <row r="7347" spans="1:100">
      <c r="A7347" s="374"/>
      <c r="C7347" s="374"/>
      <c r="CV7347" s="376"/>
    </row>
    <row r="7348" spans="1:100">
      <c r="A7348" s="374"/>
      <c r="C7348" s="374"/>
      <c r="CV7348" s="376"/>
    </row>
    <row r="7349" spans="1:100">
      <c r="A7349" s="374"/>
      <c r="C7349" s="374"/>
      <c r="CV7349" s="376"/>
    </row>
    <row r="7350" spans="1:100">
      <c r="A7350" s="374"/>
      <c r="C7350" s="374"/>
      <c r="CV7350" s="376"/>
    </row>
    <row r="7351" spans="1:100">
      <c r="A7351" s="374"/>
      <c r="C7351" s="374"/>
      <c r="CV7351" s="376"/>
    </row>
    <row r="7352" spans="1:100">
      <c r="A7352" s="374"/>
      <c r="C7352" s="374"/>
      <c r="CV7352" s="376"/>
    </row>
    <row r="7353" spans="1:100">
      <c r="A7353" s="374"/>
      <c r="C7353" s="374"/>
      <c r="CV7353" s="376"/>
    </row>
    <row r="7354" spans="1:100">
      <c r="A7354" s="374"/>
      <c r="C7354" s="374"/>
      <c r="CV7354" s="376"/>
    </row>
    <row r="7355" spans="1:100">
      <c r="A7355" s="374"/>
      <c r="C7355" s="374"/>
      <c r="CV7355" s="376"/>
    </row>
    <row r="7356" spans="1:100">
      <c r="A7356" s="374"/>
      <c r="C7356" s="374"/>
      <c r="CV7356" s="376"/>
    </row>
    <row r="7357" spans="1:100">
      <c r="A7357" s="374"/>
      <c r="C7357" s="374"/>
      <c r="CV7357" s="376"/>
    </row>
    <row r="7358" spans="1:100">
      <c r="A7358" s="374"/>
      <c r="C7358" s="374"/>
      <c r="CV7358" s="376"/>
    </row>
    <row r="7359" spans="1:100">
      <c r="A7359" s="374"/>
      <c r="C7359" s="374"/>
      <c r="CV7359" s="376"/>
    </row>
    <row r="7360" spans="1:100">
      <c r="A7360" s="374"/>
      <c r="C7360" s="374"/>
      <c r="CV7360" s="376"/>
    </row>
    <row r="7361" spans="1:100">
      <c r="A7361" s="374"/>
      <c r="C7361" s="374"/>
      <c r="CV7361" s="376"/>
    </row>
    <row r="7362" spans="1:100">
      <c r="A7362" s="374"/>
      <c r="C7362" s="374"/>
      <c r="CV7362" s="376"/>
    </row>
    <row r="7363" spans="1:100">
      <c r="A7363" s="374"/>
      <c r="C7363" s="374"/>
      <c r="CV7363" s="376"/>
    </row>
    <row r="7364" spans="1:100">
      <c r="A7364" s="374"/>
      <c r="C7364" s="374"/>
      <c r="CV7364" s="376"/>
    </row>
    <row r="7365" spans="1:100">
      <c r="A7365" s="374"/>
      <c r="C7365" s="374"/>
      <c r="CV7365" s="376"/>
    </row>
    <row r="7366" spans="1:100">
      <c r="A7366" s="374"/>
      <c r="C7366" s="374"/>
      <c r="CV7366" s="376"/>
    </row>
    <row r="7367" spans="1:100">
      <c r="A7367" s="374"/>
      <c r="C7367" s="374"/>
      <c r="CV7367" s="376"/>
    </row>
    <row r="7368" spans="1:100">
      <c r="A7368" s="374"/>
      <c r="C7368" s="374"/>
      <c r="CV7368" s="376"/>
    </row>
    <row r="7369" spans="1:100">
      <c r="A7369" s="374"/>
      <c r="C7369" s="374"/>
      <c r="CV7369" s="376"/>
    </row>
    <row r="7370" spans="1:100">
      <c r="A7370" s="374"/>
      <c r="C7370" s="374"/>
      <c r="CV7370" s="376"/>
    </row>
    <row r="7371" spans="1:100">
      <c r="A7371" s="374"/>
      <c r="C7371" s="374"/>
      <c r="CV7371" s="376"/>
    </row>
    <row r="7372" spans="1:100">
      <c r="A7372" s="374"/>
      <c r="C7372" s="374"/>
      <c r="CV7372" s="376"/>
    </row>
    <row r="7373" spans="1:100">
      <c r="A7373" s="374"/>
      <c r="C7373" s="374"/>
      <c r="CV7373" s="376"/>
    </row>
    <row r="7374" spans="1:100">
      <c r="A7374" s="374"/>
      <c r="C7374" s="374"/>
      <c r="CV7374" s="376"/>
    </row>
    <row r="7375" spans="1:100">
      <c r="A7375" s="374"/>
      <c r="C7375" s="374"/>
      <c r="CV7375" s="376"/>
    </row>
    <row r="7376" spans="1:100">
      <c r="A7376" s="374"/>
      <c r="C7376" s="374"/>
      <c r="CV7376" s="376"/>
    </row>
    <row r="7377" spans="1:100">
      <c r="A7377" s="374"/>
      <c r="C7377" s="374"/>
      <c r="CV7377" s="376"/>
    </row>
    <row r="7378" spans="1:100">
      <c r="A7378" s="374"/>
      <c r="C7378" s="374"/>
      <c r="CV7378" s="376"/>
    </row>
    <row r="7379" spans="1:100">
      <c r="A7379" s="374"/>
      <c r="C7379" s="374"/>
      <c r="CV7379" s="376"/>
    </row>
    <row r="7380" spans="1:100">
      <c r="A7380" s="374"/>
      <c r="C7380" s="374"/>
      <c r="CV7380" s="376"/>
    </row>
    <row r="7381" spans="1:100">
      <c r="A7381" s="374"/>
      <c r="C7381" s="374"/>
      <c r="CV7381" s="376"/>
    </row>
    <row r="7382" spans="1:100">
      <c r="A7382" s="374"/>
      <c r="C7382" s="374"/>
      <c r="CV7382" s="376"/>
    </row>
    <row r="7383" spans="1:100">
      <c r="A7383" s="374"/>
      <c r="C7383" s="374"/>
      <c r="CV7383" s="376"/>
    </row>
    <row r="7384" spans="1:100">
      <c r="A7384" s="374"/>
      <c r="C7384" s="374"/>
      <c r="CV7384" s="376"/>
    </row>
    <row r="7385" spans="1:100">
      <c r="A7385" s="374"/>
      <c r="C7385" s="374"/>
      <c r="CV7385" s="376"/>
    </row>
    <row r="7386" spans="1:100">
      <c r="A7386" s="374"/>
      <c r="C7386" s="374"/>
      <c r="CV7386" s="376"/>
    </row>
    <row r="7387" spans="1:100">
      <c r="A7387" s="374"/>
      <c r="C7387" s="374"/>
      <c r="CV7387" s="376"/>
    </row>
    <row r="7388" spans="1:100">
      <c r="A7388" s="374"/>
      <c r="C7388" s="374"/>
      <c r="CV7388" s="376"/>
    </row>
    <row r="7389" spans="1:100">
      <c r="A7389" s="374"/>
      <c r="C7389" s="374"/>
      <c r="CV7389" s="376"/>
    </row>
    <row r="7390" spans="1:100">
      <c r="A7390" s="374"/>
      <c r="C7390" s="374"/>
      <c r="CV7390" s="376"/>
    </row>
    <row r="7391" spans="1:100">
      <c r="A7391" s="374"/>
      <c r="C7391" s="374"/>
      <c r="CV7391" s="376"/>
    </row>
    <row r="7392" spans="1:100">
      <c r="A7392" s="374"/>
      <c r="C7392" s="374"/>
      <c r="CV7392" s="376"/>
    </row>
    <row r="7393" spans="1:100">
      <c r="A7393" s="374"/>
      <c r="C7393" s="374"/>
      <c r="CV7393" s="376"/>
    </row>
    <row r="7394" spans="1:100">
      <c r="A7394" s="374"/>
      <c r="C7394" s="374"/>
      <c r="CV7394" s="376"/>
    </row>
    <row r="7395" spans="1:100">
      <c r="A7395" s="374"/>
      <c r="C7395" s="374"/>
      <c r="CV7395" s="376"/>
    </row>
    <row r="7396" spans="1:100">
      <c r="A7396" s="374"/>
      <c r="C7396" s="374"/>
      <c r="CV7396" s="376"/>
    </row>
    <row r="7397" spans="1:100">
      <c r="A7397" s="374"/>
      <c r="C7397" s="374"/>
      <c r="CV7397" s="376"/>
    </row>
    <row r="7398" spans="1:100">
      <c r="A7398" s="374"/>
      <c r="C7398" s="374"/>
      <c r="CV7398" s="376"/>
    </row>
    <row r="7399" spans="1:100">
      <c r="A7399" s="374"/>
      <c r="C7399" s="374"/>
      <c r="CV7399" s="376"/>
    </row>
    <row r="7400" spans="1:100">
      <c r="A7400" s="374"/>
      <c r="C7400" s="374"/>
      <c r="CV7400" s="376"/>
    </row>
    <row r="7401" spans="1:100">
      <c r="A7401" s="374"/>
      <c r="C7401" s="374"/>
      <c r="CV7401" s="376"/>
    </row>
    <row r="7402" spans="1:100">
      <c r="A7402" s="374"/>
      <c r="C7402" s="374"/>
      <c r="CV7402" s="376"/>
    </row>
    <row r="7403" spans="1:100">
      <c r="A7403" s="374"/>
      <c r="C7403" s="374"/>
      <c r="CV7403" s="376"/>
    </row>
    <row r="7404" spans="1:100">
      <c r="A7404" s="374"/>
      <c r="C7404" s="374"/>
      <c r="CV7404" s="376"/>
    </row>
    <row r="7405" spans="1:100">
      <c r="A7405" s="374"/>
      <c r="C7405" s="374"/>
      <c r="CV7405" s="376"/>
    </row>
    <row r="7406" spans="1:100">
      <c r="A7406" s="374"/>
      <c r="C7406" s="374"/>
      <c r="CV7406" s="376"/>
    </row>
    <row r="7407" spans="1:100">
      <c r="A7407" s="374"/>
      <c r="C7407" s="374"/>
      <c r="CV7407" s="376"/>
    </row>
    <row r="7408" spans="1:100">
      <c r="A7408" s="374"/>
      <c r="C7408" s="374"/>
      <c r="CV7408" s="376"/>
    </row>
    <row r="7409" spans="1:100">
      <c r="A7409" s="374"/>
      <c r="C7409" s="374"/>
      <c r="CV7409" s="376"/>
    </row>
    <row r="7410" spans="1:100">
      <c r="A7410" s="374"/>
      <c r="C7410" s="374"/>
      <c r="CV7410" s="376"/>
    </row>
    <row r="7411" spans="1:100">
      <c r="A7411" s="374"/>
      <c r="C7411" s="374"/>
      <c r="CV7411" s="376"/>
    </row>
    <row r="7412" spans="1:100">
      <c r="A7412" s="374"/>
      <c r="C7412" s="374"/>
      <c r="CV7412" s="376"/>
    </row>
    <row r="7413" spans="1:100">
      <c r="A7413" s="374"/>
      <c r="C7413" s="374"/>
      <c r="CV7413" s="376"/>
    </row>
    <row r="7414" spans="1:100">
      <c r="A7414" s="374"/>
      <c r="C7414" s="374"/>
      <c r="CV7414" s="376"/>
    </row>
    <row r="7415" spans="1:100">
      <c r="A7415" s="374"/>
      <c r="C7415" s="374"/>
      <c r="CV7415" s="376"/>
    </row>
    <row r="7416" spans="1:100">
      <c r="A7416" s="374"/>
      <c r="C7416" s="374"/>
      <c r="CV7416" s="376"/>
    </row>
    <row r="7417" spans="1:100">
      <c r="A7417" s="374"/>
      <c r="C7417" s="374"/>
      <c r="CV7417" s="376"/>
    </row>
    <row r="7418" spans="1:100">
      <c r="A7418" s="374"/>
      <c r="C7418" s="374"/>
      <c r="CV7418" s="376"/>
    </row>
    <row r="7419" spans="1:100">
      <c r="A7419" s="374"/>
      <c r="C7419" s="374"/>
      <c r="CV7419" s="376"/>
    </row>
    <row r="7420" spans="1:100">
      <c r="A7420" s="374"/>
      <c r="C7420" s="374"/>
      <c r="CV7420" s="376"/>
    </row>
    <row r="7421" spans="1:100">
      <c r="A7421" s="374"/>
      <c r="C7421" s="374"/>
      <c r="CV7421" s="376"/>
    </row>
    <row r="7422" spans="1:100">
      <c r="A7422" s="374"/>
      <c r="C7422" s="374"/>
      <c r="CV7422" s="376"/>
    </row>
    <row r="7423" spans="1:100">
      <c r="A7423" s="374"/>
      <c r="C7423" s="374"/>
      <c r="CV7423" s="376"/>
    </row>
    <row r="7424" spans="1:100">
      <c r="A7424" s="374"/>
      <c r="C7424" s="374"/>
      <c r="CV7424" s="376"/>
    </row>
    <row r="7425" spans="1:100">
      <c r="A7425" s="374"/>
      <c r="C7425" s="374"/>
      <c r="CV7425" s="376"/>
    </row>
    <row r="7426" spans="1:100">
      <c r="A7426" s="374"/>
      <c r="C7426" s="374"/>
      <c r="CV7426" s="376"/>
    </row>
    <row r="7427" spans="1:100">
      <c r="A7427" s="374"/>
      <c r="C7427" s="374"/>
      <c r="CV7427" s="376"/>
    </row>
    <row r="7428" spans="1:100">
      <c r="A7428" s="374"/>
      <c r="C7428" s="374"/>
      <c r="CV7428" s="376"/>
    </row>
    <row r="7429" spans="1:100">
      <c r="A7429" s="374"/>
      <c r="C7429" s="374"/>
      <c r="CV7429" s="376"/>
    </row>
    <row r="7430" spans="1:100">
      <c r="A7430" s="374"/>
      <c r="C7430" s="374"/>
      <c r="CV7430" s="376"/>
    </row>
    <row r="7431" spans="1:100">
      <c r="A7431" s="374"/>
      <c r="C7431" s="374"/>
      <c r="CV7431" s="376"/>
    </row>
    <row r="7432" spans="1:100">
      <c r="A7432" s="374"/>
      <c r="C7432" s="374"/>
      <c r="CV7432" s="376"/>
    </row>
    <row r="7433" spans="1:100">
      <c r="A7433" s="374"/>
      <c r="C7433" s="374"/>
      <c r="CV7433" s="376"/>
    </row>
    <row r="7434" spans="1:100">
      <c r="A7434" s="374"/>
      <c r="C7434" s="374"/>
      <c r="CV7434" s="376"/>
    </row>
    <row r="7435" spans="1:100">
      <c r="A7435" s="374"/>
      <c r="C7435" s="374"/>
      <c r="CV7435" s="376"/>
    </row>
    <row r="7436" spans="1:100">
      <c r="A7436" s="374"/>
      <c r="C7436" s="374"/>
      <c r="CV7436" s="376"/>
    </row>
    <row r="7437" spans="1:100">
      <c r="A7437" s="374"/>
      <c r="C7437" s="374"/>
      <c r="CV7437" s="376"/>
    </row>
    <row r="7438" spans="1:100">
      <c r="A7438" s="374"/>
      <c r="C7438" s="374"/>
      <c r="CV7438" s="376"/>
    </row>
    <row r="7439" spans="1:100">
      <c r="A7439" s="374"/>
      <c r="C7439" s="374"/>
      <c r="CV7439" s="376"/>
    </row>
    <row r="7440" spans="1:100">
      <c r="A7440" s="374"/>
      <c r="C7440" s="374"/>
      <c r="CV7440" s="376"/>
    </row>
    <row r="7441" spans="1:100">
      <c r="A7441" s="374"/>
      <c r="C7441" s="374"/>
      <c r="CV7441" s="376"/>
    </row>
    <row r="7442" spans="1:100">
      <c r="A7442" s="374"/>
      <c r="C7442" s="374"/>
      <c r="CV7442" s="376"/>
    </row>
    <row r="7443" spans="1:100">
      <c r="A7443" s="374"/>
      <c r="C7443" s="374"/>
      <c r="CV7443" s="376"/>
    </row>
    <row r="7444" spans="1:100">
      <c r="A7444" s="374"/>
      <c r="C7444" s="374"/>
      <c r="CV7444" s="376"/>
    </row>
    <row r="7445" spans="1:100">
      <c r="A7445" s="374"/>
      <c r="C7445" s="374"/>
      <c r="CV7445" s="376"/>
    </row>
    <row r="7446" spans="1:100">
      <c r="A7446" s="374"/>
      <c r="C7446" s="374"/>
      <c r="CV7446" s="376"/>
    </row>
    <row r="7447" spans="1:100">
      <c r="A7447" s="374"/>
      <c r="C7447" s="374"/>
      <c r="CV7447" s="376"/>
    </row>
    <row r="7448" spans="1:100">
      <c r="A7448" s="374"/>
      <c r="C7448" s="374"/>
      <c r="CV7448" s="376"/>
    </row>
    <row r="7449" spans="1:100">
      <c r="A7449" s="374"/>
      <c r="C7449" s="374"/>
      <c r="CV7449" s="376"/>
    </row>
    <row r="7450" spans="1:100">
      <c r="A7450" s="374"/>
      <c r="C7450" s="374"/>
      <c r="CV7450" s="376"/>
    </row>
    <row r="7451" spans="1:100">
      <c r="A7451" s="374"/>
      <c r="C7451" s="374"/>
      <c r="CV7451" s="376"/>
    </row>
    <row r="7452" spans="1:100">
      <c r="A7452" s="374"/>
      <c r="C7452" s="374"/>
      <c r="CV7452" s="376"/>
    </row>
    <row r="7453" spans="1:100">
      <c r="A7453" s="374"/>
      <c r="C7453" s="374"/>
      <c r="CV7453" s="376"/>
    </row>
    <row r="7454" spans="1:100">
      <c r="A7454" s="374"/>
      <c r="C7454" s="374"/>
      <c r="CV7454" s="376"/>
    </row>
    <row r="7455" spans="1:100">
      <c r="A7455" s="374"/>
      <c r="C7455" s="374"/>
      <c r="CV7455" s="376"/>
    </row>
    <row r="7456" spans="1:100">
      <c r="A7456" s="374"/>
      <c r="C7456" s="374"/>
      <c r="CV7456" s="376"/>
    </row>
    <row r="7457" spans="1:100">
      <c r="A7457" s="374"/>
      <c r="C7457" s="374"/>
      <c r="CV7457" s="376"/>
    </row>
    <row r="7458" spans="1:100">
      <c r="A7458" s="374"/>
      <c r="C7458" s="374"/>
      <c r="CV7458" s="376"/>
    </row>
    <row r="7459" spans="1:100">
      <c r="A7459" s="374"/>
      <c r="C7459" s="374"/>
      <c r="CV7459" s="376"/>
    </row>
    <row r="7460" spans="1:100">
      <c r="A7460" s="374"/>
      <c r="C7460" s="374"/>
      <c r="CV7460" s="376"/>
    </row>
    <row r="7461" spans="1:100">
      <c r="A7461" s="374"/>
      <c r="C7461" s="374"/>
      <c r="CV7461" s="376"/>
    </row>
    <row r="7462" spans="1:100">
      <c r="A7462" s="374"/>
      <c r="C7462" s="374"/>
      <c r="CV7462" s="376"/>
    </row>
    <row r="7463" spans="1:100">
      <c r="A7463" s="374"/>
      <c r="C7463" s="374"/>
      <c r="CV7463" s="376"/>
    </row>
    <row r="7464" spans="1:100">
      <c r="A7464" s="374"/>
      <c r="C7464" s="374"/>
      <c r="CV7464" s="376"/>
    </row>
    <row r="7465" spans="1:100">
      <c r="A7465" s="374"/>
      <c r="C7465" s="374"/>
      <c r="CV7465" s="376"/>
    </row>
    <row r="7466" spans="1:100">
      <c r="A7466" s="374"/>
      <c r="C7466" s="374"/>
      <c r="CV7466" s="376"/>
    </row>
    <row r="7467" spans="1:100">
      <c r="A7467" s="374"/>
      <c r="C7467" s="374"/>
      <c r="CV7467" s="376"/>
    </row>
    <row r="7468" spans="1:100">
      <c r="A7468" s="374"/>
      <c r="C7468" s="374"/>
      <c r="CV7468" s="376"/>
    </row>
    <row r="7469" spans="1:100">
      <c r="A7469" s="374"/>
      <c r="C7469" s="374"/>
      <c r="CV7469" s="376"/>
    </row>
    <row r="7470" spans="1:100">
      <c r="A7470" s="374"/>
      <c r="C7470" s="374"/>
      <c r="CV7470" s="376"/>
    </row>
    <row r="7471" spans="1:100">
      <c r="A7471" s="374"/>
      <c r="C7471" s="374"/>
      <c r="CV7471" s="376"/>
    </row>
    <row r="7472" spans="1:100">
      <c r="A7472" s="374"/>
      <c r="C7472" s="374"/>
      <c r="CV7472" s="376"/>
    </row>
    <row r="7473" spans="1:100">
      <c r="A7473" s="374"/>
      <c r="C7473" s="374"/>
      <c r="CV7473" s="376"/>
    </row>
    <row r="7474" spans="1:100">
      <c r="A7474" s="374"/>
      <c r="C7474" s="374"/>
      <c r="CV7474" s="376"/>
    </row>
    <row r="7475" spans="1:100">
      <c r="A7475" s="374"/>
      <c r="C7475" s="374"/>
      <c r="CV7475" s="376"/>
    </row>
    <row r="7476" spans="1:100">
      <c r="A7476" s="374"/>
      <c r="C7476" s="374"/>
      <c r="CV7476" s="376"/>
    </row>
    <row r="7477" spans="1:100">
      <c r="A7477" s="374"/>
      <c r="C7477" s="374"/>
      <c r="CV7477" s="376"/>
    </row>
    <row r="7478" spans="1:100">
      <c r="A7478" s="374"/>
      <c r="C7478" s="374"/>
      <c r="CV7478" s="376"/>
    </row>
    <row r="7479" spans="1:100">
      <c r="A7479" s="374"/>
      <c r="C7479" s="374"/>
      <c r="CV7479" s="376"/>
    </row>
    <row r="7480" spans="1:100">
      <c r="A7480" s="374"/>
      <c r="C7480" s="374"/>
      <c r="CV7480" s="376"/>
    </row>
    <row r="7481" spans="1:100">
      <c r="A7481" s="374"/>
      <c r="C7481" s="374"/>
      <c r="CV7481" s="376"/>
    </row>
    <row r="7482" spans="1:100">
      <c r="A7482" s="374"/>
      <c r="C7482" s="374"/>
      <c r="CV7482" s="376"/>
    </row>
    <row r="7483" spans="1:100">
      <c r="A7483" s="374"/>
      <c r="C7483" s="374"/>
      <c r="CV7483" s="376"/>
    </row>
    <row r="7484" spans="1:100">
      <c r="A7484" s="374"/>
      <c r="C7484" s="374"/>
      <c r="CV7484" s="376"/>
    </row>
    <row r="7485" spans="1:100">
      <c r="A7485" s="374"/>
      <c r="C7485" s="374"/>
      <c r="CV7485" s="376"/>
    </row>
    <row r="7486" spans="1:100">
      <c r="A7486" s="374"/>
      <c r="C7486" s="374"/>
      <c r="CV7486" s="376"/>
    </row>
    <row r="7487" spans="1:100">
      <c r="A7487" s="374"/>
      <c r="C7487" s="374"/>
      <c r="CV7487" s="376"/>
    </row>
    <row r="7488" spans="1:100">
      <c r="A7488" s="374"/>
      <c r="C7488" s="374"/>
      <c r="CV7488" s="376"/>
    </row>
    <row r="7489" spans="1:100">
      <c r="A7489" s="374"/>
      <c r="C7489" s="374"/>
      <c r="CV7489" s="376"/>
    </row>
    <row r="7490" spans="1:100">
      <c r="A7490" s="374"/>
      <c r="C7490" s="374"/>
      <c r="CV7490" s="376"/>
    </row>
    <row r="7491" spans="1:100">
      <c r="A7491" s="374"/>
      <c r="C7491" s="374"/>
      <c r="CV7491" s="376"/>
    </row>
    <row r="7492" spans="1:100">
      <c r="A7492" s="374"/>
      <c r="C7492" s="374"/>
      <c r="CV7492" s="376"/>
    </row>
    <row r="7493" spans="1:100">
      <c r="A7493" s="374"/>
      <c r="C7493" s="374"/>
      <c r="CV7493" s="376"/>
    </row>
    <row r="7494" spans="1:100">
      <c r="A7494" s="374"/>
      <c r="C7494" s="374"/>
      <c r="CV7494" s="376"/>
    </row>
    <row r="7495" spans="1:100">
      <c r="A7495" s="374"/>
      <c r="C7495" s="374"/>
      <c r="CV7495" s="376"/>
    </row>
    <row r="7496" spans="1:100">
      <c r="A7496" s="374"/>
      <c r="C7496" s="374"/>
      <c r="CV7496" s="376"/>
    </row>
    <row r="7497" spans="1:100">
      <c r="A7497" s="374"/>
      <c r="C7497" s="374"/>
      <c r="CV7497" s="376"/>
    </row>
    <row r="7498" spans="1:100">
      <c r="A7498" s="374"/>
      <c r="C7498" s="374"/>
      <c r="CV7498" s="376"/>
    </row>
    <row r="7499" spans="1:100">
      <c r="A7499" s="374"/>
      <c r="C7499" s="374"/>
      <c r="CV7499" s="376"/>
    </row>
    <row r="7500" spans="1:100">
      <c r="A7500" s="374"/>
      <c r="C7500" s="374"/>
      <c r="CV7500" s="376"/>
    </row>
    <row r="7501" spans="1:100">
      <c r="A7501" s="374"/>
      <c r="C7501" s="374"/>
      <c r="CV7501" s="376"/>
    </row>
    <row r="7502" spans="1:100">
      <c r="A7502" s="374"/>
      <c r="C7502" s="374"/>
      <c r="CV7502" s="376"/>
    </row>
    <row r="7503" spans="1:100">
      <c r="A7503" s="374"/>
      <c r="C7503" s="374"/>
      <c r="CV7503" s="376"/>
    </row>
    <row r="7504" spans="1:100">
      <c r="A7504" s="374"/>
      <c r="C7504" s="374"/>
      <c r="CV7504" s="376"/>
    </row>
    <row r="7505" spans="1:100">
      <c r="A7505" s="374"/>
      <c r="C7505" s="374"/>
      <c r="CV7505" s="376"/>
    </row>
    <row r="7506" spans="1:100">
      <c r="A7506" s="374"/>
      <c r="C7506" s="374"/>
      <c r="CV7506" s="376"/>
    </row>
    <row r="7507" spans="1:100">
      <c r="A7507" s="374"/>
      <c r="C7507" s="374"/>
      <c r="CV7507" s="376"/>
    </row>
    <row r="7508" spans="1:100">
      <c r="A7508" s="374"/>
      <c r="C7508" s="374"/>
      <c r="CV7508" s="376"/>
    </row>
    <row r="7509" spans="1:100">
      <c r="A7509" s="374"/>
      <c r="C7509" s="374"/>
      <c r="CV7509" s="376"/>
    </row>
    <row r="7510" spans="1:100">
      <c r="A7510" s="374"/>
      <c r="C7510" s="374"/>
      <c r="CV7510" s="376"/>
    </row>
    <row r="7511" spans="1:100">
      <c r="A7511" s="374"/>
      <c r="C7511" s="374"/>
      <c r="CV7511" s="376"/>
    </row>
    <row r="7512" spans="1:100">
      <c r="A7512" s="374"/>
      <c r="C7512" s="374"/>
      <c r="CV7512" s="376"/>
    </row>
    <row r="7513" spans="1:100">
      <c r="A7513" s="374"/>
      <c r="C7513" s="374"/>
      <c r="CV7513" s="376"/>
    </row>
    <row r="7514" spans="1:100">
      <c r="A7514" s="374"/>
      <c r="C7514" s="374"/>
      <c r="CV7514" s="376"/>
    </row>
    <row r="7515" spans="1:100">
      <c r="A7515" s="374"/>
      <c r="C7515" s="374"/>
      <c r="CV7515" s="376"/>
    </row>
    <row r="7516" spans="1:100">
      <c r="A7516" s="374"/>
      <c r="C7516" s="374"/>
      <c r="CV7516" s="376"/>
    </row>
    <row r="7517" spans="1:100">
      <c r="A7517" s="374"/>
      <c r="C7517" s="374"/>
      <c r="CV7517" s="376"/>
    </row>
    <row r="7518" spans="1:100">
      <c r="A7518" s="374"/>
      <c r="C7518" s="374"/>
      <c r="CV7518" s="376"/>
    </row>
    <row r="7519" spans="1:100">
      <c r="A7519" s="374"/>
      <c r="C7519" s="374"/>
      <c r="CV7519" s="376"/>
    </row>
    <row r="7520" spans="1:100">
      <c r="A7520" s="374"/>
      <c r="C7520" s="374"/>
      <c r="CV7520" s="376"/>
    </row>
    <row r="7521" spans="1:100">
      <c r="A7521" s="374"/>
      <c r="C7521" s="374"/>
      <c r="CV7521" s="376"/>
    </row>
    <row r="7522" spans="1:100">
      <c r="A7522" s="374"/>
      <c r="C7522" s="374"/>
      <c r="CV7522" s="376"/>
    </row>
    <row r="7523" spans="1:100">
      <c r="A7523" s="374"/>
      <c r="C7523" s="374"/>
      <c r="CV7523" s="376"/>
    </row>
    <row r="7524" spans="1:100">
      <c r="A7524" s="374"/>
      <c r="C7524" s="374"/>
      <c r="CV7524" s="376"/>
    </row>
    <row r="7525" spans="1:100">
      <c r="A7525" s="374"/>
      <c r="C7525" s="374"/>
      <c r="CV7525" s="376"/>
    </row>
    <row r="7526" spans="1:100">
      <c r="A7526" s="374"/>
      <c r="C7526" s="374"/>
      <c r="CV7526" s="376"/>
    </row>
    <row r="7527" spans="1:100">
      <c r="A7527" s="374"/>
      <c r="C7527" s="374"/>
      <c r="CV7527" s="376"/>
    </row>
    <row r="7528" spans="1:100">
      <c r="A7528" s="374"/>
      <c r="C7528" s="374"/>
      <c r="CV7528" s="376"/>
    </row>
    <row r="7529" spans="1:100">
      <c r="A7529" s="374"/>
      <c r="C7529" s="374"/>
      <c r="CV7529" s="376"/>
    </row>
    <row r="7530" spans="1:100">
      <c r="A7530" s="374"/>
      <c r="C7530" s="374"/>
      <c r="CV7530" s="376"/>
    </row>
    <row r="7531" spans="1:100">
      <c r="A7531" s="374"/>
      <c r="C7531" s="374"/>
      <c r="CV7531" s="376"/>
    </row>
    <row r="7532" spans="1:100">
      <c r="A7532" s="374"/>
      <c r="C7532" s="374"/>
      <c r="CV7532" s="376"/>
    </row>
    <row r="7533" spans="1:100">
      <c r="A7533" s="374"/>
      <c r="C7533" s="374"/>
      <c r="CV7533" s="376"/>
    </row>
    <row r="7534" spans="1:100">
      <c r="A7534" s="374"/>
      <c r="C7534" s="374"/>
      <c r="CV7534" s="376"/>
    </row>
    <row r="7535" spans="1:100">
      <c r="A7535" s="374"/>
      <c r="C7535" s="374"/>
      <c r="CV7535" s="376"/>
    </row>
    <row r="7536" spans="1:100">
      <c r="A7536" s="374"/>
      <c r="C7536" s="374"/>
      <c r="CV7536" s="376"/>
    </row>
    <row r="7537" spans="1:100">
      <c r="A7537" s="374"/>
      <c r="C7537" s="374"/>
      <c r="CV7537" s="376"/>
    </row>
    <row r="7538" spans="1:100">
      <c r="A7538" s="374"/>
      <c r="C7538" s="374"/>
      <c r="CV7538" s="376"/>
    </row>
    <row r="7539" spans="1:100">
      <c r="A7539" s="374"/>
      <c r="C7539" s="374"/>
      <c r="CV7539" s="376"/>
    </row>
    <row r="7540" spans="1:100">
      <c r="A7540" s="374"/>
      <c r="C7540" s="374"/>
      <c r="CV7540" s="376"/>
    </row>
    <row r="7541" spans="1:100">
      <c r="A7541" s="374"/>
      <c r="C7541" s="374"/>
      <c r="CV7541" s="376"/>
    </row>
    <row r="7542" spans="1:100">
      <c r="A7542" s="374"/>
      <c r="C7542" s="374"/>
      <c r="CV7542" s="376"/>
    </row>
    <row r="7543" spans="1:100">
      <c r="A7543" s="374"/>
      <c r="C7543" s="374"/>
      <c r="CV7543" s="376"/>
    </row>
    <row r="7544" spans="1:100">
      <c r="A7544" s="374"/>
      <c r="C7544" s="374"/>
      <c r="CV7544" s="376"/>
    </row>
    <row r="7545" spans="1:100">
      <c r="A7545" s="374"/>
      <c r="C7545" s="374"/>
      <c r="CV7545" s="376"/>
    </row>
    <row r="7546" spans="1:100">
      <c r="A7546" s="374"/>
      <c r="C7546" s="374"/>
      <c r="CV7546" s="376"/>
    </row>
    <row r="7547" spans="1:100">
      <c r="A7547" s="374"/>
      <c r="C7547" s="374"/>
      <c r="CV7547" s="376"/>
    </row>
    <row r="7548" spans="1:100">
      <c r="A7548" s="374"/>
      <c r="C7548" s="374"/>
      <c r="CV7548" s="376"/>
    </row>
    <row r="7549" spans="1:100">
      <c r="A7549" s="374"/>
      <c r="C7549" s="374"/>
      <c r="CV7549" s="376"/>
    </row>
    <row r="7550" spans="1:100">
      <c r="A7550" s="374"/>
      <c r="C7550" s="374"/>
      <c r="CV7550" s="376"/>
    </row>
    <row r="7551" spans="1:100">
      <c r="A7551" s="374"/>
      <c r="C7551" s="374"/>
      <c r="CV7551" s="376"/>
    </row>
    <row r="7552" spans="1:100">
      <c r="A7552" s="374"/>
      <c r="C7552" s="374"/>
      <c r="CV7552" s="376"/>
    </row>
    <row r="7553" spans="1:100">
      <c r="A7553" s="374"/>
      <c r="C7553" s="374"/>
      <c r="CV7553" s="376"/>
    </row>
    <row r="7554" spans="1:100">
      <c r="A7554" s="374"/>
      <c r="C7554" s="374"/>
      <c r="CV7554" s="376"/>
    </row>
    <row r="7555" spans="1:100">
      <c r="A7555" s="374"/>
      <c r="C7555" s="374"/>
      <c r="CV7555" s="376"/>
    </row>
    <row r="7556" spans="1:100">
      <c r="A7556" s="374"/>
      <c r="C7556" s="374"/>
      <c r="CV7556" s="376"/>
    </row>
    <row r="7557" spans="1:100">
      <c r="A7557" s="374"/>
      <c r="C7557" s="374"/>
      <c r="CV7557" s="376"/>
    </row>
    <row r="7558" spans="1:100">
      <c r="A7558" s="374"/>
      <c r="C7558" s="374"/>
      <c r="CV7558" s="376"/>
    </row>
    <row r="7559" spans="1:100">
      <c r="A7559" s="374"/>
      <c r="C7559" s="374"/>
      <c r="CV7559" s="376"/>
    </row>
    <row r="7560" spans="1:100">
      <c r="A7560" s="374"/>
      <c r="C7560" s="374"/>
      <c r="CV7560" s="376"/>
    </row>
    <row r="7561" spans="1:100">
      <c r="A7561" s="374"/>
      <c r="C7561" s="374"/>
      <c r="CV7561" s="376"/>
    </row>
    <row r="7562" spans="1:100">
      <c r="A7562" s="374"/>
      <c r="C7562" s="374"/>
      <c r="CV7562" s="376"/>
    </row>
    <row r="7563" spans="1:100">
      <c r="A7563" s="374"/>
      <c r="C7563" s="374"/>
      <c r="CV7563" s="376"/>
    </row>
    <row r="7564" spans="1:100">
      <c r="A7564" s="374"/>
      <c r="C7564" s="374"/>
      <c r="CV7564" s="376"/>
    </row>
    <row r="7565" spans="1:100">
      <c r="A7565" s="374"/>
      <c r="C7565" s="374"/>
      <c r="CV7565" s="376"/>
    </row>
    <row r="7566" spans="1:100">
      <c r="A7566" s="374"/>
      <c r="C7566" s="374"/>
      <c r="CV7566" s="376"/>
    </row>
    <row r="7567" spans="1:100">
      <c r="A7567" s="374"/>
      <c r="C7567" s="374"/>
      <c r="CV7567" s="376"/>
    </row>
    <row r="7568" spans="1:100">
      <c r="A7568" s="374"/>
      <c r="C7568" s="374"/>
      <c r="CV7568" s="376"/>
    </row>
    <row r="7569" spans="1:100">
      <c r="A7569" s="374"/>
      <c r="C7569" s="374"/>
      <c r="CV7569" s="376"/>
    </row>
    <row r="7570" spans="1:100">
      <c r="A7570" s="374"/>
      <c r="C7570" s="374"/>
      <c r="CV7570" s="376"/>
    </row>
    <row r="7571" spans="1:100">
      <c r="A7571" s="374"/>
      <c r="C7571" s="374"/>
      <c r="CV7571" s="376"/>
    </row>
    <row r="7572" spans="1:100">
      <c r="A7572" s="374"/>
      <c r="C7572" s="374"/>
      <c r="CV7572" s="376"/>
    </row>
    <row r="7573" spans="1:100">
      <c r="A7573" s="374"/>
      <c r="C7573" s="374"/>
      <c r="CV7573" s="376"/>
    </row>
    <row r="7574" spans="1:100">
      <c r="A7574" s="374"/>
      <c r="C7574" s="374"/>
      <c r="CV7574" s="376"/>
    </row>
    <row r="7575" spans="1:100">
      <c r="A7575" s="374"/>
      <c r="C7575" s="374"/>
      <c r="CV7575" s="376"/>
    </row>
    <row r="7576" spans="1:100">
      <c r="A7576" s="374"/>
      <c r="C7576" s="374"/>
      <c r="CV7576" s="376"/>
    </row>
    <row r="7577" spans="1:100">
      <c r="A7577" s="374"/>
      <c r="C7577" s="374"/>
      <c r="CV7577" s="376"/>
    </row>
    <row r="7578" spans="1:100">
      <c r="A7578" s="374"/>
      <c r="C7578" s="374"/>
      <c r="CV7578" s="376"/>
    </row>
    <row r="7579" spans="1:100">
      <c r="A7579" s="374"/>
      <c r="C7579" s="374"/>
      <c r="CV7579" s="376"/>
    </row>
    <row r="7580" spans="1:100">
      <c r="A7580" s="374"/>
      <c r="C7580" s="374"/>
      <c r="CV7580" s="376"/>
    </row>
    <row r="7581" spans="1:100">
      <c r="A7581" s="374"/>
      <c r="C7581" s="374"/>
      <c r="CV7581" s="376"/>
    </row>
    <row r="7582" spans="1:100">
      <c r="A7582" s="374"/>
      <c r="C7582" s="374"/>
      <c r="CV7582" s="376"/>
    </row>
    <row r="7583" spans="1:100">
      <c r="A7583" s="374"/>
      <c r="C7583" s="374"/>
      <c r="CV7583" s="376"/>
    </row>
    <row r="7584" spans="1:100">
      <c r="A7584" s="374"/>
      <c r="C7584" s="374"/>
      <c r="CV7584" s="376"/>
    </row>
    <row r="7585" spans="1:100">
      <c r="A7585" s="374"/>
      <c r="C7585" s="374"/>
      <c r="CV7585" s="376"/>
    </row>
    <row r="7586" spans="1:100">
      <c r="A7586" s="374"/>
      <c r="C7586" s="374"/>
      <c r="CV7586" s="376"/>
    </row>
    <row r="7587" spans="1:100">
      <c r="A7587" s="374"/>
      <c r="C7587" s="374"/>
      <c r="CV7587" s="376"/>
    </row>
    <row r="7588" spans="1:100">
      <c r="A7588" s="374"/>
      <c r="C7588" s="374"/>
      <c r="CV7588" s="376"/>
    </row>
    <row r="7589" spans="1:100">
      <c r="A7589" s="374"/>
      <c r="C7589" s="374"/>
      <c r="CV7589" s="376"/>
    </row>
    <row r="7590" spans="1:100">
      <c r="A7590" s="374"/>
      <c r="C7590" s="374"/>
      <c r="CV7590" s="376"/>
    </row>
    <row r="7591" spans="1:100">
      <c r="A7591" s="374"/>
      <c r="C7591" s="374"/>
      <c r="CV7591" s="376"/>
    </row>
    <row r="7592" spans="1:100">
      <c r="A7592" s="374"/>
      <c r="C7592" s="374"/>
      <c r="CV7592" s="376"/>
    </row>
    <row r="7593" spans="1:100">
      <c r="A7593" s="374"/>
      <c r="C7593" s="374"/>
      <c r="CV7593" s="376"/>
    </row>
    <row r="7594" spans="1:100">
      <c r="A7594" s="374"/>
      <c r="C7594" s="374"/>
      <c r="CV7594" s="376"/>
    </row>
    <row r="7595" spans="1:100">
      <c r="A7595" s="374"/>
      <c r="C7595" s="374"/>
      <c r="CV7595" s="376"/>
    </row>
    <row r="7596" spans="1:100">
      <c r="A7596" s="374"/>
      <c r="C7596" s="374"/>
      <c r="CV7596" s="376"/>
    </row>
    <row r="7597" spans="1:100">
      <c r="A7597" s="374"/>
      <c r="C7597" s="374"/>
      <c r="CV7597" s="376"/>
    </row>
    <row r="7598" spans="1:100">
      <c r="A7598" s="374"/>
      <c r="C7598" s="374"/>
      <c r="CV7598" s="376"/>
    </row>
    <row r="7599" spans="1:100">
      <c r="A7599" s="374"/>
      <c r="C7599" s="374"/>
      <c r="CV7599" s="376"/>
    </row>
    <row r="7600" spans="1:100">
      <c r="A7600" s="374"/>
      <c r="C7600" s="374"/>
      <c r="CV7600" s="376"/>
    </row>
    <row r="7601" spans="1:100">
      <c r="A7601" s="374"/>
      <c r="C7601" s="374"/>
      <c r="CV7601" s="376"/>
    </row>
    <row r="7602" spans="1:100">
      <c r="A7602" s="374"/>
      <c r="C7602" s="374"/>
      <c r="CV7602" s="376"/>
    </row>
    <row r="7603" spans="1:100">
      <c r="A7603" s="374"/>
      <c r="C7603" s="374"/>
      <c r="CV7603" s="376"/>
    </row>
    <row r="7604" spans="1:100">
      <c r="A7604" s="374"/>
      <c r="C7604" s="374"/>
      <c r="CV7604" s="376"/>
    </row>
    <row r="7605" spans="1:100">
      <c r="A7605" s="374"/>
      <c r="C7605" s="374"/>
      <c r="CV7605" s="376"/>
    </row>
    <row r="7606" spans="1:100">
      <c r="A7606" s="374"/>
      <c r="C7606" s="374"/>
      <c r="CV7606" s="376"/>
    </row>
    <row r="7607" spans="1:100">
      <c r="A7607" s="374"/>
      <c r="C7607" s="374"/>
      <c r="CV7607" s="376"/>
    </row>
    <row r="7608" spans="1:100">
      <c r="A7608" s="374"/>
      <c r="C7608" s="374"/>
      <c r="CV7608" s="376"/>
    </row>
    <row r="7609" spans="1:100">
      <c r="A7609" s="374"/>
      <c r="C7609" s="374"/>
      <c r="CV7609" s="376"/>
    </row>
    <row r="7610" spans="1:100">
      <c r="A7610" s="374"/>
      <c r="C7610" s="374"/>
      <c r="CV7610" s="376"/>
    </row>
    <row r="7611" spans="1:100">
      <c r="A7611" s="374"/>
      <c r="C7611" s="374"/>
      <c r="CV7611" s="376"/>
    </row>
    <row r="7612" spans="1:100">
      <c r="A7612" s="374"/>
      <c r="C7612" s="374"/>
      <c r="CV7612" s="376"/>
    </row>
    <row r="7613" spans="1:100">
      <c r="A7613" s="374"/>
      <c r="C7613" s="374"/>
      <c r="CV7613" s="376"/>
    </row>
    <row r="7614" spans="1:100">
      <c r="A7614" s="374"/>
      <c r="C7614" s="374"/>
      <c r="CV7614" s="376"/>
    </row>
    <row r="7615" spans="1:100">
      <c r="A7615" s="374"/>
      <c r="C7615" s="374"/>
      <c r="CV7615" s="376"/>
    </row>
    <row r="7616" spans="1:100">
      <c r="A7616" s="374"/>
      <c r="C7616" s="374"/>
      <c r="CV7616" s="376"/>
    </row>
    <row r="7617" spans="1:100">
      <c r="A7617" s="374"/>
      <c r="C7617" s="374"/>
      <c r="CV7617" s="376"/>
    </row>
    <row r="7618" spans="1:100">
      <c r="A7618" s="374"/>
      <c r="C7618" s="374"/>
      <c r="CV7618" s="376"/>
    </row>
    <row r="7619" spans="1:100">
      <c r="A7619" s="374"/>
      <c r="C7619" s="374"/>
      <c r="CV7619" s="376"/>
    </row>
    <row r="7620" spans="1:100">
      <c r="A7620" s="374"/>
      <c r="C7620" s="374"/>
      <c r="CV7620" s="376"/>
    </row>
    <row r="7621" spans="1:100">
      <c r="A7621" s="374"/>
      <c r="C7621" s="374"/>
      <c r="CV7621" s="376"/>
    </row>
    <row r="7622" spans="1:100">
      <c r="A7622" s="374"/>
      <c r="C7622" s="374"/>
      <c r="CV7622" s="376"/>
    </row>
    <row r="7623" spans="1:100">
      <c r="A7623" s="374"/>
      <c r="C7623" s="374"/>
      <c r="CV7623" s="376"/>
    </row>
    <row r="7624" spans="1:100">
      <c r="A7624" s="374"/>
      <c r="C7624" s="374"/>
      <c r="CV7624" s="376"/>
    </row>
    <row r="7625" spans="1:100">
      <c r="A7625" s="374"/>
      <c r="C7625" s="374"/>
      <c r="CV7625" s="376"/>
    </row>
    <row r="7626" spans="1:100">
      <c r="A7626" s="374"/>
      <c r="C7626" s="374"/>
      <c r="CV7626" s="376"/>
    </row>
    <row r="7627" spans="1:100">
      <c r="A7627" s="374"/>
      <c r="C7627" s="374"/>
      <c r="CV7627" s="376"/>
    </row>
    <row r="7628" spans="1:100">
      <c r="A7628" s="374"/>
      <c r="C7628" s="374"/>
      <c r="CV7628" s="376"/>
    </row>
    <row r="7629" spans="1:100">
      <c r="A7629" s="374"/>
      <c r="C7629" s="374"/>
      <c r="CV7629" s="376"/>
    </row>
    <row r="7630" spans="1:100">
      <c r="A7630" s="374"/>
      <c r="C7630" s="374"/>
      <c r="CV7630" s="376"/>
    </row>
    <row r="7631" spans="1:100">
      <c r="A7631" s="374"/>
      <c r="C7631" s="374"/>
      <c r="CV7631" s="376"/>
    </row>
    <row r="7632" spans="1:100">
      <c r="A7632" s="374"/>
      <c r="C7632" s="374"/>
      <c r="CV7632" s="376"/>
    </row>
    <row r="7633" spans="1:100">
      <c r="A7633" s="374"/>
      <c r="C7633" s="374"/>
      <c r="CV7633" s="376"/>
    </row>
    <row r="7634" spans="1:100">
      <c r="A7634" s="374"/>
      <c r="C7634" s="374"/>
      <c r="CV7634" s="376"/>
    </row>
    <row r="7635" spans="1:100">
      <c r="A7635" s="374"/>
      <c r="C7635" s="374"/>
      <c r="CV7635" s="376"/>
    </row>
    <row r="7636" spans="1:100">
      <c r="A7636" s="374"/>
      <c r="C7636" s="374"/>
      <c r="CV7636" s="376"/>
    </row>
    <row r="7637" spans="1:100">
      <c r="A7637" s="374"/>
      <c r="C7637" s="374"/>
      <c r="CV7637" s="376"/>
    </row>
    <row r="7638" spans="1:100">
      <c r="A7638" s="374"/>
      <c r="C7638" s="374"/>
      <c r="CV7638" s="376"/>
    </row>
    <row r="7639" spans="1:100">
      <c r="A7639" s="374"/>
      <c r="C7639" s="374"/>
      <c r="CV7639" s="376"/>
    </row>
    <row r="7640" spans="1:100">
      <c r="A7640" s="374"/>
      <c r="C7640" s="374"/>
      <c r="CV7640" s="376"/>
    </row>
    <row r="7641" spans="1:100">
      <c r="A7641" s="374"/>
      <c r="C7641" s="374"/>
      <c r="CV7641" s="376"/>
    </row>
    <row r="7642" spans="1:100">
      <c r="A7642" s="374"/>
      <c r="C7642" s="374"/>
      <c r="CV7642" s="376"/>
    </row>
    <row r="7643" spans="1:100">
      <c r="A7643" s="374"/>
      <c r="C7643" s="374"/>
      <c r="CV7643" s="376"/>
    </row>
    <row r="7644" spans="1:100">
      <c r="A7644" s="374"/>
      <c r="C7644" s="374"/>
      <c r="CV7644" s="376"/>
    </row>
    <row r="7645" spans="1:100">
      <c r="A7645" s="374"/>
      <c r="C7645" s="374"/>
      <c r="CV7645" s="376"/>
    </row>
    <row r="7646" spans="1:100">
      <c r="A7646" s="374"/>
      <c r="C7646" s="374"/>
      <c r="CV7646" s="376"/>
    </row>
    <row r="7647" spans="1:100">
      <c r="A7647" s="374"/>
      <c r="C7647" s="374"/>
      <c r="CV7647" s="376"/>
    </row>
    <row r="7648" spans="1:100">
      <c r="A7648" s="374"/>
      <c r="C7648" s="374"/>
      <c r="CV7648" s="376"/>
    </row>
    <row r="7649" spans="1:100">
      <c r="A7649" s="374"/>
      <c r="C7649" s="374"/>
      <c r="CV7649" s="376"/>
    </row>
    <row r="7650" spans="1:100">
      <c r="A7650" s="374"/>
      <c r="C7650" s="374"/>
      <c r="CV7650" s="376"/>
    </row>
    <row r="7651" spans="1:100">
      <c r="A7651" s="374"/>
      <c r="C7651" s="374"/>
      <c r="CV7651" s="376"/>
    </row>
    <row r="7652" spans="1:100">
      <c r="A7652" s="374"/>
      <c r="C7652" s="374"/>
      <c r="CV7652" s="376"/>
    </row>
    <row r="7653" spans="1:100">
      <c r="A7653" s="374"/>
      <c r="C7653" s="374"/>
      <c r="CV7653" s="376"/>
    </row>
    <row r="7654" spans="1:100">
      <c r="A7654" s="374"/>
      <c r="C7654" s="374"/>
      <c r="CV7654" s="376"/>
    </row>
    <row r="7655" spans="1:100">
      <c r="A7655" s="374"/>
      <c r="C7655" s="374"/>
      <c r="CV7655" s="376"/>
    </row>
    <row r="7656" spans="1:100">
      <c r="A7656" s="374"/>
      <c r="C7656" s="374"/>
      <c r="CV7656" s="376"/>
    </row>
    <row r="7657" spans="1:100">
      <c r="A7657" s="374"/>
      <c r="C7657" s="374"/>
      <c r="CV7657" s="376"/>
    </row>
    <row r="7658" spans="1:100">
      <c r="A7658" s="374"/>
      <c r="C7658" s="374"/>
      <c r="CV7658" s="376"/>
    </row>
    <row r="7659" spans="1:100">
      <c r="A7659" s="374"/>
      <c r="C7659" s="374"/>
      <c r="CV7659" s="376"/>
    </row>
    <row r="7660" spans="1:100">
      <c r="A7660" s="374"/>
      <c r="C7660" s="374"/>
      <c r="CV7660" s="376"/>
    </row>
    <row r="7661" spans="1:100">
      <c r="A7661" s="374"/>
      <c r="C7661" s="374"/>
      <c r="CV7661" s="376"/>
    </row>
    <row r="7662" spans="1:100">
      <c r="A7662" s="374"/>
      <c r="C7662" s="374"/>
      <c r="CV7662" s="376"/>
    </row>
    <row r="7663" spans="1:100">
      <c r="A7663" s="374"/>
      <c r="C7663" s="374"/>
      <c r="CV7663" s="376"/>
    </row>
    <row r="7664" spans="1:100">
      <c r="A7664" s="374"/>
      <c r="C7664" s="374"/>
      <c r="CV7664" s="376"/>
    </row>
    <row r="7665" spans="1:100">
      <c r="A7665" s="374"/>
      <c r="C7665" s="374"/>
      <c r="CV7665" s="376"/>
    </row>
    <row r="7666" spans="1:100">
      <c r="A7666" s="374"/>
      <c r="C7666" s="374"/>
      <c r="CV7666" s="376"/>
    </row>
    <row r="7667" spans="1:100">
      <c r="A7667" s="374"/>
      <c r="C7667" s="374"/>
      <c r="CV7667" s="376"/>
    </row>
    <row r="7668" spans="1:100">
      <c r="A7668" s="374"/>
      <c r="C7668" s="374"/>
      <c r="CV7668" s="376"/>
    </row>
    <row r="7669" spans="1:100">
      <c r="A7669" s="374"/>
      <c r="C7669" s="374"/>
      <c r="CV7669" s="376"/>
    </row>
    <row r="7670" spans="1:100">
      <c r="A7670" s="374"/>
      <c r="C7670" s="374"/>
      <c r="CV7670" s="376"/>
    </row>
    <row r="7671" spans="1:100">
      <c r="A7671" s="374"/>
      <c r="C7671" s="374"/>
      <c r="CV7671" s="376"/>
    </row>
    <row r="7672" spans="1:100">
      <c r="A7672" s="374"/>
      <c r="C7672" s="374"/>
      <c r="CV7672" s="376"/>
    </row>
    <row r="7673" spans="1:100">
      <c r="A7673" s="374"/>
      <c r="C7673" s="374"/>
      <c r="CV7673" s="376"/>
    </row>
    <row r="7674" spans="1:100">
      <c r="A7674" s="374"/>
      <c r="C7674" s="374"/>
      <c r="CV7674" s="376"/>
    </row>
    <row r="7675" spans="1:100">
      <c r="A7675" s="374"/>
      <c r="C7675" s="374"/>
      <c r="CV7675" s="376"/>
    </row>
    <row r="7676" spans="1:100">
      <c r="A7676" s="374"/>
      <c r="C7676" s="374"/>
      <c r="CV7676" s="376"/>
    </row>
    <row r="7677" spans="1:100">
      <c r="A7677" s="374"/>
      <c r="C7677" s="374"/>
      <c r="CV7677" s="376"/>
    </row>
    <row r="7678" spans="1:100">
      <c r="A7678" s="374"/>
      <c r="C7678" s="374"/>
      <c r="CV7678" s="376"/>
    </row>
    <row r="7679" spans="1:100">
      <c r="A7679" s="374"/>
      <c r="C7679" s="374"/>
      <c r="CV7679" s="376"/>
    </row>
    <row r="7680" spans="1:100">
      <c r="A7680" s="374"/>
      <c r="C7680" s="374"/>
      <c r="CV7680" s="376"/>
    </row>
    <row r="7681" spans="1:100">
      <c r="A7681" s="374"/>
      <c r="C7681" s="374"/>
      <c r="CV7681" s="376"/>
    </row>
    <row r="7682" spans="1:100">
      <c r="A7682" s="374"/>
      <c r="C7682" s="374"/>
      <c r="CV7682" s="376"/>
    </row>
    <row r="7683" spans="1:100">
      <c r="A7683" s="374"/>
      <c r="C7683" s="374"/>
      <c r="CV7683" s="376"/>
    </row>
    <row r="7684" spans="1:100">
      <c r="A7684" s="374"/>
      <c r="C7684" s="374"/>
      <c r="CV7684" s="376"/>
    </row>
    <row r="7685" spans="1:100">
      <c r="A7685" s="374"/>
      <c r="C7685" s="374"/>
      <c r="CV7685" s="376"/>
    </row>
    <row r="7686" spans="1:100">
      <c r="A7686" s="374"/>
      <c r="C7686" s="374"/>
      <c r="CV7686" s="376"/>
    </row>
    <row r="7687" spans="1:100">
      <c r="A7687" s="374"/>
      <c r="C7687" s="374"/>
      <c r="CV7687" s="376"/>
    </row>
    <row r="7688" spans="1:100">
      <c r="A7688" s="374"/>
      <c r="C7688" s="374"/>
      <c r="CV7688" s="376"/>
    </row>
    <row r="7689" spans="1:100">
      <c r="A7689" s="374"/>
      <c r="C7689" s="374"/>
      <c r="CV7689" s="376"/>
    </row>
    <row r="7690" spans="1:100">
      <c r="A7690" s="374"/>
      <c r="C7690" s="374"/>
      <c r="CV7690" s="376"/>
    </row>
    <row r="7691" spans="1:100">
      <c r="A7691" s="374"/>
      <c r="C7691" s="374"/>
      <c r="CV7691" s="376"/>
    </row>
    <row r="7692" spans="1:100">
      <c r="A7692" s="374"/>
      <c r="C7692" s="374"/>
      <c r="CV7692" s="376"/>
    </row>
    <row r="7693" spans="1:100">
      <c r="A7693" s="374"/>
      <c r="C7693" s="374"/>
      <c r="CV7693" s="376"/>
    </row>
    <row r="7694" spans="1:100">
      <c r="A7694" s="374"/>
      <c r="C7694" s="374"/>
      <c r="CV7694" s="376"/>
    </row>
    <row r="7695" spans="1:100">
      <c r="A7695" s="374"/>
      <c r="C7695" s="374"/>
      <c r="CV7695" s="376"/>
    </row>
    <row r="7696" spans="1:100">
      <c r="A7696" s="374"/>
      <c r="C7696" s="374"/>
      <c r="CV7696" s="376"/>
    </row>
    <row r="7697" spans="1:100">
      <c r="A7697" s="374"/>
      <c r="C7697" s="374"/>
      <c r="CV7697" s="376"/>
    </row>
    <row r="7698" spans="1:100">
      <c r="A7698" s="374"/>
      <c r="C7698" s="374"/>
      <c r="CV7698" s="376"/>
    </row>
    <row r="7699" spans="1:100">
      <c r="A7699" s="374"/>
      <c r="C7699" s="374"/>
      <c r="CV7699" s="376"/>
    </row>
    <row r="7700" spans="1:100">
      <c r="A7700" s="374"/>
      <c r="C7700" s="374"/>
      <c r="CV7700" s="376"/>
    </row>
    <row r="7701" spans="1:100">
      <c r="A7701" s="374"/>
      <c r="C7701" s="374"/>
      <c r="CV7701" s="376"/>
    </row>
    <row r="7702" spans="1:100">
      <c r="A7702" s="374"/>
      <c r="C7702" s="374"/>
      <c r="CV7702" s="376"/>
    </row>
    <row r="7703" spans="1:100">
      <c r="A7703" s="374"/>
      <c r="C7703" s="374"/>
      <c r="CV7703" s="376"/>
    </row>
    <row r="7704" spans="1:100">
      <c r="A7704" s="374"/>
      <c r="C7704" s="374"/>
      <c r="CV7704" s="376"/>
    </row>
    <row r="7705" spans="1:100">
      <c r="A7705" s="374"/>
      <c r="C7705" s="374"/>
      <c r="CV7705" s="376"/>
    </row>
    <row r="7706" spans="1:100">
      <c r="A7706" s="374"/>
      <c r="C7706" s="374"/>
      <c r="CV7706" s="376"/>
    </row>
    <row r="7707" spans="1:100">
      <c r="A7707" s="374"/>
      <c r="C7707" s="374"/>
      <c r="CV7707" s="376"/>
    </row>
    <row r="7708" spans="1:100">
      <c r="A7708" s="374"/>
      <c r="C7708" s="374"/>
      <c r="CV7708" s="376"/>
    </row>
    <row r="7709" spans="1:100">
      <c r="A7709" s="374"/>
      <c r="C7709" s="374"/>
      <c r="CV7709" s="376"/>
    </row>
    <row r="7710" spans="1:100">
      <c r="A7710" s="374"/>
      <c r="C7710" s="374"/>
      <c r="CV7710" s="376"/>
    </row>
    <row r="7711" spans="1:100">
      <c r="A7711" s="374"/>
      <c r="C7711" s="374"/>
      <c r="CV7711" s="376"/>
    </row>
    <row r="7712" spans="1:100">
      <c r="A7712" s="374"/>
      <c r="C7712" s="374"/>
      <c r="CV7712" s="376"/>
    </row>
    <row r="7713" spans="1:100">
      <c r="A7713" s="374"/>
      <c r="C7713" s="374"/>
      <c r="CV7713" s="376"/>
    </row>
    <row r="7714" spans="1:100">
      <c r="A7714" s="374"/>
      <c r="C7714" s="374"/>
      <c r="CV7714" s="376"/>
    </row>
    <row r="7715" spans="1:100">
      <c r="A7715" s="374"/>
      <c r="C7715" s="374"/>
      <c r="CV7715" s="376"/>
    </row>
    <row r="7716" spans="1:100">
      <c r="A7716" s="374"/>
      <c r="C7716" s="374"/>
      <c r="CV7716" s="376"/>
    </row>
    <row r="7717" spans="1:100">
      <c r="A7717" s="374"/>
      <c r="C7717" s="374"/>
      <c r="CV7717" s="376"/>
    </row>
    <row r="7718" spans="1:100">
      <c r="A7718" s="374"/>
      <c r="C7718" s="374"/>
      <c r="CV7718" s="376"/>
    </row>
    <row r="7719" spans="1:100">
      <c r="A7719" s="374"/>
      <c r="C7719" s="374"/>
      <c r="CV7719" s="376"/>
    </row>
    <row r="7720" spans="1:100">
      <c r="A7720" s="374"/>
      <c r="C7720" s="374"/>
      <c r="CV7720" s="376"/>
    </row>
    <row r="7721" spans="1:100">
      <c r="A7721" s="374"/>
      <c r="C7721" s="374"/>
      <c r="CV7721" s="376"/>
    </row>
    <row r="7722" spans="1:100">
      <c r="A7722" s="374"/>
      <c r="C7722" s="374"/>
      <c r="CV7722" s="376"/>
    </row>
    <row r="7723" spans="1:100">
      <c r="A7723" s="374"/>
      <c r="C7723" s="374"/>
      <c r="CV7723" s="376"/>
    </row>
    <row r="7724" spans="1:100">
      <c r="A7724" s="374"/>
      <c r="C7724" s="374"/>
      <c r="CV7724" s="376"/>
    </row>
    <row r="7725" spans="1:100">
      <c r="A7725" s="374"/>
      <c r="C7725" s="374"/>
      <c r="CV7725" s="376"/>
    </row>
    <row r="7726" spans="1:100">
      <c r="A7726" s="374"/>
      <c r="C7726" s="374"/>
      <c r="CV7726" s="376"/>
    </row>
    <row r="7727" spans="1:100">
      <c r="A7727" s="374"/>
      <c r="C7727" s="374"/>
      <c r="CV7727" s="376"/>
    </row>
    <row r="7728" spans="1:100">
      <c r="A7728" s="374"/>
      <c r="C7728" s="374"/>
      <c r="CV7728" s="376"/>
    </row>
    <row r="7729" spans="1:100">
      <c r="A7729" s="374"/>
      <c r="C7729" s="374"/>
      <c r="CV7729" s="376"/>
    </row>
    <row r="7730" spans="1:100">
      <c r="A7730" s="374"/>
      <c r="C7730" s="374"/>
      <c r="CV7730" s="376"/>
    </row>
    <row r="7731" spans="1:100">
      <c r="A7731" s="374"/>
      <c r="C7731" s="374"/>
      <c r="CV7731" s="376"/>
    </row>
    <row r="7732" spans="1:100">
      <c r="A7732" s="374"/>
      <c r="C7732" s="374"/>
      <c r="CV7732" s="376"/>
    </row>
    <row r="7733" spans="1:100">
      <c r="A7733" s="374"/>
      <c r="C7733" s="374"/>
      <c r="CV7733" s="376"/>
    </row>
    <row r="7734" spans="1:100">
      <c r="A7734" s="374"/>
      <c r="C7734" s="374"/>
      <c r="CV7734" s="376"/>
    </row>
    <row r="7735" spans="1:100">
      <c r="A7735" s="374"/>
      <c r="C7735" s="374"/>
      <c r="CV7735" s="376"/>
    </row>
    <row r="7736" spans="1:100">
      <c r="A7736" s="374"/>
      <c r="C7736" s="374"/>
      <c r="CV7736" s="376"/>
    </row>
    <row r="7737" spans="1:100">
      <c r="A7737" s="374"/>
      <c r="C7737" s="374"/>
      <c r="CV7737" s="376"/>
    </row>
    <row r="7738" spans="1:100">
      <c r="A7738" s="374"/>
      <c r="C7738" s="374"/>
      <c r="CV7738" s="376"/>
    </row>
    <row r="7739" spans="1:100">
      <c r="A7739" s="374"/>
      <c r="C7739" s="374"/>
      <c r="CV7739" s="376"/>
    </row>
    <row r="7740" spans="1:100">
      <c r="A7740" s="374"/>
      <c r="C7740" s="374"/>
      <c r="CV7740" s="376"/>
    </row>
    <row r="7741" spans="1:100">
      <c r="A7741" s="374"/>
      <c r="C7741" s="374"/>
      <c r="CV7741" s="376"/>
    </row>
    <row r="7742" spans="1:100">
      <c r="A7742" s="374"/>
      <c r="C7742" s="374"/>
      <c r="CV7742" s="376"/>
    </row>
    <row r="7743" spans="1:100">
      <c r="A7743" s="374"/>
      <c r="C7743" s="374"/>
      <c r="CV7743" s="376"/>
    </row>
    <row r="7744" spans="1:100">
      <c r="A7744" s="374"/>
      <c r="C7744" s="374"/>
      <c r="CV7744" s="376"/>
    </row>
    <row r="7745" spans="1:100">
      <c r="A7745" s="374"/>
      <c r="C7745" s="374"/>
      <c r="CV7745" s="376"/>
    </row>
    <row r="7746" spans="1:100">
      <c r="A7746" s="374"/>
      <c r="C7746" s="374"/>
      <c r="CV7746" s="376"/>
    </row>
    <row r="7747" spans="1:100">
      <c r="A7747" s="374"/>
      <c r="C7747" s="374"/>
      <c r="CV7747" s="376"/>
    </row>
    <row r="7748" spans="1:100">
      <c r="A7748" s="374"/>
      <c r="C7748" s="374"/>
      <c r="CV7748" s="376"/>
    </row>
    <row r="7749" spans="1:100">
      <c r="A7749" s="374"/>
      <c r="C7749" s="374"/>
      <c r="CV7749" s="376"/>
    </row>
    <row r="7750" spans="1:100">
      <c r="A7750" s="374"/>
      <c r="C7750" s="374"/>
      <c r="CV7750" s="376"/>
    </row>
    <row r="7751" spans="1:100">
      <c r="A7751" s="374"/>
      <c r="C7751" s="374"/>
      <c r="CV7751" s="376"/>
    </row>
    <row r="7752" spans="1:100">
      <c r="A7752" s="374"/>
      <c r="C7752" s="374"/>
      <c r="CV7752" s="376"/>
    </row>
    <row r="7753" spans="1:100">
      <c r="A7753" s="374"/>
      <c r="C7753" s="374"/>
      <c r="CV7753" s="376"/>
    </row>
    <row r="7754" spans="1:100">
      <c r="A7754" s="374"/>
      <c r="C7754" s="374"/>
      <c r="CV7754" s="376"/>
    </row>
    <row r="7755" spans="1:100">
      <c r="A7755" s="374"/>
      <c r="C7755" s="374"/>
      <c r="CV7755" s="376"/>
    </row>
    <row r="7756" spans="1:100">
      <c r="A7756" s="374"/>
      <c r="C7756" s="374"/>
      <c r="CV7756" s="376"/>
    </row>
    <row r="7757" spans="1:100">
      <c r="A7757" s="374"/>
      <c r="C7757" s="374"/>
      <c r="CV7757" s="376"/>
    </row>
    <row r="7758" spans="1:100">
      <c r="A7758" s="374"/>
      <c r="C7758" s="374"/>
      <c r="CV7758" s="376"/>
    </row>
    <row r="7759" spans="1:100">
      <c r="A7759" s="374"/>
      <c r="C7759" s="374"/>
      <c r="CV7759" s="376"/>
    </row>
    <row r="7760" spans="1:100">
      <c r="A7760" s="374"/>
      <c r="C7760" s="374"/>
      <c r="CV7760" s="376"/>
    </row>
    <row r="7761" spans="1:100">
      <c r="A7761" s="374"/>
      <c r="C7761" s="374"/>
      <c r="CV7761" s="376"/>
    </row>
    <row r="7762" spans="1:100">
      <c r="A7762" s="374"/>
      <c r="C7762" s="374"/>
      <c r="CV7762" s="376"/>
    </row>
    <row r="7763" spans="1:100">
      <c r="A7763" s="374"/>
      <c r="C7763" s="374"/>
      <c r="CV7763" s="376"/>
    </row>
    <row r="7764" spans="1:100">
      <c r="A7764" s="374"/>
      <c r="C7764" s="374"/>
      <c r="CV7764" s="376"/>
    </row>
    <row r="7765" spans="1:100">
      <c r="A7765" s="374"/>
      <c r="C7765" s="374"/>
      <c r="CV7765" s="376"/>
    </row>
    <row r="7766" spans="1:100">
      <c r="A7766" s="374"/>
      <c r="C7766" s="374"/>
      <c r="CV7766" s="376"/>
    </row>
    <row r="7767" spans="1:100">
      <c r="A7767" s="374"/>
      <c r="C7767" s="374"/>
      <c r="CV7767" s="376"/>
    </row>
    <row r="7768" spans="1:100">
      <c r="A7768" s="374"/>
      <c r="C7768" s="374"/>
      <c r="CV7768" s="376"/>
    </row>
    <row r="7769" spans="1:100">
      <c r="A7769" s="374"/>
      <c r="C7769" s="374"/>
      <c r="CV7769" s="376"/>
    </row>
    <row r="7770" spans="1:100">
      <c r="A7770" s="374"/>
      <c r="C7770" s="374"/>
      <c r="CV7770" s="376"/>
    </row>
    <row r="7771" spans="1:100">
      <c r="A7771" s="374"/>
      <c r="C7771" s="374"/>
      <c r="CV7771" s="376"/>
    </row>
    <row r="7772" spans="1:100">
      <c r="A7772" s="374"/>
      <c r="C7772" s="374"/>
      <c r="CV7772" s="376"/>
    </row>
    <row r="7773" spans="1:100">
      <c r="A7773" s="374"/>
      <c r="C7773" s="374"/>
      <c r="CV7773" s="376"/>
    </row>
    <row r="7774" spans="1:100">
      <c r="A7774" s="374"/>
      <c r="C7774" s="374"/>
      <c r="CV7774" s="376"/>
    </row>
    <row r="7775" spans="1:100">
      <c r="A7775" s="374"/>
      <c r="C7775" s="374"/>
      <c r="CV7775" s="376"/>
    </row>
    <row r="7776" spans="1:100">
      <c r="A7776" s="374"/>
      <c r="C7776" s="374"/>
      <c r="CV7776" s="376"/>
    </row>
    <row r="7777" spans="1:100">
      <c r="A7777" s="374"/>
      <c r="C7777" s="374"/>
      <c r="CV7777" s="376"/>
    </row>
    <row r="7778" spans="1:100">
      <c r="A7778" s="374"/>
      <c r="C7778" s="374"/>
      <c r="CV7778" s="376"/>
    </row>
    <row r="7779" spans="1:100">
      <c r="A7779" s="374"/>
      <c r="C7779" s="374"/>
      <c r="CV7779" s="376"/>
    </row>
    <row r="7780" spans="1:100">
      <c r="A7780" s="374"/>
      <c r="C7780" s="374"/>
      <c r="CV7780" s="376"/>
    </row>
    <row r="7781" spans="1:100">
      <c r="A7781" s="374"/>
      <c r="C7781" s="374"/>
      <c r="CV7781" s="376"/>
    </row>
    <row r="7782" spans="1:100">
      <c r="A7782" s="374"/>
      <c r="C7782" s="374"/>
      <c r="CV7782" s="376"/>
    </row>
    <row r="7783" spans="1:100">
      <c r="A7783" s="374"/>
      <c r="C7783" s="374"/>
      <c r="CV7783" s="376"/>
    </row>
    <row r="7784" spans="1:100">
      <c r="A7784" s="374"/>
      <c r="C7784" s="374"/>
      <c r="CV7784" s="376"/>
    </row>
    <row r="7785" spans="1:100">
      <c r="A7785" s="374"/>
      <c r="C7785" s="374"/>
      <c r="CV7785" s="376"/>
    </row>
    <row r="7786" spans="1:100">
      <c r="A7786" s="374"/>
      <c r="C7786" s="374"/>
      <c r="CV7786" s="376"/>
    </row>
    <row r="7787" spans="1:100">
      <c r="A7787" s="374"/>
      <c r="C7787" s="374"/>
      <c r="CV7787" s="376"/>
    </row>
    <row r="7788" spans="1:100">
      <c r="A7788" s="374"/>
      <c r="C7788" s="374"/>
      <c r="CV7788" s="376"/>
    </row>
    <row r="7789" spans="1:100">
      <c r="A7789" s="374"/>
      <c r="C7789" s="374"/>
      <c r="CV7789" s="376"/>
    </row>
    <row r="7790" spans="1:100">
      <c r="A7790" s="374"/>
      <c r="C7790" s="374"/>
      <c r="CV7790" s="376"/>
    </row>
    <row r="7791" spans="1:100">
      <c r="A7791" s="374"/>
      <c r="C7791" s="374"/>
      <c r="CV7791" s="376"/>
    </row>
    <row r="7792" spans="1:100">
      <c r="A7792" s="374"/>
      <c r="C7792" s="374"/>
      <c r="CV7792" s="376"/>
    </row>
    <row r="7793" spans="1:100">
      <c r="A7793" s="374"/>
      <c r="C7793" s="374"/>
      <c r="CV7793" s="376"/>
    </row>
    <row r="7794" spans="1:100">
      <c r="A7794" s="374"/>
      <c r="C7794" s="374"/>
      <c r="CV7794" s="376"/>
    </row>
    <row r="7795" spans="1:100">
      <c r="A7795" s="374"/>
      <c r="C7795" s="374"/>
      <c r="CV7795" s="376"/>
    </row>
    <row r="7796" spans="1:100">
      <c r="A7796" s="374"/>
      <c r="C7796" s="374"/>
      <c r="CV7796" s="376"/>
    </row>
    <row r="7797" spans="1:100">
      <c r="A7797" s="374"/>
      <c r="C7797" s="374"/>
      <c r="CV7797" s="376"/>
    </row>
    <row r="7798" spans="1:100">
      <c r="A7798" s="374"/>
      <c r="C7798" s="374"/>
      <c r="CV7798" s="376"/>
    </row>
    <row r="7799" spans="1:100">
      <c r="A7799" s="374"/>
      <c r="C7799" s="374"/>
      <c r="CV7799" s="376"/>
    </row>
    <row r="7800" spans="1:100">
      <c r="A7800" s="374"/>
      <c r="C7800" s="374"/>
      <c r="CV7800" s="376"/>
    </row>
    <row r="7801" spans="1:100">
      <c r="A7801" s="374"/>
      <c r="C7801" s="374"/>
      <c r="CV7801" s="376"/>
    </row>
    <row r="7802" spans="1:100">
      <c r="A7802" s="374"/>
      <c r="C7802" s="374"/>
      <c r="CV7802" s="376"/>
    </row>
    <row r="7803" spans="1:100">
      <c r="A7803" s="374"/>
      <c r="C7803" s="374"/>
      <c r="CV7803" s="376"/>
    </row>
    <row r="7804" spans="1:100">
      <c r="A7804" s="374"/>
      <c r="C7804" s="374"/>
      <c r="CV7804" s="376"/>
    </row>
    <row r="7805" spans="1:100">
      <c r="A7805" s="374"/>
      <c r="C7805" s="374"/>
      <c r="CV7805" s="376"/>
    </row>
    <row r="7806" spans="1:100">
      <c r="A7806" s="374"/>
      <c r="C7806" s="374"/>
      <c r="CV7806" s="376"/>
    </row>
    <row r="7807" spans="1:100">
      <c r="A7807" s="374"/>
      <c r="C7807" s="374"/>
      <c r="CV7807" s="376"/>
    </row>
    <row r="7808" spans="1:100">
      <c r="A7808" s="374"/>
      <c r="C7808" s="374"/>
      <c r="CV7808" s="376"/>
    </row>
    <row r="7809" spans="1:100">
      <c r="A7809" s="374"/>
      <c r="C7809" s="374"/>
      <c r="CV7809" s="376"/>
    </row>
    <row r="7810" spans="1:100">
      <c r="A7810" s="374"/>
      <c r="C7810" s="374"/>
      <c r="CV7810" s="376"/>
    </row>
    <row r="7811" spans="1:100">
      <c r="A7811" s="374"/>
      <c r="C7811" s="374"/>
      <c r="CV7811" s="376"/>
    </row>
    <row r="7812" spans="1:100">
      <c r="A7812" s="374"/>
      <c r="C7812" s="374"/>
      <c r="CV7812" s="376"/>
    </row>
    <row r="7813" spans="1:100">
      <c r="A7813" s="374"/>
      <c r="C7813" s="374"/>
      <c r="CV7813" s="376"/>
    </row>
    <row r="7814" spans="1:100">
      <c r="A7814" s="374"/>
      <c r="C7814" s="374"/>
      <c r="CV7814" s="376"/>
    </row>
    <row r="7815" spans="1:100">
      <c r="A7815" s="374"/>
      <c r="C7815" s="374"/>
      <c r="CV7815" s="376"/>
    </row>
    <row r="7816" spans="1:100">
      <c r="A7816" s="374"/>
      <c r="C7816" s="374"/>
      <c r="CV7816" s="376"/>
    </row>
    <row r="7817" spans="1:100">
      <c r="A7817" s="374"/>
      <c r="C7817" s="374"/>
      <c r="CV7817" s="376"/>
    </row>
    <row r="7818" spans="1:100">
      <c r="A7818" s="374"/>
      <c r="C7818" s="374"/>
      <c r="CV7818" s="376"/>
    </row>
    <row r="7819" spans="1:100">
      <c r="A7819" s="374"/>
      <c r="C7819" s="374"/>
      <c r="CV7819" s="376"/>
    </row>
    <row r="7820" spans="1:100">
      <c r="A7820" s="374"/>
      <c r="C7820" s="374"/>
      <c r="CV7820" s="376"/>
    </row>
    <row r="7821" spans="1:100">
      <c r="A7821" s="374"/>
      <c r="C7821" s="374"/>
      <c r="CV7821" s="376"/>
    </row>
    <row r="7822" spans="1:100">
      <c r="A7822" s="374"/>
      <c r="C7822" s="374"/>
      <c r="CV7822" s="376"/>
    </row>
    <row r="7823" spans="1:100">
      <c r="A7823" s="374"/>
      <c r="C7823" s="374"/>
      <c r="CV7823" s="376"/>
    </row>
    <row r="7824" spans="1:100">
      <c r="A7824" s="374"/>
      <c r="C7824" s="374"/>
      <c r="CV7824" s="376"/>
    </row>
    <row r="7825" spans="1:100">
      <c r="A7825" s="374"/>
      <c r="C7825" s="374"/>
      <c r="CV7825" s="376"/>
    </row>
    <row r="7826" spans="1:100">
      <c r="A7826" s="374"/>
      <c r="C7826" s="374"/>
      <c r="CV7826" s="376"/>
    </row>
    <row r="7827" spans="1:100">
      <c r="A7827" s="374"/>
      <c r="C7827" s="374"/>
      <c r="CV7827" s="376"/>
    </row>
    <row r="7828" spans="1:100">
      <c r="A7828" s="374"/>
      <c r="C7828" s="374"/>
      <c r="CV7828" s="376"/>
    </row>
    <row r="7829" spans="1:100">
      <c r="A7829" s="374"/>
      <c r="C7829" s="374"/>
      <c r="CV7829" s="376"/>
    </row>
    <row r="7830" spans="1:100">
      <c r="A7830" s="374"/>
      <c r="C7830" s="374"/>
      <c r="CV7830" s="376"/>
    </row>
    <row r="7831" spans="1:100">
      <c r="A7831" s="374"/>
      <c r="C7831" s="374"/>
      <c r="CV7831" s="376"/>
    </row>
    <row r="7832" spans="1:100">
      <c r="A7832" s="374"/>
      <c r="C7832" s="374"/>
      <c r="CV7832" s="376"/>
    </row>
    <row r="7833" spans="1:100">
      <c r="A7833" s="374"/>
      <c r="C7833" s="374"/>
      <c r="CV7833" s="376"/>
    </row>
    <row r="7834" spans="1:100">
      <c r="A7834" s="374"/>
      <c r="C7834" s="374"/>
      <c r="CV7834" s="376"/>
    </row>
    <row r="7835" spans="1:100">
      <c r="A7835" s="374"/>
      <c r="C7835" s="374"/>
      <c r="CV7835" s="376"/>
    </row>
    <row r="7836" spans="1:100">
      <c r="A7836" s="374"/>
      <c r="C7836" s="374"/>
      <c r="CV7836" s="376"/>
    </row>
    <row r="7837" spans="1:100">
      <c r="A7837" s="374"/>
      <c r="C7837" s="374"/>
      <c r="CV7837" s="376"/>
    </row>
    <row r="7838" spans="1:100">
      <c r="A7838" s="374"/>
      <c r="C7838" s="374"/>
      <c r="CV7838" s="376"/>
    </row>
    <row r="7839" spans="1:100">
      <c r="A7839" s="374"/>
      <c r="C7839" s="374"/>
      <c r="CV7839" s="376"/>
    </row>
    <row r="7840" spans="1:100">
      <c r="A7840" s="374"/>
      <c r="C7840" s="374"/>
      <c r="CV7840" s="376"/>
    </row>
    <row r="7841" spans="1:100">
      <c r="A7841" s="374"/>
      <c r="C7841" s="374"/>
      <c r="CV7841" s="376"/>
    </row>
    <row r="7842" spans="1:100">
      <c r="A7842" s="374"/>
      <c r="C7842" s="374"/>
      <c r="CV7842" s="376"/>
    </row>
    <row r="7843" spans="1:100">
      <c r="A7843" s="374"/>
      <c r="C7843" s="374"/>
      <c r="CV7843" s="376"/>
    </row>
    <row r="7844" spans="1:100">
      <c r="A7844" s="374"/>
      <c r="C7844" s="374"/>
      <c r="CV7844" s="376"/>
    </row>
    <row r="7845" spans="1:100">
      <c r="A7845" s="374"/>
      <c r="C7845" s="374"/>
      <c r="CV7845" s="376"/>
    </row>
    <row r="7846" spans="1:100">
      <c r="A7846" s="374"/>
      <c r="C7846" s="374"/>
      <c r="CV7846" s="376"/>
    </row>
    <row r="7847" spans="1:100">
      <c r="A7847" s="374"/>
      <c r="C7847" s="374"/>
      <c r="CV7847" s="376"/>
    </row>
    <row r="7848" spans="1:100">
      <c r="A7848" s="374"/>
      <c r="C7848" s="374"/>
      <c r="CV7848" s="376"/>
    </row>
    <row r="7849" spans="1:100">
      <c r="A7849" s="374"/>
      <c r="C7849" s="374"/>
      <c r="CV7849" s="376"/>
    </row>
    <row r="7850" spans="1:100">
      <c r="A7850" s="374"/>
      <c r="C7850" s="374"/>
      <c r="CV7850" s="376"/>
    </row>
    <row r="7851" spans="1:100">
      <c r="A7851" s="374"/>
      <c r="C7851" s="374"/>
      <c r="CV7851" s="376"/>
    </row>
    <row r="7852" spans="1:100">
      <c r="A7852" s="374"/>
      <c r="C7852" s="374"/>
      <c r="CV7852" s="376"/>
    </row>
    <row r="7853" spans="1:100">
      <c r="A7853" s="374"/>
      <c r="C7853" s="374"/>
      <c r="CV7853" s="376"/>
    </row>
    <row r="7854" spans="1:100">
      <c r="A7854" s="374"/>
      <c r="C7854" s="374"/>
      <c r="CV7854" s="376"/>
    </row>
    <row r="7855" spans="1:100">
      <c r="A7855" s="374"/>
      <c r="C7855" s="374"/>
      <c r="CV7855" s="376"/>
    </row>
    <row r="7856" spans="1:100">
      <c r="A7856" s="374"/>
      <c r="C7856" s="374"/>
      <c r="CV7856" s="376"/>
    </row>
    <row r="7857" spans="1:100">
      <c r="A7857" s="374"/>
      <c r="C7857" s="374"/>
      <c r="CV7857" s="376"/>
    </row>
    <row r="7858" spans="1:100">
      <c r="A7858" s="374"/>
      <c r="C7858" s="374"/>
      <c r="CV7858" s="376"/>
    </row>
    <row r="7859" spans="1:100">
      <c r="A7859" s="374"/>
      <c r="C7859" s="374"/>
      <c r="CV7859" s="376"/>
    </row>
    <row r="7860" spans="1:100">
      <c r="A7860" s="374"/>
      <c r="C7860" s="374"/>
      <c r="CV7860" s="376"/>
    </row>
    <row r="7861" spans="1:100">
      <c r="A7861" s="374"/>
      <c r="C7861" s="374"/>
      <c r="CV7861" s="376"/>
    </row>
    <row r="7862" spans="1:100">
      <c r="A7862" s="374"/>
      <c r="C7862" s="374"/>
      <c r="CV7862" s="376"/>
    </row>
    <row r="7863" spans="1:100">
      <c r="A7863" s="374"/>
      <c r="C7863" s="374"/>
      <c r="CV7863" s="376"/>
    </row>
    <row r="7864" spans="1:100">
      <c r="A7864" s="374"/>
      <c r="C7864" s="374"/>
      <c r="CV7864" s="376"/>
    </row>
    <row r="7865" spans="1:100">
      <c r="A7865" s="374"/>
      <c r="C7865" s="374"/>
      <c r="CV7865" s="376"/>
    </row>
    <row r="7866" spans="1:100">
      <c r="A7866" s="374"/>
      <c r="C7866" s="374"/>
      <c r="CV7866" s="376"/>
    </row>
    <row r="7867" spans="1:100">
      <c r="A7867" s="374"/>
      <c r="C7867" s="374"/>
      <c r="CV7867" s="376"/>
    </row>
    <row r="7868" spans="1:100">
      <c r="A7868" s="374"/>
      <c r="C7868" s="374"/>
      <c r="CV7868" s="376"/>
    </row>
    <row r="7869" spans="1:100">
      <c r="A7869" s="374"/>
      <c r="C7869" s="374"/>
      <c r="CV7869" s="376"/>
    </row>
    <row r="7870" spans="1:100">
      <c r="A7870" s="374"/>
      <c r="C7870" s="374"/>
      <c r="CV7870" s="376"/>
    </row>
    <row r="7871" spans="1:100">
      <c r="A7871" s="374"/>
      <c r="C7871" s="374"/>
      <c r="CV7871" s="376"/>
    </row>
    <row r="7872" spans="1:100">
      <c r="A7872" s="374"/>
      <c r="C7872" s="374"/>
      <c r="CV7872" s="376"/>
    </row>
    <row r="7873" spans="1:100">
      <c r="A7873" s="374"/>
      <c r="C7873" s="374"/>
      <c r="CV7873" s="376"/>
    </row>
    <row r="7874" spans="1:100">
      <c r="A7874" s="374"/>
      <c r="C7874" s="374"/>
      <c r="CV7874" s="376"/>
    </row>
    <row r="7875" spans="1:100">
      <c r="A7875" s="374"/>
      <c r="C7875" s="374"/>
      <c r="CV7875" s="376"/>
    </row>
    <row r="7876" spans="1:100">
      <c r="A7876" s="374"/>
      <c r="C7876" s="374"/>
      <c r="CV7876" s="376"/>
    </row>
    <row r="7877" spans="1:100">
      <c r="A7877" s="374"/>
      <c r="C7877" s="374"/>
      <c r="CV7877" s="376"/>
    </row>
    <row r="7878" spans="1:100">
      <c r="A7878" s="374"/>
      <c r="C7878" s="374"/>
      <c r="CV7878" s="376"/>
    </row>
    <row r="7879" spans="1:100">
      <c r="A7879" s="374"/>
      <c r="C7879" s="374"/>
      <c r="CV7879" s="376"/>
    </row>
    <row r="7880" spans="1:100">
      <c r="A7880" s="374"/>
      <c r="C7880" s="374"/>
      <c r="CV7880" s="376"/>
    </row>
    <row r="7881" spans="1:100">
      <c r="A7881" s="374"/>
      <c r="C7881" s="374"/>
      <c r="CV7881" s="376"/>
    </row>
    <row r="7882" spans="1:100">
      <c r="A7882" s="374"/>
      <c r="C7882" s="374"/>
      <c r="CV7882" s="376"/>
    </row>
    <row r="7883" spans="1:100">
      <c r="A7883" s="374"/>
      <c r="C7883" s="374"/>
      <c r="CV7883" s="376"/>
    </row>
    <row r="7884" spans="1:100">
      <c r="A7884" s="374"/>
      <c r="C7884" s="374"/>
      <c r="CV7884" s="376"/>
    </row>
    <row r="7885" spans="1:100">
      <c r="A7885" s="374"/>
      <c r="C7885" s="374"/>
      <c r="CV7885" s="376"/>
    </row>
    <row r="7886" spans="1:100">
      <c r="A7886" s="374"/>
      <c r="C7886" s="374"/>
      <c r="CV7886" s="376"/>
    </row>
    <row r="7887" spans="1:100">
      <c r="A7887" s="374"/>
      <c r="C7887" s="374"/>
      <c r="CV7887" s="376"/>
    </row>
    <row r="7888" spans="1:100">
      <c r="A7888" s="374"/>
      <c r="C7888" s="374"/>
      <c r="CV7888" s="376"/>
    </row>
    <row r="7889" spans="1:100">
      <c r="A7889" s="374"/>
      <c r="C7889" s="374"/>
      <c r="CV7889" s="376"/>
    </row>
    <row r="7890" spans="1:100">
      <c r="A7890" s="374"/>
      <c r="C7890" s="374"/>
      <c r="CV7890" s="376"/>
    </row>
    <row r="7891" spans="1:100">
      <c r="A7891" s="374"/>
      <c r="C7891" s="374"/>
      <c r="CV7891" s="376"/>
    </row>
    <row r="7892" spans="1:100">
      <c r="A7892" s="374"/>
      <c r="C7892" s="374"/>
      <c r="CV7892" s="376"/>
    </row>
    <row r="7893" spans="1:100">
      <c r="A7893" s="374"/>
      <c r="C7893" s="374"/>
      <c r="CV7893" s="376"/>
    </row>
    <row r="7894" spans="1:100">
      <c r="A7894" s="374"/>
      <c r="C7894" s="374"/>
      <c r="CV7894" s="376"/>
    </row>
    <row r="7895" spans="1:100">
      <c r="A7895" s="374"/>
      <c r="C7895" s="374"/>
      <c r="CV7895" s="376"/>
    </row>
    <row r="7896" spans="1:100">
      <c r="A7896" s="374"/>
      <c r="C7896" s="374"/>
      <c r="CV7896" s="376"/>
    </row>
    <row r="7897" spans="1:100">
      <c r="A7897" s="374"/>
      <c r="C7897" s="374"/>
      <c r="CV7897" s="376"/>
    </row>
    <row r="7898" spans="1:100">
      <c r="A7898" s="374"/>
      <c r="C7898" s="374"/>
      <c r="CV7898" s="376"/>
    </row>
    <row r="7899" spans="1:100">
      <c r="A7899" s="374"/>
      <c r="C7899" s="374"/>
      <c r="CV7899" s="376"/>
    </row>
    <row r="7900" spans="1:100">
      <c r="A7900" s="374"/>
      <c r="C7900" s="374"/>
      <c r="CV7900" s="376"/>
    </row>
    <row r="7901" spans="1:100">
      <c r="A7901" s="374"/>
      <c r="C7901" s="374"/>
      <c r="CV7901" s="376"/>
    </row>
    <row r="7902" spans="1:100">
      <c r="A7902" s="374"/>
      <c r="C7902" s="374"/>
      <c r="CV7902" s="376"/>
    </row>
    <row r="7903" spans="1:100">
      <c r="A7903" s="374"/>
      <c r="C7903" s="374"/>
      <c r="CV7903" s="376"/>
    </row>
    <row r="7904" spans="1:100">
      <c r="A7904" s="374"/>
      <c r="C7904" s="374"/>
      <c r="CV7904" s="376"/>
    </row>
    <row r="7905" spans="1:100">
      <c r="A7905" s="374"/>
      <c r="C7905" s="374"/>
      <c r="CV7905" s="376"/>
    </row>
    <row r="7906" spans="1:100">
      <c r="A7906" s="374"/>
      <c r="C7906" s="374"/>
      <c r="CV7906" s="376"/>
    </row>
    <row r="7907" spans="1:100">
      <c r="A7907" s="374"/>
      <c r="C7907" s="374"/>
      <c r="CV7907" s="376"/>
    </row>
    <row r="7908" spans="1:100">
      <c r="A7908" s="374"/>
      <c r="C7908" s="374"/>
      <c r="CV7908" s="376"/>
    </row>
    <row r="7909" spans="1:100">
      <c r="A7909" s="374"/>
      <c r="C7909" s="374"/>
      <c r="CV7909" s="376"/>
    </row>
    <row r="7910" spans="1:100">
      <c r="A7910" s="374"/>
      <c r="C7910" s="374"/>
      <c r="CV7910" s="376"/>
    </row>
    <row r="7911" spans="1:100">
      <c r="A7911" s="374"/>
      <c r="C7911" s="374"/>
      <c r="CV7911" s="376"/>
    </row>
    <row r="7912" spans="1:100">
      <c r="A7912" s="374"/>
      <c r="C7912" s="374"/>
      <c r="CV7912" s="376"/>
    </row>
    <row r="7913" spans="1:100">
      <c r="A7913" s="374"/>
      <c r="C7913" s="374"/>
      <c r="CV7913" s="376"/>
    </row>
    <row r="7914" spans="1:100">
      <c r="A7914" s="374"/>
      <c r="C7914" s="374"/>
      <c r="CV7914" s="376"/>
    </row>
    <row r="7915" spans="1:100">
      <c r="A7915" s="374"/>
      <c r="C7915" s="374"/>
      <c r="CV7915" s="376"/>
    </row>
    <row r="7916" spans="1:100">
      <c r="A7916" s="374"/>
      <c r="C7916" s="374"/>
      <c r="CV7916" s="376"/>
    </row>
    <row r="7917" spans="1:100">
      <c r="A7917" s="374"/>
      <c r="C7917" s="374"/>
      <c r="CV7917" s="376"/>
    </row>
    <row r="7918" spans="1:100">
      <c r="A7918" s="374"/>
      <c r="C7918" s="374"/>
      <c r="CV7918" s="376"/>
    </row>
    <row r="7919" spans="1:100">
      <c r="A7919" s="374"/>
      <c r="C7919" s="374"/>
      <c r="CV7919" s="376"/>
    </row>
    <row r="7920" spans="1:100">
      <c r="A7920" s="374"/>
      <c r="C7920" s="374"/>
      <c r="CV7920" s="376"/>
    </row>
    <row r="7921" spans="1:100">
      <c r="A7921" s="374"/>
      <c r="C7921" s="374"/>
      <c r="CV7921" s="376"/>
    </row>
    <row r="7922" spans="1:100">
      <c r="A7922" s="374"/>
      <c r="C7922" s="374"/>
      <c r="CV7922" s="376"/>
    </row>
    <row r="7923" spans="1:100">
      <c r="A7923" s="374"/>
      <c r="C7923" s="374"/>
      <c r="CV7923" s="376"/>
    </row>
    <row r="7924" spans="1:100">
      <c r="A7924" s="374"/>
      <c r="C7924" s="374"/>
      <c r="CV7924" s="376"/>
    </row>
    <row r="7925" spans="1:100">
      <c r="A7925" s="374"/>
      <c r="C7925" s="374"/>
      <c r="CV7925" s="376"/>
    </row>
    <row r="7926" spans="1:100">
      <c r="A7926" s="374"/>
      <c r="C7926" s="374"/>
      <c r="CV7926" s="376"/>
    </row>
    <row r="7927" spans="1:100">
      <c r="A7927" s="374"/>
      <c r="C7927" s="374"/>
      <c r="CV7927" s="376"/>
    </row>
    <row r="7928" spans="1:100">
      <c r="A7928" s="374"/>
      <c r="C7928" s="374"/>
      <c r="CV7928" s="376"/>
    </row>
    <row r="7929" spans="1:100">
      <c r="A7929" s="374"/>
      <c r="C7929" s="374"/>
      <c r="CV7929" s="376"/>
    </row>
    <row r="7930" spans="1:100">
      <c r="A7930" s="374"/>
      <c r="C7930" s="374"/>
      <c r="CV7930" s="376"/>
    </row>
    <row r="7931" spans="1:100">
      <c r="A7931" s="374"/>
      <c r="C7931" s="374"/>
      <c r="CV7931" s="376"/>
    </row>
    <row r="7932" spans="1:100">
      <c r="A7932" s="374"/>
      <c r="C7932" s="374"/>
      <c r="CV7932" s="376"/>
    </row>
    <row r="7933" spans="1:100">
      <c r="A7933" s="374"/>
      <c r="C7933" s="374"/>
      <c r="CV7933" s="376"/>
    </row>
    <row r="7934" spans="1:100">
      <c r="A7934" s="374"/>
      <c r="C7934" s="374"/>
      <c r="CV7934" s="376"/>
    </row>
    <row r="7935" spans="1:100">
      <c r="A7935" s="374"/>
      <c r="C7935" s="374"/>
      <c r="CV7935" s="376"/>
    </row>
    <row r="7936" spans="1:100">
      <c r="A7936" s="374"/>
      <c r="C7936" s="374"/>
      <c r="CV7936" s="376"/>
    </row>
    <row r="7937" spans="1:100">
      <c r="A7937" s="374"/>
      <c r="C7937" s="374"/>
      <c r="CV7937" s="376"/>
    </row>
    <row r="7938" spans="1:100">
      <c r="A7938" s="374"/>
      <c r="C7938" s="374"/>
      <c r="CV7938" s="376"/>
    </row>
    <row r="7939" spans="1:100">
      <c r="A7939" s="374"/>
      <c r="C7939" s="374"/>
      <c r="CV7939" s="376"/>
    </row>
    <row r="7940" spans="1:100">
      <c r="A7940" s="374"/>
      <c r="C7940" s="374"/>
      <c r="CV7940" s="376"/>
    </row>
    <row r="7941" spans="1:100">
      <c r="A7941" s="374"/>
      <c r="C7941" s="374"/>
      <c r="CV7941" s="376"/>
    </row>
    <row r="7942" spans="1:100">
      <c r="A7942" s="374"/>
      <c r="C7942" s="374"/>
      <c r="CV7942" s="376"/>
    </row>
    <row r="7943" spans="1:100">
      <c r="A7943" s="374"/>
      <c r="C7943" s="374"/>
      <c r="CV7943" s="376"/>
    </row>
    <row r="7944" spans="1:100">
      <c r="A7944" s="374"/>
      <c r="C7944" s="374"/>
      <c r="CV7944" s="376"/>
    </row>
    <row r="7945" spans="1:100">
      <c r="A7945" s="374"/>
      <c r="C7945" s="374"/>
      <c r="CV7945" s="376"/>
    </row>
    <row r="7946" spans="1:100">
      <c r="A7946" s="374"/>
      <c r="C7946" s="374"/>
      <c r="CV7946" s="376"/>
    </row>
    <row r="7947" spans="1:100">
      <c r="A7947" s="374"/>
      <c r="C7947" s="374"/>
      <c r="CV7947" s="376"/>
    </row>
    <row r="7948" spans="1:100">
      <c r="A7948" s="374"/>
      <c r="C7948" s="374"/>
      <c r="CV7948" s="376"/>
    </row>
    <row r="7949" spans="1:100">
      <c r="A7949" s="374"/>
      <c r="C7949" s="374"/>
      <c r="CV7949" s="376"/>
    </row>
    <row r="7950" spans="1:100">
      <c r="A7950" s="374"/>
      <c r="C7950" s="374"/>
      <c r="CV7950" s="376"/>
    </row>
    <row r="7951" spans="1:100">
      <c r="A7951" s="374"/>
      <c r="C7951" s="374"/>
      <c r="CV7951" s="376"/>
    </row>
    <row r="7952" spans="1:100">
      <c r="A7952" s="374"/>
      <c r="C7952" s="374"/>
      <c r="CV7952" s="376"/>
    </row>
    <row r="7953" spans="1:100">
      <c r="A7953" s="374"/>
      <c r="C7953" s="374"/>
      <c r="CV7953" s="376"/>
    </row>
    <row r="7954" spans="1:100">
      <c r="A7954" s="374"/>
      <c r="C7954" s="374"/>
      <c r="CV7954" s="376"/>
    </row>
    <row r="7955" spans="1:100">
      <c r="A7955" s="374"/>
      <c r="C7955" s="374"/>
      <c r="CV7955" s="376"/>
    </row>
    <row r="7956" spans="1:100">
      <c r="A7956" s="374"/>
      <c r="C7956" s="374"/>
      <c r="CV7956" s="376"/>
    </row>
    <row r="7957" spans="1:100">
      <c r="A7957" s="374"/>
      <c r="C7957" s="374"/>
      <c r="CV7957" s="376"/>
    </row>
    <row r="7958" spans="1:100">
      <c r="A7958" s="374"/>
      <c r="C7958" s="374"/>
      <c r="CV7958" s="376"/>
    </row>
    <row r="7959" spans="1:100">
      <c r="A7959" s="374"/>
      <c r="C7959" s="374"/>
      <c r="CV7959" s="376"/>
    </row>
    <row r="7960" spans="1:100">
      <c r="A7960" s="374"/>
      <c r="C7960" s="374"/>
      <c r="CV7960" s="376"/>
    </row>
    <row r="7961" spans="1:100">
      <c r="A7961" s="374"/>
      <c r="C7961" s="374"/>
      <c r="CV7961" s="376"/>
    </row>
    <row r="7962" spans="1:100">
      <c r="A7962" s="374"/>
      <c r="C7962" s="374"/>
      <c r="CV7962" s="376"/>
    </row>
    <row r="7963" spans="1:100">
      <c r="A7963" s="374"/>
      <c r="C7963" s="374"/>
      <c r="CV7963" s="376"/>
    </row>
    <row r="7964" spans="1:100">
      <c r="A7964" s="374"/>
      <c r="C7964" s="374"/>
      <c r="CV7964" s="376"/>
    </row>
    <row r="7965" spans="1:100">
      <c r="A7965" s="374"/>
      <c r="C7965" s="374"/>
      <c r="CV7965" s="376"/>
    </row>
    <row r="7966" spans="1:100">
      <c r="A7966" s="374"/>
      <c r="C7966" s="374"/>
      <c r="CV7966" s="376"/>
    </row>
    <row r="7967" spans="1:100">
      <c r="A7967" s="374"/>
      <c r="C7967" s="374"/>
      <c r="CV7967" s="376"/>
    </row>
    <row r="7968" spans="1:100">
      <c r="A7968" s="374"/>
      <c r="C7968" s="374"/>
      <c r="CV7968" s="376"/>
    </row>
    <row r="7969" spans="1:100">
      <c r="A7969" s="374"/>
      <c r="C7969" s="374"/>
      <c r="CV7969" s="376"/>
    </row>
    <row r="7970" spans="1:100">
      <c r="A7970" s="374"/>
      <c r="C7970" s="374"/>
      <c r="CV7970" s="376"/>
    </row>
    <row r="7971" spans="1:100">
      <c r="A7971" s="374"/>
      <c r="C7971" s="374"/>
      <c r="CV7971" s="376"/>
    </row>
    <row r="7972" spans="1:100">
      <c r="A7972" s="374"/>
      <c r="C7972" s="374"/>
      <c r="CV7972" s="376"/>
    </row>
    <row r="7973" spans="1:100">
      <c r="A7973" s="374"/>
      <c r="C7973" s="374"/>
      <c r="CV7973" s="376"/>
    </row>
    <row r="7974" spans="1:100">
      <c r="A7974" s="374"/>
      <c r="C7974" s="374"/>
      <c r="CV7974" s="376"/>
    </row>
    <row r="7975" spans="1:100">
      <c r="A7975" s="374"/>
      <c r="C7975" s="374"/>
      <c r="CV7975" s="376"/>
    </row>
    <row r="7976" spans="1:100">
      <c r="A7976" s="374"/>
      <c r="C7976" s="374"/>
      <c r="CV7976" s="376"/>
    </row>
    <row r="7977" spans="1:100">
      <c r="A7977" s="374"/>
      <c r="C7977" s="374"/>
      <c r="CV7977" s="376"/>
    </row>
    <row r="7978" spans="1:100">
      <c r="A7978" s="374"/>
      <c r="C7978" s="374"/>
      <c r="CV7978" s="376"/>
    </row>
    <row r="7979" spans="1:100">
      <c r="A7979" s="374"/>
      <c r="C7979" s="374"/>
      <c r="CV7979" s="376"/>
    </row>
    <row r="7980" spans="1:100">
      <c r="A7980" s="374"/>
      <c r="C7980" s="374"/>
      <c r="CV7980" s="376"/>
    </row>
    <row r="7981" spans="1:100">
      <c r="A7981" s="374"/>
      <c r="C7981" s="374"/>
      <c r="CV7981" s="376"/>
    </row>
    <row r="7982" spans="1:100">
      <c r="A7982" s="374"/>
      <c r="C7982" s="374"/>
      <c r="CV7982" s="376"/>
    </row>
    <row r="7983" spans="1:100">
      <c r="A7983" s="374"/>
      <c r="C7983" s="374"/>
      <c r="CV7983" s="376"/>
    </row>
    <row r="7984" spans="1:100">
      <c r="A7984" s="374"/>
      <c r="C7984" s="374"/>
      <c r="CV7984" s="376"/>
    </row>
    <row r="7985" spans="1:100">
      <c r="A7985" s="374"/>
      <c r="C7985" s="374"/>
      <c r="CV7985" s="376"/>
    </row>
    <row r="7986" spans="1:100">
      <c r="A7986" s="374"/>
      <c r="C7986" s="374"/>
      <c r="CV7986" s="376"/>
    </row>
    <row r="7987" spans="1:100">
      <c r="A7987" s="374"/>
      <c r="C7987" s="374"/>
      <c r="CV7987" s="376"/>
    </row>
    <row r="7988" spans="1:100">
      <c r="A7988" s="374"/>
      <c r="C7988" s="374"/>
      <c r="CV7988" s="376"/>
    </row>
    <row r="7989" spans="1:100">
      <c r="A7989" s="374"/>
      <c r="C7989" s="374"/>
      <c r="CV7989" s="376"/>
    </row>
    <row r="7990" spans="1:100">
      <c r="A7990" s="374"/>
      <c r="C7990" s="374"/>
      <c r="CV7990" s="376"/>
    </row>
    <row r="7991" spans="1:100">
      <c r="A7991" s="374"/>
      <c r="C7991" s="374"/>
      <c r="CV7991" s="376"/>
    </row>
    <row r="7992" spans="1:100">
      <c r="A7992" s="374"/>
      <c r="C7992" s="374"/>
      <c r="CV7992" s="376"/>
    </row>
    <row r="7993" spans="1:100">
      <c r="A7993" s="374"/>
      <c r="C7993" s="374"/>
      <c r="CV7993" s="376"/>
    </row>
    <row r="7994" spans="1:100">
      <c r="A7994" s="374"/>
      <c r="C7994" s="374"/>
      <c r="CV7994" s="376"/>
    </row>
    <row r="7995" spans="1:100">
      <c r="A7995" s="374"/>
      <c r="C7995" s="374"/>
      <c r="CV7995" s="376"/>
    </row>
    <row r="7996" spans="1:100">
      <c r="A7996" s="374"/>
      <c r="C7996" s="374"/>
      <c r="CV7996" s="376"/>
    </row>
    <row r="7997" spans="1:100">
      <c r="A7997" s="374"/>
      <c r="C7997" s="374"/>
      <c r="CV7997" s="376"/>
    </row>
    <row r="7998" spans="1:100">
      <c r="A7998" s="374"/>
      <c r="C7998" s="374"/>
      <c r="CV7998" s="376"/>
    </row>
    <row r="7999" spans="1:100">
      <c r="A7999" s="374"/>
      <c r="C7999" s="374"/>
      <c r="CV7999" s="376"/>
    </row>
    <row r="8000" spans="1:100">
      <c r="A8000" s="374"/>
      <c r="C8000" s="374"/>
      <c r="CV8000" s="376"/>
    </row>
    <row r="8001" spans="1:100">
      <c r="A8001" s="374"/>
      <c r="C8001" s="374"/>
      <c r="CV8001" s="376"/>
    </row>
    <row r="8002" spans="1:100">
      <c r="A8002" s="374"/>
      <c r="C8002" s="374"/>
      <c r="CV8002" s="376"/>
    </row>
    <row r="8003" spans="1:100">
      <c r="A8003" s="374"/>
      <c r="C8003" s="374"/>
      <c r="CV8003" s="376"/>
    </row>
    <row r="8004" spans="1:100">
      <c r="A8004" s="374"/>
      <c r="C8004" s="374"/>
      <c r="CV8004" s="376"/>
    </row>
    <row r="8005" spans="1:100">
      <c r="A8005" s="374"/>
      <c r="C8005" s="374"/>
      <c r="CV8005" s="376"/>
    </row>
    <row r="8006" spans="1:100">
      <c r="A8006" s="374"/>
      <c r="C8006" s="374"/>
      <c r="CV8006" s="376"/>
    </row>
    <row r="8007" spans="1:100">
      <c r="A8007" s="374"/>
      <c r="C8007" s="374"/>
      <c r="CV8007" s="376"/>
    </row>
    <row r="8008" spans="1:100">
      <c r="A8008" s="374"/>
      <c r="C8008" s="374"/>
      <c r="CV8008" s="376"/>
    </row>
    <row r="8009" spans="1:100">
      <c r="A8009" s="374"/>
      <c r="C8009" s="374"/>
      <c r="CV8009" s="376"/>
    </row>
    <row r="8010" spans="1:100">
      <c r="A8010" s="374"/>
      <c r="C8010" s="374"/>
      <c r="CV8010" s="376"/>
    </row>
    <row r="8011" spans="1:100">
      <c r="A8011" s="374"/>
      <c r="C8011" s="374"/>
      <c r="CV8011" s="376"/>
    </row>
    <row r="8012" spans="1:100">
      <c r="A8012" s="374"/>
      <c r="C8012" s="374"/>
      <c r="CV8012" s="376"/>
    </row>
    <row r="8013" spans="1:100">
      <c r="A8013" s="374"/>
      <c r="C8013" s="374"/>
      <c r="CV8013" s="376"/>
    </row>
    <row r="8014" spans="1:100">
      <c r="A8014" s="374"/>
      <c r="C8014" s="374"/>
      <c r="CV8014" s="376"/>
    </row>
    <row r="8015" spans="1:100">
      <c r="A8015" s="374"/>
      <c r="C8015" s="374"/>
      <c r="CV8015" s="376"/>
    </row>
    <row r="8016" spans="1:100">
      <c r="A8016" s="374"/>
      <c r="C8016" s="374"/>
      <c r="CV8016" s="376"/>
    </row>
    <row r="8017" spans="1:100">
      <c r="A8017" s="374"/>
      <c r="C8017" s="374"/>
      <c r="CV8017" s="376"/>
    </row>
    <row r="8018" spans="1:100">
      <c r="A8018" s="374"/>
      <c r="C8018" s="374"/>
      <c r="CV8018" s="376"/>
    </row>
    <row r="8019" spans="1:100">
      <c r="A8019" s="374"/>
      <c r="C8019" s="374"/>
      <c r="CV8019" s="376"/>
    </row>
    <row r="8020" spans="1:100">
      <c r="A8020" s="374"/>
      <c r="C8020" s="374"/>
      <c r="CV8020" s="376"/>
    </row>
    <row r="8021" spans="1:100">
      <c r="A8021" s="374"/>
      <c r="C8021" s="374"/>
      <c r="CV8021" s="376"/>
    </row>
    <row r="8022" spans="1:100">
      <c r="A8022" s="374"/>
      <c r="C8022" s="374"/>
      <c r="CV8022" s="376"/>
    </row>
    <row r="8023" spans="1:100">
      <c r="A8023" s="374"/>
      <c r="C8023" s="374"/>
      <c r="CV8023" s="376"/>
    </row>
    <row r="8024" spans="1:100">
      <c r="A8024" s="374"/>
      <c r="C8024" s="374"/>
      <c r="CV8024" s="376"/>
    </row>
    <row r="8025" spans="1:100">
      <c r="A8025" s="374"/>
      <c r="C8025" s="374"/>
      <c r="CV8025" s="376"/>
    </row>
    <row r="8026" spans="1:100">
      <c r="A8026" s="374"/>
      <c r="C8026" s="374"/>
      <c r="CV8026" s="376"/>
    </row>
    <row r="8027" spans="1:100">
      <c r="A8027" s="374"/>
      <c r="C8027" s="374"/>
      <c r="CV8027" s="376"/>
    </row>
    <row r="8028" spans="1:100">
      <c r="A8028" s="374"/>
      <c r="C8028" s="374"/>
      <c r="CV8028" s="376"/>
    </row>
    <row r="8029" spans="1:100">
      <c r="A8029" s="374"/>
      <c r="C8029" s="374"/>
      <c r="CV8029" s="376"/>
    </row>
    <row r="8030" spans="1:100">
      <c r="A8030" s="374"/>
      <c r="C8030" s="374"/>
      <c r="CV8030" s="376"/>
    </row>
    <row r="8031" spans="1:100">
      <c r="A8031" s="374"/>
      <c r="C8031" s="374"/>
      <c r="CV8031" s="376"/>
    </row>
    <row r="8032" spans="1:100">
      <c r="A8032" s="374"/>
      <c r="C8032" s="374"/>
      <c r="CV8032" s="376"/>
    </row>
    <row r="8033" spans="1:100">
      <c r="A8033" s="374"/>
      <c r="C8033" s="374"/>
      <c r="CV8033" s="376"/>
    </row>
    <row r="8034" spans="1:100">
      <c r="A8034" s="374"/>
      <c r="C8034" s="374"/>
      <c r="CV8034" s="376"/>
    </row>
    <row r="8035" spans="1:100">
      <c r="A8035" s="374"/>
      <c r="C8035" s="374"/>
      <c r="CV8035" s="376"/>
    </row>
    <row r="8036" spans="1:100">
      <c r="A8036" s="374"/>
      <c r="C8036" s="374"/>
      <c r="CV8036" s="376"/>
    </row>
    <row r="8037" spans="1:100">
      <c r="A8037" s="374"/>
      <c r="C8037" s="374"/>
      <c r="CV8037" s="376"/>
    </row>
    <row r="8038" spans="1:100">
      <c r="A8038" s="374"/>
      <c r="C8038" s="374"/>
      <c r="CV8038" s="376"/>
    </row>
    <row r="8039" spans="1:100">
      <c r="A8039" s="374"/>
      <c r="C8039" s="374"/>
      <c r="CV8039" s="376"/>
    </row>
    <row r="8040" spans="1:100">
      <c r="A8040" s="374"/>
      <c r="C8040" s="374"/>
      <c r="CV8040" s="376"/>
    </row>
    <row r="8041" spans="1:100">
      <c r="A8041" s="374"/>
      <c r="C8041" s="374"/>
      <c r="CV8041" s="376"/>
    </row>
    <row r="8042" spans="1:100">
      <c r="A8042" s="374"/>
      <c r="C8042" s="374"/>
      <c r="CV8042" s="376"/>
    </row>
    <row r="8043" spans="1:100">
      <c r="A8043" s="374"/>
      <c r="C8043" s="374"/>
      <c r="CV8043" s="376"/>
    </row>
    <row r="8044" spans="1:100">
      <c r="A8044" s="374"/>
      <c r="C8044" s="374"/>
      <c r="CV8044" s="376"/>
    </row>
    <row r="8045" spans="1:100">
      <c r="A8045" s="374"/>
      <c r="C8045" s="374"/>
      <c r="CV8045" s="376"/>
    </row>
    <row r="8046" spans="1:100">
      <c r="A8046" s="374"/>
      <c r="C8046" s="374"/>
      <c r="CV8046" s="376"/>
    </row>
    <row r="8047" spans="1:100">
      <c r="A8047" s="374"/>
      <c r="C8047" s="374"/>
      <c r="CV8047" s="376"/>
    </row>
    <row r="8048" spans="1:100">
      <c r="A8048" s="374"/>
      <c r="C8048" s="374"/>
      <c r="CV8048" s="376"/>
    </row>
    <row r="8049" spans="1:100">
      <c r="A8049" s="374"/>
      <c r="C8049" s="374"/>
      <c r="CV8049" s="376"/>
    </row>
    <row r="8050" spans="1:100">
      <c r="A8050" s="374"/>
      <c r="C8050" s="374"/>
      <c r="CV8050" s="376"/>
    </row>
    <row r="8051" spans="1:100">
      <c r="A8051" s="374"/>
      <c r="C8051" s="374"/>
      <c r="CV8051" s="376"/>
    </row>
    <row r="8052" spans="1:100">
      <c r="A8052" s="374"/>
      <c r="C8052" s="374"/>
      <c r="CV8052" s="376"/>
    </row>
    <row r="8053" spans="1:100">
      <c r="A8053" s="374"/>
      <c r="C8053" s="374"/>
      <c r="CV8053" s="376"/>
    </row>
    <row r="8054" spans="1:100">
      <c r="A8054" s="374"/>
      <c r="C8054" s="374"/>
      <c r="CV8054" s="376"/>
    </row>
    <row r="8055" spans="1:100">
      <c r="A8055" s="374"/>
      <c r="C8055" s="374"/>
      <c r="CV8055" s="376"/>
    </row>
    <row r="8056" spans="1:100">
      <c r="A8056" s="374"/>
      <c r="C8056" s="374"/>
      <c r="CV8056" s="376"/>
    </row>
    <row r="8057" spans="1:100">
      <c r="A8057" s="374"/>
      <c r="C8057" s="374"/>
      <c r="CV8057" s="376"/>
    </row>
    <row r="8058" spans="1:100">
      <c r="A8058" s="374"/>
      <c r="C8058" s="374"/>
      <c r="CV8058" s="376"/>
    </row>
    <row r="8059" spans="1:100">
      <c r="A8059" s="374"/>
      <c r="C8059" s="374"/>
      <c r="CV8059" s="376"/>
    </row>
    <row r="8060" spans="1:100">
      <c r="A8060" s="374"/>
      <c r="C8060" s="374"/>
      <c r="CV8060" s="376"/>
    </row>
    <row r="8061" spans="1:100">
      <c r="A8061" s="374"/>
      <c r="C8061" s="374"/>
      <c r="CV8061" s="376"/>
    </row>
    <row r="8062" spans="1:100">
      <c r="A8062" s="374"/>
      <c r="C8062" s="374"/>
      <c r="CV8062" s="376"/>
    </row>
    <row r="8063" spans="1:100">
      <c r="A8063" s="374"/>
      <c r="C8063" s="374"/>
      <c r="CV8063" s="376"/>
    </row>
    <row r="8064" spans="1:100">
      <c r="A8064" s="374"/>
      <c r="C8064" s="374"/>
      <c r="CV8064" s="376"/>
    </row>
    <row r="8065" spans="1:100">
      <c r="A8065" s="374"/>
      <c r="C8065" s="374"/>
      <c r="CV8065" s="376"/>
    </row>
    <row r="8066" spans="1:100">
      <c r="A8066" s="374"/>
      <c r="C8066" s="374"/>
      <c r="CV8066" s="376"/>
    </row>
    <row r="8067" spans="1:100">
      <c r="A8067" s="374"/>
      <c r="C8067" s="374"/>
      <c r="CV8067" s="376"/>
    </row>
    <row r="8068" spans="1:100">
      <c r="A8068" s="374"/>
      <c r="C8068" s="374"/>
      <c r="CV8068" s="376"/>
    </row>
    <row r="8069" spans="1:100">
      <c r="A8069" s="374"/>
      <c r="C8069" s="374"/>
      <c r="CV8069" s="376"/>
    </row>
    <row r="8070" spans="1:100">
      <c r="A8070" s="374"/>
      <c r="C8070" s="374"/>
      <c r="CV8070" s="376"/>
    </row>
    <row r="8071" spans="1:100">
      <c r="A8071" s="374"/>
      <c r="C8071" s="374"/>
      <c r="CV8071" s="376"/>
    </row>
    <row r="8072" spans="1:100">
      <c r="A8072" s="374"/>
      <c r="C8072" s="374"/>
      <c r="CV8072" s="376"/>
    </row>
    <row r="8073" spans="1:100">
      <c r="A8073" s="374"/>
      <c r="C8073" s="374"/>
      <c r="CV8073" s="376"/>
    </row>
    <row r="8074" spans="1:100">
      <c r="A8074" s="374"/>
      <c r="C8074" s="374"/>
      <c r="CV8074" s="376"/>
    </row>
    <row r="8075" spans="1:100">
      <c r="A8075" s="374"/>
      <c r="C8075" s="374"/>
      <c r="CV8075" s="376"/>
    </row>
    <row r="8076" spans="1:100">
      <c r="A8076" s="374"/>
      <c r="C8076" s="374"/>
      <c r="CV8076" s="376"/>
    </row>
    <row r="8077" spans="1:100">
      <c r="A8077" s="374"/>
      <c r="C8077" s="374"/>
      <c r="CV8077" s="376"/>
    </row>
    <row r="8078" spans="1:100">
      <c r="A8078" s="374"/>
      <c r="C8078" s="374"/>
      <c r="CV8078" s="376"/>
    </row>
    <row r="8079" spans="1:100">
      <c r="A8079" s="374"/>
      <c r="C8079" s="374"/>
      <c r="CV8079" s="376"/>
    </row>
    <row r="8080" spans="1:100">
      <c r="A8080" s="374"/>
      <c r="C8080" s="374"/>
      <c r="CV8080" s="376"/>
    </row>
    <row r="8081" spans="1:100">
      <c r="A8081" s="374"/>
      <c r="C8081" s="374"/>
      <c r="CV8081" s="376"/>
    </row>
    <row r="8082" spans="1:100">
      <c r="A8082" s="374"/>
      <c r="C8082" s="374"/>
      <c r="CV8082" s="376"/>
    </row>
    <row r="8083" spans="1:100">
      <c r="A8083" s="374"/>
      <c r="C8083" s="374"/>
      <c r="CV8083" s="376"/>
    </row>
    <row r="8084" spans="1:100">
      <c r="A8084" s="374"/>
      <c r="C8084" s="374"/>
      <c r="CV8084" s="376"/>
    </row>
    <row r="8085" spans="1:100">
      <c r="A8085" s="374"/>
      <c r="C8085" s="374"/>
      <c r="CV8085" s="376"/>
    </row>
    <row r="8086" spans="1:100">
      <c r="A8086" s="374"/>
      <c r="C8086" s="374"/>
      <c r="CV8086" s="376"/>
    </row>
    <row r="8087" spans="1:100">
      <c r="A8087" s="374"/>
      <c r="C8087" s="374"/>
      <c r="CV8087" s="376"/>
    </row>
    <row r="8088" spans="1:100">
      <c r="A8088" s="374"/>
      <c r="C8088" s="374"/>
      <c r="CV8088" s="376"/>
    </row>
    <row r="8089" spans="1:100">
      <c r="A8089" s="374"/>
      <c r="C8089" s="374"/>
      <c r="CV8089" s="376"/>
    </row>
    <row r="8090" spans="1:100">
      <c r="A8090" s="374"/>
      <c r="C8090" s="374"/>
      <c r="CV8090" s="376"/>
    </row>
    <row r="8091" spans="1:100">
      <c r="A8091" s="374"/>
      <c r="C8091" s="374"/>
      <c r="CV8091" s="376"/>
    </row>
    <row r="8092" spans="1:100">
      <c r="A8092" s="374"/>
      <c r="C8092" s="374"/>
      <c r="CV8092" s="376"/>
    </row>
    <row r="8093" spans="1:100">
      <c r="A8093" s="374"/>
      <c r="C8093" s="374"/>
      <c r="CV8093" s="376"/>
    </row>
    <row r="8094" spans="1:100">
      <c r="A8094" s="374"/>
      <c r="C8094" s="374"/>
      <c r="CV8094" s="376"/>
    </row>
    <row r="8095" spans="1:100">
      <c r="A8095" s="374"/>
      <c r="C8095" s="374"/>
      <c r="CV8095" s="376"/>
    </row>
    <row r="8096" spans="1:100">
      <c r="A8096" s="374"/>
      <c r="C8096" s="374"/>
      <c r="CV8096" s="376"/>
    </row>
    <row r="8097" spans="1:100">
      <c r="A8097" s="374"/>
      <c r="C8097" s="374"/>
      <c r="CV8097" s="376"/>
    </row>
    <row r="8098" spans="1:100">
      <c r="A8098" s="374"/>
      <c r="C8098" s="374"/>
      <c r="CV8098" s="376"/>
    </row>
    <row r="8099" spans="1:100">
      <c r="A8099" s="374"/>
      <c r="C8099" s="374"/>
      <c r="CV8099" s="376"/>
    </row>
    <row r="8100" spans="1:100">
      <c r="A8100" s="374"/>
      <c r="C8100" s="374"/>
      <c r="CV8100" s="376"/>
    </row>
    <row r="8101" spans="1:100">
      <c r="A8101" s="374"/>
      <c r="C8101" s="374"/>
      <c r="CV8101" s="376"/>
    </row>
    <row r="8102" spans="1:100">
      <c r="A8102" s="374"/>
      <c r="C8102" s="374"/>
      <c r="CV8102" s="376"/>
    </row>
    <row r="8103" spans="1:100">
      <c r="A8103" s="374"/>
      <c r="C8103" s="374"/>
      <c r="CV8103" s="376"/>
    </row>
    <row r="8104" spans="1:100">
      <c r="A8104" s="374"/>
      <c r="C8104" s="374"/>
      <c r="CV8104" s="376"/>
    </row>
    <row r="8105" spans="1:100">
      <c r="A8105" s="374"/>
      <c r="C8105" s="374"/>
      <c r="CV8105" s="376"/>
    </row>
    <row r="8106" spans="1:100">
      <c r="A8106" s="374"/>
      <c r="C8106" s="374"/>
      <c r="CV8106" s="376"/>
    </row>
    <row r="8107" spans="1:100">
      <c r="A8107" s="374"/>
      <c r="C8107" s="374"/>
      <c r="CV8107" s="376"/>
    </row>
    <row r="8108" spans="1:100">
      <c r="A8108" s="374"/>
      <c r="C8108" s="374"/>
      <c r="CV8108" s="376"/>
    </row>
    <row r="8109" spans="1:100">
      <c r="A8109" s="374"/>
      <c r="C8109" s="374"/>
      <c r="CV8109" s="376"/>
    </row>
    <row r="8110" spans="1:100">
      <c r="A8110" s="374"/>
      <c r="C8110" s="374"/>
      <c r="CV8110" s="376"/>
    </row>
    <row r="8111" spans="1:100">
      <c r="A8111" s="374"/>
      <c r="C8111" s="374"/>
      <c r="CV8111" s="376"/>
    </row>
    <row r="8112" spans="1:100">
      <c r="A8112" s="374"/>
      <c r="C8112" s="374"/>
      <c r="CV8112" s="376"/>
    </row>
    <row r="8113" spans="1:100">
      <c r="A8113" s="374"/>
      <c r="C8113" s="374"/>
      <c r="CV8113" s="376"/>
    </row>
    <row r="8114" spans="1:100">
      <c r="A8114" s="374"/>
      <c r="C8114" s="374"/>
      <c r="CV8114" s="376"/>
    </row>
    <row r="8115" spans="1:100">
      <c r="A8115" s="374"/>
      <c r="C8115" s="374"/>
      <c r="CV8115" s="376"/>
    </row>
    <row r="8116" spans="1:100">
      <c r="A8116" s="374"/>
      <c r="C8116" s="374"/>
      <c r="CV8116" s="376"/>
    </row>
    <row r="8117" spans="1:100">
      <c r="A8117" s="374"/>
      <c r="C8117" s="374"/>
      <c r="CV8117" s="376"/>
    </row>
    <row r="8118" spans="1:100">
      <c r="A8118" s="374"/>
      <c r="C8118" s="374"/>
      <c r="CV8118" s="376"/>
    </row>
    <row r="8119" spans="1:100">
      <c r="A8119" s="374"/>
      <c r="C8119" s="374"/>
      <c r="CV8119" s="376"/>
    </row>
    <row r="8120" spans="1:100">
      <c r="A8120" s="374"/>
      <c r="C8120" s="374"/>
      <c r="CV8120" s="376"/>
    </row>
    <row r="8121" spans="1:100">
      <c r="A8121" s="374"/>
      <c r="C8121" s="374"/>
      <c r="CV8121" s="376"/>
    </row>
    <row r="8122" spans="1:100">
      <c r="A8122" s="374"/>
      <c r="C8122" s="374"/>
      <c r="CV8122" s="376"/>
    </row>
    <row r="8123" spans="1:100">
      <c r="A8123" s="374"/>
      <c r="C8123" s="374"/>
      <c r="CV8123" s="376"/>
    </row>
    <row r="8124" spans="1:100">
      <c r="A8124" s="374"/>
      <c r="C8124" s="374"/>
      <c r="CV8124" s="376"/>
    </row>
    <row r="8125" spans="1:100">
      <c r="A8125" s="374"/>
      <c r="C8125" s="374"/>
      <c r="CV8125" s="376"/>
    </row>
    <row r="8126" spans="1:100">
      <c r="A8126" s="374"/>
      <c r="C8126" s="374"/>
      <c r="CV8126" s="376"/>
    </row>
    <row r="8127" spans="1:100">
      <c r="A8127" s="374"/>
      <c r="C8127" s="374"/>
      <c r="CV8127" s="376"/>
    </row>
    <row r="8128" spans="1:100">
      <c r="A8128" s="374"/>
      <c r="C8128" s="374"/>
      <c r="CV8128" s="376"/>
    </row>
    <row r="8129" spans="1:100">
      <c r="A8129" s="374"/>
      <c r="C8129" s="374"/>
      <c r="CV8129" s="376"/>
    </row>
    <row r="8130" spans="1:100">
      <c r="A8130" s="374"/>
      <c r="C8130" s="374"/>
      <c r="CV8130" s="376"/>
    </row>
    <row r="8131" spans="1:100">
      <c r="A8131" s="374"/>
      <c r="C8131" s="374"/>
      <c r="CV8131" s="376"/>
    </row>
    <row r="8132" spans="1:100">
      <c r="A8132" s="374"/>
      <c r="C8132" s="374"/>
      <c r="CV8132" s="376"/>
    </row>
    <row r="8133" spans="1:100">
      <c r="A8133" s="374"/>
      <c r="C8133" s="374"/>
      <c r="CV8133" s="376"/>
    </row>
    <row r="8134" spans="1:100">
      <c r="A8134" s="374"/>
      <c r="C8134" s="374"/>
      <c r="CV8134" s="376"/>
    </row>
    <row r="8135" spans="1:100">
      <c r="A8135" s="374"/>
      <c r="C8135" s="374"/>
      <c r="CV8135" s="376"/>
    </row>
    <row r="8136" spans="1:100">
      <c r="A8136" s="374"/>
      <c r="C8136" s="374"/>
      <c r="CV8136" s="376"/>
    </row>
    <row r="8137" spans="1:100">
      <c r="A8137" s="374"/>
      <c r="C8137" s="374"/>
      <c r="CV8137" s="376"/>
    </row>
    <row r="8138" spans="1:100">
      <c r="A8138" s="374"/>
      <c r="C8138" s="374"/>
      <c r="CV8138" s="376"/>
    </row>
    <row r="8139" spans="1:100">
      <c r="A8139" s="374"/>
      <c r="C8139" s="374"/>
      <c r="CV8139" s="376"/>
    </row>
    <row r="8140" spans="1:100">
      <c r="A8140" s="374"/>
      <c r="C8140" s="374"/>
      <c r="CV8140" s="376"/>
    </row>
    <row r="8141" spans="1:100">
      <c r="A8141" s="374"/>
      <c r="C8141" s="374"/>
      <c r="CV8141" s="376"/>
    </row>
    <row r="8142" spans="1:100">
      <c r="A8142" s="374"/>
      <c r="C8142" s="374"/>
      <c r="CV8142" s="376"/>
    </row>
    <row r="8143" spans="1:100">
      <c r="A8143" s="374"/>
      <c r="C8143" s="374"/>
      <c r="CV8143" s="376"/>
    </row>
    <row r="8144" spans="1:100">
      <c r="A8144" s="374"/>
      <c r="C8144" s="374"/>
      <c r="CV8144" s="376"/>
    </row>
    <row r="8145" spans="1:100">
      <c r="A8145" s="374"/>
      <c r="C8145" s="374"/>
      <c r="CV8145" s="376"/>
    </row>
    <row r="8146" spans="1:100">
      <c r="A8146" s="374"/>
      <c r="C8146" s="374"/>
      <c r="CV8146" s="376"/>
    </row>
    <row r="8147" spans="1:100">
      <c r="A8147" s="374"/>
      <c r="C8147" s="374"/>
      <c r="CV8147" s="376"/>
    </row>
    <row r="8148" spans="1:100">
      <c r="A8148" s="374"/>
      <c r="C8148" s="374"/>
      <c r="CV8148" s="376"/>
    </row>
    <row r="8149" spans="1:100">
      <c r="A8149" s="374"/>
      <c r="C8149" s="374"/>
      <c r="CV8149" s="376"/>
    </row>
    <row r="8150" spans="1:100">
      <c r="A8150" s="374"/>
      <c r="C8150" s="374"/>
      <c r="CV8150" s="376"/>
    </row>
    <row r="8151" spans="1:100">
      <c r="A8151" s="374"/>
      <c r="C8151" s="374"/>
      <c r="CV8151" s="376"/>
    </row>
    <row r="8152" spans="1:100">
      <c r="A8152" s="374"/>
      <c r="C8152" s="374"/>
      <c r="CV8152" s="376"/>
    </row>
    <row r="8153" spans="1:100">
      <c r="A8153" s="374"/>
      <c r="C8153" s="374"/>
      <c r="CV8153" s="376"/>
    </row>
    <row r="8154" spans="1:100">
      <c r="A8154" s="374"/>
      <c r="C8154" s="374"/>
      <c r="CV8154" s="376"/>
    </row>
    <row r="8155" spans="1:100">
      <c r="A8155" s="374"/>
      <c r="C8155" s="374"/>
      <c r="CV8155" s="376"/>
    </row>
    <row r="8156" spans="1:100">
      <c r="A8156" s="374"/>
      <c r="C8156" s="374"/>
      <c r="CV8156" s="376"/>
    </row>
    <row r="8157" spans="1:100">
      <c r="A8157" s="374"/>
      <c r="C8157" s="374"/>
      <c r="CV8157" s="376"/>
    </row>
    <row r="8158" spans="1:100">
      <c r="A8158" s="374"/>
      <c r="C8158" s="374"/>
      <c r="CV8158" s="376"/>
    </row>
    <row r="8159" spans="1:100">
      <c r="A8159" s="374"/>
      <c r="C8159" s="374"/>
      <c r="CV8159" s="376"/>
    </row>
    <row r="8160" spans="1:100">
      <c r="A8160" s="374"/>
      <c r="C8160" s="374"/>
      <c r="CV8160" s="376"/>
    </row>
    <row r="8161" spans="1:100">
      <c r="A8161" s="374"/>
      <c r="C8161" s="374"/>
      <c r="CV8161" s="376"/>
    </row>
    <row r="8162" spans="1:100">
      <c r="A8162" s="374"/>
      <c r="C8162" s="374"/>
      <c r="CV8162" s="376"/>
    </row>
    <row r="8163" spans="1:100">
      <c r="A8163" s="374"/>
      <c r="C8163" s="374"/>
      <c r="CV8163" s="376"/>
    </row>
    <row r="8164" spans="1:100">
      <c r="A8164" s="374"/>
      <c r="C8164" s="374"/>
      <c r="CV8164" s="376"/>
    </row>
    <row r="8165" spans="1:100">
      <c r="A8165" s="374"/>
      <c r="C8165" s="374"/>
      <c r="CV8165" s="376"/>
    </row>
    <row r="8166" spans="1:100">
      <c r="A8166" s="374"/>
      <c r="C8166" s="374"/>
      <c r="CV8166" s="376"/>
    </row>
    <row r="8167" spans="1:100">
      <c r="A8167" s="374"/>
      <c r="C8167" s="374"/>
      <c r="CV8167" s="376"/>
    </row>
    <row r="8168" spans="1:100">
      <c r="A8168" s="374"/>
      <c r="C8168" s="374"/>
      <c r="CV8168" s="376"/>
    </row>
    <row r="8169" spans="1:100">
      <c r="A8169" s="374"/>
      <c r="C8169" s="374"/>
      <c r="CV8169" s="376"/>
    </row>
    <row r="8170" spans="1:100">
      <c r="A8170" s="374"/>
      <c r="C8170" s="374"/>
      <c r="CV8170" s="376"/>
    </row>
    <row r="8171" spans="1:100">
      <c r="A8171" s="374"/>
      <c r="C8171" s="374"/>
      <c r="CV8171" s="376"/>
    </row>
    <row r="8172" spans="1:100">
      <c r="A8172" s="374"/>
      <c r="C8172" s="374"/>
      <c r="CV8172" s="376"/>
    </row>
    <row r="8173" spans="1:100">
      <c r="A8173" s="374"/>
      <c r="C8173" s="374"/>
      <c r="CV8173" s="376"/>
    </row>
    <row r="8174" spans="1:100">
      <c r="A8174" s="374"/>
      <c r="C8174" s="374"/>
      <c r="CV8174" s="376"/>
    </row>
    <row r="8175" spans="1:100">
      <c r="A8175" s="374"/>
      <c r="C8175" s="374"/>
      <c r="CV8175" s="376"/>
    </row>
    <row r="8176" spans="1:100">
      <c r="A8176" s="374"/>
      <c r="C8176" s="374"/>
      <c r="CV8176" s="376"/>
    </row>
    <row r="8177" spans="1:100">
      <c r="A8177" s="374"/>
      <c r="C8177" s="374"/>
      <c r="CV8177" s="376"/>
    </row>
    <row r="8178" spans="1:100">
      <c r="A8178" s="374"/>
      <c r="C8178" s="374"/>
      <c r="CV8178" s="376"/>
    </row>
    <row r="8179" spans="1:100">
      <c r="A8179" s="374"/>
      <c r="C8179" s="374"/>
      <c r="CV8179" s="376"/>
    </row>
    <row r="8180" spans="1:100">
      <c r="A8180" s="374"/>
      <c r="C8180" s="374"/>
      <c r="CV8180" s="376"/>
    </row>
    <row r="8181" spans="1:100">
      <c r="A8181" s="374"/>
      <c r="C8181" s="374"/>
      <c r="CV8181" s="376"/>
    </row>
    <row r="8182" spans="1:100">
      <c r="A8182" s="374"/>
      <c r="C8182" s="374"/>
      <c r="CV8182" s="376"/>
    </row>
    <row r="8183" spans="1:100">
      <c r="A8183" s="374"/>
      <c r="C8183" s="374"/>
      <c r="CV8183" s="376"/>
    </row>
    <row r="8184" spans="1:100">
      <c r="A8184" s="374"/>
      <c r="C8184" s="374"/>
      <c r="CV8184" s="376"/>
    </row>
    <row r="8185" spans="1:100">
      <c r="A8185" s="374"/>
      <c r="C8185" s="374"/>
      <c r="CV8185" s="376"/>
    </row>
    <row r="8186" spans="1:100">
      <c r="A8186" s="374"/>
      <c r="C8186" s="374"/>
      <c r="CV8186" s="376"/>
    </row>
    <row r="8187" spans="1:100">
      <c r="A8187" s="374"/>
      <c r="C8187" s="374"/>
      <c r="CV8187" s="376"/>
    </row>
    <row r="8188" spans="1:100">
      <c r="A8188" s="374"/>
      <c r="C8188" s="374"/>
      <c r="CV8188" s="376"/>
    </row>
    <row r="8189" spans="1:100">
      <c r="A8189" s="374"/>
      <c r="C8189" s="374"/>
      <c r="CV8189" s="376"/>
    </row>
    <row r="8190" spans="1:100">
      <c r="A8190" s="374"/>
      <c r="C8190" s="374"/>
      <c r="CV8190" s="376"/>
    </row>
    <row r="8191" spans="1:100">
      <c r="A8191" s="374"/>
      <c r="C8191" s="374"/>
      <c r="CV8191" s="376"/>
    </row>
    <row r="8192" spans="1:100">
      <c r="A8192" s="374"/>
      <c r="C8192" s="374"/>
      <c r="CV8192" s="376"/>
    </row>
    <row r="8193" spans="1:100">
      <c r="A8193" s="374"/>
      <c r="C8193" s="374"/>
      <c r="CV8193" s="376"/>
    </row>
    <row r="8194" spans="1:100">
      <c r="A8194" s="374"/>
      <c r="C8194" s="374"/>
      <c r="CV8194" s="376"/>
    </row>
    <row r="8195" spans="1:100">
      <c r="A8195" s="374"/>
      <c r="C8195" s="374"/>
      <c r="CV8195" s="376"/>
    </row>
    <row r="8196" spans="1:100">
      <c r="A8196" s="374"/>
      <c r="C8196" s="374"/>
      <c r="CV8196" s="376"/>
    </row>
    <row r="8197" spans="1:100">
      <c r="A8197" s="374"/>
      <c r="C8197" s="374"/>
      <c r="CV8197" s="376"/>
    </row>
    <row r="8198" spans="1:100">
      <c r="A8198" s="374"/>
      <c r="C8198" s="374"/>
      <c r="CV8198" s="376"/>
    </row>
    <row r="8199" spans="1:100">
      <c r="A8199" s="374"/>
      <c r="C8199" s="374"/>
      <c r="CV8199" s="376"/>
    </row>
    <row r="8200" spans="1:100">
      <c r="A8200" s="374"/>
      <c r="C8200" s="374"/>
      <c r="CV8200" s="376"/>
    </row>
    <row r="8201" spans="1:100">
      <c r="A8201" s="374"/>
      <c r="C8201" s="374"/>
      <c r="CV8201" s="376"/>
    </row>
    <row r="8202" spans="1:100">
      <c r="A8202" s="374"/>
      <c r="C8202" s="374"/>
      <c r="CV8202" s="376"/>
    </row>
    <row r="8203" spans="1:100">
      <c r="A8203" s="374"/>
      <c r="C8203" s="374"/>
      <c r="CV8203" s="376"/>
    </row>
    <row r="8204" spans="1:100">
      <c r="A8204" s="374"/>
      <c r="C8204" s="374"/>
      <c r="CV8204" s="376"/>
    </row>
    <row r="8205" spans="1:100">
      <c r="A8205" s="374"/>
      <c r="C8205" s="374"/>
      <c r="CV8205" s="376"/>
    </row>
    <row r="8206" spans="1:100">
      <c r="A8206" s="374"/>
      <c r="C8206" s="374"/>
      <c r="CV8206" s="376"/>
    </row>
    <row r="8207" spans="1:100">
      <c r="A8207" s="374"/>
      <c r="C8207" s="374"/>
      <c r="CV8207" s="376"/>
    </row>
    <row r="8208" spans="1:100">
      <c r="A8208" s="374"/>
      <c r="C8208" s="374"/>
      <c r="CV8208" s="376"/>
    </row>
    <row r="8209" spans="1:100">
      <c r="A8209" s="374"/>
      <c r="C8209" s="374"/>
      <c r="CV8209" s="376"/>
    </row>
    <row r="8210" spans="1:100">
      <c r="A8210" s="374"/>
      <c r="C8210" s="374"/>
      <c r="CV8210" s="376"/>
    </row>
    <row r="8211" spans="1:100">
      <c r="A8211" s="374"/>
      <c r="C8211" s="374"/>
      <c r="CV8211" s="376"/>
    </row>
    <row r="8212" spans="1:100">
      <c r="A8212" s="374"/>
      <c r="C8212" s="374"/>
      <c r="CV8212" s="376"/>
    </row>
    <row r="8213" spans="1:100">
      <c r="A8213" s="374"/>
      <c r="C8213" s="374"/>
      <c r="CV8213" s="376"/>
    </row>
    <row r="8214" spans="1:100">
      <c r="A8214" s="374"/>
      <c r="C8214" s="374"/>
      <c r="CV8214" s="376"/>
    </row>
    <row r="8215" spans="1:100">
      <c r="A8215" s="374"/>
      <c r="C8215" s="374"/>
      <c r="CV8215" s="376"/>
    </row>
    <row r="8216" spans="1:100">
      <c r="A8216" s="374"/>
      <c r="C8216" s="374"/>
      <c r="CV8216" s="376"/>
    </row>
    <row r="8217" spans="1:100">
      <c r="A8217" s="374"/>
      <c r="C8217" s="374"/>
      <c r="CV8217" s="376"/>
    </row>
    <row r="8218" spans="1:100">
      <c r="A8218" s="374"/>
      <c r="C8218" s="374"/>
      <c r="CV8218" s="376"/>
    </row>
    <row r="8219" spans="1:100">
      <c r="A8219" s="374"/>
      <c r="C8219" s="374"/>
      <c r="CV8219" s="376"/>
    </row>
    <row r="8220" spans="1:100">
      <c r="A8220" s="374"/>
      <c r="C8220" s="374"/>
      <c r="CV8220" s="376"/>
    </row>
    <row r="8221" spans="1:100">
      <c r="A8221" s="374"/>
      <c r="C8221" s="374"/>
      <c r="CV8221" s="376"/>
    </row>
    <row r="8222" spans="1:100">
      <c r="A8222" s="374"/>
      <c r="C8222" s="374"/>
      <c r="CV8222" s="376"/>
    </row>
    <row r="8223" spans="1:100">
      <c r="A8223" s="374"/>
      <c r="C8223" s="374"/>
      <c r="CV8223" s="376"/>
    </row>
    <row r="8224" spans="1:100">
      <c r="A8224" s="374"/>
      <c r="C8224" s="374"/>
      <c r="CV8224" s="376"/>
    </row>
    <row r="8225" spans="1:100">
      <c r="A8225" s="374"/>
      <c r="C8225" s="374"/>
      <c r="CV8225" s="376"/>
    </row>
    <row r="8226" spans="1:100">
      <c r="A8226" s="374"/>
      <c r="C8226" s="374"/>
      <c r="CV8226" s="376"/>
    </row>
    <row r="8227" spans="1:100">
      <c r="A8227" s="374"/>
      <c r="C8227" s="374"/>
      <c r="CV8227" s="376"/>
    </row>
    <row r="8228" spans="1:100">
      <c r="A8228" s="374"/>
      <c r="C8228" s="374"/>
      <c r="CV8228" s="376"/>
    </row>
    <row r="8229" spans="1:100">
      <c r="A8229" s="374"/>
      <c r="C8229" s="374"/>
      <c r="CV8229" s="376"/>
    </row>
    <row r="8230" spans="1:100">
      <c r="A8230" s="374"/>
      <c r="C8230" s="374"/>
      <c r="CV8230" s="376"/>
    </row>
    <row r="8231" spans="1:100">
      <c r="A8231" s="374"/>
      <c r="C8231" s="374"/>
      <c r="CV8231" s="376"/>
    </row>
    <row r="8232" spans="1:100">
      <c r="A8232" s="374"/>
      <c r="C8232" s="374"/>
      <c r="CV8232" s="376"/>
    </row>
    <row r="8233" spans="1:100">
      <c r="A8233" s="374"/>
      <c r="C8233" s="374"/>
      <c r="CV8233" s="376"/>
    </row>
    <row r="8234" spans="1:100">
      <c r="A8234" s="374"/>
      <c r="C8234" s="374"/>
      <c r="CV8234" s="376"/>
    </row>
    <row r="8235" spans="1:100">
      <c r="A8235" s="374"/>
      <c r="C8235" s="374"/>
      <c r="CV8235" s="376"/>
    </row>
    <row r="8236" spans="1:100">
      <c r="A8236" s="374"/>
      <c r="C8236" s="374"/>
      <c r="CV8236" s="376"/>
    </row>
    <row r="8237" spans="1:100">
      <c r="A8237" s="374"/>
      <c r="C8237" s="374"/>
      <c r="CV8237" s="376"/>
    </row>
    <row r="8238" spans="1:100">
      <c r="A8238" s="374"/>
      <c r="C8238" s="374"/>
      <c r="CV8238" s="376"/>
    </row>
    <row r="8239" spans="1:100">
      <c r="A8239" s="374"/>
      <c r="C8239" s="374"/>
      <c r="CV8239" s="376"/>
    </row>
    <row r="8240" spans="1:100">
      <c r="A8240" s="374"/>
      <c r="C8240" s="374"/>
      <c r="CV8240" s="376"/>
    </row>
    <row r="8241" spans="1:100">
      <c r="A8241" s="374"/>
      <c r="C8241" s="374"/>
      <c r="CV8241" s="376"/>
    </row>
    <row r="8242" spans="1:100">
      <c r="A8242" s="374"/>
      <c r="C8242" s="374"/>
      <c r="CV8242" s="376"/>
    </row>
    <row r="8243" spans="1:100">
      <c r="A8243" s="374"/>
      <c r="C8243" s="374"/>
      <c r="CV8243" s="376"/>
    </row>
    <row r="8244" spans="1:100">
      <c r="A8244" s="374"/>
      <c r="C8244" s="374"/>
      <c r="CV8244" s="376"/>
    </row>
    <row r="8245" spans="1:100">
      <c r="A8245" s="374"/>
      <c r="C8245" s="374"/>
      <c r="CV8245" s="376"/>
    </row>
    <row r="8246" spans="1:100">
      <c r="A8246" s="374"/>
      <c r="C8246" s="374"/>
      <c r="CV8246" s="376"/>
    </row>
    <row r="8247" spans="1:100">
      <c r="A8247" s="374"/>
      <c r="C8247" s="374"/>
      <c r="CV8247" s="376"/>
    </row>
    <row r="8248" spans="1:100">
      <c r="A8248" s="374"/>
      <c r="C8248" s="374"/>
      <c r="CV8248" s="376"/>
    </row>
    <row r="8249" spans="1:100">
      <c r="A8249" s="374"/>
      <c r="C8249" s="374"/>
      <c r="CV8249" s="376"/>
    </row>
    <row r="8250" spans="1:100">
      <c r="A8250" s="374"/>
      <c r="C8250" s="374"/>
      <c r="CV8250" s="376"/>
    </row>
    <row r="8251" spans="1:100">
      <c r="A8251" s="374"/>
      <c r="C8251" s="374"/>
      <c r="CV8251" s="376"/>
    </row>
    <row r="8252" spans="1:100">
      <c r="A8252" s="374"/>
      <c r="C8252" s="374"/>
      <c r="CV8252" s="376"/>
    </row>
    <row r="8253" spans="1:100">
      <c r="A8253" s="374"/>
      <c r="C8253" s="374"/>
      <c r="CV8253" s="376"/>
    </row>
    <row r="8254" spans="1:100">
      <c r="A8254" s="374"/>
      <c r="C8254" s="374"/>
      <c r="CV8254" s="376"/>
    </row>
    <row r="8255" spans="1:100">
      <c r="A8255" s="374"/>
      <c r="C8255" s="374"/>
      <c r="CV8255" s="376"/>
    </row>
    <row r="8256" spans="1:100">
      <c r="A8256" s="374"/>
      <c r="C8256" s="374"/>
      <c r="CV8256" s="376"/>
    </row>
    <row r="8257" spans="1:100">
      <c r="A8257" s="374"/>
      <c r="C8257" s="374"/>
      <c r="CV8257" s="376"/>
    </row>
    <row r="8258" spans="1:100">
      <c r="A8258" s="374"/>
      <c r="C8258" s="374"/>
      <c r="CV8258" s="376"/>
    </row>
    <row r="8259" spans="1:100">
      <c r="A8259" s="374"/>
      <c r="C8259" s="374"/>
      <c r="CV8259" s="376"/>
    </row>
    <row r="8260" spans="1:100">
      <c r="A8260" s="374"/>
      <c r="C8260" s="374"/>
      <c r="CV8260" s="376"/>
    </row>
    <row r="8261" spans="1:100">
      <c r="A8261" s="374"/>
      <c r="C8261" s="374"/>
      <c r="CV8261" s="376"/>
    </row>
    <row r="8262" spans="1:100">
      <c r="A8262" s="374"/>
      <c r="C8262" s="374"/>
      <c r="CV8262" s="376"/>
    </row>
    <row r="8263" spans="1:100">
      <c r="A8263" s="374"/>
      <c r="C8263" s="374"/>
      <c r="CV8263" s="376"/>
    </row>
    <row r="8264" spans="1:100">
      <c r="A8264" s="374"/>
      <c r="C8264" s="374"/>
      <c r="CV8264" s="376"/>
    </row>
    <row r="8265" spans="1:100">
      <c r="A8265" s="374"/>
      <c r="C8265" s="374"/>
      <c r="CV8265" s="376"/>
    </row>
    <row r="8266" spans="1:100">
      <c r="A8266" s="374"/>
      <c r="C8266" s="374"/>
      <c r="CV8266" s="376"/>
    </row>
    <row r="8267" spans="1:100">
      <c r="A8267" s="374"/>
      <c r="C8267" s="374"/>
      <c r="CV8267" s="376"/>
    </row>
    <row r="8268" spans="1:100">
      <c r="A8268" s="374"/>
      <c r="C8268" s="374"/>
      <c r="CV8268" s="376"/>
    </row>
    <row r="8269" spans="1:100">
      <c r="A8269" s="374"/>
      <c r="C8269" s="374"/>
      <c r="CV8269" s="376"/>
    </row>
    <row r="8270" spans="1:100">
      <c r="A8270" s="374"/>
      <c r="C8270" s="374"/>
      <c r="CV8270" s="376"/>
    </row>
    <row r="8271" spans="1:100">
      <c r="A8271" s="374"/>
      <c r="C8271" s="374"/>
      <c r="CV8271" s="376"/>
    </row>
    <row r="8272" spans="1:100">
      <c r="A8272" s="374"/>
      <c r="C8272" s="374"/>
      <c r="CV8272" s="376"/>
    </row>
    <row r="8273" spans="1:100">
      <c r="A8273" s="374"/>
      <c r="C8273" s="374"/>
      <c r="CV8273" s="376"/>
    </row>
    <row r="8274" spans="1:100">
      <c r="A8274" s="374"/>
      <c r="C8274" s="374"/>
      <c r="CV8274" s="376"/>
    </row>
    <row r="8275" spans="1:100">
      <c r="A8275" s="374"/>
      <c r="C8275" s="374"/>
      <c r="CV8275" s="376"/>
    </row>
    <row r="8276" spans="1:100">
      <c r="A8276" s="374"/>
      <c r="C8276" s="374"/>
      <c r="CV8276" s="376"/>
    </row>
    <row r="8277" spans="1:100">
      <c r="A8277" s="374"/>
      <c r="C8277" s="374"/>
      <c r="CV8277" s="376"/>
    </row>
    <row r="8278" spans="1:100">
      <c r="A8278" s="374"/>
      <c r="C8278" s="374"/>
      <c r="CV8278" s="376"/>
    </row>
    <row r="8279" spans="1:100">
      <c r="A8279" s="374"/>
      <c r="C8279" s="374"/>
      <c r="CV8279" s="376"/>
    </row>
    <row r="8280" spans="1:100">
      <c r="A8280" s="374"/>
      <c r="C8280" s="374"/>
      <c r="CV8280" s="376"/>
    </row>
    <row r="8281" spans="1:100">
      <c r="A8281" s="374"/>
      <c r="C8281" s="374"/>
      <c r="CV8281" s="376"/>
    </row>
    <row r="8282" spans="1:100">
      <c r="A8282" s="374"/>
      <c r="C8282" s="374"/>
      <c r="CV8282" s="376"/>
    </row>
    <row r="8283" spans="1:100">
      <c r="A8283" s="374"/>
      <c r="C8283" s="374"/>
      <c r="CV8283" s="376"/>
    </row>
    <row r="8284" spans="1:100">
      <c r="A8284" s="374"/>
      <c r="C8284" s="374"/>
      <c r="CV8284" s="376"/>
    </row>
    <row r="8285" spans="1:100">
      <c r="A8285" s="374"/>
      <c r="C8285" s="374"/>
      <c r="CV8285" s="376"/>
    </row>
    <row r="8286" spans="1:100">
      <c r="A8286" s="374"/>
      <c r="C8286" s="374"/>
      <c r="CV8286" s="376"/>
    </row>
    <row r="8287" spans="1:100">
      <c r="A8287" s="374"/>
      <c r="C8287" s="374"/>
      <c r="CV8287" s="376"/>
    </row>
    <row r="8288" spans="1:100">
      <c r="A8288" s="374"/>
      <c r="C8288" s="374"/>
      <c r="CV8288" s="376"/>
    </row>
    <row r="8289" spans="1:100">
      <c r="A8289" s="374"/>
      <c r="C8289" s="374"/>
      <c r="CV8289" s="376"/>
    </row>
    <row r="8290" spans="1:100">
      <c r="A8290" s="374"/>
      <c r="C8290" s="374"/>
      <c r="CV8290" s="376"/>
    </row>
    <row r="8291" spans="1:100">
      <c r="A8291" s="374"/>
      <c r="C8291" s="374"/>
      <c r="CV8291" s="376"/>
    </row>
    <row r="8292" spans="1:100">
      <c r="A8292" s="374"/>
      <c r="C8292" s="374"/>
      <c r="CV8292" s="376"/>
    </row>
    <row r="8293" spans="1:100">
      <c r="A8293" s="374"/>
      <c r="C8293" s="374"/>
      <c r="CV8293" s="376"/>
    </row>
    <row r="8294" spans="1:100">
      <c r="A8294" s="374"/>
      <c r="C8294" s="374"/>
      <c r="CV8294" s="376"/>
    </row>
    <row r="8295" spans="1:100">
      <c r="A8295" s="374"/>
      <c r="C8295" s="374"/>
      <c r="CV8295" s="376"/>
    </row>
    <row r="8296" spans="1:100">
      <c r="A8296" s="374"/>
      <c r="C8296" s="374"/>
      <c r="CV8296" s="376"/>
    </row>
    <row r="8297" spans="1:100">
      <c r="A8297" s="374"/>
      <c r="C8297" s="374"/>
      <c r="CV8297" s="376"/>
    </row>
    <row r="8298" spans="1:100">
      <c r="A8298" s="374"/>
      <c r="C8298" s="374"/>
      <c r="CV8298" s="376"/>
    </row>
    <row r="8299" spans="1:100">
      <c r="A8299" s="374"/>
      <c r="C8299" s="374"/>
      <c r="CV8299" s="376"/>
    </row>
    <row r="8300" spans="1:100">
      <c r="A8300" s="374"/>
      <c r="C8300" s="374"/>
      <c r="CV8300" s="376"/>
    </row>
    <row r="8301" spans="1:100">
      <c r="A8301" s="374"/>
      <c r="C8301" s="374"/>
      <c r="CV8301" s="376"/>
    </row>
    <row r="8302" spans="1:100">
      <c r="A8302" s="374"/>
      <c r="C8302" s="374"/>
      <c r="CV8302" s="376"/>
    </row>
    <row r="8303" spans="1:100">
      <c r="A8303" s="374"/>
      <c r="C8303" s="374"/>
      <c r="CV8303" s="376"/>
    </row>
    <row r="8304" spans="1:100">
      <c r="A8304" s="374"/>
      <c r="C8304" s="374"/>
      <c r="CV8304" s="376"/>
    </row>
    <row r="8305" spans="1:100">
      <c r="A8305" s="374"/>
      <c r="C8305" s="374"/>
      <c r="CV8305" s="376"/>
    </row>
    <row r="8306" spans="1:100">
      <c r="A8306" s="374"/>
      <c r="C8306" s="374"/>
      <c r="CV8306" s="376"/>
    </row>
    <row r="8307" spans="1:100">
      <c r="A8307" s="374"/>
      <c r="C8307" s="374"/>
      <c r="CV8307" s="376"/>
    </row>
    <row r="8308" spans="1:100">
      <c r="A8308" s="374"/>
      <c r="C8308" s="374"/>
      <c r="CV8308" s="376"/>
    </row>
    <row r="8309" spans="1:100">
      <c r="A8309" s="374"/>
      <c r="C8309" s="374"/>
      <c r="CV8309" s="376"/>
    </row>
    <row r="8310" spans="1:100">
      <c r="A8310" s="374"/>
      <c r="C8310" s="374"/>
      <c r="CV8310" s="376"/>
    </row>
    <row r="8311" spans="1:100">
      <c r="A8311" s="374"/>
      <c r="C8311" s="374"/>
      <c r="CV8311" s="376"/>
    </row>
    <row r="8312" spans="1:100">
      <c r="A8312" s="374"/>
      <c r="C8312" s="374"/>
      <c r="CV8312" s="376"/>
    </row>
    <row r="8313" spans="1:100">
      <c r="A8313" s="374"/>
      <c r="C8313" s="374"/>
      <c r="CV8313" s="376"/>
    </row>
    <row r="8314" spans="1:100">
      <c r="A8314" s="374"/>
      <c r="C8314" s="374"/>
      <c r="CV8314" s="376"/>
    </row>
    <row r="8315" spans="1:100">
      <c r="A8315" s="374"/>
      <c r="C8315" s="374"/>
      <c r="CV8315" s="376"/>
    </row>
    <row r="8316" spans="1:100">
      <c r="A8316" s="374"/>
      <c r="C8316" s="374"/>
      <c r="CV8316" s="376"/>
    </row>
    <row r="8317" spans="1:100">
      <c r="A8317" s="374"/>
      <c r="C8317" s="374"/>
      <c r="CV8317" s="376"/>
    </row>
    <row r="8318" spans="1:100">
      <c r="A8318" s="374"/>
      <c r="C8318" s="374"/>
      <c r="CV8318" s="376"/>
    </row>
    <row r="8319" spans="1:100">
      <c r="A8319" s="374"/>
      <c r="C8319" s="374"/>
      <c r="CV8319" s="376"/>
    </row>
    <row r="8320" spans="1:100">
      <c r="A8320" s="374"/>
      <c r="C8320" s="374"/>
      <c r="CV8320" s="376"/>
    </row>
    <row r="8321" spans="1:100">
      <c r="A8321" s="374"/>
      <c r="C8321" s="374"/>
      <c r="CV8321" s="376"/>
    </row>
    <row r="8322" spans="1:100">
      <c r="A8322" s="374"/>
      <c r="C8322" s="374"/>
      <c r="CV8322" s="376"/>
    </row>
    <row r="8323" spans="1:100">
      <c r="A8323" s="374"/>
      <c r="C8323" s="374"/>
      <c r="CV8323" s="376"/>
    </row>
    <row r="8324" spans="1:100">
      <c r="A8324" s="374"/>
      <c r="C8324" s="374"/>
      <c r="CV8324" s="376"/>
    </row>
    <row r="8325" spans="1:100">
      <c r="A8325" s="374"/>
      <c r="C8325" s="374"/>
      <c r="CV8325" s="376"/>
    </row>
    <row r="8326" spans="1:100">
      <c r="A8326" s="374"/>
      <c r="C8326" s="374"/>
      <c r="CV8326" s="376"/>
    </row>
    <row r="8327" spans="1:100">
      <c r="A8327" s="374"/>
      <c r="C8327" s="374"/>
      <c r="CV8327" s="376"/>
    </row>
    <row r="8328" spans="1:100">
      <c r="A8328" s="374"/>
      <c r="C8328" s="374"/>
      <c r="CV8328" s="376"/>
    </row>
    <row r="8329" spans="1:100">
      <c r="A8329" s="374"/>
      <c r="C8329" s="374"/>
      <c r="CV8329" s="376"/>
    </row>
    <row r="8330" spans="1:100">
      <c r="A8330" s="374"/>
      <c r="C8330" s="374"/>
      <c r="CV8330" s="376"/>
    </row>
    <row r="8331" spans="1:100">
      <c r="A8331" s="374"/>
      <c r="C8331" s="374"/>
      <c r="CV8331" s="376"/>
    </row>
    <row r="8332" spans="1:100">
      <c r="A8332" s="374"/>
      <c r="C8332" s="374"/>
      <c r="CV8332" s="376"/>
    </row>
    <row r="8333" spans="1:100">
      <c r="A8333" s="374"/>
      <c r="C8333" s="374"/>
      <c r="CV8333" s="376"/>
    </row>
    <row r="8334" spans="1:100">
      <c r="A8334" s="374"/>
      <c r="C8334" s="374"/>
      <c r="CV8334" s="376"/>
    </row>
    <row r="8335" spans="1:100">
      <c r="A8335" s="374"/>
      <c r="C8335" s="374"/>
      <c r="CV8335" s="376"/>
    </row>
    <row r="8336" spans="1:100">
      <c r="A8336" s="374"/>
      <c r="C8336" s="374"/>
      <c r="CV8336" s="376"/>
    </row>
    <row r="8337" spans="1:100">
      <c r="A8337" s="374"/>
      <c r="C8337" s="374"/>
      <c r="CV8337" s="376"/>
    </row>
    <row r="8338" spans="1:100">
      <c r="A8338" s="374"/>
      <c r="C8338" s="374"/>
      <c r="CV8338" s="376"/>
    </row>
    <row r="8339" spans="1:100">
      <c r="A8339" s="374"/>
      <c r="C8339" s="374"/>
      <c r="CV8339" s="376"/>
    </row>
    <row r="8340" spans="1:100">
      <c r="A8340" s="374"/>
      <c r="C8340" s="374"/>
      <c r="CV8340" s="376"/>
    </row>
    <row r="8341" spans="1:100">
      <c r="A8341" s="374"/>
      <c r="C8341" s="374"/>
      <c r="CV8341" s="376"/>
    </row>
    <row r="8342" spans="1:100">
      <c r="A8342" s="374"/>
      <c r="C8342" s="374"/>
      <c r="CV8342" s="376"/>
    </row>
    <row r="8343" spans="1:100">
      <c r="A8343" s="374"/>
      <c r="C8343" s="374"/>
      <c r="CV8343" s="376"/>
    </row>
    <row r="8344" spans="1:100">
      <c r="A8344" s="374"/>
      <c r="C8344" s="374"/>
      <c r="CV8344" s="376"/>
    </row>
    <row r="8345" spans="1:100">
      <c r="A8345" s="374"/>
      <c r="C8345" s="374"/>
      <c r="CV8345" s="376"/>
    </row>
    <row r="8346" spans="1:100">
      <c r="A8346" s="374"/>
      <c r="C8346" s="374"/>
      <c r="CV8346" s="376"/>
    </row>
    <row r="8347" spans="1:100">
      <c r="A8347" s="374"/>
      <c r="C8347" s="374"/>
      <c r="CV8347" s="376"/>
    </row>
    <row r="8348" spans="1:100">
      <c r="A8348" s="374"/>
      <c r="C8348" s="374"/>
      <c r="CV8348" s="376"/>
    </row>
    <row r="8349" spans="1:100">
      <c r="A8349" s="374"/>
      <c r="C8349" s="374"/>
      <c r="CV8349" s="376"/>
    </row>
    <row r="8350" spans="1:100">
      <c r="A8350" s="374"/>
      <c r="C8350" s="374"/>
      <c r="CV8350" s="376"/>
    </row>
    <row r="8351" spans="1:100">
      <c r="A8351" s="374"/>
      <c r="C8351" s="374"/>
      <c r="CV8351" s="376"/>
    </row>
    <row r="8352" spans="1:100">
      <c r="A8352" s="374"/>
      <c r="C8352" s="374"/>
      <c r="CV8352" s="376"/>
    </row>
    <row r="8353" spans="1:100">
      <c r="A8353" s="374"/>
      <c r="C8353" s="374"/>
      <c r="CV8353" s="376"/>
    </row>
    <row r="8354" spans="1:100">
      <c r="A8354" s="374"/>
      <c r="C8354" s="374"/>
      <c r="CV8354" s="376"/>
    </row>
    <row r="8355" spans="1:100">
      <c r="A8355" s="374"/>
      <c r="C8355" s="374"/>
      <c r="CV8355" s="376"/>
    </row>
    <row r="8356" spans="1:100">
      <c r="A8356" s="374"/>
      <c r="C8356" s="374"/>
      <c r="CV8356" s="376"/>
    </row>
    <row r="8357" spans="1:100">
      <c r="A8357" s="374"/>
      <c r="C8357" s="374"/>
      <c r="CV8357" s="376"/>
    </row>
    <row r="8358" spans="1:100">
      <c r="A8358" s="374"/>
      <c r="C8358" s="374"/>
      <c r="CV8358" s="376"/>
    </row>
    <row r="8359" spans="1:100">
      <c r="A8359" s="374"/>
      <c r="C8359" s="374"/>
      <c r="CV8359" s="376"/>
    </row>
    <row r="8360" spans="1:100">
      <c r="A8360" s="374"/>
      <c r="C8360" s="374"/>
      <c r="CV8360" s="376"/>
    </row>
    <row r="8361" spans="1:100">
      <c r="A8361" s="374"/>
      <c r="C8361" s="374"/>
      <c r="CV8361" s="376"/>
    </row>
    <row r="8362" spans="1:100">
      <c r="A8362" s="374"/>
      <c r="C8362" s="374"/>
      <c r="CV8362" s="376"/>
    </row>
    <row r="8363" spans="1:100">
      <c r="A8363" s="374"/>
      <c r="C8363" s="374"/>
      <c r="CV8363" s="376"/>
    </row>
    <row r="8364" spans="1:100">
      <c r="A8364" s="374"/>
      <c r="C8364" s="374"/>
      <c r="CV8364" s="376"/>
    </row>
    <row r="8365" spans="1:100">
      <c r="A8365" s="374"/>
      <c r="C8365" s="374"/>
      <c r="CV8365" s="376"/>
    </row>
    <row r="8366" spans="1:100">
      <c r="A8366" s="374"/>
      <c r="C8366" s="374"/>
      <c r="CV8366" s="376"/>
    </row>
    <row r="8367" spans="1:100">
      <c r="A8367" s="374"/>
      <c r="C8367" s="374"/>
      <c r="CV8367" s="376"/>
    </row>
    <row r="8368" spans="1:100">
      <c r="A8368" s="374"/>
      <c r="C8368" s="374"/>
      <c r="CV8368" s="376"/>
    </row>
    <row r="8369" spans="1:100">
      <c r="A8369" s="374"/>
      <c r="C8369" s="374"/>
      <c r="CV8369" s="376"/>
    </row>
    <row r="8370" spans="1:100">
      <c r="A8370" s="374"/>
      <c r="C8370" s="374"/>
      <c r="CV8370" s="376"/>
    </row>
    <row r="8371" spans="1:100">
      <c r="A8371" s="374"/>
      <c r="C8371" s="374"/>
      <c r="CV8371" s="376"/>
    </row>
    <row r="8372" spans="1:100">
      <c r="A8372" s="374"/>
      <c r="C8372" s="374"/>
      <c r="CV8372" s="376"/>
    </row>
    <row r="8373" spans="1:100">
      <c r="A8373" s="374"/>
      <c r="C8373" s="374"/>
      <c r="CV8373" s="376"/>
    </row>
    <row r="8374" spans="1:100">
      <c r="A8374" s="374"/>
      <c r="C8374" s="374"/>
      <c r="CV8374" s="376"/>
    </row>
    <row r="8375" spans="1:100">
      <c r="A8375" s="374"/>
      <c r="C8375" s="374"/>
      <c r="CV8375" s="376"/>
    </row>
    <row r="8376" spans="1:100">
      <c r="A8376" s="374"/>
      <c r="C8376" s="374"/>
      <c r="CV8376" s="376"/>
    </row>
    <row r="8377" spans="1:100">
      <c r="A8377" s="374"/>
      <c r="C8377" s="374"/>
      <c r="CV8377" s="376"/>
    </row>
    <row r="8378" spans="1:100">
      <c r="A8378" s="374"/>
      <c r="C8378" s="374"/>
      <c r="CV8378" s="376"/>
    </row>
    <row r="8379" spans="1:100">
      <c r="A8379" s="374"/>
      <c r="C8379" s="374"/>
      <c r="CV8379" s="376"/>
    </row>
    <row r="8380" spans="1:100">
      <c r="A8380" s="374"/>
      <c r="C8380" s="374"/>
      <c r="CV8380" s="376"/>
    </row>
    <row r="8381" spans="1:100">
      <c r="A8381" s="374"/>
      <c r="C8381" s="374"/>
      <c r="CV8381" s="376"/>
    </row>
    <row r="8382" spans="1:100">
      <c r="A8382" s="374"/>
      <c r="C8382" s="374"/>
      <c r="CV8382" s="376"/>
    </row>
    <row r="8383" spans="1:100">
      <c r="A8383" s="374"/>
      <c r="C8383" s="374"/>
      <c r="CV8383" s="376"/>
    </row>
    <row r="8384" spans="1:100">
      <c r="A8384" s="374"/>
      <c r="C8384" s="374"/>
      <c r="CV8384" s="376"/>
    </row>
    <row r="8385" spans="1:100">
      <c r="A8385" s="374"/>
      <c r="C8385" s="374"/>
      <c r="CV8385" s="376"/>
    </row>
    <row r="8386" spans="1:100">
      <c r="A8386" s="374"/>
      <c r="C8386" s="374"/>
      <c r="CV8386" s="376"/>
    </row>
    <row r="8387" spans="1:100">
      <c r="A8387" s="374"/>
      <c r="C8387" s="374"/>
      <c r="CV8387" s="376"/>
    </row>
    <row r="8388" spans="1:100">
      <c r="A8388" s="374"/>
      <c r="C8388" s="374"/>
      <c r="CV8388" s="376"/>
    </row>
    <row r="8389" spans="1:100">
      <c r="A8389" s="374"/>
      <c r="C8389" s="374"/>
      <c r="CV8389" s="376"/>
    </row>
    <row r="8390" spans="1:100">
      <c r="A8390" s="374"/>
      <c r="C8390" s="374"/>
      <c r="CV8390" s="376"/>
    </row>
    <row r="8391" spans="1:100">
      <c r="A8391" s="374"/>
      <c r="C8391" s="374"/>
      <c r="CV8391" s="376"/>
    </row>
    <row r="8392" spans="1:100">
      <c r="A8392" s="374"/>
      <c r="C8392" s="374"/>
      <c r="CV8392" s="376"/>
    </row>
    <row r="8393" spans="1:100">
      <c r="A8393" s="374"/>
      <c r="C8393" s="374"/>
      <c r="CV8393" s="376"/>
    </row>
    <row r="8394" spans="1:100">
      <c r="A8394" s="374"/>
      <c r="C8394" s="374"/>
      <c r="CV8394" s="376"/>
    </row>
    <row r="8395" spans="1:100">
      <c r="A8395" s="374"/>
      <c r="C8395" s="374"/>
      <c r="CV8395" s="376"/>
    </row>
    <row r="8396" spans="1:100">
      <c r="A8396" s="374"/>
      <c r="C8396" s="374"/>
      <c r="CV8396" s="376"/>
    </row>
    <row r="8397" spans="1:100">
      <c r="A8397" s="374"/>
      <c r="C8397" s="374"/>
      <c r="CV8397" s="376"/>
    </row>
    <row r="8398" spans="1:100">
      <c r="A8398" s="374"/>
      <c r="C8398" s="374"/>
      <c r="CV8398" s="376"/>
    </row>
    <row r="8399" spans="1:100">
      <c r="A8399" s="374"/>
      <c r="C8399" s="374"/>
      <c r="CV8399" s="376"/>
    </row>
    <row r="8400" spans="1:100">
      <c r="A8400" s="374"/>
      <c r="C8400" s="374"/>
      <c r="CV8400" s="376"/>
    </row>
    <row r="8401" spans="1:100">
      <c r="A8401" s="374"/>
      <c r="C8401" s="374"/>
      <c r="CV8401" s="376"/>
    </row>
    <row r="8402" spans="1:100">
      <c r="A8402" s="374"/>
      <c r="C8402" s="374"/>
      <c r="CV8402" s="376"/>
    </row>
    <row r="8403" spans="1:100">
      <c r="A8403" s="374"/>
      <c r="C8403" s="374"/>
      <c r="CV8403" s="376"/>
    </row>
    <row r="8404" spans="1:100">
      <c r="A8404" s="374"/>
      <c r="C8404" s="374"/>
      <c r="CV8404" s="376"/>
    </row>
    <row r="8405" spans="1:100">
      <c r="A8405" s="374"/>
      <c r="C8405" s="374"/>
      <c r="CV8405" s="376"/>
    </row>
    <row r="8406" spans="1:100">
      <c r="A8406" s="374"/>
      <c r="C8406" s="374"/>
      <c r="CV8406" s="376"/>
    </row>
    <row r="8407" spans="1:100">
      <c r="A8407" s="374"/>
      <c r="C8407" s="374"/>
      <c r="CV8407" s="376"/>
    </row>
    <row r="8408" spans="1:100">
      <c r="A8408" s="374"/>
      <c r="C8408" s="374"/>
      <c r="CV8408" s="376"/>
    </row>
    <row r="8409" spans="1:100">
      <c r="A8409" s="374"/>
      <c r="C8409" s="374"/>
      <c r="CV8409" s="376"/>
    </row>
    <row r="8410" spans="1:100">
      <c r="A8410" s="374"/>
      <c r="C8410" s="374"/>
      <c r="CV8410" s="376"/>
    </row>
    <row r="8411" spans="1:100">
      <c r="A8411" s="374"/>
      <c r="C8411" s="374"/>
      <c r="CV8411" s="376"/>
    </row>
    <row r="8412" spans="1:100">
      <c r="A8412" s="374"/>
      <c r="C8412" s="374"/>
      <c r="CV8412" s="376"/>
    </row>
    <row r="8413" spans="1:100">
      <c r="A8413" s="374"/>
      <c r="C8413" s="374"/>
      <c r="CV8413" s="376"/>
    </row>
    <row r="8414" spans="1:100">
      <c r="A8414" s="374"/>
      <c r="C8414" s="374"/>
      <c r="CV8414" s="376"/>
    </row>
    <row r="8415" spans="1:100">
      <c r="A8415" s="374"/>
      <c r="C8415" s="374"/>
      <c r="CV8415" s="376"/>
    </row>
    <row r="8416" spans="1:100">
      <c r="A8416" s="374"/>
      <c r="C8416" s="374"/>
      <c r="CV8416" s="376"/>
    </row>
    <row r="8417" spans="1:100">
      <c r="A8417" s="374"/>
      <c r="C8417" s="374"/>
      <c r="CV8417" s="376"/>
    </row>
    <row r="8418" spans="1:100">
      <c r="A8418" s="374"/>
      <c r="C8418" s="374"/>
      <c r="CV8418" s="376"/>
    </row>
    <row r="8419" spans="1:100">
      <c r="A8419" s="374"/>
      <c r="C8419" s="374"/>
      <c r="CV8419" s="376"/>
    </row>
    <row r="8420" spans="1:100">
      <c r="A8420" s="374"/>
      <c r="C8420" s="374"/>
      <c r="CV8420" s="376"/>
    </row>
    <row r="8421" spans="1:100">
      <c r="A8421" s="374"/>
      <c r="C8421" s="374"/>
      <c r="CV8421" s="376"/>
    </row>
    <row r="8422" spans="1:100">
      <c r="A8422" s="374"/>
      <c r="C8422" s="374"/>
      <c r="CV8422" s="376"/>
    </row>
    <row r="8423" spans="1:100">
      <c r="A8423" s="374"/>
      <c r="C8423" s="374"/>
      <c r="CV8423" s="376"/>
    </row>
    <row r="8424" spans="1:100">
      <c r="A8424" s="374"/>
      <c r="C8424" s="374"/>
      <c r="CV8424" s="376"/>
    </row>
    <row r="8425" spans="1:100">
      <c r="A8425" s="374"/>
      <c r="C8425" s="374"/>
      <c r="CV8425" s="376"/>
    </row>
    <row r="8426" spans="1:100">
      <c r="A8426" s="374"/>
      <c r="C8426" s="374"/>
      <c r="CV8426" s="376"/>
    </row>
    <row r="8427" spans="1:100">
      <c r="A8427" s="374"/>
      <c r="C8427" s="374"/>
      <c r="CV8427" s="376"/>
    </row>
    <row r="8428" spans="1:100">
      <c r="A8428" s="374"/>
      <c r="C8428" s="374"/>
      <c r="CV8428" s="376"/>
    </row>
    <row r="8429" spans="1:100">
      <c r="A8429" s="374"/>
      <c r="C8429" s="374"/>
      <c r="CV8429" s="376"/>
    </row>
    <row r="8430" spans="1:100">
      <c r="A8430" s="374"/>
      <c r="C8430" s="374"/>
      <c r="CV8430" s="376"/>
    </row>
    <row r="8431" spans="1:100">
      <c r="A8431" s="374"/>
      <c r="C8431" s="374"/>
      <c r="CV8431" s="376"/>
    </row>
    <row r="8432" spans="1:100">
      <c r="A8432" s="374"/>
      <c r="C8432" s="374"/>
      <c r="CV8432" s="376"/>
    </row>
    <row r="8433" spans="1:100">
      <c r="A8433" s="374"/>
      <c r="C8433" s="374"/>
      <c r="CV8433" s="376"/>
    </row>
    <row r="8434" spans="1:100">
      <c r="A8434" s="374"/>
      <c r="C8434" s="374"/>
      <c r="CV8434" s="376"/>
    </row>
    <row r="8435" spans="1:100">
      <c r="A8435" s="374"/>
      <c r="C8435" s="374"/>
      <c r="CV8435" s="376"/>
    </row>
    <row r="8436" spans="1:100">
      <c r="A8436" s="374"/>
      <c r="C8436" s="374"/>
      <c r="CV8436" s="376"/>
    </row>
    <row r="8437" spans="1:100">
      <c r="A8437" s="374"/>
      <c r="C8437" s="374"/>
      <c r="CV8437" s="376"/>
    </row>
    <row r="8438" spans="1:100">
      <c r="A8438" s="374"/>
      <c r="C8438" s="374"/>
      <c r="CV8438" s="376"/>
    </row>
    <row r="8439" spans="1:100">
      <c r="A8439" s="374"/>
      <c r="C8439" s="374"/>
      <c r="CV8439" s="376"/>
    </row>
    <row r="8440" spans="1:100">
      <c r="A8440" s="374"/>
      <c r="C8440" s="374"/>
      <c r="CV8440" s="376"/>
    </row>
    <row r="8441" spans="1:100">
      <c r="A8441" s="374"/>
      <c r="C8441" s="374"/>
      <c r="CV8441" s="376"/>
    </row>
    <row r="8442" spans="1:100">
      <c r="A8442" s="374"/>
      <c r="C8442" s="374"/>
      <c r="CV8442" s="376"/>
    </row>
    <row r="8443" spans="1:100">
      <c r="A8443" s="374"/>
      <c r="C8443" s="374"/>
      <c r="CV8443" s="376"/>
    </row>
    <row r="8444" spans="1:100">
      <c r="A8444" s="374"/>
      <c r="C8444" s="374"/>
      <c r="CV8444" s="376"/>
    </row>
    <row r="8445" spans="1:100">
      <c r="A8445" s="374"/>
      <c r="C8445" s="374"/>
      <c r="CV8445" s="376"/>
    </row>
    <row r="8446" spans="1:100">
      <c r="A8446" s="374"/>
      <c r="C8446" s="374"/>
      <c r="CV8446" s="376"/>
    </row>
    <row r="8447" spans="1:100">
      <c r="A8447" s="374"/>
      <c r="C8447" s="374"/>
      <c r="CV8447" s="376"/>
    </row>
    <row r="8448" spans="1:100">
      <c r="A8448" s="374"/>
      <c r="C8448" s="374"/>
      <c r="CV8448" s="376"/>
    </row>
    <row r="8449" spans="1:100">
      <c r="A8449" s="374"/>
      <c r="C8449" s="374"/>
      <c r="CV8449" s="376"/>
    </row>
    <row r="8450" spans="1:100">
      <c r="A8450" s="374"/>
      <c r="C8450" s="374"/>
      <c r="CV8450" s="376"/>
    </row>
    <row r="8451" spans="1:100">
      <c r="A8451" s="374"/>
      <c r="C8451" s="374"/>
      <c r="CV8451" s="376"/>
    </row>
    <row r="8452" spans="1:100">
      <c r="A8452" s="374"/>
      <c r="C8452" s="374"/>
      <c r="CV8452" s="376"/>
    </row>
    <row r="8453" spans="1:100">
      <c r="A8453" s="374"/>
      <c r="C8453" s="374"/>
      <c r="CV8453" s="376"/>
    </row>
    <row r="8454" spans="1:100">
      <c r="A8454" s="374"/>
      <c r="C8454" s="374"/>
      <c r="CV8454" s="376"/>
    </row>
    <row r="8455" spans="1:100">
      <c r="A8455" s="374"/>
      <c r="C8455" s="374"/>
      <c r="CV8455" s="376"/>
    </row>
    <row r="8456" spans="1:100">
      <c r="A8456" s="374"/>
      <c r="C8456" s="374"/>
      <c r="CV8456" s="376"/>
    </row>
    <row r="8457" spans="1:100">
      <c r="A8457" s="374"/>
      <c r="C8457" s="374"/>
      <c r="CV8457" s="376"/>
    </row>
    <row r="8458" spans="1:100">
      <c r="A8458" s="374"/>
      <c r="C8458" s="374"/>
      <c r="CV8458" s="376"/>
    </row>
    <row r="8459" spans="1:100">
      <c r="A8459" s="374"/>
      <c r="C8459" s="374"/>
      <c r="CV8459" s="376"/>
    </row>
    <row r="8460" spans="1:100">
      <c r="A8460" s="374"/>
      <c r="C8460" s="374"/>
      <c r="CV8460" s="376"/>
    </row>
    <row r="8461" spans="1:100">
      <c r="A8461" s="374"/>
      <c r="C8461" s="374"/>
      <c r="CV8461" s="376"/>
    </row>
    <row r="8462" spans="1:100">
      <c r="A8462" s="374"/>
      <c r="C8462" s="374"/>
      <c r="CV8462" s="376"/>
    </row>
    <row r="8463" spans="1:100">
      <c r="A8463" s="374"/>
      <c r="C8463" s="374"/>
      <c r="CV8463" s="376"/>
    </row>
    <row r="8464" spans="1:100">
      <c r="A8464" s="374"/>
      <c r="C8464" s="374"/>
      <c r="CV8464" s="376"/>
    </row>
    <row r="8465" spans="1:100">
      <c r="A8465" s="374"/>
      <c r="C8465" s="374"/>
      <c r="CV8465" s="376"/>
    </row>
    <row r="8466" spans="1:100">
      <c r="A8466" s="374"/>
      <c r="C8466" s="374"/>
      <c r="CV8466" s="376"/>
    </row>
    <row r="8467" spans="1:100">
      <c r="A8467" s="374"/>
      <c r="C8467" s="374"/>
      <c r="CV8467" s="376"/>
    </row>
    <row r="8468" spans="1:100">
      <c r="A8468" s="374"/>
      <c r="C8468" s="374"/>
      <c r="CV8468" s="376"/>
    </row>
    <row r="8469" spans="1:100">
      <c r="A8469" s="374"/>
      <c r="C8469" s="374"/>
      <c r="CV8469" s="376"/>
    </row>
    <row r="8470" spans="1:100">
      <c r="A8470" s="374"/>
      <c r="C8470" s="374"/>
      <c r="CV8470" s="376"/>
    </row>
    <row r="8471" spans="1:100">
      <c r="A8471" s="374"/>
      <c r="C8471" s="374"/>
      <c r="CV8471" s="376"/>
    </row>
    <row r="8472" spans="1:100">
      <c r="A8472" s="374"/>
      <c r="C8472" s="374"/>
      <c r="CV8472" s="376"/>
    </row>
    <row r="8473" spans="1:100">
      <c r="A8473" s="374"/>
      <c r="C8473" s="374"/>
      <c r="CV8473" s="376"/>
    </row>
    <row r="8474" spans="1:100">
      <c r="A8474" s="374"/>
      <c r="C8474" s="374"/>
      <c r="CV8474" s="376"/>
    </row>
    <row r="8475" spans="1:100">
      <c r="A8475" s="374"/>
      <c r="C8475" s="374"/>
      <c r="CV8475" s="376"/>
    </row>
    <row r="8476" spans="1:100">
      <c r="A8476" s="374"/>
      <c r="C8476" s="374"/>
      <c r="CV8476" s="376"/>
    </row>
    <row r="8477" spans="1:100">
      <c r="A8477" s="374"/>
      <c r="C8477" s="374"/>
      <c r="CV8477" s="376"/>
    </row>
    <row r="8478" spans="1:100">
      <c r="A8478" s="374"/>
      <c r="C8478" s="374"/>
      <c r="CV8478" s="376"/>
    </row>
    <row r="8479" spans="1:100">
      <c r="A8479" s="374"/>
      <c r="C8479" s="374"/>
      <c r="CV8479" s="376"/>
    </row>
    <row r="8480" spans="1:100">
      <c r="A8480" s="374"/>
      <c r="C8480" s="374"/>
      <c r="CV8480" s="376"/>
    </row>
    <row r="8481" spans="1:100">
      <c r="A8481" s="374"/>
      <c r="C8481" s="374"/>
      <c r="CV8481" s="376"/>
    </row>
    <row r="8482" spans="1:100">
      <c r="A8482" s="374"/>
      <c r="C8482" s="374"/>
      <c r="CV8482" s="376"/>
    </row>
    <row r="8483" spans="1:100">
      <c r="A8483" s="374"/>
      <c r="C8483" s="374"/>
      <c r="CV8483" s="376"/>
    </row>
    <row r="8484" spans="1:100">
      <c r="A8484" s="374"/>
      <c r="C8484" s="374"/>
      <c r="CV8484" s="376"/>
    </row>
    <row r="8485" spans="1:100">
      <c r="A8485" s="374"/>
      <c r="C8485" s="374"/>
      <c r="CV8485" s="376"/>
    </row>
    <row r="8486" spans="1:100">
      <c r="A8486" s="374"/>
      <c r="C8486" s="374"/>
      <c r="CV8486" s="376"/>
    </row>
    <row r="8487" spans="1:100">
      <c r="A8487" s="374"/>
      <c r="C8487" s="374"/>
      <c r="CV8487" s="376"/>
    </row>
    <row r="8488" spans="1:100">
      <c r="A8488" s="374"/>
      <c r="C8488" s="374"/>
      <c r="CV8488" s="376"/>
    </row>
    <row r="8489" spans="1:100">
      <c r="A8489" s="374"/>
      <c r="C8489" s="374"/>
      <c r="CV8489" s="376"/>
    </row>
    <row r="8490" spans="1:100">
      <c r="A8490" s="374"/>
      <c r="C8490" s="374"/>
      <c r="CV8490" s="376"/>
    </row>
    <row r="8491" spans="1:100">
      <c r="A8491" s="374"/>
      <c r="C8491" s="374"/>
      <c r="CV8491" s="376"/>
    </row>
    <row r="8492" spans="1:100">
      <c r="A8492" s="374"/>
      <c r="C8492" s="374"/>
      <c r="CV8492" s="376"/>
    </row>
    <row r="8493" spans="1:100">
      <c r="A8493" s="374"/>
      <c r="C8493" s="374"/>
      <c r="CV8493" s="376"/>
    </row>
    <row r="8494" spans="1:100">
      <c r="A8494" s="374"/>
      <c r="C8494" s="374"/>
      <c r="CV8494" s="376"/>
    </row>
    <row r="8495" spans="1:100">
      <c r="A8495" s="374"/>
      <c r="C8495" s="374"/>
      <c r="CV8495" s="376"/>
    </row>
    <row r="8496" spans="1:100">
      <c r="A8496" s="374"/>
      <c r="C8496" s="374"/>
      <c r="CV8496" s="376"/>
    </row>
    <row r="8497" spans="1:100">
      <c r="A8497" s="374"/>
      <c r="C8497" s="374"/>
      <c r="CV8497" s="376"/>
    </row>
    <row r="8498" spans="1:100">
      <c r="A8498" s="374"/>
      <c r="C8498" s="374"/>
      <c r="CV8498" s="376"/>
    </row>
    <row r="8499" spans="1:100">
      <c r="A8499" s="374"/>
      <c r="C8499" s="374"/>
      <c r="CV8499" s="376"/>
    </row>
    <row r="8500" spans="1:100">
      <c r="A8500" s="374"/>
      <c r="C8500" s="374"/>
      <c r="CV8500" s="376"/>
    </row>
    <row r="8501" spans="1:100">
      <c r="A8501" s="374"/>
      <c r="C8501" s="374"/>
      <c r="CV8501" s="376"/>
    </row>
    <row r="8502" spans="1:100">
      <c r="A8502" s="374"/>
      <c r="C8502" s="374"/>
      <c r="CV8502" s="376"/>
    </row>
    <row r="8503" spans="1:100">
      <c r="A8503" s="374"/>
      <c r="C8503" s="374"/>
      <c r="CV8503" s="376"/>
    </row>
    <row r="8504" spans="1:100">
      <c r="A8504" s="374"/>
      <c r="C8504" s="374"/>
      <c r="CV8504" s="376"/>
    </row>
    <row r="8505" spans="1:100">
      <c r="A8505" s="374"/>
      <c r="C8505" s="374"/>
      <c r="CV8505" s="376"/>
    </row>
    <row r="8506" spans="1:100">
      <c r="A8506" s="374"/>
      <c r="C8506" s="374"/>
      <c r="CV8506" s="376"/>
    </row>
    <row r="8507" spans="1:100">
      <c r="A8507" s="374"/>
      <c r="C8507" s="374"/>
      <c r="CV8507" s="376"/>
    </row>
    <row r="8508" spans="1:100">
      <c r="A8508" s="374"/>
      <c r="C8508" s="374"/>
      <c r="CV8508" s="376"/>
    </row>
    <row r="8509" spans="1:100">
      <c r="A8509" s="374"/>
      <c r="C8509" s="374"/>
      <c r="CV8509" s="376"/>
    </row>
    <row r="8510" spans="1:100">
      <c r="A8510" s="374"/>
      <c r="C8510" s="374"/>
      <c r="CV8510" s="376"/>
    </row>
    <row r="8511" spans="1:100">
      <c r="A8511" s="374"/>
      <c r="C8511" s="374"/>
      <c r="CV8511" s="376"/>
    </row>
    <row r="8512" spans="1:100">
      <c r="A8512" s="374"/>
      <c r="C8512" s="374"/>
      <c r="CV8512" s="376"/>
    </row>
    <row r="8513" spans="1:100">
      <c r="A8513" s="374"/>
      <c r="C8513" s="374"/>
      <c r="CV8513" s="376"/>
    </row>
    <row r="8514" spans="1:100">
      <c r="A8514" s="374"/>
      <c r="C8514" s="374"/>
      <c r="CV8514" s="376"/>
    </row>
    <row r="8515" spans="1:100">
      <c r="A8515" s="374"/>
      <c r="C8515" s="374"/>
      <c r="CV8515" s="376"/>
    </row>
    <row r="8516" spans="1:100">
      <c r="A8516" s="374"/>
      <c r="C8516" s="374"/>
      <c r="CV8516" s="376"/>
    </row>
    <row r="8517" spans="1:100">
      <c r="A8517" s="374"/>
      <c r="C8517" s="374"/>
      <c r="CV8517" s="376"/>
    </row>
    <row r="8518" spans="1:100">
      <c r="A8518" s="374"/>
      <c r="C8518" s="374"/>
      <c r="CV8518" s="376"/>
    </row>
    <row r="8519" spans="1:100">
      <c r="A8519" s="374"/>
      <c r="C8519" s="374"/>
      <c r="CV8519" s="376"/>
    </row>
    <row r="8520" spans="1:100">
      <c r="A8520" s="374"/>
      <c r="C8520" s="374"/>
      <c r="CV8520" s="376"/>
    </row>
    <row r="8521" spans="1:100">
      <c r="A8521" s="374"/>
      <c r="C8521" s="374"/>
      <c r="CV8521" s="376"/>
    </row>
    <row r="8522" spans="1:100">
      <c r="A8522" s="374"/>
      <c r="C8522" s="374"/>
      <c r="CV8522" s="376"/>
    </row>
    <row r="8523" spans="1:100">
      <c r="A8523" s="374"/>
      <c r="C8523" s="374"/>
      <c r="CV8523" s="376"/>
    </row>
    <row r="8524" spans="1:100">
      <c r="A8524" s="374"/>
      <c r="C8524" s="374"/>
      <c r="CV8524" s="376"/>
    </row>
    <row r="8525" spans="1:100">
      <c r="A8525" s="374"/>
      <c r="C8525" s="374"/>
      <c r="CV8525" s="376"/>
    </row>
    <row r="8526" spans="1:100">
      <c r="A8526" s="374"/>
      <c r="C8526" s="374"/>
      <c r="CV8526" s="376"/>
    </row>
    <row r="8527" spans="1:100">
      <c r="A8527" s="374"/>
      <c r="C8527" s="374"/>
      <c r="CV8527" s="376"/>
    </row>
    <row r="8528" spans="1:100">
      <c r="A8528" s="374"/>
      <c r="C8528" s="374"/>
      <c r="CV8528" s="376"/>
    </row>
    <row r="8529" spans="1:100">
      <c r="A8529" s="374"/>
      <c r="C8529" s="374"/>
      <c r="CV8529" s="376"/>
    </row>
    <row r="8530" spans="1:100">
      <c r="A8530" s="374"/>
      <c r="C8530" s="374"/>
      <c r="CV8530" s="376"/>
    </row>
    <row r="8531" spans="1:100">
      <c r="A8531" s="374"/>
      <c r="C8531" s="374"/>
      <c r="CV8531" s="376"/>
    </row>
    <row r="8532" spans="1:100">
      <c r="A8532" s="374"/>
      <c r="C8532" s="374"/>
      <c r="CV8532" s="376"/>
    </row>
    <row r="8533" spans="1:100">
      <c r="A8533" s="374"/>
      <c r="C8533" s="374"/>
      <c r="CV8533" s="376"/>
    </row>
    <row r="8534" spans="1:100">
      <c r="A8534" s="374"/>
      <c r="C8534" s="374"/>
      <c r="CV8534" s="376"/>
    </row>
    <row r="8535" spans="1:100">
      <c r="A8535" s="374"/>
      <c r="C8535" s="374"/>
      <c r="CV8535" s="376"/>
    </row>
    <row r="8536" spans="1:100">
      <c r="A8536" s="374"/>
      <c r="C8536" s="374"/>
      <c r="CV8536" s="376"/>
    </row>
    <row r="8537" spans="1:100">
      <c r="A8537" s="374"/>
      <c r="C8537" s="374"/>
      <c r="CV8537" s="376"/>
    </row>
    <row r="8538" spans="1:100">
      <c r="A8538" s="374"/>
      <c r="C8538" s="374"/>
      <c r="CV8538" s="376"/>
    </row>
    <row r="8539" spans="1:100">
      <c r="A8539" s="374"/>
      <c r="C8539" s="374"/>
      <c r="CV8539" s="376"/>
    </row>
    <row r="8540" spans="1:100">
      <c r="A8540" s="374"/>
      <c r="C8540" s="374"/>
      <c r="CV8540" s="376"/>
    </row>
    <row r="8541" spans="1:100">
      <c r="A8541" s="374"/>
      <c r="C8541" s="374"/>
      <c r="CV8541" s="376"/>
    </row>
    <row r="8542" spans="1:100">
      <c r="A8542" s="374"/>
      <c r="C8542" s="374"/>
      <c r="CV8542" s="376"/>
    </row>
    <row r="8543" spans="1:100">
      <c r="A8543" s="374"/>
      <c r="C8543" s="374"/>
      <c r="CV8543" s="376"/>
    </row>
    <row r="8544" spans="1:100">
      <c r="A8544" s="374"/>
      <c r="C8544" s="374"/>
      <c r="CV8544" s="376"/>
    </row>
    <row r="8545" spans="1:100">
      <c r="A8545" s="374"/>
      <c r="C8545" s="374"/>
      <c r="CV8545" s="376"/>
    </row>
    <row r="8546" spans="1:100">
      <c r="A8546" s="374"/>
      <c r="C8546" s="374"/>
      <c r="CV8546" s="376"/>
    </row>
    <row r="8547" spans="1:100">
      <c r="A8547" s="374"/>
      <c r="C8547" s="374"/>
      <c r="CV8547" s="376"/>
    </row>
    <row r="8548" spans="1:100">
      <c r="A8548" s="374"/>
      <c r="C8548" s="374"/>
      <c r="CV8548" s="376"/>
    </row>
    <row r="8549" spans="1:100">
      <c r="A8549" s="374"/>
      <c r="C8549" s="374"/>
      <c r="CV8549" s="376"/>
    </row>
    <row r="8550" spans="1:100">
      <c r="A8550" s="374"/>
      <c r="C8550" s="374"/>
      <c r="CV8550" s="376"/>
    </row>
    <row r="8551" spans="1:100">
      <c r="A8551" s="374"/>
      <c r="C8551" s="374"/>
      <c r="CV8551" s="376"/>
    </row>
    <row r="8552" spans="1:100">
      <c r="A8552" s="374"/>
      <c r="C8552" s="374"/>
      <c r="CV8552" s="376"/>
    </row>
    <row r="8553" spans="1:100">
      <c r="A8553" s="374"/>
      <c r="C8553" s="374"/>
      <c r="CV8553" s="376"/>
    </row>
    <row r="8554" spans="1:100">
      <c r="A8554" s="374"/>
      <c r="C8554" s="374"/>
      <c r="CV8554" s="376"/>
    </row>
    <row r="8555" spans="1:100">
      <c r="A8555" s="374"/>
      <c r="C8555" s="374"/>
      <c r="CV8555" s="376"/>
    </row>
    <row r="8556" spans="1:100">
      <c r="A8556" s="374"/>
      <c r="C8556" s="374"/>
      <c r="CV8556" s="376"/>
    </row>
    <row r="8557" spans="1:100">
      <c r="A8557" s="374"/>
      <c r="C8557" s="374"/>
      <c r="CV8557" s="376"/>
    </row>
    <row r="8558" spans="1:100">
      <c r="A8558" s="374"/>
      <c r="C8558" s="374"/>
      <c r="CV8558" s="376"/>
    </row>
    <row r="8559" spans="1:100">
      <c r="A8559" s="374"/>
      <c r="C8559" s="374"/>
      <c r="CV8559" s="376"/>
    </row>
    <row r="8560" spans="1:100">
      <c r="A8560" s="374"/>
      <c r="C8560" s="374"/>
      <c r="CV8560" s="376"/>
    </row>
    <row r="8561" spans="1:100">
      <c r="A8561" s="374"/>
      <c r="C8561" s="374"/>
      <c r="CV8561" s="376"/>
    </row>
    <row r="8562" spans="1:100">
      <c r="A8562" s="374"/>
      <c r="C8562" s="374"/>
      <c r="CV8562" s="376"/>
    </row>
    <row r="8563" spans="1:100">
      <c r="A8563" s="374"/>
      <c r="C8563" s="374"/>
      <c r="CV8563" s="376"/>
    </row>
    <row r="8564" spans="1:100">
      <c r="A8564" s="374"/>
      <c r="C8564" s="374"/>
      <c r="CV8564" s="376"/>
    </row>
    <row r="8565" spans="1:100">
      <c r="A8565" s="374"/>
      <c r="C8565" s="374"/>
      <c r="CV8565" s="376"/>
    </row>
    <row r="8566" spans="1:100">
      <c r="A8566" s="374"/>
      <c r="C8566" s="374"/>
      <c r="CV8566" s="376"/>
    </row>
    <row r="8567" spans="1:100">
      <c r="A8567" s="374"/>
      <c r="C8567" s="374"/>
      <c r="CV8567" s="376"/>
    </row>
    <row r="8568" spans="1:100">
      <c r="A8568" s="374"/>
      <c r="C8568" s="374"/>
      <c r="CV8568" s="376"/>
    </row>
    <row r="8569" spans="1:100">
      <c r="A8569" s="374"/>
      <c r="C8569" s="374"/>
      <c r="CV8569" s="376"/>
    </row>
    <row r="8570" spans="1:100">
      <c r="A8570" s="374"/>
      <c r="C8570" s="374"/>
      <c r="CV8570" s="376"/>
    </row>
    <row r="8571" spans="1:100">
      <c r="A8571" s="374"/>
      <c r="C8571" s="374"/>
      <c r="CV8571" s="376"/>
    </row>
    <row r="8572" spans="1:100">
      <c r="A8572" s="374"/>
      <c r="C8572" s="374"/>
      <c r="CV8572" s="376"/>
    </row>
    <row r="8573" spans="1:100">
      <c r="A8573" s="374"/>
      <c r="C8573" s="374"/>
      <c r="CV8573" s="376"/>
    </row>
    <row r="8574" spans="1:100">
      <c r="A8574" s="374"/>
      <c r="C8574" s="374"/>
      <c r="CV8574" s="376"/>
    </row>
    <row r="8575" spans="1:100">
      <c r="A8575" s="374"/>
      <c r="C8575" s="374"/>
      <c r="CV8575" s="376"/>
    </row>
    <row r="8576" spans="1:100">
      <c r="A8576" s="374"/>
      <c r="C8576" s="374"/>
      <c r="CV8576" s="376"/>
    </row>
    <row r="8577" spans="1:100">
      <c r="A8577" s="374"/>
      <c r="C8577" s="374"/>
      <c r="CV8577" s="376"/>
    </row>
    <row r="8578" spans="1:100">
      <c r="A8578" s="374"/>
      <c r="C8578" s="374"/>
      <c r="CV8578" s="376"/>
    </row>
    <row r="8579" spans="1:100">
      <c r="A8579" s="374"/>
      <c r="C8579" s="374"/>
      <c r="CV8579" s="376"/>
    </row>
    <row r="8580" spans="1:100">
      <c r="A8580" s="374"/>
      <c r="C8580" s="374"/>
      <c r="CV8580" s="376"/>
    </row>
    <row r="8581" spans="1:100">
      <c r="A8581" s="374"/>
      <c r="C8581" s="374"/>
      <c r="CV8581" s="376"/>
    </row>
    <row r="8582" spans="1:100">
      <c r="A8582" s="374"/>
      <c r="C8582" s="374"/>
      <c r="CV8582" s="376"/>
    </row>
    <row r="8583" spans="1:100">
      <c r="A8583" s="374"/>
      <c r="C8583" s="374"/>
      <c r="CV8583" s="376"/>
    </row>
    <row r="8584" spans="1:100">
      <c r="A8584" s="374"/>
      <c r="C8584" s="374"/>
      <c r="CV8584" s="376"/>
    </row>
    <row r="8585" spans="1:100">
      <c r="A8585" s="374"/>
      <c r="C8585" s="374"/>
      <c r="CV8585" s="376"/>
    </row>
    <row r="8586" spans="1:100">
      <c r="A8586" s="374"/>
      <c r="C8586" s="374"/>
      <c r="CV8586" s="376"/>
    </row>
    <row r="8587" spans="1:100">
      <c r="A8587" s="374"/>
      <c r="C8587" s="374"/>
      <c r="CV8587" s="376"/>
    </row>
    <row r="8588" spans="1:100">
      <c r="A8588" s="374"/>
      <c r="C8588" s="374"/>
      <c r="CV8588" s="376"/>
    </row>
    <row r="8589" spans="1:100">
      <c r="A8589" s="374"/>
      <c r="C8589" s="374"/>
      <c r="CV8589" s="376"/>
    </row>
    <row r="8590" spans="1:100">
      <c r="A8590" s="374"/>
      <c r="C8590" s="374"/>
      <c r="CV8590" s="376"/>
    </row>
    <row r="8591" spans="1:100">
      <c r="A8591" s="374"/>
      <c r="C8591" s="374"/>
      <c r="CV8591" s="376"/>
    </row>
    <row r="8592" spans="1:100">
      <c r="A8592" s="374"/>
      <c r="C8592" s="374"/>
      <c r="CV8592" s="376"/>
    </row>
    <row r="8593" spans="1:100">
      <c r="A8593" s="374"/>
      <c r="C8593" s="374"/>
      <c r="CV8593" s="376"/>
    </row>
    <row r="8594" spans="1:100">
      <c r="A8594" s="374"/>
      <c r="C8594" s="374"/>
      <c r="CV8594" s="376"/>
    </row>
    <row r="8595" spans="1:100">
      <c r="A8595" s="374"/>
      <c r="C8595" s="374"/>
      <c r="CV8595" s="376"/>
    </row>
    <row r="8596" spans="1:100">
      <c r="A8596" s="374"/>
      <c r="C8596" s="374"/>
      <c r="CV8596" s="376"/>
    </row>
    <row r="8597" spans="1:100">
      <c r="A8597" s="374"/>
      <c r="C8597" s="374"/>
      <c r="CV8597" s="376"/>
    </row>
    <row r="8598" spans="1:100">
      <c r="A8598" s="374"/>
      <c r="C8598" s="374"/>
      <c r="CV8598" s="376"/>
    </row>
    <row r="8599" spans="1:100">
      <c r="A8599" s="374"/>
      <c r="C8599" s="374"/>
      <c r="CV8599" s="376"/>
    </row>
    <row r="8600" spans="1:100">
      <c r="A8600" s="374"/>
      <c r="C8600" s="374"/>
      <c r="CV8600" s="376"/>
    </row>
    <row r="8601" spans="1:100">
      <c r="A8601" s="374"/>
      <c r="C8601" s="374"/>
      <c r="CV8601" s="376"/>
    </row>
    <row r="8602" spans="1:100">
      <c r="A8602" s="374"/>
      <c r="C8602" s="374"/>
      <c r="CV8602" s="376"/>
    </row>
    <row r="8603" spans="1:100">
      <c r="A8603" s="374"/>
      <c r="C8603" s="374"/>
      <c r="CV8603" s="376"/>
    </row>
    <row r="8604" spans="1:100">
      <c r="A8604" s="374"/>
      <c r="C8604" s="374"/>
      <c r="CV8604" s="376"/>
    </row>
    <row r="8605" spans="1:100">
      <c r="A8605" s="374"/>
      <c r="C8605" s="374"/>
      <c r="CV8605" s="376"/>
    </row>
    <row r="8606" spans="1:100">
      <c r="A8606" s="374"/>
      <c r="C8606" s="374"/>
      <c r="CV8606" s="376"/>
    </row>
    <row r="8607" spans="1:100">
      <c r="A8607" s="374"/>
      <c r="C8607" s="374"/>
      <c r="CV8607" s="376"/>
    </row>
    <row r="8608" spans="1:100">
      <c r="A8608" s="374"/>
      <c r="C8608" s="374"/>
      <c r="CV8608" s="376"/>
    </row>
    <row r="8609" spans="1:100">
      <c r="A8609" s="374"/>
      <c r="C8609" s="374"/>
      <c r="CV8609" s="376"/>
    </row>
    <row r="8610" spans="1:100">
      <c r="A8610" s="374"/>
      <c r="C8610" s="374"/>
      <c r="CV8610" s="376"/>
    </row>
    <row r="8611" spans="1:100">
      <c r="A8611" s="374"/>
      <c r="C8611" s="374"/>
      <c r="CV8611" s="376"/>
    </row>
    <row r="8612" spans="1:100">
      <c r="A8612" s="374"/>
      <c r="C8612" s="374"/>
      <c r="CV8612" s="376"/>
    </row>
    <row r="8613" spans="1:100">
      <c r="A8613" s="374"/>
      <c r="C8613" s="374"/>
      <c r="CV8613" s="376"/>
    </row>
    <row r="8614" spans="1:100">
      <c r="A8614" s="374"/>
      <c r="C8614" s="374"/>
      <c r="CV8614" s="376"/>
    </row>
    <row r="8615" spans="1:100">
      <c r="A8615" s="374"/>
      <c r="C8615" s="374"/>
      <c r="CV8615" s="376"/>
    </row>
    <row r="8616" spans="1:100">
      <c r="A8616" s="374"/>
      <c r="C8616" s="374"/>
      <c r="CV8616" s="376"/>
    </row>
    <row r="8617" spans="1:100">
      <c r="A8617" s="374"/>
      <c r="C8617" s="374"/>
      <c r="CV8617" s="376"/>
    </row>
    <row r="8618" spans="1:100">
      <c r="A8618" s="374"/>
      <c r="C8618" s="374"/>
      <c r="CV8618" s="376"/>
    </row>
    <row r="8619" spans="1:100">
      <c r="A8619" s="374"/>
      <c r="C8619" s="374"/>
      <c r="CV8619" s="376"/>
    </row>
    <row r="8620" spans="1:100">
      <c r="A8620" s="374"/>
      <c r="C8620" s="374"/>
      <c r="CV8620" s="376"/>
    </row>
    <row r="8621" spans="1:100">
      <c r="A8621" s="374"/>
      <c r="C8621" s="374"/>
      <c r="CV8621" s="376"/>
    </row>
    <row r="8622" spans="1:100">
      <c r="A8622" s="374"/>
      <c r="C8622" s="374"/>
      <c r="CV8622" s="376"/>
    </row>
    <row r="8623" spans="1:100">
      <c r="A8623" s="374"/>
      <c r="C8623" s="374"/>
      <c r="CV8623" s="376"/>
    </row>
    <row r="8624" spans="1:100">
      <c r="A8624" s="374"/>
      <c r="C8624" s="374"/>
      <c r="CV8624" s="376"/>
    </row>
    <row r="8625" spans="1:100">
      <c r="A8625" s="374"/>
      <c r="C8625" s="374"/>
      <c r="CV8625" s="376"/>
    </row>
    <row r="8626" spans="1:100">
      <c r="A8626" s="374"/>
      <c r="C8626" s="374"/>
      <c r="CV8626" s="376"/>
    </row>
    <row r="8627" spans="1:100">
      <c r="A8627" s="374"/>
      <c r="C8627" s="374"/>
      <c r="CV8627" s="376"/>
    </row>
    <row r="8628" spans="1:100">
      <c r="A8628" s="374"/>
      <c r="C8628" s="374"/>
      <c r="CV8628" s="376"/>
    </row>
    <row r="8629" spans="1:100">
      <c r="A8629" s="374"/>
      <c r="C8629" s="374"/>
      <c r="CV8629" s="376"/>
    </row>
    <row r="8630" spans="1:100">
      <c r="A8630" s="374"/>
      <c r="C8630" s="374"/>
      <c r="CV8630" s="376"/>
    </row>
    <row r="8631" spans="1:100">
      <c r="A8631" s="374"/>
      <c r="C8631" s="374"/>
      <c r="CV8631" s="376"/>
    </row>
    <row r="8632" spans="1:100">
      <c r="A8632" s="374"/>
      <c r="C8632" s="374"/>
      <c r="CV8632" s="376"/>
    </row>
    <row r="8633" spans="1:100">
      <c r="A8633" s="374"/>
      <c r="C8633" s="374"/>
      <c r="CV8633" s="376"/>
    </row>
    <row r="8634" spans="1:100">
      <c r="A8634" s="374"/>
      <c r="C8634" s="374"/>
      <c r="CV8634" s="376"/>
    </row>
    <row r="8635" spans="1:100">
      <c r="A8635" s="374"/>
      <c r="C8635" s="374"/>
      <c r="CV8635" s="376"/>
    </row>
    <row r="8636" spans="1:100">
      <c r="A8636" s="374"/>
      <c r="C8636" s="374"/>
      <c r="CV8636" s="376"/>
    </row>
    <row r="8637" spans="1:100">
      <c r="A8637" s="374"/>
      <c r="C8637" s="374"/>
      <c r="CV8637" s="376"/>
    </row>
    <row r="8638" spans="1:100">
      <c r="A8638" s="374"/>
      <c r="C8638" s="374"/>
      <c r="CV8638" s="376"/>
    </row>
    <row r="8639" spans="1:100">
      <c r="A8639" s="374"/>
      <c r="C8639" s="374"/>
      <c r="CV8639" s="376"/>
    </row>
    <row r="8640" spans="1:100">
      <c r="A8640" s="374"/>
      <c r="C8640" s="374"/>
      <c r="CV8640" s="376"/>
    </row>
    <row r="8641" spans="1:100">
      <c r="A8641" s="374"/>
      <c r="C8641" s="374"/>
      <c r="CV8641" s="376"/>
    </row>
    <row r="8642" spans="1:100">
      <c r="A8642" s="374"/>
      <c r="C8642" s="374"/>
      <c r="CV8642" s="376"/>
    </row>
    <row r="8643" spans="1:100">
      <c r="A8643" s="374"/>
      <c r="C8643" s="374"/>
      <c r="CV8643" s="376"/>
    </row>
    <row r="8644" spans="1:100">
      <c r="A8644" s="374"/>
      <c r="C8644" s="374"/>
      <c r="CV8644" s="376"/>
    </row>
    <row r="8645" spans="1:100">
      <c r="A8645" s="374"/>
      <c r="C8645" s="374"/>
      <c r="CV8645" s="376"/>
    </row>
    <row r="8646" spans="1:100">
      <c r="A8646" s="374"/>
      <c r="C8646" s="374"/>
      <c r="CV8646" s="376"/>
    </row>
    <row r="8647" spans="1:100">
      <c r="A8647" s="374"/>
      <c r="C8647" s="374"/>
      <c r="CV8647" s="376"/>
    </row>
    <row r="8648" spans="1:100">
      <c r="A8648" s="374"/>
      <c r="C8648" s="374"/>
      <c r="CV8648" s="376"/>
    </row>
    <row r="8649" spans="1:100">
      <c r="A8649" s="374"/>
      <c r="C8649" s="374"/>
      <c r="CV8649" s="376"/>
    </row>
    <row r="8650" spans="1:100">
      <c r="A8650" s="374"/>
      <c r="C8650" s="374"/>
      <c r="CV8650" s="376"/>
    </row>
    <row r="8651" spans="1:100">
      <c r="A8651" s="374"/>
      <c r="C8651" s="374"/>
      <c r="CV8651" s="376"/>
    </row>
    <row r="8652" spans="1:100">
      <c r="A8652" s="374"/>
      <c r="C8652" s="374"/>
      <c r="CV8652" s="376"/>
    </row>
    <row r="8653" spans="1:100">
      <c r="A8653" s="374"/>
      <c r="C8653" s="374"/>
      <c r="CV8653" s="376"/>
    </row>
    <row r="8654" spans="1:100">
      <c r="A8654" s="374"/>
      <c r="C8654" s="374"/>
      <c r="CV8654" s="376"/>
    </row>
    <row r="8655" spans="1:100">
      <c r="A8655" s="374"/>
      <c r="C8655" s="374"/>
      <c r="CV8655" s="376"/>
    </row>
    <row r="8656" spans="1:100">
      <c r="A8656" s="374"/>
      <c r="C8656" s="374"/>
      <c r="CV8656" s="376"/>
    </row>
    <row r="8657" spans="1:100">
      <c r="A8657" s="374"/>
      <c r="C8657" s="374"/>
      <c r="CV8657" s="376"/>
    </row>
    <row r="8658" spans="1:100">
      <c r="A8658" s="374"/>
      <c r="C8658" s="374"/>
      <c r="CV8658" s="376"/>
    </row>
    <row r="8659" spans="1:100">
      <c r="A8659" s="374"/>
      <c r="C8659" s="374"/>
      <c r="CV8659" s="376"/>
    </row>
    <row r="8660" spans="1:100">
      <c r="A8660" s="374"/>
      <c r="C8660" s="374"/>
      <c r="CV8660" s="376"/>
    </row>
    <row r="8661" spans="1:100">
      <c r="A8661" s="374"/>
      <c r="C8661" s="374"/>
      <c r="CV8661" s="376"/>
    </row>
    <row r="8662" spans="1:100">
      <c r="A8662" s="374"/>
      <c r="C8662" s="374"/>
      <c r="CV8662" s="376"/>
    </row>
    <row r="8663" spans="1:100">
      <c r="A8663" s="374"/>
      <c r="C8663" s="374"/>
      <c r="CV8663" s="376"/>
    </row>
    <row r="8664" spans="1:100">
      <c r="A8664" s="374"/>
      <c r="C8664" s="374"/>
      <c r="CV8664" s="376"/>
    </row>
    <row r="8665" spans="1:100">
      <c r="A8665" s="374"/>
      <c r="C8665" s="374"/>
      <c r="CV8665" s="376"/>
    </row>
    <row r="8666" spans="1:100">
      <c r="A8666" s="374"/>
      <c r="C8666" s="374"/>
      <c r="CV8666" s="376"/>
    </row>
    <row r="8667" spans="1:100">
      <c r="A8667" s="374"/>
      <c r="C8667" s="374"/>
      <c r="CV8667" s="376"/>
    </row>
    <row r="8668" spans="1:100">
      <c r="A8668" s="374"/>
      <c r="C8668" s="374"/>
      <c r="CV8668" s="376"/>
    </row>
    <row r="8669" spans="1:100">
      <c r="A8669" s="374"/>
      <c r="C8669" s="374"/>
      <c r="CV8669" s="376"/>
    </row>
    <row r="8670" spans="1:100">
      <c r="A8670" s="374"/>
      <c r="C8670" s="374"/>
      <c r="CV8670" s="376"/>
    </row>
    <row r="8671" spans="1:100">
      <c r="A8671" s="374"/>
      <c r="C8671" s="374"/>
      <c r="CV8671" s="376"/>
    </row>
    <row r="8672" spans="1:100">
      <c r="A8672" s="374"/>
      <c r="C8672" s="374"/>
      <c r="CV8672" s="376"/>
    </row>
    <row r="8673" spans="1:100">
      <c r="A8673" s="374"/>
      <c r="C8673" s="374"/>
      <c r="CV8673" s="376"/>
    </row>
    <row r="8674" spans="1:100">
      <c r="A8674" s="374"/>
      <c r="C8674" s="374"/>
      <c r="CV8674" s="376"/>
    </row>
    <row r="8675" spans="1:100">
      <c r="A8675" s="374"/>
      <c r="C8675" s="374"/>
      <c r="CV8675" s="376"/>
    </row>
    <row r="8676" spans="1:100">
      <c r="A8676" s="374"/>
      <c r="C8676" s="374"/>
      <c r="CV8676" s="376"/>
    </row>
    <row r="8677" spans="1:100">
      <c r="A8677" s="374"/>
      <c r="C8677" s="374"/>
      <c r="CV8677" s="376"/>
    </row>
    <row r="8678" spans="1:100">
      <c r="A8678" s="374"/>
      <c r="C8678" s="374"/>
      <c r="CV8678" s="376"/>
    </row>
    <row r="8679" spans="1:100">
      <c r="A8679" s="374"/>
      <c r="C8679" s="374"/>
      <c r="CV8679" s="376"/>
    </row>
    <row r="8680" spans="1:100">
      <c r="A8680" s="374"/>
      <c r="C8680" s="374"/>
      <c r="CV8680" s="376"/>
    </row>
    <row r="8681" spans="1:100">
      <c r="A8681" s="374"/>
      <c r="C8681" s="374"/>
      <c r="CV8681" s="376"/>
    </row>
    <row r="8682" spans="1:100">
      <c r="A8682" s="374"/>
      <c r="C8682" s="374"/>
      <c r="CV8682" s="376"/>
    </row>
    <row r="8683" spans="1:100">
      <c r="A8683" s="374"/>
      <c r="C8683" s="374"/>
      <c r="CV8683" s="376"/>
    </row>
    <row r="8684" spans="1:100">
      <c r="A8684" s="374"/>
      <c r="C8684" s="374"/>
      <c r="CV8684" s="376"/>
    </row>
    <row r="8685" spans="1:100">
      <c r="A8685" s="374"/>
      <c r="C8685" s="374"/>
      <c r="CV8685" s="376"/>
    </row>
    <row r="8686" spans="1:100">
      <c r="A8686" s="374"/>
      <c r="C8686" s="374"/>
      <c r="CV8686" s="376"/>
    </row>
    <row r="8687" spans="1:100">
      <c r="A8687" s="374"/>
      <c r="C8687" s="374"/>
      <c r="CV8687" s="376"/>
    </row>
    <row r="8688" spans="1:100">
      <c r="A8688" s="374"/>
      <c r="C8688" s="374"/>
      <c r="CV8688" s="376"/>
    </row>
    <row r="8689" spans="1:100">
      <c r="A8689" s="374"/>
      <c r="C8689" s="374"/>
      <c r="CV8689" s="376"/>
    </row>
    <row r="8690" spans="1:100">
      <c r="A8690" s="374"/>
      <c r="C8690" s="374"/>
      <c r="CV8690" s="376"/>
    </row>
    <row r="8691" spans="1:100">
      <c r="A8691" s="374"/>
      <c r="C8691" s="374"/>
      <c r="CV8691" s="376"/>
    </row>
    <row r="8692" spans="1:100">
      <c r="A8692" s="374"/>
      <c r="C8692" s="374"/>
      <c r="CV8692" s="376"/>
    </row>
    <row r="8693" spans="1:100">
      <c r="A8693" s="374"/>
      <c r="C8693" s="374"/>
      <c r="CV8693" s="376"/>
    </row>
    <row r="8694" spans="1:100">
      <c r="A8694" s="374"/>
      <c r="C8694" s="374"/>
      <c r="CV8694" s="376"/>
    </row>
    <row r="8695" spans="1:100">
      <c r="A8695" s="374"/>
      <c r="C8695" s="374"/>
      <c r="CV8695" s="376"/>
    </row>
    <row r="8696" spans="1:100">
      <c r="A8696" s="374"/>
      <c r="C8696" s="374"/>
      <c r="CV8696" s="376"/>
    </row>
    <row r="8697" spans="1:100">
      <c r="A8697" s="374"/>
      <c r="C8697" s="374"/>
      <c r="CV8697" s="376"/>
    </row>
    <row r="8698" spans="1:100">
      <c r="A8698" s="374"/>
      <c r="C8698" s="374"/>
      <c r="CV8698" s="376"/>
    </row>
    <row r="8699" spans="1:100">
      <c r="A8699" s="374"/>
      <c r="C8699" s="374"/>
      <c r="CV8699" s="376"/>
    </row>
    <row r="8700" spans="1:100">
      <c r="A8700" s="374"/>
      <c r="C8700" s="374"/>
      <c r="CV8700" s="376"/>
    </row>
    <row r="8701" spans="1:100">
      <c r="A8701" s="374"/>
      <c r="C8701" s="374"/>
      <c r="CV8701" s="376"/>
    </row>
    <row r="8702" spans="1:100">
      <c r="A8702" s="374"/>
      <c r="C8702" s="374"/>
      <c r="CV8702" s="376"/>
    </row>
    <row r="8703" spans="1:100">
      <c r="A8703" s="374"/>
      <c r="C8703" s="374"/>
      <c r="CV8703" s="376"/>
    </row>
    <row r="8704" spans="1:100">
      <c r="A8704" s="374"/>
      <c r="C8704" s="374"/>
      <c r="CV8704" s="376"/>
    </row>
    <row r="8705" spans="1:100">
      <c r="A8705" s="374"/>
      <c r="C8705" s="374"/>
      <c r="CV8705" s="376"/>
    </row>
    <row r="8706" spans="1:100">
      <c r="A8706" s="374"/>
      <c r="C8706" s="374"/>
      <c r="CV8706" s="376"/>
    </row>
    <row r="8707" spans="1:100">
      <c r="A8707" s="374"/>
      <c r="C8707" s="374"/>
      <c r="CV8707" s="376"/>
    </row>
    <row r="8708" spans="1:100">
      <c r="A8708" s="374"/>
      <c r="C8708" s="374"/>
      <c r="CV8708" s="376"/>
    </row>
    <row r="8709" spans="1:100">
      <c r="A8709" s="374"/>
      <c r="C8709" s="374"/>
      <c r="CV8709" s="376"/>
    </row>
    <row r="8710" spans="1:100">
      <c r="A8710" s="374"/>
      <c r="C8710" s="374"/>
      <c r="CV8710" s="376"/>
    </row>
    <row r="8711" spans="1:100">
      <c r="A8711" s="374"/>
      <c r="C8711" s="374"/>
      <c r="CV8711" s="376"/>
    </row>
    <row r="8712" spans="1:100">
      <c r="A8712" s="374"/>
      <c r="C8712" s="374"/>
      <c r="CV8712" s="376"/>
    </row>
    <row r="8713" spans="1:100">
      <c r="A8713" s="374"/>
      <c r="C8713" s="374"/>
      <c r="CV8713" s="376"/>
    </row>
    <row r="8714" spans="1:100">
      <c r="A8714" s="374"/>
      <c r="C8714" s="374"/>
      <c r="CV8714" s="376"/>
    </row>
    <row r="8715" spans="1:100">
      <c r="A8715" s="374"/>
      <c r="C8715" s="374"/>
      <c r="CV8715" s="376"/>
    </row>
    <row r="8716" spans="1:100">
      <c r="A8716" s="374"/>
      <c r="C8716" s="374"/>
      <c r="CV8716" s="376"/>
    </row>
    <row r="8717" spans="1:100">
      <c r="A8717" s="374"/>
      <c r="C8717" s="374"/>
      <c r="CV8717" s="376"/>
    </row>
    <row r="8718" spans="1:100">
      <c r="A8718" s="374"/>
      <c r="C8718" s="374"/>
      <c r="CV8718" s="376"/>
    </row>
    <row r="8719" spans="1:100">
      <c r="A8719" s="374"/>
      <c r="C8719" s="374"/>
      <c r="CV8719" s="376"/>
    </row>
    <row r="8720" spans="1:100">
      <c r="A8720" s="374"/>
      <c r="C8720" s="374"/>
      <c r="CV8720" s="376"/>
    </row>
    <row r="8721" spans="1:100">
      <c r="A8721" s="374"/>
      <c r="C8721" s="374"/>
      <c r="CV8721" s="376"/>
    </row>
    <row r="8722" spans="1:100">
      <c r="A8722" s="374"/>
      <c r="C8722" s="374"/>
      <c r="CV8722" s="376"/>
    </row>
    <row r="8723" spans="1:100">
      <c r="A8723" s="374"/>
      <c r="C8723" s="374"/>
      <c r="CV8723" s="376"/>
    </row>
    <row r="8724" spans="1:100">
      <c r="A8724" s="374"/>
      <c r="C8724" s="374"/>
      <c r="CV8724" s="376"/>
    </row>
    <row r="8725" spans="1:100">
      <c r="A8725" s="374"/>
      <c r="C8725" s="374"/>
      <c r="CV8725" s="376"/>
    </row>
    <row r="8726" spans="1:100">
      <c r="A8726" s="374"/>
      <c r="C8726" s="374"/>
      <c r="CV8726" s="376"/>
    </row>
    <row r="8727" spans="1:100">
      <c r="A8727" s="374"/>
      <c r="C8727" s="374"/>
      <c r="CV8727" s="376"/>
    </row>
    <row r="8728" spans="1:100">
      <c r="A8728" s="374"/>
      <c r="C8728" s="374"/>
      <c r="CV8728" s="376"/>
    </row>
    <row r="8729" spans="1:100">
      <c r="A8729" s="374"/>
      <c r="C8729" s="374"/>
      <c r="CV8729" s="376"/>
    </row>
    <row r="8730" spans="1:100">
      <c r="A8730" s="374"/>
      <c r="C8730" s="374"/>
      <c r="CV8730" s="376"/>
    </row>
    <row r="8731" spans="1:100">
      <c r="A8731" s="374"/>
      <c r="C8731" s="374"/>
      <c r="CV8731" s="376"/>
    </row>
    <row r="8732" spans="1:100">
      <c r="A8732" s="374"/>
      <c r="C8732" s="374"/>
      <c r="CV8732" s="376"/>
    </row>
    <row r="8733" spans="1:100">
      <c r="A8733" s="374"/>
      <c r="C8733" s="374"/>
      <c r="CV8733" s="376"/>
    </row>
    <row r="8734" spans="1:100">
      <c r="A8734" s="374"/>
      <c r="C8734" s="374"/>
      <c r="CV8734" s="376"/>
    </row>
    <row r="8735" spans="1:100">
      <c r="A8735" s="374"/>
      <c r="C8735" s="374"/>
      <c r="CV8735" s="376"/>
    </row>
    <row r="8736" spans="1:100">
      <c r="A8736" s="374"/>
      <c r="C8736" s="374"/>
      <c r="CV8736" s="376"/>
    </row>
    <row r="8737" spans="1:100">
      <c r="A8737" s="374"/>
      <c r="C8737" s="374"/>
      <c r="CV8737" s="376"/>
    </row>
    <row r="8738" spans="1:100">
      <c r="A8738" s="374"/>
      <c r="C8738" s="374"/>
      <c r="CV8738" s="376"/>
    </row>
    <row r="8739" spans="1:100">
      <c r="A8739" s="374"/>
      <c r="C8739" s="374"/>
      <c r="CV8739" s="376"/>
    </row>
    <row r="8740" spans="1:100">
      <c r="A8740" s="374"/>
      <c r="C8740" s="374"/>
      <c r="CV8740" s="376"/>
    </row>
    <row r="8741" spans="1:100">
      <c r="A8741" s="374"/>
      <c r="C8741" s="374"/>
      <c r="CV8741" s="376"/>
    </row>
    <row r="8742" spans="1:100">
      <c r="A8742" s="374"/>
      <c r="C8742" s="374"/>
      <c r="CV8742" s="376"/>
    </row>
    <row r="8743" spans="1:100">
      <c r="A8743" s="374"/>
      <c r="C8743" s="374"/>
      <c r="CV8743" s="376"/>
    </row>
    <row r="8744" spans="1:100">
      <c r="A8744" s="374"/>
      <c r="C8744" s="374"/>
      <c r="CV8744" s="376"/>
    </row>
    <row r="8745" spans="1:100">
      <c r="A8745" s="374"/>
      <c r="C8745" s="374"/>
      <c r="CV8745" s="376"/>
    </row>
    <row r="8746" spans="1:100">
      <c r="A8746" s="374"/>
      <c r="C8746" s="374"/>
      <c r="CV8746" s="376"/>
    </row>
    <row r="8747" spans="1:100">
      <c r="A8747" s="374"/>
      <c r="C8747" s="374"/>
      <c r="CV8747" s="376"/>
    </row>
    <row r="8748" spans="1:100">
      <c r="A8748" s="374"/>
      <c r="C8748" s="374"/>
      <c r="CV8748" s="376"/>
    </row>
    <row r="8749" spans="1:100">
      <c r="A8749" s="374"/>
      <c r="C8749" s="374"/>
      <c r="CV8749" s="376"/>
    </row>
    <row r="8750" spans="1:100">
      <c r="A8750" s="374"/>
      <c r="C8750" s="374"/>
      <c r="CV8750" s="376"/>
    </row>
    <row r="8751" spans="1:100">
      <c r="A8751" s="374"/>
      <c r="C8751" s="374"/>
      <c r="CV8751" s="376"/>
    </row>
    <row r="8752" spans="1:100">
      <c r="A8752" s="374"/>
      <c r="C8752" s="374"/>
      <c r="CV8752" s="376"/>
    </row>
    <row r="8753" spans="1:100">
      <c r="A8753" s="374"/>
      <c r="C8753" s="374"/>
      <c r="CV8753" s="376"/>
    </row>
    <row r="8754" spans="1:100">
      <c r="A8754" s="374"/>
      <c r="C8754" s="374"/>
      <c r="CV8754" s="376"/>
    </row>
    <row r="8755" spans="1:100">
      <c r="A8755" s="374"/>
      <c r="C8755" s="374"/>
      <c r="CV8755" s="376"/>
    </row>
    <row r="8756" spans="1:100">
      <c r="A8756" s="374"/>
      <c r="C8756" s="374"/>
      <c r="CV8756" s="376"/>
    </row>
    <row r="8757" spans="1:100">
      <c r="A8757" s="374"/>
      <c r="C8757" s="374"/>
      <c r="CV8757" s="376"/>
    </row>
    <row r="8758" spans="1:100">
      <c r="A8758" s="374"/>
      <c r="C8758" s="374"/>
      <c r="CV8758" s="376"/>
    </row>
    <row r="8759" spans="1:100">
      <c r="A8759" s="374"/>
      <c r="C8759" s="374"/>
      <c r="CV8759" s="376"/>
    </row>
    <row r="8760" spans="1:100">
      <c r="A8760" s="374"/>
      <c r="C8760" s="374"/>
      <c r="CV8760" s="376"/>
    </row>
    <row r="8761" spans="1:100">
      <c r="A8761" s="374"/>
      <c r="C8761" s="374"/>
      <c r="CV8761" s="376"/>
    </row>
    <row r="8762" spans="1:100">
      <c r="A8762" s="374"/>
      <c r="C8762" s="374"/>
      <c r="CV8762" s="376"/>
    </row>
    <row r="8763" spans="1:100">
      <c r="A8763" s="374"/>
      <c r="C8763" s="374"/>
      <c r="CV8763" s="376"/>
    </row>
    <row r="8764" spans="1:100">
      <c r="A8764" s="374"/>
      <c r="C8764" s="374"/>
      <c r="CV8764" s="376"/>
    </row>
    <row r="8765" spans="1:100">
      <c r="A8765" s="374"/>
      <c r="C8765" s="374"/>
      <c r="CV8765" s="376"/>
    </row>
    <row r="8766" spans="1:100">
      <c r="A8766" s="374"/>
      <c r="C8766" s="374"/>
      <c r="CV8766" s="376"/>
    </row>
    <row r="8767" spans="1:100">
      <c r="A8767" s="374"/>
      <c r="C8767" s="374"/>
      <c r="CV8767" s="376"/>
    </row>
    <row r="8768" spans="1:100">
      <c r="A8768" s="374"/>
      <c r="C8768" s="374"/>
      <c r="CV8768" s="376"/>
    </row>
    <row r="8769" spans="1:100">
      <c r="A8769" s="374"/>
      <c r="C8769" s="374"/>
      <c r="CV8769" s="376"/>
    </row>
    <row r="8770" spans="1:100">
      <c r="A8770" s="374"/>
      <c r="C8770" s="374"/>
      <c r="CV8770" s="376"/>
    </row>
    <row r="8771" spans="1:100">
      <c r="A8771" s="374"/>
      <c r="C8771" s="374"/>
      <c r="CV8771" s="376"/>
    </row>
    <row r="8772" spans="1:100">
      <c r="A8772" s="374"/>
      <c r="C8772" s="374"/>
      <c r="CV8772" s="376"/>
    </row>
    <row r="8773" spans="1:100">
      <c r="A8773" s="374"/>
      <c r="C8773" s="374"/>
      <c r="CV8773" s="376"/>
    </row>
    <row r="8774" spans="1:100">
      <c r="A8774" s="374"/>
      <c r="C8774" s="374"/>
      <c r="CV8774" s="376"/>
    </row>
    <row r="8775" spans="1:100">
      <c r="A8775" s="374"/>
      <c r="C8775" s="374"/>
      <c r="CV8775" s="376"/>
    </row>
    <row r="8776" spans="1:100">
      <c r="A8776" s="374"/>
      <c r="C8776" s="374"/>
      <c r="CV8776" s="376"/>
    </row>
    <row r="8777" spans="1:100">
      <c r="A8777" s="374"/>
      <c r="C8777" s="374"/>
      <c r="CV8777" s="376"/>
    </row>
    <row r="8778" spans="1:100">
      <c r="A8778" s="374"/>
      <c r="C8778" s="374"/>
      <c r="CV8778" s="376"/>
    </row>
    <row r="8779" spans="1:100">
      <c r="A8779" s="374"/>
      <c r="C8779" s="374"/>
      <c r="CV8779" s="376"/>
    </row>
    <row r="8780" spans="1:100">
      <c r="A8780" s="374"/>
      <c r="C8780" s="374"/>
      <c r="CV8780" s="376"/>
    </row>
    <row r="8781" spans="1:100">
      <c r="A8781" s="374"/>
      <c r="C8781" s="374"/>
      <c r="CV8781" s="376"/>
    </row>
    <row r="8782" spans="1:100">
      <c r="A8782" s="374"/>
      <c r="C8782" s="374"/>
      <c r="CV8782" s="376"/>
    </row>
    <row r="8783" spans="1:100">
      <c r="A8783" s="374"/>
      <c r="C8783" s="374"/>
      <c r="CV8783" s="376"/>
    </row>
    <row r="8784" spans="1:100">
      <c r="A8784" s="374"/>
      <c r="C8784" s="374"/>
      <c r="CV8784" s="376"/>
    </row>
    <row r="8785" spans="1:100">
      <c r="A8785" s="374"/>
      <c r="C8785" s="374"/>
      <c r="CV8785" s="376"/>
    </row>
    <row r="8786" spans="1:100">
      <c r="A8786" s="374"/>
      <c r="C8786" s="374"/>
      <c r="CV8786" s="376"/>
    </row>
    <row r="8787" spans="1:100">
      <c r="A8787" s="374"/>
      <c r="C8787" s="374"/>
      <c r="CV8787" s="376"/>
    </row>
    <row r="8788" spans="1:100">
      <c r="A8788" s="374"/>
      <c r="C8788" s="374"/>
      <c r="CV8788" s="376"/>
    </row>
    <row r="8789" spans="1:100">
      <c r="A8789" s="374"/>
      <c r="C8789" s="374"/>
      <c r="CV8789" s="376"/>
    </row>
    <row r="8790" spans="1:100">
      <c r="A8790" s="374"/>
      <c r="C8790" s="374"/>
      <c r="CV8790" s="376"/>
    </row>
    <row r="8791" spans="1:100">
      <c r="A8791" s="374"/>
      <c r="C8791" s="374"/>
      <c r="CV8791" s="376"/>
    </row>
    <row r="8792" spans="1:100">
      <c r="A8792" s="374"/>
      <c r="C8792" s="374"/>
      <c r="CV8792" s="376"/>
    </row>
    <row r="8793" spans="1:100">
      <c r="A8793" s="374"/>
      <c r="C8793" s="374"/>
      <c r="CV8793" s="376"/>
    </row>
    <row r="8794" spans="1:100">
      <c r="A8794" s="374"/>
      <c r="C8794" s="374"/>
      <c r="CV8794" s="376"/>
    </row>
    <row r="8795" spans="1:100">
      <c r="A8795" s="374"/>
      <c r="C8795" s="374"/>
      <c r="CV8795" s="376"/>
    </row>
    <row r="8796" spans="1:100">
      <c r="A8796" s="374"/>
      <c r="C8796" s="374"/>
      <c r="CV8796" s="376"/>
    </row>
    <row r="8797" spans="1:100">
      <c r="A8797" s="374"/>
      <c r="C8797" s="374"/>
      <c r="CV8797" s="376"/>
    </row>
    <row r="8798" spans="1:100">
      <c r="A8798" s="374"/>
      <c r="C8798" s="374"/>
      <c r="CV8798" s="376"/>
    </row>
    <row r="8799" spans="1:100">
      <c r="A8799" s="374"/>
      <c r="C8799" s="374"/>
      <c r="CV8799" s="376"/>
    </row>
    <row r="8800" spans="1:100">
      <c r="A8800" s="374"/>
      <c r="C8800" s="374"/>
      <c r="CV8800" s="376"/>
    </row>
    <row r="8801" spans="1:100">
      <c r="A8801" s="374"/>
      <c r="C8801" s="374"/>
      <c r="CV8801" s="376"/>
    </row>
    <row r="8802" spans="1:100">
      <c r="A8802" s="374"/>
      <c r="C8802" s="374"/>
      <c r="CV8802" s="376"/>
    </row>
    <row r="8803" spans="1:100">
      <c r="A8803" s="374"/>
      <c r="C8803" s="374"/>
      <c r="CV8803" s="376"/>
    </row>
    <row r="8804" spans="1:100">
      <c r="A8804" s="374"/>
      <c r="C8804" s="374"/>
      <c r="CV8804" s="376"/>
    </row>
    <row r="8805" spans="1:100">
      <c r="A8805" s="374"/>
      <c r="C8805" s="374"/>
      <c r="CV8805" s="376"/>
    </row>
    <row r="8806" spans="1:100">
      <c r="A8806" s="374"/>
      <c r="C8806" s="374"/>
      <c r="CV8806" s="376"/>
    </row>
    <row r="8807" spans="1:100">
      <c r="A8807" s="374"/>
      <c r="C8807" s="374"/>
      <c r="CV8807" s="376"/>
    </row>
    <row r="8808" spans="1:100">
      <c r="A8808" s="374"/>
      <c r="C8808" s="374"/>
      <c r="CV8808" s="376"/>
    </row>
    <row r="8809" spans="1:100">
      <c r="A8809" s="374"/>
      <c r="C8809" s="374"/>
      <c r="CV8809" s="376"/>
    </row>
    <row r="8810" spans="1:100">
      <c r="A8810" s="374"/>
      <c r="C8810" s="374"/>
      <c r="CV8810" s="376"/>
    </row>
    <row r="8811" spans="1:100">
      <c r="A8811" s="374"/>
      <c r="C8811" s="374"/>
      <c r="CV8811" s="376"/>
    </row>
    <row r="8812" spans="1:100">
      <c r="A8812" s="374"/>
      <c r="C8812" s="374"/>
      <c r="CV8812" s="376"/>
    </row>
    <row r="8813" spans="1:100">
      <c r="A8813" s="374"/>
      <c r="C8813" s="374"/>
      <c r="CV8813" s="376"/>
    </row>
    <row r="8814" spans="1:100">
      <c r="A8814" s="374"/>
      <c r="C8814" s="374"/>
      <c r="CV8814" s="376"/>
    </row>
    <row r="8815" spans="1:100">
      <c r="A8815" s="374"/>
      <c r="C8815" s="374"/>
      <c r="CV8815" s="376"/>
    </row>
    <row r="8816" spans="1:100">
      <c r="A8816" s="374"/>
      <c r="C8816" s="374"/>
      <c r="CV8816" s="376"/>
    </row>
    <row r="8817" spans="1:100">
      <c r="A8817" s="374"/>
      <c r="C8817" s="374"/>
      <c r="CV8817" s="376"/>
    </row>
    <row r="8818" spans="1:100">
      <c r="A8818" s="374"/>
      <c r="C8818" s="374"/>
      <c r="CV8818" s="376"/>
    </row>
    <row r="8819" spans="1:100">
      <c r="A8819" s="374"/>
      <c r="C8819" s="374"/>
      <c r="CV8819" s="376"/>
    </row>
    <row r="8820" spans="1:100">
      <c r="A8820" s="374"/>
      <c r="C8820" s="374"/>
      <c r="CV8820" s="376"/>
    </row>
    <row r="8821" spans="1:100">
      <c r="A8821" s="374"/>
      <c r="C8821" s="374"/>
      <c r="CV8821" s="376"/>
    </row>
    <row r="8822" spans="1:100">
      <c r="A8822" s="374"/>
      <c r="C8822" s="374"/>
      <c r="CV8822" s="376"/>
    </row>
    <row r="8823" spans="1:100">
      <c r="A8823" s="374"/>
      <c r="C8823" s="374"/>
      <c r="CV8823" s="376"/>
    </row>
    <row r="8824" spans="1:100">
      <c r="A8824" s="374"/>
      <c r="C8824" s="374"/>
      <c r="CV8824" s="376"/>
    </row>
    <row r="8825" spans="1:100">
      <c r="A8825" s="374"/>
      <c r="C8825" s="374"/>
      <c r="CV8825" s="376"/>
    </row>
    <row r="8826" spans="1:100">
      <c r="A8826" s="374"/>
      <c r="C8826" s="374"/>
      <c r="CV8826" s="376"/>
    </row>
    <row r="8827" spans="1:100">
      <c r="A8827" s="374"/>
      <c r="C8827" s="374"/>
      <c r="CV8827" s="376"/>
    </row>
    <row r="8828" spans="1:100">
      <c r="A8828" s="374"/>
      <c r="C8828" s="374"/>
      <c r="CV8828" s="376"/>
    </row>
    <row r="8829" spans="1:100">
      <c r="A8829" s="374"/>
      <c r="C8829" s="374"/>
      <c r="CV8829" s="376"/>
    </row>
    <row r="8830" spans="1:100">
      <c r="A8830" s="374"/>
      <c r="C8830" s="374"/>
      <c r="CV8830" s="376"/>
    </row>
    <row r="8831" spans="1:100">
      <c r="A8831" s="374"/>
      <c r="C8831" s="374"/>
      <c r="CV8831" s="376"/>
    </row>
    <row r="8832" spans="1:100">
      <c r="A8832" s="374"/>
      <c r="C8832" s="374"/>
      <c r="CV8832" s="376"/>
    </row>
    <row r="8833" spans="1:100">
      <c r="A8833" s="374"/>
      <c r="C8833" s="374"/>
      <c r="CV8833" s="376"/>
    </row>
    <row r="8834" spans="1:100">
      <c r="A8834" s="374"/>
      <c r="C8834" s="374"/>
      <c r="CV8834" s="376"/>
    </row>
    <row r="8835" spans="1:100">
      <c r="A8835" s="374"/>
      <c r="C8835" s="374"/>
      <c r="CV8835" s="376"/>
    </row>
    <row r="8836" spans="1:100">
      <c r="A8836" s="374"/>
      <c r="C8836" s="374"/>
      <c r="CV8836" s="376"/>
    </row>
    <row r="8837" spans="1:100">
      <c r="A8837" s="374"/>
      <c r="C8837" s="374"/>
      <c r="CV8837" s="376"/>
    </row>
    <row r="8838" spans="1:100">
      <c r="A8838" s="374"/>
      <c r="C8838" s="374"/>
      <c r="CV8838" s="376"/>
    </row>
    <row r="8839" spans="1:100">
      <c r="A8839" s="374"/>
      <c r="C8839" s="374"/>
      <c r="CV8839" s="376"/>
    </row>
    <row r="8840" spans="1:100">
      <c r="A8840" s="374"/>
      <c r="C8840" s="374"/>
      <c r="CV8840" s="376"/>
    </row>
    <row r="8841" spans="1:100">
      <c r="A8841" s="374"/>
      <c r="C8841" s="374"/>
      <c r="CV8841" s="376"/>
    </row>
    <row r="8842" spans="1:100">
      <c r="A8842" s="374"/>
      <c r="C8842" s="374"/>
      <c r="CV8842" s="376"/>
    </row>
    <row r="8843" spans="1:100">
      <c r="A8843" s="374"/>
      <c r="C8843" s="374"/>
      <c r="CV8843" s="376"/>
    </row>
    <row r="8844" spans="1:100">
      <c r="A8844" s="374"/>
      <c r="C8844" s="374"/>
      <c r="CV8844" s="376"/>
    </row>
    <row r="8845" spans="1:100">
      <c r="A8845" s="374"/>
      <c r="C8845" s="374"/>
      <c r="CV8845" s="376"/>
    </row>
    <row r="8846" spans="1:100">
      <c r="A8846" s="374"/>
      <c r="C8846" s="374"/>
      <c r="CV8846" s="376"/>
    </row>
    <row r="8847" spans="1:100">
      <c r="A8847" s="374"/>
      <c r="C8847" s="374"/>
      <c r="CV8847" s="376"/>
    </row>
    <row r="8848" spans="1:100">
      <c r="A8848" s="374"/>
      <c r="C8848" s="374"/>
      <c r="CV8848" s="376"/>
    </row>
    <row r="8849" spans="1:100">
      <c r="A8849" s="374"/>
      <c r="C8849" s="374"/>
      <c r="CV8849" s="376"/>
    </row>
    <row r="8850" spans="1:100">
      <c r="A8850" s="374"/>
      <c r="C8850" s="374"/>
      <c r="CV8850" s="376"/>
    </row>
    <row r="8851" spans="1:100">
      <c r="A8851" s="374"/>
      <c r="C8851" s="374"/>
      <c r="CV8851" s="376"/>
    </row>
    <row r="8852" spans="1:100">
      <c r="A8852" s="374"/>
      <c r="C8852" s="374"/>
      <c r="CV8852" s="376"/>
    </row>
    <row r="8853" spans="1:100">
      <c r="A8853" s="374"/>
      <c r="C8853" s="374"/>
      <c r="CV8853" s="376"/>
    </row>
    <row r="8854" spans="1:100">
      <c r="A8854" s="374"/>
      <c r="C8854" s="374"/>
      <c r="CV8854" s="376"/>
    </row>
    <row r="8855" spans="1:100">
      <c r="A8855" s="374"/>
      <c r="C8855" s="374"/>
      <c r="CV8855" s="376"/>
    </row>
    <row r="8856" spans="1:100">
      <c r="A8856" s="374"/>
      <c r="C8856" s="374"/>
      <c r="CV8856" s="376"/>
    </row>
    <row r="8857" spans="1:100">
      <c r="A8857" s="374"/>
      <c r="C8857" s="374"/>
      <c r="CV8857" s="376"/>
    </row>
    <row r="8858" spans="1:100">
      <c r="A8858" s="374"/>
      <c r="C8858" s="374"/>
      <c r="CV8858" s="376"/>
    </row>
    <row r="8859" spans="1:100">
      <c r="A8859" s="374"/>
      <c r="C8859" s="374"/>
      <c r="CV8859" s="376"/>
    </row>
    <row r="8860" spans="1:100">
      <c r="A8860" s="374"/>
      <c r="C8860" s="374"/>
      <c r="CV8860" s="376"/>
    </row>
    <row r="8861" spans="1:100">
      <c r="A8861" s="374"/>
      <c r="C8861" s="374"/>
      <c r="CV8861" s="376"/>
    </row>
    <row r="8862" spans="1:100">
      <c r="A8862" s="374"/>
      <c r="C8862" s="374"/>
      <c r="CV8862" s="376"/>
    </row>
    <row r="8863" spans="1:100">
      <c r="A8863" s="374"/>
      <c r="C8863" s="374"/>
      <c r="CV8863" s="376"/>
    </row>
    <row r="8864" spans="1:100">
      <c r="A8864" s="374"/>
      <c r="C8864" s="374"/>
      <c r="CV8864" s="376"/>
    </row>
    <row r="8865" spans="1:100">
      <c r="A8865" s="374"/>
      <c r="C8865" s="374"/>
      <c r="CV8865" s="376"/>
    </row>
    <row r="8866" spans="1:100">
      <c r="A8866" s="374"/>
      <c r="C8866" s="374"/>
      <c r="CV8866" s="376"/>
    </row>
    <row r="8867" spans="1:100">
      <c r="A8867" s="374"/>
      <c r="C8867" s="374"/>
      <c r="CV8867" s="376"/>
    </row>
    <row r="8868" spans="1:100">
      <c r="A8868" s="374"/>
      <c r="C8868" s="374"/>
      <c r="CV8868" s="376"/>
    </row>
    <row r="8869" spans="1:100">
      <c r="A8869" s="374"/>
      <c r="C8869" s="374"/>
      <c r="CV8869" s="376"/>
    </row>
    <row r="8870" spans="1:100">
      <c r="A8870" s="374"/>
      <c r="C8870" s="374"/>
      <c r="CV8870" s="376"/>
    </row>
    <row r="8871" spans="1:100">
      <c r="A8871" s="374"/>
      <c r="C8871" s="374"/>
      <c r="CV8871" s="376"/>
    </row>
    <row r="8872" spans="1:100">
      <c r="A8872" s="374"/>
      <c r="C8872" s="374"/>
      <c r="CV8872" s="376"/>
    </row>
    <row r="8873" spans="1:100">
      <c r="A8873" s="374"/>
      <c r="C8873" s="374"/>
      <c r="CV8873" s="376"/>
    </row>
    <row r="8874" spans="1:100">
      <c r="A8874" s="374"/>
      <c r="C8874" s="374"/>
      <c r="CV8874" s="376"/>
    </row>
    <row r="8875" spans="1:100">
      <c r="A8875" s="374"/>
      <c r="C8875" s="374"/>
      <c r="CV8875" s="376"/>
    </row>
    <row r="8876" spans="1:100">
      <c r="A8876" s="374"/>
      <c r="C8876" s="374"/>
      <c r="CV8876" s="376"/>
    </row>
    <row r="8877" spans="1:100">
      <c r="A8877" s="374"/>
      <c r="C8877" s="374"/>
      <c r="CV8877" s="376"/>
    </row>
    <row r="8878" spans="1:100">
      <c r="A8878" s="374"/>
      <c r="C8878" s="374"/>
      <c r="CV8878" s="376"/>
    </row>
    <row r="8879" spans="1:100">
      <c r="A8879" s="374"/>
      <c r="C8879" s="374"/>
      <c r="CV8879" s="376"/>
    </row>
    <row r="8880" spans="1:100">
      <c r="A8880" s="374"/>
      <c r="C8880" s="374"/>
      <c r="CV8880" s="376"/>
    </row>
    <row r="8881" spans="1:100">
      <c r="A8881" s="374"/>
      <c r="C8881" s="374"/>
      <c r="CV8881" s="376"/>
    </row>
    <row r="8882" spans="1:100">
      <c r="A8882" s="374"/>
      <c r="C8882" s="374"/>
      <c r="CV8882" s="376"/>
    </row>
    <row r="8883" spans="1:100">
      <c r="A8883" s="374"/>
      <c r="C8883" s="374"/>
      <c r="CV8883" s="376"/>
    </row>
    <row r="8884" spans="1:100">
      <c r="A8884" s="374"/>
      <c r="C8884" s="374"/>
      <c r="CV8884" s="376"/>
    </row>
    <row r="8885" spans="1:100">
      <c r="A8885" s="374"/>
      <c r="C8885" s="374"/>
      <c r="CV8885" s="376"/>
    </row>
    <row r="8886" spans="1:100">
      <c r="A8886" s="374"/>
      <c r="C8886" s="374"/>
      <c r="CV8886" s="376"/>
    </row>
    <row r="8887" spans="1:100">
      <c r="A8887" s="374"/>
      <c r="C8887" s="374"/>
      <c r="CV8887" s="376"/>
    </row>
    <row r="8888" spans="1:100">
      <c r="A8888" s="374"/>
      <c r="C8888" s="374"/>
      <c r="CV8888" s="376"/>
    </row>
    <row r="8889" spans="1:100">
      <c r="A8889" s="374"/>
      <c r="C8889" s="374"/>
      <c r="CV8889" s="376"/>
    </row>
    <row r="8890" spans="1:100">
      <c r="A8890" s="374"/>
      <c r="C8890" s="374"/>
      <c r="CV8890" s="376"/>
    </row>
    <row r="8891" spans="1:100">
      <c r="A8891" s="374"/>
      <c r="C8891" s="374"/>
      <c r="CV8891" s="376"/>
    </row>
    <row r="8892" spans="1:100">
      <c r="A8892" s="374"/>
      <c r="C8892" s="374"/>
      <c r="CV8892" s="376"/>
    </row>
    <row r="8893" spans="1:100">
      <c r="A8893" s="374"/>
      <c r="C8893" s="374"/>
      <c r="CV8893" s="376"/>
    </row>
    <row r="8894" spans="1:100">
      <c r="A8894" s="374"/>
      <c r="C8894" s="374"/>
      <c r="CV8894" s="376"/>
    </row>
    <row r="8895" spans="1:100">
      <c r="A8895" s="374"/>
      <c r="C8895" s="374"/>
      <c r="CV8895" s="376"/>
    </row>
    <row r="8896" spans="1:100">
      <c r="A8896" s="374"/>
      <c r="C8896" s="374"/>
      <c r="CV8896" s="376"/>
    </row>
    <row r="8897" spans="1:100">
      <c r="A8897" s="374"/>
      <c r="C8897" s="374"/>
      <c r="CV8897" s="376"/>
    </row>
    <row r="8898" spans="1:100">
      <c r="A8898" s="374"/>
      <c r="C8898" s="374"/>
      <c r="CV8898" s="376"/>
    </row>
    <row r="8899" spans="1:100">
      <c r="A8899" s="374"/>
      <c r="C8899" s="374"/>
      <c r="CV8899" s="376"/>
    </row>
    <row r="8900" spans="1:100">
      <c r="A8900" s="374"/>
      <c r="C8900" s="374"/>
      <c r="CV8900" s="376"/>
    </row>
    <row r="8901" spans="1:100">
      <c r="A8901" s="374"/>
      <c r="C8901" s="374"/>
      <c r="CV8901" s="376"/>
    </row>
    <row r="8902" spans="1:100">
      <c r="A8902" s="374"/>
      <c r="C8902" s="374"/>
      <c r="CV8902" s="376"/>
    </row>
    <row r="8903" spans="1:100">
      <c r="A8903" s="374"/>
      <c r="C8903" s="374"/>
      <c r="CV8903" s="376"/>
    </row>
    <row r="8904" spans="1:100">
      <c r="A8904" s="374"/>
      <c r="C8904" s="374"/>
      <c r="CV8904" s="376"/>
    </row>
    <row r="8905" spans="1:100">
      <c r="A8905" s="374"/>
      <c r="C8905" s="374"/>
      <c r="CV8905" s="376"/>
    </row>
    <row r="8906" spans="1:100">
      <c r="A8906" s="374"/>
      <c r="C8906" s="374"/>
      <c r="CV8906" s="376"/>
    </row>
    <row r="8907" spans="1:100">
      <c r="A8907" s="374"/>
      <c r="C8907" s="374"/>
      <c r="CV8907" s="376"/>
    </row>
    <row r="8908" spans="1:100">
      <c r="A8908" s="374"/>
      <c r="C8908" s="374"/>
      <c r="CV8908" s="376"/>
    </row>
    <row r="8909" spans="1:100">
      <c r="A8909" s="374"/>
      <c r="C8909" s="374"/>
      <c r="CV8909" s="376"/>
    </row>
    <row r="8910" spans="1:100">
      <c r="A8910" s="374"/>
      <c r="C8910" s="374"/>
      <c r="CV8910" s="376"/>
    </row>
    <row r="8911" spans="1:100">
      <c r="A8911" s="374"/>
      <c r="C8911" s="374"/>
      <c r="CV8911" s="376"/>
    </row>
    <row r="8912" spans="1:100">
      <c r="A8912" s="374"/>
      <c r="C8912" s="374"/>
      <c r="CV8912" s="376"/>
    </row>
    <row r="8913" spans="1:100">
      <c r="A8913" s="374"/>
      <c r="C8913" s="374"/>
      <c r="CV8913" s="376"/>
    </row>
    <row r="8914" spans="1:100">
      <c r="A8914" s="374"/>
      <c r="C8914" s="374"/>
      <c r="CV8914" s="376"/>
    </row>
    <row r="8915" spans="1:100">
      <c r="A8915" s="374"/>
      <c r="C8915" s="374"/>
      <c r="CV8915" s="376"/>
    </row>
    <row r="8916" spans="1:100">
      <c r="A8916" s="374"/>
      <c r="C8916" s="374"/>
      <c r="CV8916" s="376"/>
    </row>
    <row r="8917" spans="1:100">
      <c r="A8917" s="374"/>
      <c r="C8917" s="374"/>
      <c r="CV8917" s="376"/>
    </row>
    <row r="8918" spans="1:100">
      <c r="A8918" s="374"/>
      <c r="C8918" s="374"/>
      <c r="CV8918" s="376"/>
    </row>
    <row r="8919" spans="1:100">
      <c r="A8919" s="374"/>
      <c r="C8919" s="374"/>
      <c r="CV8919" s="376"/>
    </row>
    <row r="8920" spans="1:100">
      <c r="A8920" s="374"/>
      <c r="C8920" s="374"/>
      <c r="CV8920" s="376"/>
    </row>
    <row r="8921" spans="1:100">
      <c r="A8921" s="374"/>
      <c r="C8921" s="374"/>
      <c r="CV8921" s="376"/>
    </row>
    <row r="8922" spans="1:100">
      <c r="A8922" s="374"/>
      <c r="C8922" s="374"/>
      <c r="CV8922" s="376"/>
    </row>
    <row r="8923" spans="1:100">
      <c r="A8923" s="374"/>
      <c r="C8923" s="374"/>
      <c r="CV8923" s="376"/>
    </row>
    <row r="8924" spans="1:100">
      <c r="A8924" s="374"/>
      <c r="C8924" s="374"/>
      <c r="CV8924" s="376"/>
    </row>
    <row r="8925" spans="1:100">
      <c r="A8925" s="374"/>
      <c r="C8925" s="374"/>
      <c r="CV8925" s="376"/>
    </row>
    <row r="8926" spans="1:100">
      <c r="A8926" s="374"/>
      <c r="C8926" s="374"/>
      <c r="CV8926" s="376"/>
    </row>
    <row r="8927" spans="1:100">
      <c r="A8927" s="374"/>
      <c r="C8927" s="374"/>
      <c r="CV8927" s="376"/>
    </row>
    <row r="8928" spans="1:100">
      <c r="A8928" s="374"/>
      <c r="C8928" s="374"/>
      <c r="CV8928" s="376"/>
    </row>
    <row r="8929" spans="1:100">
      <c r="A8929" s="374"/>
      <c r="C8929" s="374"/>
      <c r="CV8929" s="376"/>
    </row>
    <row r="8930" spans="1:100">
      <c r="A8930" s="374"/>
      <c r="C8930" s="374"/>
      <c r="CV8930" s="376"/>
    </row>
    <row r="8931" spans="1:100">
      <c r="A8931" s="374"/>
      <c r="C8931" s="374"/>
      <c r="CV8931" s="376"/>
    </row>
    <row r="8932" spans="1:100">
      <c r="A8932" s="374"/>
      <c r="C8932" s="374"/>
      <c r="CV8932" s="376"/>
    </row>
    <row r="8933" spans="1:100">
      <c r="A8933" s="374"/>
      <c r="C8933" s="374"/>
      <c r="CV8933" s="376"/>
    </row>
    <row r="8934" spans="1:100">
      <c r="A8934" s="374"/>
      <c r="C8934" s="374"/>
      <c r="CV8934" s="376"/>
    </row>
    <row r="8935" spans="1:100">
      <c r="A8935" s="374"/>
      <c r="C8935" s="374"/>
      <c r="CV8935" s="376"/>
    </row>
    <row r="8936" spans="1:100">
      <c r="A8936" s="374"/>
      <c r="C8936" s="374"/>
      <c r="CV8936" s="376"/>
    </row>
    <row r="8937" spans="1:100">
      <c r="A8937" s="374"/>
      <c r="C8937" s="374"/>
      <c r="CV8937" s="376"/>
    </row>
    <row r="8938" spans="1:100">
      <c r="A8938" s="374"/>
      <c r="C8938" s="374"/>
      <c r="CV8938" s="376"/>
    </row>
    <row r="8939" spans="1:100">
      <c r="A8939" s="374"/>
      <c r="C8939" s="374"/>
      <c r="CV8939" s="376"/>
    </row>
    <row r="8940" spans="1:100">
      <c r="A8940" s="374"/>
      <c r="C8940" s="374"/>
      <c r="CV8940" s="376"/>
    </row>
    <row r="8941" spans="1:100">
      <c r="A8941" s="374"/>
      <c r="C8941" s="374"/>
      <c r="CV8941" s="376"/>
    </row>
    <row r="8942" spans="1:100">
      <c r="A8942" s="374"/>
      <c r="C8942" s="374"/>
      <c r="CV8942" s="376"/>
    </row>
    <row r="8943" spans="1:100">
      <c r="A8943" s="374"/>
      <c r="C8943" s="374"/>
      <c r="CV8943" s="376"/>
    </row>
    <row r="8944" spans="1:100">
      <c r="A8944" s="374"/>
      <c r="C8944" s="374"/>
      <c r="CV8944" s="376"/>
    </row>
    <row r="8945" spans="1:100">
      <c r="A8945" s="374"/>
      <c r="C8945" s="374"/>
      <c r="CV8945" s="376"/>
    </row>
    <row r="8946" spans="1:100">
      <c r="A8946" s="374"/>
      <c r="C8946" s="374"/>
      <c r="CV8946" s="376"/>
    </row>
    <row r="8947" spans="1:100">
      <c r="A8947" s="374"/>
      <c r="C8947" s="374"/>
      <c r="CV8947" s="376"/>
    </row>
    <row r="8948" spans="1:100">
      <c r="A8948" s="374"/>
      <c r="C8948" s="374"/>
      <c r="CV8948" s="376"/>
    </row>
    <row r="8949" spans="1:100">
      <c r="A8949" s="374"/>
      <c r="C8949" s="374"/>
      <c r="CV8949" s="376"/>
    </row>
    <row r="8950" spans="1:100">
      <c r="A8950" s="374"/>
      <c r="C8950" s="374"/>
      <c r="CV8950" s="376"/>
    </row>
    <row r="8951" spans="1:100">
      <c r="A8951" s="374"/>
      <c r="C8951" s="374"/>
      <c r="CV8951" s="376"/>
    </row>
    <row r="8952" spans="1:100">
      <c r="A8952" s="374"/>
      <c r="C8952" s="374"/>
      <c r="CV8952" s="376"/>
    </row>
    <row r="8953" spans="1:100">
      <c r="A8953" s="374"/>
      <c r="C8953" s="374"/>
      <c r="CV8953" s="376"/>
    </row>
    <row r="8954" spans="1:100">
      <c r="A8954" s="374"/>
      <c r="C8954" s="374"/>
      <c r="CV8954" s="376"/>
    </row>
    <row r="8955" spans="1:100">
      <c r="A8955" s="374"/>
      <c r="C8955" s="374"/>
      <c r="CV8955" s="376"/>
    </row>
    <row r="8956" spans="1:100">
      <c r="A8956" s="374"/>
      <c r="C8956" s="374"/>
      <c r="CV8956" s="376"/>
    </row>
    <row r="8957" spans="1:100">
      <c r="A8957" s="374"/>
      <c r="C8957" s="374"/>
      <c r="CV8957" s="376"/>
    </row>
    <row r="8958" spans="1:100">
      <c r="A8958" s="374"/>
      <c r="C8958" s="374"/>
      <c r="CV8958" s="376"/>
    </row>
    <row r="8959" spans="1:100">
      <c r="A8959" s="374"/>
      <c r="C8959" s="374"/>
      <c r="CV8959" s="376"/>
    </row>
    <row r="8960" spans="1:100">
      <c r="A8960" s="374"/>
      <c r="C8960" s="374"/>
      <c r="CV8960" s="376"/>
    </row>
    <row r="8961" spans="1:100">
      <c r="A8961" s="374"/>
      <c r="C8961" s="374"/>
      <c r="CV8961" s="376"/>
    </row>
    <row r="8962" spans="1:100">
      <c r="A8962" s="374"/>
      <c r="C8962" s="374"/>
      <c r="CV8962" s="376"/>
    </row>
    <row r="8963" spans="1:100">
      <c r="A8963" s="374"/>
      <c r="C8963" s="374"/>
      <c r="CV8963" s="376"/>
    </row>
    <row r="8964" spans="1:100">
      <c r="A8964" s="374"/>
      <c r="C8964" s="374"/>
      <c r="CV8964" s="376"/>
    </row>
    <row r="8965" spans="1:100">
      <c r="A8965" s="374"/>
      <c r="C8965" s="374"/>
      <c r="CV8965" s="376"/>
    </row>
    <row r="8966" spans="1:100">
      <c r="A8966" s="374"/>
      <c r="C8966" s="374"/>
      <c r="CV8966" s="376"/>
    </row>
    <row r="8967" spans="1:100">
      <c r="A8967" s="374"/>
      <c r="C8967" s="374"/>
      <c r="CV8967" s="376"/>
    </row>
    <row r="8968" spans="1:100">
      <c r="A8968" s="374"/>
      <c r="C8968" s="374"/>
      <c r="CV8968" s="376"/>
    </row>
    <row r="8969" spans="1:100">
      <c r="A8969" s="374"/>
      <c r="C8969" s="374"/>
      <c r="CV8969" s="376"/>
    </row>
    <row r="8970" spans="1:100">
      <c r="A8970" s="374"/>
      <c r="C8970" s="374"/>
      <c r="CV8970" s="376"/>
    </row>
    <row r="8971" spans="1:100">
      <c r="A8971" s="374"/>
      <c r="C8971" s="374"/>
      <c r="CV8971" s="376"/>
    </row>
    <row r="8972" spans="1:100">
      <c r="A8972" s="374"/>
      <c r="C8972" s="374"/>
      <c r="CV8972" s="376"/>
    </row>
    <row r="8973" spans="1:100">
      <c r="A8973" s="374"/>
      <c r="C8973" s="374"/>
      <c r="CV8973" s="376"/>
    </row>
    <row r="8974" spans="1:100">
      <c r="A8974" s="374"/>
      <c r="C8974" s="374"/>
      <c r="CV8974" s="376"/>
    </row>
    <row r="8975" spans="1:100">
      <c r="A8975" s="374"/>
      <c r="C8975" s="374"/>
      <c r="CV8975" s="376"/>
    </row>
    <row r="8976" spans="1:100">
      <c r="A8976" s="374"/>
      <c r="C8976" s="374"/>
      <c r="CV8976" s="376"/>
    </row>
    <row r="8977" spans="1:100">
      <c r="A8977" s="374"/>
      <c r="C8977" s="374"/>
      <c r="CV8977" s="376"/>
    </row>
    <row r="8978" spans="1:100">
      <c r="A8978" s="374"/>
      <c r="C8978" s="374"/>
      <c r="CV8978" s="376"/>
    </row>
    <row r="8979" spans="1:100">
      <c r="A8979" s="374"/>
      <c r="C8979" s="374"/>
      <c r="CV8979" s="376"/>
    </row>
    <row r="8980" spans="1:100">
      <c r="A8980" s="374"/>
      <c r="C8980" s="374"/>
      <c r="CV8980" s="376"/>
    </row>
    <row r="8981" spans="1:100">
      <c r="A8981" s="374"/>
      <c r="C8981" s="374"/>
      <c r="CV8981" s="376"/>
    </row>
    <row r="8982" spans="1:100">
      <c r="A8982" s="374"/>
      <c r="C8982" s="374"/>
      <c r="CV8982" s="376"/>
    </row>
    <row r="8983" spans="1:100">
      <c r="A8983" s="374"/>
      <c r="C8983" s="374"/>
      <c r="CV8983" s="376"/>
    </row>
    <row r="8984" spans="1:100">
      <c r="A8984" s="374"/>
      <c r="C8984" s="374"/>
      <c r="CV8984" s="376"/>
    </row>
    <row r="8985" spans="1:100">
      <c r="A8985" s="374"/>
      <c r="C8985" s="374"/>
      <c r="CV8985" s="376"/>
    </row>
    <row r="8986" spans="1:100">
      <c r="A8986" s="374"/>
      <c r="C8986" s="374"/>
      <c r="CV8986" s="376"/>
    </row>
    <row r="8987" spans="1:100">
      <c r="A8987" s="374"/>
      <c r="C8987" s="374"/>
      <c r="CV8987" s="376"/>
    </row>
    <row r="8988" spans="1:100">
      <c r="A8988" s="374"/>
      <c r="C8988" s="374"/>
      <c r="CV8988" s="376"/>
    </row>
    <row r="8989" spans="1:100">
      <c r="A8989" s="374"/>
      <c r="C8989" s="374"/>
      <c r="CV8989" s="376"/>
    </row>
    <row r="8990" spans="1:100">
      <c r="A8990" s="374"/>
      <c r="C8990" s="374"/>
      <c r="CV8990" s="376"/>
    </row>
    <row r="8991" spans="1:100">
      <c r="A8991" s="374"/>
      <c r="C8991" s="374"/>
      <c r="CV8991" s="376"/>
    </row>
    <row r="8992" spans="1:100">
      <c r="A8992" s="374"/>
      <c r="C8992" s="374"/>
      <c r="CV8992" s="376"/>
    </row>
    <row r="8993" spans="1:100">
      <c r="A8993" s="374"/>
      <c r="C8993" s="374"/>
      <c r="CV8993" s="376"/>
    </row>
    <row r="8994" spans="1:100">
      <c r="A8994" s="374"/>
      <c r="C8994" s="374"/>
      <c r="CV8994" s="376"/>
    </row>
    <row r="8995" spans="1:100">
      <c r="A8995" s="374"/>
      <c r="C8995" s="374"/>
      <c r="CV8995" s="376"/>
    </row>
    <row r="8996" spans="1:100">
      <c r="A8996" s="374"/>
      <c r="C8996" s="374"/>
      <c r="CV8996" s="376"/>
    </row>
    <row r="8997" spans="1:100">
      <c r="A8997" s="374"/>
      <c r="C8997" s="374"/>
      <c r="CV8997" s="376"/>
    </row>
    <row r="8998" spans="1:100">
      <c r="A8998" s="374"/>
      <c r="C8998" s="374"/>
      <c r="CV8998" s="376"/>
    </row>
    <row r="8999" spans="1:100">
      <c r="A8999" s="374"/>
      <c r="C8999" s="374"/>
      <c r="CV8999" s="376"/>
    </row>
    <row r="9000" spans="1:100">
      <c r="A9000" s="374"/>
      <c r="C9000" s="374"/>
      <c r="CV9000" s="376"/>
    </row>
    <row r="9001" spans="1:100">
      <c r="A9001" s="374"/>
      <c r="C9001" s="374"/>
      <c r="CV9001" s="376"/>
    </row>
    <row r="9002" spans="1:100">
      <c r="A9002" s="374"/>
      <c r="C9002" s="374"/>
      <c r="CV9002" s="376"/>
    </row>
    <row r="9003" spans="1:100">
      <c r="A9003" s="374"/>
      <c r="C9003" s="374"/>
      <c r="CV9003" s="376"/>
    </row>
    <row r="9004" spans="1:100">
      <c r="A9004" s="374"/>
      <c r="C9004" s="374"/>
      <c r="CV9004" s="376"/>
    </row>
    <row r="9005" spans="1:100">
      <c r="A9005" s="374"/>
      <c r="C9005" s="374"/>
      <c r="CV9005" s="376"/>
    </row>
    <row r="9006" spans="1:100">
      <c r="A9006" s="374"/>
      <c r="C9006" s="374"/>
      <c r="CV9006" s="376"/>
    </row>
    <row r="9007" spans="1:100">
      <c r="A9007" s="374"/>
      <c r="C9007" s="374"/>
      <c r="CV9007" s="376"/>
    </row>
    <row r="9008" spans="1:100">
      <c r="A9008" s="374"/>
      <c r="C9008" s="374"/>
      <c r="CV9008" s="376"/>
    </row>
    <row r="9009" spans="1:100">
      <c r="A9009" s="374"/>
      <c r="C9009" s="374"/>
      <c r="CV9009" s="376"/>
    </row>
    <row r="9010" spans="1:100">
      <c r="A9010" s="374"/>
      <c r="C9010" s="374"/>
      <c r="CV9010" s="376"/>
    </row>
    <row r="9011" spans="1:100">
      <c r="A9011" s="374"/>
      <c r="C9011" s="374"/>
      <c r="CV9011" s="376"/>
    </row>
    <row r="9012" spans="1:100">
      <c r="A9012" s="374"/>
      <c r="C9012" s="374"/>
      <c r="CV9012" s="376"/>
    </row>
    <row r="9013" spans="1:100">
      <c r="A9013" s="374"/>
      <c r="C9013" s="374"/>
      <c r="CV9013" s="376"/>
    </row>
    <row r="9014" spans="1:100">
      <c r="A9014" s="374"/>
      <c r="C9014" s="374"/>
      <c r="CV9014" s="376"/>
    </row>
    <row r="9015" spans="1:100">
      <c r="A9015" s="374"/>
      <c r="C9015" s="374"/>
      <c r="CV9015" s="376"/>
    </row>
    <row r="9016" spans="1:100">
      <c r="A9016" s="374"/>
      <c r="C9016" s="374"/>
      <c r="CV9016" s="376"/>
    </row>
    <row r="9017" spans="1:100">
      <c r="A9017" s="374"/>
      <c r="C9017" s="374"/>
      <c r="CV9017" s="376"/>
    </row>
    <row r="9018" spans="1:100">
      <c r="A9018" s="374"/>
      <c r="C9018" s="374"/>
      <c r="CV9018" s="376"/>
    </row>
    <row r="9019" spans="1:100">
      <c r="A9019" s="374"/>
      <c r="C9019" s="374"/>
      <c r="CV9019" s="376"/>
    </row>
    <row r="9020" spans="1:100">
      <c r="A9020" s="374"/>
      <c r="C9020" s="374"/>
      <c r="CV9020" s="376"/>
    </row>
    <row r="9021" spans="1:100">
      <c r="A9021" s="374"/>
      <c r="C9021" s="374"/>
      <c r="CV9021" s="376"/>
    </row>
    <row r="9022" spans="1:100">
      <c r="A9022" s="374"/>
      <c r="C9022" s="374"/>
      <c r="CV9022" s="376"/>
    </row>
    <row r="9023" spans="1:100">
      <c r="A9023" s="374"/>
      <c r="C9023" s="374"/>
      <c r="CV9023" s="376"/>
    </row>
    <row r="9024" spans="1:100">
      <c r="A9024" s="374"/>
      <c r="C9024" s="374"/>
      <c r="CV9024" s="376"/>
    </row>
    <row r="9025" spans="1:100">
      <c r="A9025" s="374"/>
      <c r="C9025" s="374"/>
      <c r="CV9025" s="376"/>
    </row>
    <row r="9026" spans="1:100">
      <c r="A9026" s="374"/>
      <c r="C9026" s="374"/>
      <c r="CV9026" s="376"/>
    </row>
    <row r="9027" spans="1:100">
      <c r="A9027" s="374"/>
      <c r="C9027" s="374"/>
      <c r="CV9027" s="376"/>
    </row>
    <row r="9028" spans="1:100">
      <c r="A9028" s="374"/>
      <c r="C9028" s="374"/>
      <c r="CV9028" s="376"/>
    </row>
    <row r="9029" spans="1:100">
      <c r="A9029" s="374"/>
      <c r="C9029" s="374"/>
      <c r="CV9029" s="376"/>
    </row>
    <row r="9030" spans="1:100">
      <c r="A9030" s="374"/>
      <c r="C9030" s="374"/>
      <c r="CV9030" s="376"/>
    </row>
    <row r="9031" spans="1:100">
      <c r="A9031" s="374"/>
      <c r="C9031" s="374"/>
      <c r="CV9031" s="376"/>
    </row>
    <row r="9032" spans="1:100">
      <c r="A9032" s="374"/>
      <c r="C9032" s="374"/>
      <c r="CV9032" s="376"/>
    </row>
    <row r="9033" spans="1:100">
      <c r="A9033" s="374"/>
      <c r="C9033" s="374"/>
      <c r="CV9033" s="376"/>
    </row>
    <row r="9034" spans="1:100">
      <c r="A9034" s="374"/>
      <c r="C9034" s="374"/>
      <c r="CV9034" s="376"/>
    </row>
    <row r="9035" spans="1:100">
      <c r="A9035" s="374"/>
      <c r="C9035" s="374"/>
      <c r="CV9035" s="376"/>
    </row>
    <row r="9036" spans="1:100">
      <c r="A9036" s="374"/>
      <c r="C9036" s="374"/>
      <c r="CV9036" s="376"/>
    </row>
    <row r="9037" spans="1:100">
      <c r="A9037" s="374"/>
      <c r="C9037" s="374"/>
      <c r="CV9037" s="376"/>
    </row>
    <row r="9038" spans="1:100">
      <c r="A9038" s="374"/>
      <c r="C9038" s="374"/>
      <c r="CV9038" s="376"/>
    </row>
    <row r="9039" spans="1:100">
      <c r="A9039" s="374"/>
      <c r="C9039" s="374"/>
      <c r="CV9039" s="376"/>
    </row>
    <row r="9040" spans="1:100">
      <c r="A9040" s="374"/>
      <c r="C9040" s="374"/>
      <c r="CV9040" s="376"/>
    </row>
    <row r="9041" spans="1:100">
      <c r="A9041" s="374"/>
      <c r="C9041" s="374"/>
      <c r="CV9041" s="376"/>
    </row>
    <row r="9042" spans="1:100">
      <c r="A9042" s="374"/>
      <c r="C9042" s="374"/>
      <c r="CV9042" s="376"/>
    </row>
    <row r="9043" spans="1:100">
      <c r="A9043" s="374"/>
      <c r="C9043" s="374"/>
      <c r="CV9043" s="376"/>
    </row>
    <row r="9044" spans="1:100">
      <c r="A9044" s="374"/>
      <c r="C9044" s="374"/>
      <c r="CV9044" s="376"/>
    </row>
    <row r="9045" spans="1:100">
      <c r="A9045" s="374"/>
      <c r="C9045" s="374"/>
      <c r="CV9045" s="376"/>
    </row>
    <row r="9046" spans="1:100">
      <c r="A9046" s="374"/>
      <c r="C9046" s="374"/>
      <c r="CV9046" s="376"/>
    </row>
    <row r="9047" spans="1:100">
      <c r="A9047" s="374"/>
      <c r="C9047" s="374"/>
      <c r="CV9047" s="376"/>
    </row>
    <row r="9048" spans="1:100">
      <c r="A9048" s="374"/>
      <c r="C9048" s="374"/>
      <c r="CV9048" s="376"/>
    </row>
    <row r="9049" spans="1:100">
      <c r="A9049" s="374"/>
      <c r="C9049" s="374"/>
      <c r="CV9049" s="376"/>
    </row>
    <row r="9050" spans="1:100">
      <c r="A9050" s="374"/>
      <c r="C9050" s="374"/>
      <c r="CV9050" s="376"/>
    </row>
    <row r="9051" spans="1:100">
      <c r="A9051" s="374"/>
      <c r="C9051" s="374"/>
      <c r="CV9051" s="376"/>
    </row>
    <row r="9052" spans="1:100">
      <c r="A9052" s="374"/>
      <c r="C9052" s="374"/>
      <c r="CV9052" s="376"/>
    </row>
    <row r="9053" spans="1:100">
      <c r="A9053" s="374"/>
      <c r="C9053" s="374"/>
      <c r="CV9053" s="376"/>
    </row>
    <row r="9054" spans="1:100">
      <c r="A9054" s="374"/>
      <c r="C9054" s="374"/>
      <c r="CV9054" s="376"/>
    </row>
    <row r="9055" spans="1:100">
      <c r="A9055" s="374"/>
      <c r="C9055" s="374"/>
      <c r="CV9055" s="376"/>
    </row>
    <row r="9056" spans="1:100">
      <c r="A9056" s="374"/>
      <c r="C9056" s="374"/>
      <c r="CV9056" s="376"/>
    </row>
    <row r="9057" spans="1:100">
      <c r="A9057" s="374"/>
      <c r="C9057" s="374"/>
      <c r="CV9057" s="376"/>
    </row>
    <row r="9058" spans="1:100">
      <c r="A9058" s="374"/>
      <c r="C9058" s="374"/>
      <c r="CV9058" s="376"/>
    </row>
    <row r="9059" spans="1:100">
      <c r="A9059" s="374"/>
      <c r="C9059" s="374"/>
      <c r="CV9059" s="376"/>
    </row>
    <row r="9060" spans="1:100">
      <c r="A9060" s="374"/>
      <c r="C9060" s="374"/>
      <c r="CV9060" s="376"/>
    </row>
    <row r="9061" spans="1:100">
      <c r="A9061" s="374"/>
      <c r="C9061" s="374"/>
      <c r="CV9061" s="376"/>
    </row>
    <row r="9062" spans="1:100">
      <c r="A9062" s="374"/>
      <c r="C9062" s="374"/>
      <c r="CV9062" s="376"/>
    </row>
    <row r="9063" spans="1:100">
      <c r="A9063" s="374"/>
      <c r="C9063" s="374"/>
      <c r="CV9063" s="376"/>
    </row>
    <row r="9064" spans="1:100">
      <c r="A9064" s="374"/>
      <c r="C9064" s="374"/>
      <c r="CV9064" s="376"/>
    </row>
    <row r="9065" spans="1:100">
      <c r="A9065" s="374"/>
      <c r="C9065" s="374"/>
      <c r="CV9065" s="376"/>
    </row>
    <row r="9066" spans="1:100">
      <c r="A9066" s="374"/>
      <c r="C9066" s="374"/>
      <c r="CV9066" s="376"/>
    </row>
    <row r="9067" spans="1:100">
      <c r="A9067" s="374"/>
      <c r="C9067" s="374"/>
      <c r="CV9067" s="376"/>
    </row>
    <row r="9068" spans="1:100">
      <c r="A9068" s="374"/>
      <c r="C9068" s="374"/>
      <c r="CV9068" s="376"/>
    </row>
    <row r="9069" spans="1:100">
      <c r="A9069" s="374"/>
      <c r="C9069" s="374"/>
      <c r="CV9069" s="376"/>
    </row>
    <row r="9070" spans="1:100">
      <c r="A9070" s="374"/>
      <c r="C9070" s="374"/>
      <c r="CV9070" s="376"/>
    </row>
    <row r="9071" spans="1:100">
      <c r="A9071" s="374"/>
      <c r="C9071" s="374"/>
      <c r="CV9071" s="376"/>
    </row>
    <row r="9072" spans="1:100">
      <c r="A9072" s="374"/>
      <c r="C9072" s="374"/>
      <c r="CV9072" s="376"/>
    </row>
    <row r="9073" spans="1:100">
      <c r="A9073" s="374"/>
      <c r="C9073" s="374"/>
      <c r="CV9073" s="376"/>
    </row>
    <row r="9074" spans="1:100">
      <c r="A9074" s="374"/>
      <c r="C9074" s="374"/>
      <c r="CV9074" s="376"/>
    </row>
    <row r="9075" spans="1:100">
      <c r="A9075" s="374"/>
      <c r="C9075" s="374"/>
      <c r="CV9075" s="376"/>
    </row>
    <row r="9076" spans="1:100">
      <c r="A9076" s="374"/>
      <c r="C9076" s="374"/>
      <c r="CV9076" s="376"/>
    </row>
    <row r="9077" spans="1:100">
      <c r="A9077" s="374"/>
      <c r="C9077" s="374"/>
      <c r="CV9077" s="376"/>
    </row>
    <row r="9078" spans="1:100">
      <c r="A9078" s="374"/>
      <c r="C9078" s="374"/>
      <c r="CV9078" s="376"/>
    </row>
    <row r="9079" spans="1:100">
      <c r="A9079" s="374"/>
      <c r="C9079" s="374"/>
      <c r="CV9079" s="376"/>
    </row>
    <row r="9080" spans="1:100">
      <c r="A9080" s="374"/>
      <c r="C9080" s="374"/>
      <c r="CV9080" s="376"/>
    </row>
    <row r="9081" spans="1:100">
      <c r="A9081" s="374"/>
      <c r="C9081" s="374"/>
      <c r="CV9081" s="376"/>
    </row>
    <row r="9082" spans="1:100">
      <c r="A9082" s="374"/>
      <c r="C9082" s="374"/>
      <c r="CV9082" s="376"/>
    </row>
    <row r="9083" spans="1:100">
      <c r="A9083" s="374"/>
      <c r="C9083" s="374"/>
      <c r="CV9083" s="376"/>
    </row>
    <row r="9084" spans="1:100">
      <c r="A9084" s="374"/>
      <c r="C9084" s="374"/>
      <c r="CV9084" s="376"/>
    </row>
    <row r="9085" spans="1:100">
      <c r="A9085" s="374"/>
      <c r="C9085" s="374"/>
      <c r="CV9085" s="376"/>
    </row>
    <row r="9086" spans="1:100">
      <c r="A9086" s="374"/>
      <c r="C9086" s="374"/>
      <c r="CV9086" s="376"/>
    </row>
    <row r="9087" spans="1:100">
      <c r="A9087" s="374"/>
      <c r="C9087" s="374"/>
      <c r="CV9087" s="376"/>
    </row>
    <row r="9088" spans="1:100">
      <c r="A9088" s="374"/>
      <c r="C9088" s="374"/>
      <c r="CV9088" s="376"/>
    </row>
    <row r="9089" spans="1:100">
      <c r="A9089" s="374"/>
      <c r="C9089" s="374"/>
      <c r="CV9089" s="376"/>
    </row>
    <row r="9090" spans="1:100">
      <c r="A9090" s="374"/>
      <c r="C9090" s="374"/>
      <c r="CV9090" s="376"/>
    </row>
    <row r="9091" spans="1:100">
      <c r="A9091" s="374"/>
      <c r="C9091" s="374"/>
      <c r="CV9091" s="376"/>
    </row>
    <row r="9092" spans="1:100">
      <c r="A9092" s="374"/>
      <c r="C9092" s="374"/>
      <c r="CV9092" s="376"/>
    </row>
    <row r="9093" spans="1:100">
      <c r="A9093" s="374"/>
      <c r="C9093" s="374"/>
      <c r="CV9093" s="376"/>
    </row>
    <row r="9094" spans="1:100">
      <c r="A9094" s="374"/>
      <c r="C9094" s="374"/>
      <c r="CV9094" s="376"/>
    </row>
    <row r="9095" spans="1:100">
      <c r="A9095" s="374"/>
      <c r="C9095" s="374"/>
      <c r="CV9095" s="376"/>
    </row>
    <row r="9096" spans="1:100">
      <c r="A9096" s="374"/>
      <c r="C9096" s="374"/>
      <c r="CV9096" s="376"/>
    </row>
    <row r="9097" spans="1:100">
      <c r="A9097" s="374"/>
      <c r="C9097" s="374"/>
      <c r="CV9097" s="376"/>
    </row>
    <row r="9098" spans="1:100">
      <c r="A9098" s="374"/>
      <c r="C9098" s="374"/>
      <c r="CV9098" s="376"/>
    </row>
    <row r="9099" spans="1:100">
      <c r="A9099" s="374"/>
      <c r="C9099" s="374"/>
      <c r="CV9099" s="376"/>
    </row>
    <row r="9100" spans="1:100">
      <c r="A9100" s="374"/>
      <c r="C9100" s="374"/>
      <c r="CV9100" s="376"/>
    </row>
    <row r="9101" spans="1:100">
      <c r="A9101" s="374"/>
      <c r="C9101" s="374"/>
      <c r="CV9101" s="376"/>
    </row>
    <row r="9102" spans="1:100">
      <c r="A9102" s="374"/>
      <c r="C9102" s="374"/>
      <c r="CV9102" s="376"/>
    </row>
    <row r="9103" spans="1:100">
      <c r="A9103" s="374"/>
      <c r="C9103" s="374"/>
      <c r="CV9103" s="376"/>
    </row>
    <row r="9104" spans="1:100">
      <c r="A9104" s="374"/>
      <c r="C9104" s="374"/>
      <c r="CV9104" s="376"/>
    </row>
    <row r="9105" spans="1:100">
      <c r="A9105" s="374"/>
      <c r="C9105" s="374"/>
      <c r="CV9105" s="376"/>
    </row>
    <row r="9106" spans="1:100">
      <c r="A9106" s="374"/>
      <c r="C9106" s="374"/>
      <c r="CV9106" s="376"/>
    </row>
    <row r="9107" spans="1:100">
      <c r="A9107" s="374"/>
      <c r="C9107" s="374"/>
      <c r="CV9107" s="376"/>
    </row>
    <row r="9108" spans="1:100">
      <c r="A9108" s="374"/>
      <c r="C9108" s="374"/>
      <c r="CV9108" s="376"/>
    </row>
    <row r="9109" spans="1:100">
      <c r="A9109" s="374"/>
      <c r="C9109" s="374"/>
      <c r="CV9109" s="376"/>
    </row>
    <row r="9110" spans="1:100">
      <c r="A9110" s="374"/>
      <c r="C9110" s="374"/>
      <c r="CV9110" s="376"/>
    </row>
    <row r="9111" spans="1:100">
      <c r="A9111" s="374"/>
      <c r="C9111" s="374"/>
      <c r="CV9111" s="376"/>
    </row>
    <row r="9112" spans="1:100">
      <c r="A9112" s="374"/>
      <c r="C9112" s="374"/>
      <c r="CV9112" s="376"/>
    </row>
    <row r="9113" spans="1:100">
      <c r="A9113" s="374"/>
      <c r="C9113" s="374"/>
      <c r="CV9113" s="376"/>
    </row>
    <row r="9114" spans="1:100">
      <c r="A9114" s="374"/>
      <c r="C9114" s="374"/>
      <c r="CV9114" s="376"/>
    </row>
    <row r="9115" spans="1:100">
      <c r="A9115" s="374"/>
      <c r="C9115" s="374"/>
      <c r="CV9115" s="376"/>
    </row>
    <row r="9116" spans="1:100">
      <c r="A9116" s="374"/>
      <c r="C9116" s="374"/>
      <c r="CV9116" s="376"/>
    </row>
    <row r="9117" spans="1:100">
      <c r="A9117" s="374"/>
      <c r="C9117" s="374"/>
      <c r="CV9117" s="376"/>
    </row>
    <row r="9118" spans="1:100">
      <c r="A9118" s="374"/>
      <c r="C9118" s="374"/>
      <c r="CV9118" s="376"/>
    </row>
    <row r="9119" spans="1:100">
      <c r="A9119" s="374"/>
      <c r="C9119" s="374"/>
      <c r="CV9119" s="376"/>
    </row>
    <row r="9120" spans="1:100">
      <c r="A9120" s="374"/>
      <c r="C9120" s="374"/>
      <c r="CV9120" s="376"/>
    </row>
    <row r="9121" spans="1:100">
      <c r="A9121" s="374"/>
      <c r="C9121" s="374"/>
      <c r="CV9121" s="376"/>
    </row>
    <row r="9122" spans="1:100">
      <c r="A9122" s="374"/>
      <c r="C9122" s="374"/>
      <c r="CV9122" s="376"/>
    </row>
    <row r="9123" spans="1:100">
      <c r="A9123" s="374"/>
      <c r="C9123" s="374"/>
      <c r="CV9123" s="376"/>
    </row>
    <row r="9124" spans="1:100">
      <c r="A9124" s="374"/>
      <c r="C9124" s="374"/>
      <c r="CV9124" s="376"/>
    </row>
    <row r="9125" spans="1:100">
      <c r="A9125" s="374"/>
      <c r="C9125" s="374"/>
      <c r="CV9125" s="376"/>
    </row>
    <row r="9126" spans="1:100">
      <c r="A9126" s="374"/>
      <c r="C9126" s="374"/>
      <c r="CV9126" s="376"/>
    </row>
    <row r="9127" spans="1:100">
      <c r="A9127" s="374"/>
      <c r="C9127" s="374"/>
      <c r="CV9127" s="376"/>
    </row>
    <row r="9128" spans="1:100">
      <c r="A9128" s="374"/>
      <c r="C9128" s="374"/>
      <c r="CV9128" s="376"/>
    </row>
    <row r="9129" spans="1:100">
      <c r="A9129" s="374"/>
      <c r="C9129" s="374"/>
      <c r="CV9129" s="376"/>
    </row>
    <row r="9130" spans="1:100">
      <c r="A9130" s="374"/>
      <c r="C9130" s="374"/>
      <c r="CV9130" s="376"/>
    </row>
    <row r="9131" spans="1:100">
      <c r="A9131" s="374"/>
      <c r="C9131" s="374"/>
      <c r="CV9131" s="376"/>
    </row>
    <row r="9132" spans="1:100">
      <c r="A9132" s="374"/>
      <c r="C9132" s="374"/>
      <c r="CV9132" s="376"/>
    </row>
    <row r="9133" spans="1:100">
      <c r="A9133" s="374"/>
      <c r="C9133" s="374"/>
      <c r="CV9133" s="376"/>
    </row>
    <row r="9134" spans="1:100">
      <c r="A9134" s="374"/>
      <c r="C9134" s="374"/>
      <c r="CV9134" s="376"/>
    </row>
    <row r="9135" spans="1:100">
      <c r="A9135" s="374"/>
      <c r="C9135" s="374"/>
      <c r="CV9135" s="376"/>
    </row>
    <row r="9136" spans="1:100">
      <c r="A9136" s="374"/>
      <c r="C9136" s="374"/>
      <c r="CV9136" s="376"/>
    </row>
    <row r="9137" spans="1:100">
      <c r="A9137" s="374"/>
      <c r="C9137" s="374"/>
      <c r="CV9137" s="376"/>
    </row>
    <row r="9138" spans="1:100">
      <c r="A9138" s="374"/>
      <c r="C9138" s="374"/>
      <c r="CV9138" s="376"/>
    </row>
    <row r="9139" spans="1:100">
      <c r="A9139" s="374"/>
      <c r="C9139" s="374"/>
      <c r="CV9139" s="376"/>
    </row>
    <row r="9140" spans="1:100">
      <c r="A9140" s="374"/>
      <c r="C9140" s="374"/>
      <c r="CV9140" s="376"/>
    </row>
    <row r="9141" spans="1:100">
      <c r="A9141" s="374"/>
      <c r="C9141" s="374"/>
      <c r="CV9141" s="376"/>
    </row>
    <row r="9142" spans="1:100">
      <c r="A9142" s="374"/>
      <c r="C9142" s="374"/>
      <c r="CV9142" s="376"/>
    </row>
    <row r="9143" spans="1:100">
      <c r="A9143" s="374"/>
      <c r="C9143" s="374"/>
      <c r="CV9143" s="376"/>
    </row>
    <row r="9144" spans="1:100">
      <c r="A9144" s="374"/>
      <c r="C9144" s="374"/>
      <c r="CV9144" s="376"/>
    </row>
    <row r="9145" spans="1:100">
      <c r="A9145" s="374"/>
      <c r="C9145" s="374"/>
      <c r="CV9145" s="376"/>
    </row>
    <row r="9146" spans="1:100">
      <c r="A9146" s="374"/>
      <c r="C9146" s="374"/>
      <c r="CV9146" s="376"/>
    </row>
    <row r="9147" spans="1:100">
      <c r="A9147" s="374"/>
      <c r="C9147" s="374"/>
      <c r="CV9147" s="376"/>
    </row>
    <row r="9148" spans="1:100">
      <c r="A9148" s="374"/>
      <c r="C9148" s="374"/>
      <c r="CV9148" s="376"/>
    </row>
    <row r="9149" spans="1:100">
      <c r="A9149" s="374"/>
      <c r="C9149" s="374"/>
      <c r="CV9149" s="376"/>
    </row>
    <row r="9150" spans="1:100">
      <c r="A9150" s="374"/>
      <c r="C9150" s="374"/>
      <c r="CV9150" s="376"/>
    </row>
    <row r="9151" spans="1:100">
      <c r="A9151" s="374"/>
      <c r="C9151" s="374"/>
      <c r="CV9151" s="376"/>
    </row>
    <row r="9152" spans="1:100">
      <c r="A9152" s="374"/>
      <c r="C9152" s="374"/>
      <c r="CV9152" s="376"/>
    </row>
    <row r="9153" spans="1:100">
      <c r="A9153" s="374"/>
      <c r="C9153" s="374"/>
      <c r="CV9153" s="376"/>
    </row>
    <row r="9154" spans="1:100">
      <c r="A9154" s="374"/>
      <c r="C9154" s="374"/>
      <c r="CV9154" s="376"/>
    </row>
    <row r="9155" spans="1:100">
      <c r="A9155" s="374"/>
      <c r="C9155" s="374"/>
      <c r="CV9155" s="376"/>
    </row>
    <row r="9156" spans="1:100">
      <c r="A9156" s="374"/>
      <c r="C9156" s="374"/>
      <c r="CV9156" s="376"/>
    </row>
    <row r="9157" spans="1:100">
      <c r="A9157" s="374"/>
      <c r="C9157" s="374"/>
      <c r="CV9157" s="376"/>
    </row>
    <row r="9158" spans="1:100">
      <c r="A9158" s="374"/>
      <c r="C9158" s="374"/>
      <c r="CV9158" s="376"/>
    </row>
    <row r="9159" spans="1:100">
      <c r="A9159" s="374"/>
      <c r="C9159" s="374"/>
      <c r="CV9159" s="376"/>
    </row>
    <row r="9160" spans="1:100">
      <c r="A9160" s="374"/>
      <c r="C9160" s="374"/>
      <c r="CV9160" s="376"/>
    </row>
    <row r="9161" spans="1:100">
      <c r="A9161" s="374"/>
      <c r="C9161" s="374"/>
      <c r="CV9161" s="376"/>
    </row>
    <row r="9162" spans="1:100">
      <c r="A9162" s="374"/>
      <c r="C9162" s="374"/>
      <c r="CV9162" s="376"/>
    </row>
    <row r="9163" spans="1:100">
      <c r="A9163" s="374"/>
      <c r="C9163" s="374"/>
      <c r="CV9163" s="376"/>
    </row>
    <row r="9164" spans="1:100">
      <c r="A9164" s="374"/>
      <c r="C9164" s="374"/>
      <c r="CV9164" s="376"/>
    </row>
    <row r="9165" spans="1:100">
      <c r="A9165" s="374"/>
      <c r="C9165" s="374"/>
      <c r="CV9165" s="376"/>
    </row>
    <row r="9166" spans="1:100">
      <c r="A9166" s="374"/>
      <c r="C9166" s="374"/>
      <c r="CV9166" s="376"/>
    </row>
    <row r="9167" spans="1:100">
      <c r="A9167" s="374"/>
      <c r="C9167" s="374"/>
      <c r="CV9167" s="376"/>
    </row>
    <row r="9168" spans="1:100">
      <c r="A9168" s="374"/>
      <c r="C9168" s="374"/>
      <c r="CV9168" s="376"/>
    </row>
    <row r="9169" spans="1:100">
      <c r="A9169" s="374"/>
      <c r="C9169" s="374"/>
      <c r="CV9169" s="376"/>
    </row>
    <row r="9170" spans="1:100">
      <c r="A9170" s="374"/>
      <c r="C9170" s="374"/>
      <c r="CV9170" s="376"/>
    </row>
    <row r="9171" spans="1:100">
      <c r="A9171" s="374"/>
      <c r="C9171" s="374"/>
      <c r="CV9171" s="376"/>
    </row>
    <row r="9172" spans="1:100">
      <c r="A9172" s="374"/>
      <c r="C9172" s="374"/>
      <c r="CV9172" s="376"/>
    </row>
    <row r="9173" spans="1:100">
      <c r="A9173" s="374"/>
      <c r="C9173" s="374"/>
      <c r="CV9173" s="376"/>
    </row>
    <row r="9174" spans="1:100">
      <c r="A9174" s="374"/>
      <c r="C9174" s="374"/>
      <c r="CV9174" s="376"/>
    </row>
    <row r="9175" spans="1:100">
      <c r="A9175" s="374"/>
      <c r="C9175" s="374"/>
      <c r="CV9175" s="376"/>
    </row>
    <row r="9176" spans="1:100">
      <c r="A9176" s="374"/>
      <c r="C9176" s="374"/>
      <c r="CV9176" s="376"/>
    </row>
    <row r="9177" spans="1:100">
      <c r="A9177" s="374"/>
      <c r="C9177" s="374"/>
      <c r="CV9177" s="376"/>
    </row>
    <row r="9178" spans="1:100">
      <c r="A9178" s="374"/>
      <c r="C9178" s="374"/>
      <c r="CV9178" s="376"/>
    </row>
    <row r="9179" spans="1:100">
      <c r="A9179" s="374"/>
      <c r="C9179" s="374"/>
      <c r="CV9179" s="376"/>
    </row>
    <row r="9180" spans="1:100">
      <c r="A9180" s="374"/>
      <c r="C9180" s="374"/>
      <c r="CV9180" s="376"/>
    </row>
    <row r="9181" spans="1:100">
      <c r="A9181" s="374"/>
      <c r="C9181" s="374"/>
      <c r="CV9181" s="376"/>
    </row>
    <row r="9182" spans="1:100">
      <c r="A9182" s="374"/>
      <c r="C9182" s="374"/>
      <c r="CV9182" s="376"/>
    </row>
    <row r="9183" spans="1:100">
      <c r="A9183" s="374"/>
      <c r="C9183" s="374"/>
      <c r="CV9183" s="376"/>
    </row>
    <row r="9184" spans="1:100">
      <c r="A9184" s="374"/>
      <c r="C9184" s="374"/>
      <c r="CV9184" s="376"/>
    </row>
    <row r="9185" spans="1:100">
      <c r="A9185" s="374"/>
      <c r="C9185" s="374"/>
      <c r="CV9185" s="376"/>
    </row>
    <row r="9186" spans="1:100">
      <c r="A9186" s="374"/>
      <c r="C9186" s="374"/>
      <c r="CV9186" s="376"/>
    </row>
    <row r="9187" spans="1:100">
      <c r="A9187" s="374"/>
      <c r="C9187" s="374"/>
      <c r="CV9187" s="376"/>
    </row>
    <row r="9188" spans="1:100">
      <c r="A9188" s="374"/>
      <c r="C9188" s="374"/>
      <c r="CV9188" s="376"/>
    </row>
    <row r="9189" spans="1:100">
      <c r="A9189" s="374"/>
      <c r="C9189" s="374"/>
      <c r="CV9189" s="376"/>
    </row>
    <row r="9190" spans="1:100">
      <c r="A9190" s="374"/>
      <c r="C9190" s="374"/>
      <c r="CV9190" s="376"/>
    </row>
    <row r="9191" spans="1:100">
      <c r="A9191" s="374"/>
      <c r="C9191" s="374"/>
      <c r="CV9191" s="376"/>
    </row>
    <row r="9192" spans="1:100">
      <c r="A9192" s="374"/>
      <c r="C9192" s="374"/>
      <c r="CV9192" s="376"/>
    </row>
    <row r="9193" spans="1:100">
      <c r="A9193" s="374"/>
      <c r="C9193" s="374"/>
      <c r="CV9193" s="376"/>
    </row>
    <row r="9194" spans="1:100">
      <c r="A9194" s="374"/>
      <c r="C9194" s="374"/>
      <c r="CV9194" s="376"/>
    </row>
    <row r="9195" spans="1:100">
      <c r="A9195" s="374"/>
      <c r="C9195" s="374"/>
      <c r="CV9195" s="376"/>
    </row>
    <row r="9196" spans="1:100">
      <c r="A9196" s="374"/>
      <c r="C9196" s="374"/>
      <c r="CV9196" s="376"/>
    </row>
    <row r="9197" spans="1:100">
      <c r="A9197" s="374"/>
      <c r="C9197" s="374"/>
      <c r="CV9197" s="376"/>
    </row>
    <row r="9198" spans="1:100">
      <c r="A9198" s="374"/>
      <c r="C9198" s="374"/>
      <c r="CV9198" s="376"/>
    </row>
    <row r="9199" spans="1:100">
      <c r="A9199" s="374"/>
      <c r="C9199" s="374"/>
      <c r="CV9199" s="376"/>
    </row>
    <row r="9200" spans="1:100">
      <c r="A9200" s="374"/>
      <c r="C9200" s="374"/>
      <c r="CV9200" s="376"/>
    </row>
    <row r="9201" spans="1:100">
      <c r="A9201" s="374"/>
      <c r="C9201" s="374"/>
      <c r="CV9201" s="376"/>
    </row>
    <row r="9202" spans="1:100">
      <c r="A9202" s="374"/>
      <c r="C9202" s="374"/>
      <c r="CV9202" s="376"/>
    </row>
    <row r="9203" spans="1:100">
      <c r="A9203" s="374"/>
      <c r="C9203" s="374"/>
      <c r="CV9203" s="376"/>
    </row>
    <row r="9204" spans="1:100">
      <c r="A9204" s="374"/>
      <c r="C9204" s="374"/>
      <c r="CV9204" s="376"/>
    </row>
    <row r="9205" spans="1:100">
      <c r="A9205" s="374"/>
      <c r="C9205" s="374"/>
      <c r="CV9205" s="376"/>
    </row>
    <row r="9206" spans="1:100">
      <c r="A9206" s="374"/>
      <c r="C9206" s="374"/>
      <c r="CV9206" s="376"/>
    </row>
    <row r="9207" spans="1:100">
      <c r="A9207" s="374"/>
      <c r="C9207" s="374"/>
      <c r="CV9207" s="376"/>
    </row>
    <row r="9208" spans="1:100">
      <c r="A9208" s="374"/>
      <c r="C9208" s="374"/>
      <c r="CV9208" s="376"/>
    </row>
    <row r="9209" spans="1:100">
      <c r="A9209" s="374"/>
      <c r="C9209" s="374"/>
      <c r="CV9209" s="376"/>
    </row>
    <row r="9210" spans="1:100">
      <c r="A9210" s="374"/>
      <c r="C9210" s="374"/>
      <c r="CV9210" s="376"/>
    </row>
    <row r="9211" spans="1:100">
      <c r="A9211" s="374"/>
      <c r="C9211" s="374"/>
      <c r="CV9211" s="376"/>
    </row>
    <row r="9212" spans="1:100">
      <c r="A9212" s="374"/>
      <c r="C9212" s="374"/>
      <c r="CV9212" s="376"/>
    </row>
    <row r="9213" spans="1:100">
      <c r="A9213" s="374"/>
      <c r="C9213" s="374"/>
      <c r="CV9213" s="376"/>
    </row>
    <row r="9214" spans="1:100">
      <c r="A9214" s="374"/>
      <c r="C9214" s="374"/>
      <c r="CV9214" s="376"/>
    </row>
    <row r="9215" spans="1:100">
      <c r="A9215" s="374"/>
      <c r="C9215" s="374"/>
      <c r="CV9215" s="376"/>
    </row>
    <row r="9216" spans="1:100">
      <c r="A9216" s="374"/>
      <c r="C9216" s="374"/>
      <c r="CV9216" s="376"/>
    </row>
    <row r="9217" spans="1:100">
      <c r="A9217" s="374"/>
      <c r="C9217" s="374"/>
      <c r="CV9217" s="376"/>
    </row>
    <row r="9218" spans="1:100">
      <c r="A9218" s="374"/>
      <c r="C9218" s="374"/>
      <c r="CV9218" s="376"/>
    </row>
    <row r="9219" spans="1:100">
      <c r="A9219" s="374"/>
      <c r="C9219" s="374"/>
      <c r="CV9219" s="376"/>
    </row>
    <row r="9220" spans="1:100">
      <c r="A9220" s="374"/>
      <c r="C9220" s="374"/>
      <c r="CV9220" s="376"/>
    </row>
    <row r="9221" spans="1:100">
      <c r="A9221" s="374"/>
      <c r="C9221" s="374"/>
      <c r="CV9221" s="376"/>
    </row>
    <row r="9222" spans="1:100">
      <c r="A9222" s="374"/>
      <c r="C9222" s="374"/>
      <c r="CV9222" s="376"/>
    </row>
    <row r="9223" spans="1:100">
      <c r="A9223" s="374"/>
      <c r="C9223" s="374"/>
      <c r="CV9223" s="376"/>
    </row>
    <row r="9224" spans="1:100">
      <c r="A9224" s="374"/>
      <c r="C9224" s="374"/>
      <c r="CV9224" s="376"/>
    </row>
    <row r="9225" spans="1:100">
      <c r="A9225" s="374"/>
      <c r="C9225" s="374"/>
      <c r="CV9225" s="376"/>
    </row>
    <row r="9226" spans="1:100">
      <c r="A9226" s="374"/>
      <c r="C9226" s="374"/>
      <c r="CV9226" s="376"/>
    </row>
    <row r="9227" spans="1:100">
      <c r="A9227" s="374"/>
      <c r="C9227" s="374"/>
      <c r="CV9227" s="376"/>
    </row>
    <row r="9228" spans="1:100">
      <c r="A9228" s="374"/>
      <c r="C9228" s="374"/>
      <c r="CV9228" s="376"/>
    </row>
    <row r="9229" spans="1:100">
      <c r="A9229" s="374"/>
      <c r="C9229" s="374"/>
      <c r="CV9229" s="376"/>
    </row>
    <row r="9230" spans="1:100">
      <c r="A9230" s="374"/>
      <c r="C9230" s="374"/>
      <c r="CV9230" s="376"/>
    </row>
    <row r="9231" spans="1:100">
      <c r="A9231" s="374"/>
      <c r="C9231" s="374"/>
      <c r="CV9231" s="376"/>
    </row>
    <row r="9232" spans="1:100">
      <c r="A9232" s="374"/>
      <c r="C9232" s="374"/>
      <c r="CV9232" s="376"/>
    </row>
    <row r="9233" spans="1:100">
      <c r="A9233" s="374"/>
      <c r="C9233" s="374"/>
      <c r="CV9233" s="376"/>
    </row>
    <row r="9234" spans="1:100">
      <c r="A9234" s="374"/>
      <c r="C9234" s="374"/>
      <c r="CV9234" s="376"/>
    </row>
    <row r="9235" spans="1:100">
      <c r="A9235" s="374"/>
      <c r="C9235" s="374"/>
      <c r="CV9235" s="376"/>
    </row>
    <row r="9236" spans="1:100">
      <c r="A9236" s="374"/>
      <c r="C9236" s="374"/>
      <c r="CV9236" s="376"/>
    </row>
    <row r="9237" spans="1:100">
      <c r="A9237" s="374"/>
      <c r="C9237" s="374"/>
      <c r="CV9237" s="376"/>
    </row>
    <row r="9238" spans="1:100">
      <c r="A9238" s="374"/>
      <c r="C9238" s="374"/>
      <c r="CV9238" s="376"/>
    </row>
    <row r="9239" spans="1:100">
      <c r="A9239" s="374"/>
      <c r="C9239" s="374"/>
      <c r="CV9239" s="376"/>
    </row>
    <row r="9240" spans="1:100">
      <c r="A9240" s="374"/>
      <c r="C9240" s="374"/>
      <c r="CV9240" s="376"/>
    </row>
    <row r="9241" spans="1:100">
      <c r="A9241" s="374"/>
      <c r="C9241" s="374"/>
      <c r="CV9241" s="376"/>
    </row>
    <row r="9242" spans="1:100">
      <c r="A9242" s="374"/>
      <c r="C9242" s="374"/>
      <c r="CV9242" s="376"/>
    </row>
    <row r="9243" spans="1:100">
      <c r="A9243" s="374"/>
      <c r="C9243" s="374"/>
      <c r="CV9243" s="376"/>
    </row>
    <row r="9244" spans="1:100">
      <c r="A9244" s="374"/>
      <c r="C9244" s="374"/>
      <c r="CV9244" s="376"/>
    </row>
    <row r="9245" spans="1:100">
      <c r="A9245" s="374"/>
      <c r="C9245" s="374"/>
      <c r="CV9245" s="376"/>
    </row>
    <row r="9246" spans="1:100">
      <c r="A9246" s="374"/>
      <c r="C9246" s="374"/>
      <c r="CV9246" s="376"/>
    </row>
    <row r="9247" spans="1:100">
      <c r="A9247" s="374"/>
      <c r="C9247" s="374"/>
      <c r="CV9247" s="376"/>
    </row>
    <row r="9248" spans="1:100">
      <c r="A9248" s="374"/>
      <c r="C9248" s="374"/>
      <c r="CV9248" s="376"/>
    </row>
    <row r="9249" spans="1:100">
      <c r="A9249" s="374"/>
      <c r="C9249" s="374"/>
      <c r="CV9249" s="376"/>
    </row>
    <row r="9250" spans="1:100">
      <c r="A9250" s="374"/>
      <c r="C9250" s="374"/>
      <c r="CV9250" s="376"/>
    </row>
    <row r="9251" spans="1:100">
      <c r="A9251" s="374"/>
      <c r="C9251" s="374"/>
      <c r="CV9251" s="376"/>
    </row>
    <row r="9252" spans="1:100">
      <c r="A9252" s="374"/>
      <c r="C9252" s="374"/>
      <c r="CV9252" s="376"/>
    </row>
    <row r="9253" spans="1:100">
      <c r="A9253" s="374"/>
      <c r="C9253" s="374"/>
      <c r="CV9253" s="376"/>
    </row>
    <row r="9254" spans="1:100">
      <c r="A9254" s="374"/>
      <c r="C9254" s="374"/>
      <c r="CV9254" s="376"/>
    </row>
    <row r="9255" spans="1:100">
      <c r="A9255" s="374"/>
      <c r="C9255" s="374"/>
      <c r="CV9255" s="376"/>
    </row>
    <row r="9256" spans="1:100">
      <c r="A9256" s="374"/>
      <c r="C9256" s="374"/>
      <c r="CV9256" s="376"/>
    </row>
    <row r="9257" spans="1:100">
      <c r="A9257" s="374"/>
      <c r="C9257" s="374"/>
      <c r="CV9257" s="376"/>
    </row>
    <row r="9258" spans="1:100">
      <c r="A9258" s="374"/>
      <c r="C9258" s="374"/>
      <c r="CV9258" s="376"/>
    </row>
    <row r="9259" spans="1:100">
      <c r="A9259" s="374"/>
      <c r="C9259" s="374"/>
      <c r="CV9259" s="376"/>
    </row>
    <row r="9260" spans="1:100">
      <c r="A9260" s="374"/>
      <c r="C9260" s="374"/>
      <c r="CV9260" s="376"/>
    </row>
    <row r="9261" spans="1:100">
      <c r="A9261" s="374"/>
      <c r="C9261" s="374"/>
      <c r="CV9261" s="376"/>
    </row>
    <row r="9262" spans="1:100">
      <c r="A9262" s="374"/>
      <c r="C9262" s="374"/>
      <c r="CV9262" s="376"/>
    </row>
    <row r="9263" spans="1:100">
      <c r="A9263" s="374"/>
      <c r="C9263" s="374"/>
      <c r="CV9263" s="376"/>
    </row>
    <row r="9264" spans="1:100">
      <c r="A9264" s="374"/>
      <c r="C9264" s="374"/>
      <c r="CV9264" s="376"/>
    </row>
    <row r="9265" spans="1:100">
      <c r="A9265" s="374"/>
      <c r="C9265" s="374"/>
      <c r="CV9265" s="376"/>
    </row>
    <row r="9266" spans="1:100">
      <c r="A9266" s="374"/>
      <c r="C9266" s="374"/>
      <c r="CV9266" s="376"/>
    </row>
    <row r="9267" spans="1:100">
      <c r="A9267" s="374"/>
      <c r="C9267" s="374"/>
      <c r="CV9267" s="376"/>
    </row>
    <row r="9268" spans="1:100">
      <c r="A9268" s="374"/>
      <c r="C9268" s="374"/>
      <c r="CV9268" s="376"/>
    </row>
    <row r="9269" spans="1:100">
      <c r="A9269" s="374"/>
      <c r="C9269" s="374"/>
      <c r="CV9269" s="376"/>
    </row>
    <row r="9270" spans="1:100">
      <c r="A9270" s="374"/>
      <c r="C9270" s="374"/>
      <c r="CV9270" s="376"/>
    </row>
    <row r="9271" spans="1:100">
      <c r="A9271" s="374"/>
      <c r="C9271" s="374"/>
      <c r="CV9271" s="376"/>
    </row>
    <row r="9272" spans="1:100">
      <c r="A9272" s="374"/>
      <c r="C9272" s="374"/>
      <c r="CV9272" s="376"/>
    </row>
    <row r="9273" spans="1:100">
      <c r="A9273" s="374"/>
      <c r="C9273" s="374"/>
      <c r="CV9273" s="376"/>
    </row>
    <row r="9274" spans="1:100">
      <c r="A9274" s="374"/>
      <c r="C9274" s="374"/>
      <c r="CV9274" s="376"/>
    </row>
    <row r="9275" spans="1:100">
      <c r="A9275" s="374"/>
      <c r="C9275" s="374"/>
      <c r="CV9275" s="376"/>
    </row>
    <row r="9276" spans="1:100">
      <c r="A9276" s="374"/>
      <c r="C9276" s="374"/>
      <c r="CV9276" s="376"/>
    </row>
    <row r="9277" spans="1:100">
      <c r="A9277" s="374"/>
      <c r="C9277" s="374"/>
      <c r="CV9277" s="376"/>
    </row>
    <row r="9278" spans="1:100">
      <c r="A9278" s="374"/>
      <c r="C9278" s="374"/>
      <c r="CV9278" s="376"/>
    </row>
    <row r="9279" spans="1:100">
      <c r="A9279" s="374"/>
      <c r="C9279" s="374"/>
      <c r="CV9279" s="376"/>
    </row>
    <row r="9280" spans="1:100">
      <c r="A9280" s="374"/>
      <c r="C9280" s="374"/>
      <c r="CV9280" s="376"/>
    </row>
    <row r="9281" spans="1:100">
      <c r="A9281" s="374"/>
      <c r="C9281" s="374"/>
      <c r="CV9281" s="376"/>
    </row>
    <row r="9282" spans="1:100">
      <c r="A9282" s="374"/>
      <c r="C9282" s="374"/>
      <c r="CV9282" s="376"/>
    </row>
    <row r="9283" spans="1:100">
      <c r="A9283" s="374"/>
      <c r="C9283" s="374"/>
      <c r="CV9283" s="376"/>
    </row>
    <row r="9284" spans="1:100">
      <c r="A9284" s="374"/>
      <c r="C9284" s="374"/>
      <c r="CV9284" s="376"/>
    </row>
    <row r="9285" spans="1:100">
      <c r="A9285" s="374"/>
      <c r="C9285" s="374"/>
      <c r="CV9285" s="376"/>
    </row>
    <row r="9286" spans="1:100">
      <c r="A9286" s="374"/>
      <c r="C9286" s="374"/>
      <c r="CV9286" s="376"/>
    </row>
    <row r="9287" spans="1:100">
      <c r="A9287" s="374"/>
      <c r="C9287" s="374"/>
      <c r="CV9287" s="376"/>
    </row>
    <row r="9288" spans="1:100">
      <c r="A9288" s="374"/>
      <c r="C9288" s="374"/>
      <c r="CV9288" s="376"/>
    </row>
    <row r="9289" spans="1:100">
      <c r="A9289" s="374"/>
      <c r="C9289" s="374"/>
      <c r="CV9289" s="376"/>
    </row>
    <row r="9290" spans="1:100">
      <c r="A9290" s="374"/>
      <c r="C9290" s="374"/>
      <c r="CV9290" s="376"/>
    </row>
    <row r="9291" spans="1:100">
      <c r="A9291" s="374"/>
      <c r="C9291" s="374"/>
      <c r="CV9291" s="376"/>
    </row>
    <row r="9292" spans="1:100">
      <c r="A9292" s="374"/>
      <c r="C9292" s="374"/>
      <c r="CV9292" s="376"/>
    </row>
    <row r="9293" spans="1:100">
      <c r="A9293" s="374"/>
      <c r="C9293" s="374"/>
      <c r="CV9293" s="376"/>
    </row>
    <row r="9294" spans="1:100">
      <c r="A9294" s="374"/>
      <c r="C9294" s="374"/>
      <c r="CV9294" s="376"/>
    </row>
    <row r="9295" spans="1:100">
      <c r="A9295" s="374"/>
      <c r="C9295" s="374"/>
      <c r="CV9295" s="376"/>
    </row>
    <row r="9296" spans="1:100">
      <c r="A9296" s="374"/>
      <c r="C9296" s="374"/>
      <c r="CV9296" s="376"/>
    </row>
    <row r="9297" spans="1:100">
      <c r="A9297" s="374"/>
      <c r="C9297" s="374"/>
      <c r="CV9297" s="376"/>
    </row>
    <row r="9298" spans="1:100">
      <c r="A9298" s="374"/>
      <c r="C9298" s="374"/>
      <c r="CV9298" s="376"/>
    </row>
    <row r="9299" spans="1:100">
      <c r="A9299" s="374"/>
      <c r="C9299" s="374"/>
      <c r="CV9299" s="376"/>
    </row>
    <row r="9300" spans="1:100">
      <c r="A9300" s="374"/>
      <c r="C9300" s="374"/>
      <c r="CV9300" s="376"/>
    </row>
    <row r="9301" spans="1:100">
      <c r="A9301" s="374"/>
      <c r="C9301" s="374"/>
      <c r="CV9301" s="376"/>
    </row>
    <row r="9302" spans="1:100">
      <c r="A9302" s="374"/>
      <c r="C9302" s="374"/>
      <c r="CV9302" s="376"/>
    </row>
    <row r="9303" spans="1:100">
      <c r="A9303" s="374"/>
      <c r="C9303" s="374"/>
      <c r="CV9303" s="376"/>
    </row>
    <row r="9304" spans="1:100">
      <c r="A9304" s="374"/>
      <c r="C9304" s="374"/>
      <c r="CV9304" s="376"/>
    </row>
    <row r="9305" spans="1:100">
      <c r="A9305" s="374"/>
      <c r="C9305" s="374"/>
      <c r="CV9305" s="376"/>
    </row>
    <row r="9306" spans="1:100">
      <c r="A9306" s="374"/>
      <c r="C9306" s="374"/>
      <c r="CV9306" s="376"/>
    </row>
    <row r="9307" spans="1:100">
      <c r="A9307" s="374"/>
      <c r="C9307" s="374"/>
      <c r="CV9307" s="376"/>
    </row>
    <row r="9308" spans="1:100">
      <c r="A9308" s="374"/>
      <c r="C9308" s="374"/>
      <c r="CV9308" s="376"/>
    </row>
    <row r="9309" spans="1:100">
      <c r="A9309" s="374"/>
      <c r="C9309" s="374"/>
      <c r="CV9309" s="376"/>
    </row>
    <row r="9310" spans="1:100">
      <c r="A9310" s="374"/>
      <c r="C9310" s="374"/>
      <c r="CV9310" s="376"/>
    </row>
    <row r="9311" spans="1:100">
      <c r="A9311" s="374"/>
      <c r="C9311" s="374"/>
      <c r="CV9311" s="376"/>
    </row>
    <row r="9312" spans="1:100">
      <c r="A9312" s="374"/>
      <c r="C9312" s="374"/>
      <c r="CV9312" s="376"/>
    </row>
    <row r="9313" spans="1:100">
      <c r="A9313" s="374"/>
      <c r="C9313" s="374"/>
      <c r="CV9313" s="376"/>
    </row>
    <row r="9314" spans="1:100">
      <c r="A9314" s="374"/>
      <c r="C9314" s="374"/>
      <c r="CV9314" s="376"/>
    </row>
    <row r="9315" spans="1:100">
      <c r="A9315" s="374"/>
      <c r="C9315" s="374"/>
      <c r="CV9315" s="376"/>
    </row>
    <row r="9316" spans="1:100">
      <c r="A9316" s="374"/>
      <c r="C9316" s="374"/>
      <c r="CV9316" s="376"/>
    </row>
    <row r="9317" spans="1:100">
      <c r="A9317" s="374"/>
      <c r="C9317" s="374"/>
      <c r="CV9317" s="376"/>
    </row>
    <row r="9318" spans="1:100">
      <c r="A9318" s="374"/>
      <c r="C9318" s="374"/>
      <c r="CV9318" s="376"/>
    </row>
    <row r="9319" spans="1:100">
      <c r="A9319" s="374"/>
      <c r="C9319" s="374"/>
      <c r="CV9319" s="376"/>
    </row>
    <row r="9320" spans="1:100">
      <c r="A9320" s="374"/>
      <c r="C9320" s="374"/>
      <c r="CV9320" s="376"/>
    </row>
    <row r="9321" spans="1:100">
      <c r="A9321" s="374"/>
      <c r="C9321" s="374"/>
      <c r="CV9321" s="376"/>
    </row>
    <row r="9322" spans="1:100">
      <c r="A9322" s="374"/>
      <c r="C9322" s="374"/>
      <c r="CV9322" s="376"/>
    </row>
    <row r="9323" spans="1:100">
      <c r="A9323" s="374"/>
      <c r="C9323" s="374"/>
      <c r="CV9323" s="376"/>
    </row>
    <row r="9324" spans="1:100">
      <c r="A9324" s="374"/>
      <c r="C9324" s="374"/>
      <c r="CV9324" s="376"/>
    </row>
    <row r="9325" spans="1:100">
      <c r="A9325" s="374"/>
      <c r="C9325" s="374"/>
      <c r="CV9325" s="376"/>
    </row>
    <row r="9326" spans="1:100">
      <c r="A9326" s="374"/>
      <c r="C9326" s="374"/>
      <c r="CV9326" s="376"/>
    </row>
    <row r="9327" spans="1:100">
      <c r="A9327" s="374"/>
      <c r="C9327" s="374"/>
      <c r="CV9327" s="376"/>
    </row>
    <row r="9328" spans="1:100">
      <c r="A9328" s="374"/>
      <c r="C9328" s="374"/>
      <c r="CV9328" s="376"/>
    </row>
    <row r="9329" spans="1:100">
      <c r="A9329" s="374"/>
      <c r="C9329" s="374"/>
      <c r="CV9329" s="376"/>
    </row>
    <row r="9330" spans="1:100">
      <c r="A9330" s="374"/>
      <c r="C9330" s="374"/>
      <c r="CV9330" s="376"/>
    </row>
    <row r="9331" spans="1:100">
      <c r="A9331" s="374"/>
      <c r="C9331" s="374"/>
      <c r="CV9331" s="376"/>
    </row>
    <row r="9332" spans="1:100">
      <c r="A9332" s="374"/>
      <c r="C9332" s="374"/>
      <c r="CV9332" s="376"/>
    </row>
    <row r="9333" spans="1:100">
      <c r="A9333" s="374"/>
      <c r="C9333" s="374"/>
      <c r="CV9333" s="376"/>
    </row>
    <row r="9334" spans="1:100">
      <c r="A9334" s="374"/>
      <c r="C9334" s="374"/>
      <c r="CV9334" s="376"/>
    </row>
    <row r="9335" spans="1:100">
      <c r="A9335" s="374"/>
      <c r="C9335" s="374"/>
      <c r="CV9335" s="376"/>
    </row>
    <row r="9336" spans="1:100">
      <c r="A9336" s="374"/>
      <c r="C9336" s="374"/>
      <c r="CV9336" s="376"/>
    </row>
    <row r="9337" spans="1:100">
      <c r="A9337" s="374"/>
      <c r="C9337" s="374"/>
      <c r="CV9337" s="376"/>
    </row>
    <row r="9338" spans="1:100">
      <c r="A9338" s="374"/>
      <c r="C9338" s="374"/>
      <c r="CV9338" s="376"/>
    </row>
    <row r="9339" spans="1:100">
      <c r="A9339" s="374"/>
      <c r="C9339" s="374"/>
      <c r="CV9339" s="376"/>
    </row>
    <row r="9340" spans="1:100">
      <c r="A9340" s="374"/>
      <c r="C9340" s="374"/>
      <c r="CV9340" s="376"/>
    </row>
    <row r="9341" spans="1:100">
      <c r="A9341" s="374"/>
      <c r="C9341" s="374"/>
      <c r="CV9341" s="376"/>
    </row>
    <row r="9342" spans="1:100">
      <c r="A9342" s="374"/>
      <c r="C9342" s="374"/>
      <c r="CV9342" s="376"/>
    </row>
    <row r="9343" spans="1:100">
      <c r="A9343" s="374"/>
      <c r="C9343" s="374"/>
      <c r="CV9343" s="376"/>
    </row>
    <row r="9344" spans="1:100">
      <c r="A9344" s="374"/>
      <c r="C9344" s="374"/>
      <c r="CV9344" s="376"/>
    </row>
    <row r="9345" spans="1:100">
      <c r="A9345" s="374"/>
      <c r="C9345" s="374"/>
      <c r="CV9345" s="376"/>
    </row>
    <row r="9346" spans="1:100">
      <c r="A9346" s="374"/>
      <c r="C9346" s="374"/>
      <c r="CV9346" s="376"/>
    </row>
    <row r="9347" spans="1:100">
      <c r="A9347" s="374"/>
      <c r="C9347" s="374"/>
      <c r="CV9347" s="376"/>
    </row>
    <row r="9348" spans="1:100">
      <c r="A9348" s="374"/>
      <c r="C9348" s="374"/>
      <c r="CV9348" s="376"/>
    </row>
    <row r="9349" spans="1:100">
      <c r="A9349" s="374"/>
      <c r="C9349" s="374"/>
      <c r="CV9349" s="376"/>
    </row>
    <row r="9350" spans="1:100">
      <c r="A9350" s="374"/>
      <c r="C9350" s="374"/>
      <c r="CV9350" s="376"/>
    </row>
    <row r="9351" spans="1:100">
      <c r="A9351" s="374"/>
      <c r="C9351" s="374"/>
      <c r="CV9351" s="376"/>
    </row>
    <row r="9352" spans="1:100">
      <c r="A9352" s="374"/>
      <c r="C9352" s="374"/>
      <c r="CV9352" s="376"/>
    </row>
    <row r="9353" spans="1:100">
      <c r="A9353" s="374"/>
      <c r="C9353" s="374"/>
      <c r="CV9353" s="376"/>
    </row>
    <row r="9354" spans="1:100">
      <c r="A9354" s="374"/>
      <c r="C9354" s="374"/>
      <c r="CV9354" s="376"/>
    </row>
    <row r="9355" spans="1:100">
      <c r="A9355" s="374"/>
      <c r="C9355" s="374"/>
      <c r="CV9355" s="376"/>
    </row>
    <row r="9356" spans="1:100">
      <c r="A9356" s="374"/>
      <c r="C9356" s="374"/>
      <c r="CV9356" s="376"/>
    </row>
    <row r="9357" spans="1:100">
      <c r="A9357" s="374"/>
      <c r="C9357" s="374"/>
      <c r="CV9357" s="376"/>
    </row>
    <row r="9358" spans="1:100">
      <c r="A9358" s="374"/>
      <c r="C9358" s="374"/>
      <c r="CV9358" s="376"/>
    </row>
    <row r="9359" spans="1:100">
      <c r="A9359" s="374"/>
      <c r="C9359" s="374"/>
      <c r="CV9359" s="376"/>
    </row>
    <row r="9360" spans="1:100">
      <c r="A9360" s="374"/>
      <c r="C9360" s="374"/>
      <c r="CV9360" s="376"/>
    </row>
    <row r="9361" spans="1:100">
      <c r="A9361" s="374"/>
      <c r="C9361" s="374"/>
      <c r="CV9361" s="376"/>
    </row>
    <row r="9362" spans="1:100">
      <c r="A9362" s="374"/>
      <c r="C9362" s="374"/>
      <c r="CV9362" s="376"/>
    </row>
    <row r="9363" spans="1:100">
      <c r="A9363" s="374"/>
      <c r="C9363" s="374"/>
      <c r="CV9363" s="376"/>
    </row>
    <row r="9364" spans="1:100">
      <c r="A9364" s="374"/>
      <c r="C9364" s="374"/>
      <c r="CV9364" s="376"/>
    </row>
    <row r="9365" spans="1:100">
      <c r="A9365" s="374"/>
      <c r="C9365" s="374"/>
      <c r="CV9365" s="376"/>
    </row>
    <row r="9366" spans="1:100">
      <c r="A9366" s="374"/>
      <c r="C9366" s="374"/>
      <c r="CV9366" s="376"/>
    </row>
    <row r="9367" spans="1:100">
      <c r="A9367" s="374"/>
      <c r="C9367" s="374"/>
      <c r="CV9367" s="376"/>
    </row>
    <row r="9368" spans="1:100">
      <c r="A9368" s="374"/>
      <c r="C9368" s="374"/>
      <c r="CV9368" s="376"/>
    </row>
    <row r="9369" spans="1:100">
      <c r="A9369" s="374"/>
      <c r="C9369" s="374"/>
      <c r="CV9369" s="376"/>
    </row>
    <row r="9370" spans="1:100">
      <c r="A9370" s="374"/>
      <c r="C9370" s="374"/>
      <c r="CV9370" s="376"/>
    </row>
    <row r="9371" spans="1:100">
      <c r="A9371" s="374"/>
      <c r="C9371" s="374"/>
      <c r="CV9371" s="376"/>
    </row>
    <row r="9372" spans="1:100">
      <c r="A9372" s="374"/>
      <c r="C9372" s="374"/>
      <c r="CV9372" s="376"/>
    </row>
    <row r="9373" spans="1:100">
      <c r="A9373" s="374"/>
      <c r="C9373" s="374"/>
      <c r="CV9373" s="376"/>
    </row>
    <row r="9374" spans="1:100">
      <c r="A9374" s="374"/>
      <c r="C9374" s="374"/>
      <c r="CV9374" s="376"/>
    </row>
    <row r="9375" spans="1:100">
      <c r="A9375" s="374"/>
      <c r="C9375" s="374"/>
      <c r="CV9375" s="376"/>
    </row>
    <row r="9376" spans="1:100">
      <c r="A9376" s="374"/>
      <c r="C9376" s="374"/>
      <c r="CV9376" s="376"/>
    </row>
    <row r="9377" spans="1:100">
      <c r="A9377" s="374"/>
      <c r="C9377" s="374"/>
      <c r="CV9377" s="376"/>
    </row>
    <row r="9378" spans="1:100">
      <c r="A9378" s="374"/>
      <c r="C9378" s="374"/>
      <c r="CV9378" s="376"/>
    </row>
    <row r="9379" spans="1:100">
      <c r="A9379" s="374"/>
      <c r="C9379" s="374"/>
      <c r="CV9379" s="376"/>
    </row>
    <row r="9380" spans="1:100">
      <c r="A9380" s="374"/>
      <c r="C9380" s="374"/>
      <c r="CV9380" s="376"/>
    </row>
    <row r="9381" spans="1:100">
      <c r="A9381" s="374"/>
      <c r="C9381" s="374"/>
      <c r="CV9381" s="376"/>
    </row>
    <row r="9382" spans="1:100">
      <c r="A9382" s="374"/>
      <c r="C9382" s="374"/>
      <c r="CV9382" s="376"/>
    </row>
    <row r="9383" spans="1:100">
      <c r="A9383" s="374"/>
      <c r="C9383" s="374"/>
      <c r="CV9383" s="376"/>
    </row>
    <row r="9384" spans="1:100">
      <c r="A9384" s="374"/>
      <c r="C9384" s="374"/>
      <c r="CV9384" s="376"/>
    </row>
    <row r="9385" spans="1:100">
      <c r="A9385" s="374"/>
      <c r="C9385" s="374"/>
      <c r="CV9385" s="376"/>
    </row>
    <row r="9386" spans="1:100">
      <c r="A9386" s="374"/>
      <c r="C9386" s="374"/>
      <c r="CV9386" s="376"/>
    </row>
    <row r="9387" spans="1:100">
      <c r="A9387" s="374"/>
      <c r="C9387" s="374"/>
      <c r="CV9387" s="376"/>
    </row>
    <row r="9388" spans="1:100">
      <c r="A9388" s="374"/>
      <c r="C9388" s="374"/>
      <c r="CV9388" s="376"/>
    </row>
    <row r="9389" spans="1:100">
      <c r="A9389" s="374"/>
      <c r="C9389" s="374"/>
      <c r="CV9389" s="376"/>
    </row>
    <row r="9390" spans="1:100">
      <c r="A9390" s="374"/>
      <c r="C9390" s="374"/>
      <c r="CV9390" s="376"/>
    </row>
    <row r="9391" spans="1:100">
      <c r="A9391" s="374"/>
      <c r="C9391" s="374"/>
      <c r="CV9391" s="376"/>
    </row>
    <row r="9392" spans="1:100">
      <c r="A9392" s="374"/>
      <c r="C9392" s="374"/>
      <c r="CV9392" s="376"/>
    </row>
    <row r="9393" spans="1:100">
      <c r="A9393" s="374"/>
      <c r="C9393" s="374"/>
      <c r="CV9393" s="376"/>
    </row>
    <row r="9394" spans="1:100">
      <c r="A9394" s="374"/>
      <c r="C9394" s="374"/>
      <c r="CV9394" s="376"/>
    </row>
    <row r="9395" spans="1:100">
      <c r="A9395" s="374"/>
      <c r="C9395" s="374"/>
      <c r="CV9395" s="376"/>
    </row>
    <row r="9396" spans="1:100">
      <c r="A9396" s="374"/>
      <c r="C9396" s="374"/>
      <c r="CV9396" s="376"/>
    </row>
    <row r="9397" spans="1:100">
      <c r="A9397" s="374"/>
      <c r="C9397" s="374"/>
      <c r="CV9397" s="376"/>
    </row>
    <row r="9398" spans="1:100">
      <c r="A9398" s="374"/>
      <c r="C9398" s="374"/>
      <c r="CV9398" s="376"/>
    </row>
    <row r="9399" spans="1:100">
      <c r="A9399" s="374"/>
      <c r="C9399" s="374"/>
      <c r="CV9399" s="376"/>
    </row>
    <row r="9400" spans="1:100">
      <c r="A9400" s="374"/>
      <c r="C9400" s="374"/>
      <c r="CV9400" s="376"/>
    </row>
    <row r="9401" spans="1:100">
      <c r="A9401" s="374"/>
      <c r="C9401" s="374"/>
      <c r="CV9401" s="376"/>
    </row>
    <row r="9402" spans="1:100">
      <c r="A9402" s="374"/>
      <c r="C9402" s="374"/>
      <c r="CV9402" s="376"/>
    </row>
    <row r="9403" spans="1:100">
      <c r="A9403" s="374"/>
      <c r="C9403" s="374"/>
      <c r="CV9403" s="376"/>
    </row>
    <row r="9404" spans="1:100">
      <c r="A9404" s="374"/>
      <c r="C9404" s="374"/>
      <c r="CV9404" s="376"/>
    </row>
    <row r="9405" spans="1:100">
      <c r="A9405" s="374"/>
      <c r="C9405" s="374"/>
      <c r="CV9405" s="376"/>
    </row>
    <row r="9406" spans="1:100">
      <c r="A9406" s="374"/>
      <c r="C9406" s="374"/>
      <c r="CV9406" s="376"/>
    </row>
    <row r="9407" spans="1:100">
      <c r="A9407" s="374"/>
      <c r="C9407" s="374"/>
      <c r="CV9407" s="376"/>
    </row>
    <row r="9408" spans="1:100">
      <c r="A9408" s="374"/>
      <c r="C9408" s="374"/>
      <c r="CV9408" s="376"/>
    </row>
    <row r="9409" spans="1:100">
      <c r="A9409" s="374"/>
      <c r="C9409" s="374"/>
      <c r="CV9409" s="376"/>
    </row>
    <row r="9410" spans="1:100">
      <c r="A9410" s="374"/>
      <c r="C9410" s="374"/>
      <c r="CV9410" s="376"/>
    </row>
    <row r="9411" spans="1:100">
      <c r="A9411" s="374"/>
      <c r="C9411" s="374"/>
      <c r="CV9411" s="376"/>
    </row>
    <row r="9412" spans="1:100">
      <c r="A9412" s="374"/>
      <c r="C9412" s="374"/>
      <c r="CV9412" s="376"/>
    </row>
    <row r="9413" spans="1:100">
      <c r="A9413" s="374"/>
      <c r="C9413" s="374"/>
      <c r="CV9413" s="376"/>
    </row>
    <row r="9414" spans="1:100">
      <c r="A9414" s="374"/>
      <c r="C9414" s="374"/>
      <c r="CV9414" s="376"/>
    </row>
    <row r="9415" spans="1:100">
      <c r="A9415" s="374"/>
      <c r="C9415" s="374"/>
      <c r="CV9415" s="376"/>
    </row>
    <row r="9416" spans="1:100">
      <c r="A9416" s="374"/>
      <c r="C9416" s="374"/>
      <c r="CV9416" s="376"/>
    </row>
    <row r="9417" spans="1:100">
      <c r="A9417" s="374"/>
      <c r="C9417" s="374"/>
      <c r="CV9417" s="376"/>
    </row>
    <row r="9418" spans="1:100">
      <c r="A9418" s="374"/>
      <c r="C9418" s="374"/>
      <c r="CV9418" s="376"/>
    </row>
    <row r="9419" spans="1:100">
      <c r="A9419" s="374"/>
      <c r="C9419" s="374"/>
      <c r="CV9419" s="376"/>
    </row>
    <row r="9420" spans="1:100">
      <c r="A9420" s="374"/>
      <c r="C9420" s="374"/>
      <c r="CV9420" s="376"/>
    </row>
    <row r="9421" spans="1:100">
      <c r="A9421" s="374"/>
      <c r="C9421" s="374"/>
      <c r="CV9421" s="376"/>
    </row>
    <row r="9422" spans="1:100">
      <c r="A9422" s="374"/>
      <c r="C9422" s="374"/>
      <c r="CV9422" s="376"/>
    </row>
    <row r="9423" spans="1:100">
      <c r="A9423" s="374"/>
      <c r="C9423" s="374"/>
      <c r="CV9423" s="376"/>
    </row>
    <row r="9424" spans="1:100">
      <c r="A9424" s="374"/>
      <c r="C9424" s="374"/>
      <c r="CV9424" s="376"/>
    </row>
    <row r="9425" spans="1:100">
      <c r="A9425" s="374"/>
      <c r="C9425" s="374"/>
      <c r="CV9425" s="376"/>
    </row>
    <row r="9426" spans="1:100">
      <c r="A9426" s="374"/>
      <c r="C9426" s="374"/>
      <c r="CV9426" s="376"/>
    </row>
    <row r="9427" spans="1:100">
      <c r="A9427" s="374"/>
      <c r="C9427" s="374"/>
      <c r="CV9427" s="376"/>
    </row>
    <row r="9428" spans="1:100">
      <c r="A9428" s="374"/>
      <c r="C9428" s="374"/>
      <c r="CV9428" s="376"/>
    </row>
    <row r="9429" spans="1:100">
      <c r="A9429" s="374"/>
      <c r="C9429" s="374"/>
      <c r="CV9429" s="376"/>
    </row>
    <row r="9430" spans="1:100">
      <c r="A9430" s="374"/>
      <c r="C9430" s="374"/>
      <c r="CV9430" s="376"/>
    </row>
    <row r="9431" spans="1:100">
      <c r="A9431" s="374"/>
      <c r="C9431" s="374"/>
      <c r="CV9431" s="376"/>
    </row>
    <row r="9432" spans="1:100">
      <c r="A9432" s="374"/>
      <c r="C9432" s="374"/>
      <c r="CV9432" s="376"/>
    </row>
    <row r="9433" spans="1:100">
      <c r="A9433" s="374"/>
      <c r="C9433" s="374"/>
      <c r="CV9433" s="376"/>
    </row>
    <row r="9434" spans="1:100">
      <c r="A9434" s="374"/>
      <c r="C9434" s="374"/>
      <c r="CV9434" s="376"/>
    </row>
    <row r="9435" spans="1:100">
      <c r="A9435" s="374"/>
      <c r="C9435" s="374"/>
      <c r="CV9435" s="376"/>
    </row>
    <row r="9436" spans="1:100">
      <c r="A9436" s="374"/>
      <c r="C9436" s="374"/>
      <c r="CV9436" s="376"/>
    </row>
    <row r="9437" spans="1:100">
      <c r="A9437" s="374"/>
      <c r="C9437" s="374"/>
      <c r="CV9437" s="376"/>
    </row>
    <row r="9438" spans="1:100">
      <c r="A9438" s="374"/>
      <c r="C9438" s="374"/>
      <c r="CV9438" s="376"/>
    </row>
    <row r="9439" spans="1:100">
      <c r="A9439" s="374"/>
      <c r="C9439" s="374"/>
      <c r="CV9439" s="376"/>
    </row>
    <row r="9440" spans="1:100">
      <c r="A9440" s="374"/>
      <c r="C9440" s="374"/>
      <c r="CV9440" s="376"/>
    </row>
    <row r="9441" spans="1:100">
      <c r="A9441" s="374"/>
      <c r="C9441" s="374"/>
      <c r="CV9441" s="376"/>
    </row>
    <row r="9442" spans="1:100">
      <c r="A9442" s="374"/>
      <c r="C9442" s="374"/>
      <c r="CV9442" s="376"/>
    </row>
    <row r="9443" spans="1:100">
      <c r="A9443" s="374"/>
      <c r="C9443" s="374"/>
      <c r="CV9443" s="376"/>
    </row>
    <row r="9444" spans="1:100">
      <c r="A9444" s="374"/>
      <c r="C9444" s="374"/>
      <c r="CV9444" s="376"/>
    </row>
    <row r="9445" spans="1:100">
      <c r="A9445" s="374"/>
      <c r="C9445" s="374"/>
      <c r="CV9445" s="376"/>
    </row>
    <row r="9446" spans="1:100">
      <c r="A9446" s="374"/>
      <c r="C9446" s="374"/>
      <c r="CV9446" s="376"/>
    </row>
    <row r="9447" spans="1:100">
      <c r="A9447" s="374"/>
      <c r="C9447" s="374"/>
      <c r="CV9447" s="376"/>
    </row>
    <row r="9448" spans="1:100">
      <c r="A9448" s="374"/>
      <c r="C9448" s="374"/>
      <c r="CV9448" s="376"/>
    </row>
    <row r="9449" spans="1:100">
      <c r="A9449" s="374"/>
      <c r="C9449" s="374"/>
      <c r="CV9449" s="376"/>
    </row>
    <row r="9450" spans="1:100">
      <c r="A9450" s="374"/>
      <c r="C9450" s="374"/>
      <c r="CV9450" s="376"/>
    </row>
    <row r="9451" spans="1:100">
      <c r="A9451" s="374"/>
      <c r="C9451" s="374"/>
      <c r="CV9451" s="376"/>
    </row>
    <row r="9452" spans="1:100">
      <c r="A9452" s="374"/>
      <c r="C9452" s="374"/>
      <c r="CV9452" s="376"/>
    </row>
    <row r="9453" spans="1:100">
      <c r="A9453" s="374"/>
      <c r="C9453" s="374"/>
      <c r="CV9453" s="376"/>
    </row>
    <row r="9454" spans="1:100">
      <c r="A9454" s="374"/>
      <c r="C9454" s="374"/>
      <c r="CV9454" s="376"/>
    </row>
    <row r="9455" spans="1:100">
      <c r="A9455" s="374"/>
      <c r="C9455" s="374"/>
      <c r="CV9455" s="376"/>
    </row>
    <row r="9456" spans="1:100">
      <c r="A9456" s="374"/>
      <c r="C9456" s="374"/>
      <c r="CV9456" s="376"/>
    </row>
    <row r="9457" spans="1:100">
      <c r="A9457" s="374"/>
      <c r="C9457" s="374"/>
      <c r="CV9457" s="376"/>
    </row>
    <row r="9458" spans="1:100">
      <c r="A9458" s="374"/>
      <c r="C9458" s="374"/>
      <c r="CV9458" s="376"/>
    </row>
    <row r="9459" spans="1:100">
      <c r="A9459" s="374"/>
      <c r="C9459" s="374"/>
      <c r="CV9459" s="376"/>
    </row>
    <row r="9460" spans="1:100">
      <c r="A9460" s="374"/>
      <c r="C9460" s="374"/>
      <c r="CV9460" s="376"/>
    </row>
    <row r="9461" spans="1:100">
      <c r="A9461" s="374"/>
      <c r="C9461" s="374"/>
      <c r="CV9461" s="376"/>
    </row>
    <row r="9462" spans="1:100">
      <c r="A9462" s="374"/>
      <c r="C9462" s="374"/>
      <c r="CV9462" s="376"/>
    </row>
    <row r="9463" spans="1:100">
      <c r="A9463" s="374"/>
      <c r="C9463" s="374"/>
      <c r="CV9463" s="376"/>
    </row>
    <row r="9464" spans="1:100">
      <c r="A9464" s="374"/>
      <c r="C9464" s="374"/>
      <c r="CV9464" s="376"/>
    </row>
    <row r="9465" spans="1:100">
      <c r="A9465" s="374"/>
      <c r="C9465" s="374"/>
      <c r="CV9465" s="376"/>
    </row>
    <row r="9466" spans="1:100">
      <c r="A9466" s="374"/>
      <c r="C9466" s="374"/>
      <c r="CV9466" s="376"/>
    </row>
    <row r="9467" spans="1:100">
      <c r="A9467" s="374"/>
      <c r="C9467" s="374"/>
      <c r="CV9467" s="376"/>
    </row>
    <row r="9468" spans="1:100">
      <c r="A9468" s="374"/>
      <c r="C9468" s="374"/>
      <c r="CV9468" s="376"/>
    </row>
    <row r="9469" spans="1:100">
      <c r="A9469" s="374"/>
      <c r="C9469" s="374"/>
      <c r="CV9469" s="376"/>
    </row>
    <row r="9470" spans="1:100">
      <c r="A9470" s="374"/>
      <c r="C9470" s="374"/>
      <c r="CV9470" s="376"/>
    </row>
    <row r="9471" spans="1:100">
      <c r="A9471" s="374"/>
      <c r="C9471" s="374"/>
      <c r="CV9471" s="376"/>
    </row>
    <row r="9472" spans="1:100">
      <c r="A9472" s="374"/>
      <c r="C9472" s="374"/>
      <c r="CV9472" s="376"/>
    </row>
    <row r="9473" spans="1:100">
      <c r="A9473" s="374"/>
      <c r="C9473" s="374"/>
      <c r="CV9473" s="376"/>
    </row>
    <row r="9474" spans="1:100">
      <c r="A9474" s="374"/>
      <c r="C9474" s="374"/>
      <c r="CV9474" s="376"/>
    </row>
    <row r="9475" spans="1:100">
      <c r="A9475" s="374"/>
      <c r="C9475" s="374"/>
      <c r="CV9475" s="376"/>
    </row>
    <row r="9476" spans="1:100">
      <c r="A9476" s="374"/>
      <c r="C9476" s="374"/>
      <c r="CV9476" s="376"/>
    </row>
    <row r="9477" spans="1:100">
      <c r="A9477" s="374"/>
      <c r="C9477" s="374"/>
      <c r="CV9477" s="376"/>
    </row>
    <row r="9478" spans="1:100">
      <c r="A9478" s="374"/>
      <c r="C9478" s="374"/>
      <c r="CV9478" s="376"/>
    </row>
    <row r="9479" spans="1:100">
      <c r="A9479" s="374"/>
      <c r="C9479" s="374"/>
      <c r="CV9479" s="376"/>
    </row>
    <row r="9480" spans="1:100">
      <c r="A9480" s="374"/>
      <c r="C9480" s="374"/>
      <c r="CV9480" s="376"/>
    </row>
    <row r="9481" spans="1:100">
      <c r="A9481" s="374"/>
      <c r="C9481" s="374"/>
      <c r="CV9481" s="376"/>
    </row>
    <row r="9482" spans="1:100">
      <c r="A9482" s="374"/>
      <c r="C9482" s="374"/>
      <c r="CV9482" s="376"/>
    </row>
    <row r="9483" spans="1:100">
      <c r="A9483" s="374"/>
      <c r="C9483" s="374"/>
      <c r="CV9483" s="376"/>
    </row>
    <row r="9484" spans="1:100">
      <c r="A9484" s="374"/>
      <c r="C9484" s="374"/>
      <c r="CV9484" s="376"/>
    </row>
    <row r="9485" spans="1:100">
      <c r="A9485" s="374"/>
      <c r="C9485" s="374"/>
      <c r="CV9485" s="376"/>
    </row>
    <row r="9486" spans="1:100">
      <c r="A9486" s="374"/>
      <c r="C9486" s="374"/>
      <c r="CV9486" s="376"/>
    </row>
    <row r="9487" spans="1:100">
      <c r="A9487" s="374"/>
      <c r="C9487" s="374"/>
      <c r="CV9487" s="376"/>
    </row>
    <row r="9488" spans="1:100">
      <c r="A9488" s="374"/>
      <c r="C9488" s="374"/>
      <c r="CV9488" s="376"/>
    </row>
    <row r="9489" spans="1:100">
      <c r="A9489" s="374"/>
      <c r="C9489" s="374"/>
      <c r="CV9489" s="376"/>
    </row>
    <row r="9490" spans="1:100">
      <c r="A9490" s="374"/>
      <c r="C9490" s="374"/>
      <c r="CV9490" s="376"/>
    </row>
    <row r="9491" spans="1:100">
      <c r="A9491" s="374"/>
      <c r="C9491" s="374"/>
      <c r="CV9491" s="376"/>
    </row>
    <row r="9492" spans="1:100">
      <c r="A9492" s="374"/>
      <c r="C9492" s="374"/>
      <c r="CV9492" s="376"/>
    </row>
    <row r="9493" spans="1:100">
      <c r="A9493" s="374"/>
      <c r="C9493" s="374"/>
      <c r="CV9493" s="376"/>
    </row>
    <row r="9494" spans="1:100">
      <c r="A9494" s="374"/>
      <c r="C9494" s="374"/>
      <c r="CV9494" s="376"/>
    </row>
    <row r="9495" spans="1:100">
      <c r="A9495" s="374"/>
      <c r="C9495" s="374"/>
      <c r="CV9495" s="376"/>
    </row>
    <row r="9496" spans="1:100">
      <c r="A9496" s="374"/>
      <c r="C9496" s="374"/>
      <c r="CV9496" s="376"/>
    </row>
    <row r="9497" spans="1:100">
      <c r="A9497" s="374"/>
      <c r="C9497" s="374"/>
      <c r="CV9497" s="376"/>
    </row>
    <row r="9498" spans="1:100">
      <c r="A9498" s="374"/>
      <c r="C9498" s="374"/>
      <c r="CV9498" s="376"/>
    </row>
    <row r="9499" spans="1:100">
      <c r="A9499" s="374"/>
      <c r="C9499" s="374"/>
      <c r="CV9499" s="376"/>
    </row>
    <row r="9500" spans="1:100">
      <c r="A9500" s="374"/>
      <c r="C9500" s="374"/>
      <c r="CV9500" s="376"/>
    </row>
    <row r="9501" spans="1:100">
      <c r="A9501" s="374"/>
      <c r="C9501" s="374"/>
      <c r="CV9501" s="376"/>
    </row>
    <row r="9502" spans="1:100">
      <c r="A9502" s="374"/>
      <c r="C9502" s="374"/>
      <c r="CV9502" s="376"/>
    </row>
    <row r="9503" spans="1:100">
      <c r="A9503" s="374"/>
      <c r="C9503" s="374"/>
      <c r="CV9503" s="376"/>
    </row>
    <row r="9504" spans="1:100">
      <c r="A9504" s="374"/>
      <c r="C9504" s="374"/>
      <c r="CV9504" s="376"/>
    </row>
    <row r="9505" spans="1:100">
      <c r="A9505" s="374"/>
      <c r="C9505" s="374"/>
      <c r="CV9505" s="376"/>
    </row>
    <row r="9506" spans="1:100">
      <c r="A9506" s="374"/>
      <c r="C9506" s="374"/>
      <c r="CV9506" s="376"/>
    </row>
    <row r="9507" spans="1:100">
      <c r="A9507" s="374"/>
      <c r="C9507" s="374"/>
      <c r="CV9507" s="376"/>
    </row>
    <row r="9508" spans="1:100">
      <c r="A9508" s="374"/>
      <c r="C9508" s="374"/>
      <c r="CV9508" s="376"/>
    </row>
    <row r="9509" spans="1:100">
      <c r="A9509" s="374"/>
      <c r="C9509" s="374"/>
      <c r="CV9509" s="376"/>
    </row>
    <row r="9510" spans="1:100">
      <c r="A9510" s="374"/>
      <c r="C9510" s="374"/>
      <c r="CV9510" s="376"/>
    </row>
    <row r="9511" spans="1:100">
      <c r="A9511" s="374"/>
      <c r="C9511" s="374"/>
      <c r="CV9511" s="376"/>
    </row>
    <row r="9512" spans="1:100">
      <c r="A9512" s="374"/>
      <c r="C9512" s="374"/>
      <c r="CV9512" s="376"/>
    </row>
    <row r="9513" spans="1:100">
      <c r="A9513" s="374"/>
      <c r="C9513" s="374"/>
      <c r="CV9513" s="376"/>
    </row>
    <row r="9514" spans="1:100">
      <c r="A9514" s="374"/>
      <c r="C9514" s="374"/>
      <c r="CV9514" s="376"/>
    </row>
    <row r="9515" spans="1:100">
      <c r="A9515" s="374"/>
      <c r="C9515" s="374"/>
      <c r="CV9515" s="376"/>
    </row>
    <row r="9516" spans="1:100">
      <c r="A9516" s="374"/>
      <c r="C9516" s="374"/>
      <c r="CV9516" s="376"/>
    </row>
    <row r="9517" spans="1:100">
      <c r="A9517" s="374"/>
      <c r="C9517" s="374"/>
      <c r="CV9517" s="376"/>
    </row>
    <row r="9518" spans="1:100">
      <c r="A9518" s="374"/>
      <c r="C9518" s="374"/>
      <c r="CV9518" s="376"/>
    </row>
    <row r="9519" spans="1:100">
      <c r="A9519" s="374"/>
      <c r="C9519" s="374"/>
      <c r="CV9519" s="376"/>
    </row>
    <row r="9520" spans="1:100">
      <c r="A9520" s="374"/>
      <c r="C9520" s="374"/>
      <c r="CV9520" s="376"/>
    </row>
    <row r="9521" spans="1:100">
      <c r="A9521" s="374"/>
      <c r="C9521" s="374"/>
      <c r="CV9521" s="376"/>
    </row>
    <row r="9522" spans="1:100">
      <c r="A9522" s="374"/>
      <c r="C9522" s="374"/>
      <c r="CV9522" s="376"/>
    </row>
    <row r="9523" spans="1:100">
      <c r="A9523" s="374"/>
      <c r="C9523" s="374"/>
      <c r="CV9523" s="376"/>
    </row>
    <row r="9524" spans="1:100">
      <c r="A9524" s="374"/>
      <c r="C9524" s="374"/>
      <c r="CV9524" s="376"/>
    </row>
    <row r="9525" spans="1:100">
      <c r="A9525" s="374"/>
      <c r="C9525" s="374"/>
      <c r="CV9525" s="376"/>
    </row>
    <row r="9526" spans="1:100">
      <c r="A9526" s="374"/>
      <c r="C9526" s="374"/>
      <c r="CV9526" s="376"/>
    </row>
    <row r="9527" spans="1:100">
      <c r="A9527" s="374"/>
      <c r="C9527" s="374"/>
      <c r="CV9527" s="376"/>
    </row>
    <row r="9528" spans="1:100">
      <c r="A9528" s="374"/>
      <c r="C9528" s="374"/>
      <c r="CV9528" s="376"/>
    </row>
    <row r="9529" spans="1:100">
      <c r="A9529" s="374"/>
      <c r="C9529" s="374"/>
      <c r="CV9529" s="376"/>
    </row>
    <row r="9530" spans="1:100">
      <c r="A9530" s="374"/>
      <c r="C9530" s="374"/>
      <c r="CV9530" s="376"/>
    </row>
    <row r="9531" spans="1:100">
      <c r="A9531" s="374"/>
      <c r="C9531" s="374"/>
      <c r="CV9531" s="376"/>
    </row>
    <row r="9532" spans="1:100">
      <c r="A9532" s="374"/>
      <c r="C9532" s="374"/>
      <c r="CV9532" s="376"/>
    </row>
    <row r="9533" spans="1:100">
      <c r="A9533" s="374"/>
      <c r="C9533" s="374"/>
      <c r="CV9533" s="376"/>
    </row>
    <row r="9534" spans="1:100">
      <c r="A9534" s="374"/>
      <c r="C9534" s="374"/>
      <c r="CV9534" s="376"/>
    </row>
    <row r="9535" spans="1:100">
      <c r="A9535" s="374"/>
      <c r="C9535" s="374"/>
      <c r="CV9535" s="376"/>
    </row>
    <row r="9536" spans="1:100">
      <c r="A9536" s="374"/>
      <c r="C9536" s="374"/>
      <c r="CV9536" s="376"/>
    </row>
    <row r="9537" spans="1:100">
      <c r="A9537" s="374"/>
      <c r="C9537" s="374"/>
      <c r="CV9537" s="376"/>
    </row>
    <row r="9538" spans="1:100">
      <c r="A9538" s="374"/>
      <c r="C9538" s="374"/>
      <c r="CV9538" s="376"/>
    </row>
    <row r="9539" spans="1:100">
      <c r="A9539" s="374"/>
      <c r="C9539" s="374"/>
      <c r="CV9539" s="376"/>
    </row>
    <row r="9540" spans="1:100">
      <c r="A9540" s="374"/>
      <c r="C9540" s="374"/>
      <c r="CV9540" s="376"/>
    </row>
    <row r="9541" spans="1:100">
      <c r="A9541" s="374"/>
      <c r="C9541" s="374"/>
      <c r="CV9541" s="376"/>
    </row>
    <row r="9542" spans="1:100">
      <c r="A9542" s="374"/>
      <c r="C9542" s="374"/>
      <c r="CV9542" s="376"/>
    </row>
    <row r="9543" spans="1:100">
      <c r="A9543" s="374"/>
      <c r="C9543" s="374"/>
      <c r="CV9543" s="376"/>
    </row>
    <row r="9544" spans="1:100">
      <c r="A9544" s="374"/>
      <c r="C9544" s="374"/>
      <c r="CV9544" s="376"/>
    </row>
    <row r="9545" spans="1:100">
      <c r="A9545" s="374"/>
      <c r="C9545" s="374"/>
      <c r="CV9545" s="376"/>
    </row>
    <row r="9546" spans="1:100">
      <c r="A9546" s="374"/>
      <c r="C9546" s="374"/>
      <c r="CV9546" s="376"/>
    </row>
    <row r="9547" spans="1:100">
      <c r="A9547" s="374"/>
      <c r="C9547" s="374"/>
      <c r="CV9547" s="376"/>
    </row>
    <row r="9548" spans="1:100">
      <c r="A9548" s="374"/>
      <c r="C9548" s="374"/>
      <c r="CV9548" s="376"/>
    </row>
    <row r="9549" spans="1:100">
      <c r="A9549" s="374"/>
      <c r="C9549" s="374"/>
      <c r="CV9549" s="376"/>
    </row>
    <row r="9550" spans="1:100">
      <c r="A9550" s="374"/>
      <c r="C9550" s="374"/>
      <c r="CV9550" s="376"/>
    </row>
    <row r="9551" spans="1:100">
      <c r="A9551" s="374"/>
      <c r="C9551" s="374"/>
      <c r="CV9551" s="376"/>
    </row>
    <row r="9552" spans="1:100">
      <c r="A9552" s="374"/>
      <c r="C9552" s="374"/>
      <c r="CV9552" s="376"/>
    </row>
    <row r="9553" spans="1:100">
      <c r="A9553" s="374"/>
      <c r="C9553" s="374"/>
      <c r="CV9553" s="376"/>
    </row>
    <row r="9554" spans="1:100">
      <c r="A9554" s="374"/>
      <c r="C9554" s="374"/>
      <c r="CV9554" s="376"/>
    </row>
    <row r="9555" spans="1:100">
      <c r="A9555" s="374"/>
      <c r="C9555" s="374"/>
      <c r="CV9555" s="376"/>
    </row>
    <row r="9556" spans="1:100">
      <c r="A9556" s="374"/>
      <c r="C9556" s="374"/>
      <c r="CV9556" s="376"/>
    </row>
    <row r="9557" spans="1:100">
      <c r="A9557" s="374"/>
      <c r="C9557" s="374"/>
      <c r="CV9557" s="376"/>
    </row>
    <row r="9558" spans="1:100">
      <c r="A9558" s="374"/>
      <c r="C9558" s="374"/>
      <c r="CV9558" s="376"/>
    </row>
    <row r="9559" spans="1:100">
      <c r="A9559" s="374"/>
      <c r="C9559" s="374"/>
      <c r="CV9559" s="376"/>
    </row>
    <row r="9560" spans="1:100">
      <c r="A9560" s="374"/>
      <c r="C9560" s="374"/>
      <c r="CV9560" s="376"/>
    </row>
    <row r="9561" spans="1:100">
      <c r="A9561" s="374"/>
      <c r="C9561" s="374"/>
      <c r="CV9561" s="376"/>
    </row>
    <row r="9562" spans="1:100">
      <c r="A9562" s="374"/>
      <c r="C9562" s="374"/>
      <c r="CV9562" s="376"/>
    </row>
    <row r="9563" spans="1:100">
      <c r="A9563" s="374"/>
      <c r="C9563" s="374"/>
      <c r="CV9563" s="376"/>
    </row>
    <row r="9564" spans="1:100">
      <c r="A9564" s="374"/>
      <c r="C9564" s="374"/>
      <c r="CV9564" s="376"/>
    </row>
    <row r="9565" spans="1:100">
      <c r="A9565" s="374"/>
      <c r="C9565" s="374"/>
      <c r="CV9565" s="376"/>
    </row>
    <row r="9566" spans="1:100">
      <c r="A9566" s="374"/>
      <c r="C9566" s="374"/>
      <c r="CV9566" s="376"/>
    </row>
    <row r="9567" spans="1:100">
      <c r="A9567" s="374"/>
      <c r="C9567" s="374"/>
      <c r="CV9567" s="376"/>
    </row>
    <row r="9568" spans="1:100">
      <c r="A9568" s="374"/>
      <c r="C9568" s="374"/>
      <c r="CV9568" s="376"/>
    </row>
    <row r="9569" spans="1:100">
      <c r="A9569" s="374"/>
      <c r="C9569" s="374"/>
      <c r="CV9569" s="376"/>
    </row>
    <row r="9570" spans="1:100">
      <c r="A9570" s="374"/>
      <c r="C9570" s="374"/>
      <c r="CV9570" s="376"/>
    </row>
    <row r="9571" spans="1:100">
      <c r="A9571" s="374"/>
      <c r="C9571" s="374"/>
      <c r="CV9571" s="376"/>
    </row>
    <row r="9572" spans="1:100">
      <c r="A9572" s="374"/>
      <c r="C9572" s="374"/>
      <c r="CV9572" s="376"/>
    </row>
    <row r="9573" spans="1:100">
      <c r="A9573" s="374"/>
      <c r="C9573" s="374"/>
      <c r="CV9573" s="376"/>
    </row>
    <row r="9574" spans="1:100">
      <c r="A9574" s="374"/>
      <c r="C9574" s="374"/>
      <c r="CV9574" s="376"/>
    </row>
    <row r="9575" spans="1:100">
      <c r="A9575" s="374"/>
      <c r="C9575" s="374"/>
      <c r="CV9575" s="376"/>
    </row>
    <row r="9576" spans="1:100">
      <c r="A9576" s="374"/>
      <c r="C9576" s="374"/>
      <c r="CV9576" s="376"/>
    </row>
    <row r="9577" spans="1:100">
      <c r="A9577" s="374"/>
      <c r="C9577" s="374"/>
      <c r="CV9577" s="376"/>
    </row>
    <row r="9578" spans="1:100">
      <c r="A9578" s="374"/>
      <c r="C9578" s="374"/>
      <c r="CV9578" s="376"/>
    </row>
    <row r="9579" spans="1:100">
      <c r="A9579" s="374"/>
      <c r="C9579" s="374"/>
      <c r="CV9579" s="376"/>
    </row>
    <row r="9580" spans="1:100">
      <c r="A9580" s="374"/>
      <c r="C9580" s="374"/>
      <c r="CV9580" s="376"/>
    </row>
    <row r="9581" spans="1:100">
      <c r="A9581" s="374"/>
      <c r="C9581" s="374"/>
      <c r="CV9581" s="376"/>
    </row>
    <row r="9582" spans="1:100">
      <c r="A9582" s="374"/>
      <c r="C9582" s="374"/>
      <c r="CV9582" s="376"/>
    </row>
    <row r="9583" spans="1:100">
      <c r="A9583" s="374"/>
      <c r="C9583" s="374"/>
      <c r="CV9583" s="376"/>
    </row>
    <row r="9584" spans="1:100">
      <c r="A9584" s="374"/>
      <c r="C9584" s="374"/>
      <c r="CV9584" s="376"/>
    </row>
    <row r="9585" spans="1:100">
      <c r="A9585" s="374"/>
      <c r="C9585" s="374"/>
      <c r="CV9585" s="376"/>
    </row>
    <row r="9586" spans="1:100">
      <c r="A9586" s="374"/>
      <c r="C9586" s="374"/>
      <c r="CV9586" s="376"/>
    </row>
    <row r="9587" spans="1:100">
      <c r="A9587" s="374"/>
      <c r="C9587" s="374"/>
      <c r="CV9587" s="376"/>
    </row>
    <row r="9588" spans="1:100">
      <c r="A9588" s="374"/>
      <c r="C9588" s="374"/>
      <c r="CV9588" s="376"/>
    </row>
    <row r="9589" spans="1:100">
      <c r="A9589" s="374"/>
      <c r="C9589" s="374"/>
      <c r="CV9589" s="376"/>
    </row>
    <row r="9590" spans="1:100">
      <c r="A9590" s="374"/>
      <c r="C9590" s="374"/>
      <c r="CV9590" s="376"/>
    </row>
    <row r="9591" spans="1:100">
      <c r="A9591" s="374"/>
      <c r="C9591" s="374"/>
      <c r="CV9591" s="376"/>
    </row>
    <row r="9592" spans="1:100">
      <c r="A9592" s="374"/>
      <c r="C9592" s="374"/>
      <c r="CV9592" s="376"/>
    </row>
    <row r="9593" spans="1:100">
      <c r="A9593" s="374"/>
      <c r="C9593" s="374"/>
      <c r="CV9593" s="376"/>
    </row>
    <row r="9594" spans="1:100">
      <c r="A9594" s="374"/>
      <c r="C9594" s="374"/>
      <c r="CV9594" s="376"/>
    </row>
    <row r="9595" spans="1:100">
      <c r="A9595" s="374"/>
      <c r="C9595" s="374"/>
      <c r="CV9595" s="376"/>
    </row>
    <row r="9596" spans="1:100">
      <c r="A9596" s="374"/>
      <c r="C9596" s="374"/>
      <c r="CV9596" s="376"/>
    </row>
    <row r="9597" spans="1:100">
      <c r="A9597" s="374"/>
      <c r="C9597" s="374"/>
      <c r="CV9597" s="376"/>
    </row>
    <row r="9598" spans="1:100">
      <c r="A9598" s="374"/>
      <c r="C9598" s="374"/>
      <c r="CV9598" s="376"/>
    </row>
    <row r="9599" spans="1:100">
      <c r="A9599" s="374"/>
      <c r="C9599" s="374"/>
      <c r="CV9599" s="376"/>
    </row>
    <row r="9600" spans="1:100">
      <c r="A9600" s="374"/>
      <c r="C9600" s="374"/>
      <c r="CV9600" s="376"/>
    </row>
    <row r="9601" spans="1:100">
      <c r="A9601" s="374"/>
      <c r="C9601" s="374"/>
      <c r="CV9601" s="376"/>
    </row>
    <row r="9602" spans="1:100">
      <c r="A9602" s="374"/>
      <c r="C9602" s="374"/>
      <c r="CV9602" s="376"/>
    </row>
    <row r="9603" spans="1:100">
      <c r="A9603" s="374"/>
      <c r="C9603" s="374"/>
      <c r="CV9603" s="376"/>
    </row>
    <row r="9604" spans="1:100">
      <c r="A9604" s="374"/>
      <c r="C9604" s="374"/>
      <c r="CV9604" s="376"/>
    </row>
    <row r="9605" spans="1:100">
      <c r="A9605" s="374"/>
      <c r="C9605" s="374"/>
      <c r="CV9605" s="376"/>
    </row>
    <row r="9606" spans="1:100">
      <c r="A9606" s="374"/>
      <c r="C9606" s="374"/>
      <c r="CV9606" s="376"/>
    </row>
    <row r="9607" spans="1:100">
      <c r="A9607" s="374"/>
      <c r="C9607" s="374"/>
      <c r="CV9607" s="376"/>
    </row>
    <row r="9608" spans="1:100">
      <c r="A9608" s="374"/>
      <c r="C9608" s="374"/>
      <c r="CV9608" s="376"/>
    </row>
    <row r="9609" spans="1:100">
      <c r="A9609" s="374"/>
      <c r="C9609" s="374"/>
      <c r="CV9609" s="376"/>
    </row>
    <row r="9610" spans="1:100">
      <c r="A9610" s="374"/>
      <c r="C9610" s="374"/>
      <c r="CV9610" s="376"/>
    </row>
    <row r="9611" spans="1:100">
      <c r="A9611" s="374"/>
      <c r="C9611" s="374"/>
      <c r="CV9611" s="376"/>
    </row>
    <row r="9612" spans="1:100">
      <c r="A9612" s="374"/>
      <c r="C9612" s="374"/>
      <c r="CV9612" s="376"/>
    </row>
    <row r="9613" spans="1:100">
      <c r="A9613" s="374"/>
      <c r="C9613" s="374"/>
      <c r="CV9613" s="376"/>
    </row>
    <row r="9614" spans="1:100">
      <c r="A9614" s="374"/>
      <c r="C9614" s="374"/>
      <c r="CV9614" s="376"/>
    </row>
    <row r="9615" spans="1:100">
      <c r="A9615" s="374"/>
      <c r="C9615" s="374"/>
      <c r="CV9615" s="376"/>
    </row>
    <row r="9616" spans="1:100">
      <c r="A9616" s="374"/>
      <c r="C9616" s="374"/>
      <c r="CV9616" s="376"/>
    </row>
    <row r="9617" spans="1:100">
      <c r="A9617" s="374"/>
      <c r="C9617" s="374"/>
      <c r="CV9617" s="376"/>
    </row>
    <row r="9618" spans="1:100">
      <c r="A9618" s="374"/>
      <c r="C9618" s="374"/>
      <c r="CV9618" s="376"/>
    </row>
    <row r="9619" spans="1:100">
      <c r="A9619" s="374"/>
      <c r="C9619" s="374"/>
      <c r="CV9619" s="376"/>
    </row>
    <row r="9620" spans="1:100">
      <c r="A9620" s="374"/>
      <c r="C9620" s="374"/>
      <c r="CV9620" s="376"/>
    </row>
    <row r="9621" spans="1:100">
      <c r="A9621" s="374"/>
      <c r="C9621" s="374"/>
      <c r="CV9621" s="376"/>
    </row>
    <row r="9622" spans="1:100">
      <c r="A9622" s="374"/>
      <c r="C9622" s="374"/>
      <c r="CV9622" s="376"/>
    </row>
    <row r="9623" spans="1:100">
      <c r="A9623" s="374"/>
      <c r="C9623" s="374"/>
      <c r="CV9623" s="376"/>
    </row>
    <row r="9624" spans="1:100">
      <c r="A9624" s="374"/>
      <c r="C9624" s="374"/>
      <c r="CV9624" s="376"/>
    </row>
    <row r="9625" spans="1:100">
      <c r="A9625" s="374"/>
      <c r="C9625" s="374"/>
      <c r="CV9625" s="376"/>
    </row>
    <row r="9626" spans="1:100">
      <c r="A9626" s="374"/>
      <c r="C9626" s="374"/>
      <c r="CV9626" s="376"/>
    </row>
    <row r="9627" spans="1:100">
      <c r="A9627" s="374"/>
      <c r="C9627" s="374"/>
      <c r="CV9627" s="376"/>
    </row>
    <row r="9628" spans="1:100">
      <c r="A9628" s="374"/>
      <c r="C9628" s="374"/>
      <c r="CV9628" s="376"/>
    </row>
    <row r="9629" spans="1:100">
      <c r="A9629" s="374"/>
      <c r="C9629" s="374"/>
      <c r="CV9629" s="376"/>
    </row>
    <row r="9630" spans="1:100">
      <c r="A9630" s="374"/>
      <c r="C9630" s="374"/>
      <c r="CV9630" s="376"/>
    </row>
    <row r="9631" spans="1:100">
      <c r="A9631" s="374"/>
      <c r="C9631" s="374"/>
      <c r="CV9631" s="376"/>
    </row>
    <row r="9632" spans="1:100">
      <c r="A9632" s="374"/>
      <c r="C9632" s="374"/>
      <c r="CV9632" s="376"/>
    </row>
    <row r="9633" spans="1:100">
      <c r="A9633" s="374"/>
      <c r="C9633" s="374"/>
      <c r="CV9633" s="376"/>
    </row>
    <row r="9634" spans="1:100">
      <c r="A9634" s="374"/>
      <c r="C9634" s="374"/>
      <c r="CV9634" s="376"/>
    </row>
    <row r="9635" spans="1:100">
      <c r="A9635" s="374"/>
      <c r="C9635" s="374"/>
      <c r="CV9635" s="376"/>
    </row>
    <row r="9636" spans="1:100">
      <c r="A9636" s="374"/>
      <c r="C9636" s="374"/>
      <c r="CV9636" s="376"/>
    </row>
    <row r="9637" spans="1:100">
      <c r="A9637" s="374"/>
      <c r="C9637" s="374"/>
      <c r="CV9637" s="376"/>
    </row>
    <row r="9638" spans="1:100">
      <c r="A9638" s="374"/>
      <c r="C9638" s="374"/>
      <c r="CV9638" s="376"/>
    </row>
    <row r="9639" spans="1:100">
      <c r="A9639" s="374"/>
      <c r="C9639" s="374"/>
      <c r="CV9639" s="376"/>
    </row>
    <row r="9640" spans="1:100">
      <c r="A9640" s="374"/>
      <c r="C9640" s="374"/>
      <c r="CV9640" s="376"/>
    </row>
    <row r="9641" spans="1:100">
      <c r="A9641" s="374"/>
      <c r="C9641" s="374"/>
      <c r="CV9641" s="376"/>
    </row>
    <row r="9642" spans="1:100">
      <c r="A9642" s="374"/>
      <c r="C9642" s="374"/>
      <c r="CV9642" s="376"/>
    </row>
    <row r="9643" spans="1:100">
      <c r="A9643" s="374"/>
      <c r="C9643" s="374"/>
      <c r="CV9643" s="376"/>
    </row>
    <row r="9644" spans="1:100">
      <c r="A9644" s="374"/>
      <c r="C9644" s="374"/>
      <c r="CV9644" s="376"/>
    </row>
    <row r="9645" spans="1:100">
      <c r="A9645" s="374"/>
      <c r="C9645" s="374"/>
      <c r="CV9645" s="376"/>
    </row>
    <row r="9646" spans="1:100">
      <c r="A9646" s="374"/>
      <c r="C9646" s="374"/>
      <c r="CV9646" s="376"/>
    </row>
    <row r="9647" spans="1:100">
      <c r="A9647" s="374"/>
      <c r="C9647" s="374"/>
      <c r="CV9647" s="376"/>
    </row>
    <row r="9648" spans="1:100">
      <c r="A9648" s="374"/>
      <c r="C9648" s="374"/>
      <c r="CV9648" s="376"/>
    </row>
    <row r="9649" spans="1:100">
      <c r="A9649" s="374"/>
      <c r="C9649" s="374"/>
      <c r="CV9649" s="376"/>
    </row>
    <row r="9650" spans="1:100">
      <c r="A9650" s="374"/>
      <c r="C9650" s="374"/>
      <c r="CV9650" s="376"/>
    </row>
    <row r="9651" spans="1:100">
      <c r="A9651" s="374"/>
      <c r="C9651" s="374"/>
      <c r="CV9651" s="376"/>
    </row>
    <row r="9652" spans="1:100">
      <c r="A9652" s="374"/>
      <c r="C9652" s="374"/>
      <c r="CV9652" s="376"/>
    </row>
    <row r="9653" spans="1:100">
      <c r="A9653" s="374"/>
      <c r="C9653" s="374"/>
      <c r="CV9653" s="376"/>
    </row>
    <row r="9654" spans="1:100">
      <c r="A9654" s="374"/>
      <c r="C9654" s="374"/>
      <c r="CV9654" s="376"/>
    </row>
    <row r="9655" spans="1:100">
      <c r="A9655" s="374"/>
      <c r="C9655" s="374"/>
      <c r="CV9655" s="376"/>
    </row>
    <row r="9656" spans="1:100">
      <c r="A9656" s="374"/>
      <c r="C9656" s="374"/>
      <c r="CV9656" s="376"/>
    </row>
    <row r="9657" spans="1:100">
      <c r="A9657" s="374"/>
      <c r="C9657" s="374"/>
      <c r="CV9657" s="376"/>
    </row>
    <row r="9658" spans="1:100">
      <c r="A9658" s="374"/>
      <c r="C9658" s="374"/>
      <c r="CV9658" s="376"/>
    </row>
    <row r="9659" spans="1:100">
      <c r="A9659" s="374"/>
      <c r="C9659" s="374"/>
      <c r="CV9659" s="376"/>
    </row>
    <row r="9660" spans="1:100">
      <c r="A9660" s="374"/>
      <c r="C9660" s="374"/>
      <c r="CV9660" s="376"/>
    </row>
    <row r="9661" spans="1:100">
      <c r="A9661" s="374"/>
      <c r="C9661" s="374"/>
      <c r="CV9661" s="376"/>
    </row>
    <row r="9662" spans="1:100">
      <c r="A9662" s="374"/>
      <c r="C9662" s="374"/>
      <c r="CV9662" s="376"/>
    </row>
    <row r="9663" spans="1:100">
      <c r="A9663" s="374"/>
      <c r="C9663" s="374"/>
      <c r="CV9663" s="376"/>
    </row>
    <row r="9664" spans="1:100">
      <c r="A9664" s="374"/>
      <c r="C9664" s="374"/>
      <c r="CV9664" s="376"/>
    </row>
    <row r="9665" spans="1:100">
      <c r="A9665" s="374"/>
      <c r="C9665" s="374"/>
      <c r="CV9665" s="376"/>
    </row>
    <row r="9666" spans="1:100">
      <c r="A9666" s="374"/>
      <c r="C9666" s="374"/>
      <c r="CV9666" s="376"/>
    </row>
    <row r="9667" spans="1:100">
      <c r="A9667" s="374"/>
      <c r="C9667" s="374"/>
      <c r="CV9667" s="376"/>
    </row>
    <row r="9668" spans="1:100">
      <c r="A9668" s="374"/>
      <c r="C9668" s="374"/>
      <c r="CV9668" s="376"/>
    </row>
    <row r="9669" spans="1:100">
      <c r="A9669" s="374"/>
      <c r="C9669" s="374"/>
      <c r="CV9669" s="376"/>
    </row>
    <row r="9670" spans="1:100">
      <c r="A9670" s="374"/>
      <c r="C9670" s="374"/>
      <c r="CV9670" s="376"/>
    </row>
    <row r="9671" spans="1:100">
      <c r="A9671" s="374"/>
      <c r="C9671" s="374"/>
      <c r="CV9671" s="376"/>
    </row>
    <row r="9672" spans="1:100">
      <c r="A9672" s="374"/>
      <c r="C9672" s="374"/>
      <c r="CV9672" s="376"/>
    </row>
    <row r="9673" spans="1:100">
      <c r="A9673" s="374"/>
      <c r="C9673" s="374"/>
      <c r="CV9673" s="376"/>
    </row>
    <row r="9674" spans="1:100">
      <c r="A9674" s="374"/>
      <c r="C9674" s="374"/>
      <c r="CV9674" s="376"/>
    </row>
    <row r="9675" spans="1:100">
      <c r="A9675" s="374"/>
      <c r="C9675" s="374"/>
      <c r="CV9675" s="376"/>
    </row>
    <row r="9676" spans="1:100">
      <c r="A9676" s="374"/>
      <c r="C9676" s="374"/>
      <c r="CV9676" s="376"/>
    </row>
    <row r="9677" spans="1:100">
      <c r="A9677" s="374"/>
      <c r="C9677" s="374"/>
      <c r="CV9677" s="376"/>
    </row>
    <row r="9678" spans="1:100">
      <c r="A9678" s="374"/>
      <c r="C9678" s="374"/>
      <c r="CV9678" s="376"/>
    </row>
    <row r="9679" spans="1:100">
      <c r="A9679" s="374"/>
      <c r="C9679" s="374"/>
      <c r="CV9679" s="376"/>
    </row>
    <row r="9680" spans="1:100">
      <c r="A9680" s="374"/>
      <c r="C9680" s="374"/>
      <c r="CV9680" s="376"/>
    </row>
    <row r="9681" spans="1:100">
      <c r="A9681" s="374"/>
      <c r="C9681" s="374"/>
      <c r="CV9681" s="376"/>
    </row>
    <row r="9682" spans="1:100">
      <c r="A9682" s="374"/>
      <c r="C9682" s="374"/>
      <c r="CV9682" s="376"/>
    </row>
    <row r="9683" spans="1:100">
      <c r="A9683" s="374"/>
      <c r="C9683" s="374"/>
      <c r="CV9683" s="376"/>
    </row>
    <row r="9684" spans="1:100">
      <c r="A9684" s="374"/>
      <c r="C9684" s="374"/>
      <c r="CV9684" s="376"/>
    </row>
    <row r="9685" spans="1:100">
      <c r="A9685" s="374"/>
      <c r="C9685" s="374"/>
      <c r="CV9685" s="376"/>
    </row>
    <row r="9686" spans="1:100">
      <c r="A9686" s="374"/>
      <c r="C9686" s="374"/>
      <c r="CV9686" s="376"/>
    </row>
    <row r="9687" spans="1:100">
      <c r="A9687" s="374"/>
      <c r="C9687" s="374"/>
      <c r="CV9687" s="376"/>
    </row>
    <row r="9688" spans="1:100">
      <c r="A9688" s="374"/>
      <c r="C9688" s="374"/>
      <c r="CV9688" s="376"/>
    </row>
    <row r="9689" spans="1:100">
      <c r="A9689" s="374"/>
      <c r="C9689" s="374"/>
      <c r="CV9689" s="376"/>
    </row>
    <row r="9690" spans="1:100">
      <c r="A9690" s="374"/>
      <c r="C9690" s="374"/>
      <c r="CV9690" s="376"/>
    </row>
    <row r="9691" spans="1:100">
      <c r="A9691" s="374"/>
      <c r="C9691" s="374"/>
      <c r="CV9691" s="376"/>
    </row>
    <row r="9692" spans="1:100">
      <c r="A9692" s="374"/>
      <c r="C9692" s="374"/>
      <c r="CV9692" s="376"/>
    </row>
    <row r="9693" spans="1:100">
      <c r="A9693" s="374"/>
      <c r="C9693" s="374"/>
      <c r="CV9693" s="376"/>
    </row>
    <row r="9694" spans="1:100">
      <c r="A9694" s="374"/>
      <c r="C9694" s="374"/>
      <c r="CV9694" s="376"/>
    </row>
    <row r="9695" spans="1:100">
      <c r="A9695" s="374"/>
      <c r="C9695" s="374"/>
      <c r="CV9695" s="376"/>
    </row>
    <row r="9696" spans="1:100">
      <c r="A9696" s="374"/>
      <c r="C9696" s="374"/>
      <c r="CV9696" s="376"/>
    </row>
    <row r="9697" spans="1:100">
      <c r="A9697" s="374"/>
      <c r="C9697" s="374"/>
      <c r="CV9697" s="376"/>
    </row>
    <row r="9698" spans="1:100">
      <c r="A9698" s="374"/>
      <c r="C9698" s="374"/>
      <c r="CV9698" s="376"/>
    </row>
    <row r="9699" spans="1:100">
      <c r="A9699" s="374"/>
      <c r="C9699" s="374"/>
      <c r="CV9699" s="376"/>
    </row>
    <row r="9700" spans="1:100">
      <c r="A9700" s="374"/>
      <c r="C9700" s="374"/>
      <c r="CV9700" s="376"/>
    </row>
    <row r="9701" spans="1:100">
      <c r="A9701" s="374"/>
      <c r="C9701" s="374"/>
      <c r="CV9701" s="376"/>
    </row>
    <row r="9702" spans="1:100">
      <c r="A9702" s="374"/>
      <c r="C9702" s="374"/>
      <c r="CV9702" s="376"/>
    </row>
    <row r="9703" spans="1:100">
      <c r="A9703" s="374"/>
      <c r="C9703" s="374"/>
      <c r="CV9703" s="376"/>
    </row>
    <row r="9704" spans="1:100">
      <c r="A9704" s="374"/>
      <c r="C9704" s="374"/>
      <c r="CV9704" s="376"/>
    </row>
    <row r="9705" spans="1:100">
      <c r="A9705" s="374"/>
      <c r="C9705" s="374"/>
      <c r="CV9705" s="376"/>
    </row>
    <row r="9706" spans="1:100">
      <c r="A9706" s="374"/>
      <c r="C9706" s="374"/>
      <c r="CV9706" s="376"/>
    </row>
    <row r="9707" spans="1:100">
      <c r="A9707" s="374"/>
      <c r="C9707" s="374"/>
      <c r="CV9707" s="376"/>
    </row>
    <row r="9708" spans="1:100">
      <c r="A9708" s="374"/>
      <c r="C9708" s="374"/>
      <c r="CV9708" s="376"/>
    </row>
    <row r="9709" spans="1:100">
      <c r="A9709" s="374"/>
      <c r="C9709" s="374"/>
      <c r="CV9709" s="376"/>
    </row>
    <row r="9710" spans="1:100">
      <c r="A9710" s="374"/>
      <c r="C9710" s="374"/>
      <c r="CV9710" s="376"/>
    </row>
    <row r="9711" spans="1:100">
      <c r="A9711" s="374"/>
      <c r="C9711" s="374"/>
      <c r="CV9711" s="376"/>
    </row>
    <row r="9712" spans="1:100">
      <c r="A9712" s="374"/>
      <c r="C9712" s="374"/>
      <c r="CV9712" s="376"/>
    </row>
    <row r="9713" spans="1:100">
      <c r="A9713" s="374"/>
      <c r="C9713" s="374"/>
      <c r="CV9713" s="376"/>
    </row>
    <row r="9714" spans="1:100">
      <c r="A9714" s="374"/>
      <c r="C9714" s="374"/>
      <c r="CV9714" s="376"/>
    </row>
    <row r="9715" spans="1:100">
      <c r="A9715" s="374"/>
      <c r="C9715" s="374"/>
      <c r="CV9715" s="376"/>
    </row>
    <row r="9716" spans="1:100">
      <c r="A9716" s="374"/>
      <c r="C9716" s="374"/>
      <c r="CV9716" s="376"/>
    </row>
    <row r="9717" spans="1:100">
      <c r="A9717" s="374"/>
      <c r="C9717" s="374"/>
      <c r="CV9717" s="376"/>
    </row>
    <row r="9718" spans="1:100">
      <c r="A9718" s="374"/>
      <c r="C9718" s="374"/>
      <c r="CV9718" s="376"/>
    </row>
    <row r="9719" spans="1:100">
      <c r="A9719" s="374"/>
      <c r="C9719" s="374"/>
      <c r="CV9719" s="376"/>
    </row>
    <row r="9720" spans="1:100">
      <c r="A9720" s="374"/>
      <c r="C9720" s="374"/>
      <c r="CV9720" s="376"/>
    </row>
    <row r="9721" spans="1:100">
      <c r="A9721" s="374"/>
      <c r="C9721" s="374"/>
      <c r="CV9721" s="376"/>
    </row>
    <row r="9722" spans="1:100">
      <c r="A9722" s="374"/>
      <c r="C9722" s="374"/>
      <c r="CV9722" s="376"/>
    </row>
    <row r="9723" spans="1:100">
      <c r="A9723" s="374"/>
      <c r="C9723" s="374"/>
      <c r="CV9723" s="376"/>
    </row>
    <row r="9724" spans="1:100">
      <c r="A9724" s="374"/>
      <c r="C9724" s="374"/>
      <c r="CV9724" s="376"/>
    </row>
    <row r="9725" spans="1:100">
      <c r="A9725" s="374"/>
      <c r="C9725" s="374"/>
      <c r="CV9725" s="376"/>
    </row>
    <row r="9726" spans="1:100">
      <c r="A9726" s="374"/>
      <c r="C9726" s="374"/>
      <c r="CV9726" s="376"/>
    </row>
    <row r="9727" spans="1:100">
      <c r="A9727" s="374"/>
      <c r="C9727" s="374"/>
      <c r="CV9727" s="376"/>
    </row>
    <row r="9728" spans="1:100">
      <c r="A9728" s="374"/>
      <c r="C9728" s="374"/>
      <c r="CV9728" s="376"/>
    </row>
    <row r="9729" spans="1:100">
      <c r="A9729" s="374"/>
      <c r="C9729" s="374"/>
      <c r="CV9729" s="376"/>
    </row>
    <row r="9730" spans="1:100">
      <c r="A9730" s="374"/>
      <c r="C9730" s="374"/>
      <c r="CV9730" s="376"/>
    </row>
    <row r="9731" spans="1:100">
      <c r="A9731" s="374"/>
      <c r="C9731" s="374"/>
      <c r="CV9731" s="376"/>
    </row>
    <row r="9732" spans="1:100">
      <c r="A9732" s="374"/>
      <c r="C9732" s="374"/>
      <c r="CV9732" s="376"/>
    </row>
    <row r="9733" spans="1:100">
      <c r="A9733" s="374"/>
      <c r="C9733" s="374"/>
      <c r="CV9733" s="376"/>
    </row>
    <row r="9734" spans="1:100">
      <c r="A9734" s="374"/>
      <c r="C9734" s="374"/>
      <c r="CV9734" s="376"/>
    </row>
    <row r="9735" spans="1:100">
      <c r="A9735" s="374"/>
      <c r="C9735" s="374"/>
      <c r="CV9735" s="376"/>
    </row>
    <row r="9736" spans="1:100">
      <c r="A9736" s="374"/>
      <c r="C9736" s="374"/>
      <c r="CV9736" s="376"/>
    </row>
    <row r="9737" spans="1:100">
      <c r="A9737" s="374"/>
      <c r="C9737" s="374"/>
      <c r="CV9737" s="376"/>
    </row>
    <row r="9738" spans="1:100">
      <c r="A9738" s="374"/>
      <c r="C9738" s="374"/>
      <c r="CV9738" s="376"/>
    </row>
    <row r="9739" spans="1:100">
      <c r="A9739" s="374"/>
      <c r="C9739" s="374"/>
      <c r="CV9739" s="376"/>
    </row>
    <row r="9740" spans="1:100">
      <c r="A9740" s="374"/>
      <c r="C9740" s="374"/>
      <c r="CV9740" s="376"/>
    </row>
    <row r="9741" spans="1:100">
      <c r="A9741" s="374"/>
      <c r="C9741" s="374"/>
      <c r="CV9741" s="376"/>
    </row>
    <row r="9742" spans="1:100">
      <c r="A9742" s="374"/>
      <c r="C9742" s="374"/>
      <c r="CV9742" s="376"/>
    </row>
    <row r="9743" spans="1:100">
      <c r="A9743" s="374"/>
      <c r="C9743" s="374"/>
      <c r="CV9743" s="376"/>
    </row>
    <row r="9744" spans="1:100">
      <c r="A9744" s="374"/>
      <c r="C9744" s="374"/>
      <c r="CV9744" s="376"/>
    </row>
    <row r="9745" spans="1:100">
      <c r="A9745" s="374"/>
      <c r="C9745" s="374"/>
      <c r="CV9745" s="376"/>
    </row>
    <row r="9746" spans="1:100">
      <c r="A9746" s="374"/>
      <c r="C9746" s="374"/>
      <c r="CV9746" s="376"/>
    </row>
    <row r="9747" spans="1:100">
      <c r="A9747" s="374"/>
      <c r="C9747" s="374"/>
      <c r="CV9747" s="376"/>
    </row>
    <row r="9748" spans="1:100">
      <c r="A9748" s="374"/>
      <c r="C9748" s="374"/>
      <c r="CV9748" s="376"/>
    </row>
    <row r="9749" spans="1:100">
      <c r="A9749" s="374"/>
      <c r="C9749" s="374"/>
      <c r="CV9749" s="376"/>
    </row>
    <row r="9750" spans="1:100">
      <c r="A9750" s="374"/>
      <c r="C9750" s="374"/>
      <c r="CV9750" s="376"/>
    </row>
    <row r="9751" spans="1:100">
      <c r="A9751" s="374"/>
      <c r="C9751" s="374"/>
      <c r="CV9751" s="376"/>
    </row>
    <row r="9752" spans="1:100">
      <c r="A9752" s="374"/>
      <c r="C9752" s="374"/>
      <c r="CV9752" s="376"/>
    </row>
    <row r="9753" spans="1:100">
      <c r="A9753" s="374"/>
      <c r="C9753" s="374"/>
      <c r="CV9753" s="376"/>
    </row>
    <row r="9754" spans="1:100">
      <c r="A9754" s="374"/>
      <c r="C9754" s="374"/>
      <c r="CV9754" s="376"/>
    </row>
    <row r="9755" spans="1:100">
      <c r="A9755" s="374"/>
      <c r="C9755" s="374"/>
      <c r="CV9755" s="376"/>
    </row>
    <row r="9756" spans="1:100">
      <c r="A9756" s="374"/>
      <c r="C9756" s="374"/>
      <c r="CV9756" s="376"/>
    </row>
    <row r="9757" spans="1:100">
      <c r="A9757" s="374"/>
      <c r="C9757" s="374"/>
      <c r="CV9757" s="376"/>
    </row>
    <row r="9758" spans="1:100">
      <c r="A9758" s="374"/>
      <c r="C9758" s="374"/>
      <c r="CV9758" s="376"/>
    </row>
    <row r="9759" spans="1:100">
      <c r="A9759" s="374"/>
      <c r="C9759" s="374"/>
      <c r="CV9759" s="376"/>
    </row>
    <row r="9760" spans="1:100">
      <c r="A9760" s="374"/>
      <c r="C9760" s="374"/>
      <c r="CV9760" s="376"/>
    </row>
    <row r="9761" spans="1:100">
      <c r="A9761" s="374"/>
      <c r="C9761" s="374"/>
      <c r="CV9761" s="376"/>
    </row>
    <row r="9762" spans="1:100">
      <c r="A9762" s="374"/>
      <c r="C9762" s="374"/>
      <c r="CV9762" s="376"/>
    </row>
    <row r="9763" spans="1:100">
      <c r="A9763" s="374"/>
      <c r="C9763" s="374"/>
      <c r="CV9763" s="376"/>
    </row>
    <row r="9764" spans="1:100">
      <c r="A9764" s="374"/>
      <c r="C9764" s="374"/>
      <c r="CV9764" s="376"/>
    </row>
    <row r="9765" spans="1:100">
      <c r="A9765" s="374"/>
      <c r="C9765" s="374"/>
      <c r="CV9765" s="376"/>
    </row>
    <row r="9766" spans="1:100">
      <c r="A9766" s="374"/>
      <c r="C9766" s="374"/>
      <c r="CV9766" s="376"/>
    </row>
    <row r="9767" spans="1:100">
      <c r="A9767" s="374"/>
      <c r="C9767" s="374"/>
      <c r="CV9767" s="376"/>
    </row>
    <row r="9768" spans="1:100">
      <c r="A9768" s="374"/>
      <c r="C9768" s="374"/>
      <c r="CV9768" s="376"/>
    </row>
    <row r="9769" spans="1:100">
      <c r="A9769" s="374"/>
      <c r="C9769" s="374"/>
      <c r="CV9769" s="376"/>
    </row>
    <row r="9770" spans="1:100">
      <c r="A9770" s="374"/>
      <c r="C9770" s="374"/>
      <c r="CV9770" s="376"/>
    </row>
    <row r="9771" spans="1:100">
      <c r="A9771" s="374"/>
      <c r="C9771" s="374"/>
      <c r="CV9771" s="376"/>
    </row>
    <row r="9772" spans="1:100">
      <c r="A9772" s="374"/>
      <c r="C9772" s="374"/>
      <c r="CV9772" s="376"/>
    </row>
    <row r="9773" spans="1:100">
      <c r="A9773" s="374"/>
      <c r="C9773" s="374"/>
      <c r="CV9773" s="376"/>
    </row>
    <row r="9774" spans="1:100">
      <c r="A9774" s="374"/>
      <c r="C9774" s="374"/>
      <c r="CV9774" s="376"/>
    </row>
    <row r="9775" spans="1:100">
      <c r="A9775" s="374"/>
      <c r="C9775" s="374"/>
      <c r="CV9775" s="376"/>
    </row>
    <row r="9776" spans="1:100">
      <c r="A9776" s="374"/>
      <c r="C9776" s="374"/>
      <c r="CV9776" s="376"/>
    </row>
    <row r="9777" spans="1:100">
      <c r="A9777" s="374"/>
      <c r="C9777" s="374"/>
      <c r="CV9777" s="376"/>
    </row>
    <row r="9778" spans="1:100">
      <c r="A9778" s="374"/>
      <c r="C9778" s="374"/>
      <c r="CV9778" s="376"/>
    </row>
    <row r="9779" spans="1:100">
      <c r="A9779" s="374"/>
      <c r="C9779" s="374"/>
      <c r="CV9779" s="376"/>
    </row>
    <row r="9780" spans="1:100">
      <c r="A9780" s="374"/>
      <c r="C9780" s="374"/>
      <c r="CV9780" s="376"/>
    </row>
    <row r="9781" spans="1:100">
      <c r="A9781" s="374"/>
      <c r="C9781" s="374"/>
      <c r="CV9781" s="376"/>
    </row>
    <row r="9782" spans="1:100">
      <c r="A9782" s="374"/>
      <c r="C9782" s="374"/>
      <c r="CV9782" s="376"/>
    </row>
    <row r="9783" spans="1:100">
      <c r="A9783" s="374"/>
      <c r="C9783" s="374"/>
      <c r="CV9783" s="376"/>
    </row>
    <row r="9784" spans="1:100">
      <c r="A9784" s="374"/>
      <c r="C9784" s="374"/>
      <c r="CV9784" s="376"/>
    </row>
    <row r="9785" spans="1:100">
      <c r="A9785" s="374"/>
      <c r="C9785" s="374"/>
      <c r="CV9785" s="376"/>
    </row>
    <row r="9786" spans="1:100">
      <c r="A9786" s="374"/>
      <c r="C9786" s="374"/>
      <c r="CV9786" s="376"/>
    </row>
    <row r="9787" spans="1:100">
      <c r="A9787" s="374"/>
      <c r="C9787" s="374"/>
      <c r="CV9787" s="376"/>
    </row>
    <row r="9788" spans="1:100">
      <c r="A9788" s="374"/>
      <c r="C9788" s="374"/>
      <c r="CV9788" s="376"/>
    </row>
    <row r="9789" spans="1:100">
      <c r="A9789" s="374"/>
      <c r="C9789" s="374"/>
      <c r="CV9789" s="376"/>
    </row>
    <row r="9790" spans="1:100">
      <c r="A9790" s="374"/>
      <c r="C9790" s="374"/>
      <c r="CV9790" s="376"/>
    </row>
    <row r="9791" spans="1:100">
      <c r="A9791" s="374"/>
      <c r="C9791" s="374"/>
      <c r="CV9791" s="376"/>
    </row>
    <row r="9792" spans="1:100">
      <c r="A9792" s="374"/>
      <c r="C9792" s="374"/>
      <c r="CV9792" s="376"/>
    </row>
    <row r="9793" spans="1:100">
      <c r="A9793" s="374"/>
      <c r="C9793" s="374"/>
      <c r="CV9793" s="376"/>
    </row>
    <row r="9794" spans="1:100">
      <c r="A9794" s="374"/>
      <c r="C9794" s="374"/>
      <c r="CV9794" s="376"/>
    </row>
    <row r="9795" spans="1:100">
      <c r="A9795" s="374"/>
      <c r="C9795" s="374"/>
      <c r="CV9795" s="376"/>
    </row>
    <row r="9796" spans="1:100">
      <c r="A9796" s="374"/>
      <c r="C9796" s="374"/>
      <c r="CV9796" s="376"/>
    </row>
    <row r="9797" spans="1:100">
      <c r="A9797" s="374"/>
      <c r="C9797" s="374"/>
      <c r="CV9797" s="376"/>
    </row>
    <row r="9798" spans="1:100">
      <c r="A9798" s="374"/>
      <c r="C9798" s="374"/>
      <c r="CV9798" s="376"/>
    </row>
    <row r="9799" spans="1:100">
      <c r="A9799" s="374"/>
      <c r="C9799" s="374"/>
      <c r="CV9799" s="376"/>
    </row>
    <row r="9800" spans="1:100">
      <c r="A9800" s="374"/>
      <c r="C9800" s="374"/>
      <c r="CV9800" s="376"/>
    </row>
    <row r="9801" spans="1:100">
      <c r="A9801" s="374"/>
      <c r="C9801" s="374"/>
      <c r="CV9801" s="376"/>
    </row>
    <row r="9802" spans="1:100">
      <c r="A9802" s="374"/>
      <c r="C9802" s="374"/>
      <c r="CV9802" s="376"/>
    </row>
    <row r="9803" spans="1:100">
      <c r="A9803" s="374"/>
      <c r="C9803" s="374"/>
      <c r="CV9803" s="376"/>
    </row>
    <row r="9804" spans="1:100">
      <c r="A9804" s="374"/>
      <c r="C9804" s="374"/>
      <c r="CV9804" s="376"/>
    </row>
    <row r="9805" spans="1:100">
      <c r="A9805" s="374"/>
      <c r="C9805" s="374"/>
      <c r="CV9805" s="376"/>
    </row>
    <row r="9806" spans="1:100">
      <c r="A9806" s="374"/>
      <c r="C9806" s="374"/>
      <c r="CV9806" s="376"/>
    </row>
    <row r="9807" spans="1:100">
      <c r="A9807" s="374"/>
      <c r="C9807" s="374"/>
      <c r="CV9807" s="376"/>
    </row>
    <row r="9808" spans="1:100">
      <c r="A9808" s="374"/>
      <c r="C9808" s="374"/>
      <c r="CV9808" s="376"/>
    </row>
    <row r="9809" spans="1:100">
      <c r="A9809" s="374"/>
      <c r="C9809" s="374"/>
      <c r="CV9809" s="376"/>
    </row>
    <row r="9810" spans="1:100">
      <c r="A9810" s="374"/>
      <c r="C9810" s="374"/>
      <c r="CV9810" s="376"/>
    </row>
    <row r="9811" spans="1:100">
      <c r="A9811" s="374"/>
      <c r="C9811" s="374"/>
      <c r="CV9811" s="376"/>
    </row>
    <row r="9812" spans="1:100">
      <c r="A9812" s="374"/>
      <c r="C9812" s="374"/>
      <c r="CV9812" s="376"/>
    </row>
    <row r="9813" spans="1:100">
      <c r="A9813" s="374"/>
      <c r="C9813" s="374"/>
      <c r="CV9813" s="376"/>
    </row>
    <row r="9814" spans="1:100">
      <c r="A9814" s="374"/>
      <c r="C9814" s="374"/>
      <c r="CV9814" s="376"/>
    </row>
    <row r="9815" spans="1:100">
      <c r="A9815" s="374"/>
      <c r="C9815" s="374"/>
      <c r="CV9815" s="376"/>
    </row>
    <row r="9816" spans="1:100">
      <c r="A9816" s="374"/>
      <c r="C9816" s="374"/>
      <c r="CV9816" s="376"/>
    </row>
    <row r="9817" spans="1:100">
      <c r="A9817" s="374"/>
      <c r="C9817" s="374"/>
      <c r="CV9817" s="376"/>
    </row>
    <row r="9818" spans="1:100">
      <c r="A9818" s="374"/>
      <c r="C9818" s="374"/>
      <c r="CV9818" s="376"/>
    </row>
    <row r="9819" spans="1:100">
      <c r="A9819" s="374"/>
      <c r="C9819" s="374"/>
      <c r="CV9819" s="376"/>
    </row>
    <row r="9820" spans="1:100">
      <c r="A9820" s="374"/>
      <c r="C9820" s="374"/>
      <c r="CV9820" s="376"/>
    </row>
    <row r="9821" spans="1:100">
      <c r="A9821" s="374"/>
      <c r="C9821" s="374"/>
      <c r="CV9821" s="376"/>
    </row>
    <row r="9822" spans="1:100">
      <c r="A9822" s="374"/>
      <c r="C9822" s="374"/>
      <c r="CV9822" s="376"/>
    </row>
    <row r="9823" spans="1:100">
      <c r="A9823" s="374"/>
      <c r="C9823" s="374"/>
      <c r="CV9823" s="376"/>
    </row>
    <row r="9824" spans="1:100">
      <c r="A9824" s="374"/>
      <c r="C9824" s="374"/>
      <c r="CV9824" s="376"/>
    </row>
    <row r="9825" spans="1:100">
      <c r="A9825" s="374"/>
      <c r="C9825" s="374"/>
      <c r="CV9825" s="376"/>
    </row>
    <row r="9826" spans="1:100">
      <c r="A9826" s="374"/>
      <c r="C9826" s="374"/>
      <c r="CV9826" s="376"/>
    </row>
    <row r="9827" spans="1:100">
      <c r="A9827" s="374"/>
      <c r="C9827" s="374"/>
      <c r="CV9827" s="376"/>
    </row>
    <row r="9828" spans="1:100">
      <c r="A9828" s="374"/>
      <c r="C9828" s="374"/>
      <c r="CV9828" s="376"/>
    </row>
    <row r="9829" spans="1:100">
      <c r="A9829" s="374"/>
      <c r="C9829" s="374"/>
      <c r="CV9829" s="376"/>
    </row>
    <row r="9830" spans="1:100">
      <c r="A9830" s="374"/>
      <c r="C9830" s="374"/>
      <c r="CV9830" s="376"/>
    </row>
    <row r="9831" spans="1:100">
      <c r="A9831" s="374"/>
      <c r="C9831" s="374"/>
      <c r="CV9831" s="376"/>
    </row>
    <row r="9832" spans="1:100">
      <c r="A9832" s="374"/>
      <c r="C9832" s="374"/>
      <c r="CV9832" s="376"/>
    </row>
    <row r="9833" spans="1:100">
      <c r="A9833" s="374"/>
      <c r="C9833" s="374"/>
      <c r="CV9833" s="376"/>
    </row>
    <row r="9834" spans="1:100">
      <c r="A9834" s="374"/>
      <c r="C9834" s="374"/>
      <c r="CV9834" s="376"/>
    </row>
    <row r="9835" spans="1:100">
      <c r="A9835" s="374"/>
      <c r="C9835" s="374"/>
      <c r="CV9835" s="376"/>
    </row>
    <row r="9836" spans="1:100">
      <c r="A9836" s="374"/>
      <c r="C9836" s="374"/>
      <c r="CV9836" s="376"/>
    </row>
    <row r="9837" spans="1:100">
      <c r="A9837" s="374"/>
      <c r="C9837" s="374"/>
      <c r="CV9837" s="376"/>
    </row>
    <row r="9838" spans="1:100">
      <c r="A9838" s="374"/>
      <c r="C9838" s="374"/>
      <c r="CV9838" s="376"/>
    </row>
    <row r="9839" spans="1:100">
      <c r="A9839" s="374"/>
      <c r="C9839" s="374"/>
      <c r="CV9839" s="376"/>
    </row>
    <row r="9840" spans="1:100">
      <c r="A9840" s="374"/>
      <c r="C9840" s="374"/>
      <c r="CV9840" s="376"/>
    </row>
    <row r="9841" spans="1:100">
      <c r="A9841" s="374"/>
      <c r="C9841" s="374"/>
      <c r="CV9841" s="376"/>
    </row>
    <row r="9842" spans="1:100">
      <c r="A9842" s="374"/>
      <c r="C9842" s="374"/>
      <c r="CV9842" s="376"/>
    </row>
    <row r="9843" spans="1:100">
      <c r="A9843" s="374"/>
      <c r="C9843" s="374"/>
      <c r="CV9843" s="376"/>
    </row>
    <row r="9844" spans="1:100">
      <c r="A9844" s="374"/>
      <c r="C9844" s="374"/>
      <c r="CV9844" s="376"/>
    </row>
    <row r="9845" spans="1:100">
      <c r="A9845" s="374"/>
      <c r="C9845" s="374"/>
      <c r="CV9845" s="376"/>
    </row>
    <row r="9846" spans="1:100">
      <c r="A9846" s="374"/>
      <c r="C9846" s="374"/>
      <c r="CV9846" s="376"/>
    </row>
    <row r="9847" spans="1:100">
      <c r="A9847" s="374"/>
      <c r="C9847" s="374"/>
      <c r="CV9847" s="376"/>
    </row>
    <row r="9848" spans="1:100">
      <c r="A9848" s="374"/>
      <c r="C9848" s="374"/>
      <c r="CV9848" s="376"/>
    </row>
    <row r="9849" spans="1:100">
      <c r="A9849" s="374"/>
      <c r="C9849" s="374"/>
      <c r="CV9849" s="376"/>
    </row>
    <row r="9850" spans="1:100">
      <c r="A9850" s="374"/>
      <c r="C9850" s="374"/>
      <c r="CV9850" s="376"/>
    </row>
    <row r="9851" spans="1:100">
      <c r="A9851" s="374"/>
      <c r="C9851" s="374"/>
      <c r="CV9851" s="376"/>
    </row>
    <row r="9852" spans="1:100">
      <c r="A9852" s="374"/>
      <c r="C9852" s="374"/>
      <c r="CV9852" s="376"/>
    </row>
    <row r="9853" spans="1:100">
      <c r="A9853" s="374"/>
      <c r="C9853" s="374"/>
      <c r="CV9853" s="376"/>
    </row>
    <row r="9854" spans="1:100">
      <c r="A9854" s="374"/>
      <c r="C9854" s="374"/>
      <c r="CV9854" s="376"/>
    </row>
    <row r="9855" spans="1:100">
      <c r="A9855" s="374"/>
      <c r="C9855" s="374"/>
      <c r="CV9855" s="376"/>
    </row>
    <row r="9856" spans="1:100">
      <c r="A9856" s="374"/>
      <c r="C9856" s="374"/>
      <c r="CV9856" s="376"/>
    </row>
    <row r="9857" spans="1:100">
      <c r="A9857" s="374"/>
      <c r="C9857" s="374"/>
      <c r="CV9857" s="376"/>
    </row>
    <row r="9858" spans="1:100">
      <c r="A9858" s="374"/>
      <c r="C9858" s="374"/>
      <c r="CV9858" s="376"/>
    </row>
    <row r="9859" spans="1:100">
      <c r="A9859" s="374"/>
      <c r="C9859" s="374"/>
      <c r="CV9859" s="376"/>
    </row>
    <row r="9860" spans="1:100">
      <c r="A9860" s="374"/>
      <c r="C9860" s="374"/>
      <c r="CV9860" s="376"/>
    </row>
    <row r="9861" spans="1:100">
      <c r="A9861" s="374"/>
      <c r="C9861" s="374"/>
      <c r="CV9861" s="376"/>
    </row>
    <row r="9862" spans="1:100">
      <c r="A9862" s="374"/>
      <c r="C9862" s="374"/>
      <c r="CV9862" s="376"/>
    </row>
    <row r="9863" spans="1:100">
      <c r="A9863" s="374"/>
      <c r="C9863" s="374"/>
      <c r="CV9863" s="376"/>
    </row>
    <row r="9864" spans="1:100">
      <c r="A9864" s="374"/>
      <c r="C9864" s="374"/>
      <c r="CV9864" s="376"/>
    </row>
    <row r="9865" spans="1:100">
      <c r="A9865" s="374"/>
      <c r="C9865" s="374"/>
      <c r="CV9865" s="376"/>
    </row>
    <row r="9866" spans="1:100">
      <c r="A9866" s="374"/>
      <c r="C9866" s="374"/>
      <c r="CV9866" s="376"/>
    </row>
    <row r="9867" spans="1:100">
      <c r="A9867" s="374"/>
      <c r="C9867" s="374"/>
      <c r="CV9867" s="376"/>
    </row>
    <row r="9868" spans="1:100">
      <c r="A9868" s="374"/>
      <c r="C9868" s="374"/>
      <c r="CV9868" s="376"/>
    </row>
    <row r="9869" spans="1:100">
      <c r="A9869" s="374"/>
      <c r="C9869" s="374"/>
      <c r="CV9869" s="376"/>
    </row>
    <row r="9870" spans="1:100">
      <c r="A9870" s="374"/>
      <c r="C9870" s="374"/>
      <c r="CV9870" s="376"/>
    </row>
    <row r="9871" spans="1:100">
      <c r="A9871" s="374"/>
      <c r="C9871" s="374"/>
      <c r="CV9871" s="376"/>
    </row>
    <row r="9872" spans="1:100">
      <c r="A9872" s="374"/>
      <c r="C9872" s="374"/>
      <c r="CV9872" s="376"/>
    </row>
    <row r="9873" spans="1:100">
      <c r="A9873" s="374"/>
      <c r="C9873" s="374"/>
      <c r="CV9873" s="376"/>
    </row>
    <row r="9874" spans="1:100">
      <c r="A9874" s="374"/>
      <c r="C9874" s="374"/>
      <c r="CV9874" s="376"/>
    </row>
    <row r="9875" spans="1:100">
      <c r="A9875" s="374"/>
      <c r="C9875" s="374"/>
      <c r="CV9875" s="376"/>
    </row>
    <row r="9876" spans="1:100">
      <c r="A9876" s="374"/>
      <c r="C9876" s="374"/>
      <c r="CV9876" s="376"/>
    </row>
    <row r="9877" spans="1:100">
      <c r="A9877" s="374"/>
      <c r="C9877" s="374"/>
      <c r="CV9877" s="376"/>
    </row>
    <row r="9878" spans="1:100">
      <c r="A9878" s="374"/>
      <c r="C9878" s="374"/>
      <c r="CV9878" s="376"/>
    </row>
    <row r="9879" spans="1:100">
      <c r="A9879" s="374"/>
      <c r="C9879" s="374"/>
      <c r="CV9879" s="376"/>
    </row>
    <row r="9880" spans="1:100">
      <c r="A9880" s="374"/>
      <c r="C9880" s="374"/>
      <c r="CV9880" s="376"/>
    </row>
    <row r="9881" spans="1:100">
      <c r="A9881" s="374"/>
      <c r="C9881" s="374"/>
      <c r="CV9881" s="376"/>
    </row>
    <row r="9882" spans="1:100">
      <c r="A9882" s="374"/>
      <c r="C9882" s="374"/>
      <c r="CV9882" s="376"/>
    </row>
    <row r="9883" spans="1:100">
      <c r="A9883" s="374"/>
      <c r="C9883" s="374"/>
      <c r="CV9883" s="376"/>
    </row>
    <row r="9884" spans="1:100">
      <c r="A9884" s="374"/>
      <c r="C9884" s="374"/>
      <c r="CV9884" s="376"/>
    </row>
    <row r="9885" spans="1:100">
      <c r="A9885" s="374"/>
      <c r="C9885" s="374"/>
      <c r="CV9885" s="376"/>
    </row>
    <row r="9886" spans="1:100">
      <c r="A9886" s="374"/>
      <c r="C9886" s="374"/>
      <c r="CV9886" s="376"/>
    </row>
    <row r="9887" spans="1:100">
      <c r="A9887" s="374"/>
      <c r="C9887" s="374"/>
      <c r="CV9887" s="376"/>
    </row>
    <row r="9888" spans="1:100">
      <c r="A9888" s="374"/>
      <c r="C9888" s="374"/>
      <c r="CV9888" s="376"/>
    </row>
    <row r="9889" spans="1:100">
      <c r="A9889" s="374"/>
      <c r="C9889" s="374"/>
      <c r="CV9889" s="376"/>
    </row>
    <row r="9890" spans="1:100">
      <c r="A9890" s="374"/>
      <c r="C9890" s="374"/>
      <c r="CV9890" s="376"/>
    </row>
    <row r="9891" spans="1:100">
      <c r="A9891" s="374"/>
      <c r="C9891" s="374"/>
      <c r="CV9891" s="376"/>
    </row>
    <row r="9892" spans="1:100">
      <c r="A9892" s="374"/>
      <c r="C9892" s="374"/>
      <c r="CV9892" s="376"/>
    </row>
    <row r="9893" spans="1:100">
      <c r="A9893" s="374"/>
      <c r="C9893" s="374"/>
      <c r="CV9893" s="376"/>
    </row>
    <row r="9894" spans="1:100">
      <c r="A9894" s="374"/>
      <c r="C9894" s="374"/>
      <c r="CV9894" s="376"/>
    </row>
    <row r="9895" spans="1:100">
      <c r="A9895" s="374"/>
      <c r="C9895" s="374"/>
      <c r="CV9895" s="376"/>
    </row>
    <row r="9896" spans="1:100">
      <c r="A9896" s="374"/>
      <c r="C9896" s="374"/>
      <c r="CV9896" s="376"/>
    </row>
    <row r="9897" spans="1:100">
      <c r="A9897" s="374"/>
      <c r="C9897" s="374"/>
      <c r="CV9897" s="376"/>
    </row>
    <row r="9898" spans="1:100">
      <c r="A9898" s="374"/>
      <c r="C9898" s="374"/>
      <c r="CV9898" s="376"/>
    </row>
    <row r="9899" spans="1:100">
      <c r="A9899" s="374"/>
      <c r="C9899" s="374"/>
      <c r="CV9899" s="376"/>
    </row>
    <row r="9900" spans="1:100">
      <c r="A9900" s="374"/>
      <c r="C9900" s="374"/>
      <c r="CV9900" s="376"/>
    </row>
    <row r="9901" spans="1:100">
      <c r="A9901" s="374"/>
      <c r="C9901" s="374"/>
      <c r="CV9901" s="376"/>
    </row>
    <row r="9902" spans="1:100">
      <c r="A9902" s="374"/>
      <c r="C9902" s="374"/>
      <c r="CV9902" s="376"/>
    </row>
    <row r="9903" spans="1:100">
      <c r="A9903" s="374"/>
      <c r="C9903" s="374"/>
      <c r="CV9903" s="376"/>
    </row>
    <row r="9904" spans="1:100">
      <c r="A9904" s="374"/>
      <c r="C9904" s="374"/>
      <c r="CV9904" s="376"/>
    </row>
    <row r="9905" spans="1:100">
      <c r="A9905" s="374"/>
      <c r="C9905" s="374"/>
      <c r="CV9905" s="376"/>
    </row>
    <row r="9906" spans="1:100">
      <c r="A9906" s="374"/>
      <c r="C9906" s="374"/>
      <c r="CV9906" s="376"/>
    </row>
    <row r="9907" spans="1:100">
      <c r="A9907" s="374"/>
      <c r="C9907" s="374"/>
      <c r="CV9907" s="376"/>
    </row>
    <row r="9908" spans="1:100">
      <c r="A9908" s="374"/>
      <c r="C9908" s="374"/>
      <c r="CV9908" s="376"/>
    </row>
    <row r="9909" spans="1:100">
      <c r="A9909" s="374"/>
      <c r="C9909" s="374"/>
      <c r="CV9909" s="376"/>
    </row>
    <row r="9910" spans="1:100">
      <c r="A9910" s="374"/>
      <c r="C9910" s="374"/>
      <c r="CV9910" s="376"/>
    </row>
    <row r="9911" spans="1:100">
      <c r="A9911" s="374"/>
      <c r="C9911" s="374"/>
      <c r="CV9911" s="376"/>
    </row>
    <row r="9912" spans="1:100">
      <c r="A9912" s="374"/>
      <c r="C9912" s="374"/>
      <c r="CV9912" s="376"/>
    </row>
    <row r="9913" spans="1:100">
      <c r="A9913" s="374"/>
      <c r="C9913" s="374"/>
      <c r="CV9913" s="376"/>
    </row>
    <row r="9914" spans="1:100">
      <c r="A9914" s="374"/>
      <c r="C9914" s="374"/>
      <c r="CV9914" s="376"/>
    </row>
    <row r="9915" spans="1:100">
      <c r="A9915" s="374"/>
      <c r="C9915" s="374"/>
      <c r="CV9915" s="376"/>
    </row>
    <row r="9916" spans="1:100">
      <c r="A9916" s="374"/>
      <c r="C9916" s="374"/>
      <c r="CV9916" s="376"/>
    </row>
    <row r="9917" spans="1:100">
      <c r="A9917" s="374"/>
      <c r="C9917" s="374"/>
      <c r="CV9917" s="376"/>
    </row>
    <row r="9918" spans="1:100">
      <c r="A9918" s="374"/>
      <c r="C9918" s="374"/>
      <c r="CV9918" s="376"/>
    </row>
    <row r="9919" spans="1:100">
      <c r="A9919" s="374"/>
      <c r="C9919" s="374"/>
      <c r="CV9919" s="376"/>
    </row>
    <row r="9920" spans="1:100">
      <c r="A9920" s="374"/>
      <c r="C9920" s="374"/>
      <c r="CV9920" s="376"/>
    </row>
    <row r="9921" spans="1:100">
      <c r="A9921" s="374"/>
      <c r="C9921" s="374"/>
      <c r="CV9921" s="376"/>
    </row>
    <row r="9922" spans="1:100">
      <c r="A9922" s="374"/>
      <c r="C9922" s="374"/>
      <c r="CV9922" s="376"/>
    </row>
    <row r="9923" spans="1:100">
      <c r="A9923" s="374"/>
      <c r="C9923" s="374"/>
      <c r="CV9923" s="376"/>
    </row>
    <row r="9924" spans="1:100">
      <c r="A9924" s="374"/>
      <c r="C9924" s="374"/>
      <c r="CV9924" s="376"/>
    </row>
    <row r="9925" spans="1:100">
      <c r="A9925" s="374"/>
      <c r="C9925" s="374"/>
      <c r="CV9925" s="376"/>
    </row>
    <row r="9926" spans="1:100">
      <c r="A9926" s="374"/>
      <c r="C9926" s="374"/>
      <c r="CV9926" s="376"/>
    </row>
    <row r="9927" spans="1:100">
      <c r="A9927" s="374"/>
      <c r="C9927" s="374"/>
      <c r="CV9927" s="376"/>
    </row>
    <row r="9928" spans="1:100">
      <c r="A9928" s="374"/>
      <c r="C9928" s="374"/>
      <c r="CV9928" s="376"/>
    </row>
    <row r="9929" spans="1:100">
      <c r="A9929" s="374"/>
      <c r="C9929" s="374"/>
      <c r="CV9929" s="376"/>
    </row>
    <row r="9930" spans="1:100">
      <c r="A9930" s="374"/>
      <c r="C9930" s="374"/>
      <c r="CV9930" s="376"/>
    </row>
    <row r="9931" spans="1:100">
      <c r="A9931" s="374"/>
      <c r="C9931" s="374"/>
      <c r="CV9931" s="376"/>
    </row>
    <row r="9932" spans="1:100">
      <c r="A9932" s="374"/>
      <c r="C9932" s="374"/>
      <c r="CV9932" s="376"/>
    </row>
    <row r="9933" spans="1:100">
      <c r="A9933" s="374"/>
      <c r="C9933" s="374"/>
      <c r="CV9933" s="376"/>
    </row>
    <row r="9934" spans="1:100">
      <c r="A9934" s="374"/>
      <c r="C9934" s="374"/>
      <c r="CV9934" s="376"/>
    </row>
    <row r="9935" spans="1:100">
      <c r="A9935" s="374"/>
      <c r="C9935" s="374"/>
      <c r="CV9935" s="376"/>
    </row>
    <row r="9936" spans="1:100">
      <c r="A9936" s="374"/>
      <c r="C9936" s="374"/>
      <c r="CV9936" s="376"/>
    </row>
    <row r="9937" spans="1:100">
      <c r="A9937" s="374"/>
      <c r="C9937" s="374"/>
      <c r="CV9937" s="376"/>
    </row>
    <row r="9938" spans="1:100">
      <c r="A9938" s="374"/>
      <c r="C9938" s="374"/>
      <c r="CV9938" s="376"/>
    </row>
    <row r="9939" spans="1:100">
      <c r="A9939" s="374"/>
      <c r="C9939" s="374"/>
      <c r="CV9939" s="376"/>
    </row>
    <row r="9940" spans="1:100">
      <c r="A9940" s="374"/>
      <c r="C9940" s="374"/>
      <c r="CV9940" s="376"/>
    </row>
    <row r="9941" spans="1:100">
      <c r="A9941" s="374"/>
      <c r="C9941" s="374"/>
      <c r="CV9941" s="376"/>
    </row>
    <row r="9942" spans="1:100">
      <c r="A9942" s="374"/>
      <c r="C9942" s="374"/>
      <c r="CV9942" s="376"/>
    </row>
    <row r="9943" spans="1:100">
      <c r="A9943" s="374"/>
      <c r="C9943" s="374"/>
      <c r="CV9943" s="376"/>
    </row>
    <row r="9944" spans="1:100">
      <c r="A9944" s="374"/>
      <c r="C9944" s="374"/>
      <c r="CV9944" s="376"/>
    </row>
    <row r="9945" spans="1:100">
      <c r="A9945" s="374"/>
      <c r="C9945" s="374"/>
      <c r="CV9945" s="376"/>
    </row>
    <row r="9946" spans="1:100">
      <c r="A9946" s="374"/>
      <c r="C9946" s="374"/>
      <c r="CV9946" s="376"/>
    </row>
    <row r="9947" spans="1:100">
      <c r="A9947" s="374"/>
      <c r="C9947" s="374"/>
      <c r="CV9947" s="376"/>
    </row>
    <row r="9948" spans="1:100">
      <c r="A9948" s="374"/>
      <c r="C9948" s="374"/>
      <c r="CV9948" s="376"/>
    </row>
    <row r="9949" spans="1:100">
      <c r="A9949" s="374"/>
      <c r="C9949" s="374"/>
      <c r="CV9949" s="376"/>
    </row>
    <row r="9950" spans="1:100">
      <c r="A9950" s="374"/>
      <c r="C9950" s="374"/>
      <c r="CV9950" s="376"/>
    </row>
    <row r="9951" spans="1:100">
      <c r="A9951" s="374"/>
      <c r="C9951" s="374"/>
      <c r="CV9951" s="376"/>
    </row>
    <row r="9952" spans="1:100">
      <c r="A9952" s="374"/>
      <c r="C9952" s="374"/>
      <c r="CV9952" s="376"/>
    </row>
    <row r="9953" spans="1:100">
      <c r="A9953" s="374"/>
      <c r="C9953" s="374"/>
      <c r="CV9953" s="376"/>
    </row>
    <row r="9954" spans="1:100">
      <c r="A9954" s="374"/>
      <c r="C9954" s="374"/>
      <c r="CV9954" s="376"/>
    </row>
    <row r="9955" spans="1:100">
      <c r="A9955" s="374"/>
      <c r="C9955" s="374"/>
      <c r="CV9955" s="376"/>
    </row>
    <row r="9956" spans="1:100">
      <c r="A9956" s="374"/>
      <c r="C9956" s="374"/>
      <c r="CV9956" s="376"/>
    </row>
    <row r="9957" spans="1:100">
      <c r="A9957" s="374"/>
      <c r="C9957" s="374"/>
      <c r="CV9957" s="376"/>
    </row>
    <row r="9958" spans="1:100">
      <c r="A9958" s="374"/>
      <c r="C9958" s="374"/>
      <c r="CV9958" s="376"/>
    </row>
    <row r="9959" spans="1:100">
      <c r="A9959" s="374"/>
      <c r="C9959" s="374"/>
      <c r="CV9959" s="376"/>
    </row>
    <row r="9960" spans="1:100">
      <c r="A9960" s="374"/>
      <c r="C9960" s="374"/>
      <c r="CV9960" s="376"/>
    </row>
    <row r="9961" spans="1:100">
      <c r="A9961" s="374"/>
      <c r="C9961" s="374"/>
      <c r="CV9961" s="376"/>
    </row>
    <row r="9962" spans="1:100">
      <c r="A9962" s="374"/>
      <c r="C9962" s="374"/>
      <c r="CV9962" s="376"/>
    </row>
    <row r="9963" spans="1:100">
      <c r="A9963" s="374"/>
      <c r="C9963" s="374"/>
      <c r="CV9963" s="376"/>
    </row>
    <row r="9964" spans="1:100">
      <c r="A9964" s="374"/>
      <c r="C9964" s="374"/>
      <c r="CV9964" s="376"/>
    </row>
    <row r="9965" spans="1:100">
      <c r="A9965" s="374"/>
      <c r="C9965" s="374"/>
      <c r="CV9965" s="376"/>
    </row>
    <row r="9966" spans="1:100">
      <c r="A9966" s="374"/>
      <c r="C9966" s="374"/>
      <c r="CV9966" s="376"/>
    </row>
    <row r="9967" spans="1:100">
      <c r="A9967" s="374"/>
      <c r="C9967" s="374"/>
      <c r="CV9967" s="376"/>
    </row>
    <row r="9968" spans="1:100">
      <c r="A9968" s="374"/>
      <c r="C9968" s="374"/>
      <c r="CV9968" s="376"/>
    </row>
    <row r="9969" spans="1:100">
      <c r="A9969" s="374"/>
      <c r="C9969" s="374"/>
      <c r="CV9969" s="376"/>
    </row>
    <row r="9970" spans="1:100">
      <c r="A9970" s="374"/>
      <c r="C9970" s="374"/>
      <c r="CV9970" s="376"/>
    </row>
    <row r="9971" spans="1:100">
      <c r="A9971" s="374"/>
      <c r="C9971" s="374"/>
      <c r="CV9971" s="376"/>
    </row>
    <row r="9972" spans="1:100">
      <c r="A9972" s="374"/>
      <c r="C9972" s="374"/>
      <c r="CV9972" s="376"/>
    </row>
    <row r="9973" spans="1:100">
      <c r="A9973" s="374"/>
      <c r="C9973" s="374"/>
      <c r="CV9973" s="376"/>
    </row>
    <row r="9974" spans="1:100">
      <c r="A9974" s="374"/>
      <c r="C9974" s="374"/>
      <c r="CV9974" s="376"/>
    </row>
    <row r="9975" spans="1:100">
      <c r="A9975" s="374"/>
      <c r="C9975" s="374"/>
      <c r="CV9975" s="376"/>
    </row>
    <row r="9976" spans="1:100">
      <c r="A9976" s="374"/>
      <c r="C9976" s="374"/>
      <c r="CV9976" s="376"/>
    </row>
    <row r="9977" spans="1:100">
      <c r="A9977" s="374"/>
      <c r="C9977" s="374"/>
      <c r="CV9977" s="376"/>
    </row>
    <row r="9978" spans="1:100">
      <c r="A9978" s="374"/>
      <c r="C9978" s="374"/>
      <c r="CV9978" s="376"/>
    </row>
    <row r="9979" spans="1:100">
      <c r="A9979" s="374"/>
      <c r="C9979" s="374"/>
      <c r="CV9979" s="376"/>
    </row>
    <row r="9980" spans="1:100">
      <c r="A9980" s="374"/>
      <c r="C9980" s="374"/>
      <c r="CV9980" s="376"/>
    </row>
    <row r="9981" spans="1:100">
      <c r="A9981" s="374"/>
      <c r="C9981" s="374"/>
      <c r="CV9981" s="376"/>
    </row>
    <row r="9982" spans="1:100">
      <c r="A9982" s="374"/>
      <c r="C9982" s="374"/>
      <c r="CV9982" s="376"/>
    </row>
    <row r="9983" spans="1:100">
      <c r="A9983" s="374"/>
      <c r="C9983" s="374"/>
      <c r="CV9983" s="376"/>
    </row>
    <row r="9984" spans="1:100">
      <c r="A9984" s="374"/>
      <c r="C9984" s="374"/>
      <c r="CV9984" s="376"/>
    </row>
    <row r="9985" spans="1:100">
      <c r="A9985" s="374"/>
      <c r="C9985" s="374"/>
      <c r="CV9985" s="376"/>
    </row>
    <row r="9986" spans="1:100">
      <c r="A9986" s="374"/>
      <c r="C9986" s="374"/>
      <c r="CV9986" s="376"/>
    </row>
    <row r="9987" spans="1:100">
      <c r="A9987" s="374"/>
      <c r="C9987" s="374"/>
      <c r="CV9987" s="376"/>
    </row>
    <row r="9988" spans="1:100">
      <c r="A9988" s="374"/>
      <c r="C9988" s="374"/>
      <c r="CV9988" s="376"/>
    </row>
    <row r="9989" spans="1:100">
      <c r="A9989" s="374"/>
      <c r="C9989" s="374"/>
      <c r="CV9989" s="376"/>
    </row>
    <row r="9990" spans="1:100">
      <c r="A9990" s="374"/>
      <c r="C9990" s="374"/>
      <c r="CV9990" s="376"/>
    </row>
    <row r="9991" spans="1:100">
      <c r="A9991" s="374"/>
      <c r="C9991" s="374"/>
      <c r="CV9991" s="376"/>
    </row>
    <row r="9992" spans="1:100">
      <c r="A9992" s="374"/>
      <c r="C9992" s="374"/>
      <c r="CV9992" s="376"/>
    </row>
    <row r="9993" spans="1:100">
      <c r="A9993" s="374"/>
      <c r="C9993" s="374"/>
      <c r="CV9993" s="376"/>
    </row>
    <row r="9994" spans="1:100">
      <c r="A9994" s="374"/>
      <c r="C9994" s="374"/>
      <c r="CV9994" s="376"/>
    </row>
    <row r="9995" spans="1:100">
      <c r="A9995" s="374"/>
      <c r="C9995" s="374"/>
      <c r="CV9995" s="376"/>
    </row>
    <row r="9996" spans="1:100">
      <c r="A9996" s="374"/>
      <c r="C9996" s="374"/>
      <c r="CV9996" s="376"/>
    </row>
    <row r="9997" spans="1:100">
      <c r="A9997" s="374"/>
      <c r="C9997" s="374"/>
      <c r="CV9997" s="376"/>
    </row>
    <row r="9998" spans="1:100">
      <c r="A9998" s="374"/>
      <c r="C9998" s="374"/>
      <c r="CV9998" s="376"/>
    </row>
    <row r="9999" spans="1:100">
      <c r="A9999" s="374"/>
      <c r="C9999" s="374"/>
      <c r="CV9999" s="376"/>
    </row>
    <row r="10000" spans="1:100">
      <c r="A10000" s="374"/>
      <c r="C10000" s="374"/>
      <c r="CV10000" s="376"/>
    </row>
    <row r="10001" spans="1:100">
      <c r="A10001" s="374"/>
      <c r="C10001" s="374"/>
      <c r="CV10001" s="376"/>
    </row>
    <row r="10002" spans="1:100">
      <c r="A10002" s="374"/>
      <c r="C10002" s="374"/>
      <c r="CV10002" s="376"/>
    </row>
    <row r="10003" spans="1:100">
      <c r="A10003" s="374"/>
      <c r="C10003" s="374"/>
      <c r="CV10003" s="376"/>
    </row>
    <row r="10004" spans="1:100">
      <c r="A10004" s="374"/>
      <c r="C10004" s="374"/>
      <c r="CV10004" s="376"/>
    </row>
    <row r="10005" spans="1:100">
      <c r="A10005" s="374"/>
      <c r="C10005" s="374"/>
      <c r="CV10005" s="376"/>
    </row>
    <row r="10006" spans="1:100">
      <c r="A10006" s="374"/>
      <c r="C10006" s="374"/>
      <c r="CV10006" s="376"/>
    </row>
    <row r="10007" spans="1:100">
      <c r="A10007" s="374"/>
      <c r="C10007" s="374"/>
      <c r="CV10007" s="376"/>
    </row>
    <row r="10008" spans="1:100">
      <c r="A10008" s="374"/>
      <c r="C10008" s="374"/>
      <c r="CV10008" s="376"/>
    </row>
    <row r="10009" spans="1:100">
      <c r="A10009" s="374"/>
      <c r="C10009" s="374"/>
      <c r="CV10009" s="376"/>
    </row>
    <row r="10010" spans="1:100">
      <c r="A10010" s="374"/>
      <c r="C10010" s="374"/>
      <c r="CV10010" s="376"/>
    </row>
    <row r="10011" spans="1:100">
      <c r="A10011" s="374"/>
      <c r="C10011" s="374"/>
      <c r="CV10011" s="376"/>
    </row>
    <row r="10012" spans="1:100">
      <c r="A10012" s="374"/>
      <c r="C10012" s="374"/>
      <c r="CV10012" s="376"/>
    </row>
    <row r="10013" spans="1:100">
      <c r="A10013" s="374"/>
      <c r="C10013" s="374"/>
      <c r="CV10013" s="376"/>
    </row>
    <row r="10014" spans="1:100">
      <c r="A10014" s="374"/>
      <c r="C10014" s="374"/>
      <c r="CV10014" s="376"/>
    </row>
    <row r="10015" spans="1:100">
      <c r="A10015" s="374"/>
      <c r="C10015" s="374"/>
      <c r="CV10015" s="376"/>
    </row>
    <row r="10016" spans="1:100">
      <c r="A10016" s="374"/>
      <c r="C10016" s="374"/>
      <c r="CV10016" s="376"/>
    </row>
    <row r="10017" spans="1:100">
      <c r="A10017" s="374"/>
      <c r="C10017" s="374"/>
      <c r="CV10017" s="376"/>
    </row>
    <row r="10018" spans="1:100">
      <c r="A10018" s="374"/>
      <c r="C10018" s="374"/>
      <c r="CV10018" s="376"/>
    </row>
    <row r="10019" spans="1:100">
      <c r="A10019" s="374"/>
      <c r="C10019" s="374"/>
      <c r="CV10019" s="376"/>
    </row>
    <row r="10020" spans="1:100">
      <c r="A10020" s="374"/>
      <c r="C10020" s="374"/>
      <c r="CV10020" s="376"/>
    </row>
    <row r="10021" spans="1:100">
      <c r="A10021" s="374"/>
      <c r="C10021" s="374"/>
      <c r="CV10021" s="376"/>
    </row>
    <row r="10022" spans="1:100">
      <c r="A10022" s="374"/>
      <c r="C10022" s="374"/>
      <c r="CV10022" s="376"/>
    </row>
    <row r="10023" spans="1:100">
      <c r="A10023" s="374"/>
      <c r="C10023" s="374"/>
      <c r="CV10023" s="376"/>
    </row>
    <row r="10024" spans="1:100">
      <c r="A10024" s="374"/>
      <c r="C10024" s="374"/>
      <c r="CV10024" s="376"/>
    </row>
    <row r="10025" spans="1:100">
      <c r="A10025" s="374"/>
      <c r="C10025" s="374"/>
      <c r="CV10025" s="376"/>
    </row>
    <row r="10026" spans="1:100">
      <c r="A10026" s="374"/>
      <c r="C10026" s="374"/>
      <c r="CV10026" s="376"/>
    </row>
    <row r="10027" spans="1:100">
      <c r="A10027" s="374"/>
      <c r="C10027" s="374"/>
      <c r="CV10027" s="376"/>
    </row>
    <row r="10028" spans="1:100">
      <c r="A10028" s="374"/>
      <c r="C10028" s="374"/>
      <c r="CV10028" s="376"/>
    </row>
    <row r="10029" spans="1:100">
      <c r="A10029" s="374"/>
      <c r="C10029" s="374"/>
      <c r="CV10029" s="376"/>
    </row>
    <row r="10030" spans="1:100">
      <c r="A10030" s="374"/>
      <c r="C10030" s="374"/>
      <c r="CV10030" s="376"/>
    </row>
    <row r="10031" spans="1:100">
      <c r="A10031" s="374"/>
      <c r="C10031" s="374"/>
      <c r="CV10031" s="376"/>
    </row>
    <row r="10032" spans="1:100">
      <c r="A10032" s="374"/>
      <c r="C10032" s="374"/>
      <c r="CV10032" s="376"/>
    </row>
    <row r="10033" spans="1:100">
      <c r="A10033" s="374"/>
      <c r="C10033" s="374"/>
      <c r="CV10033" s="376"/>
    </row>
    <row r="10034" spans="1:100">
      <c r="A10034" s="374"/>
      <c r="C10034" s="374"/>
      <c r="CV10034" s="376"/>
    </row>
    <row r="10035" spans="1:100">
      <c r="A10035" s="374"/>
      <c r="C10035" s="374"/>
      <c r="CV10035" s="376"/>
    </row>
    <row r="10036" spans="1:100">
      <c r="A10036" s="374"/>
      <c r="C10036" s="374"/>
      <c r="CV10036" s="376"/>
    </row>
    <row r="10037" spans="1:100">
      <c r="A10037" s="374"/>
      <c r="C10037" s="374"/>
      <c r="CV10037" s="376"/>
    </row>
    <row r="10038" spans="1:100">
      <c r="A10038" s="374"/>
      <c r="C10038" s="374"/>
      <c r="CV10038" s="376"/>
    </row>
    <row r="10039" spans="1:100">
      <c r="A10039" s="374"/>
      <c r="C10039" s="374"/>
      <c r="CV10039" s="376"/>
    </row>
    <row r="10040" spans="1:100">
      <c r="A10040" s="374"/>
      <c r="C10040" s="374"/>
      <c r="CV10040" s="376"/>
    </row>
    <row r="10041" spans="1:100">
      <c r="A10041" s="374"/>
      <c r="C10041" s="374"/>
      <c r="CV10041" s="376"/>
    </row>
    <row r="10042" spans="1:100">
      <c r="A10042" s="374"/>
      <c r="C10042" s="374"/>
      <c r="CV10042" s="376"/>
    </row>
    <row r="10043" spans="1:100">
      <c r="A10043" s="374"/>
      <c r="C10043" s="374"/>
      <c r="CV10043" s="376"/>
    </row>
    <row r="10044" spans="1:100">
      <c r="A10044" s="374"/>
      <c r="C10044" s="374"/>
      <c r="CV10044" s="376"/>
    </row>
    <row r="10045" spans="1:100">
      <c r="A10045" s="374"/>
      <c r="C10045" s="374"/>
      <c r="CV10045" s="376"/>
    </row>
    <row r="10046" spans="1:100">
      <c r="A10046" s="374"/>
      <c r="C10046" s="374"/>
      <c r="CV10046" s="376"/>
    </row>
    <row r="10047" spans="1:100">
      <c r="A10047" s="374"/>
      <c r="C10047" s="374"/>
      <c r="CV10047" s="376"/>
    </row>
    <row r="10048" spans="1:100">
      <c r="A10048" s="374"/>
      <c r="C10048" s="374"/>
      <c r="CV10048" s="376"/>
    </row>
    <row r="10049" spans="1:100">
      <c r="A10049" s="374"/>
      <c r="C10049" s="374"/>
      <c r="CV10049" s="376"/>
    </row>
    <row r="10050" spans="1:100">
      <c r="A10050" s="374"/>
      <c r="C10050" s="374"/>
      <c r="CV10050" s="376"/>
    </row>
    <row r="10051" spans="1:100">
      <c r="A10051" s="374"/>
      <c r="C10051" s="374"/>
      <c r="CV10051" s="376"/>
    </row>
    <row r="10052" spans="1:100">
      <c r="A10052" s="374"/>
      <c r="C10052" s="374"/>
      <c r="CV10052" s="376"/>
    </row>
    <row r="10053" spans="1:100">
      <c r="A10053" s="374"/>
      <c r="C10053" s="374"/>
      <c r="CV10053" s="376"/>
    </row>
    <row r="10054" spans="1:100">
      <c r="A10054" s="374"/>
      <c r="C10054" s="374"/>
      <c r="CV10054" s="376"/>
    </row>
    <row r="10055" spans="1:100">
      <c r="A10055" s="374"/>
      <c r="C10055" s="374"/>
      <c r="CV10055" s="376"/>
    </row>
    <row r="10056" spans="1:100">
      <c r="A10056" s="374"/>
      <c r="C10056" s="374"/>
      <c r="CV10056" s="376"/>
    </row>
    <row r="10057" spans="1:100">
      <c r="A10057" s="374"/>
      <c r="C10057" s="374"/>
      <c r="CV10057" s="376"/>
    </row>
    <row r="10058" spans="1:100">
      <c r="A10058" s="374"/>
      <c r="C10058" s="374"/>
      <c r="CV10058" s="376"/>
    </row>
    <row r="10059" spans="1:100">
      <c r="A10059" s="374"/>
      <c r="C10059" s="374"/>
      <c r="CV10059" s="376"/>
    </row>
    <row r="10060" spans="1:100">
      <c r="A10060" s="374"/>
      <c r="C10060" s="374"/>
      <c r="CV10060" s="376"/>
    </row>
    <row r="10061" spans="1:100">
      <c r="A10061" s="374"/>
      <c r="C10061" s="374"/>
      <c r="CV10061" s="376"/>
    </row>
    <row r="10062" spans="1:100">
      <c r="A10062" s="374"/>
      <c r="C10062" s="374"/>
      <c r="CV10062" s="376"/>
    </row>
    <row r="10063" spans="1:100">
      <c r="A10063" s="374"/>
      <c r="C10063" s="374"/>
      <c r="CV10063" s="376"/>
    </row>
    <row r="10064" spans="1:100">
      <c r="A10064" s="374"/>
      <c r="C10064" s="374"/>
      <c r="CV10064" s="376"/>
    </row>
    <row r="10065" spans="1:100">
      <c r="A10065" s="374"/>
      <c r="C10065" s="374"/>
      <c r="CV10065" s="376"/>
    </row>
    <row r="10066" spans="1:100">
      <c r="A10066" s="374"/>
      <c r="C10066" s="374"/>
      <c r="CV10066" s="376"/>
    </row>
    <row r="10067" spans="1:100">
      <c r="A10067" s="374"/>
      <c r="C10067" s="374"/>
      <c r="CV10067" s="376"/>
    </row>
    <row r="10068" spans="1:100">
      <c r="A10068" s="374"/>
      <c r="C10068" s="374"/>
      <c r="CV10068" s="376"/>
    </row>
    <row r="10069" spans="1:100">
      <c r="A10069" s="374"/>
      <c r="C10069" s="374"/>
      <c r="CV10069" s="376"/>
    </row>
    <row r="10070" spans="1:100">
      <c r="A10070" s="374"/>
      <c r="C10070" s="374"/>
      <c r="CV10070" s="376"/>
    </row>
    <row r="10071" spans="1:100">
      <c r="A10071" s="374"/>
      <c r="C10071" s="374"/>
      <c r="CV10071" s="376"/>
    </row>
    <row r="10072" spans="1:100">
      <c r="A10072" s="374"/>
      <c r="C10072" s="374"/>
      <c r="CV10072" s="376"/>
    </row>
    <row r="10073" spans="1:100">
      <c r="A10073" s="374"/>
      <c r="C10073" s="374"/>
      <c r="CV10073" s="376"/>
    </row>
    <row r="10074" spans="1:100">
      <c r="A10074" s="374"/>
      <c r="C10074" s="374"/>
      <c r="CV10074" s="376"/>
    </row>
    <row r="10075" spans="1:100">
      <c r="A10075" s="374"/>
      <c r="C10075" s="374"/>
      <c r="CV10075" s="376"/>
    </row>
    <row r="10076" spans="1:100">
      <c r="A10076" s="374"/>
      <c r="C10076" s="374"/>
      <c r="CV10076" s="376"/>
    </row>
    <row r="10077" spans="1:100">
      <c r="A10077" s="374"/>
      <c r="C10077" s="374"/>
      <c r="CV10077" s="376"/>
    </row>
    <row r="10078" spans="1:100">
      <c r="A10078" s="374"/>
      <c r="C10078" s="374"/>
      <c r="CV10078" s="376"/>
    </row>
    <row r="10079" spans="1:100">
      <c r="A10079" s="374"/>
      <c r="C10079" s="374"/>
      <c r="CV10079" s="376"/>
    </row>
    <row r="10080" spans="1:100">
      <c r="A10080" s="374"/>
      <c r="C10080" s="374"/>
      <c r="CV10080" s="376"/>
    </row>
    <row r="10081" spans="1:100">
      <c r="A10081" s="374"/>
      <c r="C10081" s="374"/>
      <c r="CV10081" s="376"/>
    </row>
    <row r="10082" spans="1:100">
      <c r="A10082" s="374"/>
      <c r="C10082" s="374"/>
      <c r="CV10082" s="376"/>
    </row>
    <row r="10083" spans="1:100">
      <c r="A10083" s="374"/>
      <c r="C10083" s="374"/>
      <c r="CV10083" s="376"/>
    </row>
    <row r="10084" spans="1:100">
      <c r="A10084" s="374"/>
      <c r="C10084" s="374"/>
      <c r="CV10084" s="376"/>
    </row>
    <row r="10085" spans="1:100">
      <c r="A10085" s="374"/>
      <c r="C10085" s="374"/>
      <c r="CV10085" s="376"/>
    </row>
    <row r="10086" spans="1:100">
      <c r="A10086" s="374"/>
      <c r="C10086" s="374"/>
      <c r="CV10086" s="376"/>
    </row>
    <row r="10087" spans="1:100">
      <c r="A10087" s="374"/>
      <c r="C10087" s="374"/>
      <c r="CV10087" s="376"/>
    </row>
    <row r="10088" spans="1:100">
      <c r="A10088" s="374"/>
      <c r="C10088" s="374"/>
      <c r="CV10088" s="376"/>
    </row>
    <row r="10089" spans="1:100">
      <c r="A10089" s="374"/>
      <c r="C10089" s="374"/>
      <c r="CV10089" s="376"/>
    </row>
    <row r="10090" spans="1:100">
      <c r="A10090" s="374"/>
      <c r="C10090" s="374"/>
      <c r="CV10090" s="376"/>
    </row>
    <row r="10091" spans="1:100">
      <c r="A10091" s="374"/>
      <c r="C10091" s="374"/>
      <c r="CV10091" s="376"/>
    </row>
    <row r="10092" spans="1:100">
      <c r="A10092" s="374"/>
      <c r="C10092" s="374"/>
      <c r="CV10092" s="376"/>
    </row>
    <row r="10093" spans="1:100">
      <c r="A10093" s="374"/>
      <c r="C10093" s="374"/>
      <c r="CV10093" s="376"/>
    </row>
    <row r="10094" spans="1:100">
      <c r="A10094" s="374"/>
      <c r="C10094" s="374"/>
      <c r="CV10094" s="376"/>
    </row>
    <row r="10095" spans="1:100">
      <c r="A10095" s="374"/>
      <c r="C10095" s="374"/>
      <c r="CV10095" s="376"/>
    </row>
    <row r="10096" spans="1:100">
      <c r="A10096" s="374"/>
      <c r="C10096" s="374"/>
      <c r="CV10096" s="376"/>
    </row>
    <row r="10097" spans="1:100">
      <c r="A10097" s="374"/>
      <c r="C10097" s="374"/>
      <c r="CV10097" s="376"/>
    </row>
    <row r="10098" spans="1:100">
      <c r="A10098" s="374"/>
      <c r="C10098" s="374"/>
      <c r="CV10098" s="376"/>
    </row>
    <row r="10099" spans="1:100">
      <c r="A10099" s="374"/>
      <c r="C10099" s="374"/>
      <c r="CV10099" s="376"/>
    </row>
    <row r="10100" spans="1:100">
      <c r="A10100" s="374"/>
      <c r="C10100" s="374"/>
      <c r="CV10100" s="376"/>
    </row>
    <row r="10101" spans="1:100">
      <c r="A10101" s="374"/>
      <c r="C10101" s="374"/>
      <c r="CV10101" s="376"/>
    </row>
    <row r="10102" spans="1:100">
      <c r="A10102" s="374"/>
      <c r="C10102" s="374"/>
      <c r="CV10102" s="376"/>
    </row>
    <row r="10103" spans="1:100">
      <c r="A10103" s="374"/>
      <c r="C10103" s="374"/>
      <c r="CV10103" s="376"/>
    </row>
    <row r="10104" spans="1:100">
      <c r="A10104" s="374"/>
      <c r="C10104" s="374"/>
      <c r="CV10104" s="376"/>
    </row>
    <row r="10105" spans="1:100">
      <c r="A10105" s="374"/>
      <c r="C10105" s="374"/>
      <c r="CV10105" s="376"/>
    </row>
    <row r="10106" spans="1:100">
      <c r="A10106" s="374"/>
      <c r="C10106" s="374"/>
      <c r="CV10106" s="376"/>
    </row>
    <row r="10107" spans="1:100">
      <c r="A10107" s="374"/>
      <c r="C10107" s="374"/>
      <c r="CV10107" s="376"/>
    </row>
    <row r="10108" spans="1:100">
      <c r="A10108" s="374"/>
      <c r="C10108" s="374"/>
      <c r="CV10108" s="376"/>
    </row>
    <row r="10109" spans="1:100">
      <c r="A10109" s="374"/>
      <c r="C10109" s="374"/>
      <c r="CV10109" s="376"/>
    </row>
    <row r="10110" spans="1:100">
      <c r="A10110" s="374"/>
      <c r="C10110" s="374"/>
      <c r="CV10110" s="376"/>
    </row>
    <row r="10111" spans="1:100">
      <c r="A10111" s="374"/>
      <c r="C10111" s="374"/>
      <c r="CV10111" s="376"/>
    </row>
    <row r="10112" spans="1:100">
      <c r="A10112" s="374"/>
      <c r="C10112" s="374"/>
      <c r="CV10112" s="376"/>
    </row>
    <row r="10113" spans="1:100">
      <c r="A10113" s="374"/>
      <c r="C10113" s="374"/>
      <c r="CV10113" s="376"/>
    </row>
    <row r="10114" spans="1:100">
      <c r="A10114" s="374"/>
      <c r="C10114" s="374"/>
      <c r="CV10114" s="376"/>
    </row>
    <row r="10115" spans="1:100">
      <c r="A10115" s="374"/>
      <c r="C10115" s="374"/>
      <c r="CV10115" s="376"/>
    </row>
    <row r="10116" spans="1:100">
      <c r="A10116" s="374"/>
      <c r="C10116" s="374"/>
      <c r="CV10116" s="376"/>
    </row>
    <row r="10117" spans="1:100">
      <c r="A10117" s="374"/>
      <c r="C10117" s="374"/>
      <c r="CV10117" s="376"/>
    </row>
    <row r="10118" spans="1:100">
      <c r="A10118" s="374"/>
      <c r="C10118" s="374"/>
      <c r="CV10118" s="376"/>
    </row>
    <row r="10119" spans="1:100">
      <c r="A10119" s="374"/>
      <c r="C10119" s="374"/>
      <c r="CV10119" s="376"/>
    </row>
    <row r="10120" spans="1:100">
      <c r="A10120" s="374"/>
      <c r="C10120" s="374"/>
      <c r="CV10120" s="376"/>
    </row>
    <row r="10121" spans="1:100">
      <c r="A10121" s="374"/>
      <c r="C10121" s="374"/>
      <c r="CV10121" s="376"/>
    </row>
    <row r="10122" spans="1:100">
      <c r="A10122" s="374"/>
      <c r="C10122" s="374"/>
      <c r="CV10122" s="376"/>
    </row>
    <row r="10123" spans="1:100">
      <c r="A10123" s="374"/>
      <c r="C10123" s="374"/>
      <c r="CV10123" s="376"/>
    </row>
    <row r="10124" spans="1:100">
      <c r="A10124" s="374"/>
      <c r="C10124" s="374"/>
      <c r="CV10124" s="376"/>
    </row>
    <row r="10125" spans="1:100">
      <c r="A10125" s="374"/>
      <c r="C10125" s="374"/>
      <c r="CV10125" s="376"/>
    </row>
    <row r="10126" spans="1:100">
      <c r="A10126" s="374"/>
      <c r="C10126" s="374"/>
      <c r="CV10126" s="376"/>
    </row>
    <row r="10127" spans="1:100">
      <c r="A10127" s="374"/>
      <c r="C10127" s="374"/>
      <c r="CV10127" s="376"/>
    </row>
    <row r="10128" spans="1:100">
      <c r="A10128" s="374"/>
      <c r="C10128" s="374"/>
      <c r="CV10128" s="376"/>
    </row>
    <row r="10129" spans="1:100">
      <c r="A10129" s="374"/>
      <c r="C10129" s="374"/>
      <c r="CV10129" s="376"/>
    </row>
    <row r="10130" spans="1:100">
      <c r="A10130" s="374"/>
      <c r="C10130" s="374"/>
      <c r="CV10130" s="376"/>
    </row>
    <row r="10131" spans="1:100">
      <c r="A10131" s="374"/>
      <c r="C10131" s="374"/>
      <c r="CV10131" s="376"/>
    </row>
    <row r="10132" spans="1:100">
      <c r="A10132" s="374"/>
      <c r="C10132" s="374"/>
      <c r="CV10132" s="376"/>
    </row>
    <row r="10133" spans="1:100">
      <c r="A10133" s="374"/>
      <c r="C10133" s="374"/>
      <c r="CV10133" s="376"/>
    </row>
    <row r="10134" spans="1:100">
      <c r="A10134" s="374"/>
      <c r="C10134" s="374"/>
      <c r="CV10134" s="376"/>
    </row>
    <row r="10135" spans="1:100">
      <c r="A10135" s="374"/>
      <c r="C10135" s="374"/>
      <c r="CV10135" s="376"/>
    </row>
    <row r="10136" spans="1:100">
      <c r="A10136" s="374"/>
      <c r="C10136" s="374"/>
      <c r="CV10136" s="376"/>
    </row>
    <row r="10137" spans="1:100">
      <c r="A10137" s="374"/>
      <c r="C10137" s="374"/>
      <c r="CV10137" s="376"/>
    </row>
    <row r="10138" spans="1:100">
      <c r="A10138" s="374"/>
      <c r="C10138" s="374"/>
      <c r="CV10138" s="376"/>
    </row>
    <row r="10139" spans="1:100">
      <c r="A10139" s="374"/>
      <c r="C10139" s="374"/>
      <c r="CV10139" s="376"/>
    </row>
    <row r="10140" spans="1:100">
      <c r="A10140" s="374"/>
      <c r="C10140" s="374"/>
      <c r="CV10140" s="376"/>
    </row>
    <row r="10141" spans="1:100">
      <c r="A10141" s="374"/>
      <c r="C10141" s="374"/>
      <c r="CV10141" s="376"/>
    </row>
    <row r="10142" spans="1:100">
      <c r="A10142" s="374"/>
      <c r="C10142" s="374"/>
      <c r="CV10142" s="376"/>
    </row>
    <row r="10143" spans="1:100">
      <c r="A10143" s="374"/>
      <c r="C10143" s="374"/>
      <c r="CV10143" s="376"/>
    </row>
    <row r="10144" spans="1:100">
      <c r="A10144" s="374"/>
      <c r="C10144" s="374"/>
      <c r="CV10144" s="376"/>
    </row>
    <row r="10145" spans="1:100">
      <c r="A10145" s="374"/>
      <c r="C10145" s="374"/>
      <c r="CV10145" s="376"/>
    </row>
    <row r="10146" spans="1:100">
      <c r="A10146" s="374"/>
      <c r="C10146" s="374"/>
      <c r="CV10146" s="376"/>
    </row>
    <row r="10147" spans="1:100">
      <c r="A10147" s="374"/>
      <c r="C10147" s="374"/>
      <c r="CV10147" s="376"/>
    </row>
    <row r="10148" spans="1:100">
      <c r="A10148" s="374"/>
      <c r="C10148" s="374"/>
      <c r="CV10148" s="376"/>
    </row>
    <row r="10149" spans="1:100">
      <c r="A10149" s="374"/>
      <c r="C10149" s="374"/>
      <c r="CV10149" s="376"/>
    </row>
    <row r="10150" spans="1:100">
      <c r="A10150" s="374"/>
      <c r="C10150" s="374"/>
      <c r="CV10150" s="376"/>
    </row>
    <row r="10151" spans="1:100">
      <c r="A10151" s="374"/>
      <c r="C10151" s="374"/>
      <c r="CV10151" s="376"/>
    </row>
    <row r="10152" spans="1:100">
      <c r="A10152" s="374"/>
      <c r="C10152" s="374"/>
      <c r="CV10152" s="376"/>
    </row>
    <row r="10153" spans="1:100">
      <c r="A10153" s="374"/>
      <c r="C10153" s="374"/>
      <c r="CV10153" s="376"/>
    </row>
    <row r="10154" spans="1:100">
      <c r="A10154" s="374"/>
      <c r="C10154" s="374"/>
      <c r="CV10154" s="376"/>
    </row>
    <row r="10155" spans="1:100">
      <c r="A10155" s="374"/>
      <c r="C10155" s="374"/>
      <c r="CV10155" s="376"/>
    </row>
    <row r="10156" spans="1:100">
      <c r="A10156" s="374"/>
      <c r="C10156" s="374"/>
      <c r="CV10156" s="376"/>
    </row>
    <row r="10157" spans="1:100">
      <c r="A10157" s="374"/>
      <c r="C10157" s="374"/>
      <c r="CV10157" s="376"/>
    </row>
    <row r="10158" spans="1:100">
      <c r="A10158" s="374"/>
      <c r="C10158" s="374"/>
      <c r="CV10158" s="376"/>
    </row>
    <row r="10159" spans="1:100">
      <c r="A10159" s="374"/>
      <c r="C10159" s="374"/>
      <c r="CV10159" s="376"/>
    </row>
    <row r="10160" spans="1:100">
      <c r="A10160" s="374"/>
      <c r="C10160" s="374"/>
      <c r="CV10160" s="376"/>
    </row>
    <row r="10161" spans="1:100">
      <c r="A10161" s="374"/>
      <c r="C10161" s="374"/>
      <c r="CV10161" s="376"/>
    </row>
    <row r="10162" spans="1:100">
      <c r="A10162" s="374"/>
      <c r="C10162" s="374"/>
      <c r="CV10162" s="376"/>
    </row>
    <row r="10163" spans="1:100">
      <c r="A10163" s="374"/>
      <c r="C10163" s="374"/>
      <c r="CV10163" s="376"/>
    </row>
    <row r="10164" spans="1:100">
      <c r="A10164" s="374"/>
      <c r="C10164" s="374"/>
      <c r="CV10164" s="376"/>
    </row>
    <row r="10165" spans="1:100">
      <c r="A10165" s="374"/>
      <c r="C10165" s="374"/>
      <c r="CV10165" s="376"/>
    </row>
    <row r="10166" spans="1:100">
      <c r="A10166" s="374"/>
      <c r="C10166" s="374"/>
      <c r="CV10166" s="376"/>
    </row>
    <row r="10167" spans="1:100">
      <c r="A10167" s="374"/>
      <c r="C10167" s="374"/>
      <c r="CV10167" s="376"/>
    </row>
    <row r="10168" spans="1:100">
      <c r="A10168" s="374"/>
      <c r="C10168" s="374"/>
      <c r="CV10168" s="376"/>
    </row>
    <row r="10169" spans="1:100">
      <c r="A10169" s="374"/>
      <c r="C10169" s="374"/>
      <c r="CV10169" s="376"/>
    </row>
    <row r="10170" spans="1:100">
      <c r="A10170" s="374"/>
      <c r="C10170" s="374"/>
      <c r="CV10170" s="376"/>
    </row>
    <row r="10171" spans="1:100">
      <c r="A10171" s="374"/>
      <c r="C10171" s="374"/>
      <c r="CV10171" s="376"/>
    </row>
    <row r="10172" spans="1:100">
      <c r="A10172" s="374"/>
      <c r="C10172" s="374"/>
      <c r="CV10172" s="376"/>
    </row>
    <row r="10173" spans="1:100">
      <c r="A10173" s="374"/>
      <c r="C10173" s="374"/>
      <c r="CV10173" s="376"/>
    </row>
    <row r="10174" spans="1:100">
      <c r="A10174" s="374"/>
      <c r="C10174" s="374"/>
      <c r="CV10174" s="376"/>
    </row>
    <row r="10175" spans="1:100">
      <c r="A10175" s="374"/>
      <c r="C10175" s="374"/>
      <c r="CV10175" s="376"/>
    </row>
    <row r="10176" spans="1:100">
      <c r="A10176" s="374"/>
      <c r="C10176" s="374"/>
      <c r="CV10176" s="376"/>
    </row>
    <row r="10177" spans="1:100">
      <c r="A10177" s="374"/>
      <c r="C10177" s="374"/>
      <c r="CV10177" s="376"/>
    </row>
    <row r="10178" spans="1:100">
      <c r="A10178" s="374"/>
      <c r="C10178" s="374"/>
      <c r="CV10178" s="376"/>
    </row>
    <row r="10179" spans="1:100">
      <c r="A10179" s="374"/>
      <c r="C10179" s="374"/>
      <c r="CV10179" s="376"/>
    </row>
    <row r="10180" spans="1:100">
      <c r="A10180" s="374"/>
      <c r="C10180" s="374"/>
      <c r="CV10180" s="376"/>
    </row>
    <row r="10181" spans="1:100">
      <c r="A10181" s="374"/>
      <c r="C10181" s="374"/>
      <c r="CV10181" s="376"/>
    </row>
    <row r="10182" spans="1:100">
      <c r="A10182" s="374"/>
      <c r="C10182" s="374"/>
      <c r="CV10182" s="376"/>
    </row>
    <row r="10183" spans="1:100">
      <c r="A10183" s="374"/>
      <c r="C10183" s="374"/>
      <c r="CV10183" s="376"/>
    </row>
    <row r="10184" spans="1:100">
      <c r="A10184" s="374"/>
      <c r="C10184" s="374"/>
      <c r="CV10184" s="376"/>
    </row>
    <row r="10185" spans="1:100">
      <c r="A10185" s="374"/>
      <c r="C10185" s="374"/>
      <c r="CV10185" s="376"/>
    </row>
    <row r="10186" spans="1:100">
      <c r="A10186" s="374"/>
      <c r="C10186" s="374"/>
      <c r="CV10186" s="376"/>
    </row>
    <row r="10187" spans="1:100">
      <c r="A10187" s="374"/>
      <c r="C10187" s="374"/>
      <c r="CV10187" s="376"/>
    </row>
    <row r="10188" spans="1:100">
      <c r="A10188" s="374"/>
      <c r="C10188" s="374"/>
      <c r="CV10188" s="376"/>
    </row>
    <row r="10189" spans="1:100">
      <c r="A10189" s="374"/>
      <c r="C10189" s="374"/>
      <c r="CV10189" s="376"/>
    </row>
    <row r="10190" spans="1:100">
      <c r="A10190" s="374"/>
      <c r="C10190" s="374"/>
      <c r="CV10190" s="376"/>
    </row>
    <row r="10191" spans="1:100">
      <c r="A10191" s="374"/>
      <c r="C10191" s="374"/>
      <c r="CV10191" s="376"/>
    </row>
    <row r="10192" spans="1:100">
      <c r="A10192" s="374"/>
      <c r="C10192" s="374"/>
      <c r="CV10192" s="376"/>
    </row>
    <row r="10193" spans="1:100">
      <c r="A10193" s="374"/>
      <c r="C10193" s="374"/>
      <c r="CV10193" s="376"/>
    </row>
    <row r="10194" spans="1:100">
      <c r="A10194" s="374"/>
      <c r="C10194" s="374"/>
      <c r="CV10194" s="376"/>
    </row>
    <row r="10195" spans="1:100">
      <c r="A10195" s="374"/>
      <c r="C10195" s="374"/>
      <c r="CV10195" s="376"/>
    </row>
    <row r="10196" spans="1:100">
      <c r="A10196" s="374"/>
      <c r="C10196" s="374"/>
      <c r="CV10196" s="376"/>
    </row>
    <row r="10197" spans="1:100">
      <c r="A10197" s="374"/>
      <c r="C10197" s="374"/>
      <c r="CV10197" s="376"/>
    </row>
    <row r="10198" spans="1:100">
      <c r="A10198" s="374"/>
      <c r="C10198" s="374"/>
      <c r="CV10198" s="376"/>
    </row>
    <row r="10199" spans="1:100">
      <c r="A10199" s="374"/>
      <c r="C10199" s="374"/>
      <c r="CV10199" s="376"/>
    </row>
    <row r="10200" spans="1:100">
      <c r="A10200" s="374"/>
      <c r="C10200" s="374"/>
      <c r="CV10200" s="376"/>
    </row>
    <row r="10201" spans="1:100">
      <c r="A10201" s="374"/>
      <c r="C10201" s="374"/>
      <c r="CV10201" s="376"/>
    </row>
    <row r="10202" spans="1:100">
      <c r="A10202" s="374"/>
      <c r="C10202" s="374"/>
      <c r="CV10202" s="376"/>
    </row>
    <row r="10203" spans="1:100">
      <c r="A10203" s="374"/>
      <c r="C10203" s="374"/>
      <c r="CV10203" s="376"/>
    </row>
    <row r="10204" spans="1:100">
      <c r="A10204" s="374"/>
      <c r="C10204" s="374"/>
      <c r="CV10204" s="376"/>
    </row>
    <row r="10205" spans="1:100">
      <c r="A10205" s="374"/>
      <c r="C10205" s="374"/>
      <c r="CV10205" s="376"/>
    </row>
    <row r="10206" spans="1:100">
      <c r="A10206" s="374"/>
      <c r="C10206" s="374"/>
      <c r="CV10206" s="376"/>
    </row>
    <row r="10207" spans="1:100">
      <c r="A10207" s="374"/>
      <c r="C10207" s="374"/>
      <c r="CV10207" s="376"/>
    </row>
    <row r="10208" spans="1:100">
      <c r="A10208" s="374"/>
      <c r="C10208" s="374"/>
      <c r="CV10208" s="376"/>
    </row>
    <row r="10209" spans="1:100">
      <c r="A10209" s="374"/>
      <c r="C10209" s="374"/>
      <c r="CV10209" s="376"/>
    </row>
    <row r="10210" spans="1:100">
      <c r="A10210" s="374"/>
      <c r="C10210" s="374"/>
      <c r="CV10210" s="376"/>
    </row>
    <row r="10211" spans="1:100">
      <c r="A10211" s="374"/>
      <c r="C10211" s="374"/>
      <c r="CV10211" s="376"/>
    </row>
    <row r="10212" spans="1:100">
      <c r="A10212" s="374"/>
      <c r="C10212" s="374"/>
      <c r="CV10212" s="376"/>
    </row>
    <row r="10213" spans="1:100">
      <c r="A10213" s="374"/>
      <c r="C10213" s="374"/>
      <c r="CV10213" s="376"/>
    </row>
    <row r="10214" spans="1:100">
      <c r="A10214" s="374"/>
      <c r="C10214" s="374"/>
      <c r="CV10214" s="376"/>
    </row>
    <row r="10215" spans="1:100">
      <c r="A10215" s="374"/>
      <c r="C10215" s="374"/>
      <c r="CV10215" s="376"/>
    </row>
    <row r="10216" spans="1:100">
      <c r="A10216" s="374"/>
      <c r="C10216" s="374"/>
      <c r="CV10216" s="376"/>
    </row>
    <row r="10217" spans="1:100">
      <c r="A10217" s="374"/>
      <c r="C10217" s="374"/>
      <c r="CV10217" s="376"/>
    </row>
    <row r="10218" spans="1:100">
      <c r="A10218" s="374"/>
      <c r="C10218" s="374"/>
      <c r="CV10218" s="376"/>
    </row>
    <row r="10219" spans="1:100">
      <c r="A10219" s="374"/>
      <c r="C10219" s="374"/>
      <c r="CV10219" s="376"/>
    </row>
    <row r="10220" spans="1:100">
      <c r="A10220" s="374"/>
      <c r="C10220" s="374"/>
      <c r="CV10220" s="376"/>
    </row>
    <row r="10221" spans="1:100">
      <c r="A10221" s="374"/>
      <c r="C10221" s="374"/>
      <c r="CV10221" s="376"/>
    </row>
    <row r="10222" spans="1:100">
      <c r="A10222" s="374"/>
      <c r="C10222" s="374"/>
      <c r="CV10222" s="376"/>
    </row>
    <row r="10223" spans="1:100">
      <c r="A10223" s="374"/>
      <c r="C10223" s="374"/>
      <c r="CV10223" s="376"/>
    </row>
    <row r="10224" spans="1:100">
      <c r="A10224" s="374"/>
      <c r="C10224" s="374"/>
      <c r="CV10224" s="376"/>
    </row>
    <row r="10225" spans="1:100">
      <c r="A10225" s="374"/>
      <c r="C10225" s="374"/>
      <c r="CV10225" s="376"/>
    </row>
    <row r="10226" spans="1:100">
      <c r="A10226" s="374"/>
      <c r="C10226" s="374"/>
      <c r="CV10226" s="376"/>
    </row>
    <row r="10227" spans="1:100">
      <c r="A10227" s="374"/>
      <c r="C10227" s="374"/>
      <c r="CV10227" s="376"/>
    </row>
    <row r="10228" spans="1:100">
      <c r="A10228" s="374"/>
      <c r="C10228" s="374"/>
      <c r="CV10228" s="376"/>
    </row>
    <row r="10229" spans="1:100">
      <c r="A10229" s="374"/>
      <c r="C10229" s="374"/>
      <c r="CV10229" s="376"/>
    </row>
    <row r="10230" spans="1:100">
      <c r="A10230" s="374"/>
      <c r="C10230" s="374"/>
      <c r="CV10230" s="376"/>
    </row>
    <row r="10231" spans="1:100">
      <c r="A10231" s="374"/>
      <c r="C10231" s="374"/>
      <c r="CV10231" s="376"/>
    </row>
    <row r="10232" spans="1:100">
      <c r="A10232" s="374"/>
      <c r="C10232" s="374"/>
      <c r="CV10232" s="376"/>
    </row>
    <row r="10233" spans="1:100">
      <c r="A10233" s="374"/>
      <c r="C10233" s="374"/>
      <c r="CV10233" s="376"/>
    </row>
    <row r="10234" spans="1:100">
      <c r="A10234" s="374"/>
      <c r="C10234" s="374"/>
      <c r="CV10234" s="376"/>
    </row>
    <row r="10235" spans="1:100">
      <c r="A10235" s="374"/>
      <c r="C10235" s="374"/>
      <c r="CV10235" s="376"/>
    </row>
    <row r="10236" spans="1:100">
      <c r="A10236" s="374"/>
      <c r="C10236" s="374"/>
      <c r="CV10236" s="376"/>
    </row>
    <row r="10237" spans="1:100">
      <c r="A10237" s="374"/>
      <c r="C10237" s="374"/>
      <c r="CV10237" s="376"/>
    </row>
    <row r="10238" spans="1:100">
      <c r="A10238" s="374"/>
      <c r="C10238" s="374"/>
      <c r="CV10238" s="376"/>
    </row>
    <row r="10239" spans="1:100">
      <c r="A10239" s="374"/>
      <c r="C10239" s="374"/>
      <c r="CV10239" s="376"/>
    </row>
    <row r="10240" spans="1:100">
      <c r="A10240" s="374"/>
      <c r="C10240" s="374"/>
      <c r="CV10240" s="376"/>
    </row>
    <row r="10241" spans="1:100">
      <c r="A10241" s="374"/>
      <c r="C10241" s="374"/>
      <c r="CV10241" s="376"/>
    </row>
    <row r="10242" spans="1:100">
      <c r="A10242" s="374"/>
      <c r="C10242" s="374"/>
      <c r="CV10242" s="376"/>
    </row>
    <row r="10243" spans="1:100">
      <c r="A10243" s="374"/>
      <c r="C10243" s="374"/>
      <c r="CV10243" s="376"/>
    </row>
    <row r="10244" spans="1:100">
      <c r="A10244" s="374"/>
      <c r="C10244" s="374"/>
      <c r="CV10244" s="376"/>
    </row>
    <row r="10245" spans="1:100">
      <c r="A10245" s="374"/>
      <c r="C10245" s="374"/>
      <c r="CV10245" s="376"/>
    </row>
    <row r="10246" spans="1:100">
      <c r="A10246" s="374"/>
      <c r="C10246" s="374"/>
      <c r="CV10246" s="376"/>
    </row>
    <row r="10247" spans="1:100">
      <c r="A10247" s="374"/>
      <c r="C10247" s="374"/>
      <c r="CV10247" s="376"/>
    </row>
    <row r="10248" spans="1:100">
      <c r="A10248" s="374"/>
      <c r="C10248" s="374"/>
      <c r="CV10248" s="376"/>
    </row>
    <row r="10249" spans="1:100">
      <c r="A10249" s="374"/>
      <c r="C10249" s="374"/>
      <c r="CV10249" s="376"/>
    </row>
    <row r="10250" spans="1:100">
      <c r="A10250" s="374"/>
      <c r="C10250" s="374"/>
      <c r="CV10250" s="376"/>
    </row>
    <row r="10251" spans="1:100">
      <c r="A10251" s="374"/>
      <c r="C10251" s="374"/>
      <c r="CV10251" s="376"/>
    </row>
    <row r="10252" spans="1:100">
      <c r="A10252" s="374"/>
      <c r="C10252" s="374"/>
      <c r="CV10252" s="376"/>
    </row>
    <row r="10253" spans="1:100">
      <c r="A10253" s="374"/>
      <c r="C10253" s="374"/>
      <c r="CV10253" s="376"/>
    </row>
    <row r="10254" spans="1:100">
      <c r="A10254" s="374"/>
      <c r="C10254" s="374"/>
      <c r="CV10254" s="376"/>
    </row>
    <row r="10255" spans="1:100">
      <c r="A10255" s="374"/>
      <c r="C10255" s="374"/>
      <c r="CV10255" s="376"/>
    </row>
    <row r="10256" spans="1:100">
      <c r="A10256" s="374"/>
      <c r="C10256" s="374"/>
      <c r="CV10256" s="376"/>
    </row>
    <row r="10257" spans="1:100">
      <c r="A10257" s="374"/>
      <c r="C10257" s="374"/>
      <c r="CV10257" s="376"/>
    </row>
    <row r="10258" spans="1:100">
      <c r="A10258" s="374"/>
      <c r="C10258" s="374"/>
      <c r="CV10258" s="376"/>
    </row>
    <row r="10259" spans="1:100">
      <c r="A10259" s="374"/>
      <c r="C10259" s="374"/>
      <c r="CV10259" s="376"/>
    </row>
    <row r="10260" spans="1:100">
      <c r="A10260" s="374"/>
      <c r="C10260" s="374"/>
      <c r="CV10260" s="376"/>
    </row>
    <row r="10261" spans="1:100">
      <c r="A10261" s="374"/>
      <c r="C10261" s="374"/>
      <c r="CV10261" s="376"/>
    </row>
    <row r="10262" spans="1:100">
      <c r="A10262" s="374"/>
      <c r="C10262" s="374"/>
      <c r="CV10262" s="376"/>
    </row>
    <row r="10263" spans="1:100">
      <c r="A10263" s="374"/>
      <c r="C10263" s="374"/>
      <c r="CV10263" s="376"/>
    </row>
    <row r="10264" spans="1:100">
      <c r="A10264" s="374"/>
      <c r="C10264" s="374"/>
      <c r="CV10264" s="376"/>
    </row>
    <row r="10265" spans="1:100">
      <c r="A10265" s="374"/>
      <c r="C10265" s="374"/>
      <c r="CV10265" s="376"/>
    </row>
    <row r="10266" spans="1:100">
      <c r="A10266" s="374"/>
      <c r="C10266" s="374"/>
      <c r="CV10266" s="376"/>
    </row>
    <row r="10267" spans="1:100">
      <c r="A10267" s="374"/>
      <c r="C10267" s="374"/>
      <c r="CV10267" s="376"/>
    </row>
    <row r="10268" spans="1:100">
      <c r="A10268" s="374"/>
      <c r="C10268" s="374"/>
      <c r="CV10268" s="376"/>
    </row>
    <row r="10269" spans="1:100">
      <c r="A10269" s="374"/>
      <c r="C10269" s="374"/>
      <c r="CV10269" s="376"/>
    </row>
    <row r="10270" spans="1:100">
      <c r="A10270" s="374"/>
      <c r="C10270" s="374"/>
      <c r="CV10270" s="376"/>
    </row>
    <row r="10271" spans="1:100">
      <c r="A10271" s="374"/>
      <c r="C10271" s="374"/>
      <c r="CV10271" s="376"/>
    </row>
    <row r="10272" spans="1:100">
      <c r="A10272" s="374"/>
      <c r="C10272" s="374"/>
      <c r="CV10272" s="376"/>
    </row>
    <row r="10273" spans="1:100">
      <c r="A10273" s="374"/>
      <c r="C10273" s="374"/>
      <c r="CV10273" s="376"/>
    </row>
    <row r="10274" spans="1:100">
      <c r="A10274" s="374"/>
      <c r="C10274" s="374"/>
      <c r="CV10274" s="376"/>
    </row>
    <row r="10275" spans="1:100">
      <c r="A10275" s="374"/>
      <c r="C10275" s="374"/>
      <c r="CV10275" s="376"/>
    </row>
    <row r="10276" spans="1:100">
      <c r="A10276" s="374"/>
      <c r="C10276" s="374"/>
      <c r="CV10276" s="376"/>
    </row>
    <row r="10277" spans="1:100">
      <c r="A10277" s="374"/>
      <c r="C10277" s="374"/>
      <c r="CV10277" s="376"/>
    </row>
    <row r="10278" spans="1:100">
      <c r="A10278" s="374"/>
      <c r="C10278" s="374"/>
      <c r="CV10278" s="376"/>
    </row>
    <row r="10279" spans="1:100">
      <c r="A10279" s="374"/>
      <c r="C10279" s="374"/>
      <c r="CV10279" s="376"/>
    </row>
    <row r="10280" spans="1:100">
      <c r="A10280" s="374"/>
      <c r="C10280" s="374"/>
      <c r="CV10280" s="376"/>
    </row>
    <row r="10281" spans="1:100">
      <c r="A10281" s="374"/>
      <c r="C10281" s="374"/>
      <c r="CV10281" s="376"/>
    </row>
    <row r="10282" spans="1:100">
      <c r="A10282" s="374"/>
      <c r="C10282" s="374"/>
      <c r="CV10282" s="376"/>
    </row>
    <row r="10283" spans="1:100">
      <c r="A10283" s="374"/>
      <c r="C10283" s="374"/>
      <c r="CV10283" s="376"/>
    </row>
    <row r="10284" spans="1:100">
      <c r="A10284" s="374"/>
      <c r="C10284" s="374"/>
      <c r="CV10284" s="376"/>
    </row>
    <row r="10285" spans="1:100">
      <c r="A10285" s="374"/>
      <c r="C10285" s="374"/>
      <c r="CV10285" s="376"/>
    </row>
    <row r="10286" spans="1:100">
      <c r="A10286" s="374"/>
      <c r="C10286" s="374"/>
      <c r="CV10286" s="376"/>
    </row>
    <row r="10287" spans="1:100">
      <c r="A10287" s="374"/>
      <c r="C10287" s="374"/>
      <c r="CV10287" s="376"/>
    </row>
    <row r="10288" spans="1:100">
      <c r="A10288" s="374"/>
      <c r="C10288" s="374"/>
      <c r="CV10288" s="376"/>
    </row>
    <row r="10289" spans="1:100">
      <c r="A10289" s="374"/>
      <c r="C10289" s="374"/>
      <c r="CV10289" s="376"/>
    </row>
    <row r="10290" spans="1:100">
      <c r="A10290" s="374"/>
      <c r="C10290" s="374"/>
      <c r="CV10290" s="376"/>
    </row>
    <row r="10291" spans="1:100">
      <c r="A10291" s="374"/>
      <c r="C10291" s="374"/>
      <c r="CV10291" s="376"/>
    </row>
    <row r="10292" spans="1:100">
      <c r="A10292" s="374"/>
      <c r="C10292" s="374"/>
      <c r="CV10292" s="376"/>
    </row>
    <row r="10293" spans="1:100">
      <c r="A10293" s="374"/>
      <c r="C10293" s="374"/>
      <c r="CV10293" s="376"/>
    </row>
    <row r="10294" spans="1:100">
      <c r="A10294" s="374"/>
      <c r="C10294" s="374"/>
      <c r="CV10294" s="376"/>
    </row>
    <row r="10295" spans="1:100">
      <c r="A10295" s="374"/>
      <c r="C10295" s="374"/>
      <c r="CV10295" s="376"/>
    </row>
    <row r="10296" spans="1:100">
      <c r="A10296" s="374"/>
      <c r="C10296" s="374"/>
      <c r="CV10296" s="376"/>
    </row>
    <row r="10297" spans="1:100">
      <c r="A10297" s="374"/>
      <c r="C10297" s="374"/>
      <c r="CV10297" s="376"/>
    </row>
    <row r="10298" spans="1:100">
      <c r="A10298" s="374"/>
      <c r="C10298" s="374"/>
      <c r="CV10298" s="376"/>
    </row>
    <row r="10299" spans="1:100">
      <c r="A10299" s="374"/>
      <c r="C10299" s="374"/>
      <c r="CV10299" s="376"/>
    </row>
    <row r="10300" spans="1:100">
      <c r="A10300" s="374"/>
      <c r="C10300" s="374"/>
      <c r="CV10300" s="376"/>
    </row>
    <row r="10301" spans="1:100">
      <c r="A10301" s="374"/>
      <c r="C10301" s="374"/>
      <c r="CV10301" s="376"/>
    </row>
    <row r="10302" spans="1:100">
      <c r="A10302" s="374"/>
      <c r="C10302" s="374"/>
      <c r="CV10302" s="376"/>
    </row>
    <row r="10303" spans="1:100">
      <c r="A10303" s="374"/>
      <c r="C10303" s="374"/>
      <c r="CV10303" s="376"/>
    </row>
    <row r="10304" spans="1:100">
      <c r="A10304" s="374"/>
      <c r="C10304" s="374"/>
      <c r="CV10304" s="376"/>
    </row>
    <row r="10305" spans="1:100">
      <c r="A10305" s="374"/>
      <c r="C10305" s="374"/>
      <c r="CV10305" s="376"/>
    </row>
    <row r="10306" spans="1:100">
      <c r="A10306" s="374"/>
      <c r="C10306" s="374"/>
      <c r="CV10306" s="376"/>
    </row>
    <row r="10307" spans="1:100">
      <c r="A10307" s="374"/>
      <c r="C10307" s="374"/>
      <c r="CV10307" s="376"/>
    </row>
    <row r="10308" spans="1:100">
      <c r="A10308" s="374"/>
      <c r="C10308" s="374"/>
      <c r="CV10308" s="376"/>
    </row>
    <row r="10309" spans="1:100">
      <c r="A10309" s="374"/>
      <c r="C10309" s="374"/>
      <c r="CV10309" s="376"/>
    </row>
    <row r="10310" spans="1:100">
      <c r="A10310" s="374"/>
      <c r="C10310" s="374"/>
      <c r="CV10310" s="376"/>
    </row>
    <row r="10311" spans="1:100">
      <c r="A10311" s="374"/>
      <c r="C10311" s="374"/>
      <c r="CV10311" s="376"/>
    </row>
    <row r="10312" spans="1:100">
      <c r="A10312" s="374"/>
      <c r="C10312" s="374"/>
      <c r="CV10312" s="376"/>
    </row>
    <row r="10313" spans="1:100">
      <c r="A10313" s="374"/>
      <c r="C10313" s="374"/>
      <c r="CV10313" s="376"/>
    </row>
    <row r="10314" spans="1:100">
      <c r="A10314" s="374"/>
      <c r="C10314" s="374"/>
      <c r="CV10314" s="376"/>
    </row>
    <row r="10315" spans="1:100">
      <c r="A10315" s="374"/>
      <c r="C10315" s="374"/>
      <c r="CV10315" s="376"/>
    </row>
    <row r="10316" spans="1:100">
      <c r="A10316" s="374"/>
      <c r="C10316" s="374"/>
      <c r="CV10316" s="376"/>
    </row>
    <row r="10317" spans="1:100">
      <c r="A10317" s="374"/>
      <c r="C10317" s="374"/>
      <c r="CV10317" s="376"/>
    </row>
    <row r="10318" spans="1:100">
      <c r="A10318" s="374"/>
      <c r="C10318" s="374"/>
      <c r="CV10318" s="376"/>
    </row>
    <row r="10319" spans="1:100">
      <c r="A10319" s="374"/>
      <c r="C10319" s="374"/>
      <c r="CV10319" s="376"/>
    </row>
    <row r="10320" spans="1:100">
      <c r="A10320" s="374"/>
      <c r="C10320" s="374"/>
      <c r="CV10320" s="376"/>
    </row>
    <row r="10321" spans="1:100">
      <c r="A10321" s="374"/>
      <c r="C10321" s="374"/>
      <c r="CV10321" s="376"/>
    </row>
    <row r="10322" spans="1:100">
      <c r="A10322" s="374"/>
      <c r="C10322" s="374"/>
      <c r="CV10322" s="376"/>
    </row>
    <row r="10323" spans="1:100">
      <c r="A10323" s="374"/>
      <c r="C10323" s="374"/>
      <c r="CV10323" s="376"/>
    </row>
    <row r="10324" spans="1:100">
      <c r="A10324" s="374"/>
      <c r="C10324" s="374"/>
      <c r="CV10324" s="376"/>
    </row>
    <row r="10325" spans="1:100">
      <c r="A10325" s="374"/>
      <c r="C10325" s="374"/>
      <c r="CV10325" s="376"/>
    </row>
    <row r="10326" spans="1:100">
      <c r="A10326" s="374"/>
      <c r="C10326" s="374"/>
      <c r="CV10326" s="376"/>
    </row>
    <row r="10327" spans="1:100">
      <c r="A10327" s="374"/>
      <c r="C10327" s="374"/>
      <c r="CV10327" s="376"/>
    </row>
    <row r="10328" spans="1:100">
      <c r="A10328" s="374"/>
      <c r="C10328" s="374"/>
      <c r="CV10328" s="376"/>
    </row>
    <row r="10329" spans="1:100">
      <c r="A10329" s="374"/>
      <c r="C10329" s="374"/>
      <c r="CV10329" s="376"/>
    </row>
    <row r="10330" spans="1:100">
      <c r="A10330" s="374"/>
      <c r="C10330" s="374"/>
      <c r="CV10330" s="376"/>
    </row>
    <row r="10331" spans="1:100">
      <c r="A10331" s="374"/>
      <c r="C10331" s="374"/>
      <c r="CV10331" s="376"/>
    </row>
    <row r="10332" spans="1:100">
      <c r="A10332" s="374"/>
      <c r="C10332" s="374"/>
      <c r="CV10332" s="376"/>
    </row>
    <row r="10333" spans="1:100">
      <c r="A10333" s="374"/>
      <c r="C10333" s="374"/>
      <c r="CV10333" s="376"/>
    </row>
    <row r="10334" spans="1:100">
      <c r="A10334" s="374"/>
      <c r="C10334" s="374"/>
      <c r="CV10334" s="376"/>
    </row>
    <row r="10335" spans="1:100">
      <c r="A10335" s="374"/>
      <c r="C10335" s="374"/>
      <c r="CV10335" s="376"/>
    </row>
    <row r="10336" spans="1:100">
      <c r="A10336" s="374"/>
      <c r="C10336" s="374"/>
      <c r="CV10336" s="376"/>
    </row>
    <row r="10337" spans="1:100">
      <c r="A10337" s="374"/>
      <c r="C10337" s="374"/>
      <c r="CV10337" s="376"/>
    </row>
    <row r="10338" spans="1:100">
      <c r="A10338" s="374"/>
      <c r="C10338" s="374"/>
      <c r="CV10338" s="376"/>
    </row>
    <row r="10339" spans="1:100">
      <c r="A10339" s="374"/>
      <c r="C10339" s="374"/>
      <c r="CV10339" s="376"/>
    </row>
    <row r="10340" spans="1:100">
      <c r="A10340" s="374"/>
      <c r="C10340" s="374"/>
      <c r="CV10340" s="376"/>
    </row>
    <row r="10341" spans="1:100">
      <c r="A10341" s="374"/>
      <c r="C10341" s="374"/>
      <c r="CV10341" s="376"/>
    </row>
    <row r="10342" spans="1:100">
      <c r="A10342" s="374"/>
      <c r="C10342" s="374"/>
      <c r="CV10342" s="376"/>
    </row>
    <row r="10343" spans="1:100">
      <c r="A10343" s="374"/>
      <c r="C10343" s="374"/>
      <c r="CV10343" s="376"/>
    </row>
    <row r="10344" spans="1:100">
      <c r="A10344" s="374"/>
      <c r="C10344" s="374"/>
      <c r="CV10344" s="376"/>
    </row>
    <row r="10345" spans="1:100">
      <c r="A10345" s="374"/>
      <c r="C10345" s="374"/>
      <c r="CV10345" s="376"/>
    </row>
    <row r="10346" spans="1:100">
      <c r="A10346" s="374"/>
      <c r="C10346" s="374"/>
      <c r="CV10346" s="376"/>
    </row>
    <row r="10347" spans="1:100">
      <c r="A10347" s="374"/>
      <c r="C10347" s="374"/>
      <c r="CV10347" s="376"/>
    </row>
    <row r="10348" spans="1:100">
      <c r="A10348" s="374"/>
      <c r="C10348" s="374"/>
      <c r="CV10348" s="376"/>
    </row>
    <row r="10349" spans="1:100">
      <c r="A10349" s="374"/>
      <c r="C10349" s="374"/>
      <c r="CV10349" s="376"/>
    </row>
    <row r="10350" spans="1:100">
      <c r="A10350" s="374"/>
      <c r="C10350" s="374"/>
      <c r="CV10350" s="376"/>
    </row>
    <row r="10351" spans="1:100">
      <c r="A10351" s="374"/>
      <c r="C10351" s="374"/>
      <c r="CV10351" s="376"/>
    </row>
    <row r="10352" spans="1:100">
      <c r="A10352" s="374"/>
      <c r="C10352" s="374"/>
      <c r="CV10352" s="376"/>
    </row>
    <row r="10353" spans="1:100">
      <c r="A10353" s="374"/>
      <c r="C10353" s="374"/>
      <c r="CV10353" s="376"/>
    </row>
    <row r="10354" spans="1:100">
      <c r="A10354" s="374"/>
      <c r="C10354" s="374"/>
      <c r="CV10354" s="376"/>
    </row>
    <row r="10355" spans="1:100">
      <c r="A10355" s="374"/>
      <c r="C10355" s="374"/>
      <c r="CV10355" s="376"/>
    </row>
    <row r="10356" spans="1:100">
      <c r="A10356" s="374"/>
      <c r="C10356" s="374"/>
      <c r="CV10356" s="376"/>
    </row>
    <row r="10357" spans="1:100">
      <c r="A10357" s="374"/>
      <c r="C10357" s="374"/>
      <c r="CV10357" s="376"/>
    </row>
    <row r="10358" spans="1:100">
      <c r="A10358" s="374"/>
      <c r="C10358" s="374"/>
      <c r="CV10358" s="376"/>
    </row>
    <row r="10359" spans="1:100">
      <c r="A10359" s="374"/>
      <c r="C10359" s="374"/>
      <c r="CV10359" s="376"/>
    </row>
    <row r="10360" spans="1:100">
      <c r="A10360" s="374"/>
      <c r="C10360" s="374"/>
      <c r="CV10360" s="376"/>
    </row>
    <row r="10361" spans="1:100">
      <c r="A10361" s="374"/>
      <c r="C10361" s="374"/>
      <c r="CV10361" s="376"/>
    </row>
    <row r="10362" spans="1:100">
      <c r="A10362" s="374"/>
      <c r="C10362" s="374"/>
      <c r="CV10362" s="376"/>
    </row>
    <row r="10363" spans="1:100">
      <c r="A10363" s="374"/>
      <c r="C10363" s="374"/>
      <c r="CV10363" s="376"/>
    </row>
    <row r="10364" spans="1:100">
      <c r="A10364" s="374"/>
      <c r="C10364" s="374"/>
      <c r="CV10364" s="376"/>
    </row>
    <row r="10365" spans="1:100">
      <c r="A10365" s="374"/>
      <c r="C10365" s="374"/>
      <c r="CV10365" s="376"/>
    </row>
    <row r="10366" spans="1:100">
      <c r="A10366" s="374"/>
      <c r="C10366" s="374"/>
      <c r="CV10366" s="376"/>
    </row>
    <row r="10367" spans="1:100">
      <c r="A10367" s="374"/>
      <c r="C10367" s="374"/>
      <c r="CV10367" s="376"/>
    </row>
    <row r="10368" spans="1:100">
      <c r="A10368" s="374"/>
      <c r="C10368" s="374"/>
      <c r="CV10368" s="376"/>
    </row>
    <row r="10369" spans="1:100">
      <c r="A10369" s="374"/>
      <c r="C10369" s="374"/>
      <c r="CV10369" s="376"/>
    </row>
    <row r="10370" spans="1:100">
      <c r="A10370" s="374"/>
      <c r="C10370" s="374"/>
      <c r="CV10370" s="376"/>
    </row>
    <row r="10371" spans="1:100">
      <c r="A10371" s="374"/>
      <c r="C10371" s="374"/>
      <c r="CV10371" s="376"/>
    </row>
    <row r="10372" spans="1:100">
      <c r="A10372" s="374"/>
      <c r="C10372" s="374"/>
      <c r="CV10372" s="376"/>
    </row>
    <row r="10373" spans="1:100">
      <c r="A10373" s="374"/>
      <c r="C10373" s="374"/>
      <c r="CV10373" s="376"/>
    </row>
    <row r="10374" spans="1:100">
      <c r="A10374" s="374"/>
      <c r="C10374" s="374"/>
      <c r="CV10374" s="376"/>
    </row>
    <row r="10375" spans="1:100">
      <c r="A10375" s="374"/>
      <c r="C10375" s="374"/>
      <c r="CV10375" s="376"/>
    </row>
    <row r="10376" spans="1:100">
      <c r="A10376" s="374"/>
      <c r="C10376" s="374"/>
      <c r="CV10376" s="376"/>
    </row>
    <row r="10377" spans="1:100">
      <c r="A10377" s="374"/>
      <c r="C10377" s="374"/>
      <c r="CV10377" s="376"/>
    </row>
    <row r="10378" spans="1:100">
      <c r="A10378" s="374"/>
      <c r="C10378" s="374"/>
      <c r="CV10378" s="376"/>
    </row>
    <row r="10379" spans="1:100">
      <c r="A10379" s="374"/>
      <c r="C10379" s="374"/>
      <c r="CV10379" s="376"/>
    </row>
    <row r="10380" spans="1:100">
      <c r="A10380" s="374"/>
      <c r="C10380" s="374"/>
      <c r="CV10380" s="376"/>
    </row>
    <row r="10381" spans="1:100">
      <c r="A10381" s="374"/>
      <c r="C10381" s="374"/>
      <c r="CV10381" s="376"/>
    </row>
    <row r="10382" spans="1:100">
      <c r="A10382" s="374"/>
      <c r="C10382" s="374"/>
      <c r="CV10382" s="376"/>
    </row>
    <row r="10383" spans="1:100">
      <c r="A10383" s="374"/>
      <c r="C10383" s="374"/>
      <c r="CV10383" s="376"/>
    </row>
    <row r="10384" spans="1:100">
      <c r="A10384" s="374"/>
      <c r="C10384" s="374"/>
      <c r="CV10384" s="376"/>
    </row>
    <row r="10385" spans="1:100">
      <c r="A10385" s="374"/>
      <c r="C10385" s="374"/>
      <c r="CV10385" s="376"/>
    </row>
    <row r="10386" spans="1:100">
      <c r="A10386" s="374"/>
      <c r="C10386" s="374"/>
      <c r="CV10386" s="376"/>
    </row>
    <row r="10387" spans="1:100">
      <c r="A10387" s="374"/>
      <c r="C10387" s="374"/>
      <c r="CV10387" s="376"/>
    </row>
    <row r="10388" spans="1:100">
      <c r="A10388" s="374"/>
      <c r="C10388" s="374"/>
      <c r="CV10388" s="376"/>
    </row>
    <row r="10389" spans="1:100">
      <c r="A10389" s="374"/>
      <c r="C10389" s="374"/>
      <c r="CV10389" s="376"/>
    </row>
    <row r="10390" spans="1:100">
      <c r="A10390" s="374"/>
      <c r="C10390" s="374"/>
      <c r="CV10390" s="376"/>
    </row>
    <row r="10391" spans="1:100">
      <c r="A10391" s="374"/>
      <c r="C10391" s="374"/>
      <c r="CV10391" s="376"/>
    </row>
    <row r="10392" spans="1:100">
      <c r="A10392" s="374"/>
      <c r="C10392" s="374"/>
      <c r="CV10392" s="376"/>
    </row>
    <row r="10393" spans="1:100">
      <c r="A10393" s="374"/>
      <c r="C10393" s="374"/>
      <c r="CV10393" s="376"/>
    </row>
    <row r="10394" spans="1:100">
      <c r="A10394" s="374"/>
      <c r="C10394" s="374"/>
      <c r="CV10394" s="376"/>
    </row>
    <row r="10395" spans="1:100">
      <c r="A10395" s="374"/>
      <c r="C10395" s="374"/>
      <c r="CV10395" s="376"/>
    </row>
    <row r="10396" spans="1:100">
      <c r="A10396" s="374"/>
      <c r="C10396" s="374"/>
      <c r="CV10396" s="376"/>
    </row>
    <row r="10397" spans="1:100">
      <c r="A10397" s="374"/>
      <c r="C10397" s="374"/>
      <c r="CV10397" s="376"/>
    </row>
    <row r="10398" spans="1:100">
      <c r="A10398" s="374"/>
      <c r="C10398" s="374"/>
      <c r="CV10398" s="376"/>
    </row>
    <row r="10399" spans="1:100">
      <c r="A10399" s="374"/>
      <c r="C10399" s="374"/>
      <c r="CV10399" s="376"/>
    </row>
    <row r="10400" spans="1:100">
      <c r="A10400" s="374"/>
      <c r="C10400" s="374"/>
      <c r="CV10400" s="376"/>
    </row>
    <row r="10401" spans="1:100">
      <c r="A10401" s="374"/>
      <c r="C10401" s="374"/>
      <c r="CV10401" s="376"/>
    </row>
    <row r="10402" spans="1:100">
      <c r="A10402" s="374"/>
      <c r="C10402" s="374"/>
      <c r="CV10402" s="376"/>
    </row>
    <row r="10403" spans="1:100">
      <c r="A10403" s="374"/>
      <c r="C10403" s="374"/>
      <c r="CV10403" s="376"/>
    </row>
    <row r="10404" spans="1:100">
      <c r="A10404" s="374"/>
      <c r="C10404" s="374"/>
      <c r="CV10404" s="376"/>
    </row>
    <row r="10405" spans="1:100">
      <c r="A10405" s="374"/>
      <c r="C10405" s="374"/>
      <c r="CV10405" s="376"/>
    </row>
    <row r="10406" spans="1:100">
      <c r="A10406" s="374"/>
      <c r="C10406" s="374"/>
      <c r="CV10406" s="376"/>
    </row>
    <row r="10407" spans="1:100">
      <c r="A10407" s="374"/>
      <c r="C10407" s="374"/>
      <c r="CV10407" s="376"/>
    </row>
    <row r="10408" spans="1:100">
      <c r="A10408" s="374"/>
      <c r="C10408" s="374"/>
      <c r="CV10408" s="376"/>
    </row>
    <row r="10409" spans="1:100">
      <c r="A10409" s="374"/>
      <c r="C10409" s="374"/>
      <c r="CV10409" s="376"/>
    </row>
    <row r="10410" spans="1:100">
      <c r="A10410" s="374"/>
      <c r="C10410" s="374"/>
      <c r="CV10410" s="376"/>
    </row>
    <row r="10411" spans="1:100">
      <c r="A10411" s="374"/>
      <c r="C10411" s="374"/>
      <c r="CV10411" s="376"/>
    </row>
    <row r="10412" spans="1:100">
      <c r="A10412" s="374"/>
      <c r="C10412" s="374"/>
      <c r="CV10412" s="376"/>
    </row>
    <row r="10413" spans="1:100">
      <c r="A10413" s="374"/>
      <c r="C10413" s="374"/>
      <c r="CV10413" s="376"/>
    </row>
    <row r="10414" spans="1:100">
      <c r="A10414" s="374"/>
      <c r="C10414" s="374"/>
      <c r="CV10414" s="376"/>
    </row>
    <row r="10415" spans="1:100">
      <c r="A10415" s="374"/>
      <c r="C10415" s="374"/>
      <c r="CV10415" s="376"/>
    </row>
    <row r="10416" spans="1:100">
      <c r="A10416" s="374"/>
      <c r="C10416" s="374"/>
      <c r="CV10416" s="376"/>
    </row>
    <row r="10417" spans="1:100">
      <c r="A10417" s="374"/>
      <c r="C10417" s="374"/>
      <c r="CV10417" s="376"/>
    </row>
    <row r="10418" spans="1:100">
      <c r="A10418" s="374"/>
      <c r="C10418" s="374"/>
      <c r="CV10418" s="376"/>
    </row>
    <row r="10419" spans="1:100">
      <c r="A10419" s="374"/>
      <c r="C10419" s="374"/>
      <c r="CV10419" s="376"/>
    </row>
    <row r="10420" spans="1:100">
      <c r="A10420" s="374"/>
      <c r="C10420" s="374"/>
      <c r="CV10420" s="376"/>
    </row>
    <row r="10421" spans="1:100">
      <c r="A10421" s="374"/>
      <c r="C10421" s="374"/>
      <c r="CV10421" s="376"/>
    </row>
    <row r="10422" spans="1:100">
      <c r="A10422" s="374"/>
      <c r="C10422" s="374"/>
      <c r="CV10422" s="376"/>
    </row>
    <row r="10423" spans="1:100">
      <c r="A10423" s="374"/>
      <c r="C10423" s="374"/>
      <c r="CV10423" s="376"/>
    </row>
    <row r="10424" spans="1:100">
      <c r="A10424" s="374"/>
      <c r="C10424" s="374"/>
      <c r="CV10424" s="376"/>
    </row>
    <row r="10425" spans="1:100">
      <c r="A10425" s="374"/>
      <c r="C10425" s="374"/>
      <c r="CV10425" s="376"/>
    </row>
    <row r="10426" spans="1:100">
      <c r="A10426" s="374"/>
      <c r="C10426" s="374"/>
      <c r="CV10426" s="376"/>
    </row>
    <row r="10427" spans="1:100">
      <c r="A10427" s="374"/>
      <c r="C10427" s="374"/>
      <c r="CV10427" s="376"/>
    </row>
    <row r="10428" spans="1:100">
      <c r="A10428" s="374"/>
      <c r="C10428" s="374"/>
      <c r="CV10428" s="376"/>
    </row>
    <row r="10429" spans="1:100">
      <c r="A10429" s="374"/>
      <c r="C10429" s="374"/>
      <c r="CV10429" s="376"/>
    </row>
    <row r="10430" spans="1:100">
      <c r="A10430" s="374"/>
      <c r="C10430" s="374"/>
      <c r="CV10430" s="376"/>
    </row>
    <row r="10431" spans="1:100">
      <c r="A10431" s="374"/>
      <c r="C10431" s="374"/>
      <c r="CV10431" s="376"/>
    </row>
    <row r="10432" spans="1:100">
      <c r="A10432" s="374"/>
      <c r="C10432" s="374"/>
      <c r="CV10432" s="376"/>
    </row>
    <row r="10433" spans="1:100">
      <c r="A10433" s="374"/>
      <c r="C10433" s="374"/>
      <c r="CV10433" s="376"/>
    </row>
    <row r="10434" spans="1:100">
      <c r="A10434" s="374"/>
      <c r="C10434" s="374"/>
      <c r="CV10434" s="376"/>
    </row>
    <row r="10435" spans="1:100">
      <c r="A10435" s="374"/>
      <c r="C10435" s="374"/>
      <c r="CV10435" s="376"/>
    </row>
    <row r="10436" spans="1:100">
      <c r="A10436" s="374"/>
      <c r="C10436" s="374"/>
      <c r="CV10436" s="376"/>
    </row>
    <row r="10437" spans="1:100">
      <c r="A10437" s="374"/>
      <c r="C10437" s="374"/>
      <c r="CV10437" s="376"/>
    </row>
    <row r="10438" spans="1:100">
      <c r="A10438" s="374"/>
      <c r="C10438" s="374"/>
      <c r="CV10438" s="376"/>
    </row>
    <row r="10439" spans="1:100">
      <c r="A10439" s="374"/>
      <c r="C10439" s="374"/>
      <c r="CV10439" s="376"/>
    </row>
    <row r="10440" spans="1:100">
      <c r="A10440" s="374"/>
      <c r="C10440" s="374"/>
      <c r="CV10440" s="376"/>
    </row>
    <row r="10441" spans="1:100">
      <c r="A10441" s="374"/>
      <c r="C10441" s="374"/>
      <c r="CV10441" s="376"/>
    </row>
    <row r="10442" spans="1:100">
      <c r="A10442" s="374"/>
      <c r="C10442" s="374"/>
      <c r="CV10442" s="376"/>
    </row>
    <row r="10443" spans="1:100">
      <c r="A10443" s="374"/>
      <c r="C10443" s="374"/>
      <c r="CV10443" s="376"/>
    </row>
    <row r="10444" spans="1:100">
      <c r="A10444" s="374"/>
      <c r="C10444" s="374"/>
      <c r="CV10444" s="376"/>
    </row>
    <row r="10445" spans="1:100">
      <c r="A10445" s="374"/>
      <c r="C10445" s="374"/>
      <c r="CV10445" s="376"/>
    </row>
    <row r="10446" spans="1:100">
      <c r="A10446" s="374"/>
      <c r="C10446" s="374"/>
      <c r="CV10446" s="376"/>
    </row>
    <row r="10447" spans="1:100">
      <c r="A10447" s="374"/>
      <c r="C10447" s="374"/>
      <c r="CV10447" s="376"/>
    </row>
    <row r="10448" spans="1:100">
      <c r="A10448" s="374"/>
      <c r="C10448" s="374"/>
      <c r="CV10448" s="376"/>
    </row>
    <row r="10449" spans="1:100">
      <c r="A10449" s="374"/>
      <c r="C10449" s="374"/>
      <c r="CV10449" s="376"/>
    </row>
    <row r="10450" spans="1:100">
      <c r="A10450" s="374"/>
      <c r="C10450" s="374"/>
      <c r="CV10450" s="376"/>
    </row>
    <row r="10451" spans="1:100">
      <c r="A10451" s="374"/>
      <c r="C10451" s="374"/>
      <c r="CV10451" s="376"/>
    </row>
    <row r="10452" spans="1:100">
      <c r="A10452" s="374"/>
      <c r="C10452" s="374"/>
      <c r="CV10452" s="376"/>
    </row>
    <row r="10453" spans="1:100">
      <c r="A10453" s="374"/>
      <c r="C10453" s="374"/>
      <c r="CV10453" s="376"/>
    </row>
    <row r="10454" spans="1:100">
      <c r="A10454" s="374"/>
      <c r="C10454" s="374"/>
      <c r="CV10454" s="376"/>
    </row>
    <row r="10455" spans="1:100">
      <c r="A10455" s="374"/>
      <c r="C10455" s="374"/>
      <c r="CV10455" s="376"/>
    </row>
    <row r="10456" spans="1:100">
      <c r="A10456" s="374"/>
      <c r="C10456" s="374"/>
      <c r="CV10456" s="376"/>
    </row>
    <row r="10457" spans="1:100">
      <c r="A10457" s="374"/>
      <c r="C10457" s="374"/>
      <c r="CV10457" s="376"/>
    </row>
    <row r="10458" spans="1:100">
      <c r="A10458" s="374"/>
      <c r="C10458" s="374"/>
      <c r="CV10458" s="376"/>
    </row>
    <row r="10459" spans="1:100">
      <c r="A10459" s="374"/>
      <c r="C10459" s="374"/>
      <c r="CV10459" s="376"/>
    </row>
    <row r="10460" spans="1:100">
      <c r="A10460" s="374"/>
      <c r="C10460" s="374"/>
      <c r="CV10460" s="376"/>
    </row>
    <row r="10461" spans="1:100">
      <c r="A10461" s="374"/>
      <c r="C10461" s="374"/>
      <c r="CV10461" s="376"/>
    </row>
    <row r="10462" spans="1:100">
      <c r="A10462" s="374"/>
      <c r="C10462" s="374"/>
      <c r="CV10462" s="376"/>
    </row>
    <row r="10463" spans="1:100">
      <c r="A10463" s="374"/>
      <c r="C10463" s="374"/>
      <c r="CV10463" s="376"/>
    </row>
    <row r="10464" spans="1:100">
      <c r="A10464" s="374"/>
      <c r="C10464" s="374"/>
      <c r="CV10464" s="376"/>
    </row>
    <row r="10465" spans="1:100">
      <c r="A10465" s="374"/>
      <c r="C10465" s="374"/>
      <c r="CV10465" s="376"/>
    </row>
    <row r="10466" spans="1:100">
      <c r="A10466" s="374"/>
      <c r="C10466" s="374"/>
      <c r="CV10466" s="376"/>
    </row>
    <row r="10467" spans="1:100">
      <c r="A10467" s="374"/>
      <c r="C10467" s="374"/>
      <c r="CV10467" s="376"/>
    </row>
    <row r="10468" spans="1:100">
      <c r="A10468" s="374"/>
      <c r="C10468" s="374"/>
      <c r="CV10468" s="376"/>
    </row>
    <row r="10469" spans="1:100">
      <c r="A10469" s="374"/>
      <c r="C10469" s="374"/>
      <c r="CV10469" s="376"/>
    </row>
    <row r="10470" spans="1:100">
      <c r="A10470" s="374"/>
      <c r="C10470" s="374"/>
      <c r="CV10470" s="376"/>
    </row>
    <row r="10471" spans="1:100">
      <c r="A10471" s="374"/>
      <c r="C10471" s="374"/>
      <c r="CV10471" s="376"/>
    </row>
    <row r="10472" spans="1:100">
      <c r="A10472" s="374"/>
      <c r="C10472" s="374"/>
      <c r="CV10472" s="376"/>
    </row>
    <row r="10473" spans="1:100">
      <c r="A10473" s="374"/>
      <c r="C10473" s="374"/>
      <c r="CV10473" s="376"/>
    </row>
    <row r="10474" spans="1:100">
      <c r="A10474" s="374"/>
      <c r="C10474" s="374"/>
      <c r="CV10474" s="376"/>
    </row>
    <row r="10475" spans="1:100">
      <c r="A10475" s="374"/>
      <c r="C10475" s="374"/>
      <c r="CV10475" s="376"/>
    </row>
    <row r="10476" spans="1:100">
      <c r="A10476" s="374"/>
      <c r="C10476" s="374"/>
      <c r="CV10476" s="376"/>
    </row>
    <row r="10477" spans="1:100">
      <c r="A10477" s="374"/>
      <c r="C10477" s="374"/>
      <c r="CV10477" s="376"/>
    </row>
    <row r="10478" spans="1:100">
      <c r="A10478" s="374"/>
      <c r="C10478" s="374"/>
      <c r="CV10478" s="376"/>
    </row>
    <row r="10479" spans="1:100">
      <c r="A10479" s="374"/>
      <c r="C10479" s="374"/>
      <c r="CV10479" s="376"/>
    </row>
    <row r="10480" spans="1:100">
      <c r="A10480" s="374"/>
      <c r="C10480" s="374"/>
      <c r="CV10480" s="376"/>
    </row>
    <row r="10481" spans="1:100">
      <c r="A10481" s="374"/>
      <c r="C10481" s="374"/>
      <c r="CV10481" s="376"/>
    </row>
    <row r="10482" spans="1:100">
      <c r="A10482" s="374"/>
      <c r="C10482" s="374"/>
      <c r="CV10482" s="376"/>
    </row>
    <row r="10483" spans="1:100">
      <c r="A10483" s="374"/>
      <c r="C10483" s="374"/>
      <c r="CV10483" s="376"/>
    </row>
    <row r="10484" spans="1:100">
      <c r="A10484" s="374"/>
      <c r="C10484" s="374"/>
      <c r="CV10484" s="376"/>
    </row>
    <row r="10485" spans="1:100">
      <c r="A10485" s="374"/>
      <c r="C10485" s="374"/>
      <c r="CV10485" s="376"/>
    </row>
    <row r="10486" spans="1:100">
      <c r="A10486" s="374"/>
      <c r="C10486" s="374"/>
      <c r="CV10486" s="376"/>
    </row>
    <row r="10487" spans="1:100">
      <c r="A10487" s="374"/>
      <c r="C10487" s="374"/>
      <c r="CV10487" s="376"/>
    </row>
    <row r="10488" spans="1:100">
      <c r="A10488" s="374"/>
      <c r="C10488" s="374"/>
      <c r="CV10488" s="376"/>
    </row>
    <row r="10489" spans="1:100">
      <c r="A10489" s="374"/>
      <c r="C10489" s="374"/>
      <c r="CV10489" s="376"/>
    </row>
    <row r="10490" spans="1:100">
      <c r="A10490" s="374"/>
      <c r="C10490" s="374"/>
      <c r="CV10490" s="376"/>
    </row>
    <row r="10491" spans="1:100">
      <c r="A10491" s="374"/>
      <c r="C10491" s="374"/>
      <c r="CV10491" s="376"/>
    </row>
    <row r="10492" spans="1:100">
      <c r="A10492" s="374"/>
      <c r="C10492" s="374"/>
      <c r="CV10492" s="376"/>
    </row>
    <row r="10493" spans="1:100">
      <c r="A10493" s="374"/>
      <c r="C10493" s="374"/>
      <c r="CV10493" s="376"/>
    </row>
    <row r="10494" spans="1:100">
      <c r="A10494" s="374"/>
      <c r="C10494" s="374"/>
      <c r="CV10494" s="376"/>
    </row>
    <row r="10495" spans="1:100">
      <c r="A10495" s="374"/>
      <c r="C10495" s="374"/>
      <c r="CV10495" s="376"/>
    </row>
    <row r="10496" spans="1:100">
      <c r="A10496" s="374"/>
      <c r="C10496" s="374"/>
      <c r="CV10496" s="376"/>
    </row>
    <row r="10497" spans="1:100">
      <c r="A10497" s="374"/>
      <c r="C10497" s="374"/>
      <c r="CV10497" s="376"/>
    </row>
    <row r="10498" spans="1:100">
      <c r="A10498" s="374"/>
      <c r="C10498" s="374"/>
      <c r="CV10498" s="376"/>
    </row>
    <row r="10499" spans="1:100">
      <c r="A10499" s="374"/>
      <c r="C10499" s="374"/>
      <c r="CV10499" s="376"/>
    </row>
    <row r="10500" spans="1:100">
      <c r="A10500" s="374"/>
      <c r="C10500" s="374"/>
      <c r="CV10500" s="376"/>
    </row>
    <row r="10501" spans="1:100">
      <c r="A10501" s="374"/>
      <c r="C10501" s="374"/>
      <c r="CV10501" s="376"/>
    </row>
    <row r="10502" spans="1:100">
      <c r="A10502" s="374"/>
      <c r="C10502" s="374"/>
      <c r="CV10502" s="376"/>
    </row>
    <row r="10503" spans="1:100">
      <c r="A10503" s="374"/>
      <c r="C10503" s="374"/>
      <c r="CV10503" s="376"/>
    </row>
    <row r="10504" spans="1:100">
      <c r="A10504" s="374"/>
      <c r="C10504" s="374"/>
      <c r="CV10504" s="376"/>
    </row>
    <row r="10505" spans="1:100">
      <c r="A10505" s="374"/>
      <c r="C10505" s="374"/>
      <c r="CV10505" s="376"/>
    </row>
    <row r="10506" spans="1:100">
      <c r="A10506" s="374"/>
      <c r="C10506" s="374"/>
      <c r="CV10506" s="376"/>
    </row>
    <row r="10507" spans="1:100">
      <c r="A10507" s="374"/>
      <c r="C10507" s="374"/>
      <c r="CV10507" s="376"/>
    </row>
    <row r="10508" spans="1:100">
      <c r="A10508" s="374"/>
      <c r="C10508" s="374"/>
      <c r="CV10508" s="376"/>
    </row>
    <row r="10509" spans="1:100">
      <c r="A10509" s="374"/>
      <c r="C10509" s="374"/>
      <c r="CV10509" s="376"/>
    </row>
    <row r="10510" spans="1:100">
      <c r="A10510" s="374"/>
      <c r="C10510" s="374"/>
      <c r="CV10510" s="376"/>
    </row>
    <row r="10511" spans="1:100">
      <c r="A10511" s="374"/>
      <c r="C10511" s="374"/>
      <c r="CV10511" s="376"/>
    </row>
    <row r="10512" spans="1:100">
      <c r="A10512" s="374"/>
      <c r="C10512" s="374"/>
      <c r="CV10512" s="376"/>
    </row>
    <row r="10513" spans="1:100">
      <c r="A10513" s="374"/>
      <c r="C10513" s="374"/>
      <c r="CV10513" s="376"/>
    </row>
    <row r="10514" spans="1:100">
      <c r="A10514" s="374"/>
      <c r="C10514" s="374"/>
      <c r="CV10514" s="376"/>
    </row>
    <row r="10515" spans="1:100">
      <c r="A10515" s="374"/>
      <c r="C10515" s="374"/>
      <c r="CV10515" s="376"/>
    </row>
    <row r="10516" spans="1:100">
      <c r="A10516" s="374"/>
      <c r="C10516" s="374"/>
      <c r="CV10516" s="376"/>
    </row>
    <row r="10517" spans="1:100">
      <c r="A10517" s="374"/>
      <c r="C10517" s="374"/>
      <c r="CV10517" s="376"/>
    </row>
    <row r="10518" spans="1:100">
      <c r="A10518" s="374"/>
      <c r="C10518" s="374"/>
      <c r="CV10518" s="376"/>
    </row>
    <row r="10519" spans="1:100">
      <c r="A10519" s="374"/>
      <c r="C10519" s="374"/>
      <c r="CV10519" s="376"/>
    </row>
    <row r="10520" spans="1:100">
      <c r="A10520" s="374"/>
      <c r="C10520" s="374"/>
      <c r="CV10520" s="376"/>
    </row>
    <row r="10521" spans="1:100">
      <c r="A10521" s="374"/>
      <c r="C10521" s="374"/>
      <c r="CV10521" s="376"/>
    </row>
    <row r="10522" spans="1:100">
      <c r="A10522" s="374"/>
      <c r="C10522" s="374"/>
      <c r="CV10522" s="376"/>
    </row>
    <row r="10523" spans="1:100">
      <c r="A10523" s="374"/>
      <c r="C10523" s="374"/>
      <c r="CV10523" s="376"/>
    </row>
    <row r="10524" spans="1:100">
      <c r="A10524" s="374"/>
      <c r="C10524" s="374"/>
      <c r="CV10524" s="376"/>
    </row>
    <row r="10525" spans="1:100">
      <c r="A10525" s="374"/>
      <c r="C10525" s="374"/>
      <c r="CV10525" s="376"/>
    </row>
    <row r="10526" spans="1:100">
      <c r="A10526" s="374"/>
      <c r="C10526" s="374"/>
      <c r="CV10526" s="376"/>
    </row>
    <row r="10527" spans="1:100">
      <c r="A10527" s="374"/>
      <c r="C10527" s="374"/>
      <c r="CV10527" s="376"/>
    </row>
    <row r="10528" spans="1:100">
      <c r="A10528" s="374"/>
      <c r="C10528" s="374"/>
      <c r="CV10528" s="376"/>
    </row>
    <row r="10529" spans="1:100">
      <c r="A10529" s="374"/>
      <c r="C10529" s="374"/>
      <c r="CV10529" s="376"/>
    </row>
    <row r="10530" spans="1:100">
      <c r="A10530" s="374"/>
      <c r="C10530" s="374"/>
      <c r="CV10530" s="376"/>
    </row>
    <row r="10531" spans="1:100">
      <c r="A10531" s="374"/>
      <c r="C10531" s="374"/>
      <c r="CV10531" s="376"/>
    </row>
    <row r="10532" spans="1:100">
      <c r="A10532" s="374"/>
      <c r="C10532" s="374"/>
      <c r="CV10532" s="376"/>
    </row>
    <row r="10533" spans="1:100">
      <c r="A10533" s="374"/>
      <c r="C10533" s="374"/>
      <c r="CV10533" s="376"/>
    </row>
    <row r="10534" spans="1:100">
      <c r="A10534" s="374"/>
      <c r="C10534" s="374"/>
      <c r="CV10534" s="376"/>
    </row>
    <row r="10535" spans="1:100">
      <c r="A10535" s="374"/>
      <c r="C10535" s="374"/>
      <c r="CV10535" s="376"/>
    </row>
    <row r="10536" spans="1:100">
      <c r="A10536" s="374"/>
      <c r="C10536" s="374"/>
      <c r="CV10536" s="376"/>
    </row>
    <row r="10537" spans="1:100">
      <c r="A10537" s="374"/>
      <c r="C10537" s="374"/>
      <c r="CV10537" s="376"/>
    </row>
    <row r="10538" spans="1:100">
      <c r="A10538" s="374"/>
      <c r="C10538" s="374"/>
      <c r="CV10538" s="376"/>
    </row>
    <row r="10539" spans="1:100">
      <c r="A10539" s="374"/>
      <c r="C10539" s="374"/>
      <c r="CV10539" s="376"/>
    </row>
    <row r="10540" spans="1:100">
      <c r="A10540" s="374"/>
      <c r="C10540" s="374"/>
      <c r="CV10540" s="376"/>
    </row>
    <row r="10541" spans="1:100">
      <c r="A10541" s="374"/>
      <c r="C10541" s="374"/>
      <c r="CV10541" s="376"/>
    </row>
    <row r="10542" spans="1:100">
      <c r="A10542" s="374"/>
      <c r="C10542" s="374"/>
      <c r="CV10542" s="376"/>
    </row>
    <row r="10543" spans="1:100">
      <c r="A10543" s="374"/>
      <c r="C10543" s="374"/>
      <c r="CV10543" s="376"/>
    </row>
    <row r="10544" spans="1:100">
      <c r="A10544" s="374"/>
      <c r="C10544" s="374"/>
      <c r="CV10544" s="376"/>
    </row>
    <row r="10545" spans="1:100">
      <c r="A10545" s="374"/>
      <c r="C10545" s="374"/>
      <c r="CV10545" s="376"/>
    </row>
    <row r="10546" spans="1:100">
      <c r="A10546" s="374"/>
      <c r="C10546" s="374"/>
      <c r="CV10546" s="376"/>
    </row>
    <row r="10547" spans="1:100">
      <c r="A10547" s="374"/>
      <c r="C10547" s="374"/>
      <c r="CV10547" s="376"/>
    </row>
    <row r="10548" spans="1:100">
      <c r="A10548" s="374"/>
      <c r="C10548" s="374"/>
      <c r="CV10548" s="376"/>
    </row>
    <row r="10549" spans="1:100">
      <c r="A10549" s="374"/>
      <c r="C10549" s="374"/>
      <c r="CV10549" s="376"/>
    </row>
    <row r="10550" spans="1:100">
      <c r="A10550" s="374"/>
      <c r="C10550" s="374"/>
      <c r="CV10550" s="376"/>
    </row>
    <row r="10551" spans="1:100">
      <c r="A10551" s="374"/>
      <c r="C10551" s="374"/>
      <c r="CV10551" s="376"/>
    </row>
    <row r="10552" spans="1:100">
      <c r="A10552" s="374"/>
      <c r="C10552" s="374"/>
      <c r="CV10552" s="376"/>
    </row>
    <row r="10553" spans="1:100">
      <c r="A10553" s="374"/>
      <c r="C10553" s="374"/>
      <c r="CV10553" s="376"/>
    </row>
    <row r="10554" spans="1:100">
      <c r="A10554" s="374"/>
      <c r="C10554" s="374"/>
      <c r="CV10554" s="376"/>
    </row>
    <row r="10555" spans="1:100">
      <c r="A10555" s="374"/>
      <c r="C10555" s="374"/>
      <c r="CV10555" s="376"/>
    </row>
    <row r="10556" spans="1:100">
      <c r="A10556" s="374"/>
      <c r="C10556" s="374"/>
      <c r="CV10556" s="376"/>
    </row>
    <row r="10557" spans="1:100">
      <c r="A10557" s="374"/>
      <c r="C10557" s="374"/>
      <c r="CV10557" s="376"/>
    </row>
    <row r="10558" spans="1:100">
      <c r="A10558" s="374"/>
      <c r="C10558" s="374"/>
      <c r="CV10558" s="376"/>
    </row>
    <row r="10559" spans="1:100">
      <c r="A10559" s="374"/>
      <c r="C10559" s="374"/>
      <c r="CV10559" s="376"/>
    </row>
    <row r="10560" spans="1:100">
      <c r="A10560" s="374"/>
      <c r="C10560" s="374"/>
      <c r="CV10560" s="376"/>
    </row>
    <row r="10561" spans="1:100">
      <c r="A10561" s="374"/>
      <c r="C10561" s="374"/>
      <c r="CV10561" s="376"/>
    </row>
    <row r="10562" spans="1:100">
      <c r="A10562" s="374"/>
      <c r="C10562" s="374"/>
      <c r="CV10562" s="376"/>
    </row>
    <row r="10563" spans="1:100">
      <c r="A10563" s="374"/>
      <c r="C10563" s="374"/>
      <c r="CV10563" s="376"/>
    </row>
    <row r="10564" spans="1:100">
      <c r="A10564" s="374"/>
      <c r="C10564" s="374"/>
      <c r="CV10564" s="376"/>
    </row>
    <row r="10565" spans="1:100">
      <c r="A10565" s="374"/>
      <c r="C10565" s="374"/>
      <c r="CV10565" s="376"/>
    </row>
    <row r="10566" spans="1:100">
      <c r="A10566" s="374"/>
      <c r="C10566" s="374"/>
      <c r="CV10566" s="376"/>
    </row>
    <row r="10567" spans="1:100">
      <c r="A10567" s="374"/>
      <c r="C10567" s="374"/>
      <c r="CV10567" s="376"/>
    </row>
    <row r="10568" spans="1:100">
      <c r="A10568" s="374"/>
      <c r="C10568" s="374"/>
      <c r="CV10568" s="376"/>
    </row>
    <row r="10569" spans="1:100">
      <c r="A10569" s="374"/>
      <c r="C10569" s="374"/>
      <c r="CV10569" s="376"/>
    </row>
    <row r="10570" spans="1:100">
      <c r="A10570" s="374"/>
      <c r="C10570" s="374"/>
      <c r="CV10570" s="376"/>
    </row>
    <row r="10571" spans="1:100">
      <c r="A10571" s="374"/>
      <c r="C10571" s="374"/>
      <c r="CV10571" s="376"/>
    </row>
    <row r="10572" spans="1:100">
      <c r="A10572" s="374"/>
      <c r="C10572" s="374"/>
      <c r="CV10572" s="376"/>
    </row>
    <row r="10573" spans="1:100">
      <c r="A10573" s="374"/>
      <c r="C10573" s="374"/>
      <c r="CV10573" s="376"/>
    </row>
    <row r="10574" spans="1:100">
      <c r="A10574" s="374"/>
      <c r="C10574" s="374"/>
      <c r="CV10574" s="376"/>
    </row>
    <row r="10575" spans="1:100">
      <c r="A10575" s="374"/>
      <c r="C10575" s="374"/>
      <c r="CV10575" s="376"/>
    </row>
    <row r="10576" spans="1:100">
      <c r="A10576" s="374"/>
      <c r="C10576" s="374"/>
      <c r="CV10576" s="376"/>
    </row>
    <row r="10577" spans="1:100">
      <c r="A10577" s="374"/>
      <c r="C10577" s="374"/>
      <c r="CV10577" s="376"/>
    </row>
    <row r="10578" spans="1:100">
      <c r="A10578" s="374"/>
      <c r="C10578" s="374"/>
      <c r="CV10578" s="376"/>
    </row>
    <row r="10579" spans="1:100">
      <c r="A10579" s="374"/>
      <c r="C10579" s="374"/>
      <c r="CV10579" s="376"/>
    </row>
    <row r="10580" spans="1:100">
      <c r="A10580" s="374"/>
      <c r="C10580" s="374"/>
      <c r="CV10580" s="376"/>
    </row>
    <row r="10581" spans="1:100">
      <c r="A10581" s="374"/>
      <c r="C10581" s="374"/>
      <c r="CV10581" s="376"/>
    </row>
    <row r="10582" spans="1:100">
      <c r="A10582" s="374"/>
      <c r="C10582" s="374"/>
      <c r="CV10582" s="376"/>
    </row>
    <row r="10583" spans="1:100">
      <c r="A10583" s="374"/>
      <c r="C10583" s="374"/>
      <c r="CV10583" s="376"/>
    </row>
    <row r="10584" spans="1:100">
      <c r="A10584" s="374"/>
      <c r="C10584" s="374"/>
      <c r="CV10584" s="376"/>
    </row>
    <row r="10585" spans="1:100">
      <c r="A10585" s="374"/>
      <c r="C10585" s="374"/>
      <c r="CV10585" s="376"/>
    </row>
    <row r="10586" spans="1:100">
      <c r="A10586" s="374"/>
      <c r="C10586" s="374"/>
      <c r="CV10586" s="376"/>
    </row>
    <row r="10587" spans="1:100">
      <c r="A10587" s="374"/>
      <c r="C10587" s="374"/>
      <c r="CV10587" s="376"/>
    </row>
    <row r="10588" spans="1:100">
      <c r="A10588" s="374"/>
      <c r="C10588" s="374"/>
      <c r="CV10588" s="376"/>
    </row>
    <row r="10589" spans="1:100">
      <c r="A10589" s="374"/>
      <c r="C10589" s="374"/>
      <c r="CV10589" s="376"/>
    </row>
    <row r="10590" spans="1:100">
      <c r="A10590" s="374"/>
      <c r="C10590" s="374"/>
      <c r="CV10590" s="376"/>
    </row>
    <row r="10591" spans="1:100">
      <c r="A10591" s="374"/>
      <c r="C10591" s="374"/>
      <c r="CV10591" s="376"/>
    </row>
    <row r="10592" spans="1:100">
      <c r="A10592" s="374"/>
      <c r="C10592" s="374"/>
      <c r="CV10592" s="376"/>
    </row>
    <row r="10593" spans="1:100">
      <c r="A10593" s="374"/>
      <c r="C10593" s="374"/>
      <c r="CV10593" s="376"/>
    </row>
    <row r="10594" spans="1:100">
      <c r="A10594" s="374"/>
      <c r="C10594" s="374"/>
      <c r="CV10594" s="376"/>
    </row>
    <row r="10595" spans="1:100">
      <c r="A10595" s="374"/>
      <c r="C10595" s="374"/>
      <c r="CV10595" s="376"/>
    </row>
    <row r="10596" spans="1:100">
      <c r="A10596" s="374"/>
      <c r="C10596" s="374"/>
      <c r="CV10596" s="376"/>
    </row>
    <row r="10597" spans="1:100">
      <c r="A10597" s="374"/>
      <c r="C10597" s="374"/>
      <c r="CV10597" s="376"/>
    </row>
    <row r="10598" spans="1:100">
      <c r="A10598" s="374"/>
      <c r="C10598" s="374"/>
      <c r="CV10598" s="376"/>
    </row>
    <row r="10599" spans="1:100">
      <c r="A10599" s="374"/>
      <c r="C10599" s="374"/>
      <c r="CV10599" s="376"/>
    </row>
    <row r="10600" spans="1:100">
      <c r="A10600" s="374"/>
      <c r="C10600" s="374"/>
      <c r="CV10600" s="376"/>
    </row>
    <row r="10601" spans="1:100">
      <c r="A10601" s="374"/>
      <c r="C10601" s="374"/>
      <c r="CV10601" s="376"/>
    </row>
    <row r="10602" spans="1:100">
      <c r="A10602" s="374"/>
      <c r="C10602" s="374"/>
      <c r="CV10602" s="376"/>
    </row>
    <row r="10603" spans="1:100">
      <c r="A10603" s="374"/>
      <c r="C10603" s="374"/>
      <c r="CV10603" s="376"/>
    </row>
    <row r="10604" spans="1:100">
      <c r="A10604" s="374"/>
      <c r="C10604" s="374"/>
      <c r="CV10604" s="376"/>
    </row>
    <row r="10605" spans="1:100">
      <c r="A10605" s="374"/>
      <c r="C10605" s="374"/>
      <c r="CV10605" s="376"/>
    </row>
    <row r="10606" spans="1:100">
      <c r="A10606" s="374"/>
      <c r="C10606" s="374"/>
      <c r="CV10606" s="376"/>
    </row>
    <row r="10607" spans="1:100">
      <c r="A10607" s="374"/>
      <c r="C10607" s="374"/>
      <c r="CV10607" s="376"/>
    </row>
    <row r="10608" spans="1:100">
      <c r="A10608" s="374"/>
      <c r="C10608" s="374"/>
      <c r="CV10608" s="376"/>
    </row>
    <row r="10609" spans="1:100">
      <c r="A10609" s="374"/>
      <c r="C10609" s="374"/>
      <c r="CV10609" s="376"/>
    </row>
    <row r="10610" spans="1:100">
      <c r="A10610" s="374"/>
      <c r="C10610" s="374"/>
      <c r="CV10610" s="376"/>
    </row>
    <row r="10611" spans="1:100">
      <c r="A10611" s="374"/>
      <c r="C10611" s="374"/>
      <c r="CV10611" s="376"/>
    </row>
    <row r="10612" spans="1:100">
      <c r="A10612" s="374"/>
      <c r="C10612" s="374"/>
      <c r="CV10612" s="376"/>
    </row>
    <row r="10613" spans="1:100">
      <c r="A10613" s="374"/>
      <c r="C10613" s="374"/>
      <c r="CV10613" s="376"/>
    </row>
    <row r="10614" spans="1:100">
      <c r="A10614" s="374"/>
      <c r="C10614" s="374"/>
      <c r="CV10614" s="376"/>
    </row>
    <row r="10615" spans="1:100">
      <c r="A10615" s="374"/>
      <c r="C10615" s="374"/>
      <c r="CV10615" s="376"/>
    </row>
    <row r="10616" spans="1:100">
      <c r="A10616" s="374"/>
      <c r="C10616" s="374"/>
      <c r="CV10616" s="376"/>
    </row>
    <row r="10617" spans="1:100">
      <c r="A10617" s="374"/>
      <c r="C10617" s="374"/>
      <c r="CV10617" s="376"/>
    </row>
    <row r="10618" spans="1:100">
      <c r="A10618" s="374"/>
      <c r="C10618" s="374"/>
      <c r="CV10618" s="376"/>
    </row>
    <row r="10619" spans="1:100">
      <c r="A10619" s="374"/>
      <c r="C10619" s="374"/>
      <c r="CV10619" s="376"/>
    </row>
    <row r="10620" spans="1:100">
      <c r="A10620" s="374"/>
      <c r="C10620" s="374"/>
      <c r="CV10620" s="376"/>
    </row>
    <row r="10621" spans="1:100">
      <c r="A10621" s="374"/>
      <c r="C10621" s="374"/>
      <c r="CV10621" s="376"/>
    </row>
    <row r="10622" spans="1:100">
      <c r="A10622" s="374"/>
      <c r="C10622" s="374"/>
      <c r="CV10622" s="376"/>
    </row>
    <row r="10623" spans="1:100">
      <c r="A10623" s="374"/>
      <c r="C10623" s="374"/>
      <c r="CV10623" s="376"/>
    </row>
    <row r="10624" spans="1:100">
      <c r="A10624" s="374"/>
      <c r="C10624" s="374"/>
      <c r="CV10624" s="376"/>
    </row>
    <row r="10625" spans="1:100">
      <c r="A10625" s="374"/>
      <c r="C10625" s="374"/>
      <c r="CV10625" s="376"/>
    </row>
    <row r="10626" spans="1:100">
      <c r="A10626" s="374"/>
      <c r="C10626" s="374"/>
      <c r="CV10626" s="376"/>
    </row>
    <row r="10627" spans="1:100">
      <c r="A10627" s="374"/>
      <c r="C10627" s="374"/>
      <c r="CV10627" s="376"/>
    </row>
    <row r="10628" spans="1:100">
      <c r="A10628" s="374"/>
      <c r="C10628" s="374"/>
      <c r="CV10628" s="376"/>
    </row>
    <row r="10629" spans="1:100">
      <c r="A10629" s="374"/>
      <c r="C10629" s="374"/>
      <c r="CV10629" s="376"/>
    </row>
    <row r="10630" spans="1:100">
      <c r="A10630" s="374"/>
      <c r="C10630" s="374"/>
      <c r="CV10630" s="376"/>
    </row>
    <row r="10631" spans="1:100">
      <c r="A10631" s="374"/>
      <c r="C10631" s="374"/>
      <c r="CV10631" s="376"/>
    </row>
    <row r="10632" spans="1:100">
      <c r="A10632" s="374"/>
      <c r="C10632" s="374"/>
      <c r="CV10632" s="376"/>
    </row>
    <row r="10633" spans="1:100">
      <c r="A10633" s="374"/>
      <c r="C10633" s="374"/>
      <c r="CV10633" s="376"/>
    </row>
    <row r="10634" spans="1:100">
      <c r="A10634" s="374"/>
      <c r="C10634" s="374"/>
      <c r="CV10634" s="376"/>
    </row>
    <row r="10635" spans="1:100">
      <c r="A10635" s="374"/>
      <c r="C10635" s="374"/>
      <c r="CV10635" s="376"/>
    </row>
    <row r="10636" spans="1:100">
      <c r="A10636" s="374"/>
      <c r="C10636" s="374"/>
      <c r="CV10636" s="376"/>
    </row>
    <row r="10637" spans="1:100">
      <c r="A10637" s="374"/>
      <c r="C10637" s="374"/>
      <c r="CV10637" s="376"/>
    </row>
    <row r="10638" spans="1:100">
      <c r="A10638" s="374"/>
      <c r="C10638" s="374"/>
      <c r="CV10638" s="376"/>
    </row>
    <row r="10639" spans="1:100">
      <c r="A10639" s="374"/>
      <c r="C10639" s="374"/>
      <c r="CV10639" s="376"/>
    </row>
    <row r="10640" spans="1:100">
      <c r="A10640" s="374"/>
      <c r="C10640" s="374"/>
      <c r="CV10640" s="376"/>
    </row>
    <row r="10641" spans="1:100">
      <c r="A10641" s="374"/>
      <c r="C10641" s="374"/>
      <c r="CV10641" s="376"/>
    </row>
    <row r="10642" spans="1:100">
      <c r="A10642" s="374"/>
      <c r="C10642" s="374"/>
      <c r="CV10642" s="376"/>
    </row>
    <row r="10643" spans="1:100">
      <c r="A10643" s="374"/>
      <c r="C10643" s="374"/>
      <c r="CV10643" s="376"/>
    </row>
    <row r="10644" spans="1:100">
      <c r="A10644" s="374"/>
      <c r="C10644" s="374"/>
      <c r="CV10644" s="376"/>
    </row>
    <row r="10645" spans="1:100">
      <c r="A10645" s="374"/>
      <c r="C10645" s="374"/>
      <c r="CV10645" s="376"/>
    </row>
    <row r="10646" spans="1:100">
      <c r="A10646" s="374"/>
      <c r="C10646" s="374"/>
      <c r="CV10646" s="376"/>
    </row>
    <row r="10647" spans="1:100">
      <c r="A10647" s="374"/>
      <c r="C10647" s="374"/>
      <c r="CV10647" s="376"/>
    </row>
    <row r="10648" spans="1:100">
      <c r="A10648" s="374"/>
      <c r="C10648" s="374"/>
      <c r="CV10648" s="376"/>
    </row>
    <row r="10649" spans="1:100">
      <c r="A10649" s="374"/>
      <c r="C10649" s="374"/>
      <c r="CV10649" s="376"/>
    </row>
    <row r="10650" spans="1:100">
      <c r="A10650" s="374"/>
      <c r="C10650" s="374"/>
      <c r="CV10650" s="376"/>
    </row>
    <row r="10651" spans="1:100">
      <c r="A10651" s="374"/>
      <c r="C10651" s="374"/>
      <c r="CV10651" s="376"/>
    </row>
    <row r="10652" spans="1:100">
      <c r="A10652" s="374"/>
      <c r="C10652" s="374"/>
      <c r="CV10652" s="376"/>
    </row>
    <row r="10653" spans="1:100">
      <c r="A10653" s="374"/>
      <c r="C10653" s="374"/>
      <c r="CV10653" s="376"/>
    </row>
    <row r="10654" spans="1:100">
      <c r="A10654" s="374"/>
      <c r="C10654" s="374"/>
      <c r="CV10654" s="376"/>
    </row>
    <row r="10655" spans="1:100">
      <c r="A10655" s="374"/>
      <c r="C10655" s="374"/>
      <c r="CV10655" s="376"/>
    </row>
    <row r="10656" spans="1:100">
      <c r="A10656" s="374"/>
      <c r="C10656" s="374"/>
      <c r="CV10656" s="376"/>
    </row>
    <row r="10657" spans="1:100">
      <c r="A10657" s="374"/>
      <c r="C10657" s="374"/>
      <c r="CV10657" s="376"/>
    </row>
    <row r="10658" spans="1:100">
      <c r="A10658" s="374"/>
      <c r="C10658" s="374"/>
      <c r="CV10658" s="376"/>
    </row>
    <row r="10659" spans="1:100">
      <c r="A10659" s="374"/>
      <c r="C10659" s="374"/>
      <c r="CV10659" s="376"/>
    </row>
    <row r="10660" spans="1:100">
      <c r="A10660" s="374"/>
      <c r="C10660" s="374"/>
      <c r="CV10660" s="376"/>
    </row>
    <row r="10661" spans="1:100">
      <c r="A10661" s="374"/>
      <c r="C10661" s="374"/>
      <c r="CV10661" s="376"/>
    </row>
    <row r="10662" spans="1:100">
      <c r="A10662" s="374"/>
      <c r="C10662" s="374"/>
      <c r="CV10662" s="376"/>
    </row>
    <row r="10663" spans="1:100">
      <c r="A10663" s="374"/>
      <c r="C10663" s="374"/>
      <c r="CV10663" s="376"/>
    </row>
    <row r="10664" spans="1:100">
      <c r="A10664" s="374"/>
      <c r="C10664" s="374"/>
      <c r="CV10664" s="376"/>
    </row>
    <row r="10665" spans="1:100">
      <c r="A10665" s="374"/>
      <c r="C10665" s="374"/>
      <c r="CV10665" s="376"/>
    </row>
    <row r="10666" spans="1:100">
      <c r="A10666" s="374"/>
      <c r="C10666" s="374"/>
      <c r="CV10666" s="376"/>
    </row>
    <row r="10667" spans="1:100">
      <c r="A10667" s="374"/>
      <c r="C10667" s="374"/>
      <c r="CV10667" s="376"/>
    </row>
    <row r="10668" spans="1:100">
      <c r="A10668" s="374"/>
      <c r="C10668" s="374"/>
      <c r="CV10668" s="376"/>
    </row>
    <row r="10669" spans="1:100">
      <c r="A10669" s="374"/>
      <c r="C10669" s="374"/>
      <c r="CV10669" s="376"/>
    </row>
    <row r="10670" spans="1:100">
      <c r="A10670" s="374"/>
      <c r="C10670" s="374"/>
      <c r="CV10670" s="376"/>
    </row>
    <row r="10671" spans="1:100">
      <c r="A10671" s="374"/>
      <c r="C10671" s="374"/>
      <c r="CV10671" s="376"/>
    </row>
    <row r="10672" spans="1:100">
      <c r="A10672" s="374"/>
      <c r="C10672" s="374"/>
      <c r="CV10672" s="376"/>
    </row>
    <row r="10673" spans="1:100">
      <c r="A10673" s="374"/>
      <c r="C10673" s="374"/>
      <c r="CV10673" s="376"/>
    </row>
    <row r="10674" spans="1:100">
      <c r="A10674" s="374"/>
      <c r="C10674" s="374"/>
      <c r="CV10674" s="376"/>
    </row>
    <row r="10675" spans="1:100">
      <c r="A10675" s="374"/>
      <c r="C10675" s="374"/>
      <c r="CV10675" s="376"/>
    </row>
    <row r="10676" spans="1:100">
      <c r="A10676" s="374"/>
      <c r="C10676" s="374"/>
      <c r="CV10676" s="376"/>
    </row>
    <row r="10677" spans="1:100">
      <c r="A10677" s="374"/>
      <c r="C10677" s="374"/>
      <c r="CV10677" s="376"/>
    </row>
    <row r="10678" spans="1:100">
      <c r="A10678" s="374"/>
      <c r="C10678" s="374"/>
      <c r="CV10678" s="376"/>
    </row>
    <row r="10679" spans="1:100">
      <c r="A10679" s="374"/>
      <c r="C10679" s="374"/>
      <c r="CV10679" s="376"/>
    </row>
    <row r="10680" spans="1:100">
      <c r="A10680" s="374"/>
      <c r="C10680" s="374"/>
      <c r="CV10680" s="376"/>
    </row>
    <row r="10681" spans="1:100">
      <c r="A10681" s="374"/>
      <c r="C10681" s="374"/>
      <c r="CV10681" s="376"/>
    </row>
    <row r="10682" spans="1:100">
      <c r="A10682" s="374"/>
      <c r="C10682" s="374"/>
      <c r="CV10682" s="376"/>
    </row>
    <row r="10683" spans="1:100">
      <c r="A10683" s="374"/>
      <c r="C10683" s="374"/>
      <c r="CV10683" s="376"/>
    </row>
    <row r="10684" spans="1:100">
      <c r="A10684" s="374"/>
      <c r="C10684" s="374"/>
      <c r="CV10684" s="376"/>
    </row>
    <row r="10685" spans="1:100">
      <c r="A10685" s="374"/>
      <c r="C10685" s="374"/>
      <c r="CV10685" s="376"/>
    </row>
    <row r="10686" spans="1:100">
      <c r="A10686" s="374"/>
      <c r="C10686" s="374"/>
      <c r="CV10686" s="376"/>
    </row>
    <row r="10687" spans="1:100">
      <c r="A10687" s="374"/>
      <c r="C10687" s="374"/>
      <c r="CV10687" s="376"/>
    </row>
    <row r="10688" spans="1:100">
      <c r="A10688" s="374"/>
      <c r="C10688" s="374"/>
      <c r="CV10688" s="376"/>
    </row>
    <row r="10689" spans="1:100">
      <c r="A10689" s="374"/>
      <c r="C10689" s="374"/>
      <c r="CV10689" s="376"/>
    </row>
    <row r="10690" spans="1:100">
      <c r="A10690" s="374"/>
      <c r="C10690" s="374"/>
      <c r="CV10690" s="376"/>
    </row>
    <row r="10691" spans="1:100">
      <c r="A10691" s="374"/>
      <c r="C10691" s="374"/>
      <c r="CV10691" s="376"/>
    </row>
    <row r="10692" spans="1:100">
      <c r="A10692" s="374"/>
      <c r="C10692" s="374"/>
      <c r="CV10692" s="376"/>
    </row>
    <row r="10693" spans="1:100">
      <c r="A10693" s="374"/>
      <c r="C10693" s="374"/>
      <c r="CV10693" s="376"/>
    </row>
    <row r="10694" spans="1:100">
      <c r="A10694" s="374"/>
      <c r="C10694" s="374"/>
      <c r="CV10694" s="376"/>
    </row>
    <row r="10695" spans="1:100">
      <c r="A10695" s="374"/>
      <c r="C10695" s="374"/>
      <c r="CV10695" s="376"/>
    </row>
    <row r="10696" spans="1:100">
      <c r="A10696" s="374"/>
      <c r="C10696" s="374"/>
      <c r="CV10696" s="376"/>
    </row>
    <row r="10697" spans="1:100">
      <c r="A10697" s="374"/>
      <c r="C10697" s="374"/>
      <c r="CV10697" s="376"/>
    </row>
    <row r="10698" spans="1:100">
      <c r="A10698" s="374"/>
      <c r="C10698" s="374"/>
      <c r="CV10698" s="376"/>
    </row>
    <row r="10699" spans="1:100">
      <c r="A10699" s="374"/>
      <c r="C10699" s="374"/>
      <c r="CV10699" s="376"/>
    </row>
    <row r="10700" spans="1:100">
      <c r="A10700" s="374"/>
      <c r="C10700" s="374"/>
      <c r="CV10700" s="376"/>
    </row>
    <row r="10701" spans="1:100">
      <c r="A10701" s="374"/>
      <c r="C10701" s="374"/>
      <c r="CV10701" s="376"/>
    </row>
    <row r="10702" spans="1:100">
      <c r="A10702" s="374"/>
      <c r="C10702" s="374"/>
      <c r="CV10702" s="376"/>
    </row>
    <row r="10703" spans="1:100">
      <c r="A10703" s="374"/>
      <c r="C10703" s="374"/>
      <c r="CV10703" s="376"/>
    </row>
    <row r="10704" spans="1:100">
      <c r="A10704" s="374"/>
      <c r="C10704" s="374"/>
      <c r="CV10704" s="376"/>
    </row>
    <row r="10705" spans="1:100">
      <c r="A10705" s="374"/>
      <c r="C10705" s="374"/>
      <c r="CV10705" s="376"/>
    </row>
    <row r="10706" spans="1:100">
      <c r="A10706" s="374"/>
      <c r="C10706" s="374"/>
      <c r="CV10706" s="376"/>
    </row>
    <row r="10707" spans="1:100">
      <c r="A10707" s="374"/>
      <c r="C10707" s="374"/>
      <c r="CV10707" s="376"/>
    </row>
    <row r="10708" spans="1:100">
      <c r="A10708" s="374"/>
      <c r="C10708" s="374"/>
      <c r="CV10708" s="376"/>
    </row>
    <row r="10709" spans="1:100">
      <c r="A10709" s="374"/>
      <c r="C10709" s="374"/>
      <c r="CV10709" s="376"/>
    </row>
    <row r="10710" spans="1:100">
      <c r="A10710" s="374"/>
      <c r="C10710" s="374"/>
      <c r="CV10710" s="376"/>
    </row>
    <row r="10711" spans="1:100">
      <c r="A10711" s="374"/>
      <c r="C10711" s="374"/>
      <c r="CV10711" s="376"/>
    </row>
    <row r="10712" spans="1:100">
      <c r="A10712" s="374"/>
      <c r="C10712" s="374"/>
      <c r="CV10712" s="376"/>
    </row>
    <row r="10713" spans="1:100">
      <c r="A10713" s="374"/>
      <c r="C10713" s="374"/>
      <c r="CV10713" s="376"/>
    </row>
    <row r="10714" spans="1:100">
      <c r="A10714" s="374"/>
      <c r="C10714" s="374"/>
      <c r="CV10714" s="376"/>
    </row>
    <row r="10715" spans="1:100">
      <c r="A10715" s="374"/>
      <c r="C10715" s="374"/>
      <c r="CV10715" s="376"/>
    </row>
    <row r="10716" spans="1:100">
      <c r="A10716" s="374"/>
      <c r="C10716" s="374"/>
      <c r="CV10716" s="376"/>
    </row>
    <row r="10717" spans="1:100">
      <c r="A10717" s="374"/>
      <c r="C10717" s="374"/>
      <c r="CV10717" s="376"/>
    </row>
    <row r="10718" spans="1:100">
      <c r="A10718" s="374"/>
      <c r="C10718" s="374"/>
      <c r="CV10718" s="376"/>
    </row>
    <row r="10719" spans="1:100">
      <c r="A10719" s="374"/>
      <c r="C10719" s="374"/>
      <c r="CV10719" s="376"/>
    </row>
    <row r="10720" spans="1:100">
      <c r="A10720" s="374"/>
      <c r="C10720" s="374"/>
      <c r="CV10720" s="376"/>
    </row>
    <row r="10721" spans="1:100">
      <c r="A10721" s="374"/>
      <c r="C10721" s="374"/>
      <c r="CV10721" s="376"/>
    </row>
    <row r="10722" spans="1:100">
      <c r="A10722" s="374"/>
      <c r="C10722" s="374"/>
      <c r="CV10722" s="376"/>
    </row>
    <row r="10723" spans="1:100">
      <c r="A10723" s="374"/>
      <c r="C10723" s="374"/>
      <c r="CV10723" s="376"/>
    </row>
    <row r="10724" spans="1:100">
      <c r="A10724" s="374"/>
      <c r="C10724" s="374"/>
      <c r="CV10724" s="376"/>
    </row>
    <row r="10725" spans="1:100">
      <c r="A10725" s="374"/>
      <c r="C10725" s="374"/>
      <c r="CV10725" s="376"/>
    </row>
    <row r="10726" spans="1:100">
      <c r="A10726" s="374"/>
      <c r="C10726" s="374"/>
      <c r="CV10726" s="376"/>
    </row>
    <row r="10727" spans="1:100">
      <c r="A10727" s="374"/>
      <c r="C10727" s="374"/>
      <c r="CV10727" s="376"/>
    </row>
    <row r="10728" spans="1:100">
      <c r="A10728" s="374"/>
      <c r="C10728" s="374"/>
      <c r="CV10728" s="376"/>
    </row>
    <row r="10729" spans="1:100">
      <c r="A10729" s="374"/>
      <c r="C10729" s="374"/>
      <c r="CV10729" s="376"/>
    </row>
    <row r="10730" spans="1:100">
      <c r="A10730" s="374"/>
      <c r="C10730" s="374"/>
      <c r="CV10730" s="376"/>
    </row>
    <row r="10731" spans="1:100">
      <c r="A10731" s="374"/>
      <c r="C10731" s="374"/>
      <c r="CV10731" s="376"/>
    </row>
    <row r="10732" spans="1:100">
      <c r="A10732" s="374"/>
      <c r="C10732" s="374"/>
      <c r="CV10732" s="376"/>
    </row>
    <row r="10733" spans="1:100">
      <c r="A10733" s="374"/>
      <c r="C10733" s="374"/>
      <c r="CV10733" s="376"/>
    </row>
    <row r="10734" spans="1:100">
      <c r="A10734" s="374"/>
      <c r="C10734" s="374"/>
      <c r="CV10734" s="376"/>
    </row>
    <row r="10735" spans="1:100">
      <c r="A10735" s="374"/>
      <c r="C10735" s="374"/>
      <c r="CV10735" s="376"/>
    </row>
    <row r="10736" spans="1:100">
      <c r="A10736" s="374"/>
      <c r="C10736" s="374"/>
      <c r="CV10736" s="376"/>
    </row>
    <row r="10737" spans="1:100">
      <c r="A10737" s="374"/>
      <c r="C10737" s="374"/>
      <c r="CV10737" s="376"/>
    </row>
    <row r="10738" spans="1:100">
      <c r="A10738" s="374"/>
      <c r="C10738" s="374"/>
      <c r="CV10738" s="376"/>
    </row>
    <row r="10739" spans="1:100">
      <c r="A10739" s="374"/>
      <c r="C10739" s="374"/>
      <c r="CV10739" s="376"/>
    </row>
    <row r="10740" spans="1:100">
      <c r="A10740" s="374"/>
      <c r="C10740" s="374"/>
      <c r="CV10740" s="376"/>
    </row>
    <row r="10741" spans="1:100">
      <c r="A10741" s="374"/>
      <c r="C10741" s="374"/>
      <c r="CV10741" s="376"/>
    </row>
    <row r="10742" spans="1:100">
      <c r="A10742" s="374"/>
      <c r="C10742" s="374"/>
      <c r="CV10742" s="376"/>
    </row>
    <row r="10743" spans="1:100">
      <c r="A10743" s="374"/>
      <c r="C10743" s="374"/>
      <c r="CV10743" s="376"/>
    </row>
    <row r="10744" spans="1:100">
      <c r="A10744" s="374"/>
      <c r="C10744" s="374"/>
      <c r="CV10744" s="376"/>
    </row>
    <row r="10745" spans="1:100">
      <c r="A10745" s="374"/>
      <c r="C10745" s="374"/>
      <c r="CV10745" s="376"/>
    </row>
    <row r="10746" spans="1:100">
      <c r="A10746" s="374"/>
      <c r="C10746" s="374"/>
      <c r="CV10746" s="376"/>
    </row>
    <row r="10747" spans="1:100">
      <c r="A10747" s="374"/>
      <c r="C10747" s="374"/>
      <c r="CV10747" s="376"/>
    </row>
    <row r="10748" spans="1:100">
      <c r="A10748" s="374"/>
      <c r="C10748" s="374"/>
      <c r="CV10748" s="376"/>
    </row>
    <row r="10749" spans="1:100">
      <c r="A10749" s="374"/>
      <c r="C10749" s="374"/>
      <c r="CV10749" s="376"/>
    </row>
    <row r="10750" spans="1:100">
      <c r="A10750" s="374"/>
      <c r="C10750" s="374"/>
      <c r="CV10750" s="376"/>
    </row>
    <row r="10751" spans="1:100">
      <c r="A10751" s="374"/>
      <c r="C10751" s="374"/>
      <c r="CV10751" s="376"/>
    </row>
    <row r="10752" spans="1:100">
      <c r="A10752" s="374"/>
      <c r="C10752" s="374"/>
      <c r="CV10752" s="376"/>
    </row>
    <row r="10753" spans="1:100">
      <c r="A10753" s="374"/>
      <c r="C10753" s="374"/>
      <c r="CV10753" s="376"/>
    </row>
    <row r="10754" spans="1:100">
      <c r="A10754" s="374"/>
      <c r="C10754" s="374"/>
      <c r="CV10754" s="376"/>
    </row>
    <row r="10755" spans="1:100">
      <c r="A10755" s="374"/>
      <c r="C10755" s="374"/>
      <c r="CV10755" s="376"/>
    </row>
    <row r="10756" spans="1:100">
      <c r="A10756" s="374"/>
      <c r="C10756" s="374"/>
      <c r="CV10756" s="376"/>
    </row>
    <row r="10757" spans="1:100">
      <c r="A10757" s="374"/>
      <c r="C10757" s="374"/>
      <c r="CV10757" s="376"/>
    </row>
    <row r="10758" spans="1:100">
      <c r="A10758" s="374"/>
      <c r="C10758" s="374"/>
      <c r="CV10758" s="376"/>
    </row>
    <row r="10759" spans="1:100">
      <c r="A10759" s="374"/>
      <c r="C10759" s="374"/>
      <c r="CV10759" s="376"/>
    </row>
    <row r="10760" spans="1:100">
      <c r="A10760" s="374"/>
      <c r="C10760" s="374"/>
      <c r="CV10760" s="376"/>
    </row>
    <row r="10761" spans="1:100">
      <c r="A10761" s="374"/>
      <c r="C10761" s="374"/>
      <c r="CV10761" s="376"/>
    </row>
    <row r="10762" spans="1:100">
      <c r="A10762" s="374"/>
      <c r="C10762" s="374"/>
      <c r="CV10762" s="376"/>
    </row>
    <row r="10763" spans="1:100">
      <c r="A10763" s="374"/>
      <c r="C10763" s="374"/>
      <c r="CV10763" s="376"/>
    </row>
    <row r="10764" spans="1:100">
      <c r="A10764" s="374"/>
      <c r="C10764" s="374"/>
      <c r="CV10764" s="376"/>
    </row>
    <row r="10765" spans="1:100">
      <c r="A10765" s="374"/>
      <c r="C10765" s="374"/>
      <c r="CV10765" s="376"/>
    </row>
    <row r="10766" spans="1:100">
      <c r="A10766" s="374"/>
      <c r="C10766" s="374"/>
      <c r="CV10766" s="376"/>
    </row>
    <row r="10767" spans="1:100">
      <c r="A10767" s="374"/>
      <c r="C10767" s="374"/>
      <c r="CV10767" s="376"/>
    </row>
    <row r="10768" spans="1:100">
      <c r="A10768" s="374"/>
      <c r="C10768" s="374"/>
      <c r="CV10768" s="376"/>
    </row>
    <row r="10769" spans="1:100">
      <c r="A10769" s="374"/>
      <c r="C10769" s="374"/>
      <c r="CV10769" s="376"/>
    </row>
    <row r="10770" spans="1:100">
      <c r="A10770" s="374"/>
      <c r="C10770" s="374"/>
      <c r="CV10770" s="376"/>
    </row>
    <row r="10771" spans="1:100">
      <c r="A10771" s="374"/>
      <c r="C10771" s="374"/>
      <c r="CV10771" s="376"/>
    </row>
    <row r="10772" spans="1:100">
      <c r="A10772" s="374"/>
      <c r="C10772" s="374"/>
      <c r="CV10772" s="376"/>
    </row>
    <row r="10773" spans="1:100">
      <c r="A10773" s="374"/>
      <c r="C10773" s="374"/>
      <c r="CV10773" s="376"/>
    </row>
    <row r="10774" spans="1:100">
      <c r="A10774" s="374"/>
      <c r="C10774" s="374"/>
      <c r="CV10774" s="376"/>
    </row>
    <row r="10775" spans="1:100">
      <c r="A10775" s="374"/>
      <c r="C10775" s="374"/>
      <c r="CV10775" s="376"/>
    </row>
    <row r="10776" spans="1:100">
      <c r="A10776" s="374"/>
      <c r="C10776" s="374"/>
      <c r="CV10776" s="376"/>
    </row>
    <row r="10777" spans="1:100">
      <c r="A10777" s="374"/>
      <c r="C10777" s="374"/>
      <c r="CV10777" s="376"/>
    </row>
    <row r="10778" spans="1:100">
      <c r="A10778" s="374"/>
      <c r="C10778" s="374"/>
      <c r="CV10778" s="376"/>
    </row>
    <row r="10779" spans="1:100">
      <c r="A10779" s="374"/>
      <c r="C10779" s="374"/>
      <c r="CV10779" s="376"/>
    </row>
    <row r="10780" spans="1:100">
      <c r="A10780" s="374"/>
      <c r="C10780" s="374"/>
      <c r="CV10780" s="376"/>
    </row>
    <row r="10781" spans="1:100">
      <c r="A10781" s="374"/>
      <c r="C10781" s="374"/>
      <c r="CV10781" s="376"/>
    </row>
    <row r="10782" spans="1:100">
      <c r="A10782" s="374"/>
      <c r="C10782" s="374"/>
      <c r="CV10782" s="376"/>
    </row>
    <row r="10783" spans="1:100">
      <c r="A10783" s="374"/>
      <c r="C10783" s="374"/>
      <c r="CV10783" s="376"/>
    </row>
    <row r="10784" spans="1:100">
      <c r="A10784" s="374"/>
      <c r="C10784" s="374"/>
      <c r="CV10784" s="376"/>
    </row>
    <row r="10785" spans="1:100">
      <c r="A10785" s="374"/>
      <c r="C10785" s="374"/>
      <c r="CV10785" s="376"/>
    </row>
    <row r="10786" spans="1:100">
      <c r="A10786" s="374"/>
      <c r="C10786" s="374"/>
      <c r="CV10786" s="376"/>
    </row>
    <row r="10787" spans="1:100">
      <c r="A10787" s="374"/>
      <c r="C10787" s="374"/>
      <c r="CV10787" s="376"/>
    </row>
    <row r="10788" spans="1:100">
      <c r="A10788" s="374"/>
      <c r="C10788" s="374"/>
      <c r="CV10788" s="376"/>
    </row>
    <row r="10789" spans="1:100">
      <c r="A10789" s="374"/>
      <c r="C10789" s="374"/>
      <c r="CV10789" s="376"/>
    </row>
    <row r="10790" spans="1:100">
      <c r="A10790" s="374"/>
      <c r="C10790" s="374"/>
      <c r="CV10790" s="376"/>
    </row>
    <row r="10791" spans="1:100">
      <c r="A10791" s="374"/>
      <c r="C10791" s="374"/>
      <c r="CV10791" s="376"/>
    </row>
    <row r="10792" spans="1:100">
      <c r="A10792" s="374"/>
      <c r="C10792" s="374"/>
      <c r="CV10792" s="376"/>
    </row>
    <row r="10793" spans="1:100">
      <c r="A10793" s="374"/>
      <c r="C10793" s="374"/>
      <c r="CV10793" s="376"/>
    </row>
    <row r="10794" spans="1:100">
      <c r="A10794" s="374"/>
      <c r="C10794" s="374"/>
      <c r="CV10794" s="376"/>
    </row>
    <row r="10795" spans="1:100">
      <c r="A10795" s="374"/>
      <c r="C10795" s="374"/>
      <c r="CV10795" s="376"/>
    </row>
    <row r="10796" spans="1:100">
      <c r="A10796" s="374"/>
      <c r="C10796" s="374"/>
      <c r="CV10796" s="376"/>
    </row>
    <row r="10797" spans="1:100">
      <c r="A10797" s="374"/>
      <c r="C10797" s="374"/>
      <c r="CV10797" s="376"/>
    </row>
    <row r="10798" spans="1:100">
      <c r="A10798" s="374"/>
      <c r="C10798" s="374"/>
      <c r="CV10798" s="376"/>
    </row>
    <row r="10799" spans="1:100">
      <c r="A10799" s="374"/>
      <c r="C10799" s="374"/>
      <c r="CV10799" s="376"/>
    </row>
    <row r="10800" spans="1:100">
      <c r="A10800" s="374"/>
      <c r="C10800" s="374"/>
      <c r="CV10800" s="376"/>
    </row>
    <row r="10801" spans="1:100">
      <c r="A10801" s="374"/>
      <c r="C10801" s="374"/>
      <c r="CV10801" s="376"/>
    </row>
    <row r="10802" spans="1:100">
      <c r="A10802" s="374"/>
      <c r="C10802" s="374"/>
      <c r="CV10802" s="376"/>
    </row>
    <row r="10803" spans="1:100">
      <c r="A10803" s="374"/>
      <c r="C10803" s="374"/>
      <c r="CV10803" s="376"/>
    </row>
    <row r="10804" spans="1:100">
      <c r="A10804" s="374"/>
      <c r="C10804" s="374"/>
      <c r="CV10804" s="376"/>
    </row>
    <row r="10805" spans="1:100">
      <c r="A10805" s="374"/>
      <c r="C10805" s="374"/>
      <c r="CV10805" s="376"/>
    </row>
    <row r="10806" spans="1:100">
      <c r="A10806" s="374"/>
      <c r="C10806" s="374"/>
      <c r="CV10806" s="376"/>
    </row>
    <row r="10807" spans="1:100">
      <c r="A10807" s="374"/>
      <c r="C10807" s="374"/>
      <c r="CV10807" s="376"/>
    </row>
    <row r="10808" spans="1:100">
      <c r="A10808" s="374"/>
      <c r="C10808" s="374"/>
      <c r="CV10808" s="376"/>
    </row>
    <row r="10809" spans="1:100">
      <c r="A10809" s="374"/>
      <c r="C10809" s="374"/>
      <c r="CV10809" s="376"/>
    </row>
    <row r="10810" spans="1:100">
      <c r="A10810" s="374"/>
      <c r="C10810" s="374"/>
      <c r="CV10810" s="376"/>
    </row>
    <row r="10811" spans="1:100">
      <c r="A10811" s="374"/>
      <c r="C10811" s="374"/>
      <c r="CV10811" s="376"/>
    </row>
    <row r="10812" spans="1:100">
      <c r="A10812" s="374"/>
      <c r="C10812" s="374"/>
      <c r="CV10812" s="376"/>
    </row>
    <row r="10813" spans="1:100">
      <c r="A10813" s="374"/>
      <c r="C10813" s="374"/>
      <c r="CV10813" s="376"/>
    </row>
    <row r="10814" spans="1:100">
      <c r="A10814" s="374"/>
      <c r="C10814" s="374"/>
      <c r="CV10814" s="376"/>
    </row>
    <row r="10815" spans="1:100">
      <c r="A10815" s="374"/>
      <c r="C10815" s="374"/>
      <c r="CV10815" s="376"/>
    </row>
    <row r="10816" spans="1:100">
      <c r="A10816" s="374"/>
      <c r="C10816" s="374"/>
      <c r="CV10816" s="376"/>
    </row>
    <row r="10817" spans="1:100">
      <c r="A10817" s="374"/>
      <c r="C10817" s="374"/>
      <c r="CV10817" s="376"/>
    </row>
    <row r="10818" spans="1:100">
      <c r="A10818" s="374"/>
      <c r="C10818" s="374"/>
      <c r="CV10818" s="376"/>
    </row>
    <row r="10819" spans="1:100">
      <c r="A10819" s="374"/>
      <c r="C10819" s="374"/>
      <c r="CV10819" s="376"/>
    </row>
    <row r="10820" spans="1:100">
      <c r="A10820" s="374"/>
      <c r="C10820" s="374"/>
      <c r="CV10820" s="376"/>
    </row>
    <row r="10821" spans="1:100">
      <c r="A10821" s="374"/>
      <c r="C10821" s="374"/>
      <c r="CV10821" s="376"/>
    </row>
    <row r="10822" spans="1:100">
      <c r="A10822" s="374"/>
      <c r="C10822" s="374"/>
      <c r="CV10822" s="376"/>
    </row>
    <row r="10823" spans="1:100">
      <c r="A10823" s="374"/>
      <c r="C10823" s="374"/>
      <c r="CV10823" s="376"/>
    </row>
    <row r="10824" spans="1:100">
      <c r="A10824" s="374"/>
      <c r="C10824" s="374"/>
      <c r="CV10824" s="376"/>
    </row>
    <row r="10825" spans="1:100">
      <c r="A10825" s="374"/>
      <c r="C10825" s="374"/>
      <c r="CV10825" s="376"/>
    </row>
    <row r="10826" spans="1:100">
      <c r="A10826" s="374"/>
      <c r="C10826" s="374"/>
      <c r="CV10826" s="376"/>
    </row>
    <row r="10827" spans="1:100">
      <c r="A10827" s="374"/>
      <c r="C10827" s="374"/>
      <c r="CV10827" s="376"/>
    </row>
    <row r="10828" spans="1:100">
      <c r="A10828" s="374"/>
      <c r="C10828" s="374"/>
      <c r="CV10828" s="376"/>
    </row>
    <row r="10829" spans="1:100">
      <c r="A10829" s="374"/>
      <c r="C10829" s="374"/>
      <c r="CV10829" s="376"/>
    </row>
    <row r="10830" spans="1:100">
      <c r="A10830" s="374"/>
      <c r="C10830" s="374"/>
      <c r="CV10830" s="376"/>
    </row>
    <row r="10831" spans="1:100">
      <c r="A10831" s="374"/>
      <c r="C10831" s="374"/>
      <c r="CV10831" s="376"/>
    </row>
    <row r="10832" spans="1:100">
      <c r="A10832" s="374"/>
      <c r="C10832" s="374"/>
      <c r="CV10832" s="376"/>
    </row>
    <row r="10833" spans="1:100">
      <c r="A10833" s="374"/>
      <c r="C10833" s="374"/>
      <c r="CV10833" s="376"/>
    </row>
    <row r="10834" spans="1:100">
      <c r="A10834" s="374"/>
      <c r="C10834" s="374"/>
      <c r="CV10834" s="376"/>
    </row>
    <row r="10835" spans="1:100">
      <c r="A10835" s="374"/>
      <c r="C10835" s="374"/>
      <c r="CV10835" s="376"/>
    </row>
    <row r="10836" spans="1:100">
      <c r="A10836" s="374"/>
      <c r="C10836" s="374"/>
      <c r="CV10836" s="376"/>
    </row>
    <row r="10837" spans="1:100">
      <c r="A10837" s="374"/>
      <c r="C10837" s="374"/>
      <c r="CV10837" s="376"/>
    </row>
    <row r="10838" spans="1:100">
      <c r="A10838" s="374"/>
      <c r="C10838" s="374"/>
      <c r="CV10838" s="376"/>
    </row>
    <row r="10839" spans="1:100">
      <c r="A10839" s="374"/>
      <c r="C10839" s="374"/>
      <c r="CV10839" s="376"/>
    </row>
    <row r="10840" spans="1:100">
      <c r="A10840" s="374"/>
      <c r="C10840" s="374"/>
      <c r="CV10840" s="376"/>
    </row>
    <row r="10841" spans="1:100">
      <c r="A10841" s="374"/>
      <c r="C10841" s="374"/>
      <c r="CV10841" s="376"/>
    </row>
    <row r="10842" spans="1:100">
      <c r="A10842" s="374"/>
      <c r="C10842" s="374"/>
      <c r="CV10842" s="376"/>
    </row>
    <row r="10843" spans="1:100">
      <c r="A10843" s="374"/>
      <c r="C10843" s="374"/>
      <c r="CV10843" s="376"/>
    </row>
    <row r="10844" spans="1:100">
      <c r="A10844" s="374"/>
      <c r="C10844" s="374"/>
      <c r="CV10844" s="376"/>
    </row>
    <row r="10845" spans="1:100">
      <c r="A10845" s="374"/>
      <c r="C10845" s="374"/>
      <c r="CV10845" s="376"/>
    </row>
    <row r="10846" spans="1:100">
      <c r="A10846" s="374"/>
      <c r="C10846" s="374"/>
      <c r="CV10846" s="376"/>
    </row>
    <row r="10847" spans="1:100">
      <c r="A10847" s="374"/>
      <c r="C10847" s="374"/>
      <c r="CV10847" s="376"/>
    </row>
    <row r="10848" spans="1:100">
      <c r="A10848" s="374"/>
      <c r="C10848" s="374"/>
      <c r="CV10848" s="376"/>
    </row>
    <row r="10849" spans="1:100">
      <c r="A10849" s="374"/>
      <c r="C10849" s="374"/>
      <c r="CV10849" s="376"/>
    </row>
    <row r="10850" spans="1:100">
      <c r="A10850" s="374"/>
      <c r="C10850" s="374"/>
      <c r="CV10850" s="376"/>
    </row>
    <row r="10851" spans="1:100">
      <c r="A10851" s="374"/>
      <c r="C10851" s="374"/>
      <c r="CV10851" s="376"/>
    </row>
    <row r="10852" spans="1:100">
      <c r="A10852" s="374"/>
      <c r="C10852" s="374"/>
      <c r="CV10852" s="376"/>
    </row>
    <row r="10853" spans="1:100">
      <c r="A10853" s="374"/>
      <c r="C10853" s="374"/>
      <c r="CV10853" s="376"/>
    </row>
    <row r="10854" spans="1:100">
      <c r="A10854" s="374"/>
      <c r="C10854" s="374"/>
      <c r="CV10854" s="376"/>
    </row>
    <row r="10855" spans="1:100">
      <c r="A10855" s="374"/>
      <c r="C10855" s="374"/>
      <c r="CV10855" s="376"/>
    </row>
    <row r="10856" spans="1:100">
      <c r="A10856" s="374"/>
      <c r="C10856" s="374"/>
      <c r="CV10856" s="376"/>
    </row>
    <row r="10857" spans="1:100">
      <c r="A10857" s="374"/>
      <c r="C10857" s="374"/>
      <c r="CV10857" s="376"/>
    </row>
    <row r="10858" spans="1:100">
      <c r="A10858" s="374"/>
      <c r="C10858" s="374"/>
      <c r="CV10858" s="376"/>
    </row>
    <row r="10859" spans="1:100">
      <c r="A10859" s="374"/>
      <c r="C10859" s="374"/>
      <c r="CV10859" s="376"/>
    </row>
    <row r="10860" spans="1:100">
      <c r="A10860" s="374"/>
      <c r="C10860" s="374"/>
      <c r="CV10860" s="376"/>
    </row>
    <row r="10861" spans="1:100">
      <c r="A10861" s="374"/>
      <c r="C10861" s="374"/>
      <c r="CV10861" s="376"/>
    </row>
    <row r="10862" spans="1:100">
      <c r="A10862" s="374"/>
      <c r="C10862" s="374"/>
      <c r="CV10862" s="376"/>
    </row>
    <row r="10863" spans="1:100">
      <c r="A10863" s="374"/>
      <c r="C10863" s="374"/>
      <c r="CV10863" s="376"/>
    </row>
    <row r="10864" spans="1:100">
      <c r="A10864" s="374"/>
      <c r="C10864" s="374"/>
      <c r="CV10864" s="376"/>
    </row>
    <row r="10865" spans="1:100">
      <c r="A10865" s="374"/>
      <c r="C10865" s="374"/>
      <c r="CV10865" s="376"/>
    </row>
    <row r="10866" spans="1:100">
      <c r="A10866" s="374"/>
      <c r="C10866" s="374"/>
      <c r="CV10866" s="376"/>
    </row>
    <row r="10867" spans="1:100">
      <c r="A10867" s="374"/>
      <c r="C10867" s="374"/>
      <c r="CV10867" s="376"/>
    </row>
    <row r="10868" spans="1:100">
      <c r="A10868" s="374"/>
      <c r="C10868" s="374"/>
      <c r="CV10868" s="376"/>
    </row>
    <row r="10869" spans="1:100">
      <c r="A10869" s="374"/>
      <c r="C10869" s="374"/>
      <c r="CV10869" s="376"/>
    </row>
    <row r="10870" spans="1:100">
      <c r="A10870" s="374"/>
      <c r="C10870" s="374"/>
      <c r="CV10870" s="376"/>
    </row>
    <row r="10871" spans="1:100">
      <c r="A10871" s="374"/>
      <c r="C10871" s="374"/>
      <c r="CV10871" s="376"/>
    </row>
    <row r="10872" spans="1:100">
      <c r="A10872" s="374"/>
      <c r="C10872" s="374"/>
      <c r="CV10872" s="376"/>
    </row>
    <row r="10873" spans="1:100">
      <c r="A10873" s="374"/>
      <c r="C10873" s="374"/>
      <c r="CV10873" s="376"/>
    </row>
    <row r="10874" spans="1:100">
      <c r="A10874" s="374"/>
      <c r="C10874" s="374"/>
      <c r="CV10874" s="376"/>
    </row>
    <row r="10875" spans="1:100">
      <c r="A10875" s="374"/>
      <c r="C10875" s="374"/>
      <c r="CV10875" s="376"/>
    </row>
    <row r="10876" spans="1:100">
      <c r="A10876" s="374"/>
      <c r="C10876" s="374"/>
      <c r="CV10876" s="376"/>
    </row>
    <row r="10877" spans="1:100">
      <c r="A10877" s="374"/>
      <c r="C10877" s="374"/>
      <c r="CV10877" s="376"/>
    </row>
    <row r="10878" spans="1:100">
      <c r="A10878" s="374"/>
      <c r="C10878" s="374"/>
      <c r="CV10878" s="376"/>
    </row>
    <row r="10879" spans="1:100">
      <c r="A10879" s="374"/>
      <c r="C10879" s="374"/>
      <c r="CV10879" s="376"/>
    </row>
    <row r="10880" spans="1:100">
      <c r="A10880" s="374"/>
      <c r="C10880" s="374"/>
      <c r="CV10880" s="376"/>
    </row>
    <row r="10881" spans="1:100">
      <c r="A10881" s="374"/>
      <c r="C10881" s="374"/>
      <c r="CV10881" s="376"/>
    </row>
    <row r="10882" spans="1:100">
      <c r="A10882" s="374"/>
      <c r="C10882" s="374"/>
      <c r="CV10882" s="376"/>
    </row>
    <row r="10883" spans="1:100">
      <c r="A10883" s="374"/>
      <c r="C10883" s="374"/>
      <c r="CV10883" s="376"/>
    </row>
    <row r="10884" spans="1:100">
      <c r="A10884" s="374"/>
      <c r="C10884" s="374"/>
      <c r="CV10884" s="376"/>
    </row>
    <row r="10885" spans="1:100">
      <c r="A10885" s="374"/>
      <c r="C10885" s="374"/>
      <c r="CV10885" s="376"/>
    </row>
    <row r="10886" spans="1:100">
      <c r="A10886" s="374"/>
      <c r="C10886" s="374"/>
      <c r="CV10886" s="376"/>
    </row>
    <row r="10887" spans="1:100">
      <c r="A10887" s="374"/>
      <c r="C10887" s="374"/>
      <c r="CV10887" s="376"/>
    </row>
    <row r="10888" spans="1:100">
      <c r="A10888" s="374"/>
      <c r="C10888" s="374"/>
      <c r="CV10888" s="376"/>
    </row>
    <row r="10889" spans="1:100">
      <c r="A10889" s="374"/>
      <c r="C10889" s="374"/>
      <c r="CV10889" s="376"/>
    </row>
    <row r="10890" spans="1:100">
      <c r="A10890" s="374"/>
      <c r="C10890" s="374"/>
      <c r="CV10890" s="376"/>
    </row>
    <row r="10891" spans="1:100">
      <c r="A10891" s="374"/>
      <c r="C10891" s="374"/>
      <c r="CV10891" s="376"/>
    </row>
    <row r="10892" spans="1:100">
      <c r="A10892" s="374"/>
      <c r="C10892" s="374"/>
      <c r="CV10892" s="376"/>
    </row>
    <row r="10893" spans="1:100">
      <c r="A10893" s="374"/>
      <c r="C10893" s="374"/>
      <c r="CV10893" s="376"/>
    </row>
    <row r="10894" spans="1:100">
      <c r="A10894" s="374"/>
      <c r="C10894" s="374"/>
      <c r="CV10894" s="376"/>
    </row>
    <row r="10895" spans="1:100">
      <c r="A10895" s="374"/>
      <c r="C10895" s="374"/>
      <c r="CV10895" s="376"/>
    </row>
    <row r="10896" spans="1:100">
      <c r="A10896" s="374"/>
      <c r="C10896" s="374"/>
      <c r="CV10896" s="376"/>
    </row>
    <row r="10897" spans="1:100">
      <c r="A10897" s="374"/>
      <c r="C10897" s="374"/>
      <c r="CV10897" s="376"/>
    </row>
    <row r="10898" spans="1:100">
      <c r="A10898" s="374"/>
      <c r="C10898" s="374"/>
      <c r="CV10898" s="376"/>
    </row>
    <row r="10899" spans="1:100">
      <c r="A10899" s="374"/>
      <c r="C10899" s="374"/>
      <c r="CV10899" s="376"/>
    </row>
    <row r="10900" spans="1:100">
      <c r="A10900" s="374"/>
      <c r="C10900" s="374"/>
      <c r="CV10900" s="376"/>
    </row>
    <row r="10901" spans="1:100">
      <c r="A10901" s="374"/>
      <c r="C10901" s="374"/>
      <c r="CV10901" s="376"/>
    </row>
    <row r="10902" spans="1:100">
      <c r="A10902" s="374"/>
      <c r="C10902" s="374"/>
      <c r="CV10902" s="376"/>
    </row>
    <row r="10903" spans="1:100">
      <c r="A10903" s="374"/>
      <c r="C10903" s="374"/>
      <c r="CV10903" s="376"/>
    </row>
    <row r="10904" spans="1:100">
      <c r="A10904" s="374"/>
      <c r="C10904" s="374"/>
      <c r="CV10904" s="376"/>
    </row>
    <row r="10905" spans="1:100">
      <c r="A10905" s="374"/>
      <c r="C10905" s="374"/>
      <c r="CV10905" s="376"/>
    </row>
    <row r="10906" spans="1:100">
      <c r="A10906" s="374"/>
      <c r="C10906" s="374"/>
      <c r="CV10906" s="376"/>
    </row>
    <row r="10907" spans="1:100">
      <c r="A10907" s="374"/>
      <c r="C10907" s="374"/>
      <c r="CV10907" s="376"/>
    </row>
    <row r="10908" spans="1:100">
      <c r="A10908" s="374"/>
      <c r="C10908" s="374"/>
      <c r="CV10908" s="376"/>
    </row>
    <row r="10909" spans="1:100">
      <c r="A10909" s="374"/>
      <c r="C10909" s="374"/>
      <c r="CV10909" s="376"/>
    </row>
    <row r="10910" spans="1:100">
      <c r="A10910" s="374"/>
      <c r="C10910" s="374"/>
      <c r="CV10910" s="376"/>
    </row>
    <row r="10911" spans="1:100">
      <c r="A10911" s="374"/>
      <c r="C10911" s="374"/>
      <c r="CV10911" s="376"/>
    </row>
    <row r="10912" spans="1:100">
      <c r="A10912" s="374"/>
      <c r="C10912" s="374"/>
      <c r="CV10912" s="376"/>
    </row>
    <row r="10913" spans="1:100">
      <c r="A10913" s="374"/>
      <c r="C10913" s="374"/>
      <c r="CV10913" s="376"/>
    </row>
    <row r="10914" spans="1:100">
      <c r="A10914" s="374"/>
      <c r="C10914" s="374"/>
      <c r="CV10914" s="376"/>
    </row>
    <row r="10915" spans="1:100">
      <c r="A10915" s="374"/>
      <c r="C10915" s="374"/>
      <c r="CV10915" s="376"/>
    </row>
    <row r="10916" spans="1:100">
      <c r="A10916" s="374"/>
      <c r="C10916" s="374"/>
      <c r="CV10916" s="376"/>
    </row>
    <row r="10917" spans="1:100">
      <c r="A10917" s="374"/>
      <c r="C10917" s="374"/>
      <c r="CV10917" s="376"/>
    </row>
    <row r="10918" spans="1:100">
      <c r="A10918" s="374"/>
      <c r="C10918" s="374"/>
      <c r="CV10918" s="376"/>
    </row>
    <row r="10919" spans="1:100">
      <c r="A10919" s="374"/>
      <c r="C10919" s="374"/>
      <c r="CV10919" s="376"/>
    </row>
    <row r="10920" spans="1:100">
      <c r="A10920" s="374"/>
      <c r="C10920" s="374"/>
      <c r="CV10920" s="376"/>
    </row>
    <row r="10921" spans="1:100">
      <c r="A10921" s="374"/>
      <c r="C10921" s="374"/>
      <c r="CV10921" s="376"/>
    </row>
    <row r="10922" spans="1:100">
      <c r="A10922" s="374"/>
      <c r="C10922" s="374"/>
      <c r="CV10922" s="376"/>
    </row>
    <row r="10923" spans="1:100">
      <c r="A10923" s="374"/>
      <c r="C10923" s="374"/>
      <c r="CV10923" s="376"/>
    </row>
    <row r="10924" spans="1:100">
      <c r="A10924" s="374"/>
      <c r="C10924" s="374"/>
      <c r="CV10924" s="376"/>
    </row>
    <row r="10925" spans="1:100">
      <c r="A10925" s="374"/>
      <c r="C10925" s="374"/>
      <c r="CV10925" s="376"/>
    </row>
    <row r="10926" spans="1:100">
      <c r="A10926" s="374"/>
      <c r="C10926" s="374"/>
      <c r="CV10926" s="376"/>
    </row>
    <row r="10927" spans="1:100">
      <c r="A10927" s="374"/>
      <c r="C10927" s="374"/>
      <c r="CV10927" s="376"/>
    </row>
    <row r="10928" spans="1:100">
      <c r="A10928" s="374"/>
      <c r="C10928" s="374"/>
      <c r="CV10928" s="376"/>
    </row>
    <row r="10929" spans="1:100">
      <c r="A10929" s="374"/>
      <c r="C10929" s="374"/>
      <c r="CV10929" s="376"/>
    </row>
    <row r="10930" spans="1:100">
      <c r="A10930" s="374"/>
      <c r="C10930" s="374"/>
      <c r="CV10930" s="376"/>
    </row>
    <row r="10931" spans="1:100">
      <c r="A10931" s="374"/>
      <c r="C10931" s="374"/>
      <c r="CV10931" s="376"/>
    </row>
    <row r="10932" spans="1:100">
      <c r="A10932" s="374"/>
      <c r="C10932" s="374"/>
      <c r="CV10932" s="376"/>
    </row>
    <row r="10933" spans="1:100">
      <c r="A10933" s="374"/>
      <c r="C10933" s="374"/>
      <c r="CV10933" s="376"/>
    </row>
    <row r="10934" spans="1:100">
      <c r="A10934" s="374"/>
      <c r="C10934" s="374"/>
      <c r="CV10934" s="376"/>
    </row>
    <row r="10935" spans="1:100">
      <c r="A10935" s="374"/>
      <c r="C10935" s="374"/>
      <c r="CV10935" s="376"/>
    </row>
    <row r="10936" spans="1:100">
      <c r="A10936" s="374"/>
      <c r="C10936" s="374"/>
      <c r="CV10936" s="376"/>
    </row>
    <row r="10937" spans="1:100">
      <c r="A10937" s="374"/>
      <c r="C10937" s="374"/>
      <c r="CV10937" s="376"/>
    </row>
    <row r="10938" spans="1:100">
      <c r="A10938" s="374"/>
      <c r="C10938" s="374"/>
      <c r="CV10938" s="376"/>
    </row>
    <row r="10939" spans="1:100">
      <c r="A10939" s="374"/>
      <c r="C10939" s="374"/>
      <c r="CV10939" s="376"/>
    </row>
    <row r="10940" spans="1:100">
      <c r="A10940" s="374"/>
      <c r="C10940" s="374"/>
      <c r="CV10940" s="376"/>
    </row>
    <row r="10941" spans="1:100">
      <c r="A10941" s="374"/>
      <c r="C10941" s="374"/>
      <c r="CV10941" s="376"/>
    </row>
    <row r="10942" spans="1:100">
      <c r="A10942" s="374"/>
      <c r="C10942" s="374"/>
      <c r="CV10942" s="376"/>
    </row>
    <row r="10943" spans="1:100">
      <c r="A10943" s="374"/>
      <c r="C10943" s="374"/>
      <c r="CV10943" s="376"/>
    </row>
    <row r="10944" spans="1:100">
      <c r="A10944" s="374"/>
      <c r="C10944" s="374"/>
      <c r="CV10944" s="376"/>
    </row>
    <row r="10945" spans="1:100">
      <c r="A10945" s="374"/>
      <c r="C10945" s="374"/>
      <c r="CV10945" s="376"/>
    </row>
    <row r="10946" spans="1:100">
      <c r="A10946" s="374"/>
      <c r="C10946" s="374"/>
      <c r="CV10946" s="376"/>
    </row>
    <row r="10947" spans="1:100">
      <c r="A10947" s="374"/>
      <c r="C10947" s="374"/>
      <c r="CV10947" s="376"/>
    </row>
    <row r="10948" spans="1:100">
      <c r="A10948" s="374"/>
      <c r="C10948" s="374"/>
      <c r="CV10948" s="376"/>
    </row>
    <row r="10949" spans="1:100">
      <c r="A10949" s="374"/>
      <c r="C10949" s="374"/>
      <c r="CV10949" s="376"/>
    </row>
    <row r="10950" spans="1:100">
      <c r="A10950" s="374"/>
      <c r="C10950" s="374"/>
      <c r="CV10950" s="376"/>
    </row>
    <row r="10951" spans="1:100">
      <c r="A10951" s="374"/>
      <c r="C10951" s="374"/>
      <c r="CV10951" s="376"/>
    </row>
    <row r="10952" spans="1:100">
      <c r="A10952" s="374"/>
      <c r="C10952" s="374"/>
      <c r="CV10952" s="376"/>
    </row>
    <row r="10953" spans="1:100">
      <c r="A10953" s="374"/>
      <c r="C10953" s="374"/>
      <c r="CV10953" s="376"/>
    </row>
    <row r="10954" spans="1:100">
      <c r="A10954" s="374"/>
      <c r="C10954" s="374"/>
      <c r="CV10954" s="376"/>
    </row>
    <row r="10955" spans="1:100">
      <c r="A10955" s="374"/>
      <c r="C10955" s="374"/>
      <c r="CV10955" s="376"/>
    </row>
    <row r="10956" spans="1:100">
      <c r="A10956" s="374"/>
      <c r="C10956" s="374"/>
      <c r="CV10956" s="376"/>
    </row>
    <row r="10957" spans="1:100">
      <c r="A10957" s="374"/>
      <c r="C10957" s="374"/>
      <c r="CV10957" s="376"/>
    </row>
    <row r="10958" spans="1:100">
      <c r="A10958" s="374"/>
      <c r="C10958" s="374"/>
      <c r="CV10958" s="376"/>
    </row>
    <row r="10959" spans="1:100">
      <c r="A10959" s="374"/>
      <c r="C10959" s="374"/>
      <c r="CV10959" s="376"/>
    </row>
    <row r="10960" spans="1:100">
      <c r="A10960" s="374"/>
      <c r="C10960" s="374"/>
      <c r="CV10960" s="376"/>
    </row>
    <row r="10961" spans="1:100">
      <c r="A10961" s="374"/>
      <c r="C10961" s="374"/>
      <c r="CV10961" s="376"/>
    </row>
    <row r="10962" spans="1:100">
      <c r="A10962" s="374"/>
      <c r="C10962" s="374"/>
      <c r="CV10962" s="376"/>
    </row>
    <row r="10963" spans="1:100">
      <c r="A10963" s="374"/>
      <c r="C10963" s="374"/>
      <c r="CV10963" s="376"/>
    </row>
    <row r="10964" spans="1:100">
      <c r="A10964" s="374"/>
      <c r="C10964" s="374"/>
      <c r="CV10964" s="376"/>
    </row>
    <row r="10965" spans="1:100">
      <c r="A10965" s="374"/>
      <c r="C10965" s="374"/>
      <c r="CV10965" s="376"/>
    </row>
    <row r="10966" spans="1:100">
      <c r="A10966" s="374"/>
      <c r="C10966" s="374"/>
      <c r="CV10966" s="376"/>
    </row>
    <row r="10967" spans="1:100">
      <c r="A10967" s="374"/>
      <c r="C10967" s="374"/>
      <c r="CV10967" s="376"/>
    </row>
    <row r="10968" spans="1:100">
      <c r="A10968" s="374"/>
      <c r="C10968" s="374"/>
      <c r="CV10968" s="376"/>
    </row>
    <row r="10969" spans="1:100">
      <c r="A10969" s="374"/>
      <c r="C10969" s="374"/>
      <c r="CV10969" s="376"/>
    </row>
    <row r="10970" spans="1:100">
      <c r="A10970" s="374"/>
      <c r="C10970" s="374"/>
      <c r="CV10970" s="376"/>
    </row>
    <row r="10971" spans="1:100">
      <c r="A10971" s="374"/>
      <c r="C10971" s="374"/>
      <c r="CV10971" s="376"/>
    </row>
    <row r="10972" spans="1:100">
      <c r="A10972" s="374"/>
      <c r="C10972" s="374"/>
      <c r="CV10972" s="376"/>
    </row>
    <row r="10973" spans="1:100">
      <c r="A10973" s="374"/>
      <c r="C10973" s="374"/>
      <c r="CV10973" s="376"/>
    </row>
    <row r="10974" spans="1:100">
      <c r="A10974" s="374"/>
      <c r="C10974" s="374"/>
      <c r="CV10974" s="376"/>
    </row>
    <row r="10975" spans="1:100">
      <c r="A10975" s="374"/>
      <c r="C10975" s="374"/>
      <c r="CV10975" s="376"/>
    </row>
    <row r="10976" spans="1:100">
      <c r="A10976" s="374"/>
      <c r="C10976" s="374"/>
      <c r="CV10976" s="376"/>
    </row>
    <row r="10977" spans="1:100">
      <c r="A10977" s="374"/>
      <c r="C10977" s="374"/>
      <c r="CV10977" s="376"/>
    </row>
    <row r="10978" spans="1:100">
      <c r="A10978" s="374"/>
      <c r="C10978" s="374"/>
      <c r="CV10978" s="376"/>
    </row>
    <row r="10979" spans="1:100">
      <c r="A10979" s="374"/>
      <c r="C10979" s="374"/>
      <c r="CV10979" s="376"/>
    </row>
    <row r="10980" spans="1:100">
      <c r="A10980" s="374"/>
      <c r="C10980" s="374"/>
      <c r="CV10980" s="376"/>
    </row>
    <row r="10981" spans="1:100">
      <c r="A10981" s="374"/>
      <c r="C10981" s="374"/>
      <c r="CV10981" s="376"/>
    </row>
    <row r="10982" spans="1:100">
      <c r="A10982" s="374"/>
      <c r="C10982" s="374"/>
      <c r="CV10982" s="376"/>
    </row>
    <row r="10983" spans="1:100">
      <c r="A10983" s="374"/>
      <c r="C10983" s="374"/>
      <c r="CV10983" s="376"/>
    </row>
    <row r="10984" spans="1:100">
      <c r="A10984" s="374"/>
      <c r="C10984" s="374"/>
      <c r="CV10984" s="376"/>
    </row>
    <row r="10985" spans="1:100">
      <c r="A10985" s="374"/>
      <c r="C10985" s="374"/>
      <c r="CV10985" s="376"/>
    </row>
    <row r="10986" spans="1:100">
      <c r="A10986" s="374"/>
      <c r="C10986" s="374"/>
      <c r="CV10986" s="376"/>
    </row>
    <row r="10987" spans="1:100">
      <c r="A10987" s="374"/>
      <c r="C10987" s="374"/>
      <c r="CV10987" s="376"/>
    </row>
    <row r="10988" spans="1:100">
      <c r="A10988" s="374"/>
      <c r="C10988" s="374"/>
      <c r="CV10988" s="376"/>
    </row>
    <row r="10989" spans="1:100">
      <c r="A10989" s="374"/>
      <c r="C10989" s="374"/>
      <c r="CV10989" s="376"/>
    </row>
    <row r="10990" spans="1:100">
      <c r="A10990" s="374"/>
      <c r="C10990" s="374"/>
      <c r="CV10990" s="376"/>
    </row>
    <row r="10991" spans="1:100">
      <c r="A10991" s="374"/>
      <c r="C10991" s="374"/>
      <c r="CV10991" s="376"/>
    </row>
    <row r="10992" spans="1:100">
      <c r="A10992" s="374"/>
      <c r="C10992" s="374"/>
      <c r="CV10992" s="376"/>
    </row>
    <row r="10993" spans="1:100">
      <c r="A10993" s="374"/>
      <c r="C10993" s="374"/>
      <c r="CV10993" s="376"/>
    </row>
    <row r="10994" spans="1:100">
      <c r="A10994" s="374"/>
      <c r="C10994" s="374"/>
      <c r="CV10994" s="376"/>
    </row>
    <row r="10995" spans="1:100">
      <c r="A10995" s="374"/>
      <c r="C10995" s="374"/>
      <c r="CV10995" s="376"/>
    </row>
    <row r="10996" spans="1:100">
      <c r="A10996" s="374"/>
      <c r="C10996" s="374"/>
      <c r="CV10996" s="376"/>
    </row>
    <row r="10997" spans="1:100">
      <c r="A10997" s="374"/>
      <c r="C10997" s="374"/>
      <c r="CV10997" s="376"/>
    </row>
    <row r="10998" spans="1:100">
      <c r="A10998" s="374"/>
      <c r="C10998" s="374"/>
      <c r="CV10998" s="376"/>
    </row>
    <row r="10999" spans="1:100">
      <c r="A10999" s="374"/>
      <c r="C10999" s="374"/>
      <c r="CV10999" s="376"/>
    </row>
    <row r="11000" spans="1:100">
      <c r="A11000" s="374"/>
      <c r="C11000" s="374"/>
      <c r="CV11000" s="376"/>
    </row>
    <row r="11001" spans="1:100">
      <c r="A11001" s="374"/>
      <c r="C11001" s="374"/>
      <c r="CV11001" s="376"/>
    </row>
    <row r="11002" spans="1:100">
      <c r="A11002" s="374"/>
      <c r="C11002" s="374"/>
      <c r="CV11002" s="376"/>
    </row>
    <row r="11003" spans="1:100">
      <c r="A11003" s="374"/>
      <c r="C11003" s="374"/>
      <c r="CV11003" s="376"/>
    </row>
    <row r="11004" spans="1:100">
      <c r="A11004" s="374"/>
      <c r="C11004" s="374"/>
      <c r="CV11004" s="376"/>
    </row>
    <row r="11005" spans="1:100">
      <c r="A11005" s="374"/>
      <c r="C11005" s="374"/>
      <c r="CV11005" s="376"/>
    </row>
    <row r="11006" spans="1:100">
      <c r="A11006" s="374"/>
      <c r="C11006" s="374"/>
      <c r="CV11006" s="376"/>
    </row>
    <row r="11007" spans="1:100">
      <c r="A11007" s="374"/>
      <c r="C11007" s="374"/>
      <c r="CV11007" s="376"/>
    </row>
    <row r="11008" spans="1:100">
      <c r="A11008" s="374"/>
      <c r="C11008" s="374"/>
      <c r="CV11008" s="376"/>
    </row>
    <row r="11009" spans="1:100">
      <c r="A11009" s="374"/>
      <c r="C11009" s="374"/>
      <c r="CV11009" s="376"/>
    </row>
    <row r="11010" spans="1:100">
      <c r="A11010" s="374"/>
      <c r="C11010" s="374"/>
      <c r="CV11010" s="376"/>
    </row>
    <row r="11011" spans="1:100">
      <c r="A11011" s="374"/>
      <c r="C11011" s="374"/>
      <c r="CV11011" s="376"/>
    </row>
    <row r="11012" spans="1:100">
      <c r="A11012" s="374"/>
      <c r="C11012" s="374"/>
      <c r="CV11012" s="376"/>
    </row>
    <row r="11013" spans="1:100">
      <c r="A11013" s="374"/>
      <c r="C11013" s="374"/>
      <c r="CV11013" s="376"/>
    </row>
    <row r="11014" spans="1:100">
      <c r="A11014" s="374"/>
      <c r="C11014" s="374"/>
      <c r="CV11014" s="376"/>
    </row>
    <row r="11015" spans="1:100">
      <c r="A11015" s="374"/>
      <c r="C11015" s="374"/>
      <c r="CV11015" s="376"/>
    </row>
    <row r="11016" spans="1:100">
      <c r="A11016" s="374"/>
      <c r="C11016" s="374"/>
      <c r="CV11016" s="376"/>
    </row>
    <row r="11017" spans="1:100">
      <c r="A11017" s="374"/>
      <c r="C11017" s="374"/>
      <c r="CV11017" s="376"/>
    </row>
    <row r="11018" spans="1:100">
      <c r="A11018" s="374"/>
      <c r="C11018" s="374"/>
      <c r="CV11018" s="376"/>
    </row>
    <row r="11019" spans="1:100">
      <c r="A11019" s="374"/>
      <c r="C11019" s="374"/>
      <c r="CV11019" s="376"/>
    </row>
    <row r="11020" spans="1:100">
      <c r="A11020" s="374"/>
      <c r="C11020" s="374"/>
      <c r="CV11020" s="376"/>
    </row>
    <row r="11021" spans="1:100">
      <c r="A11021" s="374"/>
      <c r="C11021" s="374"/>
      <c r="CV11021" s="376"/>
    </row>
    <row r="11022" spans="1:100">
      <c r="A11022" s="374"/>
      <c r="C11022" s="374"/>
      <c r="CV11022" s="376"/>
    </row>
    <row r="11023" spans="1:100">
      <c r="A11023" s="374"/>
      <c r="C11023" s="374"/>
      <c r="CV11023" s="376"/>
    </row>
    <row r="11024" spans="1:100">
      <c r="A11024" s="374"/>
      <c r="C11024" s="374"/>
      <c r="CV11024" s="376"/>
    </row>
    <row r="11025" spans="1:100">
      <c r="A11025" s="374"/>
      <c r="C11025" s="374"/>
      <c r="CV11025" s="376"/>
    </row>
    <row r="11026" spans="1:100">
      <c r="A11026" s="374"/>
      <c r="C11026" s="374"/>
      <c r="CV11026" s="376"/>
    </row>
    <row r="11027" spans="1:100">
      <c r="A11027" s="374"/>
      <c r="C11027" s="374"/>
      <c r="CV11027" s="376"/>
    </row>
    <row r="11028" spans="1:100">
      <c r="A11028" s="374"/>
      <c r="C11028" s="374"/>
      <c r="CV11028" s="376"/>
    </row>
    <row r="11029" spans="1:100">
      <c r="A11029" s="374"/>
      <c r="C11029" s="374"/>
      <c r="CV11029" s="376"/>
    </row>
    <row r="11030" spans="1:100">
      <c r="A11030" s="374"/>
      <c r="C11030" s="374"/>
      <c r="CV11030" s="376"/>
    </row>
    <row r="11031" spans="1:100">
      <c r="A11031" s="374"/>
      <c r="C11031" s="374"/>
      <c r="CV11031" s="376"/>
    </row>
    <row r="11032" spans="1:100">
      <c r="A11032" s="374"/>
      <c r="C11032" s="374"/>
      <c r="CV11032" s="376"/>
    </row>
    <row r="11033" spans="1:100">
      <c r="A11033" s="374"/>
      <c r="C11033" s="374"/>
      <c r="CV11033" s="376"/>
    </row>
    <row r="11034" spans="1:100">
      <c r="A11034" s="374"/>
      <c r="C11034" s="374"/>
      <c r="CV11034" s="376"/>
    </row>
    <row r="11035" spans="1:100">
      <c r="A11035" s="374"/>
      <c r="C11035" s="374"/>
      <c r="CV11035" s="376"/>
    </row>
    <row r="11036" spans="1:100">
      <c r="A11036" s="374"/>
      <c r="C11036" s="374"/>
      <c r="CV11036" s="376"/>
    </row>
    <row r="11037" spans="1:100">
      <c r="A11037" s="374"/>
      <c r="C11037" s="374"/>
      <c r="CV11037" s="376"/>
    </row>
    <row r="11038" spans="1:100">
      <c r="A11038" s="374"/>
      <c r="C11038" s="374"/>
      <c r="CV11038" s="376"/>
    </row>
    <row r="11039" spans="1:100">
      <c r="A11039" s="374"/>
      <c r="C11039" s="374"/>
      <c r="CV11039" s="376"/>
    </row>
    <row r="11040" spans="1:100">
      <c r="A11040" s="374"/>
      <c r="C11040" s="374"/>
      <c r="CV11040" s="376"/>
    </row>
    <row r="11041" spans="1:100">
      <c r="A11041" s="374"/>
      <c r="C11041" s="374"/>
      <c r="CV11041" s="376"/>
    </row>
    <row r="11042" spans="1:100">
      <c r="A11042" s="374"/>
      <c r="C11042" s="374"/>
      <c r="CV11042" s="376"/>
    </row>
    <row r="11043" spans="1:100">
      <c r="A11043" s="374"/>
      <c r="C11043" s="374"/>
      <c r="CV11043" s="376"/>
    </row>
    <row r="11044" spans="1:100">
      <c r="A11044" s="374"/>
      <c r="C11044" s="374"/>
      <c r="CV11044" s="376"/>
    </row>
    <row r="11045" spans="1:100">
      <c r="A11045" s="374"/>
      <c r="C11045" s="374"/>
      <c r="CV11045" s="376"/>
    </row>
    <row r="11046" spans="1:100">
      <c r="A11046" s="374"/>
      <c r="C11046" s="374"/>
      <c r="CV11046" s="376"/>
    </row>
    <row r="11047" spans="1:100">
      <c r="A11047" s="374"/>
      <c r="C11047" s="374"/>
      <c r="CV11047" s="376"/>
    </row>
    <row r="11048" spans="1:100">
      <c r="A11048" s="374"/>
      <c r="C11048" s="374"/>
      <c r="CV11048" s="376"/>
    </row>
    <row r="11049" spans="1:100">
      <c r="A11049" s="374"/>
      <c r="C11049" s="374"/>
      <c r="CV11049" s="376"/>
    </row>
    <row r="11050" spans="1:100">
      <c r="A11050" s="374"/>
      <c r="C11050" s="374"/>
      <c r="CV11050" s="376"/>
    </row>
    <row r="11051" spans="1:100">
      <c r="A11051" s="374"/>
      <c r="C11051" s="374"/>
      <c r="CV11051" s="376"/>
    </row>
    <row r="11052" spans="1:100">
      <c r="A11052" s="374"/>
      <c r="C11052" s="374"/>
      <c r="CV11052" s="376"/>
    </row>
    <row r="11053" spans="1:100">
      <c r="A11053" s="374"/>
      <c r="C11053" s="374"/>
      <c r="CV11053" s="376"/>
    </row>
    <row r="11054" spans="1:100">
      <c r="A11054" s="374"/>
      <c r="C11054" s="374"/>
      <c r="CV11054" s="376"/>
    </row>
    <row r="11055" spans="1:100">
      <c r="A11055" s="374"/>
      <c r="C11055" s="374"/>
      <c r="CV11055" s="376"/>
    </row>
    <row r="11056" spans="1:100">
      <c r="A11056" s="374"/>
      <c r="C11056" s="374"/>
      <c r="CV11056" s="376"/>
    </row>
    <row r="11057" spans="1:100">
      <c r="A11057" s="374"/>
      <c r="C11057" s="374"/>
      <c r="CV11057" s="376"/>
    </row>
    <row r="11058" spans="1:100">
      <c r="A11058" s="374"/>
      <c r="C11058" s="374"/>
      <c r="CV11058" s="376"/>
    </row>
    <row r="11059" spans="1:100">
      <c r="A11059" s="374"/>
      <c r="C11059" s="374"/>
      <c r="CV11059" s="376"/>
    </row>
    <row r="11060" spans="1:100">
      <c r="A11060" s="374"/>
      <c r="C11060" s="374"/>
      <c r="CV11060" s="376"/>
    </row>
    <row r="11061" spans="1:100">
      <c r="A11061" s="374"/>
      <c r="C11061" s="374"/>
      <c r="CV11061" s="376"/>
    </row>
    <row r="11062" spans="1:100">
      <c r="A11062" s="374"/>
      <c r="C11062" s="374"/>
      <c r="CV11062" s="376"/>
    </row>
    <row r="11063" spans="1:100">
      <c r="A11063" s="374"/>
      <c r="C11063" s="374"/>
      <c r="CV11063" s="376"/>
    </row>
    <row r="11064" spans="1:100">
      <c r="A11064" s="374"/>
      <c r="C11064" s="374"/>
      <c r="CV11064" s="376"/>
    </row>
    <row r="11065" spans="1:100">
      <c r="A11065" s="374"/>
      <c r="C11065" s="374"/>
      <c r="CV11065" s="376"/>
    </row>
    <row r="11066" spans="1:100">
      <c r="A11066" s="374"/>
      <c r="C11066" s="374"/>
      <c r="CV11066" s="376"/>
    </row>
    <row r="11067" spans="1:100">
      <c r="A11067" s="374"/>
      <c r="C11067" s="374"/>
      <c r="CV11067" s="376"/>
    </row>
    <row r="11068" spans="1:100">
      <c r="A11068" s="374"/>
      <c r="C11068" s="374"/>
      <c r="CV11068" s="376"/>
    </row>
    <row r="11069" spans="1:100">
      <c r="A11069" s="374"/>
      <c r="C11069" s="374"/>
      <c r="CV11069" s="376"/>
    </row>
    <row r="11070" spans="1:100">
      <c r="A11070" s="374"/>
      <c r="C11070" s="374"/>
      <c r="CV11070" s="376"/>
    </row>
    <row r="11071" spans="1:100">
      <c r="A11071" s="374"/>
      <c r="C11071" s="374"/>
      <c r="CV11071" s="376"/>
    </row>
    <row r="11072" spans="1:100">
      <c r="A11072" s="374"/>
      <c r="C11072" s="374"/>
      <c r="CV11072" s="376"/>
    </row>
    <row r="11073" spans="1:100">
      <c r="A11073" s="374"/>
      <c r="C11073" s="374"/>
      <c r="CV11073" s="376"/>
    </row>
    <row r="11074" spans="1:100">
      <c r="A11074" s="374"/>
      <c r="C11074" s="374"/>
      <c r="CV11074" s="376"/>
    </row>
    <row r="11075" spans="1:100">
      <c r="A11075" s="374"/>
      <c r="C11075" s="374"/>
      <c r="CV11075" s="376"/>
    </row>
    <row r="11076" spans="1:100">
      <c r="A11076" s="374"/>
      <c r="C11076" s="374"/>
      <c r="CV11076" s="376"/>
    </row>
    <row r="11077" spans="1:100">
      <c r="A11077" s="374"/>
      <c r="C11077" s="374"/>
      <c r="CV11077" s="376"/>
    </row>
    <row r="11078" spans="1:100">
      <c r="A11078" s="374"/>
      <c r="C11078" s="374"/>
      <c r="CV11078" s="376"/>
    </row>
    <row r="11079" spans="1:100">
      <c r="A11079" s="374"/>
      <c r="C11079" s="374"/>
      <c r="CV11079" s="376"/>
    </row>
    <row r="11080" spans="1:100">
      <c r="A11080" s="374"/>
      <c r="C11080" s="374"/>
      <c r="CV11080" s="376"/>
    </row>
    <row r="11081" spans="1:100">
      <c r="A11081" s="374"/>
      <c r="C11081" s="374"/>
      <c r="CV11081" s="376"/>
    </row>
    <row r="11082" spans="1:100">
      <c r="A11082" s="374"/>
      <c r="C11082" s="374"/>
      <c r="CV11082" s="376"/>
    </row>
    <row r="11083" spans="1:100">
      <c r="A11083" s="374"/>
      <c r="C11083" s="374"/>
      <c r="CV11083" s="376"/>
    </row>
    <row r="11084" spans="1:100">
      <c r="A11084" s="374"/>
      <c r="C11084" s="374"/>
      <c r="CV11084" s="376"/>
    </row>
    <row r="11085" spans="1:100">
      <c r="A11085" s="374"/>
      <c r="C11085" s="374"/>
      <c r="CV11085" s="376"/>
    </row>
    <row r="11086" spans="1:100">
      <c r="A11086" s="374"/>
      <c r="C11086" s="374"/>
      <c r="CV11086" s="376"/>
    </row>
    <row r="11087" spans="1:100">
      <c r="A11087" s="374"/>
      <c r="C11087" s="374"/>
      <c r="CV11087" s="376"/>
    </row>
    <row r="11088" spans="1:100">
      <c r="A11088" s="374"/>
      <c r="C11088" s="374"/>
      <c r="CV11088" s="376"/>
    </row>
    <row r="11089" spans="1:100">
      <c r="A11089" s="374"/>
      <c r="C11089" s="374"/>
      <c r="CV11089" s="376"/>
    </row>
    <row r="11090" spans="1:100">
      <c r="A11090" s="374"/>
      <c r="C11090" s="374"/>
      <c r="CV11090" s="376"/>
    </row>
    <row r="11091" spans="1:100">
      <c r="A11091" s="374"/>
      <c r="C11091" s="374"/>
      <c r="CV11091" s="376"/>
    </row>
    <row r="11092" spans="1:100">
      <c r="A11092" s="374"/>
      <c r="C11092" s="374"/>
      <c r="CV11092" s="376"/>
    </row>
    <row r="11093" spans="1:100">
      <c r="A11093" s="374"/>
      <c r="C11093" s="374"/>
      <c r="CV11093" s="376"/>
    </row>
    <row r="11094" spans="1:100">
      <c r="A11094" s="374"/>
      <c r="C11094" s="374"/>
      <c r="CV11094" s="376"/>
    </row>
    <row r="11095" spans="1:100">
      <c r="A11095" s="374"/>
      <c r="C11095" s="374"/>
      <c r="CV11095" s="376"/>
    </row>
    <row r="11096" spans="1:100">
      <c r="A11096" s="374"/>
      <c r="C11096" s="374"/>
      <c r="CV11096" s="376"/>
    </row>
    <row r="11097" spans="1:100">
      <c r="A11097" s="374"/>
      <c r="C11097" s="374"/>
      <c r="CV11097" s="376"/>
    </row>
    <row r="11098" spans="1:100">
      <c r="A11098" s="374"/>
      <c r="C11098" s="374"/>
      <c r="CV11098" s="376"/>
    </row>
    <row r="11099" spans="1:100">
      <c r="A11099" s="374"/>
      <c r="C11099" s="374"/>
      <c r="CV11099" s="376"/>
    </row>
    <row r="11100" spans="1:100">
      <c r="A11100" s="374"/>
      <c r="C11100" s="374"/>
      <c r="CV11100" s="376"/>
    </row>
    <row r="11101" spans="1:100">
      <c r="A11101" s="374"/>
      <c r="C11101" s="374"/>
      <c r="CV11101" s="376"/>
    </row>
    <row r="11102" spans="1:100">
      <c r="A11102" s="374"/>
      <c r="C11102" s="374"/>
      <c r="CV11102" s="376"/>
    </row>
    <row r="11103" spans="1:100">
      <c r="A11103" s="374"/>
      <c r="C11103" s="374"/>
      <c r="CV11103" s="376"/>
    </row>
    <row r="11104" spans="1:100">
      <c r="A11104" s="374"/>
      <c r="C11104" s="374"/>
      <c r="CV11104" s="376"/>
    </row>
    <row r="11105" spans="1:100">
      <c r="A11105" s="374"/>
      <c r="C11105" s="374"/>
      <c r="CV11105" s="376"/>
    </row>
    <row r="11106" spans="1:100">
      <c r="A11106" s="374"/>
      <c r="C11106" s="374"/>
      <c r="CV11106" s="376"/>
    </row>
    <row r="11107" spans="1:100">
      <c r="A11107" s="374"/>
      <c r="C11107" s="374"/>
      <c r="CV11107" s="376"/>
    </row>
    <row r="11108" spans="1:100">
      <c r="A11108" s="374"/>
      <c r="C11108" s="374"/>
      <c r="CV11108" s="376"/>
    </row>
    <row r="11109" spans="1:100">
      <c r="A11109" s="374"/>
      <c r="C11109" s="374"/>
      <c r="CV11109" s="376"/>
    </row>
    <row r="11110" spans="1:100">
      <c r="A11110" s="374"/>
      <c r="C11110" s="374"/>
      <c r="CV11110" s="376"/>
    </row>
    <row r="11111" spans="1:100">
      <c r="A11111" s="374"/>
      <c r="C11111" s="374"/>
      <c r="CV11111" s="376"/>
    </row>
    <row r="11112" spans="1:100">
      <c r="A11112" s="374"/>
      <c r="C11112" s="374"/>
      <c r="CV11112" s="376"/>
    </row>
    <row r="11113" spans="1:100">
      <c r="A11113" s="374"/>
      <c r="C11113" s="374"/>
      <c r="CV11113" s="376"/>
    </row>
    <row r="11114" spans="1:100">
      <c r="A11114" s="374"/>
      <c r="C11114" s="374"/>
      <c r="CV11114" s="376"/>
    </row>
    <row r="11115" spans="1:100">
      <c r="A11115" s="374"/>
      <c r="C11115" s="374"/>
      <c r="CV11115" s="376"/>
    </row>
    <row r="11116" spans="1:100">
      <c r="A11116" s="374"/>
      <c r="C11116" s="374"/>
      <c r="CV11116" s="376"/>
    </row>
    <row r="11117" spans="1:100">
      <c r="A11117" s="374"/>
      <c r="C11117" s="374"/>
      <c r="CV11117" s="376"/>
    </row>
    <row r="11118" spans="1:100">
      <c r="A11118" s="374"/>
      <c r="C11118" s="374"/>
      <c r="CV11118" s="376"/>
    </row>
    <row r="11119" spans="1:100">
      <c r="A11119" s="374"/>
      <c r="C11119" s="374"/>
      <c r="CV11119" s="376"/>
    </row>
    <row r="11120" spans="1:100">
      <c r="A11120" s="374"/>
      <c r="C11120" s="374"/>
      <c r="CV11120" s="376"/>
    </row>
    <row r="11121" spans="1:100">
      <c r="A11121" s="374"/>
      <c r="C11121" s="374"/>
      <c r="CV11121" s="376"/>
    </row>
    <row r="11122" spans="1:100">
      <c r="A11122" s="374"/>
      <c r="C11122" s="374"/>
      <c r="CV11122" s="376"/>
    </row>
    <row r="11123" spans="1:100">
      <c r="A11123" s="374"/>
      <c r="C11123" s="374"/>
      <c r="CV11123" s="376"/>
    </row>
    <row r="11124" spans="1:100">
      <c r="A11124" s="374"/>
      <c r="C11124" s="374"/>
      <c r="CV11124" s="376"/>
    </row>
    <row r="11125" spans="1:100">
      <c r="A11125" s="374"/>
      <c r="C11125" s="374"/>
      <c r="CV11125" s="376"/>
    </row>
    <row r="11126" spans="1:100">
      <c r="A11126" s="374"/>
      <c r="C11126" s="374"/>
      <c r="CV11126" s="376"/>
    </row>
    <row r="11127" spans="1:100">
      <c r="A11127" s="374"/>
      <c r="C11127" s="374"/>
      <c r="CV11127" s="376"/>
    </row>
    <row r="11128" spans="1:100">
      <c r="A11128" s="374"/>
      <c r="C11128" s="374"/>
      <c r="CV11128" s="376"/>
    </row>
    <row r="11129" spans="1:100">
      <c r="A11129" s="374"/>
      <c r="C11129" s="374"/>
      <c r="CV11129" s="376"/>
    </row>
    <row r="11130" spans="1:100">
      <c r="A11130" s="374"/>
      <c r="C11130" s="374"/>
      <c r="CV11130" s="376"/>
    </row>
    <row r="11131" spans="1:100">
      <c r="A11131" s="374"/>
      <c r="C11131" s="374"/>
      <c r="CV11131" s="376"/>
    </row>
    <row r="11132" spans="1:100">
      <c r="A11132" s="374"/>
      <c r="C11132" s="374"/>
      <c r="CV11132" s="376"/>
    </row>
    <row r="11133" spans="1:100">
      <c r="A11133" s="374"/>
      <c r="C11133" s="374"/>
      <c r="CV11133" s="376"/>
    </row>
    <row r="11134" spans="1:100">
      <c r="A11134" s="374"/>
      <c r="C11134" s="374"/>
      <c r="CV11134" s="376"/>
    </row>
    <row r="11135" spans="1:100">
      <c r="A11135" s="374"/>
      <c r="C11135" s="374"/>
      <c r="CV11135" s="376"/>
    </row>
    <row r="11136" spans="1:100">
      <c r="A11136" s="374"/>
      <c r="C11136" s="374"/>
      <c r="CV11136" s="376"/>
    </row>
    <row r="11137" spans="1:100">
      <c r="A11137" s="374"/>
      <c r="C11137" s="374"/>
      <c r="CV11137" s="376"/>
    </row>
    <row r="11138" spans="1:100">
      <c r="A11138" s="374"/>
      <c r="C11138" s="374"/>
      <c r="CV11138" s="376"/>
    </row>
    <row r="11139" spans="1:100">
      <c r="A11139" s="374"/>
      <c r="C11139" s="374"/>
      <c r="CV11139" s="376"/>
    </row>
    <row r="11140" spans="1:100">
      <c r="A11140" s="374"/>
      <c r="C11140" s="374"/>
      <c r="CV11140" s="376"/>
    </row>
    <row r="11141" spans="1:100">
      <c r="A11141" s="374"/>
      <c r="C11141" s="374"/>
      <c r="CV11141" s="376"/>
    </row>
    <row r="11142" spans="1:100">
      <c r="A11142" s="374"/>
      <c r="C11142" s="374"/>
      <c r="CV11142" s="376"/>
    </row>
    <row r="11143" spans="1:100">
      <c r="A11143" s="374"/>
      <c r="C11143" s="374"/>
      <c r="CV11143" s="376"/>
    </row>
    <row r="11144" spans="1:100">
      <c r="A11144" s="374"/>
      <c r="C11144" s="374"/>
      <c r="CV11144" s="376"/>
    </row>
    <row r="11145" spans="1:100">
      <c r="A11145" s="374"/>
      <c r="C11145" s="374"/>
      <c r="CV11145" s="376"/>
    </row>
    <row r="11146" spans="1:100">
      <c r="A11146" s="374"/>
      <c r="C11146" s="374"/>
      <c r="CV11146" s="376"/>
    </row>
    <row r="11147" spans="1:100">
      <c r="A11147" s="374"/>
      <c r="C11147" s="374"/>
      <c r="CV11147" s="376"/>
    </row>
    <row r="11148" spans="1:100">
      <c r="A11148" s="374"/>
      <c r="C11148" s="374"/>
      <c r="CV11148" s="376"/>
    </row>
    <row r="11149" spans="1:100">
      <c r="A11149" s="374"/>
      <c r="C11149" s="374"/>
      <c r="CV11149" s="376"/>
    </row>
    <row r="11150" spans="1:100">
      <c r="A11150" s="374"/>
      <c r="C11150" s="374"/>
      <c r="CV11150" s="376"/>
    </row>
    <row r="11151" spans="1:100">
      <c r="A11151" s="374"/>
      <c r="C11151" s="374"/>
      <c r="CV11151" s="376"/>
    </row>
    <row r="11152" spans="1:100">
      <c r="A11152" s="374"/>
      <c r="C11152" s="374"/>
      <c r="CV11152" s="376"/>
    </row>
    <row r="11153" spans="1:100">
      <c r="A11153" s="374"/>
      <c r="C11153" s="374"/>
      <c r="CV11153" s="376"/>
    </row>
    <row r="11154" spans="1:100">
      <c r="A11154" s="374"/>
      <c r="C11154" s="374"/>
      <c r="CV11154" s="376"/>
    </row>
    <row r="11155" spans="1:100">
      <c r="A11155" s="374"/>
      <c r="C11155" s="374"/>
      <c r="CV11155" s="376"/>
    </row>
    <row r="11156" spans="1:100">
      <c r="A11156" s="374"/>
      <c r="C11156" s="374"/>
      <c r="CV11156" s="376"/>
    </row>
    <row r="11157" spans="1:100">
      <c r="A11157" s="374"/>
      <c r="C11157" s="374"/>
      <c r="CV11157" s="376"/>
    </row>
    <row r="11158" spans="1:100">
      <c r="A11158" s="374"/>
      <c r="C11158" s="374"/>
      <c r="CV11158" s="376"/>
    </row>
    <row r="11159" spans="1:100">
      <c r="A11159" s="374"/>
      <c r="C11159" s="374"/>
      <c r="CV11159" s="376"/>
    </row>
    <row r="11160" spans="1:100">
      <c r="A11160" s="374"/>
      <c r="C11160" s="374"/>
      <c r="CV11160" s="376"/>
    </row>
    <row r="11161" spans="1:100">
      <c r="A11161" s="374"/>
      <c r="C11161" s="374"/>
      <c r="CV11161" s="376"/>
    </row>
    <row r="11162" spans="1:100">
      <c r="A11162" s="374"/>
      <c r="C11162" s="374"/>
      <c r="CV11162" s="376"/>
    </row>
    <row r="11163" spans="1:100">
      <c r="A11163" s="374"/>
      <c r="C11163" s="374"/>
      <c r="CV11163" s="376"/>
    </row>
    <row r="11164" spans="1:100">
      <c r="A11164" s="374"/>
      <c r="C11164" s="374"/>
      <c r="CV11164" s="376"/>
    </row>
    <row r="11165" spans="1:100">
      <c r="A11165" s="374"/>
      <c r="C11165" s="374"/>
      <c r="CV11165" s="376"/>
    </row>
    <row r="11166" spans="1:100">
      <c r="A11166" s="374"/>
      <c r="C11166" s="374"/>
      <c r="CV11166" s="376"/>
    </row>
    <row r="11167" spans="1:100">
      <c r="A11167" s="374"/>
      <c r="C11167" s="374"/>
      <c r="CV11167" s="376"/>
    </row>
    <row r="11168" spans="1:100">
      <c r="A11168" s="374"/>
      <c r="C11168" s="374"/>
      <c r="CV11168" s="376"/>
    </row>
    <row r="11169" spans="1:100">
      <c r="A11169" s="374"/>
      <c r="C11169" s="374"/>
      <c r="CV11169" s="376"/>
    </row>
    <row r="11170" spans="1:100">
      <c r="A11170" s="374"/>
      <c r="C11170" s="374"/>
      <c r="CV11170" s="376"/>
    </row>
    <row r="11171" spans="1:100">
      <c r="A11171" s="374"/>
      <c r="C11171" s="374"/>
      <c r="CV11171" s="376"/>
    </row>
    <row r="11172" spans="1:100">
      <c r="A11172" s="374"/>
      <c r="C11172" s="374"/>
      <c r="CV11172" s="376"/>
    </row>
    <row r="11173" spans="1:100">
      <c r="A11173" s="374"/>
      <c r="C11173" s="374"/>
      <c r="CV11173" s="376"/>
    </row>
    <row r="11174" spans="1:100">
      <c r="A11174" s="374"/>
      <c r="C11174" s="374"/>
      <c r="CV11174" s="376"/>
    </row>
    <row r="11175" spans="1:100">
      <c r="A11175" s="374"/>
      <c r="C11175" s="374"/>
      <c r="CV11175" s="376"/>
    </row>
    <row r="11176" spans="1:100">
      <c r="A11176" s="374"/>
      <c r="C11176" s="374"/>
      <c r="CV11176" s="376"/>
    </row>
    <row r="11177" spans="1:100">
      <c r="A11177" s="374"/>
      <c r="C11177" s="374"/>
      <c r="CV11177" s="376"/>
    </row>
    <row r="11178" spans="1:100">
      <c r="A11178" s="374"/>
      <c r="C11178" s="374"/>
      <c r="CV11178" s="376"/>
    </row>
    <row r="11179" spans="1:100">
      <c r="A11179" s="374"/>
      <c r="C11179" s="374"/>
      <c r="CV11179" s="376"/>
    </row>
    <row r="11180" spans="1:100">
      <c r="A11180" s="374"/>
      <c r="C11180" s="374"/>
      <c r="CV11180" s="376"/>
    </row>
    <row r="11181" spans="1:100">
      <c r="A11181" s="374"/>
      <c r="C11181" s="374"/>
      <c r="CV11181" s="376"/>
    </row>
    <row r="11182" spans="1:100">
      <c r="A11182" s="374"/>
      <c r="C11182" s="374"/>
      <c r="CV11182" s="376"/>
    </row>
    <row r="11183" spans="1:100">
      <c r="A11183" s="374"/>
      <c r="C11183" s="374"/>
      <c r="CV11183" s="376"/>
    </row>
    <row r="11184" spans="1:100">
      <c r="A11184" s="374"/>
      <c r="C11184" s="374"/>
      <c r="CV11184" s="376"/>
    </row>
    <row r="11185" spans="1:100">
      <c r="A11185" s="374"/>
      <c r="C11185" s="374"/>
      <c r="CV11185" s="376"/>
    </row>
    <row r="11186" spans="1:100">
      <c r="A11186" s="374"/>
      <c r="C11186" s="374"/>
      <c r="CV11186" s="376"/>
    </row>
    <row r="11187" spans="1:100">
      <c r="A11187" s="374"/>
      <c r="C11187" s="374"/>
      <c r="CV11187" s="376"/>
    </row>
    <row r="11188" spans="1:100">
      <c r="A11188" s="374"/>
      <c r="C11188" s="374"/>
      <c r="CV11188" s="376"/>
    </row>
    <row r="11189" spans="1:100">
      <c r="A11189" s="374"/>
      <c r="C11189" s="374"/>
      <c r="CV11189" s="376"/>
    </row>
    <row r="11190" spans="1:100">
      <c r="A11190" s="374"/>
      <c r="C11190" s="374"/>
      <c r="CV11190" s="376"/>
    </row>
    <row r="11191" spans="1:100">
      <c r="A11191" s="374"/>
      <c r="C11191" s="374"/>
      <c r="CV11191" s="376"/>
    </row>
    <row r="11192" spans="1:100">
      <c r="A11192" s="374"/>
      <c r="C11192" s="374"/>
      <c r="CV11192" s="376"/>
    </row>
    <row r="11193" spans="1:100">
      <c r="A11193" s="374"/>
      <c r="C11193" s="374"/>
      <c r="CV11193" s="376"/>
    </row>
    <row r="11194" spans="1:100">
      <c r="A11194" s="374"/>
      <c r="C11194" s="374"/>
      <c r="CV11194" s="376"/>
    </row>
    <row r="11195" spans="1:100">
      <c r="A11195" s="374"/>
      <c r="C11195" s="374"/>
      <c r="CV11195" s="376"/>
    </row>
    <row r="11196" spans="1:100">
      <c r="A11196" s="374"/>
      <c r="C11196" s="374"/>
      <c r="CV11196" s="376"/>
    </row>
    <row r="11197" spans="1:100">
      <c r="A11197" s="374"/>
      <c r="C11197" s="374"/>
      <c r="CV11197" s="376"/>
    </row>
    <row r="11198" spans="1:100">
      <c r="A11198" s="374"/>
      <c r="C11198" s="374"/>
      <c r="CV11198" s="376"/>
    </row>
    <row r="11199" spans="1:100">
      <c r="A11199" s="374"/>
      <c r="C11199" s="374"/>
      <c r="CV11199" s="376"/>
    </row>
    <row r="11200" spans="1:100">
      <c r="A11200" s="374"/>
      <c r="C11200" s="374"/>
      <c r="CV11200" s="376"/>
    </row>
    <row r="11201" spans="1:100">
      <c r="A11201" s="374"/>
      <c r="C11201" s="374"/>
      <c r="CV11201" s="376"/>
    </row>
    <row r="11202" spans="1:100">
      <c r="A11202" s="374"/>
      <c r="C11202" s="374"/>
      <c r="CV11202" s="376"/>
    </row>
    <row r="11203" spans="1:100">
      <c r="A11203" s="374"/>
      <c r="C11203" s="374"/>
      <c r="CV11203" s="376"/>
    </row>
    <row r="11204" spans="1:100">
      <c r="A11204" s="374"/>
      <c r="C11204" s="374"/>
      <c r="CV11204" s="376"/>
    </row>
    <row r="11205" spans="1:100">
      <c r="A11205" s="374"/>
      <c r="C11205" s="374"/>
      <c r="CV11205" s="376"/>
    </row>
    <row r="11206" spans="1:100">
      <c r="A11206" s="374"/>
      <c r="C11206" s="374"/>
      <c r="CV11206" s="376"/>
    </row>
    <row r="11207" spans="1:100">
      <c r="A11207" s="374"/>
      <c r="C11207" s="374"/>
      <c r="CV11207" s="376"/>
    </row>
    <row r="11208" spans="1:100">
      <c r="A11208" s="374"/>
      <c r="C11208" s="374"/>
      <c r="CV11208" s="376"/>
    </row>
    <row r="11209" spans="1:100">
      <c r="A11209" s="374"/>
      <c r="C11209" s="374"/>
      <c r="CV11209" s="376"/>
    </row>
    <row r="11210" spans="1:100">
      <c r="A11210" s="374"/>
      <c r="C11210" s="374"/>
      <c r="CV11210" s="376"/>
    </row>
    <row r="11211" spans="1:100">
      <c r="A11211" s="374"/>
      <c r="C11211" s="374"/>
      <c r="CV11211" s="376"/>
    </row>
    <row r="11212" spans="1:100">
      <c r="A11212" s="374"/>
      <c r="C11212" s="374"/>
      <c r="CV11212" s="376"/>
    </row>
    <row r="11213" spans="1:100">
      <c r="A11213" s="374"/>
      <c r="C11213" s="374"/>
      <c r="CV11213" s="376"/>
    </row>
    <row r="11214" spans="1:100">
      <c r="A11214" s="374"/>
      <c r="C11214" s="374"/>
      <c r="CV11214" s="376"/>
    </row>
    <row r="11215" spans="1:100">
      <c r="A11215" s="374"/>
      <c r="C11215" s="374"/>
      <c r="CV11215" s="376"/>
    </row>
    <row r="11216" spans="1:100">
      <c r="A11216" s="374"/>
      <c r="C11216" s="374"/>
      <c r="CV11216" s="376"/>
    </row>
    <row r="11217" spans="1:100">
      <c r="A11217" s="374"/>
      <c r="C11217" s="374"/>
      <c r="CV11217" s="376"/>
    </row>
    <row r="11218" spans="1:100">
      <c r="A11218" s="374"/>
      <c r="C11218" s="374"/>
      <c r="CV11218" s="376"/>
    </row>
    <row r="11219" spans="1:100">
      <c r="A11219" s="374"/>
      <c r="C11219" s="374"/>
      <c r="CV11219" s="376"/>
    </row>
    <row r="11220" spans="1:100">
      <c r="A11220" s="374"/>
      <c r="C11220" s="374"/>
      <c r="CV11220" s="376"/>
    </row>
    <row r="11221" spans="1:100">
      <c r="A11221" s="374"/>
      <c r="C11221" s="374"/>
      <c r="CV11221" s="376"/>
    </row>
    <row r="11222" spans="1:100">
      <c r="A11222" s="374"/>
      <c r="C11222" s="374"/>
      <c r="CV11222" s="376"/>
    </row>
    <row r="11223" spans="1:100">
      <c r="A11223" s="374"/>
      <c r="C11223" s="374"/>
      <c r="CV11223" s="376"/>
    </row>
    <row r="11224" spans="1:100">
      <c r="A11224" s="374"/>
      <c r="C11224" s="374"/>
      <c r="CV11224" s="376"/>
    </row>
    <row r="11225" spans="1:100">
      <c r="A11225" s="374"/>
      <c r="C11225" s="374"/>
      <c r="CV11225" s="376"/>
    </row>
    <row r="11226" spans="1:100">
      <c r="A11226" s="374"/>
      <c r="C11226" s="374"/>
      <c r="CV11226" s="376"/>
    </row>
    <row r="11227" spans="1:100">
      <c r="A11227" s="374"/>
      <c r="C11227" s="374"/>
      <c r="CV11227" s="376"/>
    </row>
    <row r="11228" spans="1:100">
      <c r="A11228" s="374"/>
      <c r="C11228" s="374"/>
      <c r="CV11228" s="376"/>
    </row>
    <row r="11229" spans="1:100">
      <c r="A11229" s="374"/>
      <c r="C11229" s="374"/>
      <c r="CV11229" s="376"/>
    </row>
    <row r="11230" spans="1:100">
      <c r="A11230" s="374"/>
      <c r="C11230" s="374"/>
      <c r="CV11230" s="376"/>
    </row>
    <row r="11231" spans="1:100">
      <c r="A11231" s="374"/>
      <c r="C11231" s="374"/>
      <c r="CV11231" s="376"/>
    </row>
    <row r="11232" spans="1:100">
      <c r="A11232" s="374"/>
      <c r="C11232" s="374"/>
      <c r="CV11232" s="376"/>
    </row>
    <row r="11233" spans="1:100">
      <c r="A11233" s="374"/>
      <c r="C11233" s="374"/>
      <c r="CV11233" s="376"/>
    </row>
    <row r="11234" spans="1:100">
      <c r="A11234" s="374"/>
      <c r="C11234" s="374"/>
      <c r="CV11234" s="376"/>
    </row>
    <row r="11235" spans="1:100">
      <c r="A11235" s="374"/>
      <c r="C11235" s="374"/>
      <c r="CV11235" s="376"/>
    </row>
    <row r="11236" spans="1:100">
      <c r="A11236" s="374"/>
      <c r="C11236" s="374"/>
      <c r="CV11236" s="376"/>
    </row>
    <row r="11237" spans="1:100">
      <c r="A11237" s="374"/>
      <c r="C11237" s="374"/>
      <c r="CV11237" s="376"/>
    </row>
    <row r="11238" spans="1:100">
      <c r="A11238" s="374"/>
      <c r="C11238" s="374"/>
      <c r="CV11238" s="376"/>
    </row>
    <row r="11239" spans="1:100">
      <c r="A11239" s="374"/>
      <c r="C11239" s="374"/>
      <c r="CV11239" s="376"/>
    </row>
    <row r="11240" spans="1:100">
      <c r="A11240" s="374"/>
      <c r="C11240" s="374"/>
      <c r="CV11240" s="376"/>
    </row>
    <row r="11241" spans="1:100">
      <c r="A11241" s="374"/>
      <c r="C11241" s="374"/>
      <c r="CV11241" s="376"/>
    </row>
    <row r="11242" spans="1:100">
      <c r="A11242" s="374"/>
      <c r="C11242" s="374"/>
      <c r="CV11242" s="376"/>
    </row>
    <row r="11243" spans="1:100">
      <c r="A11243" s="374"/>
      <c r="C11243" s="374"/>
      <c r="CV11243" s="376"/>
    </row>
    <row r="11244" spans="1:100">
      <c r="A11244" s="374"/>
      <c r="C11244" s="374"/>
      <c r="CV11244" s="376"/>
    </row>
    <row r="11245" spans="1:100">
      <c r="A11245" s="374"/>
      <c r="C11245" s="374"/>
      <c r="CV11245" s="376"/>
    </row>
    <row r="11246" spans="1:100">
      <c r="A11246" s="374"/>
      <c r="C11246" s="374"/>
      <c r="CV11246" s="376"/>
    </row>
    <row r="11247" spans="1:100">
      <c r="A11247" s="374"/>
      <c r="C11247" s="374"/>
      <c r="CV11247" s="376"/>
    </row>
    <row r="11248" spans="1:100">
      <c r="A11248" s="374"/>
      <c r="C11248" s="374"/>
      <c r="CV11248" s="376"/>
    </row>
    <row r="11249" spans="1:100">
      <c r="A11249" s="374"/>
      <c r="C11249" s="374"/>
      <c r="CV11249" s="376"/>
    </row>
    <row r="11250" spans="1:100">
      <c r="A11250" s="374"/>
      <c r="C11250" s="374"/>
      <c r="CV11250" s="376"/>
    </row>
    <row r="11251" spans="1:100">
      <c r="A11251" s="374"/>
      <c r="C11251" s="374"/>
      <c r="CV11251" s="376"/>
    </row>
    <row r="11252" spans="1:100">
      <c r="A11252" s="374"/>
      <c r="C11252" s="374"/>
      <c r="CV11252" s="376"/>
    </row>
    <row r="11253" spans="1:100">
      <c r="A11253" s="374"/>
      <c r="C11253" s="374"/>
      <c r="CV11253" s="376"/>
    </row>
    <row r="11254" spans="1:100">
      <c r="A11254" s="374"/>
      <c r="C11254" s="374"/>
      <c r="CV11254" s="376"/>
    </row>
    <row r="11255" spans="1:100">
      <c r="A11255" s="374"/>
      <c r="C11255" s="374"/>
      <c r="CV11255" s="376"/>
    </row>
    <row r="11256" spans="1:100">
      <c r="A11256" s="374"/>
      <c r="C11256" s="374"/>
      <c r="CV11256" s="376"/>
    </row>
    <row r="11257" spans="1:100">
      <c r="A11257" s="374"/>
      <c r="C11257" s="374"/>
      <c r="CV11257" s="376"/>
    </row>
    <row r="11258" spans="1:100">
      <c r="A11258" s="374"/>
      <c r="C11258" s="374"/>
      <c r="CV11258" s="376"/>
    </row>
    <row r="11259" spans="1:100">
      <c r="A11259" s="374"/>
      <c r="C11259" s="374"/>
      <c r="CV11259" s="376"/>
    </row>
    <row r="11260" spans="1:100">
      <c r="A11260" s="374"/>
      <c r="C11260" s="374"/>
      <c r="CV11260" s="376"/>
    </row>
    <row r="11261" spans="1:100">
      <c r="A11261" s="374"/>
      <c r="C11261" s="374"/>
      <c r="CV11261" s="376"/>
    </row>
    <row r="11262" spans="1:100">
      <c r="A11262" s="374"/>
      <c r="C11262" s="374"/>
      <c r="CV11262" s="376"/>
    </row>
    <row r="11263" spans="1:100">
      <c r="A11263" s="374"/>
      <c r="C11263" s="374"/>
      <c r="CV11263" s="376"/>
    </row>
    <row r="11264" spans="1:100">
      <c r="A11264" s="374"/>
      <c r="C11264" s="374"/>
      <c r="CV11264" s="376"/>
    </row>
    <row r="11265" spans="1:100">
      <c r="A11265" s="374"/>
      <c r="C11265" s="374"/>
      <c r="CV11265" s="376"/>
    </row>
    <row r="11266" spans="1:100">
      <c r="A11266" s="374"/>
      <c r="C11266" s="374"/>
      <c r="CV11266" s="376"/>
    </row>
    <row r="11267" spans="1:100">
      <c r="A11267" s="374"/>
      <c r="C11267" s="374"/>
      <c r="CV11267" s="376"/>
    </row>
    <row r="11268" spans="1:100">
      <c r="A11268" s="374"/>
      <c r="C11268" s="374"/>
      <c r="CV11268" s="376"/>
    </row>
    <row r="11269" spans="1:100">
      <c r="A11269" s="374"/>
      <c r="C11269" s="374"/>
      <c r="CV11269" s="376"/>
    </row>
    <row r="11270" spans="1:100">
      <c r="A11270" s="374"/>
      <c r="C11270" s="374"/>
      <c r="CV11270" s="376"/>
    </row>
    <row r="11271" spans="1:100">
      <c r="A11271" s="374"/>
      <c r="C11271" s="374"/>
      <c r="CV11271" s="376"/>
    </row>
    <row r="11272" spans="1:100">
      <c r="A11272" s="374"/>
      <c r="C11272" s="374"/>
      <c r="CV11272" s="376"/>
    </row>
    <row r="11273" spans="1:100">
      <c r="A11273" s="374"/>
      <c r="C11273" s="374"/>
      <c r="CV11273" s="376"/>
    </row>
    <row r="11274" spans="1:100">
      <c r="A11274" s="374"/>
      <c r="C11274" s="374"/>
      <c r="CV11274" s="376"/>
    </row>
    <row r="11275" spans="1:100">
      <c r="A11275" s="374"/>
      <c r="C11275" s="374"/>
      <c r="CV11275" s="376"/>
    </row>
    <row r="11276" spans="1:100">
      <c r="A11276" s="374"/>
      <c r="C11276" s="374"/>
      <c r="CV11276" s="376"/>
    </row>
    <row r="11277" spans="1:100">
      <c r="A11277" s="374"/>
      <c r="C11277" s="374"/>
      <c r="CV11277" s="376"/>
    </row>
    <row r="11278" spans="1:100">
      <c r="A11278" s="374"/>
      <c r="C11278" s="374"/>
      <c r="CV11278" s="376"/>
    </row>
    <row r="11279" spans="1:100">
      <c r="A11279" s="374"/>
      <c r="C11279" s="374"/>
      <c r="CV11279" s="376"/>
    </row>
    <row r="11280" spans="1:100">
      <c r="A11280" s="374"/>
      <c r="C11280" s="374"/>
      <c r="CV11280" s="376"/>
    </row>
    <row r="11281" spans="1:100">
      <c r="A11281" s="374"/>
      <c r="C11281" s="374"/>
      <c r="CV11281" s="376"/>
    </row>
    <row r="11282" spans="1:100">
      <c r="A11282" s="374"/>
      <c r="C11282" s="374"/>
      <c r="CV11282" s="376"/>
    </row>
    <row r="11283" spans="1:100">
      <c r="A11283" s="374"/>
      <c r="C11283" s="374"/>
      <c r="CV11283" s="376"/>
    </row>
    <row r="11284" spans="1:100">
      <c r="A11284" s="374"/>
      <c r="C11284" s="374"/>
      <c r="CV11284" s="376"/>
    </row>
    <row r="11285" spans="1:100">
      <c r="A11285" s="374"/>
      <c r="C11285" s="374"/>
      <c r="CV11285" s="376"/>
    </row>
    <row r="11286" spans="1:100">
      <c r="A11286" s="374"/>
      <c r="C11286" s="374"/>
      <c r="CV11286" s="376"/>
    </row>
    <row r="11287" spans="1:100">
      <c r="A11287" s="374"/>
      <c r="C11287" s="374"/>
      <c r="CV11287" s="376"/>
    </row>
    <row r="11288" spans="1:100">
      <c r="A11288" s="374"/>
      <c r="C11288" s="374"/>
      <c r="CV11288" s="376"/>
    </row>
    <row r="11289" spans="1:100">
      <c r="A11289" s="374"/>
      <c r="C11289" s="374"/>
      <c r="CV11289" s="376"/>
    </row>
    <row r="11290" spans="1:100">
      <c r="A11290" s="374"/>
      <c r="C11290" s="374"/>
      <c r="CV11290" s="376"/>
    </row>
    <row r="11291" spans="1:100">
      <c r="A11291" s="374"/>
      <c r="C11291" s="374"/>
      <c r="CV11291" s="376"/>
    </row>
    <row r="11292" spans="1:100">
      <c r="A11292" s="374"/>
      <c r="C11292" s="374"/>
      <c r="CV11292" s="376"/>
    </row>
    <row r="11293" spans="1:100">
      <c r="A11293" s="374"/>
      <c r="C11293" s="374"/>
      <c r="CV11293" s="376"/>
    </row>
    <row r="11294" spans="1:100">
      <c r="A11294" s="374"/>
      <c r="C11294" s="374"/>
      <c r="CV11294" s="376"/>
    </row>
    <row r="11295" spans="1:100">
      <c r="A11295" s="374"/>
      <c r="C11295" s="374"/>
      <c r="CV11295" s="376"/>
    </row>
    <row r="11296" spans="1:100">
      <c r="A11296" s="374"/>
      <c r="C11296" s="374"/>
      <c r="CV11296" s="376"/>
    </row>
    <row r="11297" spans="1:100">
      <c r="A11297" s="374"/>
      <c r="C11297" s="374"/>
      <c r="CV11297" s="376"/>
    </row>
    <row r="11298" spans="1:100">
      <c r="A11298" s="374"/>
      <c r="C11298" s="374"/>
      <c r="CV11298" s="376"/>
    </row>
    <row r="11299" spans="1:100">
      <c r="A11299" s="374"/>
      <c r="C11299" s="374"/>
      <c r="CV11299" s="376"/>
    </row>
    <row r="11300" spans="1:100">
      <c r="A11300" s="374"/>
      <c r="C11300" s="374"/>
      <c r="CV11300" s="376"/>
    </row>
    <row r="11301" spans="1:100">
      <c r="A11301" s="374"/>
      <c r="C11301" s="374"/>
      <c r="CV11301" s="376"/>
    </row>
    <row r="11302" spans="1:100">
      <c r="A11302" s="374"/>
      <c r="C11302" s="374"/>
      <c r="CV11302" s="376"/>
    </row>
    <row r="11303" spans="1:100">
      <c r="A11303" s="374"/>
      <c r="C11303" s="374"/>
      <c r="CV11303" s="376"/>
    </row>
    <row r="11304" spans="1:100">
      <c r="A11304" s="374"/>
      <c r="C11304" s="374"/>
      <c r="CV11304" s="376"/>
    </row>
    <row r="11305" spans="1:100">
      <c r="A11305" s="374"/>
      <c r="C11305" s="374"/>
      <c r="CV11305" s="376"/>
    </row>
    <row r="11306" spans="1:100">
      <c r="A11306" s="374"/>
      <c r="C11306" s="374"/>
      <c r="CV11306" s="376"/>
    </row>
    <row r="11307" spans="1:100">
      <c r="A11307" s="374"/>
      <c r="C11307" s="374"/>
      <c r="CV11307" s="376"/>
    </row>
    <row r="11308" spans="1:100">
      <c r="A11308" s="374"/>
      <c r="C11308" s="374"/>
      <c r="CV11308" s="376"/>
    </row>
    <row r="11309" spans="1:100">
      <c r="A11309" s="374"/>
      <c r="C11309" s="374"/>
      <c r="CV11309" s="376"/>
    </row>
    <row r="11310" spans="1:100">
      <c r="A11310" s="374"/>
      <c r="C11310" s="374"/>
      <c r="CV11310" s="376"/>
    </row>
    <row r="11311" spans="1:100">
      <c r="A11311" s="374"/>
      <c r="C11311" s="374"/>
      <c r="CV11311" s="376"/>
    </row>
    <row r="11312" spans="1:100">
      <c r="A11312" s="374"/>
      <c r="C11312" s="374"/>
      <c r="CV11312" s="376"/>
    </row>
    <row r="11313" spans="1:100">
      <c r="A11313" s="374"/>
      <c r="C11313" s="374"/>
      <c r="CV11313" s="376"/>
    </row>
    <row r="11314" spans="1:100">
      <c r="A11314" s="374"/>
      <c r="C11314" s="374"/>
      <c r="CV11314" s="376"/>
    </row>
    <row r="11315" spans="1:100">
      <c r="A11315" s="374"/>
      <c r="C11315" s="374"/>
      <c r="CV11315" s="376"/>
    </row>
    <row r="11316" spans="1:100">
      <c r="A11316" s="374"/>
      <c r="C11316" s="374"/>
      <c r="CV11316" s="376"/>
    </row>
    <row r="11317" spans="1:100">
      <c r="A11317" s="374"/>
      <c r="C11317" s="374"/>
      <c r="CV11317" s="376"/>
    </row>
    <row r="11318" spans="1:100">
      <c r="A11318" s="374"/>
      <c r="C11318" s="374"/>
      <c r="CV11318" s="376"/>
    </row>
    <row r="11319" spans="1:100">
      <c r="A11319" s="374"/>
      <c r="C11319" s="374"/>
      <c r="CV11319" s="376"/>
    </row>
    <row r="11320" spans="1:100">
      <c r="A11320" s="374"/>
      <c r="C11320" s="374"/>
      <c r="CV11320" s="376"/>
    </row>
    <row r="11321" spans="1:100">
      <c r="A11321" s="374"/>
      <c r="C11321" s="374"/>
      <c r="CV11321" s="376"/>
    </row>
    <row r="11322" spans="1:100">
      <c r="A11322" s="374"/>
      <c r="C11322" s="374"/>
      <c r="CV11322" s="376"/>
    </row>
    <row r="11323" spans="1:100">
      <c r="A11323" s="374"/>
      <c r="C11323" s="374"/>
      <c r="CV11323" s="376"/>
    </row>
    <row r="11324" spans="1:100">
      <c r="A11324" s="374"/>
      <c r="C11324" s="374"/>
      <c r="CV11324" s="376"/>
    </row>
    <row r="11325" spans="1:100">
      <c r="A11325" s="374"/>
      <c r="C11325" s="374"/>
      <c r="CV11325" s="376"/>
    </row>
    <row r="11326" spans="1:100">
      <c r="A11326" s="374"/>
      <c r="C11326" s="374"/>
      <c r="CV11326" s="376"/>
    </row>
    <row r="11327" spans="1:100">
      <c r="A11327" s="374"/>
      <c r="C11327" s="374"/>
      <c r="CV11327" s="376"/>
    </row>
    <row r="11328" spans="1:100">
      <c r="A11328" s="374"/>
      <c r="C11328" s="374"/>
      <c r="CV11328" s="376"/>
    </row>
    <row r="11329" spans="1:100">
      <c r="A11329" s="374"/>
      <c r="C11329" s="374"/>
      <c r="CV11329" s="376"/>
    </row>
    <row r="11330" spans="1:100">
      <c r="A11330" s="374"/>
      <c r="C11330" s="374"/>
      <c r="CV11330" s="376"/>
    </row>
    <row r="11331" spans="1:100">
      <c r="A11331" s="374"/>
      <c r="C11331" s="374"/>
      <c r="CV11331" s="376"/>
    </row>
    <row r="11332" spans="1:100">
      <c r="A11332" s="374"/>
      <c r="C11332" s="374"/>
      <c r="CV11332" s="376"/>
    </row>
    <row r="11333" spans="1:100">
      <c r="A11333" s="374"/>
      <c r="C11333" s="374"/>
      <c r="CV11333" s="376"/>
    </row>
    <row r="11334" spans="1:100">
      <c r="A11334" s="374"/>
      <c r="C11334" s="374"/>
      <c r="CV11334" s="376"/>
    </row>
    <row r="11335" spans="1:100">
      <c r="A11335" s="374"/>
      <c r="C11335" s="374"/>
      <c r="CV11335" s="376"/>
    </row>
    <row r="11336" spans="1:100">
      <c r="A11336" s="374"/>
      <c r="C11336" s="374"/>
      <c r="CV11336" s="376"/>
    </row>
    <row r="11337" spans="1:100">
      <c r="A11337" s="374"/>
      <c r="C11337" s="374"/>
      <c r="CV11337" s="376"/>
    </row>
    <row r="11338" spans="1:100">
      <c r="A11338" s="374"/>
      <c r="C11338" s="374"/>
      <c r="CV11338" s="376"/>
    </row>
    <row r="11339" spans="1:100">
      <c r="A11339" s="374"/>
      <c r="C11339" s="374"/>
      <c r="CV11339" s="376"/>
    </row>
    <row r="11340" spans="1:100">
      <c r="A11340" s="374"/>
      <c r="C11340" s="374"/>
      <c r="CV11340" s="376"/>
    </row>
    <row r="11341" spans="1:100">
      <c r="A11341" s="374"/>
      <c r="C11341" s="374"/>
      <c r="CV11341" s="376"/>
    </row>
    <row r="11342" spans="1:100">
      <c r="A11342" s="374"/>
      <c r="C11342" s="374"/>
      <c r="CV11342" s="376"/>
    </row>
    <row r="11343" spans="1:100">
      <c r="A11343" s="374"/>
      <c r="C11343" s="374"/>
      <c r="CV11343" s="376"/>
    </row>
    <row r="11344" spans="1:100">
      <c r="A11344" s="374"/>
      <c r="C11344" s="374"/>
      <c r="CV11344" s="376"/>
    </row>
    <row r="11345" spans="1:100">
      <c r="A11345" s="374"/>
      <c r="C11345" s="374"/>
      <c r="CV11345" s="376"/>
    </row>
    <row r="11346" spans="1:100">
      <c r="A11346" s="374"/>
      <c r="C11346" s="374"/>
      <c r="CV11346" s="376"/>
    </row>
    <row r="11347" spans="1:100">
      <c r="A11347" s="374"/>
      <c r="C11347" s="374"/>
      <c r="CV11347" s="376"/>
    </row>
    <row r="11348" spans="1:100">
      <c r="A11348" s="374"/>
      <c r="C11348" s="374"/>
      <c r="CV11348" s="376"/>
    </row>
    <row r="11349" spans="1:100">
      <c r="A11349" s="374"/>
      <c r="C11349" s="374"/>
      <c r="CV11349" s="376"/>
    </row>
    <row r="11350" spans="1:100">
      <c r="A11350" s="374"/>
      <c r="C11350" s="374"/>
      <c r="CV11350" s="376"/>
    </row>
    <row r="11351" spans="1:100">
      <c r="A11351" s="374"/>
      <c r="C11351" s="374"/>
      <c r="CV11351" s="376"/>
    </row>
    <row r="11352" spans="1:100">
      <c r="A11352" s="374"/>
      <c r="C11352" s="374"/>
      <c r="CV11352" s="376"/>
    </row>
    <row r="11353" spans="1:100">
      <c r="A11353" s="374"/>
      <c r="C11353" s="374"/>
      <c r="CV11353" s="376"/>
    </row>
    <row r="11354" spans="1:100">
      <c r="A11354" s="374"/>
      <c r="C11354" s="374"/>
      <c r="CV11354" s="376"/>
    </row>
    <row r="11355" spans="1:100">
      <c r="A11355" s="374"/>
      <c r="C11355" s="374"/>
      <c r="CV11355" s="376"/>
    </row>
    <row r="11356" spans="1:100">
      <c r="A11356" s="374"/>
      <c r="C11356" s="374"/>
      <c r="CV11356" s="376"/>
    </row>
    <row r="11357" spans="1:100">
      <c r="A11357" s="374"/>
      <c r="C11357" s="374"/>
      <c r="CV11357" s="376"/>
    </row>
    <row r="11358" spans="1:100">
      <c r="A11358" s="374"/>
      <c r="C11358" s="374"/>
      <c r="CV11358" s="376"/>
    </row>
    <row r="11359" spans="1:100">
      <c r="A11359" s="374"/>
      <c r="C11359" s="374"/>
      <c r="CV11359" s="376"/>
    </row>
    <row r="11360" spans="1:100">
      <c r="A11360" s="374"/>
      <c r="C11360" s="374"/>
      <c r="CV11360" s="376"/>
    </row>
    <row r="11361" spans="1:100">
      <c r="A11361" s="374"/>
      <c r="C11361" s="374"/>
      <c r="CV11361" s="376"/>
    </row>
    <row r="11362" spans="1:100">
      <c r="A11362" s="374"/>
      <c r="C11362" s="374"/>
      <c r="CV11362" s="376"/>
    </row>
    <row r="11363" spans="1:100">
      <c r="A11363" s="374"/>
      <c r="C11363" s="374"/>
      <c r="CV11363" s="376"/>
    </row>
    <row r="11364" spans="1:100">
      <c r="A11364" s="374"/>
      <c r="C11364" s="374"/>
      <c r="CV11364" s="376"/>
    </row>
    <row r="11365" spans="1:100">
      <c r="A11365" s="374"/>
      <c r="C11365" s="374"/>
      <c r="CV11365" s="376"/>
    </row>
    <row r="11366" spans="1:100">
      <c r="A11366" s="374"/>
      <c r="C11366" s="374"/>
      <c r="CV11366" s="376"/>
    </row>
    <row r="11367" spans="1:100">
      <c r="A11367" s="374"/>
      <c r="C11367" s="374"/>
      <c r="CV11367" s="376"/>
    </row>
    <row r="11368" spans="1:100">
      <c r="A11368" s="374"/>
      <c r="C11368" s="374"/>
      <c r="CV11368" s="376"/>
    </row>
    <row r="11369" spans="1:100">
      <c r="A11369" s="374"/>
      <c r="C11369" s="374"/>
      <c r="CV11369" s="376"/>
    </row>
    <row r="11370" spans="1:100">
      <c r="A11370" s="374"/>
      <c r="C11370" s="374"/>
      <c r="CV11370" s="376"/>
    </row>
    <row r="11371" spans="1:100">
      <c r="A11371" s="374"/>
      <c r="C11371" s="374"/>
      <c r="CV11371" s="376"/>
    </row>
    <row r="11372" spans="1:100">
      <c r="A11372" s="374"/>
      <c r="C11372" s="374"/>
      <c r="CV11372" s="376"/>
    </row>
    <row r="11373" spans="1:100">
      <c r="A11373" s="374"/>
      <c r="C11373" s="374"/>
      <c r="CV11373" s="376"/>
    </row>
    <row r="11374" spans="1:100">
      <c r="A11374" s="374"/>
      <c r="C11374" s="374"/>
      <c r="CV11374" s="376"/>
    </row>
    <row r="11375" spans="1:100">
      <c r="A11375" s="374"/>
      <c r="C11375" s="374"/>
      <c r="CV11375" s="376"/>
    </row>
    <row r="11376" spans="1:100">
      <c r="A11376" s="374"/>
      <c r="C11376" s="374"/>
      <c r="CV11376" s="376"/>
    </row>
    <row r="11377" spans="1:100">
      <c r="A11377" s="374"/>
      <c r="C11377" s="374"/>
      <c r="CV11377" s="376"/>
    </row>
    <row r="11378" spans="1:100">
      <c r="A11378" s="374"/>
      <c r="C11378" s="374"/>
      <c r="CV11378" s="376"/>
    </row>
    <row r="11379" spans="1:100">
      <c r="A11379" s="374"/>
      <c r="C11379" s="374"/>
      <c r="CV11379" s="376"/>
    </row>
    <row r="11380" spans="1:100">
      <c r="A11380" s="374"/>
      <c r="C11380" s="374"/>
      <c r="CV11380" s="376"/>
    </row>
    <row r="11381" spans="1:100">
      <c r="A11381" s="374"/>
      <c r="C11381" s="374"/>
      <c r="CV11381" s="376"/>
    </row>
    <row r="11382" spans="1:100">
      <c r="A11382" s="374"/>
      <c r="C11382" s="374"/>
      <c r="CV11382" s="376"/>
    </row>
    <row r="11383" spans="1:100">
      <c r="A11383" s="374"/>
      <c r="C11383" s="374"/>
      <c r="CV11383" s="376"/>
    </row>
    <row r="11384" spans="1:100">
      <c r="A11384" s="374"/>
      <c r="C11384" s="374"/>
      <c r="CV11384" s="376"/>
    </row>
    <row r="11385" spans="1:100">
      <c r="A11385" s="374"/>
      <c r="C11385" s="374"/>
      <c r="CV11385" s="376"/>
    </row>
    <row r="11386" spans="1:100">
      <c r="A11386" s="374"/>
      <c r="C11386" s="374"/>
      <c r="CV11386" s="376"/>
    </row>
    <row r="11387" spans="1:100">
      <c r="A11387" s="374"/>
      <c r="C11387" s="374"/>
      <c r="CV11387" s="376"/>
    </row>
    <row r="11388" spans="1:100">
      <c r="A11388" s="374"/>
      <c r="C11388" s="374"/>
      <c r="CV11388" s="376"/>
    </row>
    <row r="11389" spans="1:100">
      <c r="A11389" s="374"/>
      <c r="C11389" s="374"/>
      <c r="CV11389" s="376"/>
    </row>
    <row r="11390" spans="1:100">
      <c r="A11390" s="374"/>
      <c r="C11390" s="374"/>
      <c r="CV11390" s="376"/>
    </row>
    <row r="11391" spans="1:100">
      <c r="A11391" s="374"/>
      <c r="C11391" s="374"/>
      <c r="CV11391" s="376"/>
    </row>
    <row r="11392" spans="1:100">
      <c r="A11392" s="374"/>
      <c r="C11392" s="374"/>
      <c r="CV11392" s="376"/>
    </row>
    <row r="11393" spans="1:100">
      <c r="A11393" s="374"/>
      <c r="C11393" s="374"/>
      <c r="CV11393" s="376"/>
    </row>
    <row r="11394" spans="1:100">
      <c r="A11394" s="374"/>
      <c r="C11394" s="374"/>
      <c r="CV11394" s="376"/>
    </row>
    <row r="11395" spans="1:100">
      <c r="A11395" s="374"/>
      <c r="C11395" s="374"/>
      <c r="CV11395" s="376"/>
    </row>
    <row r="11396" spans="1:100">
      <c r="A11396" s="374"/>
      <c r="C11396" s="374"/>
      <c r="CV11396" s="376"/>
    </row>
    <row r="11397" spans="1:100">
      <c r="A11397" s="374"/>
      <c r="C11397" s="374"/>
      <c r="CV11397" s="376"/>
    </row>
    <row r="11398" spans="1:100">
      <c r="A11398" s="374"/>
      <c r="C11398" s="374"/>
      <c r="CV11398" s="376"/>
    </row>
    <row r="11399" spans="1:100">
      <c r="A11399" s="374"/>
      <c r="C11399" s="374"/>
      <c r="CV11399" s="376"/>
    </row>
    <row r="11400" spans="1:100">
      <c r="A11400" s="374"/>
      <c r="C11400" s="374"/>
      <c r="CV11400" s="376"/>
    </row>
    <row r="11401" spans="1:100">
      <c r="A11401" s="374"/>
      <c r="C11401" s="374"/>
      <c r="CV11401" s="376"/>
    </row>
    <row r="11402" spans="1:100">
      <c r="A11402" s="374"/>
      <c r="C11402" s="374"/>
      <c r="CV11402" s="376"/>
    </row>
    <row r="11403" spans="1:100">
      <c r="A11403" s="374"/>
      <c r="C11403" s="374"/>
      <c r="CV11403" s="376"/>
    </row>
    <row r="11404" spans="1:100">
      <c r="A11404" s="374"/>
      <c r="C11404" s="374"/>
      <c r="CV11404" s="376"/>
    </row>
    <row r="11405" spans="1:100">
      <c r="A11405" s="374"/>
      <c r="C11405" s="374"/>
      <c r="CV11405" s="376"/>
    </row>
    <row r="11406" spans="1:100">
      <c r="A11406" s="374"/>
      <c r="C11406" s="374"/>
      <c r="CV11406" s="376"/>
    </row>
    <row r="11407" spans="1:100">
      <c r="A11407" s="374"/>
      <c r="C11407" s="374"/>
      <c r="CV11407" s="376"/>
    </row>
    <row r="11408" spans="1:100">
      <c r="A11408" s="374"/>
      <c r="C11408" s="374"/>
      <c r="CV11408" s="376"/>
    </row>
    <row r="11409" spans="1:100">
      <c r="A11409" s="374"/>
      <c r="C11409" s="374"/>
      <c r="CV11409" s="376"/>
    </row>
    <row r="11410" spans="1:100">
      <c r="A11410" s="374"/>
      <c r="C11410" s="374"/>
      <c r="CV11410" s="376"/>
    </row>
    <row r="11411" spans="1:100">
      <c r="A11411" s="374"/>
      <c r="C11411" s="374"/>
      <c r="CV11411" s="376"/>
    </row>
    <row r="11412" spans="1:100">
      <c r="A11412" s="374"/>
      <c r="C11412" s="374"/>
      <c r="CV11412" s="376"/>
    </row>
    <row r="11413" spans="1:100">
      <c r="A11413" s="374"/>
      <c r="C11413" s="374"/>
      <c r="CV11413" s="376"/>
    </row>
    <row r="11414" spans="1:100">
      <c r="A11414" s="374"/>
      <c r="C11414" s="374"/>
      <c r="CV11414" s="376"/>
    </row>
    <row r="11415" spans="1:100">
      <c r="A11415" s="374"/>
      <c r="C11415" s="374"/>
      <c r="CV11415" s="376"/>
    </row>
    <row r="11416" spans="1:100">
      <c r="A11416" s="374"/>
      <c r="C11416" s="374"/>
      <c r="CV11416" s="376"/>
    </row>
    <row r="11417" spans="1:100">
      <c r="A11417" s="374"/>
      <c r="C11417" s="374"/>
      <c r="CV11417" s="376"/>
    </row>
    <row r="11418" spans="1:100">
      <c r="A11418" s="374"/>
      <c r="C11418" s="374"/>
      <c r="CV11418" s="376"/>
    </row>
    <row r="11419" spans="1:100">
      <c r="A11419" s="374"/>
      <c r="C11419" s="374"/>
      <c r="CV11419" s="376"/>
    </row>
    <row r="11420" spans="1:100">
      <c r="A11420" s="374"/>
      <c r="C11420" s="374"/>
      <c r="CV11420" s="376"/>
    </row>
    <row r="11421" spans="1:100">
      <c r="A11421" s="374"/>
      <c r="C11421" s="374"/>
      <c r="CV11421" s="376"/>
    </row>
    <row r="11422" spans="1:100">
      <c r="A11422" s="374"/>
      <c r="C11422" s="374"/>
      <c r="CV11422" s="376"/>
    </row>
    <row r="11423" spans="1:100">
      <c r="A11423" s="374"/>
      <c r="C11423" s="374"/>
      <c r="CV11423" s="376"/>
    </row>
    <row r="11424" spans="1:100">
      <c r="A11424" s="374"/>
      <c r="C11424" s="374"/>
      <c r="CV11424" s="376"/>
    </row>
    <row r="11425" spans="1:100">
      <c r="A11425" s="374"/>
      <c r="C11425" s="374"/>
      <c r="CV11425" s="376"/>
    </row>
    <row r="11426" spans="1:100">
      <c r="A11426" s="374"/>
      <c r="C11426" s="374"/>
      <c r="CV11426" s="376"/>
    </row>
    <row r="11427" spans="1:100">
      <c r="A11427" s="374"/>
      <c r="C11427" s="374"/>
      <c r="CV11427" s="376"/>
    </row>
    <row r="11428" spans="1:100">
      <c r="A11428" s="374"/>
      <c r="C11428" s="374"/>
      <c r="CV11428" s="376"/>
    </row>
    <row r="11429" spans="1:100">
      <c r="A11429" s="374"/>
      <c r="C11429" s="374"/>
      <c r="CV11429" s="376"/>
    </row>
    <row r="11430" spans="1:100">
      <c r="A11430" s="374"/>
      <c r="C11430" s="374"/>
      <c r="CV11430" s="376"/>
    </row>
    <row r="11431" spans="1:100">
      <c r="A11431" s="374"/>
      <c r="C11431" s="374"/>
      <c r="CV11431" s="376"/>
    </row>
    <row r="11432" spans="1:100">
      <c r="A11432" s="374"/>
      <c r="C11432" s="374"/>
      <c r="CV11432" s="376"/>
    </row>
    <row r="11433" spans="1:100">
      <c r="A11433" s="374"/>
      <c r="C11433" s="374"/>
      <c r="CV11433" s="376"/>
    </row>
    <row r="11434" spans="1:100">
      <c r="A11434" s="374"/>
      <c r="C11434" s="374"/>
      <c r="CV11434" s="376"/>
    </row>
    <row r="11435" spans="1:100">
      <c r="A11435" s="374"/>
      <c r="C11435" s="374"/>
      <c r="CV11435" s="376"/>
    </row>
    <row r="11436" spans="1:100">
      <c r="A11436" s="374"/>
      <c r="C11436" s="374"/>
      <c r="CV11436" s="376"/>
    </row>
    <row r="11437" spans="1:100">
      <c r="A11437" s="374"/>
      <c r="C11437" s="374"/>
      <c r="CV11437" s="376"/>
    </row>
    <row r="11438" spans="1:100">
      <c r="A11438" s="374"/>
      <c r="C11438" s="374"/>
      <c r="CV11438" s="376"/>
    </row>
    <row r="11439" spans="1:100">
      <c r="A11439" s="374"/>
      <c r="C11439" s="374"/>
      <c r="CV11439" s="376"/>
    </row>
    <row r="11440" spans="1:100">
      <c r="A11440" s="374"/>
      <c r="C11440" s="374"/>
      <c r="CV11440" s="376"/>
    </row>
    <row r="11441" spans="1:100">
      <c r="A11441" s="374"/>
      <c r="C11441" s="374"/>
      <c r="CV11441" s="376"/>
    </row>
    <row r="11442" spans="1:100">
      <c r="A11442" s="374"/>
      <c r="C11442" s="374"/>
      <c r="CV11442" s="376"/>
    </row>
    <row r="11443" spans="1:100">
      <c r="A11443" s="374"/>
      <c r="C11443" s="374"/>
      <c r="CV11443" s="376"/>
    </row>
    <row r="11444" spans="1:100">
      <c r="A11444" s="374"/>
      <c r="C11444" s="374"/>
      <c r="CV11444" s="376"/>
    </row>
    <row r="11445" spans="1:100">
      <c r="A11445" s="374"/>
      <c r="C11445" s="374"/>
      <c r="CV11445" s="376"/>
    </row>
    <row r="11446" spans="1:100">
      <c r="A11446" s="374"/>
      <c r="C11446" s="374"/>
      <c r="CV11446" s="376"/>
    </row>
    <row r="11447" spans="1:100">
      <c r="A11447" s="374"/>
      <c r="C11447" s="374"/>
      <c r="CV11447" s="376"/>
    </row>
    <row r="11448" spans="1:100">
      <c r="A11448" s="374"/>
      <c r="C11448" s="374"/>
      <c r="CV11448" s="376"/>
    </row>
    <row r="11449" spans="1:100">
      <c r="A11449" s="374"/>
      <c r="C11449" s="374"/>
      <c r="CV11449" s="376"/>
    </row>
    <row r="11450" spans="1:100">
      <c r="A11450" s="374"/>
      <c r="C11450" s="374"/>
      <c r="CV11450" s="376"/>
    </row>
    <row r="11451" spans="1:100">
      <c r="A11451" s="374"/>
      <c r="C11451" s="374"/>
      <c r="CV11451" s="376"/>
    </row>
    <row r="11452" spans="1:100">
      <c r="A11452" s="374"/>
      <c r="C11452" s="374"/>
      <c r="CV11452" s="376"/>
    </row>
    <row r="11453" spans="1:100">
      <c r="A11453" s="374"/>
      <c r="C11453" s="374"/>
      <c r="CV11453" s="376"/>
    </row>
    <row r="11454" spans="1:100">
      <c r="A11454" s="374"/>
      <c r="C11454" s="374"/>
      <c r="CV11454" s="376"/>
    </row>
    <row r="11455" spans="1:100">
      <c r="A11455" s="374"/>
      <c r="C11455" s="374"/>
      <c r="CV11455" s="376"/>
    </row>
    <row r="11456" spans="1:100">
      <c r="A11456" s="374"/>
      <c r="C11456" s="374"/>
      <c r="CV11456" s="376"/>
    </row>
    <row r="11457" spans="1:100">
      <c r="A11457" s="374"/>
      <c r="C11457" s="374"/>
      <c r="CV11457" s="376"/>
    </row>
    <row r="11458" spans="1:100">
      <c r="A11458" s="374"/>
      <c r="C11458" s="374"/>
      <c r="CV11458" s="376"/>
    </row>
    <row r="11459" spans="1:100">
      <c r="A11459" s="374"/>
      <c r="C11459" s="374"/>
      <c r="CV11459" s="376"/>
    </row>
    <row r="11460" spans="1:100">
      <c r="A11460" s="374"/>
      <c r="C11460" s="374"/>
      <c r="CV11460" s="376"/>
    </row>
    <row r="11461" spans="1:100">
      <c r="A11461" s="374"/>
      <c r="C11461" s="374"/>
      <c r="CV11461" s="376"/>
    </row>
    <row r="11462" spans="1:100">
      <c r="A11462" s="374"/>
      <c r="C11462" s="374"/>
      <c r="CV11462" s="376"/>
    </row>
    <row r="11463" spans="1:100">
      <c r="A11463" s="374"/>
      <c r="C11463" s="374"/>
      <c r="CV11463" s="376"/>
    </row>
    <row r="11464" spans="1:100">
      <c r="A11464" s="374"/>
      <c r="C11464" s="374"/>
      <c r="CV11464" s="376"/>
    </row>
    <row r="11465" spans="1:100">
      <c r="A11465" s="374"/>
      <c r="C11465" s="374"/>
      <c r="CV11465" s="376"/>
    </row>
    <row r="11466" spans="1:100">
      <c r="A11466" s="374"/>
      <c r="C11466" s="374"/>
      <c r="CV11466" s="376"/>
    </row>
    <row r="11467" spans="1:100">
      <c r="A11467" s="374"/>
      <c r="C11467" s="374"/>
      <c r="CV11467" s="376"/>
    </row>
    <row r="11468" spans="1:100">
      <c r="A11468" s="374"/>
      <c r="C11468" s="374"/>
      <c r="CV11468" s="376"/>
    </row>
    <row r="11469" spans="1:100">
      <c r="A11469" s="374"/>
      <c r="C11469" s="374"/>
      <c r="CV11469" s="376"/>
    </row>
    <row r="11470" spans="1:100">
      <c r="A11470" s="374"/>
      <c r="C11470" s="374"/>
      <c r="CV11470" s="376"/>
    </row>
    <row r="11471" spans="1:100">
      <c r="A11471" s="374"/>
      <c r="C11471" s="374"/>
      <c r="CV11471" s="376"/>
    </row>
    <row r="11472" spans="1:100">
      <c r="A11472" s="374"/>
      <c r="C11472" s="374"/>
      <c r="CV11472" s="376"/>
    </row>
    <row r="11473" spans="1:100">
      <c r="A11473" s="374"/>
      <c r="C11473" s="374"/>
      <c r="CV11473" s="376"/>
    </row>
    <row r="11474" spans="1:100">
      <c r="A11474" s="374"/>
      <c r="C11474" s="374"/>
      <c r="CV11474" s="376"/>
    </row>
    <row r="11475" spans="1:100">
      <c r="A11475" s="374"/>
      <c r="C11475" s="374"/>
      <c r="CV11475" s="376"/>
    </row>
    <row r="11476" spans="1:100">
      <c r="A11476" s="374"/>
      <c r="C11476" s="374"/>
      <c r="CV11476" s="376"/>
    </row>
    <row r="11477" spans="1:100">
      <c r="A11477" s="374"/>
      <c r="C11477" s="374"/>
      <c r="CV11477" s="376"/>
    </row>
    <row r="11478" spans="1:100">
      <c r="A11478" s="374"/>
      <c r="C11478" s="374"/>
      <c r="CV11478" s="376"/>
    </row>
    <row r="11479" spans="1:100">
      <c r="A11479" s="374"/>
      <c r="C11479" s="374"/>
      <c r="CV11479" s="376"/>
    </row>
    <row r="11480" spans="1:100">
      <c r="A11480" s="374"/>
      <c r="C11480" s="374"/>
      <c r="CV11480" s="376"/>
    </row>
    <row r="11481" spans="1:100">
      <c r="A11481" s="374"/>
      <c r="C11481" s="374"/>
      <c r="CV11481" s="376"/>
    </row>
    <row r="11482" spans="1:100">
      <c r="A11482" s="374"/>
      <c r="C11482" s="374"/>
      <c r="CV11482" s="376"/>
    </row>
    <row r="11483" spans="1:100">
      <c r="A11483" s="374"/>
      <c r="C11483" s="374"/>
      <c r="CV11483" s="376"/>
    </row>
    <row r="11484" spans="1:100">
      <c r="A11484" s="374"/>
      <c r="C11484" s="374"/>
      <c r="CV11484" s="376"/>
    </row>
    <row r="11485" spans="1:100">
      <c r="A11485" s="374"/>
      <c r="C11485" s="374"/>
      <c r="CV11485" s="376"/>
    </row>
    <row r="11486" spans="1:100">
      <c r="A11486" s="374"/>
      <c r="C11486" s="374"/>
      <c r="CV11486" s="376"/>
    </row>
    <row r="11487" spans="1:100">
      <c r="A11487" s="374"/>
      <c r="C11487" s="374"/>
      <c r="CV11487" s="376"/>
    </row>
    <row r="11488" spans="1:100">
      <c r="A11488" s="374"/>
      <c r="C11488" s="374"/>
      <c r="CV11488" s="376"/>
    </row>
    <row r="11489" spans="1:100">
      <c r="A11489" s="374"/>
      <c r="C11489" s="374"/>
      <c r="CV11489" s="376"/>
    </row>
    <row r="11490" spans="1:100">
      <c r="A11490" s="374"/>
      <c r="C11490" s="374"/>
      <c r="CV11490" s="376"/>
    </row>
    <row r="11491" spans="1:100">
      <c r="A11491" s="374"/>
      <c r="C11491" s="374"/>
      <c r="CV11491" s="376"/>
    </row>
    <row r="11492" spans="1:100">
      <c r="A11492" s="374"/>
      <c r="C11492" s="374"/>
      <c r="CV11492" s="376"/>
    </row>
    <row r="11493" spans="1:100">
      <c r="A11493" s="374"/>
      <c r="C11493" s="374"/>
      <c r="CV11493" s="376"/>
    </row>
    <row r="11494" spans="1:100">
      <c r="A11494" s="374"/>
      <c r="C11494" s="374"/>
      <c r="CV11494" s="376"/>
    </row>
    <row r="11495" spans="1:100">
      <c r="A11495" s="374"/>
      <c r="C11495" s="374"/>
      <c r="CV11495" s="376"/>
    </row>
    <row r="11496" spans="1:100">
      <c r="A11496" s="374"/>
      <c r="C11496" s="374"/>
      <c r="CV11496" s="376"/>
    </row>
    <row r="11497" spans="1:100">
      <c r="A11497" s="374"/>
      <c r="C11497" s="374"/>
      <c r="CV11497" s="376"/>
    </row>
    <row r="11498" spans="1:100">
      <c r="A11498" s="374"/>
      <c r="C11498" s="374"/>
      <c r="CV11498" s="376"/>
    </row>
    <row r="11499" spans="1:100">
      <c r="A11499" s="374"/>
      <c r="C11499" s="374"/>
      <c r="CV11499" s="376"/>
    </row>
    <row r="11500" spans="1:100">
      <c r="A11500" s="374"/>
      <c r="C11500" s="374"/>
      <c r="CV11500" s="376"/>
    </row>
    <row r="11501" spans="1:100">
      <c r="A11501" s="374"/>
      <c r="C11501" s="374"/>
      <c r="CV11501" s="376"/>
    </row>
    <row r="11502" spans="1:100">
      <c r="A11502" s="374"/>
      <c r="C11502" s="374"/>
      <c r="CV11502" s="376"/>
    </row>
    <row r="11503" spans="1:100">
      <c r="A11503" s="374"/>
      <c r="C11503" s="374"/>
      <c r="CV11503" s="376"/>
    </row>
    <row r="11504" spans="1:100">
      <c r="A11504" s="374"/>
      <c r="C11504" s="374"/>
      <c r="CV11504" s="376"/>
    </row>
    <row r="11505" spans="1:100">
      <c r="A11505" s="374"/>
      <c r="C11505" s="374"/>
      <c r="CV11505" s="376"/>
    </row>
    <row r="11506" spans="1:100">
      <c r="A11506" s="374"/>
      <c r="C11506" s="374"/>
      <c r="CV11506" s="376"/>
    </row>
    <row r="11507" spans="1:100">
      <c r="A11507" s="374"/>
      <c r="C11507" s="374"/>
      <c r="CV11507" s="376"/>
    </row>
    <row r="11508" spans="1:100">
      <c r="A11508" s="374"/>
      <c r="C11508" s="374"/>
      <c r="CV11508" s="376"/>
    </row>
    <row r="11509" spans="1:100">
      <c r="A11509" s="374"/>
      <c r="C11509" s="374"/>
      <c r="CV11509" s="376"/>
    </row>
    <row r="11510" spans="1:100">
      <c r="A11510" s="374"/>
      <c r="C11510" s="374"/>
      <c r="CV11510" s="376"/>
    </row>
    <row r="11511" spans="1:100">
      <c r="A11511" s="374"/>
      <c r="C11511" s="374"/>
      <c r="CV11511" s="376"/>
    </row>
    <row r="11512" spans="1:100">
      <c r="A11512" s="374"/>
      <c r="C11512" s="374"/>
      <c r="CV11512" s="376"/>
    </row>
    <row r="11513" spans="1:100">
      <c r="A11513" s="374"/>
      <c r="C11513" s="374"/>
      <c r="CV11513" s="376"/>
    </row>
    <row r="11514" spans="1:100">
      <c r="A11514" s="374"/>
      <c r="C11514" s="374"/>
      <c r="CV11514" s="376"/>
    </row>
    <row r="11515" spans="1:100">
      <c r="A11515" s="374"/>
      <c r="C11515" s="374"/>
      <c r="CV11515" s="376"/>
    </row>
    <row r="11516" spans="1:100">
      <c r="A11516" s="374"/>
      <c r="C11516" s="374"/>
      <c r="CV11516" s="376"/>
    </row>
    <row r="11517" spans="1:100">
      <c r="A11517" s="374"/>
      <c r="C11517" s="374"/>
      <c r="CV11517" s="376"/>
    </row>
    <row r="11518" spans="1:100">
      <c r="A11518" s="374"/>
      <c r="C11518" s="374"/>
      <c r="CV11518" s="376"/>
    </row>
    <row r="11519" spans="1:100">
      <c r="A11519" s="374"/>
      <c r="C11519" s="374"/>
      <c r="CV11519" s="376"/>
    </row>
    <row r="11520" spans="1:100">
      <c r="A11520" s="374"/>
      <c r="C11520" s="374"/>
      <c r="CV11520" s="376"/>
    </row>
    <row r="11521" spans="1:100">
      <c r="A11521" s="374"/>
      <c r="C11521" s="374"/>
      <c r="CV11521" s="376"/>
    </row>
    <row r="11522" spans="1:100">
      <c r="A11522" s="374"/>
      <c r="C11522" s="374"/>
      <c r="CV11522" s="376"/>
    </row>
    <row r="11523" spans="1:100">
      <c r="A11523" s="374"/>
      <c r="C11523" s="374"/>
      <c r="CV11523" s="376"/>
    </row>
    <row r="11524" spans="1:100">
      <c r="A11524" s="374"/>
      <c r="C11524" s="374"/>
      <c r="CV11524" s="376"/>
    </row>
    <row r="11525" spans="1:100">
      <c r="A11525" s="374"/>
      <c r="C11525" s="374"/>
      <c r="CV11525" s="376"/>
    </row>
    <row r="11526" spans="1:100">
      <c r="A11526" s="374"/>
      <c r="C11526" s="374"/>
      <c r="CV11526" s="376"/>
    </row>
    <row r="11527" spans="1:100">
      <c r="A11527" s="374"/>
      <c r="C11527" s="374"/>
      <c r="CV11527" s="376"/>
    </row>
    <row r="11528" spans="1:100">
      <c r="A11528" s="374"/>
      <c r="C11528" s="374"/>
      <c r="CV11528" s="376"/>
    </row>
    <row r="11529" spans="1:100">
      <c r="A11529" s="374"/>
      <c r="C11529" s="374"/>
      <c r="CV11529" s="376"/>
    </row>
    <row r="11530" spans="1:100">
      <c r="A11530" s="374"/>
      <c r="C11530" s="374"/>
      <c r="CV11530" s="376"/>
    </row>
    <row r="11531" spans="1:100">
      <c r="A11531" s="374"/>
      <c r="C11531" s="374"/>
      <c r="CV11531" s="376"/>
    </row>
    <row r="11532" spans="1:100">
      <c r="A11532" s="374"/>
      <c r="C11532" s="374"/>
      <c r="CV11532" s="376"/>
    </row>
    <row r="11533" spans="1:100">
      <c r="A11533" s="374"/>
      <c r="C11533" s="374"/>
      <c r="CV11533" s="376"/>
    </row>
    <row r="11534" spans="1:100">
      <c r="A11534" s="374"/>
      <c r="C11534" s="374"/>
      <c r="CV11534" s="376"/>
    </row>
    <row r="11535" spans="1:100">
      <c r="A11535" s="374"/>
      <c r="C11535" s="374"/>
      <c r="CV11535" s="376"/>
    </row>
    <row r="11536" spans="1:100">
      <c r="A11536" s="374"/>
      <c r="C11536" s="374"/>
      <c r="CV11536" s="376"/>
    </row>
    <row r="11537" spans="1:100">
      <c r="A11537" s="374"/>
      <c r="C11537" s="374"/>
      <c r="CV11537" s="376"/>
    </row>
    <row r="11538" spans="1:100">
      <c r="A11538" s="374"/>
      <c r="C11538" s="374"/>
      <c r="CV11538" s="376"/>
    </row>
    <row r="11539" spans="1:100">
      <c r="A11539" s="374"/>
      <c r="C11539" s="374"/>
      <c r="CV11539" s="376"/>
    </row>
    <row r="11540" spans="1:100">
      <c r="A11540" s="374"/>
      <c r="C11540" s="374"/>
      <c r="CV11540" s="376"/>
    </row>
    <row r="11541" spans="1:100">
      <c r="A11541" s="374"/>
      <c r="C11541" s="374"/>
      <c r="CV11541" s="376"/>
    </row>
    <row r="11542" spans="1:100">
      <c r="A11542" s="374"/>
      <c r="C11542" s="374"/>
      <c r="CV11542" s="376"/>
    </row>
    <row r="11543" spans="1:100">
      <c r="A11543" s="374"/>
      <c r="C11543" s="374"/>
      <c r="CV11543" s="376"/>
    </row>
    <row r="11544" spans="1:100">
      <c r="A11544" s="374"/>
      <c r="C11544" s="374"/>
      <c r="CV11544" s="376"/>
    </row>
    <row r="11545" spans="1:100">
      <c r="A11545" s="374"/>
      <c r="C11545" s="374"/>
      <c r="CV11545" s="376"/>
    </row>
    <row r="11546" spans="1:100">
      <c r="A11546" s="374"/>
      <c r="C11546" s="374"/>
      <c r="CV11546" s="376"/>
    </row>
    <row r="11547" spans="1:100">
      <c r="A11547" s="374"/>
      <c r="C11547" s="374"/>
      <c r="CV11547" s="376"/>
    </row>
    <row r="11548" spans="1:100">
      <c r="A11548" s="374"/>
      <c r="C11548" s="374"/>
      <c r="CV11548" s="376"/>
    </row>
    <row r="11549" spans="1:100">
      <c r="A11549" s="374"/>
      <c r="C11549" s="374"/>
      <c r="CV11549" s="376"/>
    </row>
    <row r="11550" spans="1:100">
      <c r="A11550" s="374"/>
      <c r="C11550" s="374"/>
      <c r="CV11550" s="376"/>
    </row>
    <row r="11551" spans="1:100">
      <c r="A11551" s="374"/>
      <c r="C11551" s="374"/>
      <c r="CV11551" s="376"/>
    </row>
    <row r="11552" spans="1:100">
      <c r="A11552" s="374"/>
      <c r="C11552" s="374"/>
      <c r="CV11552" s="376"/>
    </row>
    <row r="11553" spans="1:100">
      <c r="A11553" s="374"/>
      <c r="C11553" s="374"/>
      <c r="CV11553" s="376"/>
    </row>
    <row r="11554" spans="1:100">
      <c r="A11554" s="374"/>
      <c r="C11554" s="374"/>
      <c r="CV11554" s="376"/>
    </row>
    <row r="11555" spans="1:100">
      <c r="A11555" s="374"/>
      <c r="C11555" s="374"/>
      <c r="CV11555" s="376"/>
    </row>
    <row r="11556" spans="1:100">
      <c r="A11556" s="374"/>
      <c r="C11556" s="374"/>
      <c r="CV11556" s="376"/>
    </row>
    <row r="11557" spans="1:100">
      <c r="A11557" s="374"/>
      <c r="C11557" s="374"/>
      <c r="CV11557" s="376"/>
    </row>
    <row r="11558" spans="1:100">
      <c r="A11558" s="374"/>
      <c r="C11558" s="374"/>
      <c r="CV11558" s="376"/>
    </row>
    <row r="11559" spans="1:100">
      <c r="A11559" s="374"/>
      <c r="C11559" s="374"/>
      <c r="CV11559" s="376"/>
    </row>
    <row r="11560" spans="1:100">
      <c r="A11560" s="374"/>
      <c r="C11560" s="374"/>
      <c r="CV11560" s="376"/>
    </row>
    <row r="11561" spans="1:100">
      <c r="A11561" s="374"/>
      <c r="C11561" s="374"/>
      <c r="CV11561" s="376"/>
    </row>
    <row r="11562" spans="1:100">
      <c r="A11562" s="374"/>
      <c r="C11562" s="374"/>
      <c r="CV11562" s="376"/>
    </row>
    <row r="11563" spans="1:100">
      <c r="A11563" s="374"/>
      <c r="C11563" s="374"/>
      <c r="CV11563" s="376"/>
    </row>
    <row r="11564" spans="1:100">
      <c r="A11564" s="374"/>
      <c r="C11564" s="374"/>
      <c r="CV11564" s="376"/>
    </row>
    <row r="11565" spans="1:100">
      <c r="A11565" s="374"/>
      <c r="C11565" s="374"/>
      <c r="CV11565" s="376"/>
    </row>
    <row r="11566" spans="1:100">
      <c r="A11566" s="374"/>
      <c r="C11566" s="374"/>
      <c r="CV11566" s="376"/>
    </row>
    <row r="11567" spans="1:100">
      <c r="A11567" s="374"/>
      <c r="C11567" s="374"/>
      <c r="CV11567" s="376"/>
    </row>
    <row r="11568" spans="1:100">
      <c r="A11568" s="374"/>
      <c r="C11568" s="374"/>
      <c r="CV11568" s="376"/>
    </row>
    <row r="11569" spans="1:100">
      <c r="A11569" s="374"/>
      <c r="C11569" s="374"/>
      <c r="CV11569" s="376"/>
    </row>
    <row r="11570" spans="1:100">
      <c r="A11570" s="374"/>
      <c r="C11570" s="374"/>
      <c r="CV11570" s="376"/>
    </row>
    <row r="11571" spans="1:100">
      <c r="A11571" s="374"/>
      <c r="C11571" s="374"/>
      <c r="CV11571" s="376"/>
    </row>
    <row r="11572" spans="1:100">
      <c r="A11572" s="374"/>
      <c r="C11572" s="374"/>
      <c r="CV11572" s="376"/>
    </row>
    <row r="11573" spans="1:100">
      <c r="A11573" s="374"/>
      <c r="C11573" s="374"/>
      <c r="CV11573" s="376"/>
    </row>
    <row r="11574" spans="1:100">
      <c r="A11574" s="374"/>
      <c r="C11574" s="374"/>
      <c r="CV11574" s="376"/>
    </row>
    <row r="11575" spans="1:100">
      <c r="A11575" s="374"/>
      <c r="C11575" s="374"/>
      <c r="CV11575" s="376"/>
    </row>
    <row r="11576" spans="1:100">
      <c r="A11576" s="374"/>
      <c r="C11576" s="374"/>
      <c r="CV11576" s="376"/>
    </row>
    <row r="11577" spans="1:100">
      <c r="A11577" s="374"/>
      <c r="C11577" s="374"/>
      <c r="CV11577" s="376"/>
    </row>
    <row r="11578" spans="1:100">
      <c r="A11578" s="374"/>
      <c r="C11578" s="374"/>
      <c r="CV11578" s="376"/>
    </row>
    <row r="11579" spans="1:100">
      <c r="A11579" s="374"/>
      <c r="C11579" s="374"/>
      <c r="CV11579" s="376"/>
    </row>
    <row r="11580" spans="1:100">
      <c r="A11580" s="374"/>
      <c r="C11580" s="374"/>
      <c r="CV11580" s="376"/>
    </row>
    <row r="11581" spans="1:100">
      <c r="A11581" s="374"/>
      <c r="C11581" s="374"/>
      <c r="CV11581" s="376"/>
    </row>
    <row r="11582" spans="1:100">
      <c r="A11582" s="374"/>
      <c r="C11582" s="374"/>
      <c r="CV11582" s="376"/>
    </row>
    <row r="11583" spans="1:100">
      <c r="A11583" s="374"/>
      <c r="C11583" s="374"/>
      <c r="CV11583" s="376"/>
    </row>
    <row r="11584" spans="1:100">
      <c r="A11584" s="374"/>
      <c r="C11584" s="374"/>
      <c r="CV11584" s="376"/>
    </row>
    <row r="11585" spans="1:100">
      <c r="A11585" s="374"/>
      <c r="C11585" s="374"/>
      <c r="CV11585" s="376"/>
    </row>
    <row r="11586" spans="1:100">
      <c r="A11586" s="374"/>
      <c r="C11586" s="374"/>
      <c r="CV11586" s="376"/>
    </row>
    <row r="11587" spans="1:100">
      <c r="A11587" s="374"/>
      <c r="C11587" s="374"/>
      <c r="CV11587" s="376"/>
    </row>
    <row r="11588" spans="1:100">
      <c r="A11588" s="374"/>
      <c r="C11588" s="374"/>
      <c r="CV11588" s="376"/>
    </row>
    <row r="11589" spans="1:100">
      <c r="A11589" s="374"/>
      <c r="C11589" s="374"/>
      <c r="CV11589" s="376"/>
    </row>
    <row r="11590" spans="1:100">
      <c r="A11590" s="374"/>
      <c r="C11590" s="374"/>
      <c r="CV11590" s="376"/>
    </row>
    <row r="11591" spans="1:100">
      <c r="A11591" s="374"/>
      <c r="C11591" s="374"/>
      <c r="CV11591" s="376"/>
    </row>
    <row r="11592" spans="1:100">
      <c r="A11592" s="374"/>
      <c r="C11592" s="374"/>
      <c r="CV11592" s="376"/>
    </row>
    <row r="11593" spans="1:100">
      <c r="A11593" s="374"/>
      <c r="C11593" s="374"/>
      <c r="CV11593" s="376"/>
    </row>
    <row r="11594" spans="1:100">
      <c r="A11594" s="374"/>
      <c r="C11594" s="374"/>
      <c r="CV11594" s="376"/>
    </row>
    <row r="11595" spans="1:100">
      <c r="A11595" s="374"/>
      <c r="C11595" s="374"/>
      <c r="CV11595" s="376"/>
    </row>
    <row r="11596" spans="1:100">
      <c r="A11596" s="374"/>
      <c r="C11596" s="374"/>
      <c r="CV11596" s="376"/>
    </row>
    <row r="11597" spans="1:100">
      <c r="A11597" s="374"/>
      <c r="C11597" s="374"/>
      <c r="CV11597" s="376"/>
    </row>
    <row r="11598" spans="1:100">
      <c r="A11598" s="374"/>
      <c r="C11598" s="374"/>
      <c r="CV11598" s="376"/>
    </row>
    <row r="11599" spans="1:100">
      <c r="A11599" s="374"/>
      <c r="C11599" s="374"/>
      <c r="CV11599" s="376"/>
    </row>
    <row r="11600" spans="1:100">
      <c r="A11600" s="374"/>
      <c r="C11600" s="374"/>
      <c r="CV11600" s="376"/>
    </row>
    <row r="11601" spans="1:100">
      <c r="A11601" s="374"/>
      <c r="C11601" s="374"/>
      <c r="CV11601" s="376"/>
    </row>
    <row r="11602" spans="1:100">
      <c r="A11602" s="374"/>
      <c r="C11602" s="374"/>
      <c r="CV11602" s="376"/>
    </row>
    <row r="11603" spans="1:100">
      <c r="A11603" s="374"/>
      <c r="C11603" s="374"/>
      <c r="CV11603" s="376"/>
    </row>
    <row r="11604" spans="1:100">
      <c r="A11604" s="374"/>
      <c r="C11604" s="374"/>
      <c r="CV11604" s="376"/>
    </row>
    <row r="11605" spans="1:100">
      <c r="A11605" s="374"/>
      <c r="C11605" s="374"/>
      <c r="CV11605" s="376"/>
    </row>
    <row r="11606" spans="1:100">
      <c r="A11606" s="374"/>
      <c r="C11606" s="374"/>
      <c r="CV11606" s="376"/>
    </row>
    <row r="11607" spans="1:100">
      <c r="A11607" s="374"/>
      <c r="C11607" s="374"/>
      <c r="CV11607" s="376"/>
    </row>
    <row r="11608" spans="1:100">
      <c r="A11608" s="374"/>
      <c r="C11608" s="374"/>
      <c r="CV11608" s="376"/>
    </row>
    <row r="11609" spans="1:100">
      <c r="A11609" s="374"/>
      <c r="C11609" s="374"/>
      <c r="CV11609" s="376"/>
    </row>
    <row r="11610" spans="1:100">
      <c r="A11610" s="374"/>
      <c r="C11610" s="374"/>
      <c r="CV11610" s="376"/>
    </row>
    <row r="11611" spans="1:100">
      <c r="A11611" s="374"/>
      <c r="C11611" s="374"/>
      <c r="CV11611" s="376"/>
    </row>
    <row r="11612" spans="1:100">
      <c r="A11612" s="374"/>
      <c r="C11612" s="374"/>
      <c r="CV11612" s="376"/>
    </row>
    <row r="11613" spans="1:100">
      <c r="A11613" s="374"/>
      <c r="C11613" s="374"/>
      <c r="CV11613" s="376"/>
    </row>
    <row r="11614" spans="1:100">
      <c r="A11614" s="374"/>
      <c r="C11614" s="374"/>
      <c r="CV11614" s="376"/>
    </row>
    <row r="11615" spans="1:100">
      <c r="A11615" s="374"/>
      <c r="C11615" s="374"/>
      <c r="CV11615" s="376"/>
    </row>
    <row r="11616" spans="1:100">
      <c r="A11616" s="374"/>
      <c r="C11616" s="374"/>
      <c r="CV11616" s="376"/>
    </row>
    <row r="11617" spans="1:100">
      <c r="A11617" s="374"/>
      <c r="C11617" s="374"/>
      <c r="CV11617" s="376"/>
    </row>
    <row r="11618" spans="1:100">
      <c r="A11618" s="374"/>
      <c r="C11618" s="374"/>
      <c r="CV11618" s="376"/>
    </row>
    <row r="11619" spans="1:100">
      <c r="A11619" s="374"/>
      <c r="C11619" s="374"/>
      <c r="CV11619" s="376"/>
    </row>
    <row r="11620" spans="1:100">
      <c r="A11620" s="374"/>
      <c r="C11620" s="374"/>
      <c r="CV11620" s="376"/>
    </row>
    <row r="11621" spans="1:100">
      <c r="A11621" s="374"/>
      <c r="C11621" s="374"/>
      <c r="CV11621" s="376"/>
    </row>
    <row r="11622" spans="1:100">
      <c r="A11622" s="374"/>
      <c r="C11622" s="374"/>
      <c r="CV11622" s="376"/>
    </row>
    <row r="11623" spans="1:100">
      <c r="A11623" s="374"/>
      <c r="C11623" s="374"/>
      <c r="CV11623" s="376"/>
    </row>
    <row r="11624" spans="1:100">
      <c r="A11624" s="374"/>
      <c r="C11624" s="374"/>
      <c r="CV11624" s="376"/>
    </row>
    <row r="11625" spans="1:100">
      <c r="A11625" s="374"/>
      <c r="C11625" s="374"/>
      <c r="CV11625" s="376"/>
    </row>
    <row r="11626" spans="1:100">
      <c r="A11626" s="374"/>
      <c r="C11626" s="374"/>
      <c r="CV11626" s="376"/>
    </row>
    <row r="11627" spans="1:100">
      <c r="A11627" s="374"/>
      <c r="C11627" s="374"/>
      <c r="CV11627" s="376"/>
    </row>
    <row r="11628" spans="1:100">
      <c r="A11628" s="374"/>
      <c r="C11628" s="374"/>
      <c r="CV11628" s="376"/>
    </row>
    <row r="11629" spans="1:100">
      <c r="A11629" s="374"/>
      <c r="C11629" s="374"/>
      <c r="CV11629" s="376"/>
    </row>
    <row r="11630" spans="1:100">
      <c r="A11630" s="374"/>
      <c r="C11630" s="374"/>
      <c r="CV11630" s="376"/>
    </row>
    <row r="11631" spans="1:100">
      <c r="A11631" s="374"/>
      <c r="C11631" s="374"/>
      <c r="CV11631" s="376"/>
    </row>
    <row r="11632" spans="1:100">
      <c r="A11632" s="374"/>
      <c r="C11632" s="374"/>
      <c r="CV11632" s="376"/>
    </row>
    <row r="11633" spans="1:100">
      <c r="A11633" s="374"/>
      <c r="C11633" s="374"/>
      <c r="CV11633" s="376"/>
    </row>
    <row r="11634" spans="1:100">
      <c r="A11634" s="374"/>
      <c r="C11634" s="374"/>
      <c r="CV11634" s="376"/>
    </row>
    <row r="11635" spans="1:100">
      <c r="A11635" s="374"/>
      <c r="C11635" s="374"/>
      <c r="CV11635" s="376"/>
    </row>
    <row r="11636" spans="1:100">
      <c r="A11636" s="374"/>
      <c r="C11636" s="374"/>
      <c r="CV11636" s="376"/>
    </row>
    <row r="11637" spans="1:100">
      <c r="A11637" s="374"/>
      <c r="C11637" s="374"/>
      <c r="CV11637" s="376"/>
    </row>
    <row r="11638" spans="1:100">
      <c r="A11638" s="374"/>
      <c r="C11638" s="374"/>
      <c r="CV11638" s="376"/>
    </row>
    <row r="11639" spans="1:100">
      <c r="A11639" s="374"/>
      <c r="C11639" s="374"/>
      <c r="CV11639" s="376"/>
    </row>
    <row r="11640" spans="1:100">
      <c r="A11640" s="374"/>
      <c r="C11640" s="374"/>
      <c r="CV11640" s="376"/>
    </row>
    <row r="11641" spans="1:100">
      <c r="A11641" s="374"/>
      <c r="C11641" s="374"/>
      <c r="CV11641" s="376"/>
    </row>
    <row r="11642" spans="1:100">
      <c r="A11642" s="374"/>
      <c r="C11642" s="374"/>
      <c r="CV11642" s="376"/>
    </row>
    <row r="11643" spans="1:100">
      <c r="A11643" s="374"/>
      <c r="C11643" s="374"/>
      <c r="CV11643" s="376"/>
    </row>
    <row r="11644" spans="1:100">
      <c r="A11644" s="374"/>
      <c r="C11644" s="374"/>
      <c r="CV11644" s="376"/>
    </row>
    <row r="11645" spans="1:100">
      <c r="A11645" s="374"/>
      <c r="C11645" s="374"/>
      <c r="CV11645" s="376"/>
    </row>
    <row r="11646" spans="1:100">
      <c r="A11646" s="374"/>
      <c r="C11646" s="374"/>
      <c r="CV11646" s="376"/>
    </row>
    <row r="11647" spans="1:100">
      <c r="A11647" s="374"/>
      <c r="C11647" s="374"/>
      <c r="CV11647" s="376"/>
    </row>
    <row r="11648" spans="1:100">
      <c r="A11648" s="374"/>
      <c r="C11648" s="374"/>
      <c r="CV11648" s="376"/>
    </row>
    <row r="11649" spans="1:100">
      <c r="A11649" s="374"/>
      <c r="C11649" s="374"/>
      <c r="CV11649" s="376"/>
    </row>
    <row r="11650" spans="1:100">
      <c r="A11650" s="374"/>
      <c r="C11650" s="374"/>
      <c r="CV11650" s="376"/>
    </row>
    <row r="11651" spans="1:100">
      <c r="A11651" s="374"/>
      <c r="C11651" s="374"/>
      <c r="CV11651" s="376"/>
    </row>
    <row r="11652" spans="1:100">
      <c r="A11652" s="374"/>
      <c r="C11652" s="374"/>
      <c r="CV11652" s="376"/>
    </row>
    <row r="11653" spans="1:100">
      <c r="A11653" s="374"/>
      <c r="C11653" s="374"/>
      <c r="CV11653" s="376"/>
    </row>
    <row r="11654" spans="1:100">
      <c r="A11654" s="374"/>
      <c r="C11654" s="374"/>
      <c r="CV11654" s="376"/>
    </row>
    <row r="11655" spans="1:100">
      <c r="A11655" s="374"/>
      <c r="C11655" s="374"/>
      <c r="CV11655" s="376"/>
    </row>
    <row r="11656" spans="1:100">
      <c r="A11656" s="374"/>
      <c r="C11656" s="374"/>
      <c r="CV11656" s="376"/>
    </row>
    <row r="11657" spans="1:100">
      <c r="A11657" s="374"/>
      <c r="C11657" s="374"/>
      <c r="CV11657" s="376"/>
    </row>
    <row r="11658" spans="1:100">
      <c r="A11658" s="374"/>
      <c r="C11658" s="374"/>
      <c r="CV11658" s="376"/>
    </row>
    <row r="11659" spans="1:100">
      <c r="A11659" s="374"/>
      <c r="C11659" s="374"/>
      <c r="CV11659" s="376"/>
    </row>
    <row r="11660" spans="1:100">
      <c r="A11660" s="374"/>
      <c r="C11660" s="374"/>
      <c r="CV11660" s="376"/>
    </row>
    <row r="11661" spans="1:100">
      <c r="A11661" s="374"/>
      <c r="C11661" s="374"/>
      <c r="CV11661" s="376"/>
    </row>
    <row r="11662" spans="1:100">
      <c r="A11662" s="374"/>
      <c r="C11662" s="374"/>
      <c r="CV11662" s="376"/>
    </row>
    <row r="11663" spans="1:100">
      <c r="A11663" s="374"/>
      <c r="C11663" s="374"/>
      <c r="CV11663" s="376"/>
    </row>
    <row r="11664" spans="1:100">
      <c r="A11664" s="374"/>
      <c r="C11664" s="374"/>
      <c r="CV11664" s="376"/>
    </row>
    <row r="11665" spans="1:100">
      <c r="A11665" s="374"/>
      <c r="C11665" s="374"/>
      <c r="CV11665" s="376"/>
    </row>
    <row r="11666" spans="1:100">
      <c r="A11666" s="374"/>
      <c r="C11666" s="374"/>
      <c r="CV11666" s="376"/>
    </row>
    <row r="11667" spans="1:100">
      <c r="A11667" s="374"/>
      <c r="C11667" s="374"/>
      <c r="CV11667" s="376"/>
    </row>
    <row r="11668" spans="1:100">
      <c r="A11668" s="374"/>
      <c r="C11668" s="374"/>
      <c r="CV11668" s="376"/>
    </row>
    <row r="11669" spans="1:100">
      <c r="A11669" s="374"/>
      <c r="C11669" s="374"/>
      <c r="CV11669" s="376"/>
    </row>
    <row r="11670" spans="1:100">
      <c r="A11670" s="374"/>
      <c r="C11670" s="374"/>
      <c r="CV11670" s="376"/>
    </row>
    <row r="11671" spans="1:100">
      <c r="A11671" s="374"/>
      <c r="C11671" s="374"/>
      <c r="CV11671" s="376"/>
    </row>
    <row r="11672" spans="1:100">
      <c r="A11672" s="374"/>
      <c r="C11672" s="374"/>
      <c r="CV11672" s="376"/>
    </row>
    <row r="11673" spans="1:100">
      <c r="A11673" s="374"/>
      <c r="C11673" s="374"/>
      <c r="CV11673" s="376"/>
    </row>
    <row r="11674" spans="1:100">
      <c r="A11674" s="374"/>
      <c r="C11674" s="374"/>
      <c r="CV11674" s="376"/>
    </row>
    <row r="11675" spans="1:100">
      <c r="A11675" s="374"/>
      <c r="C11675" s="374"/>
      <c r="CV11675" s="376"/>
    </row>
    <row r="11676" spans="1:100">
      <c r="A11676" s="374"/>
      <c r="C11676" s="374"/>
      <c r="CV11676" s="376"/>
    </row>
    <row r="11677" spans="1:100">
      <c r="A11677" s="374"/>
      <c r="C11677" s="374"/>
      <c r="CV11677" s="376"/>
    </row>
    <row r="11678" spans="1:100">
      <c r="A11678" s="374"/>
      <c r="C11678" s="374"/>
      <c r="CV11678" s="376"/>
    </row>
    <row r="11679" spans="1:100">
      <c r="A11679" s="374"/>
      <c r="C11679" s="374"/>
      <c r="CV11679" s="376"/>
    </row>
    <row r="11680" spans="1:100">
      <c r="A11680" s="374"/>
      <c r="C11680" s="374"/>
      <c r="CV11680" s="376"/>
    </row>
    <row r="11681" spans="1:100">
      <c r="A11681" s="374"/>
      <c r="C11681" s="374"/>
      <c r="CV11681" s="376"/>
    </row>
    <row r="11682" spans="1:100">
      <c r="A11682" s="374"/>
      <c r="C11682" s="374"/>
      <c r="CV11682" s="376"/>
    </row>
    <row r="11683" spans="1:100">
      <c r="A11683" s="374"/>
      <c r="C11683" s="374"/>
      <c r="CV11683" s="376"/>
    </row>
    <row r="11684" spans="1:100">
      <c r="A11684" s="374"/>
      <c r="C11684" s="374"/>
      <c r="CV11684" s="376"/>
    </row>
    <row r="11685" spans="1:100">
      <c r="A11685" s="374"/>
      <c r="C11685" s="374"/>
      <c r="CV11685" s="376"/>
    </row>
    <row r="11686" spans="1:100">
      <c r="A11686" s="374"/>
      <c r="C11686" s="374"/>
      <c r="CV11686" s="376"/>
    </row>
    <row r="11687" spans="1:100">
      <c r="A11687" s="374"/>
      <c r="C11687" s="374"/>
      <c r="CV11687" s="376"/>
    </row>
    <row r="11688" spans="1:100">
      <c r="A11688" s="374"/>
      <c r="C11688" s="374"/>
      <c r="CV11688" s="376"/>
    </row>
    <row r="11689" spans="1:100">
      <c r="A11689" s="374"/>
      <c r="C11689" s="374"/>
      <c r="CV11689" s="376"/>
    </row>
    <row r="11690" spans="1:100">
      <c r="A11690" s="374"/>
      <c r="C11690" s="374"/>
      <c r="CV11690" s="376"/>
    </row>
    <row r="11691" spans="1:100">
      <c r="A11691" s="374"/>
      <c r="C11691" s="374"/>
      <c r="CV11691" s="376"/>
    </row>
    <row r="11692" spans="1:100">
      <c r="A11692" s="374"/>
      <c r="C11692" s="374"/>
      <c r="CV11692" s="376"/>
    </row>
    <row r="11693" spans="1:100">
      <c r="A11693" s="374"/>
      <c r="C11693" s="374"/>
      <c r="CV11693" s="376"/>
    </row>
    <row r="11694" spans="1:100">
      <c r="A11694" s="374"/>
      <c r="C11694" s="374"/>
      <c r="CV11694" s="376"/>
    </row>
    <row r="11695" spans="1:100">
      <c r="A11695" s="374"/>
      <c r="C11695" s="374"/>
      <c r="CV11695" s="376"/>
    </row>
    <row r="11696" spans="1:100">
      <c r="A11696" s="374"/>
      <c r="C11696" s="374"/>
      <c r="CV11696" s="376"/>
    </row>
    <row r="11697" spans="1:100">
      <c r="A11697" s="374"/>
      <c r="C11697" s="374"/>
      <c r="CV11697" s="376"/>
    </row>
    <row r="11698" spans="1:100">
      <c r="A11698" s="374"/>
      <c r="C11698" s="374"/>
      <c r="CV11698" s="376"/>
    </row>
    <row r="11699" spans="1:100">
      <c r="A11699" s="374"/>
      <c r="C11699" s="374"/>
      <c r="CV11699" s="376"/>
    </row>
    <row r="11700" spans="1:100">
      <c r="A11700" s="374"/>
      <c r="C11700" s="374"/>
      <c r="CV11700" s="376"/>
    </row>
    <row r="11701" spans="1:100">
      <c r="A11701" s="374"/>
      <c r="C11701" s="374"/>
      <c r="CV11701" s="376"/>
    </row>
    <row r="11702" spans="1:100">
      <c r="A11702" s="374"/>
      <c r="C11702" s="374"/>
      <c r="CV11702" s="376"/>
    </row>
    <row r="11703" spans="1:100">
      <c r="A11703" s="374"/>
      <c r="C11703" s="374"/>
      <c r="CV11703" s="376"/>
    </row>
    <row r="11704" spans="1:100">
      <c r="A11704" s="374"/>
      <c r="C11704" s="374"/>
      <c r="CV11704" s="376"/>
    </row>
    <row r="11705" spans="1:100">
      <c r="A11705" s="374"/>
      <c r="C11705" s="374"/>
      <c r="CV11705" s="376"/>
    </row>
    <row r="11706" spans="1:100">
      <c r="A11706" s="374"/>
      <c r="C11706" s="374"/>
      <c r="CV11706" s="376"/>
    </row>
    <row r="11707" spans="1:100">
      <c r="A11707" s="374"/>
      <c r="C11707" s="374"/>
      <c r="CV11707" s="376"/>
    </row>
    <row r="11708" spans="1:100">
      <c r="A11708" s="374"/>
      <c r="C11708" s="374"/>
      <c r="CV11708" s="376"/>
    </row>
    <row r="11709" spans="1:100">
      <c r="A11709" s="374"/>
      <c r="C11709" s="374"/>
      <c r="CV11709" s="376"/>
    </row>
    <row r="11710" spans="1:100">
      <c r="A11710" s="374"/>
      <c r="C11710" s="374"/>
      <c r="CV11710" s="376"/>
    </row>
    <row r="11711" spans="1:100">
      <c r="A11711" s="374"/>
      <c r="C11711" s="374"/>
      <c r="CV11711" s="376"/>
    </row>
    <row r="11712" spans="1:100">
      <c r="A11712" s="374"/>
      <c r="C11712" s="374"/>
      <c r="CV11712" s="376"/>
    </row>
    <row r="11713" spans="1:100">
      <c r="A11713" s="374"/>
      <c r="C11713" s="374"/>
      <c r="CV11713" s="376"/>
    </row>
    <row r="11714" spans="1:100">
      <c r="A11714" s="374"/>
      <c r="C11714" s="374"/>
      <c r="CV11714" s="376"/>
    </row>
    <row r="11715" spans="1:100">
      <c r="A11715" s="374"/>
      <c r="C11715" s="374"/>
      <c r="CV11715" s="376"/>
    </row>
    <row r="11716" spans="1:100">
      <c r="A11716" s="374"/>
      <c r="C11716" s="374"/>
      <c r="CV11716" s="376"/>
    </row>
    <row r="11717" spans="1:100">
      <c r="A11717" s="374"/>
      <c r="C11717" s="374"/>
      <c r="CV11717" s="376"/>
    </row>
    <row r="11718" spans="1:100">
      <c r="A11718" s="374"/>
      <c r="C11718" s="374"/>
      <c r="CV11718" s="376"/>
    </row>
    <row r="11719" spans="1:100">
      <c r="A11719" s="374"/>
      <c r="C11719" s="374"/>
      <c r="CV11719" s="376"/>
    </row>
    <row r="11720" spans="1:100">
      <c r="A11720" s="374"/>
      <c r="C11720" s="374"/>
      <c r="CV11720" s="376"/>
    </row>
    <row r="11721" spans="1:100">
      <c r="A11721" s="374"/>
      <c r="C11721" s="374"/>
      <c r="CV11721" s="376"/>
    </row>
    <row r="11722" spans="1:100">
      <c r="A11722" s="374"/>
      <c r="C11722" s="374"/>
      <c r="CV11722" s="376"/>
    </row>
    <row r="11723" spans="1:100">
      <c r="A11723" s="374"/>
      <c r="C11723" s="374"/>
      <c r="CV11723" s="376"/>
    </row>
    <row r="11724" spans="1:100">
      <c r="A11724" s="374"/>
      <c r="C11724" s="374"/>
      <c r="CV11724" s="376"/>
    </row>
    <row r="11725" spans="1:100">
      <c r="A11725" s="374"/>
      <c r="C11725" s="374"/>
      <c r="CV11725" s="376"/>
    </row>
    <row r="11726" spans="1:100">
      <c r="A11726" s="374"/>
      <c r="C11726" s="374"/>
      <c r="CV11726" s="376"/>
    </row>
    <row r="11727" spans="1:100">
      <c r="A11727" s="374"/>
      <c r="C11727" s="374"/>
      <c r="CV11727" s="376"/>
    </row>
    <row r="11728" spans="1:100">
      <c r="A11728" s="374"/>
      <c r="C11728" s="374"/>
      <c r="CV11728" s="376"/>
    </row>
    <row r="11729" spans="1:100">
      <c r="A11729" s="374"/>
      <c r="C11729" s="374"/>
      <c r="CV11729" s="376"/>
    </row>
    <row r="11730" spans="1:100">
      <c r="A11730" s="374"/>
      <c r="C11730" s="374"/>
      <c r="CV11730" s="376"/>
    </row>
    <row r="11731" spans="1:100">
      <c r="A11731" s="374"/>
      <c r="C11731" s="374"/>
      <c r="CV11731" s="376"/>
    </row>
    <row r="11732" spans="1:100">
      <c r="A11732" s="374"/>
      <c r="C11732" s="374"/>
      <c r="CV11732" s="376"/>
    </row>
    <row r="11733" spans="1:100">
      <c r="A11733" s="374"/>
      <c r="C11733" s="374"/>
      <c r="CV11733" s="376"/>
    </row>
    <row r="11734" spans="1:100">
      <c r="A11734" s="374"/>
      <c r="C11734" s="374"/>
      <c r="CV11734" s="376"/>
    </row>
    <row r="11735" spans="1:100">
      <c r="A11735" s="374"/>
      <c r="C11735" s="374"/>
      <c r="CV11735" s="376"/>
    </row>
    <row r="11736" spans="1:100">
      <c r="A11736" s="374"/>
      <c r="C11736" s="374"/>
      <c r="CV11736" s="376"/>
    </row>
    <row r="11737" spans="1:100">
      <c r="A11737" s="374"/>
      <c r="C11737" s="374"/>
      <c r="CV11737" s="376"/>
    </row>
    <row r="11738" spans="1:100">
      <c r="A11738" s="374"/>
      <c r="C11738" s="374"/>
      <c r="CV11738" s="376"/>
    </row>
    <row r="11739" spans="1:100">
      <c r="A11739" s="374"/>
      <c r="C11739" s="374"/>
      <c r="CV11739" s="376"/>
    </row>
    <row r="11740" spans="1:100">
      <c r="A11740" s="374"/>
      <c r="C11740" s="374"/>
      <c r="CV11740" s="376"/>
    </row>
    <row r="11741" spans="1:100">
      <c r="A11741" s="374"/>
      <c r="C11741" s="374"/>
      <c r="CV11741" s="376"/>
    </row>
    <row r="11742" spans="1:100">
      <c r="A11742" s="374"/>
      <c r="C11742" s="374"/>
      <c r="CV11742" s="376"/>
    </row>
    <row r="11743" spans="1:100">
      <c r="A11743" s="374"/>
      <c r="C11743" s="374"/>
      <c r="CV11743" s="376"/>
    </row>
    <row r="11744" spans="1:100">
      <c r="A11744" s="374"/>
      <c r="C11744" s="374"/>
      <c r="CV11744" s="376"/>
    </row>
    <row r="11745" spans="1:100">
      <c r="A11745" s="374"/>
      <c r="C11745" s="374"/>
      <c r="CV11745" s="376"/>
    </row>
    <row r="11746" spans="1:100">
      <c r="A11746" s="374"/>
      <c r="C11746" s="374"/>
      <c r="CV11746" s="376"/>
    </row>
    <row r="11747" spans="1:100">
      <c r="A11747" s="374"/>
      <c r="C11747" s="374"/>
      <c r="CV11747" s="376"/>
    </row>
    <row r="11748" spans="1:100">
      <c r="A11748" s="374"/>
      <c r="C11748" s="374"/>
      <c r="CV11748" s="376"/>
    </row>
    <row r="11749" spans="1:100">
      <c r="A11749" s="374"/>
      <c r="C11749" s="374"/>
      <c r="CV11749" s="376"/>
    </row>
    <row r="11750" spans="1:100">
      <c r="A11750" s="374"/>
      <c r="C11750" s="374"/>
      <c r="CV11750" s="376"/>
    </row>
    <row r="11751" spans="1:100">
      <c r="A11751" s="374"/>
      <c r="C11751" s="374"/>
      <c r="CV11751" s="376"/>
    </row>
    <row r="11752" spans="1:100">
      <c r="A11752" s="374"/>
      <c r="C11752" s="374"/>
      <c r="CV11752" s="376"/>
    </row>
    <row r="11753" spans="1:100">
      <c r="A11753" s="374"/>
      <c r="C11753" s="374"/>
      <c r="CV11753" s="376"/>
    </row>
    <row r="11754" spans="1:100">
      <c r="A11754" s="374"/>
      <c r="C11754" s="374"/>
      <c r="CV11754" s="376"/>
    </row>
    <row r="11755" spans="1:100">
      <c r="A11755" s="374"/>
      <c r="C11755" s="374"/>
      <c r="CV11755" s="376"/>
    </row>
    <row r="11756" spans="1:100">
      <c r="A11756" s="374"/>
      <c r="C11756" s="374"/>
      <c r="CV11756" s="376"/>
    </row>
    <row r="11757" spans="1:100">
      <c r="A11757" s="374"/>
      <c r="C11757" s="374"/>
      <c r="CV11757" s="376"/>
    </row>
    <row r="11758" spans="1:100">
      <c r="A11758" s="374"/>
      <c r="C11758" s="374"/>
      <c r="CV11758" s="376"/>
    </row>
    <row r="11759" spans="1:100">
      <c r="A11759" s="374"/>
      <c r="C11759" s="374"/>
      <c r="CV11759" s="376"/>
    </row>
    <row r="11760" spans="1:100">
      <c r="A11760" s="374"/>
      <c r="C11760" s="374"/>
      <c r="CV11760" s="376"/>
    </row>
    <row r="11761" spans="1:100">
      <c r="A11761" s="374"/>
      <c r="C11761" s="374"/>
      <c r="CV11761" s="376"/>
    </row>
    <row r="11762" spans="1:100">
      <c r="A11762" s="374"/>
      <c r="C11762" s="374"/>
      <c r="CV11762" s="376"/>
    </row>
    <row r="11763" spans="1:100">
      <c r="A11763" s="374"/>
      <c r="C11763" s="374"/>
      <c r="CV11763" s="376"/>
    </row>
    <row r="11764" spans="1:100">
      <c r="A11764" s="374"/>
      <c r="C11764" s="374"/>
      <c r="CV11764" s="376"/>
    </row>
    <row r="11765" spans="1:100">
      <c r="A11765" s="374"/>
      <c r="C11765" s="374"/>
      <c r="CV11765" s="376"/>
    </row>
    <row r="11766" spans="1:100">
      <c r="A11766" s="374"/>
      <c r="C11766" s="374"/>
      <c r="CV11766" s="376"/>
    </row>
    <row r="11767" spans="1:100">
      <c r="A11767" s="374"/>
      <c r="C11767" s="374"/>
      <c r="CV11767" s="376"/>
    </row>
    <row r="11768" spans="1:100">
      <c r="A11768" s="374"/>
      <c r="C11768" s="374"/>
      <c r="CV11768" s="376"/>
    </row>
    <row r="11769" spans="1:100">
      <c r="A11769" s="374"/>
      <c r="C11769" s="374"/>
      <c r="CV11769" s="376"/>
    </row>
    <row r="11770" spans="1:100">
      <c r="A11770" s="374"/>
      <c r="C11770" s="374"/>
      <c r="CV11770" s="376"/>
    </row>
    <row r="11771" spans="1:100">
      <c r="A11771" s="374"/>
      <c r="C11771" s="374"/>
      <c r="CV11771" s="376"/>
    </row>
    <row r="11772" spans="1:100">
      <c r="A11772" s="374"/>
      <c r="C11772" s="374"/>
      <c r="CV11772" s="376"/>
    </row>
    <row r="11773" spans="1:100">
      <c r="A11773" s="374"/>
      <c r="C11773" s="374"/>
      <c r="CV11773" s="376"/>
    </row>
    <row r="11774" spans="1:100">
      <c r="A11774" s="374"/>
      <c r="C11774" s="374"/>
      <c r="CV11774" s="376"/>
    </row>
    <row r="11775" spans="1:100">
      <c r="A11775" s="374"/>
      <c r="C11775" s="374"/>
      <c r="CV11775" s="376"/>
    </row>
    <row r="11776" spans="1:100">
      <c r="A11776" s="374"/>
      <c r="C11776" s="374"/>
      <c r="CV11776" s="376"/>
    </row>
    <row r="11777" spans="1:100">
      <c r="A11777" s="374"/>
      <c r="C11777" s="374"/>
      <c r="CV11777" s="376"/>
    </row>
    <row r="11778" spans="1:100">
      <c r="A11778" s="374"/>
      <c r="C11778" s="374"/>
      <c r="CV11778" s="376"/>
    </row>
    <row r="11779" spans="1:100">
      <c r="A11779" s="374"/>
      <c r="C11779" s="374"/>
      <c r="CV11779" s="376"/>
    </row>
    <row r="11780" spans="1:100">
      <c r="A11780" s="374"/>
      <c r="C11780" s="374"/>
      <c r="CV11780" s="376"/>
    </row>
    <row r="11781" spans="1:100">
      <c r="A11781" s="374"/>
      <c r="C11781" s="374"/>
      <c r="CV11781" s="376"/>
    </row>
    <row r="11782" spans="1:100">
      <c r="A11782" s="374"/>
      <c r="C11782" s="374"/>
      <c r="CV11782" s="376"/>
    </row>
    <row r="11783" spans="1:100">
      <c r="A11783" s="374"/>
      <c r="C11783" s="374"/>
      <c r="CV11783" s="376"/>
    </row>
    <row r="11784" spans="1:100">
      <c r="A11784" s="374"/>
      <c r="C11784" s="374"/>
      <c r="CV11784" s="376"/>
    </row>
    <row r="11785" spans="1:100">
      <c r="A11785" s="374"/>
      <c r="C11785" s="374"/>
      <c r="CV11785" s="376"/>
    </row>
    <row r="11786" spans="1:100">
      <c r="A11786" s="374"/>
      <c r="C11786" s="374"/>
      <c r="CV11786" s="376"/>
    </row>
    <row r="11787" spans="1:100">
      <c r="A11787" s="374"/>
      <c r="C11787" s="374"/>
      <c r="CV11787" s="376"/>
    </row>
    <row r="11788" spans="1:100">
      <c r="A11788" s="374"/>
      <c r="C11788" s="374"/>
      <c r="CV11788" s="376"/>
    </row>
    <row r="11789" spans="1:100">
      <c r="A11789" s="374"/>
      <c r="C11789" s="374"/>
      <c r="CV11789" s="376"/>
    </row>
    <row r="11790" spans="1:100">
      <c r="A11790" s="374"/>
      <c r="C11790" s="374"/>
      <c r="CV11790" s="376"/>
    </row>
    <row r="11791" spans="1:100">
      <c r="A11791" s="374"/>
      <c r="C11791" s="374"/>
      <c r="CV11791" s="376"/>
    </row>
    <row r="11792" spans="1:100">
      <c r="A11792" s="374"/>
      <c r="C11792" s="374"/>
      <c r="CV11792" s="376"/>
    </row>
    <row r="11793" spans="1:100">
      <c r="A11793" s="374"/>
      <c r="C11793" s="374"/>
      <c r="CV11793" s="376"/>
    </row>
    <row r="11794" spans="1:100">
      <c r="A11794" s="374"/>
      <c r="C11794" s="374"/>
      <c r="CV11794" s="376"/>
    </row>
    <row r="11795" spans="1:100">
      <c r="A11795" s="374"/>
      <c r="C11795" s="374"/>
      <c r="CV11795" s="376"/>
    </row>
    <row r="11796" spans="1:100">
      <c r="A11796" s="374"/>
      <c r="C11796" s="374"/>
      <c r="CV11796" s="376"/>
    </row>
    <row r="11797" spans="1:100">
      <c r="A11797" s="374"/>
      <c r="C11797" s="374"/>
      <c r="CV11797" s="376"/>
    </row>
    <row r="11798" spans="1:100">
      <c r="A11798" s="374"/>
      <c r="C11798" s="374"/>
      <c r="CV11798" s="376"/>
    </row>
    <row r="11799" spans="1:100">
      <c r="A11799" s="374"/>
      <c r="C11799" s="374"/>
      <c r="CV11799" s="376"/>
    </row>
    <row r="11800" spans="1:100">
      <c r="A11800" s="374"/>
      <c r="C11800" s="374"/>
      <c r="CV11800" s="376"/>
    </row>
    <row r="11801" spans="1:100">
      <c r="A11801" s="374"/>
      <c r="C11801" s="374"/>
      <c r="CV11801" s="376"/>
    </row>
    <row r="11802" spans="1:100">
      <c r="A11802" s="374"/>
      <c r="C11802" s="374"/>
      <c r="CV11802" s="376"/>
    </row>
    <row r="11803" spans="1:100">
      <c r="A11803" s="374"/>
      <c r="C11803" s="374"/>
      <c r="CV11803" s="376"/>
    </row>
    <row r="11804" spans="1:100">
      <c r="A11804" s="374"/>
      <c r="C11804" s="374"/>
      <c r="CV11804" s="376"/>
    </row>
    <row r="11805" spans="1:100">
      <c r="A11805" s="374"/>
      <c r="C11805" s="374"/>
      <c r="CV11805" s="376"/>
    </row>
    <row r="11806" spans="1:100">
      <c r="A11806" s="374"/>
      <c r="C11806" s="374"/>
      <c r="CV11806" s="376"/>
    </row>
    <row r="11807" spans="1:100">
      <c r="A11807" s="374"/>
      <c r="C11807" s="374"/>
      <c r="CV11807" s="376"/>
    </row>
    <row r="11808" spans="1:100">
      <c r="A11808" s="374"/>
      <c r="C11808" s="374"/>
      <c r="CV11808" s="376"/>
    </row>
    <row r="11809" spans="1:100">
      <c r="A11809" s="374"/>
      <c r="C11809" s="374"/>
      <c r="CV11809" s="376"/>
    </row>
    <row r="11810" spans="1:100">
      <c r="A11810" s="374"/>
      <c r="C11810" s="374"/>
      <c r="CV11810" s="376"/>
    </row>
    <row r="11811" spans="1:100">
      <c r="A11811" s="374"/>
      <c r="C11811" s="374"/>
      <c r="CV11811" s="376"/>
    </row>
    <row r="11812" spans="1:100">
      <c r="A11812" s="374"/>
      <c r="C11812" s="374"/>
      <c r="CV11812" s="376"/>
    </row>
    <row r="11813" spans="1:100">
      <c r="A11813" s="374"/>
      <c r="C11813" s="374"/>
      <c r="CV11813" s="376"/>
    </row>
    <row r="11814" spans="1:100">
      <c r="A11814" s="374"/>
      <c r="C11814" s="374"/>
      <c r="CV11814" s="376"/>
    </row>
    <row r="11815" spans="1:100">
      <c r="A11815" s="374"/>
      <c r="C11815" s="374"/>
      <c r="CV11815" s="376"/>
    </row>
    <row r="11816" spans="1:100">
      <c r="A11816" s="374"/>
      <c r="C11816" s="374"/>
      <c r="CV11816" s="376"/>
    </row>
    <row r="11817" spans="1:100">
      <c r="A11817" s="374"/>
      <c r="C11817" s="374"/>
      <c r="CV11817" s="376"/>
    </row>
    <row r="11818" spans="1:100">
      <c r="A11818" s="374"/>
      <c r="C11818" s="374"/>
      <c r="CV11818" s="376"/>
    </row>
    <row r="11819" spans="1:100">
      <c r="A11819" s="374"/>
      <c r="C11819" s="374"/>
      <c r="CV11819" s="376"/>
    </row>
    <row r="11820" spans="1:100">
      <c r="A11820" s="374"/>
      <c r="C11820" s="374"/>
      <c r="CV11820" s="376"/>
    </row>
    <row r="11821" spans="1:100">
      <c r="A11821" s="374"/>
      <c r="C11821" s="374"/>
      <c r="CV11821" s="376"/>
    </row>
    <row r="11822" spans="1:100">
      <c r="A11822" s="374"/>
      <c r="C11822" s="374"/>
      <c r="CV11822" s="376"/>
    </row>
    <row r="11823" spans="1:100">
      <c r="A11823" s="374"/>
      <c r="C11823" s="374"/>
      <c r="CV11823" s="376"/>
    </row>
    <row r="11824" spans="1:100">
      <c r="A11824" s="374"/>
      <c r="C11824" s="374"/>
      <c r="CV11824" s="376"/>
    </row>
    <row r="11825" spans="1:100">
      <c r="A11825" s="374"/>
      <c r="C11825" s="374"/>
      <c r="CV11825" s="376"/>
    </row>
    <row r="11826" spans="1:100">
      <c r="A11826" s="374"/>
      <c r="C11826" s="374"/>
      <c r="CV11826" s="376"/>
    </row>
    <row r="11827" spans="1:100">
      <c r="A11827" s="374"/>
      <c r="C11827" s="374"/>
      <c r="CV11827" s="376"/>
    </row>
    <row r="11828" spans="1:100">
      <c r="A11828" s="374"/>
      <c r="C11828" s="374"/>
      <c r="CV11828" s="376"/>
    </row>
    <row r="11829" spans="1:100">
      <c r="A11829" s="374"/>
      <c r="C11829" s="374"/>
      <c r="CV11829" s="376"/>
    </row>
    <row r="11830" spans="1:100">
      <c r="A11830" s="374"/>
      <c r="C11830" s="374"/>
      <c r="CV11830" s="376"/>
    </row>
    <row r="11831" spans="1:100">
      <c r="A11831" s="374"/>
      <c r="C11831" s="374"/>
      <c r="CV11831" s="376"/>
    </row>
    <row r="11832" spans="1:100">
      <c r="A11832" s="374"/>
      <c r="C11832" s="374"/>
      <c r="CV11832" s="376"/>
    </row>
    <row r="11833" spans="1:100">
      <c r="A11833" s="374"/>
      <c r="C11833" s="374"/>
      <c r="CV11833" s="376"/>
    </row>
    <row r="11834" spans="1:100">
      <c r="A11834" s="374"/>
      <c r="C11834" s="374"/>
      <c r="CV11834" s="376"/>
    </row>
    <row r="11835" spans="1:100">
      <c r="A11835" s="374"/>
      <c r="C11835" s="374"/>
      <c r="CV11835" s="376"/>
    </row>
    <row r="11836" spans="1:100">
      <c r="A11836" s="374"/>
      <c r="C11836" s="374"/>
      <c r="CV11836" s="376"/>
    </row>
    <row r="11837" spans="1:100">
      <c r="A11837" s="374"/>
      <c r="C11837" s="374"/>
      <c r="CV11837" s="376"/>
    </row>
    <row r="11838" spans="1:100">
      <c r="A11838" s="374"/>
      <c r="C11838" s="374"/>
      <c r="CV11838" s="376"/>
    </row>
    <row r="11839" spans="1:100">
      <c r="A11839" s="374"/>
      <c r="C11839" s="374"/>
      <c r="CV11839" s="376"/>
    </row>
    <row r="11840" spans="1:100">
      <c r="A11840" s="374"/>
      <c r="C11840" s="374"/>
      <c r="CV11840" s="376"/>
    </row>
    <row r="11841" spans="1:100">
      <c r="A11841" s="374"/>
      <c r="C11841" s="374"/>
      <c r="CV11841" s="376"/>
    </row>
    <row r="11842" spans="1:100">
      <c r="A11842" s="374"/>
      <c r="C11842" s="374"/>
      <c r="CV11842" s="376"/>
    </row>
    <row r="11843" spans="1:100">
      <c r="A11843" s="374"/>
      <c r="C11843" s="374"/>
      <c r="CV11843" s="376"/>
    </row>
    <row r="11844" spans="1:100">
      <c r="A11844" s="374"/>
      <c r="C11844" s="374"/>
      <c r="CV11844" s="376"/>
    </row>
    <row r="11845" spans="1:100">
      <c r="A11845" s="374"/>
      <c r="C11845" s="374"/>
      <c r="CV11845" s="376"/>
    </row>
    <row r="11846" spans="1:100">
      <c r="A11846" s="374"/>
      <c r="C11846" s="374"/>
      <c r="CV11846" s="376"/>
    </row>
    <row r="11847" spans="1:100">
      <c r="A11847" s="374"/>
      <c r="C11847" s="374"/>
      <c r="CV11847" s="376"/>
    </row>
    <row r="11848" spans="1:100">
      <c r="A11848" s="374"/>
      <c r="C11848" s="374"/>
      <c r="CV11848" s="376"/>
    </row>
    <row r="11849" spans="1:100">
      <c r="A11849" s="374"/>
      <c r="C11849" s="374"/>
      <c r="CV11849" s="376"/>
    </row>
    <row r="11850" spans="1:100">
      <c r="A11850" s="374"/>
      <c r="C11850" s="374"/>
      <c r="CV11850" s="376"/>
    </row>
    <row r="11851" spans="1:100">
      <c r="A11851" s="374"/>
      <c r="C11851" s="374"/>
      <c r="CV11851" s="376"/>
    </row>
    <row r="11852" spans="1:100">
      <c r="A11852" s="374"/>
      <c r="C11852" s="374"/>
      <c r="CV11852" s="376"/>
    </row>
    <row r="11853" spans="1:100">
      <c r="A11853" s="374"/>
      <c r="C11853" s="374"/>
      <c r="CV11853" s="376"/>
    </row>
    <row r="11854" spans="1:100">
      <c r="A11854" s="374"/>
      <c r="C11854" s="374"/>
      <c r="CV11854" s="376"/>
    </row>
    <row r="11855" spans="1:100">
      <c r="A11855" s="374"/>
      <c r="C11855" s="374"/>
      <c r="CV11855" s="376"/>
    </row>
    <row r="11856" spans="1:100">
      <c r="A11856" s="374"/>
      <c r="C11856" s="374"/>
      <c r="CV11856" s="376"/>
    </row>
    <row r="11857" spans="1:100">
      <c r="A11857" s="374"/>
      <c r="C11857" s="374"/>
      <c r="CV11857" s="376"/>
    </row>
    <row r="11858" spans="1:100">
      <c r="A11858" s="374"/>
      <c r="C11858" s="374"/>
      <c r="CV11858" s="376"/>
    </row>
    <row r="11859" spans="1:100">
      <c r="A11859" s="374"/>
      <c r="C11859" s="374"/>
      <c r="CV11859" s="376"/>
    </row>
    <row r="11860" spans="1:100">
      <c r="A11860" s="374"/>
      <c r="C11860" s="374"/>
      <c r="CV11860" s="376"/>
    </row>
    <row r="11861" spans="1:100">
      <c r="A11861" s="374"/>
      <c r="C11861" s="374"/>
      <c r="CV11861" s="376"/>
    </row>
    <row r="11862" spans="1:100">
      <c r="A11862" s="374"/>
      <c r="C11862" s="374"/>
      <c r="CV11862" s="376"/>
    </row>
    <row r="11863" spans="1:100">
      <c r="A11863" s="374"/>
      <c r="C11863" s="374"/>
      <c r="CV11863" s="376"/>
    </row>
    <row r="11864" spans="1:100">
      <c r="A11864" s="374"/>
      <c r="C11864" s="374"/>
      <c r="CV11864" s="376"/>
    </row>
    <row r="11865" spans="1:100">
      <c r="A11865" s="374"/>
      <c r="C11865" s="374"/>
      <c r="CV11865" s="376"/>
    </row>
    <row r="11866" spans="1:100">
      <c r="A11866" s="374"/>
      <c r="C11866" s="374"/>
      <c r="CV11866" s="376"/>
    </row>
    <row r="11867" spans="1:100">
      <c r="A11867" s="374"/>
      <c r="C11867" s="374"/>
      <c r="CV11867" s="376"/>
    </row>
    <row r="11868" spans="1:100">
      <c r="A11868" s="374"/>
      <c r="C11868" s="374"/>
      <c r="CV11868" s="376"/>
    </row>
    <row r="11869" spans="1:100">
      <c r="A11869" s="374"/>
      <c r="C11869" s="374"/>
      <c r="CV11869" s="376"/>
    </row>
    <row r="11870" spans="1:100">
      <c r="A11870" s="374"/>
      <c r="C11870" s="374"/>
      <c r="CV11870" s="376"/>
    </row>
    <row r="11871" spans="1:100">
      <c r="A11871" s="374"/>
      <c r="C11871" s="374"/>
      <c r="CV11871" s="376"/>
    </row>
    <row r="11872" spans="1:100">
      <c r="A11872" s="374"/>
      <c r="C11872" s="374"/>
      <c r="CV11872" s="376"/>
    </row>
    <row r="11873" spans="1:100">
      <c r="A11873" s="374"/>
      <c r="C11873" s="374"/>
      <c r="CV11873" s="376"/>
    </row>
    <row r="11874" spans="1:100">
      <c r="A11874" s="374"/>
      <c r="C11874" s="374"/>
      <c r="CV11874" s="376"/>
    </row>
    <row r="11875" spans="1:100">
      <c r="A11875" s="374"/>
      <c r="C11875" s="374"/>
      <c r="CV11875" s="376"/>
    </row>
    <row r="11876" spans="1:100">
      <c r="A11876" s="374"/>
      <c r="C11876" s="374"/>
      <c r="CV11876" s="376"/>
    </row>
    <row r="11877" spans="1:100">
      <c r="A11877" s="374"/>
      <c r="C11877" s="374"/>
      <c r="CV11877" s="376"/>
    </row>
    <row r="11878" spans="1:100">
      <c r="A11878" s="374"/>
      <c r="C11878" s="374"/>
      <c r="CV11878" s="376"/>
    </row>
    <row r="11879" spans="1:100">
      <c r="A11879" s="374"/>
      <c r="C11879" s="374"/>
      <c r="CV11879" s="376"/>
    </row>
    <row r="11880" spans="1:100">
      <c r="A11880" s="374"/>
      <c r="C11880" s="374"/>
      <c r="CV11880" s="376"/>
    </row>
    <row r="11881" spans="1:100">
      <c r="A11881" s="374"/>
      <c r="C11881" s="374"/>
      <c r="CV11881" s="376"/>
    </row>
    <row r="11882" spans="1:100">
      <c r="A11882" s="374"/>
      <c r="C11882" s="374"/>
      <c r="CV11882" s="376"/>
    </row>
    <row r="11883" spans="1:100">
      <c r="A11883" s="374"/>
      <c r="C11883" s="374"/>
      <c r="CV11883" s="376"/>
    </row>
    <row r="11884" spans="1:100">
      <c r="A11884" s="374"/>
      <c r="C11884" s="374"/>
      <c r="CV11884" s="376"/>
    </row>
    <row r="11885" spans="1:100">
      <c r="A11885" s="374"/>
      <c r="C11885" s="374"/>
      <c r="CV11885" s="376"/>
    </row>
    <row r="11886" spans="1:100">
      <c r="A11886" s="374"/>
      <c r="C11886" s="374"/>
      <c r="CV11886" s="376"/>
    </row>
    <row r="11887" spans="1:100">
      <c r="A11887" s="374"/>
      <c r="C11887" s="374"/>
      <c r="CV11887" s="376"/>
    </row>
    <row r="11888" spans="1:100">
      <c r="A11888" s="374"/>
      <c r="C11888" s="374"/>
      <c r="CV11888" s="376"/>
    </row>
    <row r="11889" spans="1:100">
      <c r="A11889" s="374"/>
      <c r="C11889" s="374"/>
      <c r="CV11889" s="376"/>
    </row>
    <row r="11890" spans="1:100">
      <c r="A11890" s="374"/>
      <c r="C11890" s="374"/>
      <c r="CV11890" s="376"/>
    </row>
    <row r="11891" spans="1:100">
      <c r="A11891" s="374"/>
      <c r="C11891" s="374"/>
      <c r="CV11891" s="376"/>
    </row>
    <row r="11892" spans="1:100">
      <c r="A11892" s="374"/>
      <c r="C11892" s="374"/>
      <c r="CV11892" s="376"/>
    </row>
    <row r="11893" spans="1:100">
      <c r="A11893" s="374"/>
      <c r="C11893" s="374"/>
      <c r="CV11893" s="376"/>
    </row>
    <row r="11894" spans="1:100">
      <c r="A11894" s="374"/>
      <c r="C11894" s="374"/>
      <c r="CV11894" s="376"/>
    </row>
    <row r="11895" spans="1:100">
      <c r="A11895" s="374"/>
      <c r="C11895" s="374"/>
      <c r="CV11895" s="376"/>
    </row>
    <row r="11896" spans="1:100">
      <c r="A11896" s="374"/>
      <c r="C11896" s="374"/>
      <c r="CV11896" s="376"/>
    </row>
    <row r="11897" spans="1:100">
      <c r="A11897" s="374"/>
      <c r="C11897" s="374"/>
      <c r="CV11897" s="376"/>
    </row>
    <row r="11898" spans="1:100">
      <c r="A11898" s="374"/>
      <c r="C11898" s="374"/>
      <c r="CV11898" s="376"/>
    </row>
    <row r="11899" spans="1:100">
      <c r="A11899" s="374"/>
      <c r="C11899" s="374"/>
      <c r="CV11899" s="376"/>
    </row>
    <row r="11900" spans="1:100">
      <c r="A11900" s="374"/>
      <c r="C11900" s="374"/>
      <c r="CV11900" s="376"/>
    </row>
    <row r="11901" spans="1:100">
      <c r="A11901" s="374"/>
      <c r="C11901" s="374"/>
      <c r="CV11901" s="376"/>
    </row>
    <row r="11902" spans="1:100">
      <c r="A11902" s="374"/>
      <c r="C11902" s="374"/>
      <c r="CV11902" s="376"/>
    </row>
    <row r="11903" spans="1:100">
      <c r="A11903" s="374"/>
      <c r="C11903" s="374"/>
      <c r="CV11903" s="376"/>
    </row>
    <row r="11904" spans="1:100">
      <c r="A11904" s="374"/>
      <c r="C11904" s="374"/>
      <c r="CV11904" s="376"/>
    </row>
    <row r="11905" spans="1:100">
      <c r="A11905" s="374"/>
      <c r="C11905" s="374"/>
      <c r="CV11905" s="376"/>
    </row>
    <row r="11906" spans="1:100">
      <c r="A11906" s="374"/>
      <c r="C11906" s="374"/>
      <c r="CV11906" s="376"/>
    </row>
    <row r="11907" spans="1:100">
      <c r="A11907" s="374"/>
      <c r="C11907" s="374"/>
      <c r="CV11907" s="376"/>
    </row>
    <row r="11908" spans="1:100">
      <c r="A11908" s="374"/>
      <c r="C11908" s="374"/>
      <c r="CV11908" s="376"/>
    </row>
    <row r="11909" spans="1:100">
      <c r="A11909" s="374"/>
      <c r="C11909" s="374"/>
      <c r="CV11909" s="376"/>
    </row>
    <row r="11910" spans="1:100">
      <c r="A11910" s="374"/>
      <c r="C11910" s="374"/>
      <c r="CV11910" s="376"/>
    </row>
    <row r="11911" spans="1:100">
      <c r="A11911" s="374"/>
      <c r="C11911" s="374"/>
      <c r="CV11911" s="376"/>
    </row>
    <row r="11912" spans="1:100">
      <c r="A11912" s="374"/>
      <c r="C11912" s="374"/>
      <c r="CV11912" s="376"/>
    </row>
    <row r="11913" spans="1:100">
      <c r="A11913" s="374"/>
      <c r="C11913" s="374"/>
      <c r="CV11913" s="376"/>
    </row>
    <row r="11914" spans="1:100">
      <c r="A11914" s="374"/>
      <c r="C11914" s="374"/>
      <c r="CV11914" s="376"/>
    </row>
    <row r="11915" spans="1:100">
      <c r="A11915" s="374"/>
      <c r="C11915" s="374"/>
      <c r="CV11915" s="376"/>
    </row>
    <row r="11916" spans="1:100">
      <c r="A11916" s="374"/>
      <c r="C11916" s="374"/>
      <c r="CV11916" s="376"/>
    </row>
    <row r="11917" spans="1:100">
      <c r="A11917" s="374"/>
      <c r="C11917" s="374"/>
      <c r="CV11917" s="376"/>
    </row>
    <row r="11918" spans="1:100">
      <c r="A11918" s="374"/>
      <c r="C11918" s="374"/>
      <c r="CV11918" s="376"/>
    </row>
    <row r="11919" spans="1:100">
      <c r="A11919" s="374"/>
      <c r="C11919" s="374"/>
      <c r="CV11919" s="376"/>
    </row>
    <row r="11920" spans="1:100">
      <c r="A11920" s="374"/>
      <c r="C11920" s="374"/>
      <c r="CV11920" s="376"/>
    </row>
    <row r="11921" spans="1:100">
      <c r="A11921" s="374"/>
      <c r="C11921" s="374"/>
      <c r="CV11921" s="376"/>
    </row>
    <row r="11922" spans="1:100">
      <c r="A11922" s="374"/>
      <c r="C11922" s="374"/>
      <c r="CV11922" s="376"/>
    </row>
    <row r="11923" spans="1:100">
      <c r="A11923" s="374"/>
      <c r="C11923" s="374"/>
      <c r="CV11923" s="376"/>
    </row>
    <row r="11924" spans="1:100">
      <c r="A11924" s="374"/>
      <c r="C11924" s="374"/>
      <c r="CV11924" s="376"/>
    </row>
    <row r="11925" spans="1:100">
      <c r="A11925" s="374"/>
      <c r="C11925" s="374"/>
      <c r="CV11925" s="376"/>
    </row>
    <row r="11926" spans="1:100">
      <c r="A11926" s="374"/>
      <c r="C11926" s="374"/>
      <c r="CV11926" s="376"/>
    </row>
    <row r="11927" spans="1:100">
      <c r="A11927" s="374"/>
      <c r="C11927" s="374"/>
      <c r="CV11927" s="376"/>
    </row>
    <row r="11928" spans="1:100">
      <c r="A11928" s="374"/>
      <c r="C11928" s="374"/>
      <c r="CV11928" s="376"/>
    </row>
    <row r="11929" spans="1:100">
      <c r="A11929" s="374"/>
      <c r="C11929" s="374"/>
      <c r="CV11929" s="376"/>
    </row>
    <row r="11930" spans="1:100">
      <c r="A11930" s="374"/>
      <c r="C11930" s="374"/>
      <c r="CV11930" s="376"/>
    </row>
    <row r="11931" spans="1:100">
      <c r="A11931" s="374"/>
      <c r="C11931" s="374"/>
      <c r="CV11931" s="376"/>
    </row>
    <row r="11932" spans="1:100">
      <c r="A11932" s="374"/>
      <c r="C11932" s="374"/>
      <c r="CV11932" s="376"/>
    </row>
    <row r="11933" spans="1:100">
      <c r="A11933" s="374"/>
      <c r="C11933" s="374"/>
      <c r="CV11933" s="376"/>
    </row>
    <row r="11934" spans="1:100">
      <c r="A11934" s="374"/>
      <c r="C11934" s="374"/>
      <c r="CV11934" s="376"/>
    </row>
    <row r="11935" spans="1:100">
      <c r="A11935" s="374"/>
      <c r="C11935" s="374"/>
      <c r="CV11935" s="376"/>
    </row>
    <row r="11936" spans="1:100">
      <c r="A11936" s="374"/>
      <c r="C11936" s="374"/>
      <c r="CV11936" s="376"/>
    </row>
    <row r="11937" spans="1:100">
      <c r="A11937" s="374"/>
      <c r="C11937" s="374"/>
      <c r="CV11937" s="376"/>
    </row>
    <row r="11938" spans="1:100">
      <c r="A11938" s="374"/>
      <c r="C11938" s="374"/>
      <c r="CV11938" s="376"/>
    </row>
    <row r="11939" spans="1:100">
      <c r="A11939" s="374"/>
      <c r="C11939" s="374"/>
      <c r="CV11939" s="376"/>
    </row>
    <row r="11940" spans="1:100">
      <c r="A11940" s="374"/>
      <c r="C11940" s="374"/>
      <c r="CV11940" s="376"/>
    </row>
    <row r="11941" spans="1:100">
      <c r="A11941" s="374"/>
      <c r="C11941" s="374"/>
      <c r="CV11941" s="376"/>
    </row>
    <row r="11942" spans="1:100">
      <c r="A11942" s="374"/>
      <c r="C11942" s="374"/>
      <c r="CV11942" s="376"/>
    </row>
    <row r="11943" spans="1:100">
      <c r="A11943" s="374"/>
      <c r="C11943" s="374"/>
      <c r="CV11943" s="376"/>
    </row>
    <row r="11944" spans="1:100">
      <c r="A11944" s="374"/>
      <c r="C11944" s="374"/>
      <c r="CV11944" s="376"/>
    </row>
    <row r="11945" spans="1:100">
      <c r="A11945" s="374"/>
      <c r="C11945" s="374"/>
      <c r="CV11945" s="376"/>
    </row>
    <row r="11946" spans="1:100">
      <c r="A11946" s="374"/>
      <c r="C11946" s="374"/>
      <c r="CV11946" s="376"/>
    </row>
    <row r="11947" spans="1:100">
      <c r="A11947" s="374"/>
      <c r="C11947" s="374"/>
      <c r="CV11947" s="376"/>
    </row>
    <row r="11948" spans="1:100">
      <c r="A11948" s="374"/>
      <c r="C11948" s="374"/>
      <c r="CV11948" s="376"/>
    </row>
    <row r="11949" spans="1:100">
      <c r="A11949" s="374"/>
      <c r="C11949" s="374"/>
      <c r="CV11949" s="376"/>
    </row>
    <row r="11950" spans="1:100">
      <c r="A11950" s="374"/>
      <c r="C11950" s="374"/>
      <c r="CV11950" s="376"/>
    </row>
    <row r="11951" spans="1:100">
      <c r="A11951" s="374"/>
      <c r="C11951" s="374"/>
      <c r="CV11951" s="376"/>
    </row>
    <row r="11952" spans="1:100">
      <c r="A11952" s="374"/>
      <c r="C11952" s="374"/>
      <c r="CV11952" s="376"/>
    </row>
    <row r="11953" spans="1:100">
      <c r="A11953" s="374"/>
      <c r="C11953" s="374"/>
      <c r="CV11953" s="376"/>
    </row>
    <row r="11954" spans="1:100">
      <c r="A11954" s="374"/>
      <c r="C11954" s="374"/>
      <c r="CV11954" s="376"/>
    </row>
    <row r="11955" spans="1:100">
      <c r="A11955" s="374"/>
      <c r="C11955" s="374"/>
      <c r="CV11955" s="376"/>
    </row>
    <row r="11956" spans="1:100">
      <c r="A11956" s="374"/>
      <c r="C11956" s="374"/>
      <c r="CV11956" s="376"/>
    </row>
    <row r="11957" spans="1:100">
      <c r="A11957" s="374"/>
      <c r="C11957" s="374"/>
      <c r="CV11957" s="376"/>
    </row>
    <row r="11958" spans="1:100">
      <c r="A11958" s="374"/>
      <c r="C11958" s="374"/>
      <c r="CV11958" s="376"/>
    </row>
    <row r="11959" spans="1:100">
      <c r="A11959" s="374"/>
      <c r="C11959" s="374"/>
      <c r="CV11959" s="376"/>
    </row>
    <row r="11960" spans="1:100">
      <c r="A11960" s="374"/>
      <c r="C11960" s="374"/>
      <c r="CV11960" s="376"/>
    </row>
    <row r="11961" spans="1:100">
      <c r="A11961" s="374"/>
      <c r="C11961" s="374"/>
      <c r="CV11961" s="376"/>
    </row>
    <row r="11962" spans="1:100">
      <c r="A11962" s="374"/>
      <c r="C11962" s="374"/>
      <c r="CV11962" s="376"/>
    </row>
    <row r="11963" spans="1:100">
      <c r="A11963" s="374"/>
      <c r="C11963" s="374"/>
      <c r="CV11963" s="376"/>
    </row>
    <row r="11964" spans="1:100">
      <c r="A11964" s="374"/>
      <c r="C11964" s="374"/>
      <c r="CV11964" s="376"/>
    </row>
    <row r="11965" spans="1:100">
      <c r="A11965" s="374"/>
      <c r="C11965" s="374"/>
      <c r="CV11965" s="376"/>
    </row>
    <row r="11966" spans="1:100">
      <c r="A11966" s="374"/>
      <c r="C11966" s="374"/>
      <c r="CV11966" s="376"/>
    </row>
    <row r="11967" spans="1:100">
      <c r="A11967" s="374"/>
      <c r="C11967" s="374"/>
      <c r="CV11967" s="376"/>
    </row>
    <row r="11968" spans="1:100">
      <c r="A11968" s="374"/>
      <c r="C11968" s="374"/>
      <c r="CV11968" s="376"/>
    </row>
    <row r="11969" spans="1:100">
      <c r="A11969" s="374"/>
      <c r="C11969" s="374"/>
      <c r="CV11969" s="376"/>
    </row>
    <row r="11970" spans="1:100">
      <c r="A11970" s="374"/>
      <c r="C11970" s="374"/>
      <c r="CV11970" s="376"/>
    </row>
    <row r="11971" spans="1:100">
      <c r="A11971" s="374"/>
      <c r="C11971" s="374"/>
      <c r="CV11971" s="376"/>
    </row>
    <row r="11972" spans="1:100">
      <c r="A11972" s="374"/>
      <c r="C11972" s="374"/>
      <c r="CV11972" s="376"/>
    </row>
    <row r="11973" spans="1:100">
      <c r="A11973" s="374"/>
      <c r="C11973" s="374"/>
      <c r="CV11973" s="376"/>
    </row>
    <row r="11974" spans="1:100">
      <c r="A11974" s="374"/>
      <c r="C11974" s="374"/>
      <c r="CV11974" s="376"/>
    </row>
    <row r="11975" spans="1:100">
      <c r="A11975" s="374"/>
      <c r="C11975" s="374"/>
      <c r="CV11975" s="376"/>
    </row>
    <row r="11976" spans="1:100">
      <c r="A11976" s="374"/>
      <c r="C11976" s="374"/>
      <c r="CV11976" s="376"/>
    </row>
    <row r="11977" spans="1:100">
      <c r="A11977" s="374"/>
      <c r="C11977" s="374"/>
      <c r="CV11977" s="376"/>
    </row>
    <row r="11978" spans="1:100">
      <c r="A11978" s="374"/>
      <c r="C11978" s="374"/>
      <c r="CV11978" s="376"/>
    </row>
    <row r="11979" spans="1:100">
      <c r="A11979" s="374"/>
      <c r="C11979" s="374"/>
      <c r="CV11979" s="376"/>
    </row>
    <row r="11980" spans="1:100">
      <c r="A11980" s="374"/>
      <c r="C11980" s="374"/>
      <c r="CV11980" s="376"/>
    </row>
    <row r="11981" spans="1:100">
      <c r="A11981" s="374"/>
      <c r="C11981" s="374"/>
      <c r="CV11981" s="376"/>
    </row>
    <row r="11982" spans="1:100">
      <c r="A11982" s="374"/>
      <c r="C11982" s="374"/>
      <c r="CV11982" s="376"/>
    </row>
    <row r="11983" spans="1:100">
      <c r="A11983" s="374"/>
      <c r="C11983" s="374"/>
      <c r="CV11983" s="376"/>
    </row>
    <row r="11984" spans="1:100">
      <c r="A11984" s="374"/>
      <c r="C11984" s="374"/>
      <c r="CV11984" s="376"/>
    </row>
    <row r="11985" spans="1:100">
      <c r="A11985" s="374"/>
      <c r="C11985" s="374"/>
      <c r="CV11985" s="376"/>
    </row>
    <row r="11986" spans="1:100">
      <c r="A11986" s="374"/>
      <c r="C11986" s="374"/>
      <c r="CV11986" s="376"/>
    </row>
    <row r="11987" spans="1:100">
      <c r="A11987" s="374"/>
      <c r="C11987" s="374"/>
      <c r="CV11987" s="376"/>
    </row>
    <row r="11988" spans="1:100">
      <c r="A11988" s="374"/>
      <c r="C11988" s="374"/>
      <c r="CV11988" s="376"/>
    </row>
    <row r="11989" spans="1:100">
      <c r="A11989" s="374"/>
      <c r="C11989" s="374"/>
      <c r="CV11989" s="376"/>
    </row>
    <row r="11990" spans="1:100">
      <c r="A11990" s="374"/>
      <c r="C11990" s="374"/>
      <c r="CV11990" s="376"/>
    </row>
    <row r="11991" spans="1:100">
      <c r="A11991" s="374"/>
      <c r="C11991" s="374"/>
      <c r="CV11991" s="376"/>
    </row>
    <row r="11992" spans="1:100">
      <c r="A11992" s="374"/>
      <c r="C11992" s="374"/>
      <c r="CV11992" s="376"/>
    </row>
    <row r="11993" spans="1:100">
      <c r="A11993" s="374"/>
      <c r="C11993" s="374"/>
      <c r="CV11993" s="376"/>
    </row>
    <row r="11994" spans="1:100">
      <c r="A11994" s="374"/>
      <c r="C11994" s="374"/>
      <c r="CV11994" s="376"/>
    </row>
    <row r="11995" spans="1:100">
      <c r="A11995" s="374"/>
      <c r="C11995" s="374"/>
      <c r="CV11995" s="376"/>
    </row>
    <row r="11996" spans="1:100">
      <c r="A11996" s="374"/>
      <c r="C11996" s="374"/>
      <c r="CV11996" s="376"/>
    </row>
    <row r="11997" spans="1:100">
      <c r="A11997" s="374"/>
      <c r="C11997" s="374"/>
      <c r="CV11997" s="376"/>
    </row>
    <row r="11998" spans="1:100">
      <c r="A11998" s="374"/>
      <c r="C11998" s="374"/>
      <c r="CV11998" s="376"/>
    </row>
    <row r="11999" spans="1:100">
      <c r="A11999" s="374"/>
      <c r="C11999" s="374"/>
      <c r="CV11999" s="376"/>
    </row>
    <row r="12000" spans="1:100">
      <c r="A12000" s="374"/>
      <c r="C12000" s="374"/>
      <c r="CV12000" s="376"/>
    </row>
    <row r="12001" spans="1:100">
      <c r="A12001" s="374"/>
      <c r="C12001" s="374"/>
      <c r="CV12001" s="376"/>
    </row>
    <row r="12002" spans="1:100">
      <c r="A12002" s="374"/>
      <c r="C12002" s="374"/>
      <c r="CV12002" s="376"/>
    </row>
    <row r="12003" spans="1:100">
      <c r="A12003" s="374"/>
      <c r="C12003" s="374"/>
      <c r="CV12003" s="376"/>
    </row>
    <row r="12004" spans="1:100">
      <c r="A12004" s="374"/>
      <c r="C12004" s="374"/>
      <c r="CV12004" s="376"/>
    </row>
    <row r="12005" spans="1:100">
      <c r="A12005" s="374"/>
      <c r="C12005" s="374"/>
      <c r="CV12005" s="376"/>
    </row>
    <row r="12006" spans="1:100">
      <c r="A12006" s="374"/>
      <c r="C12006" s="374"/>
      <c r="CV12006" s="376"/>
    </row>
    <row r="12007" spans="1:100">
      <c r="A12007" s="374"/>
      <c r="C12007" s="374"/>
      <c r="CV12007" s="376"/>
    </row>
    <row r="12008" spans="1:100">
      <c r="A12008" s="374"/>
      <c r="C12008" s="374"/>
      <c r="CV12008" s="376"/>
    </row>
    <row r="12009" spans="1:100">
      <c r="A12009" s="374"/>
      <c r="C12009" s="374"/>
      <c r="CV12009" s="376"/>
    </row>
    <row r="12010" spans="1:100">
      <c r="A12010" s="374"/>
      <c r="C12010" s="374"/>
      <c r="CV12010" s="376"/>
    </row>
    <row r="12011" spans="1:100">
      <c r="A12011" s="374"/>
      <c r="C12011" s="374"/>
      <c r="CV12011" s="376"/>
    </row>
    <row r="12012" spans="1:100">
      <c r="A12012" s="374"/>
      <c r="C12012" s="374"/>
      <c r="CV12012" s="376"/>
    </row>
    <row r="12013" spans="1:100">
      <c r="A12013" s="374"/>
      <c r="C12013" s="374"/>
      <c r="CV12013" s="376"/>
    </row>
    <row r="12014" spans="1:100">
      <c r="A12014" s="374"/>
      <c r="C12014" s="374"/>
      <c r="CV12014" s="376"/>
    </row>
    <row r="12015" spans="1:100">
      <c r="A12015" s="374"/>
      <c r="C12015" s="374"/>
      <c r="CV12015" s="376"/>
    </row>
    <row r="12016" spans="1:100">
      <c r="A12016" s="374"/>
      <c r="C12016" s="374"/>
      <c r="CV12016" s="376"/>
    </row>
    <row r="12017" spans="1:100">
      <c r="A12017" s="374"/>
      <c r="C12017" s="374"/>
      <c r="CV12017" s="376"/>
    </row>
    <row r="12018" spans="1:100">
      <c r="A12018" s="374"/>
      <c r="C12018" s="374"/>
      <c r="CV12018" s="376"/>
    </row>
    <row r="12019" spans="1:100">
      <c r="A12019" s="374"/>
      <c r="C12019" s="374"/>
      <c r="CV12019" s="376"/>
    </row>
    <row r="12020" spans="1:100">
      <c r="A12020" s="374"/>
      <c r="C12020" s="374"/>
      <c r="CV12020" s="376"/>
    </row>
    <row r="12021" spans="1:100">
      <c r="A12021" s="374"/>
      <c r="C12021" s="374"/>
      <c r="CV12021" s="376"/>
    </row>
    <row r="12022" spans="1:100">
      <c r="A12022" s="374"/>
      <c r="C12022" s="374"/>
      <c r="CV12022" s="376"/>
    </row>
    <row r="12023" spans="1:100">
      <c r="A12023" s="374"/>
      <c r="C12023" s="374"/>
      <c r="CV12023" s="376"/>
    </row>
    <row r="12024" spans="1:100">
      <c r="A12024" s="374"/>
      <c r="C12024" s="374"/>
      <c r="CV12024" s="376"/>
    </row>
    <row r="12025" spans="1:100">
      <c r="A12025" s="374"/>
      <c r="C12025" s="374"/>
      <c r="CV12025" s="376"/>
    </row>
    <row r="12026" spans="1:100">
      <c r="A12026" s="374"/>
      <c r="C12026" s="374"/>
      <c r="CV12026" s="376"/>
    </row>
    <row r="12027" spans="1:100">
      <c r="A12027" s="374"/>
      <c r="C12027" s="374"/>
      <c r="CV12027" s="376"/>
    </row>
    <row r="12028" spans="1:100">
      <c r="A12028" s="374"/>
      <c r="C12028" s="374"/>
      <c r="CV12028" s="376"/>
    </row>
    <row r="12029" spans="1:100">
      <c r="A12029" s="374"/>
      <c r="C12029" s="374"/>
      <c r="CV12029" s="376"/>
    </row>
    <row r="12030" spans="1:100">
      <c r="A12030" s="374"/>
      <c r="C12030" s="374"/>
      <c r="CV12030" s="376"/>
    </row>
    <row r="12031" spans="1:100">
      <c r="A12031" s="374"/>
      <c r="C12031" s="374"/>
      <c r="CV12031" s="376"/>
    </row>
    <row r="12032" spans="1:100">
      <c r="A12032" s="374"/>
      <c r="C12032" s="374"/>
      <c r="CV12032" s="376"/>
    </row>
    <row r="12033" spans="1:100">
      <c r="A12033" s="374"/>
      <c r="C12033" s="374"/>
      <c r="CV12033" s="376"/>
    </row>
    <row r="12034" spans="1:100">
      <c r="A12034" s="374"/>
      <c r="C12034" s="374"/>
      <c r="CV12034" s="376"/>
    </row>
    <row r="12035" spans="1:100">
      <c r="A12035" s="374"/>
      <c r="C12035" s="374"/>
      <c r="CV12035" s="376"/>
    </row>
    <row r="12036" spans="1:100">
      <c r="A12036" s="374"/>
      <c r="C12036" s="374"/>
      <c r="CV12036" s="376"/>
    </row>
    <row r="12037" spans="1:100">
      <c r="A12037" s="374"/>
      <c r="C12037" s="374"/>
      <c r="CV12037" s="376"/>
    </row>
    <row r="12038" spans="1:100">
      <c r="A12038" s="374"/>
      <c r="C12038" s="374"/>
      <c r="CV12038" s="376"/>
    </row>
    <row r="12039" spans="1:100">
      <c r="A12039" s="374"/>
      <c r="C12039" s="374"/>
      <c r="CV12039" s="376"/>
    </row>
    <row r="12040" spans="1:100">
      <c r="A12040" s="374"/>
      <c r="C12040" s="374"/>
      <c r="CV12040" s="376"/>
    </row>
    <row r="12041" spans="1:100">
      <c r="A12041" s="374"/>
      <c r="C12041" s="374"/>
      <c r="CV12041" s="376"/>
    </row>
    <row r="12042" spans="1:100">
      <c r="A12042" s="374"/>
      <c r="C12042" s="374"/>
      <c r="CV12042" s="376"/>
    </row>
    <row r="12043" spans="1:100">
      <c r="A12043" s="374"/>
      <c r="C12043" s="374"/>
      <c r="CV12043" s="376"/>
    </row>
    <row r="12044" spans="1:100">
      <c r="A12044" s="374"/>
      <c r="C12044" s="374"/>
      <c r="CV12044" s="376"/>
    </row>
    <row r="12045" spans="1:100">
      <c r="A12045" s="374"/>
      <c r="C12045" s="374"/>
      <c r="CV12045" s="376"/>
    </row>
    <row r="12046" spans="1:100">
      <c r="A12046" s="374"/>
      <c r="C12046" s="374"/>
      <c r="CV12046" s="376"/>
    </row>
    <row r="12047" spans="1:100">
      <c r="A12047" s="374"/>
      <c r="C12047" s="374"/>
      <c r="CV12047" s="376"/>
    </row>
    <row r="12048" spans="1:100">
      <c r="A12048" s="374"/>
      <c r="C12048" s="374"/>
      <c r="CV12048" s="376"/>
    </row>
    <row r="12049" spans="1:100">
      <c r="A12049" s="374"/>
      <c r="C12049" s="374"/>
      <c r="CV12049" s="376"/>
    </row>
    <row r="12050" spans="1:100">
      <c r="A12050" s="374"/>
      <c r="C12050" s="374"/>
      <c r="CV12050" s="376"/>
    </row>
    <row r="12051" spans="1:100">
      <c r="A12051" s="374"/>
      <c r="C12051" s="374"/>
      <c r="CV12051" s="376"/>
    </row>
    <row r="12052" spans="1:100">
      <c r="A12052" s="374"/>
      <c r="C12052" s="374"/>
      <c r="CV12052" s="376"/>
    </row>
    <row r="12053" spans="1:100">
      <c r="A12053" s="374"/>
      <c r="C12053" s="374"/>
      <c r="CV12053" s="376"/>
    </row>
    <row r="12054" spans="1:100">
      <c r="A12054" s="374"/>
      <c r="C12054" s="374"/>
      <c r="CV12054" s="376"/>
    </row>
    <row r="12055" spans="1:100">
      <c r="A12055" s="374"/>
      <c r="C12055" s="374"/>
      <c r="CV12055" s="376"/>
    </row>
    <row r="12056" spans="1:100">
      <c r="A12056" s="374"/>
      <c r="C12056" s="374"/>
      <c r="CV12056" s="376"/>
    </row>
    <row r="12057" spans="1:100">
      <c r="A12057" s="374"/>
      <c r="C12057" s="374"/>
      <c r="CV12057" s="376"/>
    </row>
    <row r="12058" spans="1:100">
      <c r="A12058" s="374"/>
      <c r="C12058" s="374"/>
      <c r="CV12058" s="376"/>
    </row>
    <row r="12059" spans="1:100">
      <c r="A12059" s="374"/>
      <c r="C12059" s="374"/>
      <c r="CV12059" s="376"/>
    </row>
    <row r="12060" spans="1:100">
      <c r="A12060" s="374"/>
      <c r="C12060" s="374"/>
      <c r="CV12060" s="376"/>
    </row>
    <row r="12061" spans="1:100">
      <c r="A12061" s="374"/>
      <c r="C12061" s="374"/>
      <c r="CV12061" s="376"/>
    </row>
    <row r="12062" spans="1:100">
      <c r="A12062" s="374"/>
      <c r="C12062" s="374"/>
      <c r="CV12062" s="376"/>
    </row>
    <row r="12063" spans="1:100">
      <c r="A12063" s="374"/>
      <c r="C12063" s="374"/>
      <c r="CV12063" s="376"/>
    </row>
    <row r="12064" spans="1:100">
      <c r="A12064" s="374"/>
      <c r="C12064" s="374"/>
      <c r="CV12064" s="376"/>
    </row>
    <row r="12065" spans="1:100">
      <c r="A12065" s="374"/>
      <c r="C12065" s="374"/>
      <c r="CV12065" s="376"/>
    </row>
    <row r="12066" spans="1:100">
      <c r="A12066" s="374"/>
      <c r="C12066" s="374"/>
      <c r="CV12066" s="376"/>
    </row>
    <row r="12067" spans="1:100">
      <c r="A12067" s="374"/>
      <c r="C12067" s="374"/>
      <c r="CV12067" s="376"/>
    </row>
    <row r="12068" spans="1:100">
      <c r="A12068" s="374"/>
      <c r="C12068" s="374"/>
      <c r="CV12068" s="376"/>
    </row>
    <row r="12069" spans="1:100">
      <c r="A12069" s="374"/>
      <c r="C12069" s="374"/>
      <c r="CV12069" s="376"/>
    </row>
    <row r="12070" spans="1:100">
      <c r="A12070" s="374"/>
      <c r="C12070" s="374"/>
      <c r="CV12070" s="376"/>
    </row>
    <row r="12071" spans="1:100">
      <c r="A12071" s="374"/>
      <c r="C12071" s="374"/>
      <c r="CV12071" s="376"/>
    </row>
    <row r="12072" spans="1:100">
      <c r="A12072" s="374"/>
      <c r="C12072" s="374"/>
      <c r="CV12072" s="376"/>
    </row>
    <row r="12073" spans="1:100">
      <c r="A12073" s="374"/>
      <c r="C12073" s="374"/>
      <c r="CV12073" s="376"/>
    </row>
    <row r="12074" spans="1:100">
      <c r="A12074" s="374"/>
      <c r="C12074" s="374"/>
      <c r="CV12074" s="376"/>
    </row>
    <row r="12075" spans="1:100">
      <c r="A12075" s="374"/>
      <c r="C12075" s="374"/>
      <c r="CV12075" s="376"/>
    </row>
    <row r="12076" spans="1:100">
      <c r="A12076" s="374"/>
      <c r="C12076" s="374"/>
      <c r="CV12076" s="376"/>
    </row>
    <row r="12077" spans="1:100">
      <c r="A12077" s="374"/>
      <c r="C12077" s="374"/>
      <c r="CV12077" s="376"/>
    </row>
    <row r="12078" spans="1:100">
      <c r="A12078" s="374"/>
      <c r="C12078" s="374"/>
      <c r="CV12078" s="376"/>
    </row>
    <row r="12079" spans="1:100">
      <c r="A12079" s="374"/>
      <c r="C12079" s="374"/>
      <c r="CV12079" s="376"/>
    </row>
    <row r="12080" spans="1:100">
      <c r="A12080" s="374"/>
      <c r="C12080" s="374"/>
      <c r="CV12080" s="376"/>
    </row>
    <row r="12081" spans="1:100">
      <c r="A12081" s="374"/>
      <c r="C12081" s="374"/>
      <c r="CV12081" s="376"/>
    </row>
    <row r="12082" spans="1:100">
      <c r="A12082" s="374"/>
      <c r="C12082" s="374"/>
      <c r="CV12082" s="376"/>
    </row>
    <row r="12083" spans="1:100">
      <c r="A12083" s="374"/>
      <c r="C12083" s="374"/>
      <c r="CV12083" s="376"/>
    </row>
    <row r="12084" spans="1:100">
      <c r="A12084" s="374"/>
      <c r="C12084" s="374"/>
      <c r="CV12084" s="376"/>
    </row>
    <row r="12085" spans="1:100">
      <c r="A12085" s="374"/>
      <c r="C12085" s="374"/>
      <c r="CV12085" s="376"/>
    </row>
    <row r="12086" spans="1:100">
      <c r="A12086" s="374"/>
      <c r="C12086" s="374"/>
      <c r="CV12086" s="376"/>
    </row>
    <row r="12087" spans="1:100">
      <c r="A12087" s="374"/>
      <c r="C12087" s="374"/>
      <c r="CV12087" s="376"/>
    </row>
    <row r="12088" spans="1:100">
      <c r="A12088" s="374"/>
      <c r="C12088" s="374"/>
      <c r="CV12088" s="376"/>
    </row>
    <row r="12089" spans="1:100">
      <c r="A12089" s="374"/>
      <c r="C12089" s="374"/>
      <c r="CV12089" s="376"/>
    </row>
    <row r="12090" spans="1:100">
      <c r="A12090" s="374"/>
      <c r="C12090" s="374"/>
      <c r="CV12090" s="376"/>
    </row>
    <row r="12091" spans="1:100">
      <c r="A12091" s="374"/>
      <c r="C12091" s="374"/>
      <c r="CV12091" s="376"/>
    </row>
    <row r="12092" spans="1:100">
      <c r="A12092" s="374"/>
      <c r="C12092" s="374"/>
      <c r="CV12092" s="376"/>
    </row>
    <row r="12093" spans="1:100">
      <c r="A12093" s="374"/>
      <c r="C12093" s="374"/>
      <c r="CV12093" s="376"/>
    </row>
    <row r="12094" spans="1:100">
      <c r="A12094" s="374"/>
      <c r="C12094" s="374"/>
      <c r="CV12094" s="376"/>
    </row>
    <row r="12095" spans="1:100">
      <c r="A12095" s="374"/>
      <c r="C12095" s="374"/>
      <c r="CV12095" s="376"/>
    </row>
    <row r="12096" spans="1:100">
      <c r="A12096" s="374"/>
      <c r="C12096" s="374"/>
      <c r="CV12096" s="376"/>
    </row>
    <row r="12097" spans="1:100">
      <c r="A12097" s="374"/>
      <c r="C12097" s="374"/>
      <c r="CV12097" s="376"/>
    </row>
    <row r="12098" spans="1:100">
      <c r="A12098" s="374"/>
      <c r="C12098" s="374"/>
      <c r="CV12098" s="376"/>
    </row>
    <row r="12099" spans="1:100">
      <c r="A12099" s="374"/>
      <c r="C12099" s="374"/>
      <c r="CV12099" s="376"/>
    </row>
    <row r="12100" spans="1:100">
      <c r="A12100" s="374"/>
      <c r="C12100" s="374"/>
      <c r="CV12100" s="376"/>
    </row>
    <row r="12101" spans="1:100">
      <c r="A12101" s="374"/>
      <c r="C12101" s="374"/>
      <c r="CV12101" s="376"/>
    </row>
    <row r="12102" spans="1:100">
      <c r="A12102" s="374"/>
      <c r="C12102" s="374"/>
      <c r="CV12102" s="376"/>
    </row>
    <row r="12103" spans="1:100">
      <c r="A12103" s="374"/>
      <c r="C12103" s="374"/>
      <c r="CV12103" s="376"/>
    </row>
    <row r="12104" spans="1:100">
      <c r="A12104" s="374"/>
      <c r="C12104" s="374"/>
      <c r="CV12104" s="376"/>
    </row>
    <row r="12105" spans="1:100">
      <c r="A12105" s="374"/>
      <c r="C12105" s="374"/>
      <c r="CV12105" s="376"/>
    </row>
    <row r="12106" spans="1:100">
      <c r="A12106" s="374"/>
      <c r="C12106" s="374"/>
      <c r="CV12106" s="376"/>
    </row>
    <row r="12107" spans="1:100">
      <c r="A12107" s="374"/>
      <c r="C12107" s="374"/>
      <c r="CV12107" s="376"/>
    </row>
    <row r="12108" spans="1:100">
      <c r="A12108" s="374"/>
      <c r="C12108" s="374"/>
      <c r="CV12108" s="376"/>
    </row>
    <row r="12109" spans="1:100">
      <c r="A12109" s="374"/>
      <c r="C12109" s="374"/>
      <c r="CV12109" s="376"/>
    </row>
    <row r="12110" spans="1:100">
      <c r="A12110" s="374"/>
      <c r="C12110" s="374"/>
      <c r="CV12110" s="376"/>
    </row>
    <row r="12111" spans="1:100">
      <c r="A12111" s="374"/>
      <c r="C12111" s="374"/>
      <c r="CV12111" s="376"/>
    </row>
    <row r="12112" spans="1:100">
      <c r="A12112" s="374"/>
      <c r="C12112" s="374"/>
      <c r="CV12112" s="376"/>
    </row>
    <row r="12113" spans="1:100">
      <c r="A12113" s="374"/>
      <c r="C12113" s="374"/>
      <c r="CV12113" s="376"/>
    </row>
    <row r="12114" spans="1:100">
      <c r="A12114" s="374"/>
      <c r="C12114" s="374"/>
      <c r="CV12114" s="376"/>
    </row>
    <row r="12115" spans="1:100">
      <c r="A12115" s="374"/>
      <c r="C12115" s="374"/>
      <c r="CV12115" s="376"/>
    </row>
    <row r="12116" spans="1:100">
      <c r="A12116" s="374"/>
      <c r="C12116" s="374"/>
      <c r="CV12116" s="376"/>
    </row>
    <row r="12117" spans="1:100">
      <c r="A12117" s="374"/>
      <c r="C12117" s="374"/>
      <c r="CV12117" s="376"/>
    </row>
    <row r="12118" spans="1:100">
      <c r="A12118" s="374"/>
      <c r="C12118" s="374"/>
      <c r="CV12118" s="376"/>
    </row>
    <row r="12119" spans="1:100">
      <c r="A12119" s="374"/>
      <c r="C12119" s="374"/>
      <c r="CV12119" s="376"/>
    </row>
    <row r="12120" spans="1:100">
      <c r="A12120" s="374"/>
      <c r="C12120" s="374"/>
      <c r="CV12120" s="376"/>
    </row>
    <row r="12121" spans="1:100">
      <c r="A12121" s="374"/>
      <c r="C12121" s="374"/>
      <c r="CV12121" s="376"/>
    </row>
    <row r="12122" spans="1:100">
      <c r="A12122" s="374"/>
      <c r="C12122" s="374"/>
      <c r="CV12122" s="376"/>
    </row>
    <row r="12123" spans="1:100">
      <c r="A12123" s="374"/>
      <c r="C12123" s="374"/>
      <c r="CV12123" s="376"/>
    </row>
    <row r="12124" spans="1:100">
      <c r="A12124" s="374"/>
      <c r="C12124" s="374"/>
      <c r="CV12124" s="376"/>
    </row>
    <row r="12125" spans="1:100">
      <c r="A12125" s="374"/>
      <c r="C12125" s="374"/>
      <c r="CV12125" s="376"/>
    </row>
    <row r="12126" spans="1:100">
      <c r="A12126" s="374"/>
      <c r="C12126" s="374"/>
      <c r="CV12126" s="376"/>
    </row>
    <row r="12127" spans="1:100">
      <c r="A12127" s="374"/>
      <c r="C12127" s="374"/>
      <c r="CV12127" s="376"/>
    </row>
    <row r="12128" spans="1:100">
      <c r="A12128" s="374"/>
      <c r="C12128" s="374"/>
      <c r="CV12128" s="376"/>
    </row>
    <row r="12129" spans="1:100">
      <c r="A12129" s="374"/>
      <c r="C12129" s="374"/>
      <c r="CV12129" s="376"/>
    </row>
    <row r="12130" spans="1:100">
      <c r="A12130" s="374"/>
      <c r="C12130" s="374"/>
      <c r="CV12130" s="376"/>
    </row>
    <row r="12131" spans="1:100">
      <c r="A12131" s="374"/>
      <c r="C12131" s="374"/>
      <c r="CV12131" s="376"/>
    </row>
    <row r="12132" spans="1:100">
      <c r="A12132" s="374"/>
      <c r="C12132" s="374"/>
      <c r="CV12132" s="376"/>
    </row>
    <row r="12133" spans="1:100">
      <c r="A12133" s="374"/>
      <c r="C12133" s="374"/>
      <c r="CV12133" s="376"/>
    </row>
    <row r="12134" spans="1:100">
      <c r="A12134" s="374"/>
      <c r="C12134" s="374"/>
      <c r="CV12134" s="376"/>
    </row>
    <row r="12135" spans="1:100">
      <c r="A12135" s="374"/>
      <c r="C12135" s="374"/>
      <c r="CV12135" s="376"/>
    </row>
    <row r="12136" spans="1:100">
      <c r="A12136" s="374"/>
      <c r="C12136" s="374"/>
      <c r="CV12136" s="376"/>
    </row>
    <row r="12137" spans="1:100">
      <c r="A12137" s="374"/>
      <c r="C12137" s="374"/>
      <c r="CV12137" s="376"/>
    </row>
    <row r="12138" spans="1:100">
      <c r="A12138" s="374"/>
      <c r="C12138" s="374"/>
      <c r="CV12138" s="376"/>
    </row>
    <row r="12139" spans="1:100">
      <c r="A12139" s="374"/>
      <c r="C12139" s="374"/>
      <c r="CV12139" s="376"/>
    </row>
    <row r="12140" spans="1:100">
      <c r="A12140" s="374"/>
      <c r="C12140" s="374"/>
      <c r="CV12140" s="376"/>
    </row>
    <row r="12141" spans="1:100">
      <c r="A12141" s="374"/>
      <c r="C12141" s="374"/>
      <c r="CV12141" s="376"/>
    </row>
    <row r="12142" spans="1:100">
      <c r="A12142" s="374"/>
      <c r="C12142" s="374"/>
      <c r="CV12142" s="376"/>
    </row>
    <row r="12143" spans="1:100">
      <c r="A12143" s="374"/>
      <c r="C12143" s="374"/>
      <c r="CV12143" s="376"/>
    </row>
    <row r="12144" spans="1:100">
      <c r="A12144" s="374"/>
      <c r="C12144" s="374"/>
      <c r="CV12144" s="376"/>
    </row>
    <row r="12145" spans="1:100">
      <c r="A12145" s="374"/>
      <c r="C12145" s="374"/>
      <c r="CV12145" s="376"/>
    </row>
    <row r="12146" spans="1:100">
      <c r="A12146" s="374"/>
      <c r="C12146" s="374"/>
      <c r="CV12146" s="376"/>
    </row>
    <row r="12147" spans="1:100">
      <c r="A12147" s="374"/>
      <c r="C12147" s="374"/>
      <c r="CV12147" s="376"/>
    </row>
    <row r="12148" spans="1:100">
      <c r="A12148" s="374"/>
      <c r="C12148" s="374"/>
      <c r="CV12148" s="376"/>
    </row>
    <row r="12149" spans="1:100">
      <c r="A12149" s="374"/>
      <c r="C12149" s="374"/>
      <c r="CV12149" s="376"/>
    </row>
    <row r="12150" spans="1:100">
      <c r="A12150" s="374"/>
      <c r="C12150" s="374"/>
      <c r="CV12150" s="376"/>
    </row>
    <row r="12151" spans="1:100">
      <c r="A12151" s="374"/>
      <c r="C12151" s="374"/>
      <c r="CV12151" s="376"/>
    </row>
    <row r="12152" spans="1:100">
      <c r="A12152" s="374"/>
      <c r="C12152" s="374"/>
      <c r="CV12152" s="376"/>
    </row>
    <row r="12153" spans="1:100">
      <c r="A12153" s="374"/>
      <c r="C12153" s="374"/>
      <c r="CV12153" s="376"/>
    </row>
    <row r="12154" spans="1:100">
      <c r="A12154" s="374"/>
      <c r="C12154" s="374"/>
      <c r="CV12154" s="376"/>
    </row>
    <row r="12155" spans="1:100">
      <c r="A12155" s="374"/>
      <c r="C12155" s="374"/>
      <c r="CV12155" s="376"/>
    </row>
    <row r="12156" spans="1:100">
      <c r="A12156" s="374"/>
      <c r="C12156" s="374"/>
      <c r="CV12156" s="376"/>
    </row>
    <row r="12157" spans="1:100">
      <c r="A12157" s="374"/>
      <c r="C12157" s="374"/>
      <c r="CV12157" s="376"/>
    </row>
    <row r="12158" spans="1:100">
      <c r="A12158" s="374"/>
      <c r="C12158" s="374"/>
      <c r="CV12158" s="376"/>
    </row>
    <row r="12159" spans="1:100">
      <c r="A12159" s="374"/>
      <c r="C12159" s="374"/>
      <c r="CV12159" s="376"/>
    </row>
    <row r="12160" spans="1:100">
      <c r="A12160" s="374"/>
      <c r="C12160" s="374"/>
      <c r="CV12160" s="376"/>
    </row>
    <row r="12161" spans="1:100">
      <c r="A12161" s="374"/>
      <c r="C12161" s="374"/>
      <c r="CV12161" s="376"/>
    </row>
    <row r="12162" spans="1:100">
      <c r="A12162" s="374"/>
      <c r="C12162" s="374"/>
      <c r="CV12162" s="376"/>
    </row>
    <row r="12163" spans="1:100">
      <c r="A12163" s="374"/>
      <c r="C12163" s="374"/>
      <c r="CV12163" s="376"/>
    </row>
    <row r="12164" spans="1:100">
      <c r="A12164" s="374"/>
      <c r="C12164" s="374"/>
      <c r="CV12164" s="376"/>
    </row>
    <row r="12165" spans="1:100">
      <c r="A12165" s="374"/>
      <c r="C12165" s="374"/>
      <c r="CV12165" s="376"/>
    </row>
    <row r="12166" spans="1:100">
      <c r="A12166" s="374"/>
      <c r="C12166" s="374"/>
      <c r="CV12166" s="376"/>
    </row>
    <row r="12167" spans="1:100">
      <c r="A12167" s="374"/>
      <c r="C12167" s="374"/>
      <c r="CV12167" s="376"/>
    </row>
    <row r="12168" spans="1:100">
      <c r="A12168" s="374"/>
      <c r="C12168" s="374"/>
      <c r="CV12168" s="376"/>
    </row>
    <row r="12169" spans="1:100">
      <c r="A12169" s="374"/>
      <c r="C12169" s="374"/>
      <c r="CV12169" s="376"/>
    </row>
    <row r="12170" spans="1:100">
      <c r="A12170" s="374"/>
      <c r="C12170" s="374"/>
      <c r="CV12170" s="376"/>
    </row>
    <row r="12171" spans="1:100">
      <c r="A12171" s="374"/>
      <c r="C12171" s="374"/>
      <c r="CV12171" s="376"/>
    </row>
    <row r="12172" spans="1:100">
      <c r="A12172" s="374"/>
      <c r="C12172" s="374"/>
      <c r="CV12172" s="376"/>
    </row>
    <row r="12173" spans="1:100">
      <c r="A12173" s="374"/>
      <c r="C12173" s="374"/>
      <c r="CV12173" s="376"/>
    </row>
    <row r="12174" spans="1:100">
      <c r="A12174" s="374"/>
      <c r="C12174" s="374"/>
      <c r="CV12174" s="376"/>
    </row>
    <row r="12175" spans="1:100">
      <c r="A12175" s="374"/>
      <c r="C12175" s="374"/>
      <c r="CV12175" s="376"/>
    </row>
    <row r="12176" spans="1:100">
      <c r="A12176" s="374"/>
      <c r="C12176" s="374"/>
      <c r="CV12176" s="376"/>
    </row>
    <row r="12177" spans="1:100">
      <c r="A12177" s="374"/>
      <c r="C12177" s="374"/>
      <c r="CV12177" s="376"/>
    </row>
    <row r="12178" spans="1:100">
      <c r="A12178" s="374"/>
      <c r="C12178" s="374"/>
      <c r="CV12178" s="376"/>
    </row>
    <row r="12179" spans="1:100">
      <c r="A12179" s="374"/>
      <c r="C12179" s="374"/>
      <c r="CV12179" s="376"/>
    </row>
    <row r="12180" spans="1:100">
      <c r="A12180" s="374"/>
      <c r="C12180" s="374"/>
      <c r="CV12180" s="376"/>
    </row>
    <row r="12181" spans="1:100">
      <c r="A12181" s="374"/>
      <c r="C12181" s="374"/>
      <c r="CV12181" s="376"/>
    </row>
    <row r="12182" spans="1:100">
      <c r="A12182" s="374"/>
      <c r="C12182" s="374"/>
      <c r="CV12182" s="376"/>
    </row>
    <row r="12183" spans="1:100">
      <c r="A12183" s="374"/>
      <c r="C12183" s="374"/>
      <c r="CV12183" s="376"/>
    </row>
    <row r="12184" spans="1:100">
      <c r="A12184" s="374"/>
      <c r="C12184" s="374"/>
      <c r="CV12184" s="376"/>
    </row>
    <row r="12185" spans="1:100">
      <c r="A12185" s="374"/>
      <c r="C12185" s="374"/>
      <c r="CV12185" s="376"/>
    </row>
    <row r="12186" spans="1:100">
      <c r="A12186" s="374"/>
      <c r="C12186" s="374"/>
      <c r="CV12186" s="376"/>
    </row>
    <row r="12187" spans="1:100">
      <c r="A12187" s="374"/>
      <c r="C12187" s="374"/>
      <c r="CV12187" s="376"/>
    </row>
    <row r="12188" spans="1:100">
      <c r="A12188" s="374"/>
      <c r="C12188" s="374"/>
      <c r="CV12188" s="376"/>
    </row>
    <row r="12189" spans="1:100">
      <c r="A12189" s="374"/>
      <c r="C12189" s="374"/>
      <c r="CV12189" s="376"/>
    </row>
    <row r="12190" spans="1:100">
      <c r="A12190" s="374"/>
      <c r="C12190" s="374"/>
      <c r="CV12190" s="376"/>
    </row>
    <row r="12191" spans="1:100">
      <c r="A12191" s="374"/>
      <c r="C12191" s="374"/>
      <c r="CV12191" s="376"/>
    </row>
    <row r="12192" spans="1:100">
      <c r="A12192" s="374"/>
      <c r="C12192" s="374"/>
      <c r="CV12192" s="376"/>
    </row>
    <row r="12193" spans="1:100">
      <c r="A12193" s="374"/>
      <c r="C12193" s="374"/>
      <c r="CV12193" s="376"/>
    </row>
    <row r="12194" spans="1:100">
      <c r="A12194" s="374"/>
      <c r="C12194" s="374"/>
      <c r="CV12194" s="376"/>
    </row>
    <row r="12195" spans="1:100">
      <c r="A12195" s="374"/>
      <c r="C12195" s="374"/>
      <c r="CV12195" s="376"/>
    </row>
    <row r="12196" spans="1:100">
      <c r="A12196" s="374"/>
      <c r="C12196" s="374"/>
      <c r="CV12196" s="376"/>
    </row>
    <row r="12197" spans="1:100">
      <c r="A12197" s="374"/>
      <c r="C12197" s="374"/>
      <c r="CV12197" s="376"/>
    </row>
    <row r="12198" spans="1:100">
      <c r="A12198" s="374"/>
      <c r="C12198" s="374"/>
      <c r="CV12198" s="376"/>
    </row>
    <row r="12199" spans="1:100">
      <c r="A12199" s="374"/>
      <c r="C12199" s="374"/>
      <c r="CV12199" s="376"/>
    </row>
    <row r="12200" spans="1:100">
      <c r="A12200" s="374"/>
      <c r="C12200" s="374"/>
      <c r="CV12200" s="376"/>
    </row>
    <row r="12201" spans="1:100">
      <c r="A12201" s="374"/>
      <c r="C12201" s="374"/>
      <c r="CV12201" s="376"/>
    </row>
    <row r="12202" spans="1:100">
      <c r="A12202" s="374"/>
      <c r="C12202" s="374"/>
      <c r="CV12202" s="376"/>
    </row>
    <row r="12203" spans="1:100">
      <c r="A12203" s="374"/>
      <c r="C12203" s="374"/>
      <c r="CV12203" s="376"/>
    </row>
    <row r="12204" spans="1:100">
      <c r="A12204" s="374"/>
      <c r="C12204" s="374"/>
      <c r="CV12204" s="376"/>
    </row>
    <row r="12205" spans="1:100">
      <c r="A12205" s="374"/>
      <c r="C12205" s="374"/>
      <c r="CV12205" s="376"/>
    </row>
    <row r="12206" spans="1:100">
      <c r="A12206" s="374"/>
      <c r="C12206" s="374"/>
      <c r="CV12206" s="376"/>
    </row>
    <row r="12207" spans="1:100">
      <c r="A12207" s="374"/>
      <c r="C12207" s="374"/>
      <c r="CV12207" s="376"/>
    </row>
    <row r="12208" spans="1:100">
      <c r="A12208" s="374"/>
      <c r="C12208" s="374"/>
      <c r="CV12208" s="376"/>
    </row>
    <row r="12209" spans="1:100">
      <c r="A12209" s="374"/>
      <c r="C12209" s="374"/>
      <c r="CV12209" s="376"/>
    </row>
    <row r="12210" spans="1:100">
      <c r="A12210" s="374"/>
      <c r="C12210" s="374"/>
      <c r="CV12210" s="376"/>
    </row>
    <row r="12211" spans="1:100">
      <c r="A12211" s="374"/>
      <c r="C12211" s="374"/>
      <c r="CV12211" s="376"/>
    </row>
    <row r="12212" spans="1:100">
      <c r="A12212" s="374"/>
      <c r="C12212" s="374"/>
      <c r="CV12212" s="376"/>
    </row>
    <row r="12213" spans="1:100">
      <c r="A12213" s="374"/>
      <c r="C12213" s="374"/>
      <c r="CV12213" s="376"/>
    </row>
    <row r="12214" spans="1:100">
      <c r="A12214" s="374"/>
      <c r="C12214" s="374"/>
      <c r="CV12214" s="376"/>
    </row>
    <row r="12215" spans="1:100">
      <c r="A12215" s="374"/>
      <c r="C12215" s="374"/>
      <c r="CV12215" s="376"/>
    </row>
    <row r="12216" spans="1:100">
      <c r="A12216" s="374"/>
      <c r="C12216" s="374"/>
      <c r="CV12216" s="376"/>
    </row>
    <row r="12217" spans="1:100">
      <c r="A12217" s="374"/>
      <c r="C12217" s="374"/>
      <c r="CV12217" s="376"/>
    </row>
    <row r="12218" spans="1:100">
      <c r="A12218" s="374"/>
      <c r="C12218" s="374"/>
      <c r="CV12218" s="376"/>
    </row>
    <row r="12219" spans="1:100">
      <c r="A12219" s="374"/>
      <c r="C12219" s="374"/>
      <c r="CV12219" s="376"/>
    </row>
    <row r="12220" spans="1:100">
      <c r="A12220" s="374"/>
      <c r="C12220" s="374"/>
      <c r="CV12220" s="376"/>
    </row>
    <row r="12221" spans="1:100">
      <c r="A12221" s="374"/>
      <c r="C12221" s="374"/>
      <c r="CV12221" s="376"/>
    </row>
    <row r="12222" spans="1:100">
      <c r="A12222" s="374"/>
      <c r="C12222" s="374"/>
      <c r="CV12222" s="376"/>
    </row>
    <row r="12223" spans="1:100">
      <c r="A12223" s="374"/>
      <c r="C12223" s="374"/>
      <c r="CV12223" s="376"/>
    </row>
    <row r="12224" spans="1:100">
      <c r="A12224" s="374"/>
      <c r="C12224" s="374"/>
      <c r="CV12224" s="376"/>
    </row>
    <row r="12225" spans="1:100">
      <c r="A12225" s="374"/>
      <c r="C12225" s="374"/>
      <c r="CV12225" s="376"/>
    </row>
    <row r="12226" spans="1:100">
      <c r="A12226" s="374"/>
      <c r="C12226" s="374"/>
      <c r="CV12226" s="376"/>
    </row>
    <row r="12227" spans="1:100">
      <c r="A12227" s="374"/>
      <c r="C12227" s="374"/>
      <c r="CV12227" s="376"/>
    </row>
    <row r="12228" spans="1:100">
      <c r="A12228" s="374"/>
      <c r="C12228" s="374"/>
      <c r="CV12228" s="376"/>
    </row>
    <row r="12229" spans="1:100">
      <c r="A12229" s="374"/>
      <c r="C12229" s="374"/>
      <c r="CV12229" s="376"/>
    </row>
    <row r="12230" spans="1:100">
      <c r="A12230" s="374"/>
      <c r="C12230" s="374"/>
      <c r="CV12230" s="376"/>
    </row>
    <row r="12231" spans="1:100">
      <c r="A12231" s="374"/>
      <c r="C12231" s="374"/>
      <c r="CV12231" s="376"/>
    </row>
    <row r="12232" spans="1:100">
      <c r="A12232" s="374"/>
      <c r="C12232" s="374"/>
      <c r="CV12232" s="376"/>
    </row>
    <row r="12233" spans="1:100">
      <c r="A12233" s="374"/>
      <c r="C12233" s="374"/>
      <c r="CV12233" s="376"/>
    </row>
    <row r="12234" spans="1:100">
      <c r="A12234" s="374"/>
      <c r="C12234" s="374"/>
      <c r="CV12234" s="376"/>
    </row>
    <row r="12235" spans="1:100">
      <c r="A12235" s="374"/>
      <c r="C12235" s="374"/>
      <c r="CV12235" s="376"/>
    </row>
    <row r="12236" spans="1:100">
      <c r="A12236" s="374"/>
      <c r="C12236" s="374"/>
      <c r="CV12236" s="376"/>
    </row>
    <row r="12237" spans="1:100">
      <c r="A12237" s="374"/>
      <c r="C12237" s="374"/>
      <c r="CV12237" s="376"/>
    </row>
    <row r="12238" spans="1:100">
      <c r="A12238" s="374"/>
      <c r="C12238" s="374"/>
      <c r="CV12238" s="376"/>
    </row>
    <row r="12239" spans="1:100">
      <c r="A12239" s="374"/>
      <c r="C12239" s="374"/>
      <c r="CV12239" s="376"/>
    </row>
    <row r="12240" spans="1:100">
      <c r="A12240" s="374"/>
      <c r="C12240" s="374"/>
      <c r="CV12240" s="376"/>
    </row>
    <row r="12241" spans="1:100">
      <c r="A12241" s="374"/>
      <c r="C12241" s="374"/>
      <c r="CV12241" s="376"/>
    </row>
    <row r="12242" spans="1:100">
      <c r="A12242" s="374"/>
      <c r="C12242" s="374"/>
      <c r="CV12242" s="376"/>
    </row>
    <row r="12243" spans="1:100">
      <c r="A12243" s="374"/>
      <c r="C12243" s="374"/>
      <c r="CV12243" s="376"/>
    </row>
    <row r="12244" spans="1:100">
      <c r="A12244" s="374"/>
      <c r="C12244" s="374"/>
      <c r="CV12244" s="376"/>
    </row>
    <row r="12245" spans="1:100">
      <c r="A12245" s="374"/>
      <c r="C12245" s="374"/>
      <c r="CV12245" s="376"/>
    </row>
    <row r="12246" spans="1:100">
      <c r="A12246" s="374"/>
      <c r="C12246" s="374"/>
      <c r="CV12246" s="376"/>
    </row>
    <row r="12247" spans="1:100">
      <c r="A12247" s="374"/>
      <c r="C12247" s="374"/>
      <c r="CV12247" s="376"/>
    </row>
    <row r="12248" spans="1:100">
      <c r="A12248" s="374"/>
      <c r="C12248" s="374"/>
      <c r="CV12248" s="376"/>
    </row>
    <row r="12249" spans="1:100">
      <c r="A12249" s="374"/>
      <c r="C12249" s="374"/>
      <c r="CV12249" s="376"/>
    </row>
    <row r="12250" spans="1:100">
      <c r="A12250" s="374"/>
      <c r="C12250" s="374"/>
      <c r="CV12250" s="376"/>
    </row>
    <row r="12251" spans="1:100">
      <c r="A12251" s="374"/>
      <c r="C12251" s="374"/>
      <c r="CV12251" s="376"/>
    </row>
    <row r="12252" spans="1:100">
      <c r="A12252" s="374"/>
      <c r="C12252" s="374"/>
      <c r="CV12252" s="376"/>
    </row>
    <row r="12253" spans="1:100">
      <c r="A12253" s="374"/>
      <c r="C12253" s="374"/>
      <c r="CV12253" s="376"/>
    </row>
    <row r="12254" spans="1:100">
      <c r="A12254" s="374"/>
      <c r="C12254" s="374"/>
      <c r="CV12254" s="376"/>
    </row>
    <row r="12255" spans="1:100">
      <c r="A12255" s="374"/>
      <c r="C12255" s="374"/>
      <c r="CV12255" s="376"/>
    </row>
    <row r="12256" spans="1:100">
      <c r="A12256" s="374"/>
      <c r="C12256" s="374"/>
      <c r="CV12256" s="376"/>
    </row>
    <row r="12257" spans="1:100">
      <c r="A12257" s="374"/>
      <c r="C12257" s="374"/>
      <c r="CV12257" s="376"/>
    </row>
    <row r="12258" spans="1:100">
      <c r="A12258" s="374"/>
      <c r="C12258" s="374"/>
      <c r="CV12258" s="376"/>
    </row>
    <row r="12259" spans="1:100">
      <c r="A12259" s="374"/>
      <c r="C12259" s="374"/>
      <c r="CV12259" s="376"/>
    </row>
    <row r="12260" spans="1:100">
      <c r="A12260" s="374"/>
      <c r="C12260" s="374"/>
      <c r="CV12260" s="376"/>
    </row>
    <row r="12261" spans="1:100">
      <c r="A12261" s="374"/>
      <c r="C12261" s="374"/>
      <c r="CV12261" s="376"/>
    </row>
    <row r="12262" spans="1:100">
      <c r="A12262" s="374"/>
      <c r="C12262" s="374"/>
      <c r="CV12262" s="376"/>
    </row>
    <row r="12263" spans="1:100">
      <c r="A12263" s="374"/>
      <c r="C12263" s="374"/>
      <c r="CV12263" s="376"/>
    </row>
    <row r="12264" spans="1:100">
      <c r="A12264" s="374"/>
      <c r="C12264" s="374"/>
      <c r="CV12264" s="376"/>
    </row>
    <row r="12265" spans="1:100">
      <c r="A12265" s="374"/>
      <c r="C12265" s="374"/>
      <c r="CV12265" s="376"/>
    </row>
    <row r="12266" spans="1:100">
      <c r="A12266" s="374"/>
      <c r="C12266" s="374"/>
      <c r="CV12266" s="376"/>
    </row>
    <row r="12267" spans="1:100">
      <c r="A12267" s="374"/>
      <c r="C12267" s="374"/>
      <c r="CV12267" s="376"/>
    </row>
    <row r="12268" spans="1:100">
      <c r="A12268" s="374"/>
      <c r="C12268" s="374"/>
      <c r="CV12268" s="376"/>
    </row>
    <row r="12269" spans="1:100">
      <c r="A12269" s="374"/>
      <c r="C12269" s="374"/>
      <c r="CV12269" s="376"/>
    </row>
    <row r="12270" spans="1:100">
      <c r="A12270" s="374"/>
      <c r="C12270" s="374"/>
      <c r="CV12270" s="376"/>
    </row>
    <row r="12271" spans="1:100">
      <c r="A12271" s="374"/>
      <c r="C12271" s="374"/>
      <c r="CV12271" s="376"/>
    </row>
    <row r="12272" spans="1:100">
      <c r="A12272" s="374"/>
      <c r="C12272" s="374"/>
      <c r="CV12272" s="376"/>
    </row>
    <row r="12273" spans="1:100">
      <c r="A12273" s="374"/>
      <c r="C12273" s="374"/>
      <c r="CV12273" s="376"/>
    </row>
    <row r="12274" spans="1:100">
      <c r="A12274" s="374"/>
      <c r="C12274" s="374"/>
      <c r="CV12274" s="376"/>
    </row>
    <row r="12275" spans="1:100">
      <c r="A12275" s="374"/>
      <c r="C12275" s="374"/>
      <c r="CV12275" s="376"/>
    </row>
    <row r="12276" spans="1:100">
      <c r="A12276" s="374"/>
      <c r="C12276" s="374"/>
      <c r="CV12276" s="376"/>
    </row>
    <row r="12277" spans="1:100">
      <c r="A12277" s="374"/>
      <c r="C12277" s="374"/>
      <c r="CV12277" s="376"/>
    </row>
    <row r="12278" spans="1:100">
      <c r="A12278" s="374"/>
      <c r="C12278" s="374"/>
      <c r="CV12278" s="376"/>
    </row>
    <row r="12279" spans="1:100">
      <c r="A12279" s="374"/>
      <c r="C12279" s="374"/>
      <c r="CV12279" s="376"/>
    </row>
    <row r="12280" spans="1:100">
      <c r="A12280" s="374"/>
      <c r="C12280" s="374"/>
      <c r="CV12280" s="376"/>
    </row>
    <row r="12281" spans="1:100">
      <c r="A12281" s="374"/>
      <c r="C12281" s="374"/>
      <c r="CV12281" s="376"/>
    </row>
    <row r="12282" spans="1:100">
      <c r="A12282" s="374"/>
      <c r="C12282" s="374"/>
      <c r="CV12282" s="376"/>
    </row>
    <row r="12283" spans="1:100">
      <c r="A12283" s="374"/>
      <c r="C12283" s="374"/>
      <c r="CV12283" s="376"/>
    </row>
    <row r="12284" spans="1:100">
      <c r="A12284" s="374"/>
      <c r="C12284" s="374"/>
      <c r="CV12284" s="376"/>
    </row>
    <row r="12285" spans="1:100">
      <c r="A12285" s="374"/>
      <c r="C12285" s="374"/>
      <c r="CV12285" s="376"/>
    </row>
    <row r="12286" spans="1:100">
      <c r="A12286" s="374"/>
      <c r="C12286" s="374"/>
      <c r="CV12286" s="376"/>
    </row>
    <row r="12287" spans="1:100">
      <c r="A12287" s="374"/>
      <c r="C12287" s="374"/>
      <c r="CV12287" s="376"/>
    </row>
    <row r="12288" spans="1:100">
      <c r="A12288" s="374"/>
      <c r="C12288" s="374"/>
      <c r="CV12288" s="376"/>
    </row>
    <row r="12289" spans="1:100">
      <c r="A12289" s="374"/>
      <c r="C12289" s="374"/>
      <c r="CV12289" s="376"/>
    </row>
    <row r="12290" spans="1:100">
      <c r="A12290" s="374"/>
      <c r="C12290" s="374"/>
      <c r="CV12290" s="376"/>
    </row>
    <row r="12291" spans="1:100">
      <c r="A12291" s="374"/>
      <c r="C12291" s="374"/>
      <c r="CV12291" s="376"/>
    </row>
    <row r="12292" spans="1:100">
      <c r="A12292" s="374"/>
      <c r="C12292" s="374"/>
      <c r="CV12292" s="376"/>
    </row>
    <row r="12293" spans="1:100">
      <c r="A12293" s="374"/>
      <c r="C12293" s="374"/>
      <c r="CV12293" s="376"/>
    </row>
    <row r="12294" spans="1:100">
      <c r="A12294" s="374"/>
      <c r="C12294" s="374"/>
      <c r="CV12294" s="376"/>
    </row>
    <row r="12295" spans="1:100">
      <c r="A12295" s="374"/>
      <c r="C12295" s="374"/>
      <c r="CV12295" s="376"/>
    </row>
    <row r="12296" spans="1:100">
      <c r="A12296" s="374"/>
      <c r="C12296" s="374"/>
      <c r="CV12296" s="376"/>
    </row>
    <row r="12297" spans="1:100">
      <c r="A12297" s="374"/>
      <c r="C12297" s="374"/>
      <c r="CV12297" s="376"/>
    </row>
    <row r="12298" spans="1:100">
      <c r="A12298" s="374"/>
      <c r="C12298" s="374"/>
      <c r="CV12298" s="376"/>
    </row>
    <row r="12299" spans="1:100">
      <c r="A12299" s="374"/>
      <c r="C12299" s="374"/>
      <c r="CV12299" s="376"/>
    </row>
    <row r="12300" spans="1:100">
      <c r="A12300" s="374"/>
      <c r="C12300" s="374"/>
      <c r="CV12300" s="376"/>
    </row>
    <row r="12301" spans="1:100">
      <c r="A12301" s="374"/>
      <c r="C12301" s="374"/>
      <c r="CV12301" s="376"/>
    </row>
    <row r="12302" spans="1:100">
      <c r="A12302" s="374"/>
      <c r="C12302" s="374"/>
      <c r="CV12302" s="376"/>
    </row>
    <row r="12303" spans="1:100">
      <c r="A12303" s="374"/>
      <c r="C12303" s="374"/>
      <c r="CV12303" s="376"/>
    </row>
    <row r="12304" spans="1:100">
      <c r="A12304" s="374"/>
      <c r="C12304" s="374"/>
      <c r="CV12304" s="376"/>
    </row>
    <row r="12305" spans="1:100">
      <c r="A12305" s="374"/>
      <c r="C12305" s="374"/>
      <c r="CV12305" s="376"/>
    </row>
    <row r="12306" spans="1:100">
      <c r="A12306" s="374"/>
      <c r="C12306" s="374"/>
      <c r="CV12306" s="376"/>
    </row>
    <row r="12307" spans="1:100">
      <c r="A12307" s="374"/>
      <c r="C12307" s="374"/>
      <c r="CV12307" s="376"/>
    </row>
    <row r="12308" spans="1:100">
      <c r="A12308" s="374"/>
      <c r="C12308" s="374"/>
      <c r="CV12308" s="376"/>
    </row>
    <row r="12309" spans="1:100">
      <c r="A12309" s="374"/>
      <c r="C12309" s="374"/>
      <c r="CV12309" s="376"/>
    </row>
    <row r="12310" spans="1:100">
      <c r="A12310" s="374"/>
      <c r="C12310" s="374"/>
      <c r="CV12310" s="376"/>
    </row>
    <row r="12311" spans="1:100">
      <c r="A12311" s="374"/>
      <c r="C12311" s="374"/>
      <c r="CV12311" s="376"/>
    </row>
    <row r="12312" spans="1:100">
      <c r="A12312" s="374"/>
      <c r="C12312" s="374"/>
      <c r="CV12312" s="376"/>
    </row>
    <row r="12313" spans="1:100">
      <c r="A12313" s="374"/>
      <c r="C12313" s="374"/>
      <c r="CV12313" s="376"/>
    </row>
    <row r="12314" spans="1:100">
      <c r="A12314" s="374"/>
      <c r="C12314" s="374"/>
      <c r="CV12314" s="376"/>
    </row>
    <row r="12315" spans="1:100">
      <c r="A12315" s="374"/>
      <c r="C12315" s="374"/>
      <c r="CV12315" s="376"/>
    </row>
    <row r="12316" spans="1:100">
      <c r="A12316" s="374"/>
      <c r="C12316" s="374"/>
      <c r="CV12316" s="376"/>
    </row>
    <row r="12317" spans="1:100">
      <c r="A12317" s="374"/>
      <c r="C12317" s="374"/>
      <c r="CV12317" s="376"/>
    </row>
    <row r="12318" spans="1:100">
      <c r="A12318" s="374"/>
      <c r="C12318" s="374"/>
      <c r="CV12318" s="376"/>
    </row>
    <row r="12319" spans="1:100">
      <c r="A12319" s="374"/>
      <c r="C12319" s="374"/>
      <c r="CV12319" s="376"/>
    </row>
    <row r="12320" spans="1:100">
      <c r="A12320" s="374"/>
      <c r="C12320" s="374"/>
      <c r="CV12320" s="376"/>
    </row>
    <row r="12321" spans="1:100">
      <c r="A12321" s="374"/>
      <c r="C12321" s="374"/>
      <c r="CV12321" s="376"/>
    </row>
    <row r="12322" spans="1:100">
      <c r="A12322" s="374"/>
      <c r="C12322" s="374"/>
      <c r="CV12322" s="376"/>
    </row>
    <row r="12323" spans="1:100">
      <c r="A12323" s="374"/>
      <c r="C12323" s="374"/>
      <c r="CV12323" s="376"/>
    </row>
    <row r="12324" spans="1:100">
      <c r="A12324" s="374"/>
      <c r="C12324" s="374"/>
      <c r="CV12324" s="376"/>
    </row>
    <row r="12325" spans="1:100">
      <c r="A12325" s="374"/>
      <c r="C12325" s="374"/>
      <c r="CV12325" s="376"/>
    </row>
    <row r="12326" spans="1:100">
      <c r="A12326" s="374"/>
      <c r="C12326" s="374"/>
      <c r="CV12326" s="376"/>
    </row>
    <row r="12327" spans="1:100">
      <c r="A12327" s="374"/>
      <c r="C12327" s="374"/>
      <c r="CV12327" s="376"/>
    </row>
    <row r="12328" spans="1:100">
      <c r="A12328" s="374"/>
      <c r="C12328" s="374"/>
      <c r="CV12328" s="376"/>
    </row>
    <row r="12329" spans="1:100">
      <c r="A12329" s="374"/>
      <c r="C12329" s="374"/>
      <c r="CV12329" s="376"/>
    </row>
    <row r="12330" spans="1:100">
      <c r="A12330" s="374"/>
      <c r="C12330" s="374"/>
      <c r="CV12330" s="376"/>
    </row>
    <row r="12331" spans="1:100">
      <c r="A12331" s="374"/>
      <c r="C12331" s="374"/>
      <c r="CV12331" s="376"/>
    </row>
    <row r="12332" spans="1:100">
      <c r="A12332" s="374"/>
      <c r="C12332" s="374"/>
      <c r="CV12332" s="376"/>
    </row>
    <row r="12333" spans="1:100">
      <c r="A12333" s="374"/>
      <c r="C12333" s="374"/>
      <c r="CV12333" s="376"/>
    </row>
    <row r="12334" spans="1:100">
      <c r="A12334" s="374"/>
      <c r="C12334" s="374"/>
      <c r="CV12334" s="376"/>
    </row>
    <row r="12335" spans="1:100">
      <c r="A12335" s="374"/>
      <c r="C12335" s="374"/>
      <c r="CV12335" s="376"/>
    </row>
    <row r="12336" spans="1:100">
      <c r="A12336" s="374"/>
      <c r="C12336" s="374"/>
      <c r="CV12336" s="376"/>
    </row>
    <row r="12337" spans="1:100">
      <c r="A12337" s="374"/>
      <c r="C12337" s="374"/>
      <c r="CV12337" s="376"/>
    </row>
    <row r="12338" spans="1:100">
      <c r="A12338" s="374"/>
      <c r="C12338" s="374"/>
      <c r="CV12338" s="376"/>
    </row>
    <row r="12339" spans="1:100">
      <c r="A12339" s="374"/>
      <c r="C12339" s="374"/>
      <c r="CV12339" s="376"/>
    </row>
    <row r="12340" spans="1:100">
      <c r="A12340" s="374"/>
      <c r="C12340" s="374"/>
      <c r="CV12340" s="376"/>
    </row>
    <row r="12341" spans="1:100">
      <c r="A12341" s="374"/>
      <c r="C12341" s="374"/>
      <c r="CV12341" s="376"/>
    </row>
    <row r="12342" spans="1:100">
      <c r="A12342" s="374"/>
      <c r="C12342" s="374"/>
      <c r="CV12342" s="376"/>
    </row>
    <row r="12343" spans="1:100">
      <c r="A12343" s="374"/>
      <c r="C12343" s="374"/>
      <c r="CV12343" s="376"/>
    </row>
    <row r="12344" spans="1:100">
      <c r="A12344" s="374"/>
      <c r="C12344" s="374"/>
      <c r="CV12344" s="376"/>
    </row>
    <row r="12345" spans="1:100">
      <c r="A12345" s="374"/>
      <c r="C12345" s="374"/>
      <c r="CV12345" s="376"/>
    </row>
    <row r="12346" spans="1:100">
      <c r="A12346" s="374"/>
      <c r="C12346" s="374"/>
      <c r="CV12346" s="376"/>
    </row>
    <row r="12347" spans="1:100">
      <c r="A12347" s="374"/>
      <c r="C12347" s="374"/>
      <c r="CV12347" s="376"/>
    </row>
    <row r="12348" spans="1:100">
      <c r="A12348" s="374"/>
      <c r="C12348" s="374"/>
      <c r="CV12348" s="376"/>
    </row>
    <row r="12349" spans="1:100">
      <c r="A12349" s="374"/>
      <c r="C12349" s="374"/>
      <c r="CV12349" s="376"/>
    </row>
    <row r="12350" spans="1:100">
      <c r="A12350" s="374"/>
      <c r="C12350" s="374"/>
      <c r="CV12350" s="376"/>
    </row>
    <row r="12351" spans="1:100">
      <c r="A12351" s="374"/>
      <c r="C12351" s="374"/>
      <c r="CV12351" s="376"/>
    </row>
    <row r="12352" spans="1:100">
      <c r="A12352" s="374"/>
      <c r="C12352" s="374"/>
      <c r="CV12352" s="376"/>
    </row>
    <row r="12353" spans="1:100">
      <c r="A12353" s="374"/>
      <c r="C12353" s="374"/>
      <c r="CV12353" s="376"/>
    </row>
    <row r="12354" spans="1:100">
      <c r="A12354" s="374"/>
      <c r="C12354" s="374"/>
      <c r="CV12354" s="376"/>
    </row>
    <row r="12355" spans="1:100">
      <c r="A12355" s="374"/>
      <c r="C12355" s="374"/>
      <c r="CV12355" s="376"/>
    </row>
    <row r="12356" spans="1:100">
      <c r="A12356" s="374"/>
      <c r="C12356" s="374"/>
      <c r="CV12356" s="376"/>
    </row>
    <row r="12357" spans="1:100">
      <c r="A12357" s="374"/>
      <c r="C12357" s="374"/>
      <c r="CV12357" s="376"/>
    </row>
    <row r="12358" spans="1:100">
      <c r="A12358" s="374"/>
      <c r="C12358" s="374"/>
      <c r="CV12358" s="376"/>
    </row>
    <row r="12359" spans="1:100">
      <c r="A12359" s="374"/>
      <c r="C12359" s="374"/>
      <c r="CV12359" s="376"/>
    </row>
    <row r="12360" spans="1:100">
      <c r="A12360" s="374"/>
      <c r="C12360" s="374"/>
      <c r="CV12360" s="376"/>
    </row>
    <row r="12361" spans="1:100">
      <c r="A12361" s="374"/>
      <c r="C12361" s="374"/>
      <c r="CV12361" s="376"/>
    </row>
    <row r="12362" spans="1:100">
      <c r="A12362" s="374"/>
      <c r="C12362" s="374"/>
      <c r="CV12362" s="376"/>
    </row>
    <row r="12363" spans="1:100">
      <c r="A12363" s="374"/>
      <c r="C12363" s="374"/>
      <c r="CV12363" s="376"/>
    </row>
    <row r="12364" spans="1:100">
      <c r="A12364" s="374"/>
      <c r="C12364" s="374"/>
      <c r="CV12364" s="376"/>
    </row>
    <row r="12365" spans="1:100">
      <c r="A12365" s="374"/>
      <c r="C12365" s="374"/>
      <c r="CV12365" s="376"/>
    </row>
    <row r="12366" spans="1:100">
      <c r="A12366" s="374"/>
      <c r="C12366" s="374"/>
      <c r="CV12366" s="376"/>
    </row>
    <row r="12367" spans="1:100">
      <c r="A12367" s="374"/>
      <c r="C12367" s="374"/>
      <c r="CV12367" s="376"/>
    </row>
    <row r="12368" spans="1:100">
      <c r="A12368" s="374"/>
      <c r="C12368" s="374"/>
      <c r="CV12368" s="376"/>
    </row>
    <row r="12369" spans="1:100">
      <c r="A12369" s="374"/>
      <c r="C12369" s="374"/>
      <c r="CV12369" s="376"/>
    </row>
    <row r="12370" spans="1:100">
      <c r="A12370" s="374"/>
      <c r="C12370" s="374"/>
      <c r="CV12370" s="376"/>
    </row>
    <row r="12371" spans="1:100">
      <c r="A12371" s="374"/>
      <c r="C12371" s="374"/>
      <c r="CV12371" s="376"/>
    </row>
    <row r="12372" spans="1:100">
      <c r="A12372" s="374"/>
      <c r="C12372" s="374"/>
      <c r="CV12372" s="376"/>
    </row>
    <row r="12373" spans="1:100">
      <c r="A12373" s="374"/>
      <c r="C12373" s="374"/>
      <c r="CV12373" s="376"/>
    </row>
    <row r="12374" spans="1:100">
      <c r="A12374" s="374"/>
      <c r="C12374" s="374"/>
      <c r="CV12374" s="376"/>
    </row>
    <row r="12375" spans="1:100">
      <c r="A12375" s="374"/>
      <c r="C12375" s="374"/>
      <c r="CV12375" s="376"/>
    </row>
    <row r="12376" spans="1:100">
      <c r="A12376" s="374"/>
      <c r="C12376" s="374"/>
      <c r="CV12376" s="376"/>
    </row>
    <row r="12377" spans="1:100">
      <c r="A12377" s="374"/>
      <c r="C12377" s="374"/>
      <c r="CV12377" s="376"/>
    </row>
    <row r="12378" spans="1:100">
      <c r="A12378" s="374"/>
      <c r="C12378" s="374"/>
      <c r="CV12378" s="376"/>
    </row>
    <row r="12379" spans="1:100">
      <c r="A12379" s="374"/>
      <c r="C12379" s="374"/>
      <c r="CV12379" s="376"/>
    </row>
    <row r="12380" spans="1:100">
      <c r="A12380" s="374"/>
      <c r="C12380" s="374"/>
      <c r="CV12380" s="376"/>
    </row>
    <row r="12381" spans="1:100">
      <c r="A12381" s="374"/>
      <c r="C12381" s="374"/>
      <c r="CV12381" s="376"/>
    </row>
    <row r="12382" spans="1:100">
      <c r="A12382" s="374"/>
      <c r="C12382" s="374"/>
      <c r="CV12382" s="376"/>
    </row>
    <row r="12383" spans="1:100">
      <c r="A12383" s="374"/>
      <c r="C12383" s="374"/>
      <c r="CV12383" s="376"/>
    </row>
    <row r="12384" spans="1:100">
      <c r="A12384" s="374"/>
      <c r="C12384" s="374"/>
      <c r="CV12384" s="376"/>
    </row>
    <row r="12385" spans="1:100">
      <c r="A12385" s="374"/>
      <c r="C12385" s="374"/>
      <c r="CV12385" s="376"/>
    </row>
    <row r="12386" spans="1:100">
      <c r="A12386" s="374"/>
      <c r="C12386" s="374"/>
      <c r="CV12386" s="376"/>
    </row>
    <row r="12387" spans="1:100">
      <c r="A12387" s="374"/>
      <c r="C12387" s="374"/>
      <c r="CV12387" s="376"/>
    </row>
    <row r="12388" spans="1:100">
      <c r="A12388" s="374"/>
      <c r="C12388" s="374"/>
      <c r="CV12388" s="376"/>
    </row>
    <row r="12389" spans="1:100">
      <c r="A12389" s="374"/>
      <c r="C12389" s="374"/>
      <c r="CV12389" s="376"/>
    </row>
    <row r="12390" spans="1:100">
      <c r="A12390" s="374"/>
      <c r="C12390" s="374"/>
      <c r="CV12390" s="376"/>
    </row>
    <row r="12391" spans="1:100">
      <c r="A12391" s="374"/>
      <c r="C12391" s="374"/>
      <c r="CV12391" s="376"/>
    </row>
    <row r="12392" spans="1:100">
      <c r="A12392" s="374"/>
      <c r="C12392" s="374"/>
      <c r="CV12392" s="376"/>
    </row>
    <row r="12393" spans="1:100">
      <c r="A12393" s="374"/>
      <c r="C12393" s="374"/>
      <c r="CV12393" s="376"/>
    </row>
    <row r="12394" spans="1:100">
      <c r="A12394" s="374"/>
      <c r="C12394" s="374"/>
      <c r="CV12394" s="376"/>
    </row>
    <row r="12395" spans="1:100">
      <c r="A12395" s="374"/>
      <c r="C12395" s="374"/>
      <c r="CV12395" s="376"/>
    </row>
    <row r="12396" spans="1:100">
      <c r="A12396" s="374"/>
      <c r="C12396" s="374"/>
      <c r="CV12396" s="376"/>
    </row>
    <row r="12397" spans="1:100">
      <c r="A12397" s="374"/>
      <c r="C12397" s="374"/>
      <c r="CV12397" s="376"/>
    </row>
    <row r="12398" spans="1:100">
      <c r="A12398" s="374"/>
      <c r="C12398" s="374"/>
      <c r="CV12398" s="376"/>
    </row>
    <row r="12399" spans="1:100">
      <c r="A12399" s="374"/>
      <c r="C12399" s="374"/>
      <c r="CV12399" s="376"/>
    </row>
    <row r="12400" spans="1:100">
      <c r="A12400" s="374"/>
      <c r="C12400" s="374"/>
      <c r="CV12400" s="376"/>
    </row>
    <row r="12401" spans="1:100">
      <c r="A12401" s="374"/>
      <c r="C12401" s="374"/>
      <c r="CV12401" s="376"/>
    </row>
    <row r="12402" spans="1:100">
      <c r="A12402" s="374"/>
      <c r="C12402" s="374"/>
      <c r="CV12402" s="376"/>
    </row>
    <row r="12403" spans="1:100">
      <c r="A12403" s="374"/>
      <c r="C12403" s="374"/>
      <c r="CV12403" s="376"/>
    </row>
    <row r="12404" spans="1:100">
      <c r="A12404" s="374"/>
      <c r="C12404" s="374"/>
      <c r="CV12404" s="376"/>
    </row>
    <row r="12405" spans="1:100">
      <c r="A12405" s="374"/>
      <c r="C12405" s="374"/>
      <c r="CV12405" s="376"/>
    </row>
    <row r="12406" spans="1:100">
      <c r="A12406" s="374"/>
      <c r="C12406" s="374"/>
      <c r="CV12406" s="376"/>
    </row>
    <row r="12407" spans="1:100">
      <c r="A12407" s="374"/>
      <c r="C12407" s="374"/>
      <c r="CV12407" s="376"/>
    </row>
    <row r="12408" spans="1:100">
      <c r="A12408" s="374"/>
      <c r="C12408" s="374"/>
      <c r="CV12408" s="376"/>
    </row>
    <row r="12409" spans="1:100">
      <c r="A12409" s="374"/>
      <c r="C12409" s="374"/>
      <c r="CV12409" s="376"/>
    </row>
    <row r="12410" spans="1:100">
      <c r="A12410" s="374"/>
      <c r="C12410" s="374"/>
      <c r="CV12410" s="376"/>
    </row>
    <row r="12411" spans="1:100">
      <c r="A12411" s="374"/>
      <c r="C12411" s="374"/>
      <c r="CV12411" s="376"/>
    </row>
    <row r="12412" spans="1:100">
      <c r="A12412" s="374"/>
      <c r="C12412" s="374"/>
      <c r="CV12412" s="376"/>
    </row>
    <row r="12413" spans="1:100">
      <c r="A12413" s="374"/>
      <c r="C12413" s="374"/>
      <c r="CV12413" s="376"/>
    </row>
    <row r="12414" spans="1:100">
      <c r="A12414" s="374"/>
      <c r="C12414" s="374"/>
      <c r="CV12414" s="376"/>
    </row>
    <row r="12415" spans="1:100">
      <c r="A12415" s="374"/>
      <c r="C12415" s="374"/>
      <c r="CV12415" s="376"/>
    </row>
    <row r="12416" spans="1:100">
      <c r="A12416" s="374"/>
      <c r="C12416" s="374"/>
      <c r="CV12416" s="376"/>
    </row>
    <row r="12417" spans="1:100">
      <c r="A12417" s="374"/>
      <c r="C12417" s="374"/>
      <c r="CV12417" s="376"/>
    </row>
    <row r="12418" spans="1:100">
      <c r="A12418" s="374"/>
      <c r="C12418" s="374"/>
      <c r="CV12418" s="376"/>
    </row>
    <row r="12419" spans="1:100">
      <c r="A12419" s="374"/>
      <c r="C12419" s="374"/>
      <c r="CV12419" s="376"/>
    </row>
    <row r="12420" spans="1:100">
      <c r="A12420" s="374"/>
      <c r="C12420" s="374"/>
      <c r="CV12420" s="376"/>
    </row>
    <row r="12421" spans="1:100">
      <c r="A12421" s="374"/>
      <c r="C12421" s="374"/>
      <c r="CV12421" s="376"/>
    </row>
    <row r="12422" spans="1:100">
      <c r="A12422" s="374"/>
      <c r="C12422" s="374"/>
      <c r="CV12422" s="376"/>
    </row>
    <row r="12423" spans="1:100">
      <c r="A12423" s="374"/>
      <c r="C12423" s="374"/>
      <c r="CV12423" s="376"/>
    </row>
    <row r="12424" spans="1:100">
      <c r="A12424" s="374"/>
      <c r="C12424" s="374"/>
      <c r="CV12424" s="376"/>
    </row>
    <row r="12425" spans="1:100">
      <c r="A12425" s="374"/>
      <c r="C12425" s="374"/>
      <c r="CV12425" s="376"/>
    </row>
    <row r="12426" spans="1:100">
      <c r="A12426" s="374"/>
      <c r="C12426" s="374"/>
      <c r="CV12426" s="376"/>
    </row>
    <row r="12427" spans="1:100">
      <c r="A12427" s="374"/>
      <c r="C12427" s="374"/>
      <c r="CV12427" s="376"/>
    </row>
    <row r="12428" spans="1:100">
      <c r="A12428" s="374"/>
      <c r="C12428" s="374"/>
      <c r="CV12428" s="376"/>
    </row>
    <row r="12429" spans="1:100">
      <c r="A12429" s="374"/>
      <c r="C12429" s="374"/>
      <c r="CV12429" s="376"/>
    </row>
    <row r="12430" spans="1:100">
      <c r="A12430" s="374"/>
      <c r="C12430" s="374"/>
      <c r="CV12430" s="376"/>
    </row>
    <row r="12431" spans="1:100">
      <c r="A12431" s="374"/>
      <c r="C12431" s="374"/>
      <c r="CV12431" s="376"/>
    </row>
    <row r="12432" spans="1:100">
      <c r="A12432" s="374"/>
      <c r="C12432" s="374"/>
      <c r="CV12432" s="376"/>
    </row>
    <row r="12433" spans="1:100">
      <c r="A12433" s="374"/>
      <c r="C12433" s="374"/>
      <c r="CV12433" s="376"/>
    </row>
    <row r="12434" spans="1:100">
      <c r="A12434" s="374"/>
      <c r="C12434" s="374"/>
      <c r="CV12434" s="376"/>
    </row>
    <row r="12435" spans="1:100">
      <c r="A12435" s="374"/>
      <c r="C12435" s="374"/>
      <c r="CV12435" s="376"/>
    </row>
    <row r="12436" spans="1:100">
      <c r="A12436" s="374"/>
      <c r="C12436" s="374"/>
      <c r="CV12436" s="376"/>
    </row>
    <row r="12437" spans="1:100">
      <c r="A12437" s="374"/>
      <c r="C12437" s="374"/>
      <c r="CV12437" s="376"/>
    </row>
    <row r="12438" spans="1:100">
      <c r="A12438" s="374"/>
      <c r="C12438" s="374"/>
      <c r="CV12438" s="376"/>
    </row>
    <row r="12439" spans="1:100">
      <c r="A12439" s="374"/>
      <c r="C12439" s="374"/>
      <c r="CV12439" s="376"/>
    </row>
    <row r="12440" spans="1:100">
      <c r="A12440" s="374"/>
      <c r="C12440" s="374"/>
      <c r="CV12440" s="376"/>
    </row>
    <row r="12441" spans="1:100">
      <c r="A12441" s="374"/>
      <c r="C12441" s="374"/>
      <c r="CV12441" s="376"/>
    </row>
    <row r="12442" spans="1:100">
      <c r="A12442" s="374"/>
      <c r="C12442" s="374"/>
      <c r="CV12442" s="376"/>
    </row>
    <row r="12443" spans="1:100">
      <c r="A12443" s="374"/>
      <c r="C12443" s="374"/>
      <c r="CV12443" s="376"/>
    </row>
    <row r="12444" spans="1:100">
      <c r="A12444" s="374"/>
      <c r="C12444" s="374"/>
      <c r="CV12444" s="376"/>
    </row>
    <row r="12445" spans="1:100">
      <c r="A12445" s="374"/>
      <c r="C12445" s="374"/>
      <c r="CV12445" s="376"/>
    </row>
    <row r="12446" spans="1:100">
      <c r="A12446" s="374"/>
      <c r="C12446" s="374"/>
      <c r="CV12446" s="376"/>
    </row>
    <row r="12447" spans="1:100">
      <c r="A12447" s="374"/>
      <c r="C12447" s="374"/>
      <c r="CV12447" s="376"/>
    </row>
    <row r="12448" spans="1:100">
      <c r="A12448" s="374"/>
      <c r="C12448" s="374"/>
      <c r="CV12448" s="376"/>
    </row>
    <row r="12449" spans="1:100">
      <c r="A12449" s="374"/>
      <c r="C12449" s="374"/>
      <c r="CV12449" s="376"/>
    </row>
    <row r="12450" spans="1:100">
      <c r="A12450" s="374"/>
      <c r="C12450" s="374"/>
      <c r="CV12450" s="376"/>
    </row>
    <row r="12451" spans="1:100">
      <c r="A12451" s="374"/>
      <c r="C12451" s="374"/>
      <c r="CV12451" s="376"/>
    </row>
    <row r="12452" spans="1:100">
      <c r="A12452" s="374"/>
      <c r="C12452" s="374"/>
      <c r="CV12452" s="376"/>
    </row>
    <row r="12453" spans="1:100">
      <c r="A12453" s="374"/>
      <c r="C12453" s="374"/>
      <c r="CV12453" s="376"/>
    </row>
    <row r="12454" spans="1:100">
      <c r="A12454" s="374"/>
      <c r="C12454" s="374"/>
      <c r="CV12454" s="376"/>
    </row>
    <row r="12455" spans="1:100">
      <c r="A12455" s="374"/>
      <c r="C12455" s="374"/>
      <c r="CV12455" s="376"/>
    </row>
    <row r="12456" spans="1:100">
      <c r="A12456" s="374"/>
      <c r="C12456" s="374"/>
      <c r="CV12456" s="376"/>
    </row>
    <row r="12457" spans="1:100">
      <c r="A12457" s="374"/>
      <c r="C12457" s="374"/>
      <c r="CV12457" s="376"/>
    </row>
    <row r="12458" spans="1:100">
      <c r="A12458" s="374"/>
      <c r="C12458" s="374"/>
      <c r="CV12458" s="376"/>
    </row>
    <row r="12459" spans="1:100">
      <c r="A12459" s="374"/>
      <c r="C12459" s="374"/>
      <c r="CV12459" s="376"/>
    </row>
    <row r="12460" spans="1:100">
      <c r="A12460" s="374"/>
      <c r="C12460" s="374"/>
      <c r="CV12460" s="376"/>
    </row>
    <row r="12461" spans="1:100">
      <c r="A12461" s="374"/>
      <c r="C12461" s="374"/>
      <c r="CV12461" s="376"/>
    </row>
    <row r="12462" spans="1:100">
      <c r="A12462" s="374"/>
      <c r="C12462" s="374"/>
      <c r="CV12462" s="376"/>
    </row>
    <row r="12463" spans="1:100">
      <c r="A12463" s="374"/>
      <c r="C12463" s="374"/>
      <c r="CV12463" s="376"/>
    </row>
    <row r="12464" spans="1:100">
      <c r="A12464" s="374"/>
      <c r="C12464" s="374"/>
      <c r="CV12464" s="376"/>
    </row>
    <row r="12465" spans="1:100">
      <c r="A12465" s="374"/>
      <c r="C12465" s="374"/>
      <c r="CV12465" s="376"/>
    </row>
    <row r="12466" spans="1:100">
      <c r="A12466" s="374"/>
      <c r="C12466" s="374"/>
      <c r="CV12466" s="376"/>
    </row>
    <row r="12467" spans="1:100">
      <c r="A12467" s="374"/>
      <c r="C12467" s="374"/>
      <c r="CV12467" s="376"/>
    </row>
    <row r="12468" spans="1:100">
      <c r="A12468" s="374"/>
      <c r="C12468" s="374"/>
      <c r="CV12468" s="376"/>
    </row>
    <row r="12469" spans="1:100">
      <c r="A12469" s="374"/>
      <c r="C12469" s="374"/>
      <c r="CV12469" s="376"/>
    </row>
    <row r="12470" spans="1:100">
      <c r="A12470" s="374"/>
      <c r="C12470" s="374"/>
      <c r="CV12470" s="376"/>
    </row>
    <row r="12471" spans="1:100">
      <c r="A12471" s="374"/>
      <c r="C12471" s="374"/>
      <c r="CV12471" s="376"/>
    </row>
    <row r="12472" spans="1:100">
      <c r="A12472" s="374"/>
      <c r="C12472" s="374"/>
      <c r="CV12472" s="376"/>
    </row>
    <row r="12473" spans="1:100">
      <c r="A12473" s="374"/>
      <c r="C12473" s="374"/>
      <c r="CV12473" s="376"/>
    </row>
    <row r="12474" spans="1:100">
      <c r="A12474" s="374"/>
      <c r="C12474" s="374"/>
      <c r="CV12474" s="376"/>
    </row>
    <row r="12475" spans="1:100">
      <c r="A12475" s="374"/>
      <c r="C12475" s="374"/>
      <c r="CV12475" s="376"/>
    </row>
    <row r="12476" spans="1:100">
      <c r="A12476" s="374"/>
      <c r="C12476" s="374"/>
      <c r="CV12476" s="376"/>
    </row>
    <row r="12477" spans="1:100">
      <c r="A12477" s="374"/>
      <c r="C12477" s="374"/>
      <c r="CV12477" s="376"/>
    </row>
    <row r="12478" spans="1:100">
      <c r="A12478" s="374"/>
      <c r="C12478" s="374"/>
      <c r="CV12478" s="376"/>
    </row>
    <row r="12479" spans="1:100">
      <c r="A12479" s="374"/>
      <c r="C12479" s="374"/>
      <c r="CV12479" s="376"/>
    </row>
    <row r="12480" spans="1:100">
      <c r="A12480" s="374"/>
      <c r="C12480" s="374"/>
      <c r="CV12480" s="376"/>
    </row>
    <row r="12481" spans="1:100">
      <c r="A12481" s="374"/>
      <c r="C12481" s="374"/>
      <c r="CV12481" s="376"/>
    </row>
    <row r="12482" spans="1:100">
      <c r="A12482" s="374"/>
      <c r="C12482" s="374"/>
      <c r="CV12482" s="376"/>
    </row>
    <row r="12483" spans="1:100">
      <c r="A12483" s="374"/>
      <c r="C12483" s="374"/>
      <c r="CV12483" s="376"/>
    </row>
    <row r="12484" spans="1:100">
      <c r="A12484" s="374"/>
      <c r="C12484" s="374"/>
      <c r="CV12484" s="376"/>
    </row>
    <row r="12485" spans="1:100">
      <c r="A12485" s="374"/>
      <c r="C12485" s="374"/>
      <c r="CV12485" s="376"/>
    </row>
    <row r="12486" spans="1:100">
      <c r="A12486" s="374"/>
      <c r="C12486" s="374"/>
      <c r="CV12486" s="376"/>
    </row>
    <row r="12487" spans="1:100">
      <c r="A12487" s="374"/>
      <c r="C12487" s="374"/>
      <c r="CV12487" s="376"/>
    </row>
    <row r="12488" spans="1:100">
      <c r="A12488" s="374"/>
      <c r="C12488" s="374"/>
      <c r="CV12488" s="376"/>
    </row>
    <row r="12489" spans="1:100">
      <c r="A12489" s="374"/>
      <c r="C12489" s="374"/>
      <c r="CV12489" s="376"/>
    </row>
    <row r="12490" spans="1:100">
      <c r="A12490" s="374"/>
      <c r="C12490" s="374"/>
      <c r="CV12490" s="376"/>
    </row>
    <row r="12491" spans="1:100">
      <c r="A12491" s="374"/>
      <c r="C12491" s="374"/>
      <c r="CV12491" s="376"/>
    </row>
    <row r="12492" spans="1:100">
      <c r="A12492" s="374"/>
      <c r="C12492" s="374"/>
      <c r="CV12492" s="376"/>
    </row>
    <row r="12493" spans="1:100">
      <c r="A12493" s="374"/>
      <c r="C12493" s="374"/>
      <c r="CV12493" s="376"/>
    </row>
    <row r="12494" spans="1:100">
      <c r="A12494" s="374"/>
      <c r="C12494" s="374"/>
      <c r="CV12494" s="376"/>
    </row>
    <row r="12495" spans="1:100">
      <c r="A12495" s="374"/>
      <c r="C12495" s="374"/>
      <c r="CV12495" s="376"/>
    </row>
    <row r="12496" spans="1:100">
      <c r="A12496" s="374"/>
      <c r="C12496" s="374"/>
      <c r="CV12496" s="376"/>
    </row>
    <row r="12497" spans="1:100">
      <c r="A12497" s="374"/>
      <c r="C12497" s="374"/>
      <c r="CV12497" s="376"/>
    </row>
    <row r="12498" spans="1:100">
      <c r="A12498" s="374"/>
      <c r="C12498" s="374"/>
      <c r="CV12498" s="376"/>
    </row>
    <row r="12499" spans="1:100">
      <c r="A12499" s="374"/>
      <c r="C12499" s="374"/>
      <c r="CV12499" s="376"/>
    </row>
    <row r="12500" spans="1:100">
      <c r="A12500" s="374"/>
      <c r="C12500" s="374"/>
      <c r="CV12500" s="376"/>
    </row>
    <row r="12501" spans="1:100">
      <c r="A12501" s="374"/>
      <c r="C12501" s="374"/>
      <c r="CV12501" s="376"/>
    </row>
    <row r="12502" spans="1:100">
      <c r="A12502" s="374"/>
      <c r="C12502" s="374"/>
      <c r="CV12502" s="376"/>
    </row>
    <row r="12503" spans="1:100">
      <c r="A12503" s="374"/>
      <c r="C12503" s="374"/>
      <c r="CV12503" s="376"/>
    </row>
    <row r="12504" spans="1:100">
      <c r="A12504" s="374"/>
      <c r="C12504" s="374"/>
      <c r="CV12504" s="376"/>
    </row>
    <row r="12505" spans="1:100">
      <c r="A12505" s="374"/>
      <c r="C12505" s="374"/>
      <c r="CV12505" s="376"/>
    </row>
    <row r="12506" spans="1:100">
      <c r="A12506" s="374"/>
      <c r="C12506" s="374"/>
      <c r="CV12506" s="376"/>
    </row>
    <row r="12507" spans="1:100">
      <c r="A12507" s="374"/>
      <c r="C12507" s="374"/>
      <c r="CV12507" s="376"/>
    </row>
    <row r="12508" spans="1:100">
      <c r="A12508" s="374"/>
      <c r="C12508" s="374"/>
      <c r="CV12508" s="376"/>
    </row>
    <row r="12509" spans="1:100">
      <c r="A12509" s="374"/>
      <c r="C12509" s="374"/>
      <c r="CV12509" s="376"/>
    </row>
    <row r="12510" spans="1:100">
      <c r="A12510" s="374"/>
      <c r="C12510" s="374"/>
      <c r="CV12510" s="376"/>
    </row>
    <row r="12511" spans="1:100">
      <c r="A12511" s="374"/>
      <c r="C12511" s="374"/>
      <c r="CV12511" s="376"/>
    </row>
    <row r="12512" spans="1:100">
      <c r="A12512" s="374"/>
      <c r="C12512" s="374"/>
      <c r="CV12512" s="376"/>
    </row>
    <row r="12513" spans="1:100">
      <c r="A12513" s="374"/>
      <c r="C12513" s="374"/>
      <c r="CV12513" s="376"/>
    </row>
    <row r="12514" spans="1:100">
      <c r="A12514" s="374"/>
      <c r="C12514" s="374"/>
      <c r="CV12514" s="376"/>
    </row>
    <row r="12515" spans="1:100">
      <c r="A12515" s="374"/>
      <c r="C12515" s="374"/>
      <c r="CV12515" s="376"/>
    </row>
    <row r="12516" spans="1:100">
      <c r="A12516" s="374"/>
      <c r="C12516" s="374"/>
      <c r="CV12516" s="376"/>
    </row>
    <row r="12517" spans="1:100">
      <c r="A12517" s="374"/>
      <c r="C12517" s="374"/>
      <c r="CV12517" s="376"/>
    </row>
    <row r="12518" spans="1:100">
      <c r="A12518" s="374"/>
      <c r="C12518" s="374"/>
      <c r="CV12518" s="376"/>
    </row>
    <row r="12519" spans="1:100">
      <c r="A12519" s="374"/>
      <c r="C12519" s="374"/>
      <c r="CV12519" s="376"/>
    </row>
    <row r="12520" spans="1:100">
      <c r="A12520" s="374"/>
      <c r="C12520" s="374"/>
      <c r="CV12520" s="376"/>
    </row>
    <row r="12521" spans="1:100">
      <c r="A12521" s="374"/>
      <c r="C12521" s="374"/>
      <c r="CV12521" s="376"/>
    </row>
    <row r="12522" spans="1:100">
      <c r="A12522" s="374"/>
      <c r="C12522" s="374"/>
      <c r="CV12522" s="376"/>
    </row>
    <row r="12523" spans="1:100">
      <c r="A12523" s="374"/>
      <c r="C12523" s="374"/>
      <c r="CV12523" s="376"/>
    </row>
    <row r="12524" spans="1:100">
      <c r="A12524" s="374"/>
      <c r="C12524" s="374"/>
      <c r="CV12524" s="376"/>
    </row>
    <row r="12525" spans="1:100">
      <c r="A12525" s="374"/>
      <c r="C12525" s="374"/>
      <c r="CV12525" s="376"/>
    </row>
    <row r="12526" spans="1:100">
      <c r="A12526" s="374"/>
      <c r="C12526" s="374"/>
      <c r="CV12526" s="376"/>
    </row>
    <row r="12527" spans="1:100">
      <c r="A12527" s="374"/>
      <c r="C12527" s="374"/>
      <c r="CV12527" s="376"/>
    </row>
    <row r="12528" spans="1:100">
      <c r="A12528" s="374"/>
      <c r="C12528" s="374"/>
      <c r="CV12528" s="376"/>
    </row>
    <row r="12529" spans="1:100">
      <c r="A12529" s="374"/>
      <c r="C12529" s="374"/>
      <c r="CV12529" s="376"/>
    </row>
    <row r="12530" spans="1:100">
      <c r="A12530" s="374"/>
      <c r="C12530" s="374"/>
      <c r="CV12530" s="376"/>
    </row>
    <row r="12531" spans="1:100">
      <c r="A12531" s="374"/>
      <c r="C12531" s="374"/>
      <c r="CV12531" s="376"/>
    </row>
    <row r="12532" spans="1:100">
      <c r="A12532" s="374"/>
      <c r="C12532" s="374"/>
      <c r="CV12532" s="376"/>
    </row>
    <row r="12533" spans="1:100">
      <c r="A12533" s="374"/>
      <c r="C12533" s="374"/>
      <c r="CV12533" s="376"/>
    </row>
    <row r="12534" spans="1:100">
      <c r="A12534" s="374"/>
      <c r="C12534" s="374"/>
      <c r="CV12534" s="376"/>
    </row>
    <row r="12535" spans="1:100">
      <c r="A12535" s="374"/>
      <c r="C12535" s="374"/>
      <c r="CV12535" s="376"/>
    </row>
    <row r="12536" spans="1:100">
      <c r="A12536" s="374"/>
      <c r="C12536" s="374"/>
      <c r="CV12536" s="376"/>
    </row>
    <row r="12537" spans="1:100">
      <c r="A12537" s="374"/>
      <c r="C12537" s="374"/>
      <c r="CV12537" s="376"/>
    </row>
    <row r="12538" spans="1:100">
      <c r="A12538" s="374"/>
      <c r="C12538" s="374"/>
      <c r="CV12538" s="376"/>
    </row>
    <row r="12539" spans="1:100">
      <c r="A12539" s="374"/>
      <c r="C12539" s="374"/>
      <c r="CV12539" s="376"/>
    </row>
    <row r="12540" spans="1:100">
      <c r="A12540" s="374"/>
      <c r="C12540" s="374"/>
      <c r="CV12540" s="376"/>
    </row>
    <row r="12541" spans="1:100">
      <c r="A12541" s="374"/>
      <c r="C12541" s="374"/>
      <c r="CV12541" s="376"/>
    </row>
    <row r="12542" spans="1:100">
      <c r="A12542" s="374"/>
      <c r="C12542" s="374"/>
      <c r="CV12542" s="376"/>
    </row>
    <row r="12543" spans="1:100">
      <c r="A12543" s="374"/>
      <c r="C12543" s="374"/>
      <c r="CV12543" s="376"/>
    </row>
    <row r="12544" spans="1:100">
      <c r="A12544" s="374"/>
      <c r="C12544" s="374"/>
      <c r="CV12544" s="376"/>
    </row>
    <row r="12545" spans="1:100">
      <c r="A12545" s="374"/>
      <c r="C12545" s="374"/>
      <c r="CV12545" s="376"/>
    </row>
    <row r="12546" spans="1:100">
      <c r="A12546" s="374"/>
      <c r="C12546" s="374"/>
      <c r="CV12546" s="376"/>
    </row>
    <row r="12547" spans="1:100">
      <c r="A12547" s="374"/>
      <c r="C12547" s="374"/>
      <c r="CV12547" s="376"/>
    </row>
    <row r="12548" spans="1:100">
      <c r="A12548" s="374"/>
      <c r="C12548" s="374"/>
      <c r="CV12548" s="376"/>
    </row>
    <row r="12549" spans="1:100">
      <c r="A12549" s="374"/>
      <c r="C12549" s="374"/>
      <c r="CV12549" s="376"/>
    </row>
    <row r="12550" spans="1:100">
      <c r="A12550" s="374"/>
      <c r="C12550" s="374"/>
      <c r="CV12550" s="376"/>
    </row>
    <row r="12551" spans="1:100">
      <c r="A12551" s="374"/>
      <c r="C12551" s="374"/>
      <c r="CV12551" s="376"/>
    </row>
    <row r="12552" spans="1:100">
      <c r="A12552" s="374"/>
      <c r="C12552" s="374"/>
      <c r="CV12552" s="376"/>
    </row>
    <row r="12553" spans="1:100">
      <c r="A12553" s="374"/>
      <c r="C12553" s="374"/>
      <c r="CV12553" s="376"/>
    </row>
    <row r="12554" spans="1:100">
      <c r="A12554" s="374"/>
      <c r="C12554" s="374"/>
      <c r="CV12554" s="376"/>
    </row>
    <row r="12555" spans="1:100">
      <c r="A12555" s="374"/>
      <c r="C12555" s="374"/>
      <c r="CV12555" s="376"/>
    </row>
    <row r="12556" spans="1:100">
      <c r="A12556" s="374"/>
      <c r="C12556" s="374"/>
      <c r="CV12556" s="376"/>
    </row>
    <row r="12557" spans="1:100">
      <c r="A12557" s="374"/>
      <c r="C12557" s="374"/>
      <c r="CV12557" s="376"/>
    </row>
    <row r="12558" spans="1:100">
      <c r="A12558" s="374"/>
      <c r="C12558" s="374"/>
      <c r="CV12558" s="376"/>
    </row>
    <row r="12559" spans="1:100">
      <c r="A12559" s="374"/>
      <c r="C12559" s="374"/>
      <c r="CV12559" s="376"/>
    </row>
    <row r="12560" spans="1:100">
      <c r="A12560" s="374"/>
      <c r="C12560" s="374"/>
      <c r="CV12560" s="376"/>
    </row>
    <row r="12561" spans="1:100">
      <c r="A12561" s="374"/>
      <c r="C12561" s="374"/>
      <c r="CV12561" s="376"/>
    </row>
    <row r="12562" spans="1:100">
      <c r="A12562" s="374"/>
      <c r="C12562" s="374"/>
      <c r="CV12562" s="376"/>
    </row>
    <row r="12563" spans="1:100">
      <c r="A12563" s="374"/>
      <c r="C12563" s="374"/>
      <c r="CV12563" s="376"/>
    </row>
    <row r="12564" spans="1:100">
      <c r="A12564" s="374"/>
      <c r="C12564" s="374"/>
      <c r="CV12564" s="376"/>
    </row>
    <row r="12565" spans="1:100">
      <c r="A12565" s="374"/>
      <c r="C12565" s="374"/>
      <c r="CV12565" s="376"/>
    </row>
    <row r="12566" spans="1:100">
      <c r="A12566" s="374"/>
      <c r="C12566" s="374"/>
      <c r="CV12566" s="376"/>
    </row>
    <row r="12567" spans="1:100">
      <c r="A12567" s="374"/>
      <c r="C12567" s="374"/>
      <c r="CV12567" s="376"/>
    </row>
    <row r="12568" spans="1:100">
      <c r="A12568" s="374"/>
      <c r="C12568" s="374"/>
      <c r="CV12568" s="376"/>
    </row>
    <row r="12569" spans="1:100">
      <c r="A12569" s="374"/>
      <c r="C12569" s="374"/>
      <c r="CV12569" s="376"/>
    </row>
    <row r="12570" spans="1:100">
      <c r="A12570" s="374"/>
      <c r="C12570" s="374"/>
      <c r="CV12570" s="376"/>
    </row>
    <row r="12571" spans="1:100">
      <c r="A12571" s="374"/>
      <c r="C12571" s="374"/>
      <c r="CV12571" s="376"/>
    </row>
    <row r="12572" spans="1:100">
      <c r="A12572" s="374"/>
      <c r="C12572" s="374"/>
      <c r="CV12572" s="376"/>
    </row>
    <row r="12573" spans="1:100">
      <c r="A12573" s="374"/>
      <c r="C12573" s="374"/>
      <c r="CV12573" s="376"/>
    </row>
    <row r="12574" spans="1:100">
      <c r="A12574" s="374"/>
      <c r="C12574" s="374"/>
      <c r="CV12574" s="376"/>
    </row>
    <row r="12575" spans="1:100">
      <c r="A12575" s="374"/>
      <c r="C12575" s="374"/>
      <c r="CV12575" s="376"/>
    </row>
    <row r="12576" spans="1:100">
      <c r="A12576" s="374"/>
      <c r="C12576" s="374"/>
      <c r="CV12576" s="376"/>
    </row>
    <row r="12577" spans="1:100">
      <c r="A12577" s="374"/>
      <c r="C12577" s="374"/>
      <c r="CV12577" s="376"/>
    </row>
    <row r="12578" spans="1:100">
      <c r="A12578" s="374"/>
      <c r="C12578" s="374"/>
      <c r="CV12578" s="376"/>
    </row>
    <row r="12579" spans="1:100">
      <c r="A12579" s="374"/>
      <c r="C12579" s="374"/>
      <c r="CV12579" s="376"/>
    </row>
    <row r="12580" spans="1:100">
      <c r="A12580" s="374"/>
      <c r="C12580" s="374"/>
      <c r="CV12580" s="376"/>
    </row>
    <row r="12581" spans="1:100">
      <c r="A12581" s="374"/>
      <c r="C12581" s="374"/>
      <c r="CV12581" s="376"/>
    </row>
    <row r="12582" spans="1:100">
      <c r="A12582" s="374"/>
      <c r="C12582" s="374"/>
      <c r="CV12582" s="376"/>
    </row>
    <row r="12583" spans="1:100">
      <c r="A12583" s="374"/>
      <c r="C12583" s="374"/>
      <c r="CV12583" s="376"/>
    </row>
    <row r="12584" spans="1:100">
      <c r="A12584" s="374"/>
      <c r="C12584" s="374"/>
      <c r="CV12584" s="376"/>
    </row>
    <row r="12585" spans="1:100">
      <c r="A12585" s="374"/>
      <c r="C12585" s="374"/>
      <c r="CV12585" s="376"/>
    </row>
    <row r="12586" spans="1:100">
      <c r="A12586" s="374"/>
      <c r="C12586" s="374"/>
      <c r="CV12586" s="376"/>
    </row>
    <row r="12587" spans="1:100">
      <c r="A12587" s="374"/>
      <c r="C12587" s="374"/>
      <c r="CV12587" s="376"/>
    </row>
    <row r="12588" spans="1:100">
      <c r="A12588" s="374"/>
      <c r="C12588" s="374"/>
      <c r="CV12588" s="376"/>
    </row>
    <row r="12589" spans="1:100">
      <c r="A12589" s="374"/>
      <c r="C12589" s="374"/>
      <c r="CV12589" s="376"/>
    </row>
    <row r="12590" spans="1:100">
      <c r="A12590" s="374"/>
      <c r="C12590" s="374"/>
      <c r="CV12590" s="376"/>
    </row>
    <row r="12591" spans="1:100">
      <c r="A12591" s="374"/>
      <c r="C12591" s="374"/>
      <c r="CV12591" s="376"/>
    </row>
    <row r="12592" spans="1:100">
      <c r="A12592" s="374"/>
      <c r="C12592" s="374"/>
      <c r="CV12592" s="376"/>
    </row>
    <row r="12593" spans="1:100">
      <c r="A12593" s="374"/>
      <c r="C12593" s="374"/>
      <c r="CV12593" s="376"/>
    </row>
    <row r="12594" spans="1:100">
      <c r="A12594" s="374"/>
      <c r="C12594" s="374"/>
      <c r="CV12594" s="376"/>
    </row>
    <row r="12595" spans="1:100">
      <c r="A12595" s="374"/>
      <c r="C12595" s="374"/>
      <c r="CV12595" s="376"/>
    </row>
    <row r="12596" spans="1:100">
      <c r="A12596" s="374"/>
      <c r="C12596" s="374"/>
      <c r="CV12596" s="376"/>
    </row>
    <row r="12597" spans="1:100">
      <c r="A12597" s="374"/>
      <c r="C12597" s="374"/>
      <c r="CV12597" s="376"/>
    </row>
    <row r="12598" spans="1:100">
      <c r="A12598" s="374"/>
      <c r="C12598" s="374"/>
      <c r="CV12598" s="376"/>
    </row>
    <row r="12599" spans="1:100">
      <c r="A12599" s="374"/>
      <c r="C12599" s="374"/>
      <c r="CV12599" s="376"/>
    </row>
    <row r="12600" spans="1:100">
      <c r="A12600" s="374"/>
      <c r="C12600" s="374"/>
      <c r="CV12600" s="376"/>
    </row>
    <row r="12601" spans="1:100">
      <c r="A12601" s="374"/>
      <c r="C12601" s="374"/>
      <c r="CV12601" s="376"/>
    </row>
    <row r="12602" spans="1:100">
      <c r="A12602" s="374"/>
      <c r="C12602" s="374"/>
      <c r="CV12602" s="376"/>
    </row>
    <row r="12603" spans="1:100">
      <c r="A12603" s="374"/>
      <c r="C12603" s="374"/>
      <c r="CV12603" s="376"/>
    </row>
    <row r="12604" spans="1:100">
      <c r="A12604" s="374"/>
      <c r="C12604" s="374"/>
      <c r="CV12604" s="376"/>
    </row>
    <row r="12605" spans="1:100">
      <c r="A12605" s="374"/>
      <c r="C12605" s="374"/>
      <c r="CV12605" s="376"/>
    </row>
    <row r="12606" spans="1:100">
      <c r="A12606" s="374"/>
      <c r="C12606" s="374"/>
      <c r="CV12606" s="376"/>
    </row>
    <row r="12607" spans="1:100">
      <c r="A12607" s="374"/>
      <c r="C12607" s="374"/>
      <c r="CV12607" s="376"/>
    </row>
    <row r="12608" spans="1:100">
      <c r="A12608" s="374"/>
      <c r="C12608" s="374"/>
      <c r="CV12608" s="376"/>
    </row>
    <row r="12609" spans="1:100">
      <c r="A12609" s="374"/>
      <c r="C12609" s="374"/>
      <c r="CV12609" s="376"/>
    </row>
    <row r="12610" spans="1:100">
      <c r="A12610" s="374"/>
      <c r="C12610" s="374"/>
      <c r="CV12610" s="376"/>
    </row>
    <row r="12611" spans="1:100">
      <c r="A12611" s="374"/>
      <c r="C12611" s="374"/>
      <c r="CV12611" s="376"/>
    </row>
    <row r="12612" spans="1:100">
      <c r="A12612" s="374"/>
      <c r="C12612" s="374"/>
      <c r="CV12612" s="376"/>
    </row>
    <row r="12613" spans="1:100">
      <c r="A12613" s="374"/>
      <c r="C12613" s="374"/>
      <c r="CV12613" s="376"/>
    </row>
    <row r="12614" spans="1:100">
      <c r="A12614" s="374"/>
      <c r="C12614" s="374"/>
      <c r="CV12614" s="376"/>
    </row>
    <row r="12615" spans="1:100">
      <c r="A12615" s="374"/>
      <c r="C12615" s="374"/>
      <c r="CV12615" s="376"/>
    </row>
    <row r="12616" spans="1:100">
      <c r="A12616" s="374"/>
      <c r="C12616" s="374"/>
      <c r="CV12616" s="376"/>
    </row>
    <row r="12617" spans="1:100">
      <c r="A12617" s="374"/>
      <c r="C12617" s="374"/>
      <c r="CV12617" s="376"/>
    </row>
    <row r="12618" spans="1:100">
      <c r="A12618" s="374"/>
      <c r="C12618" s="374"/>
      <c r="CV12618" s="376"/>
    </row>
    <row r="12619" spans="1:100">
      <c r="A12619" s="374"/>
      <c r="C12619" s="374"/>
      <c r="CV12619" s="376"/>
    </row>
    <row r="12620" spans="1:100">
      <c r="A12620" s="374"/>
      <c r="C12620" s="374"/>
      <c r="CV12620" s="376"/>
    </row>
    <row r="12621" spans="1:100">
      <c r="A12621" s="374"/>
      <c r="C12621" s="374"/>
      <c r="CV12621" s="376"/>
    </row>
    <row r="12622" spans="1:100">
      <c r="A12622" s="374"/>
      <c r="C12622" s="374"/>
      <c r="CV12622" s="376"/>
    </row>
    <row r="12623" spans="1:100">
      <c r="A12623" s="374"/>
      <c r="C12623" s="374"/>
      <c r="CV12623" s="376"/>
    </row>
    <row r="12624" spans="1:100">
      <c r="A12624" s="374"/>
      <c r="C12624" s="374"/>
      <c r="CV12624" s="376"/>
    </row>
    <row r="12625" spans="1:100">
      <c r="A12625" s="374"/>
      <c r="C12625" s="374"/>
      <c r="CV12625" s="376"/>
    </row>
    <row r="12626" spans="1:100">
      <c r="A12626" s="374"/>
      <c r="C12626" s="374"/>
      <c r="CV12626" s="376"/>
    </row>
    <row r="12627" spans="1:100">
      <c r="A12627" s="374"/>
      <c r="C12627" s="374"/>
      <c r="CV12627" s="376"/>
    </row>
    <row r="12628" spans="1:100">
      <c r="A12628" s="374"/>
      <c r="C12628" s="374"/>
      <c r="CV12628" s="376"/>
    </row>
    <row r="12629" spans="1:100">
      <c r="A12629" s="374"/>
      <c r="C12629" s="374"/>
      <c r="CV12629" s="376"/>
    </row>
    <row r="12630" spans="1:100">
      <c r="A12630" s="374"/>
      <c r="C12630" s="374"/>
      <c r="CV12630" s="376"/>
    </row>
    <row r="12631" spans="1:100">
      <c r="A12631" s="374"/>
      <c r="C12631" s="374"/>
      <c r="CV12631" s="376"/>
    </row>
    <row r="12632" spans="1:100">
      <c r="A12632" s="374"/>
      <c r="C12632" s="374"/>
      <c r="CV12632" s="376"/>
    </row>
    <row r="12633" spans="1:100">
      <c r="A12633" s="374"/>
      <c r="C12633" s="374"/>
      <c r="CV12633" s="376"/>
    </row>
    <row r="12634" spans="1:100">
      <c r="A12634" s="374"/>
      <c r="C12634" s="374"/>
      <c r="CV12634" s="376"/>
    </row>
    <row r="12635" spans="1:100">
      <c r="A12635" s="374"/>
      <c r="C12635" s="374"/>
      <c r="CV12635" s="376"/>
    </row>
    <row r="12636" spans="1:100">
      <c r="A12636" s="374"/>
      <c r="C12636" s="374"/>
      <c r="CV12636" s="376"/>
    </row>
    <row r="12637" spans="1:100">
      <c r="A12637" s="374"/>
      <c r="C12637" s="374"/>
      <c r="CV12637" s="376"/>
    </row>
    <row r="12638" spans="1:100">
      <c r="A12638" s="374"/>
      <c r="C12638" s="374"/>
      <c r="CV12638" s="376"/>
    </row>
    <row r="12639" spans="1:100">
      <c r="A12639" s="374"/>
      <c r="C12639" s="374"/>
      <c r="CV12639" s="376"/>
    </row>
    <row r="12640" spans="1:100">
      <c r="A12640" s="374"/>
      <c r="C12640" s="374"/>
      <c r="CV12640" s="376"/>
    </row>
    <row r="12641" spans="1:100">
      <c r="A12641" s="374"/>
      <c r="C12641" s="374"/>
      <c r="CV12641" s="376"/>
    </row>
    <row r="12642" spans="1:100">
      <c r="A12642" s="374"/>
      <c r="C12642" s="374"/>
      <c r="CV12642" s="376"/>
    </row>
    <row r="12643" spans="1:100">
      <c r="A12643" s="374"/>
      <c r="C12643" s="374"/>
      <c r="CV12643" s="376"/>
    </row>
    <row r="12644" spans="1:100">
      <c r="A12644" s="374"/>
      <c r="C12644" s="374"/>
      <c r="CV12644" s="376"/>
    </row>
    <row r="12645" spans="1:100">
      <c r="A12645" s="374"/>
      <c r="C12645" s="374"/>
      <c r="CV12645" s="376"/>
    </row>
    <row r="12646" spans="1:100">
      <c r="A12646" s="374"/>
      <c r="C12646" s="374"/>
      <c r="CV12646" s="376"/>
    </row>
    <row r="12647" spans="1:100">
      <c r="A12647" s="374"/>
      <c r="C12647" s="374"/>
      <c r="CV12647" s="376"/>
    </row>
    <row r="12648" spans="1:100">
      <c r="A12648" s="374"/>
      <c r="C12648" s="374"/>
      <c r="CV12648" s="376"/>
    </row>
    <row r="12649" spans="1:100">
      <c r="A12649" s="374"/>
      <c r="C12649" s="374"/>
      <c r="CV12649" s="376"/>
    </row>
    <row r="12650" spans="1:100">
      <c r="A12650" s="374"/>
      <c r="C12650" s="374"/>
      <c r="CV12650" s="376"/>
    </row>
    <row r="12651" spans="1:100">
      <c r="A12651" s="374"/>
      <c r="C12651" s="374"/>
      <c r="CV12651" s="376"/>
    </row>
    <row r="12652" spans="1:100">
      <c r="A12652" s="374"/>
      <c r="C12652" s="374"/>
      <c r="CV12652" s="376"/>
    </row>
    <row r="12653" spans="1:100">
      <c r="A12653" s="374"/>
      <c r="C12653" s="374"/>
      <c r="CV12653" s="376"/>
    </row>
    <row r="12654" spans="1:100">
      <c r="A12654" s="374"/>
      <c r="C12654" s="374"/>
      <c r="CV12654" s="376"/>
    </row>
    <row r="12655" spans="1:100">
      <c r="A12655" s="374"/>
      <c r="C12655" s="374"/>
      <c r="CV12655" s="376"/>
    </row>
    <row r="12656" spans="1:100">
      <c r="A12656" s="374"/>
      <c r="C12656" s="374"/>
      <c r="CV12656" s="376"/>
    </row>
    <row r="12657" spans="1:100">
      <c r="A12657" s="374"/>
      <c r="C12657" s="374"/>
      <c r="CV12657" s="376"/>
    </row>
    <row r="12658" spans="1:100">
      <c r="A12658" s="374"/>
      <c r="C12658" s="374"/>
      <c r="CV12658" s="376"/>
    </row>
    <row r="12659" spans="1:100">
      <c r="A12659" s="374"/>
      <c r="C12659" s="374"/>
      <c r="CV12659" s="376"/>
    </row>
    <row r="12660" spans="1:100">
      <c r="A12660" s="374"/>
      <c r="C12660" s="374"/>
      <c r="CV12660" s="376"/>
    </row>
    <row r="12661" spans="1:100">
      <c r="A12661" s="374"/>
      <c r="C12661" s="374"/>
      <c r="CV12661" s="376"/>
    </row>
    <row r="12662" spans="1:100">
      <c r="A12662" s="374"/>
      <c r="C12662" s="374"/>
      <c r="CV12662" s="376"/>
    </row>
    <row r="12663" spans="1:100">
      <c r="A12663" s="374"/>
      <c r="C12663" s="374"/>
      <c r="CV12663" s="376"/>
    </row>
    <row r="12664" spans="1:100">
      <c r="A12664" s="374"/>
      <c r="C12664" s="374"/>
      <c r="CV12664" s="376"/>
    </row>
    <row r="12665" spans="1:100">
      <c r="A12665" s="374"/>
      <c r="C12665" s="374"/>
      <c r="CV12665" s="376"/>
    </row>
    <row r="12666" spans="1:100">
      <c r="A12666" s="374"/>
      <c r="C12666" s="374"/>
      <c r="CV12666" s="376"/>
    </row>
    <row r="12667" spans="1:100">
      <c r="A12667" s="374"/>
      <c r="C12667" s="374"/>
      <c r="CV12667" s="376"/>
    </row>
    <row r="12668" spans="1:100">
      <c r="A12668" s="374"/>
      <c r="C12668" s="374"/>
      <c r="CV12668" s="376"/>
    </row>
    <row r="12669" spans="1:100">
      <c r="A12669" s="374"/>
      <c r="C12669" s="374"/>
      <c r="CV12669" s="376"/>
    </row>
    <row r="12670" spans="1:100">
      <c r="A12670" s="374"/>
      <c r="C12670" s="374"/>
      <c r="CV12670" s="376"/>
    </row>
    <row r="12671" spans="1:100">
      <c r="A12671" s="374"/>
      <c r="C12671" s="374"/>
      <c r="CV12671" s="376"/>
    </row>
    <row r="12672" spans="1:100">
      <c r="A12672" s="374"/>
      <c r="C12672" s="374"/>
      <c r="CV12672" s="376"/>
    </row>
    <row r="12673" spans="1:100">
      <c r="A12673" s="374"/>
      <c r="C12673" s="374"/>
      <c r="CV12673" s="376"/>
    </row>
    <row r="12674" spans="1:100">
      <c r="A12674" s="374"/>
      <c r="C12674" s="374"/>
      <c r="CV12674" s="376"/>
    </row>
    <row r="12675" spans="1:100">
      <c r="A12675" s="374"/>
      <c r="C12675" s="374"/>
      <c r="CV12675" s="376"/>
    </row>
    <row r="12676" spans="1:100">
      <c r="A12676" s="374"/>
      <c r="C12676" s="374"/>
      <c r="CV12676" s="376"/>
    </row>
    <row r="12677" spans="1:100">
      <c r="A12677" s="374"/>
      <c r="C12677" s="374"/>
      <c r="CV12677" s="376"/>
    </row>
    <row r="12678" spans="1:100">
      <c r="A12678" s="374"/>
      <c r="C12678" s="374"/>
      <c r="CV12678" s="376"/>
    </row>
    <row r="12679" spans="1:100">
      <c r="A12679" s="374"/>
      <c r="C12679" s="374"/>
      <c r="CV12679" s="376"/>
    </row>
    <row r="12680" spans="1:100">
      <c r="A12680" s="374"/>
      <c r="C12680" s="374"/>
      <c r="CV12680" s="376"/>
    </row>
    <row r="12681" spans="1:100">
      <c r="A12681" s="374"/>
      <c r="C12681" s="374"/>
      <c r="CV12681" s="376"/>
    </row>
    <row r="12682" spans="1:100">
      <c r="A12682" s="374"/>
      <c r="C12682" s="374"/>
      <c r="CV12682" s="376"/>
    </row>
    <row r="12683" spans="1:100">
      <c r="A12683" s="374"/>
      <c r="C12683" s="374"/>
      <c r="CV12683" s="376"/>
    </row>
    <row r="12684" spans="1:100">
      <c r="A12684" s="374"/>
      <c r="C12684" s="374"/>
      <c r="CV12684" s="376"/>
    </row>
    <row r="12685" spans="1:100">
      <c r="A12685" s="374"/>
      <c r="C12685" s="374"/>
      <c r="CV12685" s="376"/>
    </row>
    <row r="12686" spans="1:100">
      <c r="A12686" s="374"/>
      <c r="C12686" s="374"/>
      <c r="CV12686" s="376"/>
    </row>
    <row r="12687" spans="1:100">
      <c r="A12687" s="374"/>
      <c r="C12687" s="374"/>
      <c r="CV12687" s="376"/>
    </row>
    <row r="12688" spans="1:100">
      <c r="A12688" s="374"/>
      <c r="C12688" s="374"/>
      <c r="CV12688" s="376"/>
    </row>
    <row r="12689" spans="1:100">
      <c r="A12689" s="374"/>
      <c r="C12689" s="374"/>
      <c r="CV12689" s="376"/>
    </row>
    <row r="12690" spans="1:100">
      <c r="A12690" s="374"/>
      <c r="C12690" s="374"/>
      <c r="CV12690" s="376"/>
    </row>
    <row r="12691" spans="1:100">
      <c r="A12691" s="374"/>
      <c r="C12691" s="374"/>
      <c r="CV12691" s="376"/>
    </row>
    <row r="12692" spans="1:100">
      <c r="A12692" s="374"/>
      <c r="C12692" s="374"/>
      <c r="CV12692" s="376"/>
    </row>
    <row r="12693" spans="1:100">
      <c r="A12693" s="374"/>
      <c r="C12693" s="374"/>
      <c r="CV12693" s="376"/>
    </row>
    <row r="12694" spans="1:100">
      <c r="A12694" s="374"/>
      <c r="C12694" s="374"/>
      <c r="CV12694" s="376"/>
    </row>
    <row r="12695" spans="1:100">
      <c r="A12695" s="374"/>
      <c r="C12695" s="374"/>
      <c r="CV12695" s="376"/>
    </row>
    <row r="12696" spans="1:100">
      <c r="A12696" s="374"/>
      <c r="C12696" s="374"/>
      <c r="CV12696" s="376"/>
    </row>
    <row r="12697" spans="1:100">
      <c r="A12697" s="374"/>
      <c r="C12697" s="374"/>
      <c r="CV12697" s="376"/>
    </row>
    <row r="12698" spans="1:100">
      <c r="A12698" s="374"/>
      <c r="C12698" s="374"/>
      <c r="CV12698" s="376"/>
    </row>
    <row r="12699" spans="1:100">
      <c r="A12699" s="374"/>
      <c r="C12699" s="374"/>
      <c r="CV12699" s="376"/>
    </row>
    <row r="12700" spans="1:100">
      <c r="A12700" s="374"/>
      <c r="C12700" s="374"/>
      <c r="CV12700" s="376"/>
    </row>
    <row r="12701" spans="1:100">
      <c r="A12701" s="374"/>
      <c r="C12701" s="374"/>
      <c r="CV12701" s="376"/>
    </row>
    <row r="12702" spans="1:100">
      <c r="A12702" s="374"/>
      <c r="C12702" s="374"/>
      <c r="CV12702" s="376"/>
    </row>
    <row r="12703" spans="1:100">
      <c r="A12703" s="374"/>
      <c r="C12703" s="374"/>
      <c r="CV12703" s="376"/>
    </row>
    <row r="12704" spans="1:100">
      <c r="A12704" s="374"/>
      <c r="C12704" s="374"/>
      <c r="CV12704" s="376"/>
    </row>
    <row r="12705" spans="1:100">
      <c r="A12705" s="374"/>
      <c r="C12705" s="374"/>
      <c r="CV12705" s="376"/>
    </row>
    <row r="12706" spans="1:100">
      <c r="A12706" s="374"/>
      <c r="C12706" s="374"/>
      <c r="CV12706" s="376"/>
    </row>
    <row r="12707" spans="1:100">
      <c r="A12707" s="374"/>
      <c r="C12707" s="374"/>
      <c r="CV12707" s="376"/>
    </row>
    <row r="12708" spans="1:100">
      <c r="A12708" s="374"/>
      <c r="C12708" s="374"/>
      <c r="CV12708" s="376"/>
    </row>
    <row r="12709" spans="1:100">
      <c r="A12709" s="374"/>
      <c r="C12709" s="374"/>
      <c r="CV12709" s="376"/>
    </row>
    <row r="12710" spans="1:100">
      <c r="A12710" s="374"/>
      <c r="C12710" s="374"/>
      <c r="CV12710" s="376"/>
    </row>
    <row r="12711" spans="1:100">
      <c r="A12711" s="374"/>
      <c r="C12711" s="374"/>
      <c r="CV12711" s="376"/>
    </row>
    <row r="12712" spans="1:100">
      <c r="A12712" s="374"/>
      <c r="C12712" s="374"/>
      <c r="CV12712" s="376"/>
    </row>
    <row r="12713" spans="1:100">
      <c r="A12713" s="374"/>
      <c r="C12713" s="374"/>
      <c r="CV12713" s="376"/>
    </row>
    <row r="12714" spans="1:100">
      <c r="A12714" s="374"/>
      <c r="C12714" s="374"/>
      <c r="CV12714" s="376"/>
    </row>
    <row r="12715" spans="1:100">
      <c r="A12715" s="374"/>
      <c r="C12715" s="374"/>
      <c r="CV12715" s="376"/>
    </row>
    <row r="12716" spans="1:100">
      <c r="A12716" s="374"/>
      <c r="C12716" s="374"/>
      <c r="CV12716" s="376"/>
    </row>
    <row r="12717" spans="1:100">
      <c r="A12717" s="374"/>
      <c r="C12717" s="374"/>
      <c r="CV12717" s="376"/>
    </row>
    <row r="12718" spans="1:100">
      <c r="A12718" s="374"/>
      <c r="C12718" s="374"/>
      <c r="CV12718" s="376"/>
    </row>
    <row r="12719" spans="1:100">
      <c r="A12719" s="374"/>
      <c r="C12719" s="374"/>
      <c r="CV12719" s="376"/>
    </row>
    <row r="12720" spans="1:100">
      <c r="A12720" s="374"/>
      <c r="C12720" s="374"/>
      <c r="CV12720" s="376"/>
    </row>
    <row r="12721" spans="1:100">
      <c r="A12721" s="374"/>
      <c r="C12721" s="374"/>
      <c r="CV12721" s="376"/>
    </row>
    <row r="12722" spans="1:100">
      <c r="A12722" s="374"/>
      <c r="C12722" s="374"/>
      <c r="CV12722" s="376"/>
    </row>
    <row r="12723" spans="1:100">
      <c r="A12723" s="374"/>
      <c r="C12723" s="374"/>
      <c r="CV12723" s="376"/>
    </row>
    <row r="12724" spans="1:100">
      <c r="A12724" s="374"/>
      <c r="C12724" s="374"/>
      <c r="CV12724" s="376"/>
    </row>
    <row r="12725" spans="1:100">
      <c r="A12725" s="374"/>
      <c r="C12725" s="374"/>
      <c r="CV12725" s="376"/>
    </row>
    <row r="12726" spans="1:100">
      <c r="A12726" s="374"/>
      <c r="C12726" s="374"/>
      <c r="CV12726" s="376"/>
    </row>
    <row r="12727" spans="1:100">
      <c r="A12727" s="374"/>
      <c r="C12727" s="374"/>
      <c r="CV12727" s="376"/>
    </row>
    <row r="12728" spans="1:100">
      <c r="A12728" s="374"/>
      <c r="C12728" s="374"/>
      <c r="CV12728" s="376"/>
    </row>
    <row r="12729" spans="1:100">
      <c r="A12729" s="374"/>
      <c r="C12729" s="374"/>
      <c r="CV12729" s="376"/>
    </row>
    <row r="12730" spans="1:100">
      <c r="A12730" s="374"/>
      <c r="C12730" s="374"/>
      <c r="CV12730" s="376"/>
    </row>
    <row r="12731" spans="1:100">
      <c r="A12731" s="374"/>
      <c r="C12731" s="374"/>
      <c r="CV12731" s="376"/>
    </row>
    <row r="12732" spans="1:100">
      <c r="A12732" s="374"/>
      <c r="C12732" s="374"/>
      <c r="CV12732" s="376"/>
    </row>
    <row r="12733" spans="1:100">
      <c r="A12733" s="374"/>
      <c r="C12733" s="374"/>
      <c r="CV12733" s="376"/>
    </row>
    <row r="12734" spans="1:100">
      <c r="A12734" s="374"/>
      <c r="C12734" s="374"/>
      <c r="CV12734" s="376"/>
    </row>
    <row r="12735" spans="1:100">
      <c r="A12735" s="374"/>
      <c r="C12735" s="374"/>
      <c r="CV12735" s="376"/>
    </row>
    <row r="12736" spans="1:100">
      <c r="A12736" s="374"/>
      <c r="C12736" s="374"/>
      <c r="CV12736" s="376"/>
    </row>
    <row r="12737" spans="1:100">
      <c r="A12737" s="374"/>
      <c r="C12737" s="374"/>
      <c r="CV12737" s="376"/>
    </row>
    <row r="12738" spans="1:100">
      <c r="A12738" s="374"/>
      <c r="C12738" s="374"/>
      <c r="CV12738" s="376"/>
    </row>
    <row r="12739" spans="1:100">
      <c r="A12739" s="374"/>
      <c r="C12739" s="374"/>
      <c r="CV12739" s="376"/>
    </row>
    <row r="12740" spans="1:100">
      <c r="A12740" s="374"/>
      <c r="C12740" s="374"/>
      <c r="CV12740" s="376"/>
    </row>
    <row r="12741" spans="1:100">
      <c r="A12741" s="374"/>
      <c r="C12741" s="374"/>
      <c r="CV12741" s="376"/>
    </row>
    <row r="12742" spans="1:100">
      <c r="A12742" s="374"/>
      <c r="C12742" s="374"/>
      <c r="CV12742" s="376"/>
    </row>
    <row r="12743" spans="1:100">
      <c r="A12743" s="374"/>
      <c r="C12743" s="374"/>
      <c r="CV12743" s="376"/>
    </row>
    <row r="12744" spans="1:100">
      <c r="A12744" s="374"/>
      <c r="C12744" s="374"/>
      <c r="CV12744" s="376"/>
    </row>
    <row r="12745" spans="1:100">
      <c r="A12745" s="374"/>
      <c r="C12745" s="374"/>
      <c r="CV12745" s="376"/>
    </row>
    <row r="12746" spans="1:100">
      <c r="A12746" s="374"/>
      <c r="C12746" s="374"/>
      <c r="CV12746" s="376"/>
    </row>
    <row r="12747" spans="1:100">
      <c r="A12747" s="374"/>
      <c r="C12747" s="374"/>
      <c r="CV12747" s="376"/>
    </row>
    <row r="12748" spans="1:100">
      <c r="A12748" s="374"/>
      <c r="C12748" s="374"/>
      <c r="CV12748" s="376"/>
    </row>
    <row r="12749" spans="1:100">
      <c r="A12749" s="374"/>
      <c r="C12749" s="374"/>
      <c r="CV12749" s="376"/>
    </row>
    <row r="12750" spans="1:100">
      <c r="A12750" s="374"/>
      <c r="C12750" s="374"/>
      <c r="CV12750" s="376"/>
    </row>
    <row r="12751" spans="1:100">
      <c r="A12751" s="374"/>
      <c r="C12751" s="374"/>
      <c r="CV12751" s="376"/>
    </row>
    <row r="12752" spans="1:100">
      <c r="A12752" s="374"/>
      <c r="C12752" s="374"/>
      <c r="CV12752" s="376"/>
    </row>
    <row r="12753" spans="1:100">
      <c r="A12753" s="374"/>
      <c r="C12753" s="374"/>
      <c r="CV12753" s="376"/>
    </row>
    <row r="12754" spans="1:100">
      <c r="A12754" s="374"/>
      <c r="C12754" s="374"/>
      <c r="CV12754" s="376"/>
    </row>
    <row r="12755" spans="1:100">
      <c r="A12755" s="374"/>
      <c r="C12755" s="374"/>
      <c r="CV12755" s="376"/>
    </row>
    <row r="12756" spans="1:100">
      <c r="A12756" s="374"/>
      <c r="C12756" s="374"/>
      <c r="CV12756" s="376"/>
    </row>
    <row r="12757" spans="1:100">
      <c r="A12757" s="374"/>
      <c r="C12757" s="374"/>
      <c r="CV12757" s="376"/>
    </row>
    <row r="12758" spans="1:100">
      <c r="A12758" s="374"/>
      <c r="C12758" s="374"/>
      <c r="CV12758" s="376"/>
    </row>
    <row r="12759" spans="1:100">
      <c r="A12759" s="374"/>
      <c r="C12759" s="374"/>
      <c r="CV12759" s="376"/>
    </row>
    <row r="12760" spans="1:100">
      <c r="A12760" s="374"/>
      <c r="C12760" s="374"/>
      <c r="CV12760" s="376"/>
    </row>
    <row r="12761" spans="1:100">
      <c r="A12761" s="374"/>
      <c r="C12761" s="374"/>
      <c r="CV12761" s="376"/>
    </row>
    <row r="12762" spans="1:100">
      <c r="A12762" s="374"/>
      <c r="C12762" s="374"/>
      <c r="CV12762" s="376"/>
    </row>
    <row r="12763" spans="1:100">
      <c r="A12763" s="374"/>
      <c r="C12763" s="374"/>
      <c r="CV12763" s="376"/>
    </row>
    <row r="12764" spans="1:100">
      <c r="A12764" s="374"/>
      <c r="C12764" s="374"/>
      <c r="CV12764" s="376"/>
    </row>
    <row r="12765" spans="1:100">
      <c r="A12765" s="374"/>
      <c r="C12765" s="374"/>
      <c r="CV12765" s="376"/>
    </row>
    <row r="12766" spans="1:100">
      <c r="A12766" s="374"/>
      <c r="C12766" s="374"/>
      <c r="CV12766" s="376"/>
    </row>
    <row r="12767" spans="1:100">
      <c r="A12767" s="374"/>
      <c r="C12767" s="374"/>
      <c r="CV12767" s="376"/>
    </row>
    <row r="12768" spans="1:100">
      <c r="A12768" s="374"/>
      <c r="C12768" s="374"/>
      <c r="CV12768" s="376"/>
    </row>
    <row r="12769" spans="1:100">
      <c r="A12769" s="374"/>
      <c r="C12769" s="374"/>
      <c r="CV12769" s="376"/>
    </row>
    <row r="12770" spans="1:100">
      <c r="A12770" s="374"/>
      <c r="C12770" s="374"/>
      <c r="CV12770" s="376"/>
    </row>
    <row r="12771" spans="1:100">
      <c r="A12771" s="374"/>
      <c r="C12771" s="374"/>
      <c r="CV12771" s="376"/>
    </row>
    <row r="12772" spans="1:100">
      <c r="A12772" s="374"/>
      <c r="C12772" s="374"/>
      <c r="CV12772" s="376"/>
    </row>
    <row r="12773" spans="1:100">
      <c r="A12773" s="374"/>
      <c r="C12773" s="374"/>
      <c r="CV12773" s="376"/>
    </row>
    <row r="12774" spans="1:100">
      <c r="A12774" s="374"/>
      <c r="C12774" s="374"/>
      <c r="CV12774" s="376"/>
    </row>
    <row r="12775" spans="1:100">
      <c r="A12775" s="374"/>
      <c r="C12775" s="374"/>
      <c r="CV12775" s="376"/>
    </row>
    <row r="12776" spans="1:100">
      <c r="A12776" s="374"/>
      <c r="C12776" s="374"/>
      <c r="CV12776" s="376"/>
    </row>
    <row r="12777" spans="1:100">
      <c r="A12777" s="374"/>
      <c r="C12777" s="374"/>
      <c r="CV12777" s="376"/>
    </row>
    <row r="12778" spans="1:100">
      <c r="A12778" s="374"/>
      <c r="C12778" s="374"/>
      <c r="CV12778" s="376"/>
    </row>
    <row r="12779" spans="1:100">
      <c r="A12779" s="374"/>
      <c r="C12779" s="374"/>
      <c r="CV12779" s="376"/>
    </row>
    <row r="12780" spans="1:100">
      <c r="A12780" s="374"/>
      <c r="C12780" s="374"/>
      <c r="CV12780" s="376"/>
    </row>
    <row r="12781" spans="1:100">
      <c r="A12781" s="374"/>
      <c r="C12781" s="374"/>
      <c r="CV12781" s="376"/>
    </row>
    <row r="12782" spans="1:100">
      <c r="A12782" s="374"/>
      <c r="C12782" s="374"/>
      <c r="CV12782" s="376"/>
    </row>
    <row r="12783" spans="1:100">
      <c r="A12783" s="374"/>
      <c r="C12783" s="374"/>
      <c r="CV12783" s="376"/>
    </row>
    <row r="12784" spans="1:100">
      <c r="A12784" s="374"/>
      <c r="C12784" s="374"/>
      <c r="CV12784" s="376"/>
    </row>
    <row r="12785" spans="1:100">
      <c r="A12785" s="374"/>
      <c r="C12785" s="374"/>
      <c r="CV12785" s="376"/>
    </row>
    <row r="12786" spans="1:100">
      <c r="A12786" s="374"/>
      <c r="C12786" s="374"/>
      <c r="CV12786" s="376"/>
    </row>
    <row r="12787" spans="1:100">
      <c r="A12787" s="374"/>
      <c r="C12787" s="374"/>
      <c r="CV12787" s="376"/>
    </row>
    <row r="12788" spans="1:100">
      <c r="A12788" s="374"/>
      <c r="C12788" s="374"/>
      <c r="CV12788" s="376"/>
    </row>
    <row r="12789" spans="1:100">
      <c r="A12789" s="374"/>
      <c r="C12789" s="374"/>
      <c r="CV12789" s="376"/>
    </row>
    <row r="12790" spans="1:100">
      <c r="A12790" s="374"/>
      <c r="C12790" s="374"/>
      <c r="CV12790" s="376"/>
    </row>
    <row r="12791" spans="1:100">
      <c r="A12791" s="374"/>
      <c r="C12791" s="374"/>
      <c r="CV12791" s="376"/>
    </row>
    <row r="12792" spans="1:100">
      <c r="A12792" s="374"/>
      <c r="C12792" s="374"/>
      <c r="CV12792" s="376"/>
    </row>
    <row r="12793" spans="1:100">
      <c r="A12793" s="374"/>
      <c r="C12793" s="374"/>
      <c r="CV12793" s="376"/>
    </row>
    <row r="12794" spans="1:100">
      <c r="A12794" s="374"/>
      <c r="C12794" s="374"/>
      <c r="CV12794" s="376"/>
    </row>
    <row r="12795" spans="1:100">
      <c r="A12795" s="374"/>
      <c r="C12795" s="374"/>
      <c r="CV12795" s="376"/>
    </row>
    <row r="12796" spans="1:100">
      <c r="A12796" s="374"/>
      <c r="C12796" s="374"/>
      <c r="CV12796" s="376"/>
    </row>
    <row r="12797" spans="1:100">
      <c r="A12797" s="374"/>
      <c r="C12797" s="374"/>
      <c r="CV12797" s="376"/>
    </row>
    <row r="12798" spans="1:100">
      <c r="A12798" s="374"/>
      <c r="C12798" s="374"/>
      <c r="CV12798" s="376"/>
    </row>
    <row r="12799" spans="1:100">
      <c r="A12799" s="374"/>
      <c r="C12799" s="374"/>
      <c r="CV12799" s="376"/>
    </row>
    <row r="12800" spans="1:100">
      <c r="A12800" s="374"/>
      <c r="C12800" s="374"/>
      <c r="CV12800" s="376"/>
    </row>
    <row r="12801" spans="1:100">
      <c r="A12801" s="374"/>
      <c r="C12801" s="374"/>
      <c r="CV12801" s="376"/>
    </row>
    <row r="12802" spans="1:100">
      <c r="A12802" s="374"/>
      <c r="C12802" s="374"/>
      <c r="CV12802" s="376"/>
    </row>
    <row r="12803" spans="1:100">
      <c r="A12803" s="374"/>
      <c r="C12803" s="374"/>
      <c r="CV12803" s="376"/>
    </row>
    <row r="12804" spans="1:100">
      <c r="A12804" s="374"/>
      <c r="C12804" s="374"/>
      <c r="CV12804" s="376"/>
    </row>
    <row r="12805" spans="1:100">
      <c r="A12805" s="374"/>
      <c r="C12805" s="374"/>
      <c r="CV12805" s="376"/>
    </row>
    <row r="12806" spans="1:100">
      <c r="A12806" s="374"/>
      <c r="C12806" s="374"/>
      <c r="CV12806" s="376"/>
    </row>
    <row r="12807" spans="1:100">
      <c r="A12807" s="374"/>
      <c r="C12807" s="374"/>
      <c r="CV12807" s="376"/>
    </row>
    <row r="12808" spans="1:100">
      <c r="A12808" s="374"/>
      <c r="C12808" s="374"/>
      <c r="CV12808" s="376"/>
    </row>
    <row r="12809" spans="1:100">
      <c r="A12809" s="374"/>
      <c r="C12809" s="374"/>
      <c r="CV12809" s="376"/>
    </row>
    <row r="12810" spans="1:100">
      <c r="A12810" s="374"/>
      <c r="C12810" s="374"/>
      <c r="CV12810" s="376"/>
    </row>
    <row r="12811" spans="1:100">
      <c r="A12811" s="374"/>
      <c r="C12811" s="374"/>
      <c r="CV12811" s="376"/>
    </row>
    <row r="12812" spans="1:100">
      <c r="A12812" s="374"/>
      <c r="C12812" s="374"/>
      <c r="CV12812" s="376"/>
    </row>
    <row r="12813" spans="1:100">
      <c r="A12813" s="374"/>
      <c r="C12813" s="374"/>
      <c r="CV12813" s="376"/>
    </row>
    <row r="12814" spans="1:100">
      <c r="A12814" s="374"/>
      <c r="C12814" s="374"/>
      <c r="CV12814" s="376"/>
    </row>
    <row r="12815" spans="1:100">
      <c r="A12815" s="374"/>
      <c r="C12815" s="374"/>
      <c r="CV12815" s="376"/>
    </row>
    <row r="12816" spans="1:100">
      <c r="A12816" s="374"/>
      <c r="C12816" s="374"/>
      <c r="CV12816" s="376"/>
    </row>
    <row r="12817" spans="1:100">
      <c r="A12817" s="374"/>
      <c r="C12817" s="374"/>
      <c r="CV12817" s="376"/>
    </row>
    <row r="12818" spans="1:100">
      <c r="A12818" s="374"/>
      <c r="C12818" s="374"/>
      <c r="CV12818" s="376"/>
    </row>
    <row r="12819" spans="1:100">
      <c r="A12819" s="374"/>
      <c r="C12819" s="374"/>
      <c r="CV12819" s="376"/>
    </row>
    <row r="12820" spans="1:100">
      <c r="A12820" s="374"/>
      <c r="C12820" s="374"/>
      <c r="CV12820" s="376"/>
    </row>
    <row r="12821" spans="1:100">
      <c r="A12821" s="374"/>
      <c r="C12821" s="374"/>
      <c r="CV12821" s="376"/>
    </row>
    <row r="12822" spans="1:100">
      <c r="A12822" s="374"/>
      <c r="C12822" s="374"/>
      <c r="CV12822" s="376"/>
    </row>
    <row r="12823" spans="1:100">
      <c r="A12823" s="374"/>
      <c r="C12823" s="374"/>
      <c r="CV12823" s="376"/>
    </row>
    <row r="12824" spans="1:100">
      <c r="A12824" s="374"/>
      <c r="C12824" s="374"/>
      <c r="CV12824" s="376"/>
    </row>
    <row r="12825" spans="1:100">
      <c r="A12825" s="374"/>
      <c r="C12825" s="374"/>
      <c r="CV12825" s="376"/>
    </row>
    <row r="12826" spans="1:100">
      <c r="A12826" s="374"/>
      <c r="C12826" s="374"/>
      <c r="CV12826" s="376"/>
    </row>
    <row r="12827" spans="1:100">
      <c r="A12827" s="374"/>
      <c r="C12827" s="374"/>
      <c r="CV12827" s="376"/>
    </row>
    <row r="12828" spans="1:100">
      <c r="A12828" s="374"/>
      <c r="C12828" s="374"/>
      <c r="CV12828" s="376"/>
    </row>
    <row r="12829" spans="1:100">
      <c r="A12829" s="374"/>
      <c r="C12829" s="374"/>
      <c r="CV12829" s="376"/>
    </row>
    <row r="12830" spans="1:100">
      <c r="A12830" s="374"/>
      <c r="C12830" s="374"/>
      <c r="CV12830" s="376"/>
    </row>
    <row r="12831" spans="1:100">
      <c r="A12831" s="374"/>
      <c r="C12831" s="374"/>
      <c r="CV12831" s="376"/>
    </row>
    <row r="12832" spans="1:100">
      <c r="A12832" s="374"/>
      <c r="C12832" s="374"/>
      <c r="CV12832" s="376"/>
    </row>
    <row r="12833" spans="1:100">
      <c r="A12833" s="374"/>
      <c r="C12833" s="374"/>
      <c r="CV12833" s="376"/>
    </row>
    <row r="12834" spans="1:100">
      <c r="A12834" s="374"/>
      <c r="C12834" s="374"/>
      <c r="CV12834" s="376"/>
    </row>
    <row r="12835" spans="1:100">
      <c r="A12835" s="374"/>
      <c r="C12835" s="374"/>
      <c r="CV12835" s="376"/>
    </row>
    <row r="12836" spans="1:100">
      <c r="A12836" s="374"/>
      <c r="C12836" s="374"/>
      <c r="CV12836" s="376"/>
    </row>
    <row r="12837" spans="1:100">
      <c r="A12837" s="374"/>
      <c r="C12837" s="374"/>
      <c r="CV12837" s="376"/>
    </row>
    <row r="12838" spans="1:100">
      <c r="A12838" s="374"/>
      <c r="C12838" s="374"/>
      <c r="CV12838" s="376"/>
    </row>
    <row r="12839" spans="1:100">
      <c r="A12839" s="374"/>
      <c r="C12839" s="374"/>
      <c r="CV12839" s="376"/>
    </row>
    <row r="12840" spans="1:100">
      <c r="A12840" s="374"/>
      <c r="C12840" s="374"/>
      <c r="CV12840" s="376"/>
    </row>
    <row r="12841" spans="1:100">
      <c r="A12841" s="374"/>
      <c r="C12841" s="374"/>
      <c r="CV12841" s="376"/>
    </row>
    <row r="12842" spans="1:100">
      <c r="A12842" s="374"/>
      <c r="C12842" s="374"/>
      <c r="CV12842" s="376"/>
    </row>
    <row r="12843" spans="1:100">
      <c r="A12843" s="374"/>
      <c r="C12843" s="374"/>
      <c r="CV12843" s="376"/>
    </row>
    <row r="12844" spans="1:100">
      <c r="A12844" s="374"/>
      <c r="C12844" s="374"/>
      <c r="CV12844" s="376"/>
    </row>
    <row r="12845" spans="1:100">
      <c r="A12845" s="374"/>
      <c r="C12845" s="374"/>
      <c r="CV12845" s="376"/>
    </row>
    <row r="12846" spans="1:100">
      <c r="A12846" s="374"/>
      <c r="C12846" s="374"/>
      <c r="CV12846" s="376"/>
    </row>
    <row r="12847" spans="1:100">
      <c r="A12847" s="374"/>
      <c r="C12847" s="374"/>
      <c r="CV12847" s="376"/>
    </row>
    <row r="12848" spans="1:100">
      <c r="A12848" s="374"/>
      <c r="C12848" s="374"/>
      <c r="CV12848" s="376"/>
    </row>
    <row r="12849" spans="1:100">
      <c r="A12849" s="374"/>
      <c r="C12849" s="374"/>
      <c r="CV12849" s="376"/>
    </row>
    <row r="12850" spans="1:100">
      <c r="A12850" s="374"/>
      <c r="C12850" s="374"/>
      <c r="CV12850" s="376"/>
    </row>
    <row r="12851" spans="1:100">
      <c r="A12851" s="374"/>
      <c r="C12851" s="374"/>
      <c r="CV12851" s="376"/>
    </row>
    <row r="12852" spans="1:100">
      <c r="A12852" s="374"/>
      <c r="C12852" s="374"/>
      <c r="CV12852" s="376"/>
    </row>
    <row r="12853" spans="1:100">
      <c r="A12853" s="374"/>
      <c r="C12853" s="374"/>
      <c r="CV12853" s="376"/>
    </row>
    <row r="12854" spans="1:100">
      <c r="A12854" s="374"/>
      <c r="C12854" s="374"/>
      <c r="CV12854" s="376"/>
    </row>
    <row r="12855" spans="1:100">
      <c r="A12855" s="374"/>
      <c r="C12855" s="374"/>
      <c r="CV12855" s="376"/>
    </row>
    <row r="12856" spans="1:100">
      <c r="A12856" s="374"/>
      <c r="C12856" s="374"/>
      <c r="CV12856" s="376"/>
    </row>
    <row r="12857" spans="1:100">
      <c r="A12857" s="374"/>
      <c r="C12857" s="374"/>
      <c r="CV12857" s="376"/>
    </row>
    <row r="12858" spans="1:100">
      <c r="A12858" s="374"/>
      <c r="C12858" s="374"/>
      <c r="CV12858" s="376"/>
    </row>
    <row r="12859" spans="1:100">
      <c r="A12859" s="374"/>
      <c r="C12859" s="374"/>
      <c r="CV12859" s="376"/>
    </row>
    <row r="12860" spans="1:100">
      <c r="A12860" s="374"/>
      <c r="C12860" s="374"/>
      <c r="CV12860" s="376"/>
    </row>
    <row r="12861" spans="1:100">
      <c r="A12861" s="374"/>
      <c r="C12861" s="374"/>
      <c r="CV12861" s="376"/>
    </row>
    <row r="12862" spans="1:100">
      <c r="A12862" s="374"/>
      <c r="C12862" s="374"/>
      <c r="CV12862" s="376"/>
    </row>
    <row r="12863" spans="1:100">
      <c r="A12863" s="374"/>
      <c r="C12863" s="374"/>
      <c r="CV12863" s="376"/>
    </row>
    <row r="12864" spans="1:100">
      <c r="A12864" s="374"/>
      <c r="C12864" s="374"/>
      <c r="CV12864" s="376"/>
    </row>
    <row r="12865" spans="1:100">
      <c r="A12865" s="374"/>
      <c r="C12865" s="374"/>
      <c r="CV12865" s="376"/>
    </row>
    <row r="12866" spans="1:100">
      <c r="A12866" s="374"/>
      <c r="C12866" s="374"/>
      <c r="CV12866" s="376"/>
    </row>
    <row r="12867" spans="1:100">
      <c r="A12867" s="374"/>
      <c r="C12867" s="374"/>
      <c r="CV12867" s="376"/>
    </row>
    <row r="12868" spans="1:100">
      <c r="A12868" s="374"/>
      <c r="C12868" s="374"/>
      <c r="CV12868" s="376"/>
    </row>
    <row r="12869" spans="1:100">
      <c r="A12869" s="374"/>
      <c r="C12869" s="374"/>
      <c r="CV12869" s="376"/>
    </row>
    <row r="12870" spans="1:100">
      <c r="A12870" s="374"/>
      <c r="C12870" s="374"/>
      <c r="CV12870" s="376"/>
    </row>
    <row r="12871" spans="1:100">
      <c r="A12871" s="374"/>
      <c r="C12871" s="374"/>
      <c r="CV12871" s="376"/>
    </row>
    <row r="12872" spans="1:100">
      <c r="A12872" s="374"/>
      <c r="C12872" s="374"/>
      <c r="CV12872" s="376"/>
    </row>
    <row r="12873" spans="1:100">
      <c r="A12873" s="374"/>
      <c r="C12873" s="374"/>
      <c r="CV12873" s="376"/>
    </row>
    <row r="12874" spans="1:100">
      <c r="A12874" s="374"/>
      <c r="C12874" s="374"/>
      <c r="CV12874" s="376"/>
    </row>
    <row r="12875" spans="1:100">
      <c r="A12875" s="374"/>
      <c r="C12875" s="374"/>
      <c r="CV12875" s="376"/>
    </row>
    <row r="12876" spans="1:100">
      <c r="A12876" s="374"/>
      <c r="C12876" s="374"/>
      <c r="CV12876" s="376"/>
    </row>
    <row r="12877" spans="1:100">
      <c r="A12877" s="374"/>
      <c r="C12877" s="374"/>
      <c r="CV12877" s="376"/>
    </row>
    <row r="12878" spans="1:100">
      <c r="A12878" s="374"/>
      <c r="C12878" s="374"/>
      <c r="CV12878" s="376"/>
    </row>
    <row r="12879" spans="1:100">
      <c r="A12879" s="374"/>
      <c r="C12879" s="374"/>
      <c r="CV12879" s="376"/>
    </row>
    <row r="12880" spans="1:100">
      <c r="A12880" s="374"/>
      <c r="C12880" s="374"/>
      <c r="CV12880" s="376"/>
    </row>
    <row r="12881" spans="1:100">
      <c r="A12881" s="374"/>
      <c r="C12881" s="374"/>
      <c r="CV12881" s="376"/>
    </row>
    <row r="12882" spans="1:100">
      <c r="A12882" s="374"/>
      <c r="C12882" s="374"/>
      <c r="CV12882" s="376"/>
    </row>
    <row r="12883" spans="1:100">
      <c r="A12883" s="374"/>
      <c r="C12883" s="374"/>
      <c r="CV12883" s="376"/>
    </row>
    <row r="12884" spans="1:100">
      <c r="A12884" s="374"/>
      <c r="C12884" s="374"/>
      <c r="CV12884" s="376"/>
    </row>
    <row r="12885" spans="1:100">
      <c r="A12885" s="374"/>
      <c r="C12885" s="374"/>
      <c r="CV12885" s="376"/>
    </row>
    <row r="12886" spans="1:100">
      <c r="A12886" s="374"/>
      <c r="C12886" s="374"/>
      <c r="CV12886" s="376"/>
    </row>
    <row r="12887" spans="1:100">
      <c r="A12887" s="374"/>
      <c r="C12887" s="374"/>
      <c r="CV12887" s="376"/>
    </row>
    <row r="12888" spans="1:100">
      <c r="A12888" s="374"/>
      <c r="C12888" s="374"/>
      <c r="CV12888" s="376"/>
    </row>
    <row r="12889" spans="1:100">
      <c r="A12889" s="374"/>
      <c r="C12889" s="374"/>
      <c r="CV12889" s="376"/>
    </row>
    <row r="12890" spans="1:100">
      <c r="A12890" s="374"/>
      <c r="C12890" s="374"/>
      <c r="CV12890" s="376"/>
    </row>
    <row r="12891" spans="1:100">
      <c r="A12891" s="374"/>
      <c r="C12891" s="374"/>
      <c r="CV12891" s="376"/>
    </row>
    <row r="12892" spans="1:100">
      <c r="A12892" s="374"/>
      <c r="C12892" s="374"/>
      <c r="CV12892" s="376"/>
    </row>
    <row r="12893" spans="1:100">
      <c r="A12893" s="374"/>
      <c r="C12893" s="374"/>
      <c r="CV12893" s="376"/>
    </row>
    <row r="12894" spans="1:100">
      <c r="A12894" s="374"/>
      <c r="C12894" s="374"/>
      <c r="CV12894" s="376"/>
    </row>
    <row r="12895" spans="1:100">
      <c r="A12895" s="374"/>
      <c r="C12895" s="374"/>
      <c r="CV12895" s="376"/>
    </row>
    <row r="12896" spans="1:100">
      <c r="A12896" s="374"/>
      <c r="C12896" s="374"/>
      <c r="CV12896" s="376"/>
    </row>
    <row r="12897" spans="1:100">
      <c r="A12897" s="374"/>
      <c r="C12897" s="374"/>
      <c r="CV12897" s="376"/>
    </row>
    <row r="12898" spans="1:100">
      <c r="A12898" s="374"/>
      <c r="C12898" s="374"/>
      <c r="CV12898" s="376"/>
    </row>
    <row r="12899" spans="1:100">
      <c r="A12899" s="374"/>
      <c r="C12899" s="374"/>
      <c r="CV12899" s="376"/>
    </row>
    <row r="12900" spans="1:100">
      <c r="A12900" s="374"/>
      <c r="C12900" s="374"/>
      <c r="CV12900" s="376"/>
    </row>
    <row r="12901" spans="1:100">
      <c r="A12901" s="374"/>
      <c r="C12901" s="374"/>
      <c r="CV12901" s="376"/>
    </row>
    <row r="12902" spans="1:100">
      <c r="A12902" s="374"/>
      <c r="C12902" s="374"/>
      <c r="CV12902" s="376"/>
    </row>
    <row r="12903" spans="1:100">
      <c r="A12903" s="374"/>
      <c r="C12903" s="374"/>
      <c r="CV12903" s="376"/>
    </row>
    <row r="12904" spans="1:100">
      <c r="A12904" s="374"/>
      <c r="C12904" s="374"/>
      <c r="CV12904" s="376"/>
    </row>
    <row r="12905" spans="1:100">
      <c r="A12905" s="374"/>
      <c r="C12905" s="374"/>
      <c r="CV12905" s="376"/>
    </row>
    <row r="12906" spans="1:100">
      <c r="A12906" s="374"/>
      <c r="C12906" s="374"/>
      <c r="CV12906" s="376"/>
    </row>
    <row r="12907" spans="1:100">
      <c r="A12907" s="374"/>
      <c r="C12907" s="374"/>
      <c r="CV12907" s="376"/>
    </row>
    <row r="12908" spans="1:100">
      <c r="A12908" s="374"/>
      <c r="C12908" s="374"/>
      <c r="CV12908" s="376"/>
    </row>
    <row r="12909" spans="1:100">
      <c r="A12909" s="374"/>
      <c r="C12909" s="374"/>
      <c r="CV12909" s="376"/>
    </row>
    <row r="12910" spans="1:100">
      <c r="A12910" s="374"/>
      <c r="C12910" s="374"/>
      <c r="CV12910" s="376"/>
    </row>
    <row r="12911" spans="1:100">
      <c r="A12911" s="374"/>
      <c r="C12911" s="374"/>
      <c r="CV12911" s="376"/>
    </row>
    <row r="12912" spans="1:100">
      <c r="A12912" s="374"/>
      <c r="C12912" s="374"/>
      <c r="CV12912" s="376"/>
    </row>
    <row r="12913" spans="1:100">
      <c r="A12913" s="374"/>
      <c r="C12913" s="374"/>
      <c r="CV12913" s="376"/>
    </row>
    <row r="12914" spans="1:100">
      <c r="A12914" s="374"/>
      <c r="C12914" s="374"/>
      <c r="CV12914" s="376"/>
    </row>
    <row r="12915" spans="1:100">
      <c r="A12915" s="374"/>
      <c r="C12915" s="374"/>
      <c r="CV12915" s="376"/>
    </row>
    <row r="12916" spans="1:100">
      <c r="A12916" s="374"/>
      <c r="C12916" s="374"/>
      <c r="CV12916" s="376"/>
    </row>
    <row r="12917" spans="1:100">
      <c r="A12917" s="374"/>
      <c r="C12917" s="374"/>
      <c r="CV12917" s="376"/>
    </row>
    <row r="12918" spans="1:100">
      <c r="A12918" s="374"/>
      <c r="C12918" s="374"/>
      <c r="CV12918" s="376"/>
    </row>
    <row r="12919" spans="1:100">
      <c r="A12919" s="374"/>
      <c r="C12919" s="374"/>
      <c r="CV12919" s="376"/>
    </row>
    <row r="12920" spans="1:100">
      <c r="A12920" s="374"/>
      <c r="C12920" s="374"/>
      <c r="CV12920" s="376"/>
    </row>
    <row r="12921" spans="1:100">
      <c r="A12921" s="374"/>
      <c r="C12921" s="374"/>
      <c r="CV12921" s="376"/>
    </row>
    <row r="12922" spans="1:100">
      <c r="A12922" s="374"/>
      <c r="C12922" s="374"/>
      <c r="CV12922" s="376"/>
    </row>
    <row r="12923" spans="1:100">
      <c r="A12923" s="374"/>
      <c r="C12923" s="374"/>
      <c r="CV12923" s="376"/>
    </row>
    <row r="12924" spans="1:100">
      <c r="A12924" s="374"/>
      <c r="C12924" s="374"/>
      <c r="CV12924" s="376"/>
    </row>
    <row r="12925" spans="1:100">
      <c r="A12925" s="374"/>
      <c r="C12925" s="374"/>
      <c r="CV12925" s="376"/>
    </row>
    <row r="12926" spans="1:100">
      <c r="A12926" s="374"/>
      <c r="C12926" s="374"/>
      <c r="CV12926" s="376"/>
    </row>
    <row r="12927" spans="1:100">
      <c r="A12927" s="374"/>
      <c r="C12927" s="374"/>
      <c r="CV12927" s="376"/>
    </row>
    <row r="12928" spans="1:100">
      <c r="A12928" s="374"/>
      <c r="C12928" s="374"/>
      <c r="CV12928" s="376"/>
    </row>
    <row r="12929" spans="1:100">
      <c r="A12929" s="374"/>
      <c r="C12929" s="374"/>
      <c r="CV12929" s="376"/>
    </row>
    <row r="12930" spans="1:100">
      <c r="A12930" s="374"/>
      <c r="C12930" s="374"/>
      <c r="CV12930" s="376"/>
    </row>
    <row r="12931" spans="1:100">
      <c r="A12931" s="374"/>
      <c r="C12931" s="374"/>
      <c r="CV12931" s="376"/>
    </row>
    <row r="12932" spans="1:100">
      <c r="A12932" s="374"/>
      <c r="C12932" s="374"/>
      <c r="CV12932" s="376"/>
    </row>
    <row r="12933" spans="1:100">
      <c r="A12933" s="374"/>
      <c r="C12933" s="374"/>
      <c r="CV12933" s="376"/>
    </row>
    <row r="12934" spans="1:100">
      <c r="A12934" s="374"/>
      <c r="C12934" s="374"/>
      <c r="CV12934" s="376"/>
    </row>
    <row r="12935" spans="1:100">
      <c r="A12935" s="374"/>
      <c r="C12935" s="374"/>
      <c r="CV12935" s="376"/>
    </row>
    <row r="12936" spans="1:100">
      <c r="A12936" s="374"/>
      <c r="C12936" s="374"/>
      <c r="CV12936" s="376"/>
    </row>
    <row r="12937" spans="1:100">
      <c r="A12937" s="374"/>
      <c r="C12937" s="374"/>
      <c r="CV12937" s="376"/>
    </row>
    <row r="12938" spans="1:100">
      <c r="A12938" s="374"/>
      <c r="C12938" s="374"/>
      <c r="CV12938" s="376"/>
    </row>
    <row r="12939" spans="1:100">
      <c r="A12939" s="374"/>
      <c r="C12939" s="374"/>
      <c r="CV12939" s="376"/>
    </row>
    <row r="12940" spans="1:100">
      <c r="A12940" s="374"/>
      <c r="C12940" s="374"/>
      <c r="CV12940" s="376"/>
    </row>
    <row r="12941" spans="1:100">
      <c r="A12941" s="374"/>
      <c r="C12941" s="374"/>
      <c r="CV12941" s="376"/>
    </row>
    <row r="12942" spans="1:100">
      <c r="A12942" s="374"/>
      <c r="C12942" s="374"/>
      <c r="CV12942" s="376"/>
    </row>
    <row r="12943" spans="1:100">
      <c r="A12943" s="374"/>
      <c r="C12943" s="374"/>
      <c r="CV12943" s="376"/>
    </row>
    <row r="12944" spans="1:100">
      <c r="A12944" s="374"/>
      <c r="C12944" s="374"/>
      <c r="CV12944" s="376"/>
    </row>
    <row r="12945" spans="1:100">
      <c r="A12945" s="374"/>
      <c r="C12945" s="374"/>
      <c r="CV12945" s="376"/>
    </row>
    <row r="12946" spans="1:100">
      <c r="A12946" s="374"/>
      <c r="C12946" s="374"/>
      <c r="CV12946" s="376"/>
    </row>
    <row r="12947" spans="1:100">
      <c r="A12947" s="374"/>
      <c r="C12947" s="374"/>
      <c r="CV12947" s="376"/>
    </row>
    <row r="12948" spans="1:100">
      <c r="A12948" s="374"/>
      <c r="C12948" s="374"/>
      <c r="CV12948" s="376"/>
    </row>
    <row r="12949" spans="1:100">
      <c r="A12949" s="374"/>
      <c r="C12949" s="374"/>
      <c r="CV12949" s="376"/>
    </row>
    <row r="12950" spans="1:100">
      <c r="A12950" s="374"/>
      <c r="C12950" s="374"/>
      <c r="CV12950" s="376"/>
    </row>
    <row r="12951" spans="1:100">
      <c r="A12951" s="374"/>
      <c r="C12951" s="374"/>
      <c r="CV12951" s="376"/>
    </row>
    <row r="12952" spans="1:100">
      <c r="A12952" s="374"/>
      <c r="C12952" s="374"/>
      <c r="CV12952" s="376"/>
    </row>
    <row r="12953" spans="1:100">
      <c r="A12953" s="374"/>
      <c r="C12953" s="374"/>
      <c r="CV12953" s="376"/>
    </row>
    <row r="12954" spans="1:100">
      <c r="A12954" s="374"/>
      <c r="C12954" s="374"/>
      <c r="CV12954" s="376"/>
    </row>
    <row r="12955" spans="1:100">
      <c r="A12955" s="374"/>
      <c r="C12955" s="374"/>
      <c r="CV12955" s="376"/>
    </row>
    <row r="12956" spans="1:100">
      <c r="A12956" s="374"/>
      <c r="C12956" s="374"/>
      <c r="CV12956" s="376"/>
    </row>
    <row r="12957" spans="1:100">
      <c r="A12957" s="374"/>
      <c r="C12957" s="374"/>
      <c r="CV12957" s="376"/>
    </row>
    <row r="12958" spans="1:100">
      <c r="A12958" s="374"/>
      <c r="C12958" s="374"/>
      <c r="CV12958" s="376"/>
    </row>
    <row r="12959" spans="1:100">
      <c r="A12959" s="374"/>
      <c r="C12959" s="374"/>
      <c r="CV12959" s="376"/>
    </row>
    <row r="12960" spans="1:100">
      <c r="A12960" s="374"/>
      <c r="C12960" s="374"/>
      <c r="CV12960" s="376"/>
    </row>
    <row r="12961" spans="1:100">
      <c r="A12961" s="374"/>
      <c r="C12961" s="374"/>
      <c r="CV12961" s="376"/>
    </row>
    <row r="12962" spans="1:100">
      <c r="A12962" s="374"/>
      <c r="C12962" s="374"/>
      <c r="CV12962" s="376"/>
    </row>
    <row r="12963" spans="1:100">
      <c r="A12963" s="374"/>
      <c r="C12963" s="374"/>
      <c r="CV12963" s="376"/>
    </row>
    <row r="12964" spans="1:100">
      <c r="A12964" s="374"/>
      <c r="C12964" s="374"/>
      <c r="CV12964" s="376"/>
    </row>
    <row r="12965" spans="1:100">
      <c r="A12965" s="374"/>
      <c r="C12965" s="374"/>
      <c r="CV12965" s="376"/>
    </row>
    <row r="12966" spans="1:100">
      <c r="A12966" s="374"/>
      <c r="C12966" s="374"/>
      <c r="CV12966" s="376"/>
    </row>
    <row r="12967" spans="1:100">
      <c r="A12967" s="374"/>
      <c r="C12967" s="374"/>
      <c r="CV12967" s="376"/>
    </row>
    <row r="12968" spans="1:100">
      <c r="A12968" s="374"/>
      <c r="C12968" s="374"/>
      <c r="CV12968" s="376"/>
    </row>
    <row r="12969" spans="1:100">
      <c r="A12969" s="374"/>
      <c r="C12969" s="374"/>
      <c r="CV12969" s="376"/>
    </row>
    <row r="12970" spans="1:100">
      <c r="A12970" s="374"/>
      <c r="C12970" s="374"/>
      <c r="CV12970" s="376"/>
    </row>
    <row r="12971" spans="1:100">
      <c r="A12971" s="374"/>
      <c r="C12971" s="374"/>
      <c r="CV12971" s="376"/>
    </row>
    <row r="12972" spans="1:100">
      <c r="A12972" s="374"/>
      <c r="C12972" s="374"/>
      <c r="CV12972" s="376"/>
    </row>
    <row r="12973" spans="1:100">
      <c r="A12973" s="374"/>
      <c r="C12973" s="374"/>
      <c r="CV12973" s="376"/>
    </row>
    <row r="12974" spans="1:100">
      <c r="A12974" s="374"/>
      <c r="C12974" s="374"/>
      <c r="CV12974" s="376"/>
    </row>
    <row r="12975" spans="1:100">
      <c r="A12975" s="374"/>
      <c r="C12975" s="374"/>
      <c r="CV12975" s="376"/>
    </row>
    <row r="12976" spans="1:100">
      <c r="A12976" s="374"/>
      <c r="C12976" s="374"/>
      <c r="CV12976" s="376"/>
    </row>
    <row r="12977" spans="1:100">
      <c r="A12977" s="374"/>
      <c r="C12977" s="374"/>
      <c r="CV12977" s="376"/>
    </row>
    <row r="12978" spans="1:100">
      <c r="A12978" s="374"/>
      <c r="C12978" s="374"/>
      <c r="CV12978" s="376"/>
    </row>
    <row r="12979" spans="1:100">
      <c r="A12979" s="374"/>
      <c r="C12979" s="374"/>
      <c r="CV12979" s="376"/>
    </row>
    <row r="12980" spans="1:100">
      <c r="A12980" s="374"/>
      <c r="C12980" s="374"/>
      <c r="CV12980" s="376"/>
    </row>
    <row r="12981" spans="1:100">
      <c r="A12981" s="374"/>
      <c r="C12981" s="374"/>
      <c r="CV12981" s="376"/>
    </row>
    <row r="12982" spans="1:100">
      <c r="A12982" s="374"/>
      <c r="C12982" s="374"/>
      <c r="CV12982" s="376"/>
    </row>
    <row r="12983" spans="1:100">
      <c r="A12983" s="374"/>
      <c r="C12983" s="374"/>
      <c r="CV12983" s="376"/>
    </row>
    <row r="12984" spans="1:100">
      <c r="A12984" s="374"/>
      <c r="C12984" s="374"/>
      <c r="CV12984" s="376"/>
    </row>
    <row r="12985" spans="1:100">
      <c r="A12985" s="374"/>
      <c r="C12985" s="374"/>
      <c r="CV12985" s="376"/>
    </row>
    <row r="12986" spans="1:100">
      <c r="A12986" s="374"/>
      <c r="C12986" s="374"/>
      <c r="CV12986" s="376"/>
    </row>
    <row r="12987" spans="1:100">
      <c r="A12987" s="374"/>
      <c r="C12987" s="374"/>
      <c r="CV12987" s="376"/>
    </row>
    <row r="12988" spans="1:100">
      <c r="A12988" s="374"/>
      <c r="C12988" s="374"/>
      <c r="CV12988" s="376"/>
    </row>
    <row r="12989" spans="1:100">
      <c r="A12989" s="374"/>
      <c r="C12989" s="374"/>
      <c r="CV12989" s="376"/>
    </row>
    <row r="12990" spans="1:100">
      <c r="A12990" s="374"/>
      <c r="C12990" s="374"/>
      <c r="CV12990" s="376"/>
    </row>
    <row r="12991" spans="1:100">
      <c r="A12991" s="374"/>
      <c r="C12991" s="374"/>
      <c r="CV12991" s="376"/>
    </row>
    <row r="12992" spans="1:100">
      <c r="A12992" s="374"/>
      <c r="C12992" s="374"/>
      <c r="CV12992" s="376"/>
    </row>
    <row r="12993" spans="1:100">
      <c r="A12993" s="374"/>
      <c r="C12993" s="374"/>
      <c r="CV12993" s="376"/>
    </row>
    <row r="12994" spans="1:100">
      <c r="A12994" s="374"/>
      <c r="C12994" s="374"/>
      <c r="CV12994" s="376"/>
    </row>
    <row r="12995" spans="1:100">
      <c r="A12995" s="374"/>
      <c r="C12995" s="374"/>
      <c r="CV12995" s="376"/>
    </row>
    <row r="12996" spans="1:100">
      <c r="A12996" s="374"/>
      <c r="C12996" s="374"/>
      <c r="CV12996" s="376"/>
    </row>
    <row r="12997" spans="1:100">
      <c r="A12997" s="374"/>
      <c r="C12997" s="374"/>
      <c r="CV12997" s="376"/>
    </row>
    <row r="12998" spans="1:100">
      <c r="A12998" s="374"/>
      <c r="C12998" s="374"/>
      <c r="CV12998" s="376"/>
    </row>
    <row r="12999" spans="1:100">
      <c r="A12999" s="374"/>
      <c r="C12999" s="374"/>
      <c r="CV12999" s="376"/>
    </row>
    <row r="13000" spans="1:100">
      <c r="A13000" s="374"/>
      <c r="C13000" s="374"/>
      <c r="CV13000" s="376"/>
    </row>
    <row r="13001" spans="1:100">
      <c r="A13001" s="374"/>
      <c r="C13001" s="374"/>
      <c r="CV13001" s="376"/>
    </row>
    <row r="13002" spans="1:100">
      <c r="A13002" s="374"/>
      <c r="C13002" s="374"/>
      <c r="CV13002" s="376"/>
    </row>
    <row r="13003" spans="1:100">
      <c r="A13003" s="374"/>
      <c r="C13003" s="374"/>
      <c r="CV13003" s="376"/>
    </row>
    <row r="13004" spans="1:100">
      <c r="A13004" s="374"/>
      <c r="C13004" s="374"/>
      <c r="CV13004" s="376"/>
    </row>
    <row r="13005" spans="1:100">
      <c r="A13005" s="374"/>
      <c r="C13005" s="374"/>
      <c r="CV13005" s="376"/>
    </row>
    <row r="13006" spans="1:100">
      <c r="A13006" s="374"/>
      <c r="C13006" s="374"/>
      <c r="CV13006" s="376"/>
    </row>
    <row r="13007" spans="1:100">
      <c r="A13007" s="374"/>
      <c r="C13007" s="374"/>
      <c r="CV13007" s="376"/>
    </row>
    <row r="13008" spans="1:100">
      <c r="A13008" s="374"/>
      <c r="C13008" s="374"/>
      <c r="CV13008" s="376"/>
    </row>
    <row r="13009" spans="1:100">
      <c r="A13009" s="374"/>
      <c r="C13009" s="374"/>
      <c r="CV13009" s="376"/>
    </row>
    <row r="13010" spans="1:100">
      <c r="A13010" s="374"/>
      <c r="C13010" s="374"/>
      <c r="CV13010" s="376"/>
    </row>
    <row r="13011" spans="1:100">
      <c r="A13011" s="374"/>
      <c r="C13011" s="374"/>
      <c r="CV13011" s="376"/>
    </row>
    <row r="13012" spans="1:100">
      <c r="A13012" s="374"/>
      <c r="C13012" s="374"/>
      <c r="CV13012" s="376"/>
    </row>
    <row r="13013" spans="1:100">
      <c r="A13013" s="374"/>
      <c r="C13013" s="374"/>
      <c r="CV13013" s="376"/>
    </row>
    <row r="13014" spans="1:100">
      <c r="A13014" s="374"/>
      <c r="C13014" s="374"/>
      <c r="CV13014" s="376"/>
    </row>
    <row r="13015" spans="1:100">
      <c r="A13015" s="374"/>
      <c r="C13015" s="374"/>
      <c r="CV13015" s="376"/>
    </row>
    <row r="13016" spans="1:100">
      <c r="A13016" s="374"/>
      <c r="C13016" s="374"/>
      <c r="CV13016" s="376"/>
    </row>
    <row r="13017" spans="1:100">
      <c r="A13017" s="374"/>
      <c r="C13017" s="374"/>
      <c r="CV13017" s="376"/>
    </row>
    <row r="13018" spans="1:100">
      <c r="A13018" s="374"/>
      <c r="C13018" s="374"/>
      <c r="CV13018" s="376"/>
    </row>
    <row r="13019" spans="1:100">
      <c r="A13019" s="374"/>
      <c r="C13019" s="374"/>
      <c r="CV13019" s="376"/>
    </row>
    <row r="13020" spans="1:100">
      <c r="A13020" s="374"/>
      <c r="C13020" s="374"/>
      <c r="CV13020" s="376"/>
    </row>
    <row r="13021" spans="1:100">
      <c r="A13021" s="374"/>
      <c r="C13021" s="374"/>
      <c r="CV13021" s="376"/>
    </row>
    <row r="13022" spans="1:100">
      <c r="A13022" s="374"/>
      <c r="C13022" s="374"/>
      <c r="CV13022" s="376"/>
    </row>
    <row r="13023" spans="1:100">
      <c r="A13023" s="374"/>
      <c r="C13023" s="374"/>
      <c r="CV13023" s="376"/>
    </row>
    <row r="13024" spans="1:100">
      <c r="A13024" s="374"/>
      <c r="C13024" s="374"/>
      <c r="CV13024" s="376"/>
    </row>
    <row r="13025" spans="1:100">
      <c r="A13025" s="374"/>
      <c r="C13025" s="374"/>
      <c r="CV13025" s="376"/>
    </row>
    <row r="13026" spans="1:100">
      <c r="A13026" s="374"/>
      <c r="C13026" s="374"/>
      <c r="CV13026" s="376"/>
    </row>
    <row r="13027" spans="1:100">
      <c r="A13027" s="374"/>
      <c r="C13027" s="374"/>
      <c r="CV13027" s="376"/>
    </row>
    <row r="13028" spans="1:100">
      <c r="A13028" s="374"/>
      <c r="C13028" s="374"/>
      <c r="CV13028" s="376"/>
    </row>
    <row r="13029" spans="1:100">
      <c r="A13029" s="374"/>
      <c r="C13029" s="374"/>
      <c r="CV13029" s="376"/>
    </row>
    <row r="13030" spans="1:100">
      <c r="A13030" s="374"/>
      <c r="C13030" s="374"/>
      <c r="CV13030" s="376"/>
    </row>
    <row r="13031" spans="1:100">
      <c r="A13031" s="374"/>
      <c r="C13031" s="374"/>
      <c r="CV13031" s="376"/>
    </row>
    <row r="13032" spans="1:100">
      <c r="A13032" s="374"/>
      <c r="C13032" s="374"/>
      <c r="CV13032" s="376"/>
    </row>
    <row r="13033" spans="1:100">
      <c r="A13033" s="374"/>
      <c r="C13033" s="374"/>
      <c r="CV13033" s="376"/>
    </row>
    <row r="13034" spans="1:100">
      <c r="A13034" s="374"/>
      <c r="C13034" s="374"/>
      <c r="CV13034" s="376"/>
    </row>
    <row r="13035" spans="1:100">
      <c r="A13035" s="374"/>
      <c r="C13035" s="374"/>
      <c r="CV13035" s="376"/>
    </row>
    <row r="13036" spans="1:100">
      <c r="A13036" s="374"/>
      <c r="C13036" s="374"/>
      <c r="CV13036" s="376"/>
    </row>
    <row r="13037" spans="1:100">
      <c r="A13037" s="374"/>
      <c r="C13037" s="374"/>
      <c r="CV13037" s="376"/>
    </row>
    <row r="13038" spans="1:100">
      <c r="A13038" s="374"/>
      <c r="C13038" s="374"/>
      <c r="CV13038" s="376"/>
    </row>
    <row r="13039" spans="1:100">
      <c r="A13039" s="374"/>
      <c r="C13039" s="374"/>
      <c r="CV13039" s="376"/>
    </row>
    <row r="13040" spans="1:100">
      <c r="A13040" s="374"/>
      <c r="C13040" s="374"/>
      <c r="CV13040" s="376"/>
    </row>
    <row r="13041" spans="1:100">
      <c r="A13041" s="374"/>
      <c r="C13041" s="374"/>
      <c r="CV13041" s="376"/>
    </row>
    <row r="13042" spans="1:100">
      <c r="A13042" s="374"/>
      <c r="C13042" s="374"/>
      <c r="CV13042" s="376"/>
    </row>
    <row r="13043" spans="1:100">
      <c r="A13043" s="374"/>
      <c r="C13043" s="374"/>
      <c r="CV13043" s="376"/>
    </row>
    <row r="13044" spans="1:100">
      <c r="A13044" s="374"/>
      <c r="C13044" s="374"/>
      <c r="CV13044" s="376"/>
    </row>
    <row r="13045" spans="1:100">
      <c r="A13045" s="374"/>
      <c r="C13045" s="374"/>
      <c r="CV13045" s="376"/>
    </row>
    <row r="13046" spans="1:100">
      <c r="A13046" s="374"/>
      <c r="C13046" s="374"/>
      <c r="CV13046" s="376"/>
    </row>
    <row r="13047" spans="1:100">
      <c r="A13047" s="374"/>
      <c r="C13047" s="374"/>
      <c r="CV13047" s="376"/>
    </row>
    <row r="13048" spans="1:100">
      <c r="A13048" s="374"/>
      <c r="C13048" s="374"/>
      <c r="CV13048" s="376"/>
    </row>
    <row r="13049" spans="1:100">
      <c r="A13049" s="374"/>
      <c r="C13049" s="374"/>
      <c r="CV13049" s="376"/>
    </row>
    <row r="13050" spans="1:100">
      <c r="A13050" s="374"/>
      <c r="C13050" s="374"/>
      <c r="CV13050" s="376"/>
    </row>
    <row r="13051" spans="1:100">
      <c r="A13051" s="374"/>
      <c r="C13051" s="374"/>
      <c r="CV13051" s="376"/>
    </row>
    <row r="13052" spans="1:100">
      <c r="A13052" s="374"/>
      <c r="C13052" s="374"/>
      <c r="CV13052" s="376"/>
    </row>
    <row r="13053" spans="1:100">
      <c r="A13053" s="374"/>
      <c r="C13053" s="374"/>
      <c r="CV13053" s="376"/>
    </row>
    <row r="13054" spans="1:100">
      <c r="A13054" s="374"/>
      <c r="C13054" s="374"/>
      <c r="CV13054" s="376"/>
    </row>
    <row r="13055" spans="1:100">
      <c r="A13055" s="374"/>
      <c r="C13055" s="374"/>
      <c r="CV13055" s="376"/>
    </row>
    <row r="13056" spans="1:100">
      <c r="A13056" s="374"/>
      <c r="C13056" s="374"/>
      <c r="CV13056" s="376"/>
    </row>
    <row r="13057" spans="1:100">
      <c r="A13057" s="374"/>
      <c r="C13057" s="374"/>
      <c r="CV13057" s="376"/>
    </row>
    <row r="13058" spans="1:100">
      <c r="A13058" s="374"/>
      <c r="C13058" s="374"/>
      <c r="CV13058" s="376"/>
    </row>
    <row r="13059" spans="1:100">
      <c r="A13059" s="374"/>
      <c r="C13059" s="374"/>
      <c r="CV13059" s="376"/>
    </row>
    <row r="13060" spans="1:100">
      <c r="A13060" s="374"/>
      <c r="C13060" s="374"/>
      <c r="CV13060" s="376"/>
    </row>
    <row r="13061" spans="1:100">
      <c r="A13061" s="374"/>
      <c r="C13061" s="374"/>
      <c r="CV13061" s="376"/>
    </row>
    <row r="13062" spans="1:100">
      <c r="A13062" s="374"/>
      <c r="C13062" s="374"/>
      <c r="CV13062" s="376"/>
    </row>
    <row r="13063" spans="1:100">
      <c r="A13063" s="374"/>
      <c r="C13063" s="374"/>
      <c r="CV13063" s="376"/>
    </row>
    <row r="13064" spans="1:100">
      <c r="A13064" s="374"/>
      <c r="C13064" s="374"/>
      <c r="CV13064" s="376"/>
    </row>
    <row r="13065" spans="1:100">
      <c r="A13065" s="374"/>
      <c r="C13065" s="374"/>
      <c r="CV13065" s="376"/>
    </row>
    <row r="13066" spans="1:100">
      <c r="A13066" s="374"/>
      <c r="C13066" s="374"/>
      <c r="CV13066" s="376"/>
    </row>
    <row r="13067" spans="1:100">
      <c r="A13067" s="374"/>
      <c r="C13067" s="374"/>
      <c r="CV13067" s="376"/>
    </row>
    <row r="13068" spans="1:100">
      <c r="A13068" s="374"/>
      <c r="C13068" s="374"/>
      <c r="CV13068" s="376"/>
    </row>
    <row r="13069" spans="1:100">
      <c r="A13069" s="374"/>
      <c r="C13069" s="374"/>
      <c r="CV13069" s="376"/>
    </row>
    <row r="13070" spans="1:100">
      <c r="A13070" s="374"/>
      <c r="C13070" s="374"/>
      <c r="CV13070" s="376"/>
    </row>
    <row r="13071" spans="1:100">
      <c r="A13071" s="374"/>
      <c r="C13071" s="374"/>
      <c r="CV13071" s="376"/>
    </row>
    <row r="13072" spans="1:100">
      <c r="A13072" s="374"/>
      <c r="C13072" s="374"/>
      <c r="CV13072" s="376"/>
    </row>
    <row r="13073" spans="1:100">
      <c r="A13073" s="374"/>
      <c r="C13073" s="374"/>
      <c r="CV13073" s="376"/>
    </row>
    <row r="13074" spans="1:100">
      <c r="A13074" s="374"/>
      <c r="C13074" s="374"/>
      <c r="CV13074" s="376"/>
    </row>
    <row r="13075" spans="1:100">
      <c r="A13075" s="374"/>
      <c r="C13075" s="374"/>
      <c r="CV13075" s="376"/>
    </row>
    <row r="13076" spans="1:100">
      <c r="A13076" s="374"/>
      <c r="C13076" s="374"/>
      <c r="CV13076" s="376"/>
    </row>
    <row r="13077" spans="1:100">
      <c r="A13077" s="374"/>
      <c r="C13077" s="374"/>
      <c r="CV13077" s="376"/>
    </row>
    <row r="13078" spans="1:100">
      <c r="A13078" s="374"/>
      <c r="C13078" s="374"/>
      <c r="CV13078" s="376"/>
    </row>
    <row r="13079" spans="1:100">
      <c r="A13079" s="374"/>
      <c r="C13079" s="374"/>
      <c r="CV13079" s="376"/>
    </row>
    <row r="13080" spans="1:100">
      <c r="A13080" s="374"/>
      <c r="C13080" s="374"/>
      <c r="CV13080" s="376"/>
    </row>
    <row r="13081" spans="1:100">
      <c r="A13081" s="374"/>
      <c r="C13081" s="374"/>
      <c r="CV13081" s="376"/>
    </row>
    <row r="13082" spans="1:100">
      <c r="A13082" s="374"/>
      <c r="C13082" s="374"/>
      <c r="CV13082" s="376"/>
    </row>
    <row r="13083" spans="1:100">
      <c r="A13083" s="374"/>
      <c r="C13083" s="374"/>
      <c r="CV13083" s="376"/>
    </row>
    <row r="13084" spans="1:100">
      <c r="A13084" s="374"/>
      <c r="C13084" s="374"/>
      <c r="CV13084" s="376"/>
    </row>
    <row r="13085" spans="1:100">
      <c r="A13085" s="374"/>
      <c r="C13085" s="374"/>
      <c r="CV13085" s="376"/>
    </row>
    <row r="13086" spans="1:100">
      <c r="A13086" s="374"/>
      <c r="C13086" s="374"/>
      <c r="CV13086" s="376"/>
    </row>
    <row r="13087" spans="1:100">
      <c r="A13087" s="374"/>
      <c r="C13087" s="374"/>
      <c r="CV13087" s="376"/>
    </row>
    <row r="13088" spans="1:100">
      <c r="A13088" s="374"/>
      <c r="C13088" s="374"/>
      <c r="CV13088" s="376"/>
    </row>
    <row r="13089" spans="1:100">
      <c r="A13089" s="374"/>
      <c r="C13089" s="374"/>
      <c r="CV13089" s="376"/>
    </row>
    <row r="13090" spans="1:100">
      <c r="A13090" s="374"/>
      <c r="C13090" s="374"/>
      <c r="CV13090" s="376"/>
    </row>
    <row r="13091" spans="1:100">
      <c r="A13091" s="374"/>
      <c r="C13091" s="374"/>
      <c r="CV13091" s="376"/>
    </row>
    <row r="13092" spans="1:100">
      <c r="A13092" s="374"/>
      <c r="C13092" s="374"/>
      <c r="CV13092" s="376"/>
    </row>
    <row r="13093" spans="1:100">
      <c r="A13093" s="374"/>
      <c r="C13093" s="374"/>
      <c r="CV13093" s="376"/>
    </row>
    <row r="13094" spans="1:100">
      <c r="A13094" s="374"/>
      <c r="C13094" s="374"/>
      <c r="CV13094" s="376"/>
    </row>
    <row r="13095" spans="1:100">
      <c r="A13095" s="374"/>
      <c r="C13095" s="374"/>
      <c r="CV13095" s="376"/>
    </row>
    <row r="13096" spans="1:100">
      <c r="A13096" s="374"/>
      <c r="C13096" s="374"/>
      <c r="CV13096" s="376"/>
    </row>
    <row r="13097" spans="1:100">
      <c r="A13097" s="374"/>
      <c r="C13097" s="374"/>
      <c r="CV13097" s="376"/>
    </row>
    <row r="13098" spans="1:100">
      <c r="A13098" s="374"/>
      <c r="C13098" s="374"/>
      <c r="CV13098" s="376"/>
    </row>
    <row r="13099" spans="1:100">
      <c r="A13099" s="374"/>
      <c r="C13099" s="374"/>
      <c r="CV13099" s="376"/>
    </row>
    <row r="13100" spans="1:100">
      <c r="A13100" s="374"/>
      <c r="C13100" s="374"/>
      <c r="CV13100" s="376"/>
    </row>
    <row r="13101" spans="1:100">
      <c r="A13101" s="374"/>
      <c r="C13101" s="374"/>
      <c r="CV13101" s="376"/>
    </row>
    <row r="13102" spans="1:100">
      <c r="A13102" s="374"/>
      <c r="C13102" s="374"/>
      <c r="CV13102" s="376"/>
    </row>
    <row r="13103" spans="1:100">
      <c r="A13103" s="374"/>
      <c r="C13103" s="374"/>
      <c r="CV13103" s="376"/>
    </row>
    <row r="13104" spans="1:100">
      <c r="A13104" s="374"/>
      <c r="C13104" s="374"/>
      <c r="CV13104" s="376"/>
    </row>
    <row r="13105" spans="1:100">
      <c r="A13105" s="374"/>
      <c r="C13105" s="374"/>
      <c r="CV13105" s="376"/>
    </row>
    <row r="13106" spans="1:100">
      <c r="A13106" s="374"/>
      <c r="C13106" s="374"/>
      <c r="CV13106" s="376"/>
    </row>
    <row r="13107" spans="1:100">
      <c r="A13107" s="374"/>
      <c r="C13107" s="374"/>
      <c r="CV13107" s="376"/>
    </row>
    <row r="13108" spans="1:100">
      <c r="A13108" s="374"/>
      <c r="C13108" s="374"/>
      <c r="CV13108" s="376"/>
    </row>
    <row r="13109" spans="1:100">
      <c r="A13109" s="374"/>
      <c r="C13109" s="374"/>
      <c r="CV13109" s="376"/>
    </row>
    <row r="13110" spans="1:100">
      <c r="A13110" s="374"/>
      <c r="C13110" s="374"/>
      <c r="CV13110" s="376"/>
    </row>
    <row r="13111" spans="1:100">
      <c r="A13111" s="374"/>
      <c r="C13111" s="374"/>
      <c r="CV13111" s="376"/>
    </row>
    <row r="13112" spans="1:100">
      <c r="A13112" s="374"/>
      <c r="C13112" s="374"/>
      <c r="CV13112" s="376"/>
    </row>
    <row r="13113" spans="1:100">
      <c r="A13113" s="374"/>
      <c r="C13113" s="374"/>
      <c r="CV13113" s="376"/>
    </row>
    <row r="13114" spans="1:100">
      <c r="A13114" s="374"/>
      <c r="C13114" s="374"/>
      <c r="CV13114" s="376"/>
    </row>
    <row r="13115" spans="1:100">
      <c r="A13115" s="374"/>
      <c r="C13115" s="374"/>
      <c r="CV13115" s="376"/>
    </row>
    <row r="13116" spans="1:100">
      <c r="A13116" s="374"/>
      <c r="C13116" s="374"/>
      <c r="CV13116" s="376"/>
    </row>
    <row r="13117" spans="1:100">
      <c r="A13117" s="374"/>
      <c r="C13117" s="374"/>
      <c r="CV13117" s="376"/>
    </row>
    <row r="13118" spans="1:100">
      <c r="A13118" s="374"/>
      <c r="C13118" s="374"/>
      <c r="CV13118" s="376"/>
    </row>
    <row r="13119" spans="1:100">
      <c r="A13119" s="374"/>
      <c r="C13119" s="374"/>
      <c r="CV13119" s="376"/>
    </row>
    <row r="13120" spans="1:100">
      <c r="A13120" s="374"/>
      <c r="C13120" s="374"/>
      <c r="CV13120" s="376"/>
    </row>
    <row r="13121" spans="1:100">
      <c r="A13121" s="374"/>
      <c r="C13121" s="374"/>
      <c r="CV13121" s="376"/>
    </row>
    <row r="13122" spans="1:100">
      <c r="A13122" s="374"/>
      <c r="C13122" s="374"/>
      <c r="CV13122" s="376"/>
    </row>
    <row r="13123" spans="1:100">
      <c r="A13123" s="374"/>
      <c r="C13123" s="374"/>
      <c r="CV13123" s="376"/>
    </row>
    <row r="13124" spans="1:100">
      <c r="A13124" s="374"/>
      <c r="C13124" s="374"/>
      <c r="CV13124" s="376"/>
    </row>
    <row r="13125" spans="1:100">
      <c r="A13125" s="374"/>
      <c r="C13125" s="374"/>
      <c r="CV13125" s="376"/>
    </row>
    <row r="13126" spans="1:100">
      <c r="A13126" s="374"/>
      <c r="C13126" s="374"/>
      <c r="CV13126" s="376"/>
    </row>
    <row r="13127" spans="1:100">
      <c r="A13127" s="374"/>
      <c r="C13127" s="374"/>
      <c r="CV13127" s="376"/>
    </row>
    <row r="13128" spans="1:100">
      <c r="A13128" s="374"/>
      <c r="C13128" s="374"/>
      <c r="CV13128" s="376"/>
    </row>
    <row r="13129" spans="1:100">
      <c r="A13129" s="374"/>
      <c r="C13129" s="374"/>
      <c r="CV13129" s="376"/>
    </row>
    <row r="13130" spans="1:100">
      <c r="A13130" s="374"/>
      <c r="C13130" s="374"/>
      <c r="CV13130" s="376"/>
    </row>
    <row r="13131" spans="1:100">
      <c r="A13131" s="374"/>
      <c r="C13131" s="374"/>
      <c r="CV13131" s="376"/>
    </row>
    <row r="13132" spans="1:100">
      <c r="A13132" s="374"/>
      <c r="C13132" s="374"/>
      <c r="CV13132" s="376"/>
    </row>
    <row r="13133" spans="1:100">
      <c r="A13133" s="374"/>
      <c r="C13133" s="374"/>
      <c r="CV13133" s="376"/>
    </row>
    <row r="13134" spans="1:100">
      <c r="A13134" s="374"/>
      <c r="C13134" s="374"/>
      <c r="CV13134" s="376"/>
    </row>
    <row r="13135" spans="1:100">
      <c r="A13135" s="374"/>
      <c r="C13135" s="374"/>
      <c r="CV13135" s="376"/>
    </row>
    <row r="13136" spans="1:100">
      <c r="A13136" s="374"/>
      <c r="C13136" s="374"/>
      <c r="CV13136" s="376"/>
    </row>
    <row r="13137" spans="1:100">
      <c r="A13137" s="374"/>
      <c r="C13137" s="374"/>
      <c r="CV13137" s="376"/>
    </row>
    <row r="13138" spans="1:100">
      <c r="A13138" s="374"/>
      <c r="C13138" s="374"/>
      <c r="CV13138" s="376"/>
    </row>
    <row r="13139" spans="1:100">
      <c r="A13139" s="374"/>
      <c r="C13139" s="374"/>
      <c r="CV13139" s="376"/>
    </row>
    <row r="13140" spans="1:100">
      <c r="A13140" s="374"/>
      <c r="C13140" s="374"/>
      <c r="CV13140" s="376"/>
    </row>
    <row r="13141" spans="1:100">
      <c r="A13141" s="374"/>
      <c r="C13141" s="374"/>
      <c r="CV13141" s="376"/>
    </row>
    <row r="13142" spans="1:100">
      <c r="A13142" s="374"/>
      <c r="C13142" s="374"/>
      <c r="CV13142" s="376"/>
    </row>
    <row r="13143" spans="1:100">
      <c r="A13143" s="374"/>
      <c r="C13143" s="374"/>
      <c r="CV13143" s="376"/>
    </row>
    <row r="13144" spans="1:100">
      <c r="A13144" s="374"/>
      <c r="C13144" s="374"/>
      <c r="CV13144" s="376"/>
    </row>
    <row r="13145" spans="1:100">
      <c r="A13145" s="374"/>
      <c r="C13145" s="374"/>
      <c r="CV13145" s="376"/>
    </row>
    <row r="13146" spans="1:100">
      <c r="A13146" s="374"/>
      <c r="C13146" s="374"/>
      <c r="CV13146" s="376"/>
    </row>
    <row r="13147" spans="1:100">
      <c r="A13147" s="374"/>
      <c r="C13147" s="374"/>
      <c r="CV13147" s="376"/>
    </row>
    <row r="13148" spans="1:100">
      <c r="A13148" s="374"/>
      <c r="C13148" s="374"/>
      <c r="CV13148" s="376"/>
    </row>
    <row r="13149" spans="1:100">
      <c r="A13149" s="374"/>
      <c r="C13149" s="374"/>
      <c r="CV13149" s="376"/>
    </row>
    <row r="13150" spans="1:100">
      <c r="A13150" s="374"/>
      <c r="C13150" s="374"/>
      <c r="CV13150" s="376"/>
    </row>
    <row r="13151" spans="1:100">
      <c r="A13151" s="374"/>
      <c r="C13151" s="374"/>
      <c r="CV13151" s="376"/>
    </row>
    <row r="13152" spans="1:100">
      <c r="A13152" s="374"/>
      <c r="C13152" s="374"/>
      <c r="CV13152" s="376"/>
    </row>
    <row r="13153" spans="1:100">
      <c r="A13153" s="374"/>
      <c r="C13153" s="374"/>
      <c r="CV13153" s="376"/>
    </row>
    <row r="13154" spans="1:100">
      <c r="A13154" s="374"/>
      <c r="C13154" s="374"/>
      <c r="CV13154" s="376"/>
    </row>
    <row r="13155" spans="1:100">
      <c r="A13155" s="374"/>
      <c r="C13155" s="374"/>
      <c r="CV13155" s="376"/>
    </row>
    <row r="13156" spans="1:100">
      <c r="A13156" s="374"/>
      <c r="C13156" s="374"/>
      <c r="CV13156" s="376"/>
    </row>
    <row r="13157" spans="1:100">
      <c r="A13157" s="374"/>
      <c r="C13157" s="374"/>
      <c r="CV13157" s="376"/>
    </row>
    <row r="13158" spans="1:100">
      <c r="A13158" s="374"/>
      <c r="C13158" s="374"/>
      <c r="CV13158" s="376"/>
    </row>
    <row r="13159" spans="1:100">
      <c r="A13159" s="374"/>
      <c r="C13159" s="374"/>
      <c r="CV13159" s="376"/>
    </row>
    <row r="13160" spans="1:100">
      <c r="A13160" s="374"/>
      <c r="C13160" s="374"/>
      <c r="CV13160" s="376"/>
    </row>
    <row r="13161" spans="1:100">
      <c r="A13161" s="374"/>
      <c r="C13161" s="374"/>
      <c r="CV13161" s="376"/>
    </row>
    <row r="13162" spans="1:100">
      <c r="A13162" s="374"/>
      <c r="C13162" s="374"/>
      <c r="CV13162" s="376"/>
    </row>
    <row r="13163" spans="1:100">
      <c r="A13163" s="374"/>
      <c r="C13163" s="374"/>
      <c r="CV13163" s="376"/>
    </row>
    <row r="13164" spans="1:100">
      <c r="A13164" s="374"/>
      <c r="C13164" s="374"/>
      <c r="CV13164" s="376"/>
    </row>
    <row r="13165" spans="1:100">
      <c r="A13165" s="374"/>
      <c r="C13165" s="374"/>
      <c r="CV13165" s="376"/>
    </row>
    <row r="13166" spans="1:100">
      <c r="A13166" s="374"/>
      <c r="C13166" s="374"/>
      <c r="CV13166" s="376"/>
    </row>
    <row r="13167" spans="1:100">
      <c r="A13167" s="374"/>
      <c r="C13167" s="374"/>
      <c r="CV13167" s="376"/>
    </row>
    <row r="13168" spans="1:100">
      <c r="A13168" s="374"/>
      <c r="C13168" s="374"/>
      <c r="CV13168" s="376"/>
    </row>
    <row r="13169" spans="1:100">
      <c r="A13169" s="374"/>
      <c r="C13169" s="374"/>
      <c r="CV13169" s="376"/>
    </row>
    <row r="13170" spans="1:100">
      <c r="A13170" s="374"/>
      <c r="C13170" s="374"/>
      <c r="CV13170" s="376"/>
    </row>
    <row r="13171" spans="1:100">
      <c r="A13171" s="374"/>
      <c r="C13171" s="374"/>
      <c r="CV13171" s="376"/>
    </row>
    <row r="13172" spans="1:100">
      <c r="A13172" s="374"/>
      <c r="C13172" s="374"/>
      <c r="CV13172" s="376"/>
    </row>
    <row r="13173" spans="1:100">
      <c r="A13173" s="374"/>
      <c r="C13173" s="374"/>
      <c r="CV13173" s="376"/>
    </row>
    <row r="13174" spans="1:100">
      <c r="A13174" s="374"/>
      <c r="C13174" s="374"/>
      <c r="CV13174" s="376"/>
    </row>
    <row r="13175" spans="1:100">
      <c r="A13175" s="374"/>
      <c r="C13175" s="374"/>
      <c r="CV13175" s="376"/>
    </row>
    <row r="13176" spans="1:100">
      <c r="A13176" s="374"/>
      <c r="C13176" s="374"/>
      <c r="CV13176" s="376"/>
    </row>
    <row r="13177" spans="1:100">
      <c r="A13177" s="374"/>
      <c r="C13177" s="374"/>
      <c r="CV13177" s="376"/>
    </row>
    <row r="13178" spans="1:100">
      <c r="A13178" s="374"/>
      <c r="C13178" s="374"/>
      <c r="CV13178" s="376"/>
    </row>
    <row r="13179" spans="1:100">
      <c r="A13179" s="374"/>
      <c r="C13179" s="374"/>
      <c r="CV13179" s="376"/>
    </row>
    <row r="13180" spans="1:100">
      <c r="A13180" s="374"/>
      <c r="C13180" s="374"/>
      <c r="CV13180" s="376"/>
    </row>
    <row r="13181" spans="1:100">
      <c r="A13181" s="374"/>
      <c r="C13181" s="374"/>
      <c r="CV13181" s="376"/>
    </row>
    <row r="13182" spans="1:100">
      <c r="A13182" s="374"/>
      <c r="C13182" s="374"/>
      <c r="CV13182" s="376"/>
    </row>
    <row r="13183" spans="1:100">
      <c r="A13183" s="374"/>
      <c r="C13183" s="374"/>
      <c r="CV13183" s="376"/>
    </row>
    <row r="13184" spans="1:100">
      <c r="A13184" s="374"/>
      <c r="C13184" s="374"/>
      <c r="CV13184" s="376"/>
    </row>
    <row r="13185" spans="1:100">
      <c r="A13185" s="374"/>
      <c r="C13185" s="374"/>
      <c r="CV13185" s="376"/>
    </row>
    <row r="13186" spans="1:100">
      <c r="A13186" s="374"/>
      <c r="C13186" s="374"/>
      <c r="CV13186" s="376"/>
    </row>
    <row r="13187" spans="1:100">
      <c r="A13187" s="374"/>
      <c r="C13187" s="374"/>
      <c r="CV13187" s="376"/>
    </row>
    <row r="13188" spans="1:100">
      <c r="A13188" s="374"/>
      <c r="C13188" s="374"/>
      <c r="CV13188" s="376"/>
    </row>
    <row r="13189" spans="1:100">
      <c r="A13189" s="374"/>
      <c r="C13189" s="374"/>
      <c r="CV13189" s="376"/>
    </row>
    <row r="13190" spans="1:100">
      <c r="A13190" s="374"/>
      <c r="C13190" s="374"/>
      <c r="CV13190" s="376"/>
    </row>
    <row r="13191" spans="1:100">
      <c r="A13191" s="374"/>
      <c r="C13191" s="374"/>
      <c r="CV13191" s="376"/>
    </row>
    <row r="13192" spans="1:100">
      <c r="A13192" s="374"/>
      <c r="C13192" s="374"/>
      <c r="CV13192" s="376"/>
    </row>
    <row r="13193" spans="1:100">
      <c r="A13193" s="374"/>
      <c r="C13193" s="374"/>
      <c r="CV13193" s="376"/>
    </row>
    <row r="13194" spans="1:100">
      <c r="A13194" s="374"/>
      <c r="C13194" s="374"/>
      <c r="CV13194" s="376"/>
    </row>
    <row r="13195" spans="1:100">
      <c r="A13195" s="374"/>
      <c r="C13195" s="374"/>
      <c r="CV13195" s="376"/>
    </row>
    <row r="13196" spans="1:100">
      <c r="A13196" s="374"/>
      <c r="C13196" s="374"/>
      <c r="CV13196" s="376"/>
    </row>
    <row r="13197" spans="1:100">
      <c r="A13197" s="374"/>
      <c r="C13197" s="374"/>
      <c r="CV13197" s="376"/>
    </row>
    <row r="13198" spans="1:100">
      <c r="A13198" s="374"/>
      <c r="C13198" s="374"/>
      <c r="CV13198" s="376"/>
    </row>
    <row r="13199" spans="1:100">
      <c r="A13199" s="374"/>
      <c r="C13199" s="374"/>
      <c r="CV13199" s="376"/>
    </row>
    <row r="13200" spans="1:100">
      <c r="A13200" s="374"/>
      <c r="C13200" s="374"/>
      <c r="CV13200" s="376"/>
    </row>
    <row r="13201" spans="1:100">
      <c r="A13201" s="374"/>
      <c r="C13201" s="374"/>
      <c r="CV13201" s="376"/>
    </row>
    <row r="13202" spans="1:100">
      <c r="A13202" s="374"/>
      <c r="C13202" s="374"/>
      <c r="CV13202" s="376"/>
    </row>
    <row r="13203" spans="1:100">
      <c r="A13203" s="374"/>
      <c r="C13203" s="374"/>
      <c r="CV13203" s="376"/>
    </row>
    <row r="13204" spans="1:100">
      <c r="A13204" s="374"/>
      <c r="C13204" s="374"/>
      <c r="CV13204" s="376"/>
    </row>
    <row r="13205" spans="1:100">
      <c r="A13205" s="374"/>
      <c r="C13205" s="374"/>
      <c r="CV13205" s="376"/>
    </row>
    <row r="13206" spans="1:100">
      <c r="A13206" s="374"/>
      <c r="C13206" s="374"/>
      <c r="CV13206" s="376"/>
    </row>
    <row r="13207" spans="1:100">
      <c r="A13207" s="374"/>
      <c r="C13207" s="374"/>
      <c r="CV13207" s="376"/>
    </row>
    <row r="13208" spans="1:100">
      <c r="A13208" s="374"/>
      <c r="C13208" s="374"/>
      <c r="CV13208" s="376"/>
    </row>
    <row r="13209" spans="1:100">
      <c r="A13209" s="374"/>
      <c r="C13209" s="374"/>
      <c r="CV13209" s="376"/>
    </row>
    <row r="13210" spans="1:100">
      <c r="A13210" s="374"/>
      <c r="C13210" s="374"/>
      <c r="CV13210" s="376"/>
    </row>
    <row r="13211" spans="1:100">
      <c r="A13211" s="374"/>
      <c r="C13211" s="374"/>
      <c r="CV13211" s="376"/>
    </row>
    <row r="13212" spans="1:100">
      <c r="A13212" s="374"/>
      <c r="C13212" s="374"/>
      <c r="CV13212" s="376"/>
    </row>
    <row r="13213" spans="1:100">
      <c r="A13213" s="374"/>
      <c r="C13213" s="374"/>
      <c r="CV13213" s="376"/>
    </row>
    <row r="13214" spans="1:100">
      <c r="A13214" s="374"/>
      <c r="C13214" s="374"/>
      <c r="CV13214" s="376"/>
    </row>
    <row r="13215" spans="1:100">
      <c r="A13215" s="374"/>
      <c r="C13215" s="374"/>
      <c r="CV13215" s="376"/>
    </row>
    <row r="13216" spans="1:100">
      <c r="A13216" s="374"/>
      <c r="C13216" s="374"/>
      <c r="CV13216" s="376"/>
    </row>
    <row r="13217" spans="1:100">
      <c r="A13217" s="374"/>
      <c r="C13217" s="374"/>
      <c r="CV13217" s="376"/>
    </row>
    <row r="13218" spans="1:100">
      <c r="A13218" s="374"/>
      <c r="C13218" s="374"/>
      <c r="CV13218" s="376"/>
    </row>
    <row r="13219" spans="1:100">
      <c r="A13219" s="374"/>
      <c r="C13219" s="374"/>
      <c r="CV13219" s="376"/>
    </row>
    <row r="13220" spans="1:100">
      <c r="A13220" s="374"/>
      <c r="C13220" s="374"/>
      <c r="CV13220" s="376"/>
    </row>
    <row r="13221" spans="1:100">
      <c r="A13221" s="374"/>
      <c r="C13221" s="374"/>
      <c r="CV13221" s="376"/>
    </row>
    <row r="13222" spans="1:100">
      <c r="A13222" s="374"/>
      <c r="C13222" s="374"/>
      <c r="CV13222" s="376"/>
    </row>
    <row r="13223" spans="1:100">
      <c r="A13223" s="374"/>
      <c r="C13223" s="374"/>
      <c r="CV13223" s="376"/>
    </row>
    <row r="13224" spans="1:100">
      <c r="A13224" s="374"/>
      <c r="C13224" s="374"/>
      <c r="CV13224" s="376"/>
    </row>
    <row r="13225" spans="1:100">
      <c r="A13225" s="374"/>
      <c r="C13225" s="374"/>
      <c r="CV13225" s="376"/>
    </row>
    <row r="13226" spans="1:100">
      <c r="A13226" s="374"/>
      <c r="C13226" s="374"/>
      <c r="CV13226" s="376"/>
    </row>
    <row r="13227" spans="1:100">
      <c r="A13227" s="374"/>
      <c r="C13227" s="374"/>
      <c r="CV13227" s="376"/>
    </row>
    <row r="13228" spans="1:100">
      <c r="A13228" s="374"/>
      <c r="C13228" s="374"/>
      <c r="CV13228" s="376"/>
    </row>
    <row r="13229" spans="1:100">
      <c r="A13229" s="374"/>
      <c r="C13229" s="374"/>
      <c r="CV13229" s="376"/>
    </row>
    <row r="13230" spans="1:100">
      <c r="A13230" s="374"/>
      <c r="C13230" s="374"/>
      <c r="CV13230" s="376"/>
    </row>
    <row r="13231" spans="1:100">
      <c r="A13231" s="374"/>
      <c r="C13231" s="374"/>
      <c r="CV13231" s="376"/>
    </row>
    <row r="13232" spans="1:100">
      <c r="A13232" s="374"/>
      <c r="C13232" s="374"/>
      <c r="CV13232" s="376"/>
    </row>
    <row r="13233" spans="1:100">
      <c r="A13233" s="374"/>
      <c r="C13233" s="374"/>
      <c r="CV13233" s="376"/>
    </row>
    <row r="13234" spans="1:100">
      <c r="A13234" s="374"/>
      <c r="C13234" s="374"/>
      <c r="CV13234" s="376"/>
    </row>
    <row r="13235" spans="1:100">
      <c r="A13235" s="374"/>
      <c r="C13235" s="374"/>
      <c r="CV13235" s="376"/>
    </row>
    <row r="13236" spans="1:100">
      <c r="A13236" s="374"/>
      <c r="C13236" s="374"/>
      <c r="CV13236" s="376"/>
    </row>
    <row r="13237" spans="1:100">
      <c r="A13237" s="374"/>
      <c r="C13237" s="374"/>
      <c r="CV13237" s="376"/>
    </row>
    <row r="13238" spans="1:100">
      <c r="A13238" s="374"/>
      <c r="C13238" s="374"/>
      <c r="CV13238" s="376"/>
    </row>
    <row r="13239" spans="1:100">
      <c r="A13239" s="374"/>
      <c r="C13239" s="374"/>
      <c r="CV13239" s="376"/>
    </row>
    <row r="13240" spans="1:100">
      <c r="A13240" s="374"/>
      <c r="C13240" s="374"/>
      <c r="CV13240" s="376"/>
    </row>
    <row r="13241" spans="1:100">
      <c r="A13241" s="374"/>
      <c r="C13241" s="374"/>
      <c r="CV13241" s="376"/>
    </row>
    <row r="13242" spans="1:100">
      <c r="A13242" s="374"/>
      <c r="C13242" s="374"/>
      <c r="CV13242" s="376"/>
    </row>
    <row r="13243" spans="1:100">
      <c r="A13243" s="374"/>
      <c r="C13243" s="374"/>
      <c r="CV13243" s="376"/>
    </row>
    <row r="13244" spans="1:100">
      <c r="A13244" s="374"/>
      <c r="C13244" s="374"/>
      <c r="CV13244" s="376"/>
    </row>
    <row r="13245" spans="1:100">
      <c r="A13245" s="374"/>
      <c r="C13245" s="374"/>
      <c r="CV13245" s="376"/>
    </row>
    <row r="13246" spans="1:100">
      <c r="A13246" s="374"/>
      <c r="C13246" s="374"/>
      <c r="CV13246" s="376"/>
    </row>
    <row r="13247" spans="1:100">
      <c r="A13247" s="374"/>
      <c r="C13247" s="374"/>
      <c r="CV13247" s="376"/>
    </row>
    <row r="13248" spans="1:100">
      <c r="A13248" s="374"/>
      <c r="C13248" s="374"/>
      <c r="CV13248" s="376"/>
    </row>
    <row r="13249" spans="1:100">
      <c r="A13249" s="374"/>
      <c r="C13249" s="374"/>
      <c r="CV13249" s="376"/>
    </row>
    <row r="13250" spans="1:100">
      <c r="A13250" s="374"/>
      <c r="C13250" s="374"/>
      <c r="CV13250" s="376"/>
    </row>
    <row r="13251" spans="1:100">
      <c r="A13251" s="374"/>
      <c r="C13251" s="374"/>
      <c r="CV13251" s="376"/>
    </row>
    <row r="13252" spans="1:100">
      <c r="A13252" s="374"/>
      <c r="C13252" s="374"/>
      <c r="CV13252" s="376"/>
    </row>
    <row r="13253" spans="1:100">
      <c r="A13253" s="374"/>
      <c r="C13253" s="374"/>
      <c r="CV13253" s="376"/>
    </row>
    <row r="13254" spans="1:100">
      <c r="A13254" s="374"/>
      <c r="C13254" s="374"/>
      <c r="CV13254" s="376"/>
    </row>
    <row r="13255" spans="1:100">
      <c r="A13255" s="374"/>
      <c r="C13255" s="374"/>
      <c r="CV13255" s="376"/>
    </row>
    <row r="13256" spans="1:100">
      <c r="A13256" s="374"/>
      <c r="C13256" s="374"/>
      <c r="CV13256" s="376"/>
    </row>
    <row r="13257" spans="1:100">
      <c r="A13257" s="374"/>
      <c r="C13257" s="374"/>
      <c r="CV13257" s="376"/>
    </row>
    <row r="13258" spans="1:100">
      <c r="A13258" s="374"/>
      <c r="C13258" s="374"/>
      <c r="CV13258" s="376"/>
    </row>
    <row r="13259" spans="1:100">
      <c r="A13259" s="374"/>
      <c r="C13259" s="374"/>
      <c r="CV13259" s="376"/>
    </row>
    <row r="13260" spans="1:100">
      <c r="A13260" s="374"/>
      <c r="C13260" s="374"/>
      <c r="CV13260" s="376"/>
    </row>
    <row r="13261" spans="1:100">
      <c r="A13261" s="374"/>
      <c r="C13261" s="374"/>
      <c r="CV13261" s="376"/>
    </row>
    <row r="13262" spans="1:100">
      <c r="A13262" s="374"/>
      <c r="C13262" s="374"/>
      <c r="CV13262" s="376"/>
    </row>
    <row r="13263" spans="1:100">
      <c r="A13263" s="374"/>
      <c r="C13263" s="374"/>
      <c r="CV13263" s="376"/>
    </row>
    <row r="13264" spans="1:100">
      <c r="A13264" s="374"/>
      <c r="C13264" s="374"/>
      <c r="CV13264" s="376"/>
    </row>
    <row r="13265" spans="1:100">
      <c r="A13265" s="374"/>
      <c r="C13265" s="374"/>
      <c r="CV13265" s="376"/>
    </row>
    <row r="13266" spans="1:100">
      <c r="A13266" s="374"/>
      <c r="C13266" s="374"/>
      <c r="CV13266" s="376"/>
    </row>
    <row r="13267" spans="1:100">
      <c r="A13267" s="374"/>
      <c r="C13267" s="374"/>
      <c r="CV13267" s="376"/>
    </row>
    <row r="13268" spans="1:100">
      <c r="A13268" s="374"/>
      <c r="C13268" s="374"/>
      <c r="CV13268" s="376"/>
    </row>
    <row r="13269" spans="1:100">
      <c r="A13269" s="374"/>
      <c r="C13269" s="374"/>
      <c r="CV13269" s="376"/>
    </row>
    <row r="13270" spans="1:100">
      <c r="A13270" s="374"/>
      <c r="C13270" s="374"/>
      <c r="CV13270" s="376"/>
    </row>
    <row r="13271" spans="1:100">
      <c r="A13271" s="374"/>
      <c r="C13271" s="374"/>
      <c r="CV13271" s="376"/>
    </row>
    <row r="13272" spans="1:100">
      <c r="A13272" s="374"/>
      <c r="C13272" s="374"/>
      <c r="CV13272" s="376"/>
    </row>
    <row r="13273" spans="1:100">
      <c r="A13273" s="374"/>
      <c r="C13273" s="374"/>
      <c r="CV13273" s="376"/>
    </row>
    <row r="13274" spans="1:100">
      <c r="A13274" s="374"/>
      <c r="C13274" s="374"/>
      <c r="CV13274" s="376"/>
    </row>
    <row r="13275" spans="1:100">
      <c r="A13275" s="374"/>
      <c r="C13275" s="374"/>
      <c r="CV13275" s="376"/>
    </row>
    <row r="13276" spans="1:100">
      <c r="A13276" s="374"/>
      <c r="C13276" s="374"/>
      <c r="CV13276" s="376"/>
    </row>
    <row r="13277" spans="1:100">
      <c r="A13277" s="374"/>
      <c r="C13277" s="374"/>
      <c r="CV13277" s="376"/>
    </row>
    <row r="13278" spans="1:100">
      <c r="A13278" s="374"/>
      <c r="C13278" s="374"/>
      <c r="CV13278" s="376"/>
    </row>
    <row r="13279" spans="1:100">
      <c r="A13279" s="374"/>
      <c r="C13279" s="374"/>
      <c r="CV13279" s="376"/>
    </row>
    <row r="13280" spans="1:100">
      <c r="A13280" s="374"/>
      <c r="C13280" s="374"/>
      <c r="CV13280" s="376"/>
    </row>
    <row r="13281" spans="1:100">
      <c r="A13281" s="374"/>
      <c r="C13281" s="374"/>
      <c r="CV13281" s="376"/>
    </row>
    <row r="13282" spans="1:100">
      <c r="A13282" s="374"/>
      <c r="C13282" s="374"/>
      <c r="CV13282" s="376"/>
    </row>
    <row r="13283" spans="1:100">
      <c r="A13283" s="374"/>
      <c r="C13283" s="374"/>
      <c r="CV13283" s="376"/>
    </row>
    <row r="13284" spans="1:100">
      <c r="A13284" s="374"/>
      <c r="C13284" s="374"/>
      <c r="CV13284" s="376"/>
    </row>
    <row r="13285" spans="1:100">
      <c r="A13285" s="374"/>
      <c r="C13285" s="374"/>
      <c r="CV13285" s="376"/>
    </row>
    <row r="13286" spans="1:100">
      <c r="A13286" s="374"/>
      <c r="C13286" s="374"/>
      <c r="CV13286" s="376"/>
    </row>
    <row r="13287" spans="1:100">
      <c r="A13287" s="374"/>
      <c r="C13287" s="374"/>
      <c r="CV13287" s="376"/>
    </row>
    <row r="13288" spans="1:100">
      <c r="A13288" s="374"/>
      <c r="C13288" s="374"/>
      <c r="CV13288" s="376"/>
    </row>
    <row r="13289" spans="1:100">
      <c r="A13289" s="374"/>
      <c r="C13289" s="374"/>
      <c r="CV13289" s="376"/>
    </row>
    <row r="13290" spans="1:100">
      <c r="A13290" s="374"/>
      <c r="C13290" s="374"/>
      <c r="CV13290" s="376"/>
    </row>
    <row r="13291" spans="1:100">
      <c r="A13291" s="374"/>
      <c r="C13291" s="374"/>
      <c r="CV13291" s="376"/>
    </row>
    <row r="13292" spans="1:100">
      <c r="A13292" s="374"/>
      <c r="C13292" s="374"/>
      <c r="CV13292" s="376"/>
    </row>
    <row r="13293" spans="1:100">
      <c r="A13293" s="374"/>
      <c r="C13293" s="374"/>
      <c r="CV13293" s="376"/>
    </row>
    <row r="13294" spans="1:100">
      <c r="A13294" s="374"/>
      <c r="C13294" s="374"/>
      <c r="CV13294" s="376"/>
    </row>
    <row r="13295" spans="1:100">
      <c r="A13295" s="374"/>
      <c r="C13295" s="374"/>
      <c r="CV13295" s="376"/>
    </row>
    <row r="13296" spans="1:100">
      <c r="A13296" s="374"/>
      <c r="C13296" s="374"/>
      <c r="CV13296" s="376"/>
    </row>
    <row r="13297" spans="1:100">
      <c r="A13297" s="374"/>
      <c r="C13297" s="374"/>
      <c r="CV13297" s="376"/>
    </row>
    <row r="13298" spans="1:100">
      <c r="A13298" s="374"/>
      <c r="C13298" s="374"/>
      <c r="CV13298" s="376"/>
    </row>
    <row r="13299" spans="1:100">
      <c r="A13299" s="374"/>
      <c r="C13299" s="374"/>
      <c r="CV13299" s="376"/>
    </row>
    <row r="13300" spans="1:100">
      <c r="A13300" s="374"/>
      <c r="C13300" s="374"/>
      <c r="CV13300" s="376"/>
    </row>
    <row r="13301" spans="1:100">
      <c r="A13301" s="374"/>
      <c r="C13301" s="374"/>
      <c r="CV13301" s="376"/>
    </row>
    <row r="13302" spans="1:100">
      <c r="A13302" s="374"/>
      <c r="C13302" s="374"/>
      <c r="CV13302" s="376"/>
    </row>
    <row r="13303" spans="1:100">
      <c r="A13303" s="374"/>
      <c r="C13303" s="374"/>
      <c r="CV13303" s="376"/>
    </row>
    <row r="13304" spans="1:100">
      <c r="A13304" s="374"/>
      <c r="C13304" s="374"/>
      <c r="CV13304" s="376"/>
    </row>
    <row r="13305" spans="1:100">
      <c r="A13305" s="374"/>
      <c r="C13305" s="374"/>
      <c r="CV13305" s="376"/>
    </row>
    <row r="13306" spans="1:100">
      <c r="A13306" s="374"/>
      <c r="C13306" s="374"/>
      <c r="CV13306" s="376"/>
    </row>
    <row r="13307" spans="1:100">
      <c r="A13307" s="374"/>
      <c r="C13307" s="374"/>
      <c r="CV13307" s="376"/>
    </row>
    <row r="13308" spans="1:100">
      <c r="A13308" s="374"/>
      <c r="C13308" s="374"/>
      <c r="CV13308" s="376"/>
    </row>
    <row r="13309" spans="1:100">
      <c r="A13309" s="374"/>
      <c r="C13309" s="374"/>
      <c r="CV13309" s="376"/>
    </row>
    <row r="13310" spans="1:100">
      <c r="A13310" s="374"/>
      <c r="C13310" s="374"/>
      <c r="CV13310" s="376"/>
    </row>
    <row r="13311" spans="1:100">
      <c r="A13311" s="374"/>
      <c r="C13311" s="374"/>
      <c r="CV13311" s="376"/>
    </row>
    <row r="13312" spans="1:100">
      <c r="A13312" s="374"/>
      <c r="C13312" s="374"/>
      <c r="CV13312" s="376"/>
    </row>
    <row r="13313" spans="1:100">
      <c r="A13313" s="374"/>
      <c r="C13313" s="374"/>
      <c r="CV13313" s="376"/>
    </row>
    <row r="13314" spans="1:100">
      <c r="A13314" s="374"/>
      <c r="C13314" s="374"/>
      <c r="CV13314" s="376"/>
    </row>
    <row r="13315" spans="1:100">
      <c r="A13315" s="374"/>
      <c r="C13315" s="374"/>
      <c r="CV13315" s="376"/>
    </row>
    <row r="13316" spans="1:100">
      <c r="A13316" s="374"/>
      <c r="C13316" s="374"/>
      <c r="CV13316" s="376"/>
    </row>
    <row r="13317" spans="1:100">
      <c r="A13317" s="374"/>
      <c r="C13317" s="374"/>
      <c r="CV13317" s="376"/>
    </row>
    <row r="13318" spans="1:100">
      <c r="A13318" s="374"/>
      <c r="C13318" s="374"/>
      <c r="CV13318" s="376"/>
    </row>
    <row r="13319" spans="1:100">
      <c r="A13319" s="374"/>
      <c r="C13319" s="374"/>
      <c r="CV13319" s="376"/>
    </row>
    <row r="13320" spans="1:100">
      <c r="A13320" s="374"/>
      <c r="C13320" s="374"/>
      <c r="CV13320" s="376"/>
    </row>
    <row r="13321" spans="1:100">
      <c r="A13321" s="374"/>
      <c r="C13321" s="374"/>
      <c r="CV13321" s="376"/>
    </row>
    <row r="13322" spans="1:100">
      <c r="A13322" s="374"/>
      <c r="C13322" s="374"/>
      <c r="CV13322" s="376"/>
    </row>
    <row r="13323" spans="1:100">
      <c r="A13323" s="374"/>
      <c r="C13323" s="374"/>
      <c r="CV13323" s="376"/>
    </row>
    <row r="13324" spans="1:100">
      <c r="A13324" s="374"/>
      <c r="C13324" s="374"/>
      <c r="CV13324" s="376"/>
    </row>
    <row r="13325" spans="1:100">
      <c r="A13325" s="374"/>
      <c r="C13325" s="374"/>
      <c r="CV13325" s="376"/>
    </row>
    <row r="13326" spans="1:100">
      <c r="A13326" s="374"/>
      <c r="C13326" s="374"/>
      <c r="CV13326" s="376"/>
    </row>
    <row r="13327" spans="1:100">
      <c r="A13327" s="374"/>
      <c r="C13327" s="374"/>
      <c r="CV13327" s="376"/>
    </row>
    <row r="13328" spans="1:100">
      <c r="A13328" s="374"/>
      <c r="C13328" s="374"/>
      <c r="CV13328" s="376"/>
    </row>
    <row r="13329" spans="1:100">
      <c r="A13329" s="374"/>
      <c r="C13329" s="374"/>
      <c r="CV13329" s="376"/>
    </row>
    <row r="13330" spans="1:100">
      <c r="A13330" s="374"/>
      <c r="C13330" s="374"/>
      <c r="CV13330" s="376"/>
    </row>
    <row r="13331" spans="1:100">
      <c r="A13331" s="374"/>
      <c r="C13331" s="374"/>
      <c r="CV13331" s="376"/>
    </row>
    <row r="13332" spans="1:100">
      <c r="A13332" s="374"/>
      <c r="C13332" s="374"/>
      <c r="CV13332" s="376"/>
    </row>
    <row r="13333" spans="1:100">
      <c r="A13333" s="374"/>
      <c r="C13333" s="374"/>
      <c r="CV13333" s="376"/>
    </row>
    <row r="13334" spans="1:100">
      <c r="A13334" s="374"/>
      <c r="C13334" s="374"/>
      <c r="CV13334" s="376"/>
    </row>
    <row r="13335" spans="1:100">
      <c r="A13335" s="374"/>
      <c r="C13335" s="374"/>
      <c r="CV13335" s="376"/>
    </row>
    <row r="13336" spans="1:100">
      <c r="A13336" s="374"/>
      <c r="C13336" s="374"/>
      <c r="CV13336" s="376"/>
    </row>
    <row r="13337" spans="1:100">
      <c r="A13337" s="374"/>
      <c r="C13337" s="374"/>
      <c r="CV13337" s="376"/>
    </row>
    <row r="13338" spans="1:100">
      <c r="A13338" s="374"/>
      <c r="C13338" s="374"/>
      <c r="CV13338" s="376"/>
    </row>
    <row r="13339" spans="1:100">
      <c r="A13339" s="374"/>
      <c r="C13339" s="374"/>
      <c r="CV13339" s="376"/>
    </row>
    <row r="13340" spans="1:100">
      <c r="A13340" s="374"/>
      <c r="C13340" s="374"/>
      <c r="CV13340" s="376"/>
    </row>
    <row r="13341" spans="1:100">
      <c r="A13341" s="374"/>
      <c r="C13341" s="374"/>
      <c r="CV13341" s="376"/>
    </row>
    <row r="13342" spans="1:100">
      <c r="A13342" s="374"/>
      <c r="C13342" s="374"/>
      <c r="CV13342" s="376"/>
    </row>
    <row r="13343" spans="1:100">
      <c r="A13343" s="374"/>
      <c r="C13343" s="374"/>
      <c r="CV13343" s="376"/>
    </row>
    <row r="13344" spans="1:100">
      <c r="A13344" s="374"/>
      <c r="C13344" s="374"/>
      <c r="CV13344" s="376"/>
    </row>
    <row r="13345" spans="1:100">
      <c r="A13345" s="374"/>
      <c r="C13345" s="374"/>
      <c r="CV13345" s="376"/>
    </row>
    <row r="13346" spans="1:100">
      <c r="A13346" s="374"/>
      <c r="C13346" s="374"/>
      <c r="CV13346" s="376"/>
    </row>
    <row r="13347" spans="1:100">
      <c r="A13347" s="374"/>
      <c r="C13347" s="374"/>
      <c r="CV13347" s="376"/>
    </row>
    <row r="13348" spans="1:100">
      <c r="A13348" s="374"/>
      <c r="C13348" s="374"/>
      <c r="CV13348" s="376"/>
    </row>
    <row r="13349" spans="1:100">
      <c r="A13349" s="374"/>
      <c r="C13349" s="374"/>
      <c r="CV13349" s="376"/>
    </row>
    <row r="13350" spans="1:100">
      <c r="A13350" s="374"/>
      <c r="C13350" s="374"/>
      <c r="CV13350" s="376"/>
    </row>
    <row r="13351" spans="1:100">
      <c r="A13351" s="374"/>
      <c r="C13351" s="374"/>
      <c r="CV13351" s="376"/>
    </row>
    <row r="13352" spans="1:100">
      <c r="A13352" s="374"/>
      <c r="C13352" s="374"/>
      <c r="CV13352" s="376"/>
    </row>
    <row r="13353" spans="1:100">
      <c r="A13353" s="374"/>
      <c r="C13353" s="374"/>
      <c r="CV13353" s="376"/>
    </row>
    <row r="13354" spans="1:100">
      <c r="A13354" s="374"/>
      <c r="C13354" s="374"/>
      <c r="CV13354" s="376"/>
    </row>
    <row r="13355" spans="1:100">
      <c r="A13355" s="374"/>
      <c r="C13355" s="374"/>
      <c r="CV13355" s="376"/>
    </row>
    <row r="13356" spans="1:100">
      <c r="A13356" s="374"/>
      <c r="C13356" s="374"/>
      <c r="CV13356" s="376"/>
    </row>
    <row r="13357" spans="1:100">
      <c r="A13357" s="374"/>
      <c r="C13357" s="374"/>
      <c r="CV13357" s="376"/>
    </row>
    <row r="13358" spans="1:100">
      <c r="A13358" s="374"/>
      <c r="C13358" s="374"/>
      <c r="CV13358" s="376"/>
    </row>
    <row r="13359" spans="1:100">
      <c r="A13359" s="374"/>
      <c r="C13359" s="374"/>
      <c r="CV13359" s="376"/>
    </row>
    <row r="13360" spans="1:100">
      <c r="A13360" s="374"/>
      <c r="C13360" s="374"/>
      <c r="CV13360" s="376"/>
    </row>
    <row r="13361" spans="1:100">
      <c r="A13361" s="374"/>
      <c r="C13361" s="374"/>
      <c r="CV13361" s="376"/>
    </row>
    <row r="13362" spans="1:100">
      <c r="A13362" s="374"/>
      <c r="C13362" s="374"/>
      <c r="CV13362" s="376"/>
    </row>
    <row r="13363" spans="1:100">
      <c r="A13363" s="374"/>
      <c r="C13363" s="374"/>
      <c r="CV13363" s="376"/>
    </row>
    <row r="13364" spans="1:100">
      <c r="A13364" s="374"/>
      <c r="C13364" s="374"/>
      <c r="CV13364" s="376"/>
    </row>
    <row r="13365" spans="1:100">
      <c r="A13365" s="374"/>
      <c r="C13365" s="374"/>
      <c r="CV13365" s="376"/>
    </row>
    <row r="13366" spans="1:100">
      <c r="A13366" s="374"/>
      <c r="C13366" s="374"/>
      <c r="CV13366" s="376"/>
    </row>
    <row r="13367" spans="1:100">
      <c r="A13367" s="374"/>
      <c r="C13367" s="374"/>
      <c r="CV13367" s="376"/>
    </row>
    <row r="13368" spans="1:100">
      <c r="A13368" s="374"/>
      <c r="C13368" s="374"/>
      <c r="CV13368" s="376"/>
    </row>
    <row r="13369" spans="1:100">
      <c r="A13369" s="374"/>
      <c r="C13369" s="374"/>
      <c r="CV13369" s="376"/>
    </row>
    <row r="13370" spans="1:100">
      <c r="A13370" s="374"/>
      <c r="C13370" s="374"/>
      <c r="CV13370" s="376"/>
    </row>
    <row r="13371" spans="1:100">
      <c r="A13371" s="374"/>
      <c r="C13371" s="374"/>
      <c r="CV13371" s="376"/>
    </row>
    <row r="13372" spans="1:100">
      <c r="A13372" s="374"/>
      <c r="C13372" s="374"/>
      <c r="CV13372" s="376"/>
    </row>
    <row r="13373" spans="1:100">
      <c r="A13373" s="374"/>
      <c r="C13373" s="374"/>
      <c r="CV13373" s="376"/>
    </row>
    <row r="13374" spans="1:100">
      <c r="A13374" s="374"/>
      <c r="C13374" s="374"/>
      <c r="CV13374" s="376"/>
    </row>
    <row r="13375" spans="1:100">
      <c r="A13375" s="374"/>
      <c r="C13375" s="374"/>
      <c r="CV13375" s="376"/>
    </row>
    <row r="13376" spans="1:100">
      <c r="A13376" s="374"/>
      <c r="C13376" s="374"/>
      <c r="CV13376" s="376"/>
    </row>
    <row r="13377" spans="1:100">
      <c r="A13377" s="374"/>
      <c r="C13377" s="374"/>
      <c r="CV13377" s="376"/>
    </row>
    <row r="13378" spans="1:100">
      <c r="A13378" s="374"/>
      <c r="C13378" s="374"/>
      <c r="CV13378" s="376"/>
    </row>
    <row r="13379" spans="1:100">
      <c r="A13379" s="374"/>
      <c r="C13379" s="374"/>
      <c r="CV13379" s="376"/>
    </row>
    <row r="13380" spans="1:100">
      <c r="A13380" s="374"/>
      <c r="C13380" s="374"/>
      <c r="CV13380" s="376"/>
    </row>
    <row r="13381" spans="1:100">
      <c r="A13381" s="374"/>
      <c r="C13381" s="374"/>
      <c r="CV13381" s="376"/>
    </row>
    <row r="13382" spans="1:100">
      <c r="A13382" s="374"/>
      <c r="C13382" s="374"/>
      <c r="CV13382" s="376"/>
    </row>
    <row r="13383" spans="1:100">
      <c r="A13383" s="374"/>
      <c r="C13383" s="374"/>
      <c r="CV13383" s="376"/>
    </row>
    <row r="13384" spans="1:100">
      <c r="A13384" s="374"/>
      <c r="C13384" s="374"/>
      <c r="CV13384" s="376"/>
    </row>
    <row r="13385" spans="1:100">
      <c r="A13385" s="374"/>
      <c r="C13385" s="374"/>
      <c r="CV13385" s="376"/>
    </row>
    <row r="13386" spans="1:100">
      <c r="A13386" s="374"/>
      <c r="C13386" s="374"/>
      <c r="CV13386" s="376"/>
    </row>
    <row r="13387" spans="1:100">
      <c r="A13387" s="374"/>
      <c r="C13387" s="374"/>
      <c r="CV13387" s="376"/>
    </row>
    <row r="13388" spans="1:100">
      <c r="A13388" s="374"/>
      <c r="C13388" s="374"/>
      <c r="CV13388" s="376"/>
    </row>
    <row r="13389" spans="1:100">
      <c r="A13389" s="374"/>
      <c r="C13389" s="374"/>
      <c r="CV13389" s="376"/>
    </row>
    <row r="13390" spans="1:100">
      <c r="A13390" s="374"/>
      <c r="C13390" s="374"/>
      <c r="CV13390" s="376"/>
    </row>
    <row r="13391" spans="1:100">
      <c r="A13391" s="374"/>
      <c r="C13391" s="374"/>
      <c r="CV13391" s="376"/>
    </row>
    <row r="13392" spans="1:100">
      <c r="A13392" s="374"/>
      <c r="C13392" s="374"/>
      <c r="CV13392" s="376"/>
    </row>
    <row r="13393" spans="1:100">
      <c r="A13393" s="374"/>
      <c r="C13393" s="374"/>
      <c r="CV13393" s="376"/>
    </row>
    <row r="13394" spans="1:100">
      <c r="A13394" s="374"/>
      <c r="C13394" s="374"/>
      <c r="CV13394" s="376"/>
    </row>
    <row r="13395" spans="1:100">
      <c r="A13395" s="374"/>
      <c r="C13395" s="374"/>
      <c r="CV13395" s="376"/>
    </row>
    <row r="13396" spans="1:100">
      <c r="A13396" s="374"/>
      <c r="C13396" s="374"/>
      <c r="CV13396" s="376"/>
    </row>
    <row r="13397" spans="1:100">
      <c r="A13397" s="374"/>
      <c r="C13397" s="374"/>
      <c r="CV13397" s="376"/>
    </row>
    <row r="13398" spans="1:100">
      <c r="A13398" s="374"/>
      <c r="C13398" s="374"/>
      <c r="CV13398" s="376"/>
    </row>
    <row r="13399" spans="1:100">
      <c r="A13399" s="374"/>
      <c r="C13399" s="374"/>
      <c r="CV13399" s="376"/>
    </row>
    <row r="13400" spans="1:100">
      <c r="A13400" s="374"/>
      <c r="C13400" s="374"/>
      <c r="CV13400" s="376"/>
    </row>
    <row r="13401" spans="1:100">
      <c r="A13401" s="374"/>
      <c r="C13401" s="374"/>
      <c r="CV13401" s="376"/>
    </row>
    <row r="13402" spans="1:100">
      <c r="A13402" s="374"/>
      <c r="C13402" s="374"/>
      <c r="CV13402" s="376"/>
    </row>
    <row r="13403" spans="1:100">
      <c r="A13403" s="374"/>
      <c r="C13403" s="374"/>
      <c r="CV13403" s="376"/>
    </row>
    <row r="13404" spans="1:100">
      <c r="A13404" s="374"/>
      <c r="C13404" s="374"/>
      <c r="CV13404" s="376"/>
    </row>
    <row r="13405" spans="1:100">
      <c r="A13405" s="374"/>
      <c r="C13405" s="374"/>
      <c r="CV13405" s="376"/>
    </row>
    <row r="13406" spans="1:100">
      <c r="A13406" s="374"/>
      <c r="C13406" s="374"/>
      <c r="CV13406" s="376"/>
    </row>
    <row r="13407" spans="1:100">
      <c r="A13407" s="374"/>
      <c r="C13407" s="374"/>
      <c r="CV13407" s="376"/>
    </row>
    <row r="13408" spans="1:100">
      <c r="A13408" s="374"/>
      <c r="C13408" s="374"/>
      <c r="CV13408" s="376"/>
    </row>
    <row r="13409" spans="1:100">
      <c r="A13409" s="374"/>
      <c r="C13409" s="374"/>
      <c r="CV13409" s="376"/>
    </row>
    <row r="13410" spans="1:100">
      <c r="A13410" s="374"/>
      <c r="C13410" s="374"/>
      <c r="CV13410" s="376"/>
    </row>
    <row r="13411" spans="1:100">
      <c r="A13411" s="374"/>
      <c r="C13411" s="374"/>
      <c r="CV13411" s="376"/>
    </row>
    <row r="13412" spans="1:100">
      <c r="A13412" s="374"/>
      <c r="C13412" s="374"/>
      <c r="CV13412" s="376"/>
    </row>
    <row r="13413" spans="1:100">
      <c r="A13413" s="374"/>
      <c r="C13413" s="374"/>
      <c r="CV13413" s="376"/>
    </row>
    <row r="13414" spans="1:100">
      <c r="A13414" s="374"/>
      <c r="C13414" s="374"/>
      <c r="CV13414" s="376"/>
    </row>
    <row r="13415" spans="1:100">
      <c r="A13415" s="374"/>
      <c r="C13415" s="374"/>
      <c r="CV13415" s="376"/>
    </row>
    <row r="13416" spans="1:100">
      <c r="A13416" s="374"/>
      <c r="C13416" s="374"/>
      <c r="CV13416" s="376"/>
    </row>
    <row r="13417" spans="1:100">
      <c r="A13417" s="374"/>
      <c r="C13417" s="374"/>
      <c r="CV13417" s="376"/>
    </row>
    <row r="13418" spans="1:100">
      <c r="A13418" s="374"/>
      <c r="C13418" s="374"/>
      <c r="CV13418" s="376"/>
    </row>
    <row r="13419" spans="1:100">
      <c r="A13419" s="374"/>
      <c r="C13419" s="374"/>
      <c r="CV13419" s="376"/>
    </row>
    <row r="13420" spans="1:100">
      <c r="A13420" s="374"/>
      <c r="C13420" s="374"/>
      <c r="CV13420" s="376"/>
    </row>
    <row r="13421" spans="1:100">
      <c r="A13421" s="374"/>
      <c r="C13421" s="374"/>
      <c r="CV13421" s="376"/>
    </row>
    <row r="13422" spans="1:100">
      <c r="A13422" s="374"/>
      <c r="C13422" s="374"/>
      <c r="CV13422" s="376"/>
    </row>
    <row r="13423" spans="1:100">
      <c r="A13423" s="374"/>
      <c r="C13423" s="374"/>
      <c r="CV13423" s="376"/>
    </row>
    <row r="13424" spans="1:100">
      <c r="A13424" s="374"/>
      <c r="C13424" s="374"/>
      <c r="CV13424" s="376"/>
    </row>
    <row r="13425" spans="1:100">
      <c r="A13425" s="374"/>
      <c r="C13425" s="374"/>
      <c r="CV13425" s="376"/>
    </row>
    <row r="13426" spans="1:100">
      <c r="A13426" s="374"/>
      <c r="C13426" s="374"/>
      <c r="CV13426" s="376"/>
    </row>
    <row r="13427" spans="1:100">
      <c r="A13427" s="374"/>
      <c r="C13427" s="374"/>
      <c r="CV13427" s="376"/>
    </row>
    <row r="13428" spans="1:100">
      <c r="A13428" s="374"/>
      <c r="C13428" s="374"/>
      <c r="CV13428" s="376"/>
    </row>
    <row r="13429" spans="1:100">
      <c r="A13429" s="374"/>
      <c r="C13429" s="374"/>
      <c r="CV13429" s="376"/>
    </row>
    <row r="13430" spans="1:100">
      <c r="A13430" s="374"/>
      <c r="C13430" s="374"/>
      <c r="CV13430" s="376"/>
    </row>
    <row r="13431" spans="1:100">
      <c r="A13431" s="374"/>
      <c r="C13431" s="374"/>
      <c r="CV13431" s="376"/>
    </row>
    <row r="13432" spans="1:100">
      <c r="A13432" s="374"/>
      <c r="C13432" s="374"/>
      <c r="CV13432" s="376"/>
    </row>
    <row r="13433" spans="1:100">
      <c r="A13433" s="374"/>
      <c r="C13433" s="374"/>
      <c r="CV13433" s="376"/>
    </row>
    <row r="13434" spans="1:100">
      <c r="A13434" s="374"/>
      <c r="C13434" s="374"/>
      <c r="CV13434" s="376"/>
    </row>
    <row r="13435" spans="1:100">
      <c r="A13435" s="374"/>
      <c r="C13435" s="374"/>
      <c r="CV13435" s="376"/>
    </row>
    <row r="13436" spans="1:100">
      <c r="A13436" s="374"/>
      <c r="C13436" s="374"/>
      <c r="CV13436" s="376"/>
    </row>
    <row r="13437" spans="1:100">
      <c r="A13437" s="374"/>
      <c r="C13437" s="374"/>
      <c r="CV13437" s="376"/>
    </row>
    <row r="13438" spans="1:100">
      <c r="A13438" s="374"/>
      <c r="C13438" s="374"/>
      <c r="CV13438" s="376"/>
    </row>
    <row r="13439" spans="1:100">
      <c r="A13439" s="374"/>
      <c r="C13439" s="374"/>
      <c r="CV13439" s="376"/>
    </row>
    <row r="13440" spans="1:100">
      <c r="A13440" s="374"/>
      <c r="C13440" s="374"/>
      <c r="CV13440" s="376"/>
    </row>
    <row r="13441" spans="1:100">
      <c r="A13441" s="374"/>
      <c r="C13441" s="374"/>
      <c r="CV13441" s="376"/>
    </row>
    <row r="13442" spans="1:100">
      <c r="A13442" s="374"/>
      <c r="C13442" s="374"/>
      <c r="CV13442" s="376"/>
    </row>
    <row r="13443" spans="1:100">
      <c r="A13443" s="374"/>
      <c r="C13443" s="374"/>
      <c r="CV13443" s="376"/>
    </row>
    <row r="13444" spans="1:100">
      <c r="A13444" s="374"/>
      <c r="C13444" s="374"/>
      <c r="CV13444" s="376"/>
    </row>
    <row r="13445" spans="1:100">
      <c r="A13445" s="374"/>
      <c r="C13445" s="374"/>
      <c r="CV13445" s="376"/>
    </row>
    <row r="13446" spans="1:100">
      <c r="A13446" s="374"/>
      <c r="C13446" s="374"/>
      <c r="CV13446" s="376"/>
    </row>
    <row r="13447" spans="1:100">
      <c r="A13447" s="374"/>
      <c r="C13447" s="374"/>
      <c r="CV13447" s="376"/>
    </row>
    <row r="13448" spans="1:100">
      <c r="A13448" s="374"/>
      <c r="C13448" s="374"/>
      <c r="CV13448" s="376"/>
    </row>
    <row r="13449" spans="1:100">
      <c r="A13449" s="374"/>
      <c r="C13449" s="374"/>
      <c r="CV13449" s="376"/>
    </row>
    <row r="13450" spans="1:100">
      <c r="A13450" s="374"/>
      <c r="C13450" s="374"/>
      <c r="CV13450" s="376"/>
    </row>
    <row r="13451" spans="1:100">
      <c r="A13451" s="374"/>
      <c r="C13451" s="374"/>
      <c r="CV13451" s="376"/>
    </row>
    <row r="13452" spans="1:100">
      <c r="A13452" s="374"/>
      <c r="C13452" s="374"/>
      <c r="CV13452" s="376"/>
    </row>
    <row r="13453" spans="1:100">
      <c r="A13453" s="374"/>
      <c r="C13453" s="374"/>
      <c r="CV13453" s="376"/>
    </row>
    <row r="13454" spans="1:100">
      <c r="A13454" s="374"/>
      <c r="C13454" s="374"/>
      <c r="CV13454" s="376"/>
    </row>
    <row r="13455" spans="1:100">
      <c r="A13455" s="374"/>
      <c r="C13455" s="374"/>
      <c r="CV13455" s="376"/>
    </row>
    <row r="13456" spans="1:100">
      <c r="A13456" s="374"/>
      <c r="C13456" s="374"/>
      <c r="CV13456" s="376"/>
    </row>
    <row r="13457" spans="1:100">
      <c r="A13457" s="374"/>
      <c r="C13457" s="374"/>
      <c r="CV13457" s="376"/>
    </row>
    <row r="13458" spans="1:100">
      <c r="A13458" s="374"/>
      <c r="C13458" s="374"/>
      <c r="CV13458" s="376"/>
    </row>
    <row r="13459" spans="1:100">
      <c r="A13459" s="374"/>
      <c r="C13459" s="374"/>
      <c r="CV13459" s="376"/>
    </row>
    <row r="13460" spans="1:100">
      <c r="A13460" s="374"/>
      <c r="C13460" s="374"/>
      <c r="CV13460" s="376"/>
    </row>
    <row r="13461" spans="1:100">
      <c r="A13461" s="374"/>
      <c r="C13461" s="374"/>
      <c r="CV13461" s="376"/>
    </row>
    <row r="13462" spans="1:100">
      <c r="A13462" s="374"/>
      <c r="C13462" s="374"/>
      <c r="CV13462" s="376"/>
    </row>
    <row r="13463" spans="1:100">
      <c r="A13463" s="374"/>
      <c r="C13463" s="374"/>
      <c r="CV13463" s="376"/>
    </row>
    <row r="13464" spans="1:100">
      <c r="A13464" s="374"/>
      <c r="C13464" s="374"/>
      <c r="CV13464" s="376"/>
    </row>
    <row r="13465" spans="1:100">
      <c r="A13465" s="374"/>
      <c r="C13465" s="374"/>
      <c r="CV13465" s="376"/>
    </row>
    <row r="13466" spans="1:100">
      <c r="A13466" s="374"/>
      <c r="C13466" s="374"/>
      <c r="CV13466" s="376"/>
    </row>
    <row r="13467" spans="1:100">
      <c r="A13467" s="374"/>
      <c r="C13467" s="374"/>
      <c r="CV13467" s="376"/>
    </row>
    <row r="13468" spans="1:100">
      <c r="A13468" s="374"/>
      <c r="C13468" s="374"/>
      <c r="CV13468" s="376"/>
    </row>
    <row r="13469" spans="1:100">
      <c r="A13469" s="374"/>
      <c r="C13469" s="374"/>
      <c r="CV13469" s="376"/>
    </row>
    <row r="13470" spans="1:100">
      <c r="A13470" s="374"/>
      <c r="C13470" s="374"/>
      <c r="CV13470" s="376"/>
    </row>
    <row r="13471" spans="1:100">
      <c r="A13471" s="374"/>
      <c r="C13471" s="374"/>
      <c r="CV13471" s="376"/>
    </row>
    <row r="13472" spans="1:100">
      <c r="A13472" s="374"/>
      <c r="C13472" s="374"/>
      <c r="CV13472" s="376"/>
    </row>
    <row r="13473" spans="1:100">
      <c r="A13473" s="374"/>
      <c r="C13473" s="374"/>
      <c r="CV13473" s="376"/>
    </row>
    <row r="13474" spans="1:100">
      <c r="A13474" s="374"/>
      <c r="C13474" s="374"/>
      <c r="CV13474" s="376"/>
    </row>
    <row r="13475" spans="1:100">
      <c r="A13475" s="374"/>
      <c r="C13475" s="374"/>
      <c r="CV13475" s="376"/>
    </row>
    <row r="13476" spans="1:100">
      <c r="A13476" s="374"/>
      <c r="C13476" s="374"/>
      <c r="CV13476" s="376"/>
    </row>
    <row r="13477" spans="1:100">
      <c r="A13477" s="374"/>
      <c r="C13477" s="374"/>
      <c r="CV13477" s="376"/>
    </row>
    <row r="13478" spans="1:100">
      <c r="A13478" s="374"/>
      <c r="C13478" s="374"/>
      <c r="CV13478" s="376"/>
    </row>
    <row r="13479" spans="1:100">
      <c r="A13479" s="374"/>
      <c r="C13479" s="374"/>
      <c r="CV13479" s="376"/>
    </row>
    <row r="13480" spans="1:100">
      <c r="A13480" s="374"/>
      <c r="C13480" s="374"/>
      <c r="CV13480" s="376"/>
    </row>
    <row r="13481" spans="1:100">
      <c r="A13481" s="374"/>
      <c r="C13481" s="374"/>
      <c r="CV13481" s="376"/>
    </row>
    <row r="13482" spans="1:100">
      <c r="A13482" s="374"/>
      <c r="C13482" s="374"/>
      <c r="CV13482" s="376"/>
    </row>
    <row r="13483" spans="1:100">
      <c r="A13483" s="374"/>
      <c r="C13483" s="374"/>
      <c r="CV13483" s="376"/>
    </row>
    <row r="13484" spans="1:100">
      <c r="A13484" s="374"/>
      <c r="C13484" s="374"/>
      <c r="CV13484" s="376"/>
    </row>
    <row r="13485" spans="1:100">
      <c r="A13485" s="374"/>
      <c r="C13485" s="374"/>
      <c r="CV13485" s="376"/>
    </row>
    <row r="13486" spans="1:100">
      <c r="A13486" s="374"/>
      <c r="C13486" s="374"/>
      <c r="CV13486" s="376"/>
    </row>
    <row r="13487" spans="1:100">
      <c r="A13487" s="374"/>
      <c r="C13487" s="374"/>
      <c r="CV13487" s="376"/>
    </row>
    <row r="13488" spans="1:100">
      <c r="A13488" s="374"/>
      <c r="C13488" s="374"/>
      <c r="CV13488" s="376"/>
    </row>
    <row r="13489" spans="1:100">
      <c r="A13489" s="374"/>
      <c r="C13489" s="374"/>
      <c r="CV13489" s="376"/>
    </row>
    <row r="13490" spans="1:100">
      <c r="A13490" s="374"/>
      <c r="C13490" s="374"/>
      <c r="CV13490" s="376"/>
    </row>
    <row r="13491" spans="1:100">
      <c r="A13491" s="374"/>
      <c r="C13491" s="374"/>
      <c r="CV13491" s="376"/>
    </row>
    <row r="13492" spans="1:100">
      <c r="A13492" s="374"/>
      <c r="C13492" s="374"/>
      <c r="CV13492" s="376"/>
    </row>
    <row r="13493" spans="1:100">
      <c r="A13493" s="374"/>
      <c r="C13493" s="374"/>
      <c r="CV13493" s="376"/>
    </row>
    <row r="13494" spans="1:100">
      <c r="A13494" s="374"/>
      <c r="C13494" s="374"/>
      <c r="CV13494" s="376"/>
    </row>
    <row r="13495" spans="1:100">
      <c r="A13495" s="374"/>
      <c r="C13495" s="374"/>
      <c r="CV13495" s="376"/>
    </row>
    <row r="13496" spans="1:100">
      <c r="A13496" s="374"/>
      <c r="C13496" s="374"/>
      <c r="CV13496" s="376"/>
    </row>
    <row r="13497" spans="1:100">
      <c r="A13497" s="374"/>
      <c r="C13497" s="374"/>
      <c r="CV13497" s="376"/>
    </row>
    <row r="13498" spans="1:100">
      <c r="A13498" s="374"/>
      <c r="C13498" s="374"/>
      <c r="CV13498" s="376"/>
    </row>
    <row r="13499" spans="1:100">
      <c r="A13499" s="374"/>
      <c r="C13499" s="374"/>
      <c r="CV13499" s="376"/>
    </row>
    <row r="13500" spans="1:100">
      <c r="A13500" s="374"/>
      <c r="C13500" s="374"/>
      <c r="CV13500" s="376"/>
    </row>
    <row r="13501" spans="1:100">
      <c r="A13501" s="374"/>
      <c r="C13501" s="374"/>
      <c r="CV13501" s="376"/>
    </row>
    <row r="13502" spans="1:100">
      <c r="A13502" s="374"/>
      <c r="C13502" s="374"/>
      <c r="CV13502" s="376"/>
    </row>
    <row r="13503" spans="1:100">
      <c r="A13503" s="374"/>
      <c r="C13503" s="374"/>
      <c r="CV13503" s="376"/>
    </row>
    <row r="13504" spans="1:100">
      <c r="A13504" s="374"/>
      <c r="C13504" s="374"/>
      <c r="CV13504" s="376"/>
    </row>
    <row r="13505" spans="1:100">
      <c r="A13505" s="374"/>
      <c r="C13505" s="374"/>
      <c r="CV13505" s="376"/>
    </row>
    <row r="13506" spans="1:100">
      <c r="A13506" s="374"/>
      <c r="C13506" s="374"/>
      <c r="CV13506" s="376"/>
    </row>
    <row r="13507" spans="1:100">
      <c r="A13507" s="374"/>
      <c r="C13507" s="374"/>
      <c r="CV13507" s="376"/>
    </row>
    <row r="13508" spans="1:100">
      <c r="A13508" s="374"/>
      <c r="C13508" s="374"/>
      <c r="CV13508" s="376"/>
    </row>
    <row r="13509" spans="1:100">
      <c r="A13509" s="374"/>
      <c r="C13509" s="374"/>
      <c r="CV13509" s="376"/>
    </row>
    <row r="13510" spans="1:100">
      <c r="A13510" s="374"/>
      <c r="C13510" s="374"/>
      <c r="CV13510" s="376"/>
    </row>
    <row r="13511" spans="1:100">
      <c r="A13511" s="374"/>
      <c r="C13511" s="374"/>
      <c r="CV13511" s="376"/>
    </row>
    <row r="13512" spans="1:100">
      <c r="A13512" s="374"/>
      <c r="C13512" s="374"/>
      <c r="CV13512" s="376"/>
    </row>
    <row r="13513" spans="1:100">
      <c r="A13513" s="374"/>
      <c r="C13513" s="374"/>
      <c r="CV13513" s="376"/>
    </row>
    <row r="13514" spans="1:100">
      <c r="A13514" s="374"/>
      <c r="C13514" s="374"/>
      <c r="CV13514" s="376"/>
    </row>
    <row r="13515" spans="1:100">
      <c r="A13515" s="374"/>
      <c r="C13515" s="374"/>
      <c r="CV13515" s="376"/>
    </row>
    <row r="13516" spans="1:100">
      <c r="A13516" s="374"/>
      <c r="C13516" s="374"/>
      <c r="CV13516" s="376"/>
    </row>
    <row r="13517" spans="1:100">
      <c r="A13517" s="374"/>
      <c r="C13517" s="374"/>
      <c r="CV13517" s="376"/>
    </row>
    <row r="13518" spans="1:100">
      <c r="A13518" s="374"/>
      <c r="C13518" s="374"/>
      <c r="CV13518" s="376"/>
    </row>
    <row r="13519" spans="1:100">
      <c r="A13519" s="374"/>
      <c r="C13519" s="374"/>
      <c r="CV13519" s="376"/>
    </row>
    <row r="13520" spans="1:100">
      <c r="A13520" s="374"/>
      <c r="C13520" s="374"/>
      <c r="CV13520" s="376"/>
    </row>
    <row r="13521" spans="1:100">
      <c r="A13521" s="374"/>
      <c r="C13521" s="374"/>
      <c r="CV13521" s="376"/>
    </row>
    <row r="13522" spans="1:100">
      <c r="A13522" s="374"/>
      <c r="C13522" s="374"/>
      <c r="CV13522" s="376"/>
    </row>
    <row r="13523" spans="1:100">
      <c r="A13523" s="374"/>
      <c r="C13523" s="374"/>
      <c r="CV13523" s="376"/>
    </row>
    <row r="13524" spans="1:100">
      <c r="A13524" s="374"/>
      <c r="C13524" s="374"/>
      <c r="CV13524" s="376"/>
    </row>
    <row r="13525" spans="1:100">
      <c r="A13525" s="374"/>
      <c r="C13525" s="374"/>
      <c r="CV13525" s="376"/>
    </row>
    <row r="13526" spans="1:100">
      <c r="A13526" s="374"/>
      <c r="C13526" s="374"/>
      <c r="CV13526" s="376"/>
    </row>
    <row r="13527" spans="1:100">
      <c r="A13527" s="374"/>
      <c r="C13527" s="374"/>
      <c r="CV13527" s="376"/>
    </row>
    <row r="13528" spans="1:100">
      <c r="A13528" s="374"/>
      <c r="C13528" s="374"/>
      <c r="CV13528" s="376"/>
    </row>
    <row r="13529" spans="1:100">
      <c r="A13529" s="374"/>
      <c r="C13529" s="374"/>
      <c r="CV13529" s="376"/>
    </row>
    <row r="13530" spans="1:100">
      <c r="A13530" s="374"/>
      <c r="C13530" s="374"/>
      <c r="CV13530" s="376"/>
    </row>
    <row r="13531" spans="1:100">
      <c r="A13531" s="374"/>
      <c r="C13531" s="374"/>
      <c r="CV13531" s="376"/>
    </row>
    <row r="13532" spans="1:100">
      <c r="A13532" s="374"/>
      <c r="C13532" s="374"/>
      <c r="CV13532" s="376"/>
    </row>
    <row r="13533" spans="1:100">
      <c r="A13533" s="374"/>
      <c r="C13533" s="374"/>
      <c r="CV13533" s="376"/>
    </row>
    <row r="13534" spans="1:100">
      <c r="A13534" s="374"/>
      <c r="C13534" s="374"/>
      <c r="CV13534" s="376"/>
    </row>
    <row r="13535" spans="1:100">
      <c r="A13535" s="374"/>
      <c r="C13535" s="374"/>
      <c r="CV13535" s="376"/>
    </row>
    <row r="13536" spans="1:100">
      <c r="A13536" s="374"/>
      <c r="C13536" s="374"/>
      <c r="CV13536" s="376"/>
    </row>
    <row r="13537" spans="1:100">
      <c r="A13537" s="374"/>
      <c r="C13537" s="374"/>
      <c r="CV13537" s="376"/>
    </row>
    <row r="13538" spans="1:100">
      <c r="A13538" s="374"/>
      <c r="C13538" s="374"/>
      <c r="CV13538" s="376"/>
    </row>
    <row r="13539" spans="1:100">
      <c r="A13539" s="374"/>
      <c r="C13539" s="374"/>
      <c r="CV13539" s="376"/>
    </row>
    <row r="13540" spans="1:100">
      <c r="A13540" s="374"/>
      <c r="C13540" s="374"/>
      <c r="CV13540" s="376"/>
    </row>
    <row r="13541" spans="1:100">
      <c r="A13541" s="374"/>
      <c r="C13541" s="374"/>
      <c r="CV13541" s="376"/>
    </row>
    <row r="13542" spans="1:100">
      <c r="A13542" s="374"/>
      <c r="C13542" s="374"/>
      <c r="CV13542" s="376"/>
    </row>
    <row r="13543" spans="1:100">
      <c r="A13543" s="374"/>
      <c r="C13543" s="374"/>
      <c r="CV13543" s="376"/>
    </row>
    <row r="13544" spans="1:100">
      <c r="A13544" s="374"/>
      <c r="C13544" s="374"/>
      <c r="CV13544" s="376"/>
    </row>
    <row r="13545" spans="1:100">
      <c r="A13545" s="374"/>
      <c r="C13545" s="374"/>
      <c r="CV13545" s="376"/>
    </row>
    <row r="13546" spans="1:100">
      <c r="A13546" s="374"/>
      <c r="C13546" s="374"/>
      <c r="CV13546" s="376"/>
    </row>
    <row r="13547" spans="1:100">
      <c r="A13547" s="374"/>
      <c r="C13547" s="374"/>
      <c r="CV13547" s="376"/>
    </row>
    <row r="13548" spans="1:100">
      <c r="A13548" s="374"/>
      <c r="C13548" s="374"/>
      <c r="CV13548" s="376"/>
    </row>
    <row r="13549" spans="1:100">
      <c r="A13549" s="374"/>
      <c r="C13549" s="374"/>
      <c r="CV13549" s="376"/>
    </row>
    <row r="13550" spans="1:100">
      <c r="A13550" s="374"/>
      <c r="C13550" s="374"/>
      <c r="CV13550" s="376"/>
    </row>
    <row r="13551" spans="1:100">
      <c r="A13551" s="374"/>
      <c r="C13551" s="374"/>
      <c r="CV13551" s="376"/>
    </row>
    <row r="13552" spans="1:100">
      <c r="A13552" s="374"/>
      <c r="C13552" s="374"/>
      <c r="CV13552" s="376"/>
    </row>
    <row r="13553" spans="1:100">
      <c r="A13553" s="374"/>
      <c r="C13553" s="374"/>
      <c r="CV13553" s="376"/>
    </row>
    <row r="13554" spans="1:100">
      <c r="A13554" s="374"/>
      <c r="C13554" s="374"/>
      <c r="CV13554" s="376"/>
    </row>
    <row r="13555" spans="1:100">
      <c r="A13555" s="374"/>
      <c r="C13555" s="374"/>
      <c r="CV13555" s="376"/>
    </row>
    <row r="13556" spans="1:100">
      <c r="A13556" s="374"/>
      <c r="C13556" s="374"/>
      <c r="CV13556" s="376"/>
    </row>
    <row r="13557" spans="1:100">
      <c r="A13557" s="374"/>
      <c r="C13557" s="374"/>
      <c r="CV13557" s="376"/>
    </row>
    <row r="13558" spans="1:100">
      <c r="A13558" s="374"/>
      <c r="C13558" s="374"/>
      <c r="CV13558" s="376"/>
    </row>
    <row r="13559" spans="1:100">
      <c r="A13559" s="374"/>
      <c r="C13559" s="374"/>
      <c r="CV13559" s="376"/>
    </row>
    <row r="13560" spans="1:100">
      <c r="A13560" s="374"/>
      <c r="C13560" s="374"/>
      <c r="CV13560" s="376"/>
    </row>
    <row r="13561" spans="1:100">
      <c r="A13561" s="374"/>
      <c r="C13561" s="374"/>
      <c r="CV13561" s="376"/>
    </row>
    <row r="13562" spans="1:100">
      <c r="A13562" s="374"/>
      <c r="C13562" s="374"/>
      <c r="CV13562" s="376"/>
    </row>
    <row r="13563" spans="1:100">
      <c r="A13563" s="374"/>
      <c r="C13563" s="374"/>
      <c r="CV13563" s="376"/>
    </row>
    <row r="13564" spans="1:100">
      <c r="A13564" s="374"/>
      <c r="C13564" s="374"/>
      <c r="CV13564" s="376"/>
    </row>
    <row r="13565" spans="1:100">
      <c r="A13565" s="374"/>
      <c r="C13565" s="374"/>
      <c r="CV13565" s="376"/>
    </row>
    <row r="13566" spans="1:100">
      <c r="A13566" s="374"/>
      <c r="C13566" s="374"/>
      <c r="CV13566" s="376"/>
    </row>
    <row r="13567" spans="1:100">
      <c r="A13567" s="374"/>
      <c r="C13567" s="374"/>
      <c r="CV13567" s="376"/>
    </row>
    <row r="13568" spans="1:100">
      <c r="A13568" s="374"/>
      <c r="C13568" s="374"/>
      <c r="CV13568" s="376"/>
    </row>
    <row r="13569" spans="1:100">
      <c r="A13569" s="374"/>
      <c r="C13569" s="374"/>
      <c r="CV13569" s="376"/>
    </row>
    <row r="13570" spans="1:100">
      <c r="A13570" s="374"/>
      <c r="C13570" s="374"/>
      <c r="CV13570" s="376"/>
    </row>
    <row r="13571" spans="1:100">
      <c r="A13571" s="374"/>
      <c r="C13571" s="374"/>
      <c r="CV13571" s="376"/>
    </row>
    <row r="13572" spans="1:100">
      <c r="A13572" s="374"/>
      <c r="C13572" s="374"/>
      <c r="CV13572" s="376"/>
    </row>
    <row r="13573" spans="1:100">
      <c r="A13573" s="374"/>
      <c r="C13573" s="374"/>
      <c r="CV13573" s="376"/>
    </row>
    <row r="13574" spans="1:100">
      <c r="A13574" s="374"/>
      <c r="C13574" s="374"/>
      <c r="CV13574" s="376"/>
    </row>
    <row r="13575" spans="1:100">
      <c r="A13575" s="374"/>
      <c r="C13575" s="374"/>
      <c r="CV13575" s="376"/>
    </row>
    <row r="13576" spans="1:100">
      <c r="A13576" s="374"/>
      <c r="C13576" s="374"/>
      <c r="CV13576" s="376"/>
    </row>
    <row r="13577" spans="1:100">
      <c r="A13577" s="374"/>
      <c r="C13577" s="374"/>
      <c r="CV13577" s="376"/>
    </row>
    <row r="13578" spans="1:100">
      <c r="A13578" s="374"/>
      <c r="C13578" s="374"/>
      <c r="CV13578" s="376"/>
    </row>
    <row r="13579" spans="1:100">
      <c r="A13579" s="374"/>
      <c r="C13579" s="374"/>
      <c r="CV13579" s="376"/>
    </row>
    <row r="13580" spans="1:100">
      <c r="A13580" s="374"/>
      <c r="C13580" s="374"/>
      <c r="CV13580" s="376"/>
    </row>
    <row r="13581" spans="1:100">
      <c r="A13581" s="374"/>
      <c r="C13581" s="374"/>
      <c r="CV13581" s="376"/>
    </row>
    <row r="13582" spans="1:100">
      <c r="A13582" s="374"/>
      <c r="C13582" s="374"/>
      <c r="CV13582" s="376"/>
    </row>
    <row r="13583" spans="1:100">
      <c r="A13583" s="374"/>
      <c r="C13583" s="374"/>
      <c r="CV13583" s="376"/>
    </row>
    <row r="13584" spans="1:100">
      <c r="A13584" s="374"/>
      <c r="C13584" s="374"/>
      <c r="CV13584" s="376"/>
    </row>
    <row r="13585" spans="1:100">
      <c r="A13585" s="374"/>
      <c r="C13585" s="374"/>
      <c r="CV13585" s="376"/>
    </row>
    <row r="13586" spans="1:100">
      <c r="A13586" s="374"/>
      <c r="C13586" s="374"/>
      <c r="CV13586" s="376"/>
    </row>
    <row r="13587" spans="1:100">
      <c r="A13587" s="374"/>
      <c r="C13587" s="374"/>
      <c r="CV13587" s="376"/>
    </row>
    <row r="13588" spans="1:100">
      <c r="A13588" s="374"/>
      <c r="C13588" s="374"/>
      <c r="CV13588" s="376"/>
    </row>
    <row r="13589" spans="1:100">
      <c r="A13589" s="374"/>
      <c r="C13589" s="374"/>
      <c r="CV13589" s="376"/>
    </row>
    <row r="13590" spans="1:100">
      <c r="A13590" s="374"/>
      <c r="C13590" s="374"/>
      <c r="CV13590" s="376"/>
    </row>
    <row r="13591" spans="1:100">
      <c r="A13591" s="374"/>
      <c r="C13591" s="374"/>
      <c r="CV13591" s="376"/>
    </row>
    <row r="13592" spans="1:100">
      <c r="A13592" s="374"/>
      <c r="C13592" s="374"/>
      <c r="CV13592" s="376"/>
    </row>
    <row r="13593" spans="1:100">
      <c r="A13593" s="374"/>
      <c r="C13593" s="374"/>
      <c r="CV13593" s="376"/>
    </row>
    <row r="13594" spans="1:100">
      <c r="A13594" s="374"/>
      <c r="C13594" s="374"/>
      <c r="CV13594" s="376"/>
    </row>
    <row r="13595" spans="1:100">
      <c r="A13595" s="374"/>
      <c r="C13595" s="374"/>
      <c r="CV13595" s="376"/>
    </row>
    <row r="13596" spans="1:100">
      <c r="A13596" s="374"/>
      <c r="C13596" s="374"/>
      <c r="CV13596" s="376"/>
    </row>
    <row r="13597" spans="1:100">
      <c r="A13597" s="374"/>
      <c r="C13597" s="374"/>
      <c r="CV13597" s="376"/>
    </row>
    <row r="13598" spans="1:100">
      <c r="A13598" s="374"/>
      <c r="C13598" s="374"/>
      <c r="CV13598" s="376"/>
    </row>
    <row r="13599" spans="1:100">
      <c r="A13599" s="374"/>
      <c r="C13599" s="374"/>
      <c r="CV13599" s="376"/>
    </row>
    <row r="13600" spans="1:100">
      <c r="A13600" s="374"/>
      <c r="C13600" s="374"/>
      <c r="CV13600" s="376"/>
    </row>
    <row r="13601" spans="1:100">
      <c r="A13601" s="374"/>
      <c r="C13601" s="374"/>
      <c r="CV13601" s="376"/>
    </row>
    <row r="13602" spans="1:100">
      <c r="A13602" s="374"/>
      <c r="C13602" s="374"/>
      <c r="CV13602" s="376"/>
    </row>
    <row r="13603" spans="1:100">
      <c r="A13603" s="374"/>
      <c r="C13603" s="374"/>
      <c r="CV13603" s="376"/>
    </row>
    <row r="13604" spans="1:100">
      <c r="A13604" s="374"/>
      <c r="C13604" s="374"/>
      <c r="CV13604" s="376"/>
    </row>
    <row r="13605" spans="1:100">
      <c r="A13605" s="374"/>
      <c r="C13605" s="374"/>
      <c r="CV13605" s="376"/>
    </row>
    <row r="13606" spans="1:100">
      <c r="A13606" s="374"/>
      <c r="C13606" s="374"/>
      <c r="CV13606" s="376"/>
    </row>
    <row r="13607" spans="1:100">
      <c r="A13607" s="374"/>
      <c r="C13607" s="374"/>
      <c r="CV13607" s="376"/>
    </row>
    <row r="13608" spans="1:100">
      <c r="A13608" s="374"/>
      <c r="C13608" s="374"/>
      <c r="CV13608" s="376"/>
    </row>
    <row r="13609" spans="1:100">
      <c r="A13609" s="374"/>
      <c r="C13609" s="374"/>
      <c r="CV13609" s="376"/>
    </row>
    <row r="13610" spans="1:100">
      <c r="A13610" s="374"/>
      <c r="C13610" s="374"/>
      <c r="CV13610" s="376"/>
    </row>
    <row r="13611" spans="1:100">
      <c r="A13611" s="374"/>
      <c r="C13611" s="374"/>
      <c r="CV13611" s="376"/>
    </row>
    <row r="13612" spans="1:100">
      <c r="A13612" s="374"/>
      <c r="C13612" s="374"/>
      <c r="CV13612" s="376"/>
    </row>
    <row r="13613" spans="1:100">
      <c r="A13613" s="374"/>
      <c r="C13613" s="374"/>
      <c r="CV13613" s="376"/>
    </row>
    <row r="13614" spans="1:100">
      <c r="A13614" s="374"/>
      <c r="C13614" s="374"/>
      <c r="CV13614" s="376"/>
    </row>
    <row r="13615" spans="1:100">
      <c r="A13615" s="374"/>
      <c r="C13615" s="374"/>
      <c r="CV13615" s="376"/>
    </row>
    <row r="13616" spans="1:100">
      <c r="A13616" s="374"/>
      <c r="C13616" s="374"/>
      <c r="CV13616" s="376"/>
    </row>
    <row r="13617" spans="1:100">
      <c r="A13617" s="374"/>
      <c r="C13617" s="374"/>
      <c r="CV13617" s="376"/>
    </row>
    <row r="13618" spans="1:100">
      <c r="A13618" s="374"/>
      <c r="C13618" s="374"/>
      <c r="CV13618" s="376"/>
    </row>
    <row r="13619" spans="1:100">
      <c r="A13619" s="374"/>
      <c r="C13619" s="374"/>
      <c r="CV13619" s="376"/>
    </row>
    <row r="13620" spans="1:100">
      <c r="A13620" s="374"/>
      <c r="C13620" s="374"/>
      <c r="CV13620" s="376"/>
    </row>
    <row r="13621" spans="1:100">
      <c r="A13621" s="374"/>
      <c r="C13621" s="374"/>
      <c r="CV13621" s="376"/>
    </row>
    <row r="13622" spans="1:100">
      <c r="A13622" s="374"/>
      <c r="C13622" s="374"/>
      <c r="CV13622" s="376"/>
    </row>
    <row r="13623" spans="1:100">
      <c r="A13623" s="374"/>
      <c r="C13623" s="374"/>
      <c r="CV13623" s="376"/>
    </row>
    <row r="13624" spans="1:100">
      <c r="A13624" s="374"/>
      <c r="C13624" s="374"/>
      <c r="CV13624" s="376"/>
    </row>
    <row r="13625" spans="1:100">
      <c r="A13625" s="374"/>
      <c r="C13625" s="374"/>
      <c r="CV13625" s="376"/>
    </row>
    <row r="13626" spans="1:100">
      <c r="A13626" s="374"/>
      <c r="C13626" s="374"/>
      <c r="CV13626" s="376"/>
    </row>
    <row r="13627" spans="1:100">
      <c r="A13627" s="374"/>
      <c r="C13627" s="374"/>
      <c r="CV13627" s="376"/>
    </row>
    <row r="13628" spans="1:100">
      <c r="A13628" s="374"/>
      <c r="C13628" s="374"/>
      <c r="CV13628" s="376"/>
    </row>
    <row r="13629" spans="1:100">
      <c r="A13629" s="374"/>
      <c r="C13629" s="374"/>
      <c r="CV13629" s="376"/>
    </row>
    <row r="13630" spans="1:100">
      <c r="A13630" s="374"/>
      <c r="C13630" s="374"/>
      <c r="CV13630" s="376"/>
    </row>
    <row r="13631" spans="1:100">
      <c r="A13631" s="374"/>
      <c r="C13631" s="374"/>
      <c r="CV13631" s="376"/>
    </row>
    <row r="13632" spans="1:100">
      <c r="A13632" s="374"/>
      <c r="C13632" s="374"/>
      <c r="CV13632" s="376"/>
    </row>
    <row r="13633" spans="1:100">
      <c r="A13633" s="374"/>
      <c r="C13633" s="374"/>
      <c r="CV13633" s="376"/>
    </row>
    <row r="13634" spans="1:100">
      <c r="A13634" s="374"/>
      <c r="C13634" s="374"/>
      <c r="CV13634" s="376"/>
    </row>
    <row r="13635" spans="1:100">
      <c r="A13635" s="374"/>
      <c r="C13635" s="374"/>
      <c r="CV13635" s="376"/>
    </row>
    <row r="13636" spans="1:100">
      <c r="A13636" s="374"/>
      <c r="C13636" s="374"/>
      <c r="CV13636" s="376"/>
    </row>
    <row r="13637" spans="1:100">
      <c r="A13637" s="374"/>
      <c r="C13637" s="374"/>
      <c r="CV13637" s="376"/>
    </row>
    <row r="13638" spans="1:100">
      <c r="A13638" s="374"/>
      <c r="C13638" s="374"/>
      <c r="CV13638" s="376"/>
    </row>
    <row r="13639" spans="1:100">
      <c r="A13639" s="374"/>
      <c r="C13639" s="374"/>
      <c r="CV13639" s="376"/>
    </row>
    <row r="13640" spans="1:100">
      <c r="A13640" s="374"/>
      <c r="C13640" s="374"/>
      <c r="CV13640" s="376"/>
    </row>
    <row r="13641" spans="1:100">
      <c r="A13641" s="374"/>
      <c r="C13641" s="374"/>
      <c r="CV13641" s="376"/>
    </row>
    <row r="13642" spans="1:100">
      <c r="A13642" s="374"/>
      <c r="C13642" s="374"/>
      <c r="CV13642" s="376"/>
    </row>
    <row r="13643" spans="1:100">
      <c r="A13643" s="374"/>
      <c r="C13643" s="374"/>
      <c r="CV13643" s="376"/>
    </row>
    <row r="13644" spans="1:100">
      <c r="A13644" s="374"/>
      <c r="C13644" s="374"/>
      <c r="CV13644" s="376"/>
    </row>
    <row r="13645" spans="1:100">
      <c r="A13645" s="374"/>
      <c r="C13645" s="374"/>
      <c r="CV13645" s="376"/>
    </row>
    <row r="13646" spans="1:100">
      <c r="A13646" s="374"/>
      <c r="C13646" s="374"/>
      <c r="CV13646" s="376"/>
    </row>
    <row r="13647" spans="1:100">
      <c r="A13647" s="374"/>
      <c r="C13647" s="374"/>
      <c r="CV13647" s="376"/>
    </row>
    <row r="13648" spans="1:100">
      <c r="A13648" s="374"/>
      <c r="C13648" s="374"/>
      <c r="CV13648" s="376"/>
    </row>
    <row r="13649" spans="1:100">
      <c r="A13649" s="374"/>
      <c r="C13649" s="374"/>
      <c r="CV13649" s="376"/>
    </row>
    <row r="13650" spans="1:100">
      <c r="A13650" s="374"/>
      <c r="C13650" s="374"/>
      <c r="CV13650" s="376"/>
    </row>
    <row r="13651" spans="1:100">
      <c r="A13651" s="374"/>
      <c r="C13651" s="374"/>
      <c r="CV13651" s="376"/>
    </row>
    <row r="13652" spans="1:100">
      <c r="A13652" s="374"/>
      <c r="C13652" s="374"/>
      <c r="CV13652" s="376"/>
    </row>
    <row r="13653" spans="1:100">
      <c r="A13653" s="374"/>
      <c r="C13653" s="374"/>
      <c r="CV13653" s="376"/>
    </row>
    <row r="13654" spans="1:100">
      <c r="A13654" s="374"/>
      <c r="C13654" s="374"/>
      <c r="CV13654" s="376"/>
    </row>
    <row r="13655" spans="1:100">
      <c r="A13655" s="374"/>
      <c r="C13655" s="374"/>
      <c r="CV13655" s="376"/>
    </row>
    <row r="13656" spans="1:100">
      <c r="A13656" s="374"/>
      <c r="C13656" s="374"/>
      <c r="CV13656" s="376"/>
    </row>
    <row r="13657" spans="1:100">
      <c r="A13657" s="374"/>
      <c r="C13657" s="374"/>
      <c r="CV13657" s="376"/>
    </row>
    <row r="13658" spans="1:100">
      <c r="A13658" s="374"/>
      <c r="C13658" s="374"/>
      <c r="CV13658" s="376"/>
    </row>
    <row r="13659" spans="1:100">
      <c r="A13659" s="374"/>
      <c r="C13659" s="374"/>
      <c r="CV13659" s="376"/>
    </row>
    <row r="13660" spans="1:100">
      <c r="A13660" s="374"/>
      <c r="C13660" s="374"/>
      <c r="CV13660" s="376"/>
    </row>
    <row r="13661" spans="1:100">
      <c r="A13661" s="374"/>
      <c r="C13661" s="374"/>
      <c r="CV13661" s="376"/>
    </row>
    <row r="13662" spans="1:100">
      <c r="A13662" s="374"/>
      <c r="C13662" s="374"/>
      <c r="CV13662" s="376"/>
    </row>
    <row r="13663" spans="1:100">
      <c r="A13663" s="374"/>
      <c r="C13663" s="374"/>
      <c r="CV13663" s="376"/>
    </row>
    <row r="13664" spans="1:100">
      <c r="A13664" s="374"/>
      <c r="C13664" s="374"/>
      <c r="CV13664" s="376"/>
    </row>
    <row r="13665" spans="1:100">
      <c r="A13665" s="374"/>
      <c r="C13665" s="374"/>
      <c r="CV13665" s="376"/>
    </row>
    <row r="13666" spans="1:100">
      <c r="A13666" s="374"/>
      <c r="C13666" s="374"/>
      <c r="CV13666" s="376"/>
    </row>
    <row r="13667" spans="1:100">
      <c r="A13667" s="374"/>
      <c r="C13667" s="374"/>
      <c r="CV13667" s="376"/>
    </row>
    <row r="13668" spans="1:100">
      <c r="A13668" s="374"/>
      <c r="C13668" s="374"/>
      <c r="CV13668" s="376"/>
    </row>
    <row r="13669" spans="1:100">
      <c r="A13669" s="374"/>
      <c r="C13669" s="374"/>
      <c r="CV13669" s="376"/>
    </row>
    <row r="13670" spans="1:100">
      <c r="A13670" s="374"/>
      <c r="C13670" s="374"/>
      <c r="CV13670" s="376"/>
    </row>
    <row r="13671" spans="1:100">
      <c r="A13671" s="374"/>
      <c r="C13671" s="374"/>
      <c r="CV13671" s="376"/>
    </row>
    <row r="13672" spans="1:100">
      <c r="A13672" s="374"/>
      <c r="C13672" s="374"/>
      <c r="CV13672" s="376"/>
    </row>
    <row r="13673" spans="1:100">
      <c r="A13673" s="374"/>
      <c r="C13673" s="374"/>
      <c r="CV13673" s="376"/>
    </row>
    <row r="13674" spans="1:100">
      <c r="A13674" s="374"/>
      <c r="C13674" s="374"/>
      <c r="CV13674" s="376"/>
    </row>
    <row r="13675" spans="1:100">
      <c r="A13675" s="374"/>
      <c r="C13675" s="374"/>
      <c r="CV13675" s="376"/>
    </row>
    <row r="13676" spans="1:100">
      <c r="A13676" s="374"/>
      <c r="C13676" s="374"/>
      <c r="CV13676" s="376"/>
    </row>
    <row r="13677" spans="1:100">
      <c r="A13677" s="374"/>
      <c r="C13677" s="374"/>
      <c r="CV13677" s="376"/>
    </row>
    <row r="13678" spans="1:100">
      <c r="A13678" s="374"/>
      <c r="C13678" s="374"/>
      <c r="CV13678" s="376"/>
    </row>
    <row r="13679" spans="1:100">
      <c r="A13679" s="374"/>
      <c r="C13679" s="374"/>
      <c r="CV13679" s="376"/>
    </row>
    <row r="13680" spans="1:100">
      <c r="A13680" s="374"/>
      <c r="C13680" s="374"/>
      <c r="CV13680" s="376"/>
    </row>
    <row r="13681" spans="1:100">
      <c r="A13681" s="374"/>
      <c r="C13681" s="374"/>
      <c r="CV13681" s="376"/>
    </row>
    <row r="13682" spans="1:100">
      <c r="A13682" s="374"/>
      <c r="C13682" s="374"/>
      <c r="CV13682" s="376"/>
    </row>
    <row r="13683" spans="1:100">
      <c r="A13683" s="374"/>
      <c r="C13683" s="374"/>
      <c r="CV13683" s="376"/>
    </row>
    <row r="13684" spans="1:100">
      <c r="A13684" s="374"/>
      <c r="C13684" s="374"/>
      <c r="CV13684" s="376"/>
    </row>
    <row r="13685" spans="1:100">
      <c r="A13685" s="374"/>
      <c r="C13685" s="374"/>
      <c r="CV13685" s="376"/>
    </row>
    <row r="13686" spans="1:100">
      <c r="A13686" s="374"/>
      <c r="C13686" s="374"/>
      <c r="CV13686" s="376"/>
    </row>
    <row r="13687" spans="1:100">
      <c r="A13687" s="374"/>
      <c r="C13687" s="374"/>
      <c r="CV13687" s="376"/>
    </row>
    <row r="13688" spans="1:100">
      <c r="A13688" s="374"/>
      <c r="C13688" s="374"/>
      <c r="CV13688" s="376"/>
    </row>
    <row r="13689" spans="1:100">
      <c r="A13689" s="374"/>
      <c r="C13689" s="374"/>
      <c r="CV13689" s="376"/>
    </row>
    <row r="13690" spans="1:100">
      <c r="A13690" s="374"/>
      <c r="C13690" s="374"/>
      <c r="CV13690" s="376"/>
    </row>
    <row r="13691" spans="1:100">
      <c r="A13691" s="374"/>
      <c r="C13691" s="374"/>
      <c r="CV13691" s="376"/>
    </row>
    <row r="13692" spans="1:100">
      <c r="A13692" s="374"/>
      <c r="C13692" s="374"/>
      <c r="CV13692" s="376"/>
    </row>
    <row r="13693" spans="1:100">
      <c r="A13693" s="374"/>
      <c r="C13693" s="374"/>
      <c r="CV13693" s="376"/>
    </row>
    <row r="13694" spans="1:100">
      <c r="A13694" s="374"/>
      <c r="C13694" s="374"/>
      <c r="CV13694" s="376"/>
    </row>
    <row r="13695" spans="1:100">
      <c r="A13695" s="374"/>
      <c r="C13695" s="374"/>
      <c r="CV13695" s="376"/>
    </row>
    <row r="13696" spans="1:100">
      <c r="A13696" s="374"/>
      <c r="C13696" s="374"/>
      <c r="CV13696" s="376"/>
    </row>
    <row r="13697" spans="1:100">
      <c r="A13697" s="374"/>
      <c r="C13697" s="374"/>
      <c r="CV13697" s="376"/>
    </row>
    <row r="13698" spans="1:100">
      <c r="A13698" s="374"/>
      <c r="C13698" s="374"/>
      <c r="CV13698" s="376"/>
    </row>
    <row r="13699" spans="1:100">
      <c r="A13699" s="374"/>
      <c r="C13699" s="374"/>
      <c r="CV13699" s="376"/>
    </row>
    <row r="13700" spans="1:100">
      <c r="A13700" s="374"/>
      <c r="C13700" s="374"/>
      <c r="CV13700" s="376"/>
    </row>
    <row r="13701" spans="1:100">
      <c r="A13701" s="374"/>
      <c r="C13701" s="374"/>
      <c r="CV13701" s="376"/>
    </row>
    <row r="13702" spans="1:100">
      <c r="A13702" s="374"/>
      <c r="C13702" s="374"/>
      <c r="CV13702" s="376"/>
    </row>
    <row r="13703" spans="1:100">
      <c r="A13703" s="374"/>
      <c r="C13703" s="374"/>
      <c r="CV13703" s="376"/>
    </row>
    <row r="13704" spans="1:100">
      <c r="A13704" s="374"/>
      <c r="C13704" s="374"/>
      <c r="CV13704" s="376"/>
    </row>
    <row r="13705" spans="1:100">
      <c r="A13705" s="374"/>
      <c r="C13705" s="374"/>
      <c r="CV13705" s="376"/>
    </row>
    <row r="13706" spans="1:100">
      <c r="A13706" s="374"/>
      <c r="C13706" s="374"/>
      <c r="CV13706" s="376"/>
    </row>
    <row r="13707" spans="1:100">
      <c r="A13707" s="374"/>
      <c r="C13707" s="374"/>
      <c r="CV13707" s="376"/>
    </row>
    <row r="13708" spans="1:100">
      <c r="A13708" s="374"/>
      <c r="C13708" s="374"/>
      <c r="CV13708" s="376"/>
    </row>
    <row r="13709" spans="1:100">
      <c r="A13709" s="374"/>
      <c r="C13709" s="374"/>
      <c r="CV13709" s="376"/>
    </row>
    <row r="13710" spans="1:100">
      <c r="A13710" s="374"/>
      <c r="C13710" s="374"/>
      <c r="CV13710" s="376"/>
    </row>
    <row r="13711" spans="1:100">
      <c r="A13711" s="374"/>
      <c r="C13711" s="374"/>
      <c r="CV13711" s="376"/>
    </row>
    <row r="13712" spans="1:100">
      <c r="A13712" s="374"/>
      <c r="C13712" s="374"/>
      <c r="CV13712" s="376"/>
    </row>
    <row r="13713" spans="1:100">
      <c r="A13713" s="374"/>
      <c r="C13713" s="374"/>
      <c r="CV13713" s="376"/>
    </row>
    <row r="13714" spans="1:100">
      <c r="A13714" s="374"/>
      <c r="C13714" s="374"/>
      <c r="CV13714" s="376"/>
    </row>
    <row r="13715" spans="1:100">
      <c r="A13715" s="374"/>
      <c r="C13715" s="374"/>
      <c r="CV13715" s="376"/>
    </row>
    <row r="13716" spans="1:100">
      <c r="A13716" s="374"/>
      <c r="C13716" s="374"/>
      <c r="CV13716" s="376"/>
    </row>
    <row r="13717" spans="1:100">
      <c r="A13717" s="374"/>
      <c r="C13717" s="374"/>
      <c r="CV13717" s="376"/>
    </row>
    <row r="13718" spans="1:100">
      <c r="A13718" s="374"/>
      <c r="C13718" s="374"/>
      <c r="CV13718" s="376"/>
    </row>
    <row r="13719" spans="1:100">
      <c r="A13719" s="374"/>
      <c r="C13719" s="374"/>
      <c r="CV13719" s="376"/>
    </row>
    <row r="13720" spans="1:100">
      <c r="A13720" s="374"/>
      <c r="C13720" s="374"/>
      <c r="CV13720" s="376"/>
    </row>
    <row r="13721" spans="1:100">
      <c r="A13721" s="374"/>
      <c r="C13721" s="374"/>
      <c r="CV13721" s="376"/>
    </row>
    <row r="13722" spans="1:100">
      <c r="A13722" s="374"/>
      <c r="C13722" s="374"/>
      <c r="CV13722" s="376"/>
    </row>
    <row r="13723" spans="1:100">
      <c r="A13723" s="374"/>
      <c r="C13723" s="374"/>
      <c r="CV13723" s="376"/>
    </row>
    <row r="13724" spans="1:100">
      <c r="A13724" s="374"/>
      <c r="C13724" s="374"/>
      <c r="CV13724" s="376"/>
    </row>
    <row r="13725" spans="1:100">
      <c r="A13725" s="374"/>
      <c r="C13725" s="374"/>
      <c r="CV13725" s="376"/>
    </row>
    <row r="13726" spans="1:100">
      <c r="A13726" s="374"/>
      <c r="C13726" s="374"/>
      <c r="CV13726" s="376"/>
    </row>
    <row r="13727" spans="1:100">
      <c r="A13727" s="374"/>
      <c r="C13727" s="374"/>
      <c r="CV13727" s="376"/>
    </row>
    <row r="13728" spans="1:100">
      <c r="A13728" s="374"/>
      <c r="C13728" s="374"/>
      <c r="CV13728" s="376"/>
    </row>
    <row r="13729" spans="1:100">
      <c r="A13729" s="374"/>
      <c r="C13729" s="374"/>
      <c r="CV13729" s="376"/>
    </row>
    <row r="13730" spans="1:100">
      <c r="A13730" s="374"/>
      <c r="C13730" s="374"/>
      <c r="CV13730" s="376"/>
    </row>
    <row r="13731" spans="1:100">
      <c r="A13731" s="374"/>
      <c r="C13731" s="374"/>
      <c r="CV13731" s="376"/>
    </row>
    <row r="13732" spans="1:100">
      <c r="A13732" s="374"/>
      <c r="C13732" s="374"/>
      <c r="CV13732" s="376"/>
    </row>
    <row r="13733" spans="1:100">
      <c r="A13733" s="374"/>
      <c r="C13733" s="374"/>
      <c r="CV13733" s="376"/>
    </row>
    <row r="13734" spans="1:100">
      <c r="A13734" s="374"/>
      <c r="C13734" s="374"/>
      <c r="CV13734" s="376"/>
    </row>
    <row r="13735" spans="1:100">
      <c r="A13735" s="374"/>
      <c r="C13735" s="374"/>
      <c r="CV13735" s="376"/>
    </row>
    <row r="13736" spans="1:100">
      <c r="A13736" s="374"/>
      <c r="C13736" s="374"/>
      <c r="CV13736" s="376"/>
    </row>
    <row r="13737" spans="1:100">
      <c r="A13737" s="374"/>
      <c r="C13737" s="374"/>
      <c r="CV13737" s="376"/>
    </row>
    <row r="13738" spans="1:100">
      <c r="A13738" s="374"/>
      <c r="C13738" s="374"/>
      <c r="CV13738" s="376"/>
    </row>
    <row r="13739" spans="1:100">
      <c r="A13739" s="374"/>
      <c r="C13739" s="374"/>
      <c r="CV13739" s="376"/>
    </row>
    <row r="13740" spans="1:100">
      <c r="A13740" s="374"/>
      <c r="C13740" s="374"/>
      <c r="CV13740" s="376"/>
    </row>
    <row r="13741" spans="1:100">
      <c r="A13741" s="374"/>
      <c r="C13741" s="374"/>
      <c r="CV13741" s="376"/>
    </row>
    <row r="13742" spans="1:100">
      <c r="A13742" s="374"/>
      <c r="C13742" s="374"/>
      <c r="CV13742" s="376"/>
    </row>
    <row r="13743" spans="1:100">
      <c r="A13743" s="374"/>
      <c r="C13743" s="374"/>
      <c r="CV13743" s="376"/>
    </row>
    <row r="13744" spans="1:100">
      <c r="A13744" s="374"/>
      <c r="C13744" s="374"/>
      <c r="CV13744" s="376"/>
    </row>
    <row r="13745" spans="1:100">
      <c r="A13745" s="374"/>
      <c r="C13745" s="374"/>
      <c r="CV13745" s="376"/>
    </row>
    <row r="13746" spans="1:100">
      <c r="A13746" s="374"/>
      <c r="C13746" s="374"/>
      <c r="CV13746" s="376"/>
    </row>
    <row r="13747" spans="1:100">
      <c r="A13747" s="374"/>
      <c r="C13747" s="374"/>
      <c r="CV13747" s="376"/>
    </row>
    <row r="13748" spans="1:100">
      <c r="A13748" s="374"/>
      <c r="C13748" s="374"/>
      <c r="CV13748" s="376"/>
    </row>
    <row r="13749" spans="1:100">
      <c r="A13749" s="374"/>
      <c r="C13749" s="374"/>
      <c r="CV13749" s="376"/>
    </row>
    <row r="13750" spans="1:100">
      <c r="A13750" s="374"/>
      <c r="C13750" s="374"/>
      <c r="CV13750" s="376"/>
    </row>
    <row r="13751" spans="1:100">
      <c r="A13751" s="374"/>
      <c r="C13751" s="374"/>
      <c r="CV13751" s="376"/>
    </row>
    <row r="13752" spans="1:100">
      <c r="A13752" s="374"/>
      <c r="C13752" s="374"/>
      <c r="CV13752" s="376"/>
    </row>
    <row r="13753" spans="1:100">
      <c r="A13753" s="374"/>
      <c r="C13753" s="374"/>
      <c r="CV13753" s="376"/>
    </row>
    <row r="13754" spans="1:100">
      <c r="A13754" s="374"/>
      <c r="C13754" s="374"/>
      <c r="CV13754" s="376"/>
    </row>
    <row r="13755" spans="1:100">
      <c r="A13755" s="374"/>
      <c r="C13755" s="374"/>
      <c r="CV13755" s="376"/>
    </row>
    <row r="13756" spans="1:100">
      <c r="A13756" s="374"/>
      <c r="C13756" s="374"/>
      <c r="CV13756" s="376"/>
    </row>
    <row r="13757" spans="1:100">
      <c r="A13757" s="374"/>
      <c r="C13757" s="374"/>
      <c r="CV13757" s="376"/>
    </row>
    <row r="13758" spans="1:100">
      <c r="A13758" s="374"/>
      <c r="C13758" s="374"/>
      <c r="CV13758" s="376"/>
    </row>
    <row r="13759" spans="1:100">
      <c r="A13759" s="374"/>
      <c r="C13759" s="374"/>
      <c r="CV13759" s="376"/>
    </row>
    <row r="13760" spans="1:100">
      <c r="A13760" s="374"/>
      <c r="C13760" s="374"/>
      <c r="CV13760" s="376"/>
    </row>
    <row r="13761" spans="1:100">
      <c r="A13761" s="374"/>
      <c r="C13761" s="374"/>
      <c r="CV13761" s="376"/>
    </row>
    <row r="13762" spans="1:100">
      <c r="A13762" s="374"/>
      <c r="C13762" s="374"/>
      <c r="CV13762" s="376"/>
    </row>
    <row r="13763" spans="1:100">
      <c r="A13763" s="374"/>
      <c r="C13763" s="374"/>
      <c r="CV13763" s="376"/>
    </row>
    <row r="13764" spans="1:100">
      <c r="A13764" s="374"/>
      <c r="C13764" s="374"/>
      <c r="CV13764" s="376"/>
    </row>
    <row r="13765" spans="1:100">
      <c r="A13765" s="374"/>
      <c r="C13765" s="374"/>
      <c r="CV13765" s="376"/>
    </row>
    <row r="13766" spans="1:100">
      <c r="A13766" s="374"/>
      <c r="C13766" s="374"/>
      <c r="CV13766" s="376"/>
    </row>
    <row r="13767" spans="1:100">
      <c r="A13767" s="374"/>
      <c r="C13767" s="374"/>
      <c r="CV13767" s="376"/>
    </row>
    <row r="13768" spans="1:100">
      <c r="A13768" s="374"/>
      <c r="C13768" s="374"/>
      <c r="CV13768" s="376"/>
    </row>
    <row r="13769" spans="1:100">
      <c r="A13769" s="374"/>
      <c r="C13769" s="374"/>
      <c r="CV13769" s="376"/>
    </row>
    <row r="13770" spans="1:100">
      <c r="A13770" s="374"/>
      <c r="C13770" s="374"/>
      <c r="CV13770" s="376"/>
    </row>
    <row r="13771" spans="1:100">
      <c r="A13771" s="374"/>
      <c r="C13771" s="374"/>
      <c r="CV13771" s="376"/>
    </row>
    <row r="13772" spans="1:100">
      <c r="A13772" s="374"/>
      <c r="C13772" s="374"/>
      <c r="CV13772" s="376"/>
    </row>
    <row r="13773" spans="1:100">
      <c r="A13773" s="374"/>
      <c r="C13773" s="374"/>
      <c r="CV13773" s="376"/>
    </row>
    <row r="13774" spans="1:100">
      <c r="A13774" s="374"/>
      <c r="C13774" s="374"/>
      <c r="CV13774" s="376"/>
    </row>
    <row r="13775" spans="1:100">
      <c r="A13775" s="374"/>
      <c r="C13775" s="374"/>
      <c r="CV13775" s="376"/>
    </row>
    <row r="13776" spans="1:100">
      <c r="A13776" s="374"/>
      <c r="C13776" s="374"/>
      <c r="CV13776" s="376"/>
    </row>
    <row r="13777" spans="1:100">
      <c r="A13777" s="374"/>
      <c r="C13777" s="374"/>
      <c r="CV13777" s="376"/>
    </row>
    <row r="13778" spans="1:100">
      <c r="A13778" s="374"/>
      <c r="C13778" s="374"/>
      <c r="CV13778" s="376"/>
    </row>
    <row r="13779" spans="1:100">
      <c r="A13779" s="374"/>
      <c r="C13779" s="374"/>
      <c r="CV13779" s="376"/>
    </row>
    <row r="13780" spans="1:100">
      <c r="A13780" s="374"/>
      <c r="C13780" s="374"/>
      <c r="CV13780" s="376"/>
    </row>
    <row r="13781" spans="1:100">
      <c r="A13781" s="374"/>
      <c r="C13781" s="374"/>
      <c r="CV13781" s="376"/>
    </row>
    <row r="13782" spans="1:100">
      <c r="A13782" s="374"/>
      <c r="C13782" s="374"/>
      <c r="CV13782" s="376"/>
    </row>
    <row r="13783" spans="1:100">
      <c r="A13783" s="374"/>
      <c r="C13783" s="374"/>
      <c r="CV13783" s="376"/>
    </row>
    <row r="13784" spans="1:100">
      <c r="A13784" s="374"/>
      <c r="C13784" s="374"/>
      <c r="CV13784" s="376"/>
    </row>
    <row r="13785" spans="1:100">
      <c r="A13785" s="374"/>
      <c r="C13785" s="374"/>
      <c r="CV13785" s="376"/>
    </row>
    <row r="13786" spans="1:100">
      <c r="A13786" s="374"/>
      <c r="C13786" s="374"/>
      <c r="CV13786" s="376"/>
    </row>
    <row r="13787" spans="1:100">
      <c r="A13787" s="374"/>
      <c r="C13787" s="374"/>
      <c r="CV13787" s="376"/>
    </row>
    <row r="13788" spans="1:100">
      <c r="A13788" s="374"/>
      <c r="C13788" s="374"/>
      <c r="CV13788" s="376"/>
    </row>
    <row r="13789" spans="1:100">
      <c r="A13789" s="374"/>
      <c r="C13789" s="374"/>
      <c r="CV13789" s="376"/>
    </row>
    <row r="13790" spans="1:100">
      <c r="A13790" s="374"/>
      <c r="C13790" s="374"/>
      <c r="CV13790" s="376"/>
    </row>
    <row r="13791" spans="1:100">
      <c r="A13791" s="374"/>
      <c r="C13791" s="374"/>
      <c r="CV13791" s="376"/>
    </row>
    <row r="13792" spans="1:100">
      <c r="A13792" s="374"/>
      <c r="C13792" s="374"/>
      <c r="CV13792" s="376"/>
    </row>
    <row r="13793" spans="1:100">
      <c r="A13793" s="374"/>
      <c r="C13793" s="374"/>
      <c r="CV13793" s="376"/>
    </row>
    <row r="13794" spans="1:100">
      <c r="A13794" s="374"/>
      <c r="C13794" s="374"/>
      <c r="CV13794" s="376"/>
    </row>
    <row r="13795" spans="1:100">
      <c r="A13795" s="374"/>
      <c r="C13795" s="374"/>
      <c r="CV13795" s="376"/>
    </row>
    <row r="13796" spans="1:100">
      <c r="A13796" s="374"/>
      <c r="C13796" s="374"/>
      <c r="CV13796" s="376"/>
    </row>
    <row r="13797" spans="1:100">
      <c r="A13797" s="374"/>
      <c r="C13797" s="374"/>
      <c r="CV13797" s="376"/>
    </row>
    <row r="13798" spans="1:100">
      <c r="A13798" s="374"/>
      <c r="C13798" s="374"/>
      <c r="CV13798" s="376"/>
    </row>
    <row r="13799" spans="1:100">
      <c r="A13799" s="374"/>
      <c r="C13799" s="374"/>
      <c r="CV13799" s="376"/>
    </row>
    <row r="13800" spans="1:100">
      <c r="A13800" s="374"/>
      <c r="C13800" s="374"/>
      <c r="CV13800" s="376"/>
    </row>
    <row r="13801" spans="1:100">
      <c r="A13801" s="374"/>
      <c r="C13801" s="374"/>
      <c r="CV13801" s="376"/>
    </row>
    <row r="13802" spans="1:100">
      <c r="A13802" s="374"/>
      <c r="C13802" s="374"/>
      <c r="CV13802" s="376"/>
    </row>
    <row r="13803" spans="1:100">
      <c r="A13803" s="374"/>
      <c r="C13803" s="374"/>
      <c r="CV13803" s="376"/>
    </row>
    <row r="13804" spans="1:100">
      <c r="A13804" s="374"/>
      <c r="C13804" s="374"/>
      <c r="CV13804" s="376"/>
    </row>
    <row r="13805" spans="1:100">
      <c r="A13805" s="374"/>
      <c r="C13805" s="374"/>
      <c r="CV13805" s="376"/>
    </row>
    <row r="13806" spans="1:100">
      <c r="A13806" s="374"/>
      <c r="C13806" s="374"/>
      <c r="CV13806" s="376"/>
    </row>
    <row r="13807" spans="1:100">
      <c r="A13807" s="374"/>
      <c r="C13807" s="374"/>
      <c r="CV13807" s="376"/>
    </row>
    <row r="13808" spans="1:100">
      <c r="A13808" s="374"/>
      <c r="C13808" s="374"/>
      <c r="CV13808" s="376"/>
    </row>
    <row r="13809" spans="1:100">
      <c r="A13809" s="374"/>
      <c r="C13809" s="374"/>
      <c r="CV13809" s="376"/>
    </row>
    <row r="13810" spans="1:100">
      <c r="A13810" s="374"/>
      <c r="C13810" s="374"/>
      <c r="CV13810" s="376"/>
    </row>
    <row r="13811" spans="1:100">
      <c r="A13811" s="374"/>
      <c r="C13811" s="374"/>
      <c r="CV13811" s="376"/>
    </row>
    <row r="13812" spans="1:100">
      <c r="A13812" s="374"/>
      <c r="C13812" s="374"/>
      <c r="CV13812" s="376"/>
    </row>
    <row r="13813" spans="1:100">
      <c r="A13813" s="374"/>
      <c r="C13813" s="374"/>
      <c r="CV13813" s="376"/>
    </row>
    <row r="13814" spans="1:100">
      <c r="A13814" s="374"/>
      <c r="C13814" s="374"/>
      <c r="CV13814" s="376"/>
    </row>
    <row r="13815" spans="1:100">
      <c r="A13815" s="374"/>
      <c r="C13815" s="374"/>
      <c r="CV13815" s="376"/>
    </row>
    <row r="13816" spans="1:100">
      <c r="A13816" s="374"/>
      <c r="C13816" s="374"/>
      <c r="CV13816" s="376"/>
    </row>
    <row r="13817" spans="1:100">
      <c r="A13817" s="374"/>
      <c r="C13817" s="374"/>
      <c r="CV13817" s="376"/>
    </row>
    <row r="13818" spans="1:100">
      <c r="A13818" s="374"/>
      <c r="C13818" s="374"/>
      <c r="CV13818" s="376"/>
    </row>
    <row r="13819" spans="1:100">
      <c r="A13819" s="374"/>
      <c r="C13819" s="374"/>
      <c r="CV13819" s="376"/>
    </row>
    <row r="13820" spans="1:100">
      <c r="A13820" s="374"/>
      <c r="C13820" s="374"/>
      <c r="CV13820" s="376"/>
    </row>
    <row r="13821" spans="1:100">
      <c r="A13821" s="374"/>
      <c r="C13821" s="374"/>
      <c r="CV13821" s="376"/>
    </row>
    <row r="13822" spans="1:100">
      <c r="A13822" s="374"/>
      <c r="C13822" s="374"/>
      <c r="CV13822" s="376"/>
    </row>
    <row r="13823" spans="1:100">
      <c r="A13823" s="374"/>
      <c r="C13823" s="374"/>
      <c r="CV13823" s="376"/>
    </row>
    <row r="13824" spans="1:100">
      <c r="A13824" s="374"/>
      <c r="C13824" s="374"/>
      <c r="CV13824" s="376"/>
    </row>
    <row r="13825" spans="1:100">
      <c r="A13825" s="374"/>
      <c r="C13825" s="374"/>
      <c r="CV13825" s="376"/>
    </row>
    <row r="13826" spans="1:100">
      <c r="A13826" s="374"/>
      <c r="C13826" s="374"/>
      <c r="CV13826" s="376"/>
    </row>
    <row r="13827" spans="1:100">
      <c r="A13827" s="374"/>
      <c r="C13827" s="374"/>
      <c r="CV13827" s="376"/>
    </row>
    <row r="13828" spans="1:100">
      <c r="A13828" s="374"/>
      <c r="C13828" s="374"/>
      <c r="CV13828" s="376"/>
    </row>
    <row r="13829" spans="1:100">
      <c r="A13829" s="374"/>
      <c r="C13829" s="374"/>
      <c r="CV13829" s="376"/>
    </row>
    <row r="13830" spans="1:100">
      <c r="A13830" s="374"/>
      <c r="C13830" s="374"/>
      <c r="CV13830" s="376"/>
    </row>
    <row r="13831" spans="1:100">
      <c r="A13831" s="374"/>
      <c r="C13831" s="374"/>
      <c r="CV13831" s="376"/>
    </row>
    <row r="13832" spans="1:100">
      <c r="A13832" s="374"/>
      <c r="C13832" s="374"/>
      <c r="CV13832" s="376"/>
    </row>
    <row r="13833" spans="1:100">
      <c r="A13833" s="374"/>
      <c r="C13833" s="374"/>
      <c r="CV13833" s="376"/>
    </row>
    <row r="13834" spans="1:100">
      <c r="A13834" s="374"/>
      <c r="C13834" s="374"/>
      <c r="CV13834" s="376"/>
    </row>
    <row r="13835" spans="1:100">
      <c r="A13835" s="374"/>
      <c r="C13835" s="374"/>
      <c r="CV13835" s="376"/>
    </row>
    <row r="13836" spans="1:100">
      <c r="A13836" s="374"/>
      <c r="C13836" s="374"/>
      <c r="CV13836" s="376"/>
    </row>
    <row r="13837" spans="1:100">
      <c r="A13837" s="374"/>
      <c r="C13837" s="374"/>
      <c r="CV13837" s="376"/>
    </row>
    <row r="13838" spans="1:100">
      <c r="A13838" s="374"/>
      <c r="C13838" s="374"/>
      <c r="CV13838" s="376"/>
    </row>
    <row r="13839" spans="1:100">
      <c r="A13839" s="374"/>
      <c r="C13839" s="374"/>
      <c r="CV13839" s="376"/>
    </row>
    <row r="13840" spans="1:100">
      <c r="A13840" s="374"/>
      <c r="C13840" s="374"/>
      <c r="CV13840" s="376"/>
    </row>
    <row r="13841" spans="1:100">
      <c r="A13841" s="374"/>
      <c r="C13841" s="374"/>
      <c r="CV13841" s="376"/>
    </row>
    <row r="13842" spans="1:100">
      <c r="A13842" s="374"/>
      <c r="C13842" s="374"/>
      <c r="CV13842" s="376"/>
    </row>
    <row r="13843" spans="1:100">
      <c r="A13843" s="374"/>
      <c r="C13843" s="374"/>
      <c r="CV13843" s="376"/>
    </row>
    <row r="13844" spans="1:100">
      <c r="A13844" s="374"/>
      <c r="C13844" s="374"/>
      <c r="CV13844" s="376"/>
    </row>
    <row r="13845" spans="1:100">
      <c r="A13845" s="374"/>
      <c r="C13845" s="374"/>
      <c r="CV13845" s="376"/>
    </row>
    <row r="13846" spans="1:100">
      <c r="A13846" s="374"/>
      <c r="C13846" s="374"/>
      <c r="CV13846" s="376"/>
    </row>
    <row r="13847" spans="1:100">
      <c r="A13847" s="374"/>
      <c r="C13847" s="374"/>
      <c r="CV13847" s="376"/>
    </row>
    <row r="13848" spans="1:100">
      <c r="A13848" s="374"/>
      <c r="C13848" s="374"/>
      <c r="CV13848" s="376"/>
    </row>
    <row r="13849" spans="1:100">
      <c r="A13849" s="374"/>
      <c r="C13849" s="374"/>
      <c r="CV13849" s="376"/>
    </row>
    <row r="13850" spans="1:100">
      <c r="A13850" s="374"/>
      <c r="C13850" s="374"/>
      <c r="CV13850" s="376"/>
    </row>
    <row r="13851" spans="1:100">
      <c r="A13851" s="374"/>
      <c r="C13851" s="374"/>
      <c r="CV13851" s="376"/>
    </row>
    <row r="13852" spans="1:100">
      <c r="A13852" s="374"/>
      <c r="C13852" s="374"/>
      <c r="CV13852" s="376"/>
    </row>
    <row r="13853" spans="1:100">
      <c r="A13853" s="374"/>
      <c r="C13853" s="374"/>
      <c r="CV13853" s="376"/>
    </row>
    <row r="13854" spans="1:100">
      <c r="A13854" s="374"/>
      <c r="C13854" s="374"/>
      <c r="CV13854" s="376"/>
    </row>
    <row r="13855" spans="1:100">
      <c r="A13855" s="374"/>
      <c r="C13855" s="374"/>
      <c r="CV13855" s="376"/>
    </row>
    <row r="13856" spans="1:100">
      <c r="A13856" s="374"/>
      <c r="C13856" s="374"/>
      <c r="CV13856" s="376"/>
    </row>
    <row r="13857" spans="1:100">
      <c r="A13857" s="374"/>
      <c r="C13857" s="374"/>
      <c r="CV13857" s="376"/>
    </row>
    <row r="13858" spans="1:100">
      <c r="A13858" s="374"/>
      <c r="C13858" s="374"/>
      <c r="CV13858" s="376"/>
    </row>
    <row r="13859" spans="1:100">
      <c r="A13859" s="374"/>
      <c r="C13859" s="374"/>
      <c r="CV13859" s="376"/>
    </row>
    <row r="13860" spans="1:100">
      <c r="A13860" s="374"/>
      <c r="C13860" s="374"/>
      <c r="CV13860" s="376"/>
    </row>
    <row r="13861" spans="1:100">
      <c r="A13861" s="374"/>
      <c r="C13861" s="374"/>
      <c r="CV13861" s="376"/>
    </row>
    <row r="13862" spans="1:100">
      <c r="A13862" s="374"/>
      <c r="C13862" s="374"/>
      <c r="CV13862" s="376"/>
    </row>
    <row r="13863" spans="1:100">
      <c r="A13863" s="374"/>
      <c r="C13863" s="374"/>
      <c r="CV13863" s="376"/>
    </row>
    <row r="13864" spans="1:100">
      <c r="A13864" s="374"/>
      <c r="C13864" s="374"/>
      <c r="CV13864" s="376"/>
    </row>
    <row r="13865" spans="1:100">
      <c r="A13865" s="374"/>
      <c r="C13865" s="374"/>
      <c r="CV13865" s="376"/>
    </row>
    <row r="13866" spans="1:100">
      <c r="A13866" s="374"/>
      <c r="C13866" s="374"/>
      <c r="CV13866" s="376"/>
    </row>
    <row r="13867" spans="1:100">
      <c r="A13867" s="374"/>
      <c r="C13867" s="374"/>
      <c r="CV13867" s="376"/>
    </row>
    <row r="13868" spans="1:100">
      <c r="A13868" s="374"/>
      <c r="C13868" s="374"/>
      <c r="CV13868" s="376"/>
    </row>
    <row r="13869" spans="1:100">
      <c r="A13869" s="374"/>
      <c r="C13869" s="374"/>
      <c r="CV13869" s="376"/>
    </row>
    <row r="13870" spans="1:100">
      <c r="A13870" s="374"/>
      <c r="C13870" s="374"/>
      <c r="CV13870" s="376"/>
    </row>
    <row r="13871" spans="1:100">
      <c r="A13871" s="374"/>
      <c r="C13871" s="374"/>
      <c r="CV13871" s="376"/>
    </row>
    <row r="13872" spans="1:100">
      <c r="A13872" s="374"/>
      <c r="C13872" s="374"/>
      <c r="CV13872" s="376"/>
    </row>
    <row r="13873" spans="1:100">
      <c r="A13873" s="374"/>
      <c r="C13873" s="374"/>
      <c r="CV13873" s="376"/>
    </row>
    <row r="13874" spans="1:100">
      <c r="A13874" s="374"/>
      <c r="C13874" s="374"/>
      <c r="CV13874" s="376"/>
    </row>
    <row r="13875" spans="1:100">
      <c r="A13875" s="374"/>
      <c r="C13875" s="374"/>
      <c r="CV13875" s="376"/>
    </row>
    <row r="13876" spans="1:100">
      <c r="A13876" s="374"/>
      <c r="C13876" s="374"/>
      <c r="CV13876" s="376"/>
    </row>
    <row r="13877" spans="1:100">
      <c r="A13877" s="374"/>
      <c r="C13877" s="374"/>
      <c r="CV13877" s="376"/>
    </row>
    <row r="13878" spans="1:100">
      <c r="A13878" s="374"/>
      <c r="C13878" s="374"/>
      <c r="CV13878" s="376"/>
    </row>
    <row r="13879" spans="1:100">
      <c r="A13879" s="374"/>
      <c r="C13879" s="374"/>
      <c r="CV13879" s="376"/>
    </row>
    <row r="13880" spans="1:100">
      <c r="A13880" s="374"/>
      <c r="C13880" s="374"/>
      <c r="CV13880" s="376"/>
    </row>
    <row r="13881" spans="1:100">
      <c r="A13881" s="374"/>
      <c r="C13881" s="374"/>
      <c r="CV13881" s="376"/>
    </row>
    <row r="13882" spans="1:100">
      <c r="A13882" s="374"/>
      <c r="C13882" s="374"/>
      <c r="CV13882" s="376"/>
    </row>
    <row r="13883" spans="1:100">
      <c r="A13883" s="374"/>
      <c r="C13883" s="374"/>
      <c r="CV13883" s="376"/>
    </row>
    <row r="13884" spans="1:100">
      <c r="A13884" s="374"/>
      <c r="C13884" s="374"/>
      <c r="CV13884" s="376"/>
    </row>
    <row r="13885" spans="1:100">
      <c r="A13885" s="374"/>
      <c r="C13885" s="374"/>
      <c r="CV13885" s="376"/>
    </row>
    <row r="13886" spans="1:100">
      <c r="A13886" s="374"/>
      <c r="C13886" s="374"/>
      <c r="CV13886" s="376"/>
    </row>
    <row r="13887" spans="1:100">
      <c r="A13887" s="374"/>
      <c r="C13887" s="374"/>
      <c r="CV13887" s="376"/>
    </row>
    <row r="13888" spans="1:100">
      <c r="A13888" s="374"/>
      <c r="C13888" s="374"/>
      <c r="CV13888" s="376"/>
    </row>
    <row r="13889" spans="1:100">
      <c r="A13889" s="374"/>
      <c r="C13889" s="374"/>
      <c r="CV13889" s="376"/>
    </row>
    <row r="13890" spans="1:100">
      <c r="A13890" s="374"/>
      <c r="C13890" s="374"/>
      <c r="CV13890" s="376"/>
    </row>
    <row r="13891" spans="1:100">
      <c r="A13891" s="374"/>
      <c r="C13891" s="374"/>
      <c r="CV13891" s="376"/>
    </row>
    <row r="13892" spans="1:100">
      <c r="A13892" s="374"/>
      <c r="C13892" s="374"/>
      <c r="CV13892" s="376"/>
    </row>
    <row r="13893" spans="1:100">
      <c r="A13893" s="374"/>
      <c r="C13893" s="374"/>
      <c r="CV13893" s="376"/>
    </row>
    <row r="13894" spans="1:100">
      <c r="A13894" s="374"/>
      <c r="C13894" s="374"/>
      <c r="CV13894" s="376"/>
    </row>
    <row r="13895" spans="1:100">
      <c r="A13895" s="374"/>
      <c r="C13895" s="374"/>
      <c r="CV13895" s="376"/>
    </row>
    <row r="13896" spans="1:100">
      <c r="A13896" s="374"/>
      <c r="C13896" s="374"/>
      <c r="CV13896" s="376"/>
    </row>
    <row r="13897" spans="1:100">
      <c r="A13897" s="374"/>
      <c r="C13897" s="374"/>
      <c r="CV13897" s="376"/>
    </row>
    <row r="13898" spans="1:100">
      <c r="A13898" s="374"/>
      <c r="C13898" s="374"/>
      <c r="CV13898" s="376"/>
    </row>
    <row r="13899" spans="1:100">
      <c r="A13899" s="374"/>
      <c r="C13899" s="374"/>
      <c r="CV13899" s="376"/>
    </row>
    <row r="13900" spans="1:100">
      <c r="A13900" s="374"/>
      <c r="C13900" s="374"/>
      <c r="CV13900" s="376"/>
    </row>
    <row r="13901" spans="1:100">
      <c r="A13901" s="374"/>
      <c r="C13901" s="374"/>
      <c r="CV13901" s="376"/>
    </row>
    <row r="13902" spans="1:100">
      <c r="A13902" s="374"/>
      <c r="C13902" s="374"/>
      <c r="CV13902" s="376"/>
    </row>
    <row r="13903" spans="1:100">
      <c r="A13903" s="374"/>
      <c r="C13903" s="374"/>
      <c r="CV13903" s="376"/>
    </row>
    <row r="13904" spans="1:100">
      <c r="A13904" s="374"/>
      <c r="C13904" s="374"/>
      <c r="CV13904" s="376"/>
    </row>
    <row r="13905" spans="1:100">
      <c r="A13905" s="374"/>
      <c r="C13905" s="374"/>
      <c r="CV13905" s="376"/>
    </row>
    <row r="13906" spans="1:100">
      <c r="A13906" s="374"/>
      <c r="C13906" s="374"/>
      <c r="CV13906" s="376"/>
    </row>
    <row r="13907" spans="1:100">
      <c r="A13907" s="374"/>
      <c r="C13907" s="374"/>
      <c r="CV13907" s="376"/>
    </row>
    <row r="13908" spans="1:100">
      <c r="A13908" s="374"/>
      <c r="C13908" s="374"/>
      <c r="CV13908" s="376"/>
    </row>
    <row r="13909" spans="1:100">
      <c r="A13909" s="374"/>
      <c r="C13909" s="374"/>
      <c r="CV13909" s="376"/>
    </row>
    <row r="13910" spans="1:100">
      <c r="A13910" s="374"/>
      <c r="C13910" s="374"/>
      <c r="CV13910" s="376"/>
    </row>
    <row r="13911" spans="1:100">
      <c r="A13911" s="374"/>
      <c r="C13911" s="374"/>
      <c r="CV13911" s="376"/>
    </row>
    <row r="13912" spans="1:100">
      <c r="A13912" s="374"/>
      <c r="C13912" s="374"/>
      <c r="CV13912" s="376"/>
    </row>
    <row r="13913" spans="1:100">
      <c r="A13913" s="374"/>
      <c r="C13913" s="374"/>
      <c r="CV13913" s="376"/>
    </row>
    <row r="13914" spans="1:100">
      <c r="A13914" s="374"/>
      <c r="C13914" s="374"/>
      <c r="CV13914" s="376"/>
    </row>
    <row r="13915" spans="1:100">
      <c r="A13915" s="374"/>
      <c r="C13915" s="374"/>
      <c r="CV13915" s="376"/>
    </row>
    <row r="13916" spans="1:100">
      <c r="A13916" s="374"/>
      <c r="C13916" s="374"/>
      <c r="CV13916" s="376"/>
    </row>
    <row r="13917" spans="1:100">
      <c r="A13917" s="374"/>
      <c r="C13917" s="374"/>
      <c r="CV13917" s="376"/>
    </row>
    <row r="13918" spans="1:100">
      <c r="A13918" s="374"/>
      <c r="C13918" s="374"/>
      <c r="CV13918" s="376"/>
    </row>
    <row r="13919" spans="1:100">
      <c r="A13919" s="374"/>
      <c r="C13919" s="374"/>
      <c r="CV13919" s="376"/>
    </row>
    <row r="13920" spans="1:100">
      <c r="A13920" s="374"/>
      <c r="C13920" s="374"/>
      <c r="CV13920" s="376"/>
    </row>
    <row r="13921" spans="1:100">
      <c r="A13921" s="374"/>
      <c r="C13921" s="374"/>
      <c r="CV13921" s="376"/>
    </row>
    <row r="13922" spans="1:100">
      <c r="A13922" s="374"/>
      <c r="C13922" s="374"/>
      <c r="CV13922" s="376"/>
    </row>
    <row r="13923" spans="1:100">
      <c r="A13923" s="374"/>
      <c r="C13923" s="374"/>
      <c r="CV13923" s="376"/>
    </row>
    <row r="13924" spans="1:100">
      <c r="A13924" s="374"/>
      <c r="C13924" s="374"/>
      <c r="CV13924" s="376"/>
    </row>
    <row r="13925" spans="1:100">
      <c r="A13925" s="374"/>
      <c r="C13925" s="374"/>
      <c r="CV13925" s="376"/>
    </row>
    <row r="13926" spans="1:100">
      <c r="A13926" s="374"/>
      <c r="C13926" s="374"/>
      <c r="CV13926" s="376"/>
    </row>
    <row r="13927" spans="1:100">
      <c r="A13927" s="374"/>
      <c r="C13927" s="374"/>
      <c r="CV13927" s="376"/>
    </row>
    <row r="13928" spans="1:100">
      <c r="A13928" s="374"/>
      <c r="C13928" s="374"/>
      <c r="CV13928" s="376"/>
    </row>
    <row r="13929" spans="1:100">
      <c r="A13929" s="374"/>
      <c r="C13929" s="374"/>
      <c r="CV13929" s="376"/>
    </row>
    <row r="13930" spans="1:100">
      <c r="A13930" s="374"/>
      <c r="C13930" s="374"/>
      <c r="CV13930" s="376"/>
    </row>
    <row r="13931" spans="1:100">
      <c r="A13931" s="374"/>
      <c r="C13931" s="374"/>
      <c r="CV13931" s="376"/>
    </row>
    <row r="13932" spans="1:100">
      <c r="A13932" s="374"/>
      <c r="C13932" s="374"/>
      <c r="CV13932" s="376"/>
    </row>
    <row r="13933" spans="1:100">
      <c r="A13933" s="374"/>
      <c r="C13933" s="374"/>
      <c r="CV13933" s="376"/>
    </row>
    <row r="13934" spans="1:100">
      <c r="A13934" s="374"/>
      <c r="C13934" s="374"/>
      <c r="CV13934" s="376"/>
    </row>
    <row r="13935" spans="1:100">
      <c r="A13935" s="374"/>
      <c r="C13935" s="374"/>
      <c r="CV13935" s="376"/>
    </row>
    <row r="13936" spans="1:100">
      <c r="A13936" s="374"/>
      <c r="C13936" s="374"/>
      <c r="CV13936" s="376"/>
    </row>
    <row r="13937" spans="1:100">
      <c r="A13937" s="374"/>
      <c r="C13937" s="374"/>
      <c r="CV13937" s="376"/>
    </row>
    <row r="13938" spans="1:100">
      <c r="A13938" s="374"/>
      <c r="C13938" s="374"/>
      <c r="CV13938" s="376"/>
    </row>
    <row r="13939" spans="1:100">
      <c r="A13939" s="374"/>
      <c r="C13939" s="374"/>
      <c r="CV13939" s="376"/>
    </row>
    <row r="13940" spans="1:100">
      <c r="A13940" s="374"/>
      <c r="C13940" s="374"/>
      <c r="CV13940" s="376"/>
    </row>
    <row r="13941" spans="1:100">
      <c r="A13941" s="374"/>
      <c r="C13941" s="374"/>
      <c r="CV13941" s="376"/>
    </row>
    <row r="13942" spans="1:100">
      <c r="A13942" s="374"/>
      <c r="C13942" s="374"/>
      <c r="CV13942" s="376"/>
    </row>
    <row r="13943" spans="1:100">
      <c r="A13943" s="374"/>
      <c r="C13943" s="374"/>
      <c r="CV13943" s="376"/>
    </row>
    <row r="13944" spans="1:100">
      <c r="A13944" s="374"/>
      <c r="C13944" s="374"/>
      <c r="CV13944" s="376"/>
    </row>
    <row r="13945" spans="1:100">
      <c r="A13945" s="374"/>
      <c r="C13945" s="374"/>
      <c r="CV13945" s="376"/>
    </row>
    <row r="13946" spans="1:100">
      <c r="A13946" s="374"/>
      <c r="C13946" s="374"/>
      <c r="CV13946" s="376"/>
    </row>
    <row r="13947" spans="1:100">
      <c r="A13947" s="374"/>
      <c r="C13947" s="374"/>
      <c r="CV13947" s="376"/>
    </row>
    <row r="13948" spans="1:100">
      <c r="A13948" s="374"/>
      <c r="C13948" s="374"/>
      <c r="CV13948" s="376"/>
    </row>
    <row r="13949" spans="1:100">
      <c r="A13949" s="374"/>
      <c r="C13949" s="374"/>
      <c r="CV13949" s="376"/>
    </row>
    <row r="13950" spans="1:100">
      <c r="A13950" s="374"/>
      <c r="C13950" s="374"/>
      <c r="CV13950" s="376"/>
    </row>
    <row r="13951" spans="1:100">
      <c r="A13951" s="374"/>
      <c r="C13951" s="374"/>
      <c r="CV13951" s="376"/>
    </row>
    <row r="13952" spans="1:100">
      <c r="A13952" s="374"/>
      <c r="C13952" s="374"/>
      <c r="CV13952" s="376"/>
    </row>
    <row r="13953" spans="1:100">
      <c r="A13953" s="374"/>
      <c r="C13953" s="374"/>
      <c r="CV13953" s="376"/>
    </row>
    <row r="13954" spans="1:100">
      <c r="A13954" s="374"/>
      <c r="C13954" s="374"/>
      <c r="CV13954" s="376"/>
    </row>
    <row r="13955" spans="1:100">
      <c r="A13955" s="374"/>
      <c r="C13955" s="374"/>
      <c r="CV13955" s="376"/>
    </row>
    <row r="13956" spans="1:100">
      <c r="A13956" s="374"/>
      <c r="C13956" s="374"/>
      <c r="CV13956" s="376"/>
    </row>
    <row r="13957" spans="1:100">
      <c r="A13957" s="374"/>
      <c r="C13957" s="374"/>
      <c r="CV13957" s="376"/>
    </row>
    <row r="13958" spans="1:100">
      <c r="A13958" s="374"/>
      <c r="C13958" s="374"/>
      <c r="CV13958" s="376"/>
    </row>
    <row r="13959" spans="1:100">
      <c r="A13959" s="374"/>
      <c r="C13959" s="374"/>
      <c r="CV13959" s="376"/>
    </row>
    <row r="13960" spans="1:100">
      <c r="A13960" s="374"/>
      <c r="C13960" s="374"/>
      <c r="CV13960" s="376"/>
    </row>
    <row r="13961" spans="1:100">
      <c r="A13961" s="374"/>
      <c r="C13961" s="374"/>
      <c r="CV13961" s="376"/>
    </row>
    <row r="13962" spans="1:100">
      <c r="A13962" s="374"/>
      <c r="C13962" s="374"/>
      <c r="CV13962" s="376"/>
    </row>
    <row r="13963" spans="1:100">
      <c r="A13963" s="374"/>
      <c r="C13963" s="374"/>
      <c r="CV13963" s="376"/>
    </row>
    <row r="13964" spans="1:100">
      <c r="A13964" s="374"/>
      <c r="C13964" s="374"/>
      <c r="CV13964" s="376"/>
    </row>
    <row r="13965" spans="1:100">
      <c r="A13965" s="374"/>
      <c r="C13965" s="374"/>
      <c r="CV13965" s="376"/>
    </row>
    <row r="13966" spans="1:100">
      <c r="A13966" s="374"/>
      <c r="C13966" s="374"/>
      <c r="CV13966" s="376"/>
    </row>
    <row r="13967" spans="1:100">
      <c r="A13967" s="374"/>
      <c r="C13967" s="374"/>
      <c r="CV13967" s="376"/>
    </row>
    <row r="13968" spans="1:100">
      <c r="A13968" s="374"/>
      <c r="C13968" s="374"/>
      <c r="CV13968" s="376"/>
    </row>
    <row r="13969" spans="1:100">
      <c r="A13969" s="374"/>
      <c r="C13969" s="374"/>
      <c r="CV13969" s="376"/>
    </row>
    <row r="13970" spans="1:100">
      <c r="A13970" s="374"/>
      <c r="C13970" s="374"/>
      <c r="CV13970" s="376"/>
    </row>
    <row r="13971" spans="1:100">
      <c r="A13971" s="374"/>
      <c r="C13971" s="374"/>
      <c r="CV13971" s="376"/>
    </row>
    <row r="13972" spans="1:100">
      <c r="A13972" s="374"/>
      <c r="C13972" s="374"/>
      <c r="CV13972" s="376"/>
    </row>
    <row r="13973" spans="1:100">
      <c r="A13973" s="374"/>
      <c r="C13973" s="374"/>
      <c r="CV13973" s="376"/>
    </row>
    <row r="13974" spans="1:100">
      <c r="A13974" s="374"/>
      <c r="C13974" s="374"/>
      <c r="CV13974" s="376"/>
    </row>
    <row r="13975" spans="1:100">
      <c r="A13975" s="374"/>
      <c r="C13975" s="374"/>
      <c r="CV13975" s="376"/>
    </row>
    <row r="13976" spans="1:100">
      <c r="A13976" s="374"/>
      <c r="C13976" s="374"/>
      <c r="CV13976" s="376"/>
    </row>
    <row r="13977" spans="1:100">
      <c r="A13977" s="374"/>
      <c r="C13977" s="374"/>
      <c r="CV13977" s="376"/>
    </row>
    <row r="13978" spans="1:100">
      <c r="A13978" s="374"/>
      <c r="C13978" s="374"/>
      <c r="CV13978" s="376"/>
    </row>
    <row r="13979" spans="1:100">
      <c r="A13979" s="374"/>
      <c r="C13979" s="374"/>
      <c r="CV13979" s="376"/>
    </row>
    <row r="13980" spans="1:100">
      <c r="A13980" s="374"/>
      <c r="C13980" s="374"/>
      <c r="CV13980" s="376"/>
    </row>
    <row r="13981" spans="1:100">
      <c r="A13981" s="374"/>
      <c r="C13981" s="374"/>
      <c r="CV13981" s="376"/>
    </row>
    <row r="13982" spans="1:100">
      <c r="A13982" s="374"/>
      <c r="C13982" s="374"/>
      <c r="CV13982" s="376"/>
    </row>
    <row r="13983" spans="1:100">
      <c r="A13983" s="374"/>
      <c r="C13983" s="374"/>
      <c r="CV13983" s="376"/>
    </row>
    <row r="13984" spans="1:100">
      <c r="A13984" s="374"/>
      <c r="C13984" s="374"/>
      <c r="CV13984" s="376"/>
    </row>
    <row r="13985" spans="1:100">
      <c r="A13985" s="374"/>
      <c r="C13985" s="374"/>
      <c r="CV13985" s="376"/>
    </row>
    <row r="13986" spans="1:100">
      <c r="A13986" s="374"/>
      <c r="C13986" s="374"/>
      <c r="CV13986" s="376"/>
    </row>
    <row r="13987" spans="1:100">
      <c r="A13987" s="374"/>
      <c r="C13987" s="374"/>
      <c r="CV13987" s="376"/>
    </row>
    <row r="13988" spans="1:100">
      <c r="A13988" s="374"/>
      <c r="C13988" s="374"/>
      <c r="CV13988" s="376"/>
    </row>
    <row r="13989" spans="1:100">
      <c r="A13989" s="374"/>
      <c r="C13989" s="374"/>
      <c r="CV13989" s="376"/>
    </row>
    <row r="13990" spans="1:100">
      <c r="A13990" s="374"/>
      <c r="C13990" s="374"/>
      <c r="CV13990" s="376"/>
    </row>
    <row r="13991" spans="1:100">
      <c r="A13991" s="374"/>
      <c r="C13991" s="374"/>
      <c r="CV13991" s="376"/>
    </row>
    <row r="13992" spans="1:100">
      <c r="A13992" s="374"/>
      <c r="C13992" s="374"/>
      <c r="CV13992" s="376"/>
    </row>
    <row r="13993" spans="1:100">
      <c r="A13993" s="374"/>
      <c r="C13993" s="374"/>
      <c r="CV13993" s="376"/>
    </row>
    <row r="13994" spans="1:100">
      <c r="A13994" s="374"/>
      <c r="C13994" s="374"/>
      <c r="CV13994" s="376"/>
    </row>
    <row r="13995" spans="1:100">
      <c r="A13995" s="374"/>
      <c r="C13995" s="374"/>
      <c r="CV13995" s="376"/>
    </row>
    <row r="13996" spans="1:100">
      <c r="A13996" s="374"/>
      <c r="C13996" s="374"/>
      <c r="CV13996" s="376"/>
    </row>
    <row r="13997" spans="1:100">
      <c r="A13997" s="374"/>
      <c r="C13997" s="374"/>
      <c r="CV13997" s="376"/>
    </row>
    <row r="13998" spans="1:100">
      <c r="A13998" s="374"/>
      <c r="C13998" s="374"/>
      <c r="CV13998" s="376"/>
    </row>
    <row r="13999" spans="1:100">
      <c r="A13999" s="374"/>
      <c r="C13999" s="374"/>
      <c r="CV13999" s="376"/>
    </row>
    <row r="14000" spans="1:100">
      <c r="A14000" s="374"/>
      <c r="C14000" s="374"/>
      <c r="CV14000" s="376"/>
    </row>
    <row r="14001" spans="1:100">
      <c r="A14001" s="374"/>
      <c r="C14001" s="374"/>
      <c r="CV14001" s="376"/>
    </row>
    <row r="14002" spans="1:100">
      <c r="A14002" s="374"/>
      <c r="C14002" s="374"/>
      <c r="CV14002" s="376"/>
    </row>
    <row r="14003" spans="1:100">
      <c r="A14003" s="374"/>
      <c r="C14003" s="374"/>
      <c r="CV14003" s="376"/>
    </row>
    <row r="14004" spans="1:100">
      <c r="A14004" s="374"/>
      <c r="C14004" s="374"/>
      <c r="CV14004" s="376"/>
    </row>
    <row r="14005" spans="1:100">
      <c r="A14005" s="374"/>
      <c r="C14005" s="374"/>
      <c r="CV14005" s="376"/>
    </row>
    <row r="14006" spans="1:100">
      <c r="A14006" s="374"/>
      <c r="C14006" s="374"/>
      <c r="CV14006" s="376"/>
    </row>
    <row r="14007" spans="1:100">
      <c r="A14007" s="374"/>
      <c r="C14007" s="374"/>
      <c r="CV14007" s="376"/>
    </row>
    <row r="14008" spans="1:100">
      <c r="A14008" s="374"/>
      <c r="C14008" s="374"/>
      <c r="CV14008" s="376"/>
    </row>
    <row r="14009" spans="1:100">
      <c r="A14009" s="374"/>
      <c r="C14009" s="374"/>
      <c r="CV14009" s="376"/>
    </row>
    <row r="14010" spans="1:100">
      <c r="A14010" s="374"/>
      <c r="C14010" s="374"/>
      <c r="CV14010" s="376"/>
    </row>
    <row r="14011" spans="1:100">
      <c r="A14011" s="374"/>
      <c r="C14011" s="374"/>
      <c r="CV14011" s="376"/>
    </row>
    <row r="14012" spans="1:100">
      <c r="A14012" s="374"/>
      <c r="C14012" s="374"/>
      <c r="CV14012" s="376"/>
    </row>
    <row r="14013" spans="1:100">
      <c r="A14013" s="374"/>
      <c r="C14013" s="374"/>
      <c r="CV14013" s="376"/>
    </row>
    <row r="14014" spans="1:100">
      <c r="A14014" s="374"/>
      <c r="C14014" s="374"/>
      <c r="CV14014" s="376"/>
    </row>
    <row r="14015" spans="1:100">
      <c r="A14015" s="374"/>
      <c r="C14015" s="374"/>
      <c r="CV14015" s="376"/>
    </row>
    <row r="14016" spans="1:100">
      <c r="A14016" s="374"/>
      <c r="C14016" s="374"/>
      <c r="CV14016" s="376"/>
    </row>
    <row r="14017" spans="1:100">
      <c r="A14017" s="374"/>
      <c r="C14017" s="374"/>
      <c r="CV14017" s="376"/>
    </row>
    <row r="14018" spans="1:100">
      <c r="A14018" s="374"/>
      <c r="C14018" s="374"/>
      <c r="CV14018" s="376"/>
    </row>
    <row r="14019" spans="1:100">
      <c r="A14019" s="374"/>
      <c r="C14019" s="374"/>
      <c r="CV14019" s="376"/>
    </row>
    <row r="14020" spans="1:100">
      <c r="A14020" s="374"/>
      <c r="C14020" s="374"/>
      <c r="CV14020" s="376"/>
    </row>
    <row r="14021" spans="1:100">
      <c r="A14021" s="374"/>
      <c r="C14021" s="374"/>
      <c r="CV14021" s="376"/>
    </row>
    <row r="14022" spans="1:100">
      <c r="A14022" s="374"/>
      <c r="C14022" s="374"/>
      <c r="CV14022" s="376"/>
    </row>
    <row r="14023" spans="1:100">
      <c r="A14023" s="374"/>
      <c r="C14023" s="374"/>
      <c r="CV14023" s="376"/>
    </row>
    <row r="14024" spans="1:100">
      <c r="A14024" s="374"/>
      <c r="C14024" s="374"/>
      <c r="CV14024" s="376"/>
    </row>
    <row r="14025" spans="1:100">
      <c r="A14025" s="374"/>
      <c r="C14025" s="374"/>
      <c r="CV14025" s="376"/>
    </row>
    <row r="14026" spans="1:100">
      <c r="A14026" s="374"/>
      <c r="C14026" s="374"/>
      <c r="CV14026" s="376"/>
    </row>
    <row r="14027" spans="1:100">
      <c r="A14027" s="374"/>
      <c r="C14027" s="374"/>
      <c r="CV14027" s="376"/>
    </row>
    <row r="14028" spans="1:100">
      <c r="A14028" s="374"/>
      <c r="C14028" s="374"/>
      <c r="CV14028" s="376"/>
    </row>
    <row r="14029" spans="1:100">
      <c r="A14029" s="374"/>
      <c r="C14029" s="374"/>
      <c r="CV14029" s="376"/>
    </row>
    <row r="14030" spans="1:100">
      <c r="A14030" s="374"/>
      <c r="C14030" s="374"/>
      <c r="CV14030" s="376"/>
    </row>
    <row r="14031" spans="1:100">
      <c r="A14031" s="374"/>
      <c r="C14031" s="374"/>
      <c r="CV14031" s="376"/>
    </row>
    <row r="14032" spans="1:100">
      <c r="A14032" s="374"/>
      <c r="C14032" s="374"/>
      <c r="CV14032" s="376"/>
    </row>
    <row r="14033" spans="1:100">
      <c r="A14033" s="374"/>
      <c r="C14033" s="374"/>
      <c r="CV14033" s="376"/>
    </row>
    <row r="14034" spans="1:100">
      <c r="A14034" s="374"/>
      <c r="C14034" s="374"/>
      <c r="CV14034" s="376"/>
    </row>
    <row r="14035" spans="1:100">
      <c r="A14035" s="374"/>
      <c r="C14035" s="374"/>
      <c r="CV14035" s="376"/>
    </row>
    <row r="14036" spans="1:100">
      <c r="A14036" s="374"/>
      <c r="C14036" s="374"/>
      <c r="CV14036" s="376"/>
    </row>
    <row r="14037" spans="1:100">
      <c r="A14037" s="374"/>
      <c r="C14037" s="374"/>
      <c r="CV14037" s="376"/>
    </row>
    <row r="14038" spans="1:100">
      <c r="A14038" s="374"/>
      <c r="C14038" s="374"/>
      <c r="CV14038" s="376"/>
    </row>
    <row r="14039" spans="1:100">
      <c r="A14039" s="374"/>
      <c r="C14039" s="374"/>
      <c r="CV14039" s="376"/>
    </row>
    <row r="14040" spans="1:100">
      <c r="A14040" s="374"/>
      <c r="C14040" s="374"/>
      <c r="CV14040" s="376"/>
    </row>
    <row r="14041" spans="1:100">
      <c r="A14041" s="374"/>
      <c r="C14041" s="374"/>
      <c r="CV14041" s="376"/>
    </row>
    <row r="14042" spans="1:100">
      <c r="A14042" s="374"/>
      <c r="C14042" s="374"/>
      <c r="CV14042" s="376"/>
    </row>
    <row r="14043" spans="1:100">
      <c r="A14043" s="374"/>
      <c r="C14043" s="374"/>
      <c r="CV14043" s="376"/>
    </row>
    <row r="14044" spans="1:100">
      <c r="A14044" s="374"/>
      <c r="C14044" s="374"/>
      <c r="CV14044" s="376"/>
    </row>
    <row r="14045" spans="1:100">
      <c r="A14045" s="374"/>
      <c r="C14045" s="374"/>
      <c r="CV14045" s="376"/>
    </row>
    <row r="14046" spans="1:100">
      <c r="A14046" s="374"/>
      <c r="C14046" s="374"/>
      <c r="CV14046" s="376"/>
    </row>
    <row r="14047" spans="1:100">
      <c r="A14047" s="374"/>
      <c r="C14047" s="374"/>
      <c r="CV14047" s="376"/>
    </row>
    <row r="14048" spans="1:100">
      <c r="A14048" s="374"/>
      <c r="C14048" s="374"/>
      <c r="CV14048" s="376"/>
    </row>
    <row r="14049" spans="1:100">
      <c r="A14049" s="374"/>
      <c r="C14049" s="374"/>
      <c r="CV14049" s="376"/>
    </row>
    <row r="14050" spans="1:100">
      <c r="A14050" s="374"/>
      <c r="C14050" s="374"/>
      <c r="CV14050" s="376"/>
    </row>
    <row r="14051" spans="1:100">
      <c r="A14051" s="374"/>
      <c r="C14051" s="374"/>
      <c r="CV14051" s="376"/>
    </row>
    <row r="14052" spans="1:100">
      <c r="A14052" s="374"/>
      <c r="C14052" s="374"/>
      <c r="CV14052" s="376"/>
    </row>
    <row r="14053" spans="1:100">
      <c r="A14053" s="374"/>
      <c r="C14053" s="374"/>
      <c r="CV14053" s="376"/>
    </row>
    <row r="14054" spans="1:100">
      <c r="A14054" s="374"/>
      <c r="C14054" s="374"/>
      <c r="CV14054" s="376"/>
    </row>
    <row r="14055" spans="1:100">
      <c r="A14055" s="374"/>
      <c r="C14055" s="374"/>
      <c r="CV14055" s="376"/>
    </row>
    <row r="14056" spans="1:100">
      <c r="A14056" s="374"/>
      <c r="C14056" s="374"/>
      <c r="CV14056" s="376"/>
    </row>
    <row r="14057" spans="1:100">
      <c r="A14057" s="374"/>
      <c r="C14057" s="374"/>
      <c r="CV14057" s="376"/>
    </row>
    <row r="14058" spans="1:100">
      <c r="A14058" s="374"/>
      <c r="C14058" s="374"/>
      <c r="CV14058" s="376"/>
    </row>
    <row r="14059" spans="1:100">
      <c r="A14059" s="374"/>
      <c r="C14059" s="374"/>
      <c r="CV14059" s="376"/>
    </row>
    <row r="14060" spans="1:100">
      <c r="A14060" s="374"/>
      <c r="C14060" s="374"/>
      <c r="CV14060" s="376"/>
    </row>
    <row r="14061" spans="1:100">
      <c r="A14061" s="374"/>
      <c r="C14061" s="374"/>
      <c r="CV14061" s="376"/>
    </row>
    <row r="14062" spans="1:100">
      <c r="A14062" s="374"/>
      <c r="C14062" s="374"/>
      <c r="CV14062" s="376"/>
    </row>
    <row r="14063" spans="1:100">
      <c r="A14063" s="374"/>
      <c r="C14063" s="374"/>
      <c r="CV14063" s="376"/>
    </row>
    <row r="14064" spans="1:100">
      <c r="A14064" s="374"/>
      <c r="C14064" s="374"/>
      <c r="CV14064" s="376"/>
    </row>
    <row r="14065" spans="1:100">
      <c r="A14065" s="374"/>
      <c r="C14065" s="374"/>
      <c r="CV14065" s="376"/>
    </row>
    <row r="14066" spans="1:100">
      <c r="A14066" s="374"/>
      <c r="C14066" s="374"/>
      <c r="CV14066" s="376"/>
    </row>
    <row r="14067" spans="1:100">
      <c r="A14067" s="374"/>
      <c r="C14067" s="374"/>
      <c r="CV14067" s="376"/>
    </row>
    <row r="14068" spans="1:100">
      <c r="A14068" s="374"/>
      <c r="C14068" s="374"/>
      <c r="CV14068" s="376"/>
    </row>
    <row r="14069" spans="1:100">
      <c r="A14069" s="374"/>
      <c r="C14069" s="374"/>
      <c r="CV14069" s="376"/>
    </row>
    <row r="14070" spans="1:100">
      <c r="A14070" s="374"/>
      <c r="C14070" s="374"/>
      <c r="CV14070" s="376"/>
    </row>
    <row r="14071" spans="1:100">
      <c r="A14071" s="374"/>
      <c r="C14071" s="374"/>
      <c r="CV14071" s="376"/>
    </row>
    <row r="14072" spans="1:100">
      <c r="A14072" s="374"/>
      <c r="C14072" s="374"/>
      <c r="CV14072" s="376"/>
    </row>
    <row r="14073" spans="1:100">
      <c r="A14073" s="374"/>
      <c r="C14073" s="374"/>
      <c r="CV14073" s="376"/>
    </row>
    <row r="14074" spans="1:100">
      <c r="A14074" s="374"/>
      <c r="C14074" s="374"/>
      <c r="CV14074" s="376"/>
    </row>
    <row r="14075" spans="1:100">
      <c r="A14075" s="374"/>
      <c r="C14075" s="374"/>
      <c r="CV14075" s="376"/>
    </row>
    <row r="14076" spans="1:100">
      <c r="A14076" s="374"/>
      <c r="C14076" s="374"/>
      <c r="CV14076" s="376"/>
    </row>
    <row r="14077" spans="1:100">
      <c r="A14077" s="374"/>
      <c r="C14077" s="374"/>
      <c r="CV14077" s="376"/>
    </row>
    <row r="14078" spans="1:100">
      <c r="A14078" s="374"/>
      <c r="C14078" s="374"/>
      <c r="CV14078" s="376"/>
    </row>
    <row r="14079" spans="1:100">
      <c r="A14079" s="374"/>
      <c r="C14079" s="374"/>
      <c r="CV14079" s="376"/>
    </row>
    <row r="14080" spans="1:100">
      <c r="A14080" s="374"/>
      <c r="C14080" s="374"/>
      <c r="CV14080" s="376"/>
    </row>
    <row r="14081" spans="1:100">
      <c r="A14081" s="374"/>
      <c r="C14081" s="374"/>
      <c r="CV14081" s="376"/>
    </row>
    <row r="14082" spans="1:100">
      <c r="A14082" s="374"/>
      <c r="C14082" s="374"/>
      <c r="CV14082" s="376"/>
    </row>
    <row r="14083" spans="1:100">
      <c r="A14083" s="374"/>
      <c r="C14083" s="374"/>
      <c r="CV14083" s="376"/>
    </row>
    <row r="14084" spans="1:100">
      <c r="A14084" s="374"/>
      <c r="C14084" s="374"/>
      <c r="CV14084" s="376"/>
    </row>
    <row r="14085" spans="1:100">
      <c r="A14085" s="374"/>
      <c r="C14085" s="374"/>
      <c r="CV14085" s="376"/>
    </row>
    <row r="14086" spans="1:100">
      <c r="A14086" s="374"/>
      <c r="C14086" s="374"/>
      <c r="CV14086" s="376"/>
    </row>
    <row r="14087" spans="1:100">
      <c r="A14087" s="374"/>
      <c r="C14087" s="374"/>
      <c r="CV14087" s="376"/>
    </row>
    <row r="14088" spans="1:100">
      <c r="A14088" s="374"/>
      <c r="C14088" s="374"/>
      <c r="CV14088" s="376"/>
    </row>
    <row r="14089" spans="1:100">
      <c r="A14089" s="374"/>
      <c r="C14089" s="374"/>
      <c r="CV14089" s="376"/>
    </row>
    <row r="14090" spans="1:100">
      <c r="A14090" s="374"/>
      <c r="C14090" s="374"/>
      <c r="CV14090" s="376"/>
    </row>
    <row r="14091" spans="1:100">
      <c r="A14091" s="374"/>
      <c r="C14091" s="374"/>
      <c r="CV14091" s="376"/>
    </row>
    <row r="14092" spans="1:100">
      <c r="A14092" s="374"/>
      <c r="C14092" s="374"/>
      <c r="CV14092" s="376"/>
    </row>
    <row r="14093" spans="1:100">
      <c r="A14093" s="374"/>
      <c r="C14093" s="374"/>
      <c r="CV14093" s="376"/>
    </row>
    <row r="14094" spans="1:100">
      <c r="A14094" s="374"/>
      <c r="C14094" s="374"/>
      <c r="CV14094" s="376"/>
    </row>
    <row r="14095" spans="1:100">
      <c r="A14095" s="374"/>
      <c r="C14095" s="374"/>
      <c r="CV14095" s="376"/>
    </row>
    <row r="14096" spans="1:100">
      <c r="A14096" s="374"/>
      <c r="C14096" s="374"/>
      <c r="CV14096" s="376"/>
    </row>
    <row r="14097" spans="1:100">
      <c r="A14097" s="374"/>
      <c r="C14097" s="374"/>
      <c r="CV14097" s="376"/>
    </row>
    <row r="14098" spans="1:100">
      <c r="A14098" s="374"/>
      <c r="C14098" s="374"/>
      <c r="CV14098" s="376"/>
    </row>
    <row r="14099" spans="1:100">
      <c r="A14099" s="374"/>
      <c r="C14099" s="374"/>
      <c r="CV14099" s="376"/>
    </row>
    <row r="14100" spans="1:100">
      <c r="A14100" s="374"/>
      <c r="C14100" s="374"/>
      <c r="CV14100" s="376"/>
    </row>
    <row r="14101" spans="1:100">
      <c r="A14101" s="374"/>
      <c r="C14101" s="374"/>
      <c r="CV14101" s="376"/>
    </row>
    <row r="14102" spans="1:100">
      <c r="A14102" s="374"/>
      <c r="C14102" s="374"/>
      <c r="CV14102" s="376"/>
    </row>
    <row r="14103" spans="1:100">
      <c r="A14103" s="374"/>
      <c r="C14103" s="374"/>
      <c r="CV14103" s="376"/>
    </row>
    <row r="14104" spans="1:100">
      <c r="A14104" s="374"/>
      <c r="C14104" s="374"/>
      <c r="CV14104" s="376"/>
    </row>
    <row r="14105" spans="1:100">
      <c r="A14105" s="374"/>
      <c r="C14105" s="374"/>
      <c r="CV14105" s="376"/>
    </row>
    <row r="14106" spans="1:100">
      <c r="A14106" s="374"/>
      <c r="C14106" s="374"/>
      <c r="CV14106" s="376"/>
    </row>
    <row r="14107" spans="1:100">
      <c r="A14107" s="374"/>
      <c r="C14107" s="374"/>
      <c r="CV14107" s="376"/>
    </row>
    <row r="14108" spans="1:100">
      <c r="A14108" s="374"/>
      <c r="C14108" s="374"/>
      <c r="CV14108" s="376"/>
    </row>
    <row r="14109" spans="1:100">
      <c r="A14109" s="374"/>
      <c r="C14109" s="374"/>
      <c r="CV14109" s="376"/>
    </row>
    <row r="14110" spans="1:100">
      <c r="A14110" s="374"/>
      <c r="C14110" s="374"/>
      <c r="CV14110" s="376"/>
    </row>
    <row r="14111" spans="1:100">
      <c r="A14111" s="374"/>
      <c r="C14111" s="374"/>
      <c r="CV14111" s="376"/>
    </row>
    <row r="14112" spans="1:100">
      <c r="A14112" s="374"/>
      <c r="C14112" s="374"/>
      <c r="CV14112" s="376"/>
    </row>
    <row r="14113" spans="1:100">
      <c r="A14113" s="374"/>
      <c r="C14113" s="374"/>
      <c r="CV14113" s="376"/>
    </row>
    <row r="14114" spans="1:100">
      <c r="A14114" s="374"/>
      <c r="C14114" s="374"/>
      <c r="CV14114" s="376"/>
    </row>
    <row r="14115" spans="1:100">
      <c r="A14115" s="374"/>
      <c r="C14115" s="374"/>
      <c r="CV14115" s="376"/>
    </row>
    <row r="14116" spans="1:100">
      <c r="A14116" s="374"/>
      <c r="C14116" s="374"/>
      <c r="CV14116" s="376"/>
    </row>
    <row r="14117" spans="1:100">
      <c r="A14117" s="374"/>
      <c r="C14117" s="374"/>
      <c r="CV14117" s="376"/>
    </row>
    <row r="14118" spans="1:100">
      <c r="A14118" s="374"/>
      <c r="C14118" s="374"/>
      <c r="CV14118" s="376"/>
    </row>
    <row r="14119" spans="1:100">
      <c r="A14119" s="374"/>
      <c r="C14119" s="374"/>
      <c r="CV14119" s="376"/>
    </row>
    <row r="14120" spans="1:100">
      <c r="A14120" s="374"/>
      <c r="C14120" s="374"/>
      <c r="CV14120" s="376"/>
    </row>
    <row r="14121" spans="1:100">
      <c r="A14121" s="374"/>
      <c r="C14121" s="374"/>
      <c r="CV14121" s="376"/>
    </row>
    <row r="14122" spans="1:100">
      <c r="A14122" s="374"/>
      <c r="C14122" s="374"/>
      <c r="CV14122" s="376"/>
    </row>
    <row r="14123" spans="1:100">
      <c r="A14123" s="374"/>
      <c r="C14123" s="374"/>
      <c r="CV14123" s="376"/>
    </row>
    <row r="14124" spans="1:100">
      <c r="A14124" s="374"/>
      <c r="C14124" s="374"/>
      <c r="CV14124" s="376"/>
    </row>
    <row r="14125" spans="1:100">
      <c r="A14125" s="374"/>
      <c r="C14125" s="374"/>
      <c r="CV14125" s="376"/>
    </row>
    <row r="14126" spans="1:100">
      <c r="A14126" s="374"/>
      <c r="C14126" s="374"/>
      <c r="CV14126" s="376"/>
    </row>
    <row r="14127" spans="1:100">
      <c r="A14127" s="374"/>
      <c r="C14127" s="374"/>
      <c r="CV14127" s="376"/>
    </row>
    <row r="14128" spans="1:100">
      <c r="A14128" s="374"/>
      <c r="C14128" s="374"/>
      <c r="CV14128" s="376"/>
    </row>
    <row r="14129" spans="1:100">
      <c r="A14129" s="374"/>
      <c r="C14129" s="374"/>
      <c r="CV14129" s="376"/>
    </row>
    <row r="14130" spans="1:100">
      <c r="A14130" s="374"/>
      <c r="C14130" s="374"/>
      <c r="CV14130" s="376"/>
    </row>
    <row r="14131" spans="1:100">
      <c r="A14131" s="374"/>
      <c r="C14131" s="374"/>
      <c r="CV14131" s="376"/>
    </row>
    <row r="14132" spans="1:100">
      <c r="A14132" s="374"/>
      <c r="C14132" s="374"/>
      <c r="CV14132" s="376"/>
    </row>
    <row r="14133" spans="1:100">
      <c r="A14133" s="374"/>
      <c r="C14133" s="374"/>
      <c r="CV14133" s="376"/>
    </row>
    <row r="14134" spans="1:100">
      <c r="A14134" s="374"/>
      <c r="C14134" s="374"/>
      <c r="CV14134" s="376"/>
    </row>
    <row r="14135" spans="1:100">
      <c r="A14135" s="374"/>
      <c r="C14135" s="374"/>
      <c r="CV14135" s="376"/>
    </row>
    <row r="14136" spans="1:100">
      <c r="A14136" s="374"/>
      <c r="C14136" s="374"/>
      <c r="CV14136" s="376"/>
    </row>
    <row r="14137" spans="1:100">
      <c r="A14137" s="374"/>
      <c r="C14137" s="374"/>
      <c r="CV14137" s="376"/>
    </row>
    <row r="14138" spans="1:100">
      <c r="A14138" s="374"/>
      <c r="C14138" s="374"/>
      <c r="CV14138" s="376"/>
    </row>
    <row r="14139" spans="1:100">
      <c r="A14139" s="374"/>
      <c r="C14139" s="374"/>
      <c r="CV14139" s="376"/>
    </row>
    <row r="14140" spans="1:100">
      <c r="A14140" s="374"/>
      <c r="C14140" s="374"/>
      <c r="CV14140" s="376"/>
    </row>
    <row r="14141" spans="1:100">
      <c r="A14141" s="374"/>
      <c r="C14141" s="374"/>
      <c r="CV14141" s="376"/>
    </row>
    <row r="14142" spans="1:100">
      <c r="A14142" s="374"/>
      <c r="C14142" s="374"/>
      <c r="CV14142" s="376"/>
    </row>
    <row r="14143" spans="1:100">
      <c r="A14143" s="374"/>
      <c r="C14143" s="374"/>
      <c r="CV14143" s="376"/>
    </row>
    <row r="14144" spans="1:100">
      <c r="A14144" s="374"/>
      <c r="C14144" s="374"/>
      <c r="CV14144" s="376"/>
    </row>
    <row r="14145" spans="1:100">
      <c r="A14145" s="374"/>
      <c r="C14145" s="374"/>
      <c r="CV14145" s="376"/>
    </row>
    <row r="14146" spans="1:100">
      <c r="A14146" s="374"/>
      <c r="C14146" s="374"/>
      <c r="CV14146" s="376"/>
    </row>
    <row r="14147" spans="1:100">
      <c r="A14147" s="374"/>
      <c r="C14147" s="374"/>
      <c r="CV14147" s="376"/>
    </row>
    <row r="14148" spans="1:100">
      <c r="A14148" s="374"/>
      <c r="C14148" s="374"/>
      <c r="CV14148" s="376"/>
    </row>
    <row r="14149" spans="1:100">
      <c r="A14149" s="374"/>
      <c r="C14149" s="374"/>
      <c r="CV14149" s="376"/>
    </row>
    <row r="14150" spans="1:100">
      <c r="A14150" s="374"/>
      <c r="C14150" s="374"/>
      <c r="CV14150" s="376"/>
    </row>
    <row r="14151" spans="1:100">
      <c r="A14151" s="374"/>
      <c r="C14151" s="374"/>
      <c r="CV14151" s="376"/>
    </row>
    <row r="14152" spans="1:100">
      <c r="A14152" s="374"/>
      <c r="C14152" s="374"/>
      <c r="CV14152" s="376"/>
    </row>
    <row r="14153" spans="1:100">
      <c r="A14153" s="374"/>
      <c r="C14153" s="374"/>
      <c r="CV14153" s="376"/>
    </row>
    <row r="14154" spans="1:100">
      <c r="A14154" s="374"/>
      <c r="C14154" s="374"/>
      <c r="CV14154" s="376"/>
    </row>
    <row r="14155" spans="1:100">
      <c r="A14155" s="374"/>
      <c r="C14155" s="374"/>
      <c r="CV14155" s="376"/>
    </row>
    <row r="14156" spans="1:100">
      <c r="A14156" s="374"/>
      <c r="C14156" s="374"/>
      <c r="CV14156" s="376"/>
    </row>
    <row r="14157" spans="1:100">
      <c r="A14157" s="374"/>
      <c r="C14157" s="374"/>
      <c r="CV14157" s="376"/>
    </row>
    <row r="14158" spans="1:100">
      <c r="A14158" s="374"/>
      <c r="C14158" s="374"/>
      <c r="CV14158" s="376"/>
    </row>
    <row r="14159" spans="1:100">
      <c r="A14159" s="374"/>
      <c r="C14159" s="374"/>
      <c r="CV14159" s="376"/>
    </row>
    <row r="14160" spans="1:100">
      <c r="A14160" s="374"/>
      <c r="C14160" s="374"/>
      <c r="CV14160" s="376"/>
    </row>
    <row r="14161" spans="1:100">
      <c r="A14161" s="374"/>
      <c r="C14161" s="374"/>
      <c r="CV14161" s="376"/>
    </row>
    <row r="14162" spans="1:100">
      <c r="A14162" s="374"/>
      <c r="C14162" s="374"/>
      <c r="CV14162" s="376"/>
    </row>
    <row r="14163" spans="1:100">
      <c r="A14163" s="374"/>
      <c r="C14163" s="374"/>
      <c r="CV14163" s="376"/>
    </row>
    <row r="14164" spans="1:100">
      <c r="A14164" s="374"/>
      <c r="C14164" s="374"/>
      <c r="CV14164" s="376"/>
    </row>
    <row r="14165" spans="1:100">
      <c r="A14165" s="374"/>
      <c r="C14165" s="374"/>
      <c r="CV14165" s="376"/>
    </row>
    <row r="14166" spans="1:100">
      <c r="A14166" s="374"/>
      <c r="C14166" s="374"/>
      <c r="CV14166" s="376"/>
    </row>
    <row r="14167" spans="1:100">
      <c r="A14167" s="374"/>
      <c r="C14167" s="374"/>
      <c r="CV14167" s="376"/>
    </row>
    <row r="14168" spans="1:100">
      <c r="A14168" s="374"/>
      <c r="C14168" s="374"/>
      <c r="CV14168" s="376"/>
    </row>
    <row r="14169" spans="1:100">
      <c r="A14169" s="374"/>
      <c r="C14169" s="374"/>
      <c r="CV14169" s="376"/>
    </row>
    <row r="14170" spans="1:100">
      <c r="A14170" s="374"/>
      <c r="C14170" s="374"/>
      <c r="CV14170" s="376"/>
    </row>
    <row r="14171" spans="1:100">
      <c r="A14171" s="374"/>
      <c r="C14171" s="374"/>
      <c r="CV14171" s="376"/>
    </row>
    <row r="14172" spans="1:100">
      <c r="A14172" s="374"/>
      <c r="C14172" s="374"/>
      <c r="CV14172" s="376"/>
    </row>
    <row r="14173" spans="1:100">
      <c r="A14173" s="374"/>
      <c r="C14173" s="374"/>
      <c r="CV14173" s="376"/>
    </row>
    <row r="14174" spans="1:100">
      <c r="A14174" s="374"/>
      <c r="C14174" s="374"/>
      <c r="CV14174" s="376"/>
    </row>
    <row r="14175" spans="1:100">
      <c r="A14175" s="374"/>
      <c r="C14175" s="374"/>
      <c r="CV14175" s="376"/>
    </row>
    <row r="14176" spans="1:100">
      <c r="A14176" s="374"/>
      <c r="C14176" s="374"/>
      <c r="CV14176" s="376"/>
    </row>
    <row r="14177" spans="1:100">
      <c r="A14177" s="374"/>
      <c r="C14177" s="374"/>
      <c r="CV14177" s="376"/>
    </row>
    <row r="14178" spans="1:100">
      <c r="A14178" s="374"/>
      <c r="C14178" s="374"/>
      <c r="CV14178" s="376"/>
    </row>
    <row r="14179" spans="1:100">
      <c r="A14179" s="374"/>
      <c r="C14179" s="374"/>
      <c r="CV14179" s="376"/>
    </row>
    <row r="14180" spans="1:100">
      <c r="A14180" s="374"/>
      <c r="C14180" s="374"/>
      <c r="CV14180" s="376"/>
    </row>
    <row r="14181" spans="1:100">
      <c r="A14181" s="374"/>
      <c r="C14181" s="374"/>
      <c r="CV14181" s="376"/>
    </row>
    <row r="14182" spans="1:100">
      <c r="A14182" s="374"/>
      <c r="C14182" s="374"/>
      <c r="CV14182" s="376"/>
    </row>
    <row r="14183" spans="1:100">
      <c r="A14183" s="374"/>
      <c r="C14183" s="374"/>
      <c r="CV14183" s="376"/>
    </row>
    <row r="14184" spans="1:100">
      <c r="A14184" s="374"/>
      <c r="C14184" s="374"/>
      <c r="CV14184" s="376"/>
    </row>
    <row r="14185" spans="1:100">
      <c r="A14185" s="374"/>
      <c r="C14185" s="374"/>
      <c r="CV14185" s="376"/>
    </row>
    <row r="14186" spans="1:100">
      <c r="A14186" s="374"/>
      <c r="C14186" s="374"/>
      <c r="CV14186" s="376"/>
    </row>
    <row r="14187" spans="1:100">
      <c r="A14187" s="374"/>
      <c r="C14187" s="374"/>
      <c r="CV14187" s="376"/>
    </row>
    <row r="14188" spans="1:100">
      <c r="A14188" s="374"/>
      <c r="C14188" s="374"/>
      <c r="CV14188" s="376"/>
    </row>
    <row r="14189" spans="1:100">
      <c r="A14189" s="374"/>
      <c r="C14189" s="374"/>
      <c r="CV14189" s="376"/>
    </row>
    <row r="14190" spans="1:100">
      <c r="A14190" s="374"/>
      <c r="C14190" s="374"/>
      <c r="CV14190" s="376"/>
    </row>
    <row r="14191" spans="1:100">
      <c r="A14191" s="374"/>
      <c r="C14191" s="374"/>
      <c r="CV14191" s="376"/>
    </row>
    <row r="14192" spans="1:100">
      <c r="A14192" s="374"/>
      <c r="C14192" s="374"/>
      <c r="CV14192" s="376"/>
    </row>
    <row r="14193" spans="1:100">
      <c r="A14193" s="374"/>
      <c r="C14193" s="374"/>
      <c r="CV14193" s="376"/>
    </row>
    <row r="14194" spans="1:100">
      <c r="A14194" s="374"/>
      <c r="C14194" s="374"/>
      <c r="CV14194" s="376"/>
    </row>
    <row r="14195" spans="1:100">
      <c r="A14195" s="374"/>
      <c r="C14195" s="374"/>
      <c r="CV14195" s="376"/>
    </row>
    <row r="14196" spans="1:100">
      <c r="A14196" s="374"/>
      <c r="C14196" s="374"/>
      <c r="CV14196" s="376"/>
    </row>
    <row r="14197" spans="1:100">
      <c r="A14197" s="374"/>
      <c r="C14197" s="374"/>
      <c r="CV14197" s="376"/>
    </row>
    <row r="14198" spans="1:100">
      <c r="A14198" s="374"/>
      <c r="C14198" s="374"/>
      <c r="CV14198" s="376"/>
    </row>
    <row r="14199" spans="1:100">
      <c r="A14199" s="374"/>
      <c r="C14199" s="374"/>
      <c r="CV14199" s="376"/>
    </row>
    <row r="14200" spans="1:100">
      <c r="A14200" s="374"/>
      <c r="C14200" s="374"/>
      <c r="CV14200" s="376"/>
    </row>
    <row r="14201" spans="1:100">
      <c r="A14201" s="374"/>
      <c r="C14201" s="374"/>
      <c r="CV14201" s="376"/>
    </row>
    <row r="14202" spans="1:100">
      <c r="A14202" s="374"/>
      <c r="C14202" s="374"/>
      <c r="CV14202" s="376"/>
    </row>
    <row r="14203" spans="1:100">
      <c r="A14203" s="374"/>
      <c r="C14203" s="374"/>
      <c r="CV14203" s="376"/>
    </row>
    <row r="14204" spans="1:100">
      <c r="A14204" s="374"/>
      <c r="C14204" s="374"/>
      <c r="CV14204" s="376"/>
    </row>
    <row r="14205" spans="1:100">
      <c r="A14205" s="374"/>
      <c r="C14205" s="374"/>
      <c r="CV14205" s="376"/>
    </row>
    <row r="14206" spans="1:100">
      <c r="A14206" s="374"/>
      <c r="C14206" s="374"/>
      <c r="CV14206" s="376"/>
    </row>
    <row r="14207" spans="1:100">
      <c r="A14207" s="374"/>
      <c r="C14207" s="374"/>
      <c r="CV14207" s="376"/>
    </row>
    <row r="14208" spans="1:100">
      <c r="A14208" s="374"/>
      <c r="C14208" s="374"/>
      <c r="CV14208" s="376"/>
    </row>
    <row r="14209" spans="1:100">
      <c r="A14209" s="374"/>
      <c r="C14209" s="374"/>
      <c r="CV14209" s="376"/>
    </row>
    <row r="14210" spans="1:100">
      <c r="A14210" s="374"/>
      <c r="C14210" s="374"/>
      <c r="CV14210" s="376"/>
    </row>
    <row r="14211" spans="1:100">
      <c r="A14211" s="374"/>
      <c r="C14211" s="374"/>
      <c r="CV14211" s="376"/>
    </row>
    <row r="14212" spans="1:100">
      <c r="A14212" s="374"/>
      <c r="C14212" s="374"/>
      <c r="CV14212" s="376"/>
    </row>
    <row r="14213" spans="1:100">
      <c r="A14213" s="374"/>
      <c r="C14213" s="374"/>
      <c r="CV14213" s="376"/>
    </row>
    <row r="14214" spans="1:100">
      <c r="A14214" s="374"/>
      <c r="C14214" s="374"/>
      <c r="CV14214" s="376"/>
    </row>
    <row r="14215" spans="1:100">
      <c r="A14215" s="374"/>
      <c r="C14215" s="374"/>
      <c r="CV14215" s="376"/>
    </row>
    <row r="14216" spans="1:100">
      <c r="A14216" s="374"/>
      <c r="C14216" s="374"/>
      <c r="CV14216" s="376"/>
    </row>
    <row r="14217" spans="1:100">
      <c r="A14217" s="374"/>
      <c r="C14217" s="374"/>
      <c r="CV14217" s="376"/>
    </row>
    <row r="14218" spans="1:100">
      <c r="A14218" s="374"/>
      <c r="C14218" s="374"/>
      <c r="CV14218" s="376"/>
    </row>
    <row r="14219" spans="1:100">
      <c r="A14219" s="374"/>
      <c r="C14219" s="374"/>
      <c r="CV14219" s="376"/>
    </row>
    <row r="14220" spans="1:100">
      <c r="A14220" s="374"/>
      <c r="C14220" s="374"/>
      <c r="CV14220" s="376"/>
    </row>
    <row r="14221" spans="1:100">
      <c r="A14221" s="374"/>
      <c r="C14221" s="374"/>
      <c r="CV14221" s="376"/>
    </row>
    <row r="14222" spans="1:100">
      <c r="A14222" s="374"/>
      <c r="C14222" s="374"/>
      <c r="CV14222" s="376"/>
    </row>
    <row r="14223" spans="1:100">
      <c r="A14223" s="374"/>
      <c r="C14223" s="374"/>
      <c r="CV14223" s="376"/>
    </row>
    <row r="14224" spans="1:100">
      <c r="A14224" s="374"/>
      <c r="C14224" s="374"/>
      <c r="CV14224" s="376"/>
    </row>
    <row r="14225" spans="1:100">
      <c r="A14225" s="374"/>
      <c r="C14225" s="374"/>
      <c r="CV14225" s="376"/>
    </row>
    <row r="14226" spans="1:100">
      <c r="A14226" s="374"/>
      <c r="C14226" s="374"/>
      <c r="CV14226" s="376"/>
    </row>
    <row r="14227" spans="1:100">
      <c r="A14227" s="374"/>
      <c r="C14227" s="374"/>
      <c r="CV14227" s="376"/>
    </row>
    <row r="14228" spans="1:100">
      <c r="A14228" s="374"/>
      <c r="C14228" s="374"/>
      <c r="CV14228" s="376"/>
    </row>
    <row r="14229" spans="1:100">
      <c r="A14229" s="374"/>
      <c r="C14229" s="374"/>
      <c r="CV14229" s="376"/>
    </row>
    <row r="14230" spans="1:100">
      <c r="A14230" s="374"/>
      <c r="C14230" s="374"/>
      <c r="CV14230" s="376"/>
    </row>
    <row r="14231" spans="1:100">
      <c r="A14231" s="374"/>
      <c r="C14231" s="374"/>
      <c r="CV14231" s="376"/>
    </row>
    <row r="14232" spans="1:100">
      <c r="A14232" s="374"/>
      <c r="C14232" s="374"/>
      <c r="CV14232" s="376"/>
    </row>
    <row r="14233" spans="1:100">
      <c r="A14233" s="374"/>
      <c r="C14233" s="374"/>
      <c r="CV14233" s="376"/>
    </row>
    <row r="14234" spans="1:100">
      <c r="A14234" s="374"/>
      <c r="C14234" s="374"/>
      <c r="CV14234" s="376"/>
    </row>
    <row r="14235" spans="1:100">
      <c r="A14235" s="374"/>
      <c r="C14235" s="374"/>
      <c r="CV14235" s="376"/>
    </row>
    <row r="14236" spans="1:100">
      <c r="A14236" s="374"/>
      <c r="C14236" s="374"/>
      <c r="CV14236" s="376"/>
    </row>
    <row r="14237" spans="1:100">
      <c r="A14237" s="374"/>
      <c r="C14237" s="374"/>
      <c r="CV14237" s="376"/>
    </row>
    <row r="14238" spans="1:100">
      <c r="A14238" s="374"/>
      <c r="C14238" s="374"/>
      <c r="CV14238" s="376"/>
    </row>
    <row r="14239" spans="1:100">
      <c r="A14239" s="374"/>
      <c r="C14239" s="374"/>
      <c r="CV14239" s="376"/>
    </row>
    <row r="14240" spans="1:100">
      <c r="A14240" s="374"/>
      <c r="C14240" s="374"/>
      <c r="CV14240" s="376"/>
    </row>
    <row r="14241" spans="1:100">
      <c r="A14241" s="374"/>
      <c r="C14241" s="374"/>
      <c r="CV14241" s="376"/>
    </row>
    <row r="14242" spans="1:100">
      <c r="A14242" s="374"/>
      <c r="C14242" s="374"/>
      <c r="CV14242" s="376"/>
    </row>
    <row r="14243" spans="1:100">
      <c r="A14243" s="374"/>
      <c r="C14243" s="374"/>
      <c r="CV14243" s="376"/>
    </row>
    <row r="14244" spans="1:100">
      <c r="A14244" s="374"/>
      <c r="C14244" s="374"/>
      <c r="CV14244" s="376"/>
    </row>
    <row r="14245" spans="1:100">
      <c r="A14245" s="374"/>
      <c r="C14245" s="374"/>
      <c r="CV14245" s="376"/>
    </row>
    <row r="14246" spans="1:100">
      <c r="A14246" s="374"/>
      <c r="C14246" s="374"/>
      <c r="CV14246" s="376"/>
    </row>
    <row r="14247" spans="1:100">
      <c r="A14247" s="374"/>
      <c r="C14247" s="374"/>
      <c r="CV14247" s="376"/>
    </row>
    <row r="14248" spans="1:100">
      <c r="A14248" s="374"/>
      <c r="C14248" s="374"/>
      <c r="CV14248" s="376"/>
    </row>
    <row r="14249" spans="1:100">
      <c r="A14249" s="374"/>
      <c r="C14249" s="374"/>
      <c r="CV14249" s="376"/>
    </row>
    <row r="14250" spans="1:100">
      <c r="A14250" s="374"/>
      <c r="C14250" s="374"/>
      <c r="CV14250" s="376"/>
    </row>
    <row r="14251" spans="1:100">
      <c r="A14251" s="374"/>
      <c r="C14251" s="374"/>
      <c r="CV14251" s="376"/>
    </row>
    <row r="14252" spans="1:100">
      <c r="A14252" s="374"/>
      <c r="C14252" s="374"/>
      <c r="CV14252" s="376"/>
    </row>
    <row r="14253" spans="1:100">
      <c r="A14253" s="374"/>
      <c r="C14253" s="374"/>
      <c r="CV14253" s="376"/>
    </row>
    <row r="14254" spans="1:100">
      <c r="A14254" s="374"/>
      <c r="C14254" s="374"/>
      <c r="CV14254" s="376"/>
    </row>
    <row r="14255" spans="1:100">
      <c r="A14255" s="374"/>
      <c r="C14255" s="374"/>
      <c r="CV14255" s="376"/>
    </row>
    <row r="14256" spans="1:100">
      <c r="A14256" s="374"/>
      <c r="C14256" s="374"/>
      <c r="CV14256" s="376"/>
    </row>
    <row r="14257" spans="1:100">
      <c r="A14257" s="374"/>
      <c r="C14257" s="374"/>
      <c r="CV14257" s="376"/>
    </row>
    <row r="14258" spans="1:100">
      <c r="A14258" s="374"/>
      <c r="C14258" s="374"/>
      <c r="CV14258" s="376"/>
    </row>
    <row r="14259" spans="1:100">
      <c r="A14259" s="374"/>
      <c r="C14259" s="374"/>
      <c r="CV14259" s="376"/>
    </row>
    <row r="14260" spans="1:100">
      <c r="A14260" s="374"/>
      <c r="C14260" s="374"/>
      <c r="CV14260" s="376"/>
    </row>
    <row r="14261" spans="1:100">
      <c r="A14261" s="374"/>
      <c r="C14261" s="374"/>
      <c r="CV14261" s="376"/>
    </row>
    <row r="14262" spans="1:100">
      <c r="A14262" s="374"/>
      <c r="C14262" s="374"/>
      <c r="CV14262" s="376"/>
    </row>
    <row r="14263" spans="1:100">
      <c r="A14263" s="374"/>
      <c r="C14263" s="374"/>
      <c r="CV14263" s="376"/>
    </row>
    <row r="14264" spans="1:100">
      <c r="A14264" s="374"/>
      <c r="C14264" s="374"/>
      <c r="CV14264" s="376"/>
    </row>
    <row r="14265" spans="1:100">
      <c r="A14265" s="374"/>
      <c r="C14265" s="374"/>
      <c r="CV14265" s="376"/>
    </row>
    <row r="14266" spans="1:100">
      <c r="A14266" s="374"/>
      <c r="C14266" s="374"/>
      <c r="CV14266" s="376"/>
    </row>
    <row r="14267" spans="1:100">
      <c r="A14267" s="374"/>
      <c r="C14267" s="374"/>
      <c r="CV14267" s="376"/>
    </row>
    <row r="14268" spans="1:100">
      <c r="A14268" s="374"/>
      <c r="C14268" s="374"/>
      <c r="CV14268" s="376"/>
    </row>
    <row r="14269" spans="1:100">
      <c r="A14269" s="374"/>
      <c r="C14269" s="374"/>
      <c r="CV14269" s="376"/>
    </row>
    <row r="14270" spans="1:100">
      <c r="A14270" s="374"/>
      <c r="C14270" s="374"/>
      <c r="CV14270" s="376"/>
    </row>
    <row r="14271" spans="1:100">
      <c r="A14271" s="374"/>
      <c r="C14271" s="374"/>
      <c r="CV14271" s="376"/>
    </row>
    <row r="14272" spans="1:100">
      <c r="A14272" s="374"/>
      <c r="C14272" s="374"/>
      <c r="CV14272" s="376"/>
    </row>
    <row r="14273" spans="1:100">
      <c r="A14273" s="374"/>
      <c r="C14273" s="374"/>
      <c r="CV14273" s="376"/>
    </row>
    <row r="14274" spans="1:100">
      <c r="A14274" s="374"/>
      <c r="C14274" s="374"/>
      <c r="CV14274" s="376"/>
    </row>
    <row r="14275" spans="1:100">
      <c r="A14275" s="374"/>
      <c r="C14275" s="374"/>
      <c r="CV14275" s="376"/>
    </row>
    <row r="14276" spans="1:100">
      <c r="A14276" s="374"/>
      <c r="C14276" s="374"/>
      <c r="CV14276" s="376"/>
    </row>
    <row r="14277" spans="1:100">
      <c r="A14277" s="374"/>
      <c r="C14277" s="374"/>
      <c r="CV14277" s="376"/>
    </row>
    <row r="14278" spans="1:100">
      <c r="A14278" s="374"/>
      <c r="C14278" s="374"/>
      <c r="CV14278" s="376"/>
    </row>
    <row r="14279" spans="1:100">
      <c r="A14279" s="374"/>
      <c r="C14279" s="374"/>
      <c r="CV14279" s="376"/>
    </row>
    <row r="14280" spans="1:100">
      <c r="A14280" s="374"/>
      <c r="C14280" s="374"/>
      <c r="CV14280" s="376"/>
    </row>
    <row r="14281" spans="1:100">
      <c r="A14281" s="374"/>
      <c r="C14281" s="374"/>
      <c r="CV14281" s="376"/>
    </row>
    <row r="14282" spans="1:100">
      <c r="A14282" s="374"/>
      <c r="C14282" s="374"/>
      <c r="CV14282" s="376"/>
    </row>
    <row r="14283" spans="1:100">
      <c r="A14283" s="374"/>
      <c r="C14283" s="374"/>
      <c r="CV14283" s="376"/>
    </row>
    <row r="14284" spans="1:100">
      <c r="A14284" s="374"/>
      <c r="C14284" s="374"/>
      <c r="CV14284" s="376"/>
    </row>
    <row r="14285" spans="1:100">
      <c r="A14285" s="374"/>
      <c r="C14285" s="374"/>
      <c r="CV14285" s="376"/>
    </row>
    <row r="14286" spans="1:100">
      <c r="A14286" s="374"/>
      <c r="C14286" s="374"/>
      <c r="CV14286" s="376"/>
    </row>
    <row r="14287" spans="1:100">
      <c r="A14287" s="374"/>
      <c r="C14287" s="374"/>
      <c r="CV14287" s="376"/>
    </row>
    <row r="14288" spans="1:100">
      <c r="A14288" s="374"/>
      <c r="C14288" s="374"/>
      <c r="CV14288" s="376"/>
    </row>
    <row r="14289" spans="1:100">
      <c r="A14289" s="374"/>
      <c r="C14289" s="374"/>
      <c r="CV14289" s="376"/>
    </row>
    <row r="14290" spans="1:100">
      <c r="A14290" s="374"/>
      <c r="C14290" s="374"/>
      <c r="CV14290" s="376"/>
    </row>
    <row r="14291" spans="1:100">
      <c r="A14291" s="374"/>
      <c r="C14291" s="374"/>
      <c r="CV14291" s="376"/>
    </row>
    <row r="14292" spans="1:100">
      <c r="A14292" s="374"/>
      <c r="C14292" s="374"/>
      <c r="CV14292" s="376"/>
    </row>
    <row r="14293" spans="1:100">
      <c r="A14293" s="374"/>
      <c r="C14293" s="374"/>
      <c r="CV14293" s="376"/>
    </row>
    <row r="14294" spans="1:100">
      <c r="A14294" s="374"/>
      <c r="C14294" s="374"/>
      <c r="CV14294" s="376"/>
    </row>
    <row r="14295" spans="1:100">
      <c r="A14295" s="374"/>
      <c r="C14295" s="374"/>
      <c r="CV14295" s="376"/>
    </row>
    <row r="14296" spans="1:100">
      <c r="A14296" s="374"/>
      <c r="C14296" s="374"/>
      <c r="CV14296" s="376"/>
    </row>
    <row r="14297" spans="1:100">
      <c r="A14297" s="374"/>
      <c r="C14297" s="374"/>
      <c r="CV14297" s="376"/>
    </row>
    <row r="14298" spans="1:100">
      <c r="A14298" s="374"/>
      <c r="C14298" s="374"/>
      <c r="CV14298" s="376"/>
    </row>
    <row r="14299" spans="1:100">
      <c r="A14299" s="374"/>
      <c r="C14299" s="374"/>
      <c r="CV14299" s="376"/>
    </row>
    <row r="14300" spans="1:100">
      <c r="A14300" s="374"/>
      <c r="C14300" s="374"/>
      <c r="CV14300" s="376"/>
    </row>
    <row r="14301" spans="1:100">
      <c r="A14301" s="374"/>
      <c r="C14301" s="374"/>
      <c r="CV14301" s="376"/>
    </row>
    <row r="14302" spans="1:100">
      <c r="A14302" s="374"/>
      <c r="C14302" s="374"/>
      <c r="CV14302" s="376"/>
    </row>
    <row r="14303" spans="1:100">
      <c r="A14303" s="374"/>
      <c r="C14303" s="374"/>
      <c r="CV14303" s="376"/>
    </row>
    <row r="14304" spans="1:100">
      <c r="A14304" s="374"/>
      <c r="C14304" s="374"/>
      <c r="CV14304" s="376"/>
    </row>
    <row r="14305" spans="1:100">
      <c r="A14305" s="374"/>
      <c r="C14305" s="374"/>
      <c r="CV14305" s="376"/>
    </row>
    <row r="14306" spans="1:100">
      <c r="A14306" s="374"/>
      <c r="C14306" s="374"/>
      <c r="CV14306" s="376"/>
    </row>
    <row r="14307" spans="1:100">
      <c r="A14307" s="374"/>
      <c r="C14307" s="374"/>
      <c r="CV14307" s="376"/>
    </row>
    <row r="14308" spans="1:100">
      <c r="A14308" s="374"/>
      <c r="C14308" s="374"/>
      <c r="CV14308" s="376"/>
    </row>
    <row r="14309" spans="1:100">
      <c r="A14309" s="374"/>
      <c r="C14309" s="374"/>
      <c r="CV14309" s="376"/>
    </row>
    <row r="14310" spans="1:100">
      <c r="A14310" s="374"/>
      <c r="C14310" s="374"/>
      <c r="CV14310" s="376"/>
    </row>
    <row r="14311" spans="1:100">
      <c r="A14311" s="374"/>
      <c r="C14311" s="374"/>
      <c r="CV14311" s="376"/>
    </row>
    <row r="14312" spans="1:100">
      <c r="A14312" s="374"/>
      <c r="C14312" s="374"/>
      <c r="CV14312" s="376"/>
    </row>
    <row r="14313" spans="1:100">
      <c r="A14313" s="374"/>
      <c r="C14313" s="374"/>
      <c r="CV14313" s="376"/>
    </row>
    <row r="14314" spans="1:100">
      <c r="A14314" s="374"/>
      <c r="C14314" s="374"/>
      <c r="CV14314" s="376"/>
    </row>
    <row r="14315" spans="1:100">
      <c r="A14315" s="374"/>
      <c r="C14315" s="374"/>
      <c r="CV14315" s="376"/>
    </row>
    <row r="14316" spans="1:100">
      <c r="A14316" s="374"/>
      <c r="C14316" s="374"/>
      <c r="CV14316" s="376"/>
    </row>
    <row r="14317" spans="1:100">
      <c r="A14317" s="374"/>
      <c r="C14317" s="374"/>
      <c r="CV14317" s="376"/>
    </row>
    <row r="14318" spans="1:100">
      <c r="A14318" s="374"/>
      <c r="C14318" s="374"/>
      <c r="CV14318" s="376"/>
    </row>
    <row r="14319" spans="1:100">
      <c r="A14319" s="374"/>
      <c r="C14319" s="374"/>
      <c r="CV14319" s="376"/>
    </row>
    <row r="14320" spans="1:100">
      <c r="A14320" s="374"/>
      <c r="C14320" s="374"/>
      <c r="CV14320" s="376"/>
    </row>
    <row r="14321" spans="1:100">
      <c r="A14321" s="374"/>
      <c r="C14321" s="374"/>
      <c r="CV14321" s="376"/>
    </row>
    <row r="14322" spans="1:100">
      <c r="A14322" s="374"/>
      <c r="C14322" s="374"/>
      <c r="CV14322" s="376"/>
    </row>
    <row r="14323" spans="1:100">
      <c r="A14323" s="374"/>
      <c r="C14323" s="374"/>
      <c r="CV14323" s="376"/>
    </row>
    <row r="14324" spans="1:100">
      <c r="A14324" s="374"/>
      <c r="C14324" s="374"/>
      <c r="CV14324" s="376"/>
    </row>
    <row r="14325" spans="1:100">
      <c r="A14325" s="374"/>
      <c r="C14325" s="374"/>
      <c r="CV14325" s="376"/>
    </row>
    <row r="14326" spans="1:100">
      <c r="A14326" s="374"/>
      <c r="C14326" s="374"/>
      <c r="CV14326" s="376"/>
    </row>
    <row r="14327" spans="1:100">
      <c r="A14327" s="374"/>
      <c r="C14327" s="374"/>
      <c r="CV14327" s="376"/>
    </row>
    <row r="14328" spans="1:100">
      <c r="A14328" s="374"/>
      <c r="C14328" s="374"/>
      <c r="CV14328" s="376"/>
    </row>
    <row r="14329" spans="1:100">
      <c r="A14329" s="374"/>
      <c r="C14329" s="374"/>
      <c r="CV14329" s="376"/>
    </row>
    <row r="14330" spans="1:100">
      <c r="A14330" s="374"/>
      <c r="C14330" s="374"/>
      <c r="CV14330" s="376"/>
    </row>
    <row r="14331" spans="1:100">
      <c r="A14331" s="374"/>
      <c r="C14331" s="374"/>
      <c r="CV14331" s="376"/>
    </row>
    <row r="14332" spans="1:100">
      <c r="A14332" s="374"/>
      <c r="C14332" s="374"/>
      <c r="CV14332" s="376"/>
    </row>
    <row r="14333" spans="1:100">
      <c r="A14333" s="374"/>
      <c r="C14333" s="374"/>
      <c r="CV14333" s="376"/>
    </row>
    <row r="14334" spans="1:100">
      <c r="A14334" s="374"/>
      <c r="C14334" s="374"/>
      <c r="CV14334" s="376"/>
    </row>
    <row r="14335" spans="1:100">
      <c r="A14335" s="374"/>
      <c r="C14335" s="374"/>
      <c r="CV14335" s="376"/>
    </row>
    <row r="14336" spans="1:100">
      <c r="A14336" s="374"/>
      <c r="C14336" s="374"/>
      <c r="CV14336" s="376"/>
    </row>
    <row r="14337" spans="1:100">
      <c r="A14337" s="374"/>
      <c r="C14337" s="374"/>
      <c r="CV14337" s="376"/>
    </row>
    <row r="14338" spans="1:100">
      <c r="A14338" s="374"/>
      <c r="C14338" s="374"/>
      <c r="CV14338" s="376"/>
    </row>
    <row r="14339" spans="1:100">
      <c r="A14339" s="374"/>
      <c r="C14339" s="374"/>
      <c r="CV14339" s="376"/>
    </row>
    <row r="14340" spans="1:100">
      <c r="A14340" s="374"/>
      <c r="C14340" s="374"/>
      <c r="CV14340" s="376"/>
    </row>
    <row r="14341" spans="1:100">
      <c r="A14341" s="374"/>
      <c r="C14341" s="374"/>
      <c r="CV14341" s="376"/>
    </row>
    <row r="14342" spans="1:100">
      <c r="A14342" s="374"/>
      <c r="C14342" s="374"/>
      <c r="CV14342" s="376"/>
    </row>
    <row r="14343" spans="1:100">
      <c r="A14343" s="374"/>
      <c r="C14343" s="374"/>
      <c r="CV14343" s="376"/>
    </row>
    <row r="14344" spans="1:100">
      <c r="A14344" s="374"/>
      <c r="C14344" s="374"/>
      <c r="CV14344" s="376"/>
    </row>
    <row r="14345" spans="1:100">
      <c r="A14345" s="374"/>
      <c r="C14345" s="374"/>
      <c r="CV14345" s="376"/>
    </row>
    <row r="14346" spans="1:100">
      <c r="A14346" s="374"/>
      <c r="C14346" s="374"/>
      <c r="CV14346" s="376"/>
    </row>
    <row r="14347" spans="1:100">
      <c r="A14347" s="374"/>
      <c r="C14347" s="374"/>
      <c r="CV14347" s="376"/>
    </row>
    <row r="14348" spans="1:100">
      <c r="A14348" s="374"/>
      <c r="C14348" s="374"/>
      <c r="CV14348" s="376"/>
    </row>
    <row r="14349" spans="1:100">
      <c r="A14349" s="374"/>
      <c r="C14349" s="374"/>
      <c r="CV14349" s="376"/>
    </row>
    <row r="14350" spans="1:100">
      <c r="A14350" s="374"/>
      <c r="C14350" s="374"/>
      <c r="CV14350" s="376"/>
    </row>
    <row r="14351" spans="1:100">
      <c r="A14351" s="374"/>
      <c r="C14351" s="374"/>
      <c r="CV14351" s="376"/>
    </row>
    <row r="14352" spans="1:100">
      <c r="A14352" s="374"/>
      <c r="C14352" s="374"/>
      <c r="CV14352" s="376"/>
    </row>
    <row r="14353" spans="1:100">
      <c r="A14353" s="374"/>
      <c r="C14353" s="374"/>
      <c r="CV14353" s="376"/>
    </row>
    <row r="14354" spans="1:100">
      <c r="A14354" s="374"/>
      <c r="C14354" s="374"/>
      <c r="CV14354" s="376"/>
    </row>
    <row r="14355" spans="1:100">
      <c r="A14355" s="374"/>
      <c r="C14355" s="374"/>
      <c r="CV14355" s="376"/>
    </row>
    <row r="14356" spans="1:100">
      <c r="A14356" s="374"/>
      <c r="C14356" s="374"/>
      <c r="CV14356" s="376"/>
    </row>
    <row r="14357" spans="1:100">
      <c r="A14357" s="374"/>
      <c r="C14357" s="374"/>
      <c r="CV14357" s="376"/>
    </row>
    <row r="14358" spans="1:100">
      <c r="A14358" s="374"/>
      <c r="C14358" s="374"/>
      <c r="CV14358" s="376"/>
    </row>
    <row r="14359" spans="1:100">
      <c r="A14359" s="374"/>
      <c r="C14359" s="374"/>
      <c r="CV14359" s="376"/>
    </row>
    <row r="14360" spans="1:100">
      <c r="A14360" s="374"/>
      <c r="C14360" s="374"/>
      <c r="CV14360" s="376"/>
    </row>
    <row r="14361" spans="1:100">
      <c r="A14361" s="374"/>
      <c r="C14361" s="374"/>
      <c r="CV14361" s="376"/>
    </row>
    <row r="14362" spans="1:100">
      <c r="A14362" s="374"/>
      <c r="C14362" s="374"/>
      <c r="CV14362" s="376"/>
    </row>
    <row r="14363" spans="1:100">
      <c r="A14363" s="374"/>
      <c r="C14363" s="374"/>
      <c r="CV14363" s="376"/>
    </row>
    <row r="14364" spans="1:100">
      <c r="A14364" s="374"/>
      <c r="C14364" s="374"/>
      <c r="CV14364" s="376"/>
    </row>
    <row r="14365" spans="1:100">
      <c r="A14365" s="374"/>
      <c r="C14365" s="374"/>
      <c r="CV14365" s="376"/>
    </row>
    <row r="14366" spans="1:100">
      <c r="A14366" s="374"/>
      <c r="C14366" s="374"/>
      <c r="CV14366" s="376"/>
    </row>
    <row r="14367" spans="1:100">
      <c r="A14367" s="374"/>
      <c r="C14367" s="374"/>
      <c r="CV14367" s="376"/>
    </row>
    <row r="14368" spans="1:100">
      <c r="A14368" s="374"/>
      <c r="C14368" s="374"/>
      <c r="CV14368" s="376"/>
    </row>
    <row r="14369" spans="1:100">
      <c r="A14369" s="374"/>
      <c r="C14369" s="374"/>
      <c r="CV14369" s="376"/>
    </row>
    <row r="14370" spans="1:100">
      <c r="A14370" s="374"/>
      <c r="C14370" s="374"/>
      <c r="CV14370" s="376"/>
    </row>
    <row r="14371" spans="1:100">
      <c r="A14371" s="374"/>
      <c r="C14371" s="374"/>
      <c r="CV14371" s="376"/>
    </row>
    <row r="14372" spans="1:100">
      <c r="A14372" s="374"/>
      <c r="C14372" s="374"/>
      <c r="CV14372" s="376"/>
    </row>
    <row r="14373" spans="1:100">
      <c r="A14373" s="374"/>
      <c r="C14373" s="374"/>
      <c r="CV14373" s="376"/>
    </row>
    <row r="14374" spans="1:100">
      <c r="A14374" s="374"/>
      <c r="C14374" s="374"/>
      <c r="CV14374" s="376"/>
    </row>
    <row r="14375" spans="1:100">
      <c r="A14375" s="374"/>
      <c r="C14375" s="374"/>
      <c r="CV14375" s="376"/>
    </row>
    <row r="14376" spans="1:100">
      <c r="A14376" s="374"/>
      <c r="C14376" s="374"/>
      <c r="CV14376" s="376"/>
    </row>
    <row r="14377" spans="1:100">
      <c r="A14377" s="374"/>
      <c r="C14377" s="374"/>
      <c r="CV14377" s="376"/>
    </row>
    <row r="14378" spans="1:100">
      <c r="A14378" s="374"/>
      <c r="C14378" s="374"/>
      <c r="CV14378" s="376"/>
    </row>
    <row r="14379" spans="1:100">
      <c r="A14379" s="374"/>
      <c r="C14379" s="374"/>
      <c r="CV14379" s="376"/>
    </row>
    <row r="14380" spans="1:100">
      <c r="A14380" s="374"/>
      <c r="C14380" s="374"/>
      <c r="CV14380" s="376"/>
    </row>
    <row r="14381" spans="1:100">
      <c r="A14381" s="374"/>
      <c r="C14381" s="374"/>
      <c r="CV14381" s="376"/>
    </row>
    <row r="14382" spans="1:100">
      <c r="A14382" s="374"/>
      <c r="C14382" s="374"/>
      <c r="CV14382" s="376"/>
    </row>
    <row r="14383" spans="1:100">
      <c r="A14383" s="374"/>
      <c r="C14383" s="374"/>
      <c r="CV14383" s="376"/>
    </row>
    <row r="14384" spans="1:100">
      <c r="A14384" s="374"/>
      <c r="C14384" s="374"/>
      <c r="CV14384" s="376"/>
    </row>
    <row r="14385" spans="1:100">
      <c r="A14385" s="374"/>
      <c r="C14385" s="374"/>
      <c r="CV14385" s="376"/>
    </row>
    <row r="14386" spans="1:100">
      <c r="A14386" s="374"/>
      <c r="C14386" s="374"/>
      <c r="CV14386" s="376"/>
    </row>
    <row r="14387" spans="1:100">
      <c r="A14387" s="374"/>
      <c r="C14387" s="374"/>
      <c r="CV14387" s="376"/>
    </row>
    <row r="14388" spans="1:100">
      <c r="A14388" s="374"/>
      <c r="C14388" s="374"/>
      <c r="CV14388" s="376"/>
    </row>
    <row r="14389" spans="1:100">
      <c r="A14389" s="374"/>
      <c r="C14389" s="374"/>
      <c r="CV14389" s="376"/>
    </row>
    <row r="14390" spans="1:100">
      <c r="A14390" s="374"/>
      <c r="C14390" s="374"/>
      <c r="CV14390" s="376"/>
    </row>
    <row r="14391" spans="1:100">
      <c r="A14391" s="374"/>
      <c r="C14391" s="374"/>
      <c r="CV14391" s="376"/>
    </row>
    <row r="14392" spans="1:100">
      <c r="A14392" s="374"/>
      <c r="C14392" s="374"/>
      <c r="CV14392" s="376"/>
    </row>
    <row r="14393" spans="1:100">
      <c r="A14393" s="374"/>
      <c r="C14393" s="374"/>
      <c r="CV14393" s="376"/>
    </row>
    <row r="14394" spans="1:100">
      <c r="A14394" s="374"/>
      <c r="C14394" s="374"/>
      <c r="CV14394" s="376"/>
    </row>
    <row r="14395" spans="1:100">
      <c r="A14395" s="374"/>
      <c r="C14395" s="374"/>
      <c r="CV14395" s="376"/>
    </row>
    <row r="14396" spans="1:100">
      <c r="A14396" s="374"/>
      <c r="C14396" s="374"/>
      <c r="CV14396" s="376"/>
    </row>
    <row r="14397" spans="1:100">
      <c r="A14397" s="374"/>
      <c r="C14397" s="374"/>
      <c r="CV14397" s="376"/>
    </row>
    <row r="14398" spans="1:100">
      <c r="A14398" s="374"/>
      <c r="C14398" s="374"/>
      <c r="CV14398" s="376"/>
    </row>
    <row r="14399" spans="1:100">
      <c r="A14399" s="374"/>
      <c r="C14399" s="374"/>
      <c r="CV14399" s="376"/>
    </row>
    <row r="14400" spans="1:100">
      <c r="A14400" s="374"/>
      <c r="C14400" s="374"/>
      <c r="CV14400" s="376"/>
    </row>
    <row r="14401" spans="1:100">
      <c r="A14401" s="374"/>
      <c r="C14401" s="374"/>
      <c r="CV14401" s="376"/>
    </row>
    <row r="14402" spans="1:100">
      <c r="A14402" s="374"/>
      <c r="C14402" s="374"/>
      <c r="CV14402" s="376"/>
    </row>
    <row r="14403" spans="1:100">
      <c r="A14403" s="374"/>
      <c r="C14403" s="374"/>
      <c r="CV14403" s="376"/>
    </row>
    <row r="14404" spans="1:100">
      <c r="A14404" s="374"/>
      <c r="C14404" s="374"/>
      <c r="CV14404" s="376"/>
    </row>
    <row r="14405" spans="1:100">
      <c r="A14405" s="374"/>
      <c r="C14405" s="374"/>
      <c r="CV14405" s="376"/>
    </row>
    <row r="14406" spans="1:100">
      <c r="A14406" s="374"/>
      <c r="C14406" s="374"/>
      <c r="CV14406" s="376"/>
    </row>
    <row r="14407" spans="1:100">
      <c r="A14407" s="374"/>
      <c r="C14407" s="374"/>
      <c r="CV14407" s="376"/>
    </row>
    <row r="14408" spans="1:100">
      <c r="A14408" s="374"/>
      <c r="C14408" s="374"/>
      <c r="CV14408" s="376"/>
    </row>
    <row r="14409" spans="1:100">
      <c r="A14409" s="374"/>
      <c r="C14409" s="374"/>
      <c r="CV14409" s="376"/>
    </row>
    <row r="14410" spans="1:100">
      <c r="A14410" s="374"/>
      <c r="C14410" s="374"/>
      <c r="CV14410" s="376"/>
    </row>
    <row r="14411" spans="1:100">
      <c r="A14411" s="374"/>
      <c r="C14411" s="374"/>
      <c r="CV14411" s="376"/>
    </row>
    <row r="14412" spans="1:100">
      <c r="A14412" s="374"/>
      <c r="C14412" s="374"/>
      <c r="CV14412" s="376"/>
    </row>
    <row r="14413" spans="1:100">
      <c r="A14413" s="374"/>
      <c r="C14413" s="374"/>
      <c r="CV14413" s="376"/>
    </row>
    <row r="14414" spans="1:100">
      <c r="A14414" s="374"/>
      <c r="C14414" s="374"/>
      <c r="CV14414" s="376"/>
    </row>
    <row r="14415" spans="1:100">
      <c r="A14415" s="374"/>
      <c r="C14415" s="374"/>
      <c r="CV14415" s="376"/>
    </row>
    <row r="14416" spans="1:100">
      <c r="A14416" s="374"/>
      <c r="C14416" s="374"/>
      <c r="CV14416" s="376"/>
    </row>
    <row r="14417" spans="1:100">
      <c r="A14417" s="374"/>
      <c r="C14417" s="374"/>
      <c r="CV14417" s="376"/>
    </row>
    <row r="14418" spans="1:100">
      <c r="A14418" s="374"/>
      <c r="C14418" s="374"/>
      <c r="CV14418" s="376"/>
    </row>
    <row r="14419" spans="1:100">
      <c r="A14419" s="374"/>
      <c r="C14419" s="374"/>
      <c r="CV14419" s="376"/>
    </row>
    <row r="14420" spans="1:100">
      <c r="A14420" s="374"/>
      <c r="C14420" s="374"/>
      <c r="CV14420" s="376"/>
    </row>
    <row r="14421" spans="1:100">
      <c r="A14421" s="374"/>
      <c r="C14421" s="374"/>
      <c r="CV14421" s="376"/>
    </row>
    <row r="14422" spans="1:100">
      <c r="A14422" s="374"/>
      <c r="C14422" s="374"/>
      <c r="CV14422" s="376"/>
    </row>
    <row r="14423" spans="1:100">
      <c r="A14423" s="374"/>
      <c r="C14423" s="374"/>
      <c r="CV14423" s="376"/>
    </row>
    <row r="14424" spans="1:100">
      <c r="A14424" s="374"/>
      <c r="C14424" s="374"/>
      <c r="CV14424" s="376"/>
    </row>
    <row r="14425" spans="1:100">
      <c r="A14425" s="374"/>
      <c r="C14425" s="374"/>
      <c r="CV14425" s="376"/>
    </row>
    <row r="14426" spans="1:100">
      <c r="A14426" s="374"/>
      <c r="C14426" s="374"/>
      <c r="CV14426" s="376"/>
    </row>
    <row r="14427" spans="1:100">
      <c r="A14427" s="374"/>
      <c r="C14427" s="374"/>
      <c r="CV14427" s="376"/>
    </row>
    <row r="14428" spans="1:100">
      <c r="A14428" s="374"/>
      <c r="C14428" s="374"/>
      <c r="CV14428" s="376"/>
    </row>
    <row r="14429" spans="1:100">
      <c r="A14429" s="374"/>
      <c r="C14429" s="374"/>
      <c r="CV14429" s="376"/>
    </row>
    <row r="14430" spans="1:100">
      <c r="A14430" s="374"/>
      <c r="C14430" s="374"/>
      <c r="CV14430" s="376"/>
    </row>
    <row r="14431" spans="1:100">
      <c r="A14431" s="374"/>
      <c r="C14431" s="374"/>
      <c r="CV14431" s="376"/>
    </row>
    <row r="14432" spans="1:100">
      <c r="A14432" s="374"/>
      <c r="C14432" s="374"/>
      <c r="CV14432" s="376"/>
    </row>
    <row r="14433" spans="1:100">
      <c r="A14433" s="374"/>
      <c r="C14433" s="374"/>
      <c r="CV14433" s="376"/>
    </row>
    <row r="14434" spans="1:100">
      <c r="A14434" s="374"/>
      <c r="C14434" s="374"/>
      <c r="CV14434" s="376"/>
    </row>
    <row r="14435" spans="1:100">
      <c r="A14435" s="374"/>
      <c r="C14435" s="374"/>
      <c r="CV14435" s="376"/>
    </row>
    <row r="14436" spans="1:100">
      <c r="A14436" s="374"/>
      <c r="C14436" s="374"/>
      <c r="CV14436" s="376"/>
    </row>
    <row r="14437" spans="1:100">
      <c r="A14437" s="374"/>
      <c r="C14437" s="374"/>
      <c r="CV14437" s="376"/>
    </row>
    <row r="14438" spans="1:100">
      <c r="A14438" s="374"/>
      <c r="C14438" s="374"/>
      <c r="CV14438" s="376"/>
    </row>
    <row r="14439" spans="1:100">
      <c r="A14439" s="374"/>
      <c r="C14439" s="374"/>
      <c r="CV14439" s="376"/>
    </row>
    <row r="14440" spans="1:100">
      <c r="A14440" s="374"/>
      <c r="C14440" s="374"/>
      <c r="CV14440" s="376"/>
    </row>
    <row r="14441" spans="1:100">
      <c r="A14441" s="374"/>
      <c r="C14441" s="374"/>
      <c r="CV14441" s="376"/>
    </row>
    <row r="14442" spans="1:100">
      <c r="A14442" s="374"/>
      <c r="C14442" s="374"/>
      <c r="CV14442" s="376"/>
    </row>
    <row r="14443" spans="1:100">
      <c r="A14443" s="374"/>
      <c r="C14443" s="374"/>
      <c r="CV14443" s="376"/>
    </row>
    <row r="14444" spans="1:100">
      <c r="A14444" s="374"/>
      <c r="C14444" s="374"/>
      <c r="CV14444" s="376"/>
    </row>
    <row r="14445" spans="1:100">
      <c r="A14445" s="374"/>
      <c r="C14445" s="374"/>
      <c r="CV14445" s="376"/>
    </row>
    <row r="14446" spans="1:100">
      <c r="A14446" s="374"/>
      <c r="C14446" s="374"/>
      <c r="CV14446" s="376"/>
    </row>
    <row r="14447" spans="1:100">
      <c r="A14447" s="374"/>
      <c r="C14447" s="374"/>
      <c r="CV14447" s="376"/>
    </row>
    <row r="14448" spans="1:100">
      <c r="A14448" s="374"/>
      <c r="C14448" s="374"/>
      <c r="CV14448" s="376"/>
    </row>
    <row r="14449" spans="1:100">
      <c r="A14449" s="374"/>
      <c r="C14449" s="374"/>
      <c r="CV14449" s="376"/>
    </row>
    <row r="14450" spans="1:100">
      <c r="A14450" s="374"/>
      <c r="C14450" s="374"/>
      <c r="CV14450" s="376"/>
    </row>
    <row r="14451" spans="1:100">
      <c r="A14451" s="374"/>
      <c r="C14451" s="374"/>
      <c r="CV14451" s="376"/>
    </row>
    <row r="14452" spans="1:100">
      <c r="A14452" s="374"/>
      <c r="C14452" s="374"/>
      <c r="CV14452" s="376"/>
    </row>
    <row r="14453" spans="1:100">
      <c r="A14453" s="374"/>
      <c r="C14453" s="374"/>
      <c r="CV14453" s="376"/>
    </row>
    <row r="14454" spans="1:100">
      <c r="A14454" s="374"/>
      <c r="C14454" s="374"/>
      <c r="CV14454" s="376"/>
    </row>
    <row r="14455" spans="1:100">
      <c r="A14455" s="374"/>
      <c r="C14455" s="374"/>
      <c r="CV14455" s="376"/>
    </row>
    <row r="14456" spans="1:100">
      <c r="A14456" s="374"/>
      <c r="C14456" s="374"/>
      <c r="CV14456" s="376"/>
    </row>
    <row r="14457" spans="1:100">
      <c r="A14457" s="374"/>
      <c r="C14457" s="374"/>
      <c r="CV14457" s="376"/>
    </row>
    <row r="14458" spans="1:100">
      <c r="A14458" s="374"/>
      <c r="C14458" s="374"/>
      <c r="CV14458" s="376"/>
    </row>
    <row r="14459" spans="1:100">
      <c r="A14459" s="374"/>
      <c r="C14459" s="374"/>
      <c r="CV14459" s="376"/>
    </row>
    <row r="14460" spans="1:100">
      <c r="A14460" s="374"/>
      <c r="C14460" s="374"/>
      <c r="CV14460" s="376"/>
    </row>
    <row r="14461" spans="1:100">
      <c r="A14461" s="374"/>
      <c r="C14461" s="374"/>
      <c r="CV14461" s="376"/>
    </row>
    <row r="14462" spans="1:100">
      <c r="A14462" s="374"/>
      <c r="C14462" s="374"/>
      <c r="CV14462" s="376"/>
    </row>
    <row r="14463" spans="1:100">
      <c r="A14463" s="374"/>
      <c r="C14463" s="374"/>
      <c r="CV14463" s="376"/>
    </row>
    <row r="14464" spans="1:100">
      <c r="A14464" s="374"/>
      <c r="C14464" s="374"/>
      <c r="CV14464" s="376"/>
    </row>
    <row r="14465" spans="1:100">
      <c r="A14465" s="374"/>
      <c r="C14465" s="374"/>
      <c r="CV14465" s="376"/>
    </row>
    <row r="14466" spans="1:100">
      <c r="A14466" s="374"/>
      <c r="C14466" s="374"/>
      <c r="CV14466" s="376"/>
    </row>
    <row r="14467" spans="1:100">
      <c r="A14467" s="374"/>
      <c r="C14467" s="374"/>
      <c r="CV14467" s="376"/>
    </row>
    <row r="14468" spans="1:100">
      <c r="A14468" s="374"/>
      <c r="C14468" s="374"/>
      <c r="CV14468" s="376"/>
    </row>
    <row r="14469" spans="1:100">
      <c r="A14469" s="374"/>
      <c r="C14469" s="374"/>
      <c r="CV14469" s="376"/>
    </row>
    <row r="14470" spans="1:100">
      <c r="A14470" s="374"/>
      <c r="C14470" s="374"/>
      <c r="CV14470" s="376"/>
    </row>
    <row r="14471" spans="1:100">
      <c r="A14471" s="374"/>
      <c r="C14471" s="374"/>
      <c r="CV14471" s="376"/>
    </row>
    <row r="14472" spans="1:100">
      <c r="A14472" s="374"/>
      <c r="C14472" s="374"/>
      <c r="CV14472" s="376"/>
    </row>
    <row r="14473" spans="1:100">
      <c r="A14473" s="374"/>
      <c r="C14473" s="374"/>
      <c r="CV14473" s="376"/>
    </row>
    <row r="14474" spans="1:100">
      <c r="A14474" s="374"/>
      <c r="C14474" s="374"/>
      <c r="CV14474" s="376"/>
    </row>
    <row r="14475" spans="1:100">
      <c r="A14475" s="374"/>
      <c r="C14475" s="374"/>
      <c r="CV14475" s="376"/>
    </row>
    <row r="14476" spans="1:100">
      <c r="A14476" s="374"/>
      <c r="C14476" s="374"/>
      <c r="CV14476" s="376"/>
    </row>
    <row r="14477" spans="1:100">
      <c r="A14477" s="374"/>
      <c r="C14477" s="374"/>
      <c r="CV14477" s="376"/>
    </row>
    <row r="14478" spans="1:100">
      <c r="A14478" s="374"/>
      <c r="C14478" s="374"/>
      <c r="CV14478" s="376"/>
    </row>
    <row r="14479" spans="1:100">
      <c r="A14479" s="374"/>
      <c r="C14479" s="374"/>
      <c r="CV14479" s="376"/>
    </row>
    <row r="14480" spans="1:100">
      <c r="A14480" s="374"/>
      <c r="C14480" s="374"/>
      <c r="CV14480" s="376"/>
    </row>
    <row r="14481" spans="1:100">
      <c r="A14481" s="374"/>
      <c r="C14481" s="374"/>
      <c r="CV14481" s="376"/>
    </row>
    <row r="14482" spans="1:100">
      <c r="A14482" s="374"/>
      <c r="C14482" s="374"/>
      <c r="CV14482" s="376"/>
    </row>
    <row r="14483" spans="1:100">
      <c r="A14483" s="374"/>
      <c r="C14483" s="374"/>
      <c r="CV14483" s="376"/>
    </row>
    <row r="14484" spans="1:100">
      <c r="A14484" s="374"/>
      <c r="C14484" s="374"/>
      <c r="CV14484" s="376"/>
    </row>
    <row r="14485" spans="1:100">
      <c r="A14485" s="374"/>
      <c r="C14485" s="374"/>
      <c r="CV14485" s="376"/>
    </row>
    <row r="14486" spans="1:100">
      <c r="A14486" s="374"/>
      <c r="C14486" s="374"/>
      <c r="CV14486" s="376"/>
    </row>
    <row r="14487" spans="1:100">
      <c r="A14487" s="374"/>
      <c r="C14487" s="374"/>
      <c r="CV14487" s="376"/>
    </row>
    <row r="14488" spans="1:100">
      <c r="A14488" s="374"/>
      <c r="C14488" s="374"/>
      <c r="CV14488" s="376"/>
    </row>
    <row r="14489" spans="1:100">
      <c r="A14489" s="374"/>
      <c r="C14489" s="374"/>
      <c r="CV14489" s="376"/>
    </row>
    <row r="14490" spans="1:100">
      <c r="A14490" s="374"/>
      <c r="C14490" s="374"/>
      <c r="CV14490" s="376"/>
    </row>
    <row r="14491" spans="1:100">
      <c r="A14491" s="374"/>
      <c r="C14491" s="374"/>
      <c r="CV14491" s="376"/>
    </row>
    <row r="14492" spans="1:100">
      <c r="A14492" s="374"/>
      <c r="C14492" s="374"/>
      <c r="CV14492" s="376"/>
    </row>
    <row r="14493" spans="1:100">
      <c r="A14493" s="374"/>
      <c r="C14493" s="374"/>
      <c r="CV14493" s="376"/>
    </row>
    <row r="14494" spans="1:100">
      <c r="A14494" s="374"/>
      <c r="C14494" s="374"/>
      <c r="CV14494" s="376"/>
    </row>
    <row r="14495" spans="1:100">
      <c r="A14495" s="374"/>
      <c r="C14495" s="374"/>
      <c r="CV14495" s="376"/>
    </row>
    <row r="14496" spans="1:100">
      <c r="A14496" s="374"/>
      <c r="C14496" s="374"/>
      <c r="CV14496" s="376"/>
    </row>
    <row r="14497" spans="1:100">
      <c r="A14497" s="374"/>
      <c r="C14497" s="374"/>
      <c r="CV14497" s="376"/>
    </row>
    <row r="14498" spans="1:100">
      <c r="A14498" s="374"/>
      <c r="C14498" s="374"/>
      <c r="CV14498" s="376"/>
    </row>
    <row r="14499" spans="1:100">
      <c r="A14499" s="374"/>
      <c r="C14499" s="374"/>
      <c r="CV14499" s="376"/>
    </row>
    <row r="14500" spans="1:100">
      <c r="A14500" s="374"/>
      <c r="C14500" s="374"/>
      <c r="CV14500" s="376"/>
    </row>
    <row r="14501" spans="1:100">
      <c r="A14501" s="374"/>
      <c r="C14501" s="374"/>
      <c r="CV14501" s="376"/>
    </row>
    <row r="14502" spans="1:100">
      <c r="A14502" s="374"/>
      <c r="C14502" s="374"/>
      <c r="CV14502" s="376"/>
    </row>
    <row r="14503" spans="1:100">
      <c r="A14503" s="374"/>
      <c r="C14503" s="374"/>
      <c r="CV14503" s="376"/>
    </row>
    <row r="14504" spans="1:100">
      <c r="A14504" s="374"/>
      <c r="C14504" s="374"/>
      <c r="CV14504" s="376"/>
    </row>
    <row r="14505" spans="1:100">
      <c r="A14505" s="374"/>
      <c r="C14505" s="374"/>
      <c r="CV14505" s="376"/>
    </row>
    <row r="14506" spans="1:100">
      <c r="A14506" s="374"/>
      <c r="C14506" s="374"/>
      <c r="CV14506" s="376"/>
    </row>
    <row r="14507" spans="1:100">
      <c r="A14507" s="374"/>
      <c r="C14507" s="374"/>
      <c r="CV14507" s="376"/>
    </row>
    <row r="14508" spans="1:100">
      <c r="A14508" s="374"/>
      <c r="C14508" s="374"/>
      <c r="CV14508" s="376"/>
    </row>
    <row r="14509" spans="1:100">
      <c r="A14509" s="374"/>
      <c r="C14509" s="374"/>
      <c r="CV14509" s="376"/>
    </row>
    <row r="14510" spans="1:100">
      <c r="A14510" s="374"/>
      <c r="C14510" s="374"/>
      <c r="CV14510" s="376"/>
    </row>
    <row r="14511" spans="1:100">
      <c r="A14511" s="374"/>
      <c r="C14511" s="374"/>
      <c r="CV14511" s="376"/>
    </row>
    <row r="14512" spans="1:100">
      <c r="A14512" s="374"/>
      <c r="C14512" s="374"/>
      <c r="CV14512" s="376"/>
    </row>
    <row r="14513" spans="1:100">
      <c r="A14513" s="374"/>
      <c r="C14513" s="374"/>
      <c r="CV14513" s="376"/>
    </row>
    <row r="14514" spans="1:100">
      <c r="A14514" s="374"/>
      <c r="C14514" s="374"/>
      <c r="CV14514" s="376"/>
    </row>
    <row r="14515" spans="1:100">
      <c r="A14515" s="374"/>
      <c r="C14515" s="374"/>
      <c r="CV14515" s="376"/>
    </row>
    <row r="14516" spans="1:100">
      <c r="A14516" s="374"/>
      <c r="C14516" s="374"/>
      <c r="CV14516" s="376"/>
    </row>
    <row r="14517" spans="1:100">
      <c r="A14517" s="374"/>
      <c r="C14517" s="374"/>
      <c r="CV14517" s="376"/>
    </row>
    <row r="14518" spans="1:100">
      <c r="A14518" s="374"/>
      <c r="C14518" s="374"/>
      <c r="CV14518" s="376"/>
    </row>
    <row r="14519" spans="1:100">
      <c r="A14519" s="374"/>
      <c r="C14519" s="374"/>
      <c r="CV14519" s="376"/>
    </row>
    <row r="14520" spans="1:100">
      <c r="A14520" s="374"/>
      <c r="C14520" s="374"/>
      <c r="CV14520" s="376"/>
    </row>
    <row r="14521" spans="1:100">
      <c r="A14521" s="374"/>
      <c r="C14521" s="374"/>
      <c r="CV14521" s="376"/>
    </row>
    <row r="14522" spans="1:100">
      <c r="A14522" s="374"/>
      <c r="C14522" s="374"/>
      <c r="CV14522" s="376"/>
    </row>
    <row r="14523" spans="1:100">
      <c r="A14523" s="374"/>
      <c r="C14523" s="374"/>
      <c r="CV14523" s="376"/>
    </row>
    <row r="14524" spans="1:100">
      <c r="A14524" s="374"/>
      <c r="C14524" s="374"/>
      <c r="CV14524" s="376"/>
    </row>
    <row r="14525" spans="1:100">
      <c r="A14525" s="374"/>
      <c r="C14525" s="374"/>
      <c r="CV14525" s="376"/>
    </row>
    <row r="14526" spans="1:100">
      <c r="A14526" s="374"/>
      <c r="C14526" s="374"/>
      <c r="CV14526" s="376"/>
    </row>
    <row r="14527" spans="1:100">
      <c r="A14527" s="374"/>
      <c r="C14527" s="374"/>
      <c r="CV14527" s="376"/>
    </row>
    <row r="14528" spans="1:100">
      <c r="A14528" s="374"/>
      <c r="C14528" s="374"/>
      <c r="CV14528" s="376"/>
    </row>
    <row r="14529" spans="1:100">
      <c r="A14529" s="374"/>
      <c r="C14529" s="374"/>
      <c r="CV14529" s="376"/>
    </row>
    <row r="14530" spans="1:100">
      <c r="A14530" s="374"/>
      <c r="C14530" s="374"/>
      <c r="CV14530" s="376"/>
    </row>
    <row r="14531" spans="1:100">
      <c r="A14531" s="374"/>
      <c r="C14531" s="374"/>
      <c r="CV14531" s="376"/>
    </row>
    <row r="14532" spans="1:100">
      <c r="A14532" s="374"/>
      <c r="C14532" s="374"/>
      <c r="CV14532" s="376"/>
    </row>
    <row r="14533" spans="1:100">
      <c r="A14533" s="374"/>
      <c r="C14533" s="374"/>
      <c r="CV14533" s="376"/>
    </row>
    <row r="14534" spans="1:100">
      <c r="A14534" s="374"/>
      <c r="C14534" s="374"/>
      <c r="CV14534" s="376"/>
    </row>
    <row r="14535" spans="1:100">
      <c r="A14535" s="374"/>
      <c r="C14535" s="374"/>
      <c r="CV14535" s="376"/>
    </row>
    <row r="14536" spans="1:100">
      <c r="A14536" s="374"/>
      <c r="C14536" s="374"/>
      <c r="CV14536" s="376"/>
    </row>
    <row r="14537" spans="1:100">
      <c r="A14537" s="374"/>
      <c r="C14537" s="374"/>
      <c r="CV14537" s="376"/>
    </row>
    <row r="14538" spans="1:100">
      <c r="A14538" s="374"/>
      <c r="C14538" s="374"/>
      <c r="CV14538" s="376"/>
    </row>
    <row r="14539" spans="1:100">
      <c r="A14539" s="374"/>
      <c r="C14539" s="374"/>
      <c r="CV14539" s="376"/>
    </row>
    <row r="14540" spans="1:100">
      <c r="A14540" s="374"/>
      <c r="C14540" s="374"/>
      <c r="CV14540" s="376"/>
    </row>
    <row r="14541" spans="1:100">
      <c r="A14541" s="374"/>
      <c r="C14541" s="374"/>
      <c r="CV14541" s="376"/>
    </row>
    <row r="14542" spans="1:100">
      <c r="A14542" s="374"/>
      <c r="C14542" s="374"/>
      <c r="CV14542" s="376"/>
    </row>
    <row r="14543" spans="1:100">
      <c r="A14543" s="374"/>
      <c r="C14543" s="374"/>
      <c r="CV14543" s="376"/>
    </row>
    <row r="14544" spans="1:100">
      <c r="A14544" s="374"/>
      <c r="C14544" s="374"/>
      <c r="CV14544" s="376"/>
    </row>
    <row r="14545" spans="1:100">
      <c r="A14545" s="374"/>
      <c r="C14545" s="374"/>
      <c r="CV14545" s="376"/>
    </row>
    <row r="14546" spans="1:100">
      <c r="A14546" s="374"/>
      <c r="C14546" s="374"/>
      <c r="CV14546" s="376"/>
    </row>
    <row r="14547" spans="1:100">
      <c r="A14547" s="374"/>
      <c r="C14547" s="374"/>
      <c r="CV14547" s="376"/>
    </row>
    <row r="14548" spans="1:100">
      <c r="A14548" s="374"/>
      <c r="C14548" s="374"/>
      <c r="CV14548" s="376"/>
    </row>
    <row r="14549" spans="1:100">
      <c r="A14549" s="374"/>
      <c r="C14549" s="374"/>
      <c r="CV14549" s="376"/>
    </row>
    <row r="14550" spans="1:100">
      <c r="A14550" s="374"/>
      <c r="C14550" s="374"/>
      <c r="CV14550" s="376"/>
    </row>
    <row r="14551" spans="1:100">
      <c r="A14551" s="374"/>
      <c r="C14551" s="374"/>
      <c r="CV14551" s="376"/>
    </row>
    <row r="14552" spans="1:100">
      <c r="A14552" s="374"/>
      <c r="C14552" s="374"/>
      <c r="CV14552" s="376"/>
    </row>
    <row r="14553" spans="1:100">
      <c r="A14553" s="374"/>
      <c r="C14553" s="374"/>
      <c r="CV14553" s="376"/>
    </row>
    <row r="14554" spans="1:100">
      <c r="A14554" s="374"/>
      <c r="C14554" s="374"/>
      <c r="CV14554" s="376"/>
    </row>
    <row r="14555" spans="1:100">
      <c r="A14555" s="374"/>
      <c r="C14555" s="374"/>
      <c r="CV14555" s="376"/>
    </row>
    <row r="14556" spans="1:100">
      <c r="A14556" s="374"/>
      <c r="C14556" s="374"/>
      <c r="CV14556" s="376"/>
    </row>
    <row r="14557" spans="1:100">
      <c r="A14557" s="374"/>
      <c r="C14557" s="374"/>
      <c r="CV14557" s="376"/>
    </row>
    <row r="14558" spans="1:100">
      <c r="A14558" s="374"/>
      <c r="C14558" s="374"/>
      <c r="CV14558" s="376"/>
    </row>
    <row r="14559" spans="1:100">
      <c r="A14559" s="374"/>
      <c r="C14559" s="374"/>
      <c r="CV14559" s="376"/>
    </row>
    <row r="14560" spans="1:100">
      <c r="A14560" s="374"/>
      <c r="C14560" s="374"/>
      <c r="CV14560" s="376"/>
    </row>
    <row r="14561" spans="1:100">
      <c r="A14561" s="374"/>
      <c r="C14561" s="374"/>
      <c r="CV14561" s="376"/>
    </row>
    <row r="14562" spans="1:100">
      <c r="A14562" s="374"/>
      <c r="C14562" s="374"/>
      <c r="CV14562" s="376"/>
    </row>
    <row r="14563" spans="1:100">
      <c r="A14563" s="374"/>
      <c r="C14563" s="374"/>
      <c r="CV14563" s="376"/>
    </row>
    <row r="14564" spans="1:100">
      <c r="A14564" s="374"/>
      <c r="C14564" s="374"/>
      <c r="CV14564" s="376"/>
    </row>
    <row r="14565" spans="1:100">
      <c r="A14565" s="374"/>
      <c r="C14565" s="374"/>
      <c r="CV14565" s="376"/>
    </row>
    <row r="14566" spans="1:100">
      <c r="A14566" s="374"/>
      <c r="C14566" s="374"/>
      <c r="CV14566" s="376"/>
    </row>
    <row r="14567" spans="1:100">
      <c r="A14567" s="374"/>
      <c r="C14567" s="374"/>
      <c r="CV14567" s="376"/>
    </row>
    <row r="14568" spans="1:100">
      <c r="A14568" s="374"/>
      <c r="C14568" s="374"/>
      <c r="CV14568" s="376"/>
    </row>
    <row r="14569" spans="1:100">
      <c r="A14569" s="374"/>
      <c r="C14569" s="374"/>
      <c r="CV14569" s="376"/>
    </row>
    <row r="14570" spans="1:100">
      <c r="A14570" s="374"/>
      <c r="C14570" s="374"/>
      <c r="CV14570" s="376"/>
    </row>
    <row r="14571" spans="1:100">
      <c r="A14571" s="374"/>
      <c r="C14571" s="374"/>
      <c r="CV14571" s="376"/>
    </row>
    <row r="14572" spans="1:100">
      <c r="A14572" s="374"/>
      <c r="C14572" s="374"/>
      <c r="CV14572" s="376"/>
    </row>
    <row r="14573" spans="1:100">
      <c r="A14573" s="374"/>
      <c r="C14573" s="374"/>
      <c r="CV14573" s="376"/>
    </row>
    <row r="14574" spans="1:100">
      <c r="A14574" s="374"/>
      <c r="C14574" s="374"/>
      <c r="CV14574" s="376"/>
    </row>
    <row r="14575" spans="1:100">
      <c r="A14575" s="374"/>
      <c r="C14575" s="374"/>
      <c r="CV14575" s="376"/>
    </row>
    <row r="14576" spans="1:100">
      <c r="A14576" s="374"/>
      <c r="C14576" s="374"/>
      <c r="CV14576" s="376"/>
    </row>
    <row r="14577" spans="1:100">
      <c r="A14577" s="374"/>
      <c r="C14577" s="374"/>
      <c r="CV14577" s="376"/>
    </row>
    <row r="14578" spans="1:100">
      <c r="A14578" s="374"/>
      <c r="C14578" s="374"/>
      <c r="CV14578" s="376"/>
    </row>
    <row r="14579" spans="1:100">
      <c r="A14579" s="374"/>
      <c r="C14579" s="374"/>
      <c r="CV14579" s="376"/>
    </row>
    <row r="14580" spans="1:100">
      <c r="A14580" s="374"/>
      <c r="C14580" s="374"/>
      <c r="CV14580" s="376"/>
    </row>
    <row r="14581" spans="1:100">
      <c r="A14581" s="374"/>
      <c r="C14581" s="374"/>
      <c r="CV14581" s="376"/>
    </row>
    <row r="14582" spans="1:100">
      <c r="A14582" s="374"/>
      <c r="C14582" s="374"/>
      <c r="CV14582" s="376"/>
    </row>
    <row r="14583" spans="1:100">
      <c r="A14583" s="374"/>
      <c r="C14583" s="374"/>
      <c r="CV14583" s="376"/>
    </row>
    <row r="14584" spans="1:100">
      <c r="A14584" s="374"/>
      <c r="C14584" s="374"/>
      <c r="CV14584" s="376"/>
    </row>
    <row r="14585" spans="1:100">
      <c r="A14585" s="374"/>
      <c r="C14585" s="374"/>
      <c r="CV14585" s="376"/>
    </row>
    <row r="14586" spans="1:100">
      <c r="A14586" s="374"/>
      <c r="C14586" s="374"/>
      <c r="CV14586" s="376"/>
    </row>
    <row r="14587" spans="1:100">
      <c r="A14587" s="374"/>
      <c r="C14587" s="374"/>
      <c r="CV14587" s="376"/>
    </row>
    <row r="14588" spans="1:100">
      <c r="A14588" s="374"/>
      <c r="C14588" s="374"/>
      <c r="CV14588" s="376"/>
    </row>
    <row r="14589" spans="1:100">
      <c r="A14589" s="374"/>
      <c r="C14589" s="374"/>
      <c r="CV14589" s="376"/>
    </row>
    <row r="14590" spans="1:100">
      <c r="A14590" s="374"/>
      <c r="C14590" s="374"/>
      <c r="CV14590" s="376"/>
    </row>
    <row r="14591" spans="1:100">
      <c r="A14591" s="374"/>
      <c r="C14591" s="374"/>
      <c r="CV14591" s="376"/>
    </row>
    <row r="14592" spans="1:100">
      <c r="A14592" s="374"/>
      <c r="C14592" s="374"/>
      <c r="CV14592" s="376"/>
    </row>
    <row r="14593" spans="1:100">
      <c r="A14593" s="374"/>
      <c r="C14593" s="374"/>
      <c r="CV14593" s="376"/>
    </row>
    <row r="14594" spans="1:100">
      <c r="A14594" s="374"/>
      <c r="C14594" s="374"/>
      <c r="CV14594" s="376"/>
    </row>
    <row r="14595" spans="1:100">
      <c r="A14595" s="374"/>
      <c r="C14595" s="374"/>
      <c r="CV14595" s="376"/>
    </row>
    <row r="14596" spans="1:100">
      <c r="A14596" s="374"/>
      <c r="C14596" s="374"/>
      <c r="CV14596" s="376"/>
    </row>
    <row r="14597" spans="1:100">
      <c r="A14597" s="374"/>
      <c r="C14597" s="374"/>
      <c r="CV14597" s="376"/>
    </row>
    <row r="14598" spans="1:100">
      <c r="A14598" s="374"/>
      <c r="C14598" s="374"/>
      <c r="CV14598" s="376"/>
    </row>
    <row r="14599" spans="1:100">
      <c r="A14599" s="374"/>
      <c r="C14599" s="374"/>
      <c r="CV14599" s="376"/>
    </row>
    <row r="14600" spans="1:100">
      <c r="A14600" s="374"/>
      <c r="C14600" s="374"/>
      <c r="CV14600" s="376"/>
    </row>
    <row r="14601" spans="1:100">
      <c r="A14601" s="374"/>
      <c r="C14601" s="374"/>
      <c r="CV14601" s="376"/>
    </row>
    <row r="14602" spans="1:100">
      <c r="A14602" s="374"/>
      <c r="C14602" s="374"/>
      <c r="CV14602" s="376"/>
    </row>
    <row r="14603" spans="1:100">
      <c r="A14603" s="374"/>
      <c r="C14603" s="374"/>
      <c r="CV14603" s="376"/>
    </row>
    <row r="14604" spans="1:100">
      <c r="A14604" s="374"/>
      <c r="C14604" s="374"/>
      <c r="CV14604" s="376"/>
    </row>
    <row r="14605" spans="1:100">
      <c r="A14605" s="374"/>
      <c r="C14605" s="374"/>
      <c r="CV14605" s="376"/>
    </row>
    <row r="14606" spans="1:100">
      <c r="A14606" s="374"/>
      <c r="C14606" s="374"/>
      <c r="CV14606" s="376"/>
    </row>
    <row r="14607" spans="1:100">
      <c r="A14607" s="374"/>
      <c r="C14607" s="374"/>
      <c r="CV14607" s="376"/>
    </row>
    <row r="14608" spans="1:100">
      <c r="A14608" s="374"/>
      <c r="C14608" s="374"/>
      <c r="CV14608" s="376"/>
    </row>
    <row r="14609" spans="1:100">
      <c r="A14609" s="374"/>
      <c r="C14609" s="374"/>
      <c r="CV14609" s="376"/>
    </row>
    <row r="14610" spans="1:100">
      <c r="A14610" s="374"/>
      <c r="C14610" s="374"/>
      <c r="CV14610" s="376"/>
    </row>
    <row r="14611" spans="1:100">
      <c r="A14611" s="374"/>
      <c r="C14611" s="374"/>
      <c r="CV14611" s="376"/>
    </row>
    <row r="14612" spans="1:100">
      <c r="A14612" s="374"/>
      <c r="C14612" s="374"/>
      <c r="CV14612" s="376"/>
    </row>
    <row r="14613" spans="1:100">
      <c r="A14613" s="374"/>
      <c r="C14613" s="374"/>
      <c r="CV14613" s="376"/>
    </row>
    <row r="14614" spans="1:100">
      <c r="A14614" s="374"/>
      <c r="C14614" s="374"/>
      <c r="CV14614" s="376"/>
    </row>
    <row r="14615" spans="1:100">
      <c r="A14615" s="374"/>
      <c r="C14615" s="374"/>
      <c r="CV14615" s="376"/>
    </row>
    <row r="14616" spans="1:100">
      <c r="A14616" s="374"/>
      <c r="C14616" s="374"/>
      <c r="CV14616" s="376"/>
    </row>
    <row r="14617" spans="1:100">
      <c r="A14617" s="374"/>
      <c r="C14617" s="374"/>
      <c r="CV14617" s="376"/>
    </row>
    <row r="14618" spans="1:100">
      <c r="A14618" s="374"/>
      <c r="C14618" s="374"/>
      <c r="CV14618" s="376"/>
    </row>
    <row r="14619" spans="1:100">
      <c r="A14619" s="374"/>
      <c r="C14619" s="374"/>
      <c r="CV14619" s="376"/>
    </row>
    <row r="14620" spans="1:100">
      <c r="A14620" s="374"/>
      <c r="C14620" s="374"/>
      <c r="CV14620" s="376"/>
    </row>
    <row r="14621" spans="1:100">
      <c r="A14621" s="374"/>
      <c r="C14621" s="374"/>
      <c r="CV14621" s="376"/>
    </row>
    <row r="14622" spans="1:100">
      <c r="A14622" s="374"/>
      <c r="C14622" s="374"/>
      <c r="CV14622" s="376"/>
    </row>
    <row r="14623" spans="1:100">
      <c r="A14623" s="374"/>
      <c r="C14623" s="374"/>
      <c r="CV14623" s="376"/>
    </row>
    <row r="14624" spans="1:100">
      <c r="A14624" s="374"/>
      <c r="C14624" s="374"/>
      <c r="CV14624" s="376"/>
    </row>
    <row r="14625" spans="1:100">
      <c r="A14625" s="374"/>
      <c r="C14625" s="374"/>
      <c r="CV14625" s="376"/>
    </row>
    <row r="14626" spans="1:100">
      <c r="A14626" s="374"/>
      <c r="C14626" s="374"/>
      <c r="CV14626" s="376"/>
    </row>
    <row r="14627" spans="1:100">
      <c r="A14627" s="374"/>
      <c r="C14627" s="374"/>
      <c r="CV14627" s="376"/>
    </row>
    <row r="14628" spans="1:100">
      <c r="A14628" s="374"/>
      <c r="C14628" s="374"/>
      <c r="CV14628" s="376"/>
    </row>
    <row r="14629" spans="1:100">
      <c r="A14629" s="374"/>
      <c r="C14629" s="374"/>
      <c r="CV14629" s="376"/>
    </row>
    <row r="14630" spans="1:100">
      <c r="A14630" s="374"/>
      <c r="C14630" s="374"/>
      <c r="CV14630" s="376"/>
    </row>
    <row r="14631" spans="1:100">
      <c r="A14631" s="374"/>
      <c r="C14631" s="374"/>
      <c r="CV14631" s="376"/>
    </row>
    <row r="14632" spans="1:100">
      <c r="A14632" s="374"/>
      <c r="C14632" s="374"/>
      <c r="CV14632" s="376"/>
    </row>
    <row r="14633" spans="1:100">
      <c r="A14633" s="374"/>
      <c r="C14633" s="374"/>
      <c r="CV14633" s="376"/>
    </row>
    <row r="14634" spans="1:100">
      <c r="A14634" s="374"/>
      <c r="C14634" s="374"/>
      <c r="CV14634" s="376"/>
    </row>
    <row r="14635" spans="1:100">
      <c r="A14635" s="374"/>
      <c r="C14635" s="374"/>
      <c r="CV14635" s="376"/>
    </row>
    <row r="14636" spans="1:100">
      <c r="A14636" s="374"/>
      <c r="C14636" s="374"/>
      <c r="CV14636" s="376"/>
    </row>
    <row r="14637" spans="1:100">
      <c r="A14637" s="374"/>
      <c r="C14637" s="374"/>
      <c r="CV14637" s="376"/>
    </row>
    <row r="14638" spans="1:100">
      <c r="A14638" s="374"/>
      <c r="C14638" s="374"/>
      <c r="CV14638" s="376"/>
    </row>
    <row r="14639" spans="1:100">
      <c r="A14639" s="374"/>
      <c r="C14639" s="374"/>
      <c r="CV14639" s="376"/>
    </row>
    <row r="14640" spans="1:100">
      <c r="A14640" s="374"/>
      <c r="C14640" s="374"/>
      <c r="CV14640" s="376"/>
    </row>
    <row r="14641" spans="1:100">
      <c r="A14641" s="374"/>
      <c r="C14641" s="374"/>
      <c r="CV14641" s="376"/>
    </row>
    <row r="14642" spans="1:100">
      <c r="A14642" s="374"/>
      <c r="C14642" s="374"/>
      <c r="CV14642" s="376"/>
    </row>
    <row r="14643" spans="1:100">
      <c r="A14643" s="374"/>
      <c r="C14643" s="374"/>
      <c r="CV14643" s="376"/>
    </row>
    <row r="14644" spans="1:100">
      <c r="A14644" s="374"/>
      <c r="C14644" s="374"/>
      <c r="CV14644" s="376"/>
    </row>
    <row r="14645" spans="1:100">
      <c r="A14645" s="374"/>
      <c r="C14645" s="374"/>
      <c r="CV14645" s="376"/>
    </row>
    <row r="14646" spans="1:100">
      <c r="A14646" s="374"/>
      <c r="C14646" s="374"/>
      <c r="CV14646" s="376"/>
    </row>
    <row r="14647" spans="1:100">
      <c r="A14647" s="374"/>
      <c r="C14647" s="374"/>
      <c r="CV14647" s="376"/>
    </row>
    <row r="14648" spans="1:100">
      <c r="A14648" s="374"/>
      <c r="C14648" s="374"/>
      <c r="CV14648" s="376"/>
    </row>
    <row r="14649" spans="1:100">
      <c r="A14649" s="374"/>
      <c r="C14649" s="374"/>
      <c r="CV14649" s="376"/>
    </row>
    <row r="14650" spans="1:100">
      <c r="A14650" s="374"/>
      <c r="C14650" s="374"/>
      <c r="CV14650" s="376"/>
    </row>
    <row r="14651" spans="1:100">
      <c r="A14651" s="374"/>
      <c r="C14651" s="374"/>
      <c r="CV14651" s="376"/>
    </row>
    <row r="14652" spans="1:100">
      <c r="A14652" s="374"/>
      <c r="C14652" s="374"/>
      <c r="CV14652" s="376"/>
    </row>
    <row r="14653" spans="1:100">
      <c r="A14653" s="374"/>
      <c r="C14653" s="374"/>
      <c r="CV14653" s="376"/>
    </row>
    <row r="14654" spans="1:100">
      <c r="A14654" s="374"/>
      <c r="C14654" s="374"/>
      <c r="CV14654" s="376"/>
    </row>
    <row r="14655" spans="1:100">
      <c r="A14655" s="374"/>
      <c r="C14655" s="374"/>
      <c r="CV14655" s="376"/>
    </row>
    <row r="14656" spans="1:100">
      <c r="A14656" s="374"/>
      <c r="C14656" s="374"/>
      <c r="CV14656" s="376"/>
    </row>
    <row r="14657" spans="1:100">
      <c r="A14657" s="374"/>
      <c r="C14657" s="374"/>
      <c r="CV14657" s="376"/>
    </row>
    <row r="14658" spans="1:100">
      <c r="A14658" s="374"/>
      <c r="C14658" s="374"/>
      <c r="CV14658" s="376"/>
    </row>
    <row r="14659" spans="1:100">
      <c r="A14659" s="374"/>
      <c r="C14659" s="374"/>
      <c r="CV14659" s="376"/>
    </row>
    <row r="14660" spans="1:100">
      <c r="A14660" s="374"/>
      <c r="C14660" s="374"/>
      <c r="CV14660" s="376"/>
    </row>
    <row r="14661" spans="1:100">
      <c r="A14661" s="374"/>
      <c r="C14661" s="374"/>
      <c r="CV14661" s="376"/>
    </row>
    <row r="14662" spans="1:100">
      <c r="A14662" s="374"/>
      <c r="C14662" s="374"/>
      <c r="CV14662" s="376"/>
    </row>
    <row r="14663" spans="1:100">
      <c r="A14663" s="374"/>
      <c r="C14663" s="374"/>
      <c r="CV14663" s="376"/>
    </row>
    <row r="14664" spans="1:100">
      <c r="A14664" s="374"/>
      <c r="C14664" s="374"/>
      <c r="CV14664" s="376"/>
    </row>
    <row r="14665" spans="1:100">
      <c r="A14665" s="374"/>
      <c r="C14665" s="374"/>
      <c r="CV14665" s="376"/>
    </row>
    <row r="14666" spans="1:100">
      <c r="A14666" s="374"/>
      <c r="C14666" s="374"/>
      <c r="CV14666" s="376"/>
    </row>
    <row r="14667" spans="1:100">
      <c r="A14667" s="374"/>
      <c r="C14667" s="374"/>
      <c r="CV14667" s="376"/>
    </row>
    <row r="14668" spans="1:100">
      <c r="A14668" s="374"/>
      <c r="C14668" s="374"/>
      <c r="CV14668" s="376"/>
    </row>
    <row r="14669" spans="1:100">
      <c r="A14669" s="374"/>
      <c r="C14669" s="374"/>
      <c r="CV14669" s="376"/>
    </row>
    <row r="14670" spans="1:100">
      <c r="A14670" s="374"/>
      <c r="C14670" s="374"/>
      <c r="CV14670" s="376"/>
    </row>
    <row r="14671" spans="1:100">
      <c r="A14671" s="374"/>
      <c r="C14671" s="374"/>
      <c r="CV14671" s="376"/>
    </row>
    <row r="14672" spans="1:100">
      <c r="A14672" s="374"/>
      <c r="C14672" s="374"/>
      <c r="CV14672" s="376"/>
    </row>
    <row r="14673" spans="1:100">
      <c r="A14673" s="374"/>
      <c r="C14673" s="374"/>
      <c r="CV14673" s="376"/>
    </row>
    <row r="14674" spans="1:100">
      <c r="A14674" s="374"/>
      <c r="C14674" s="374"/>
      <c r="CV14674" s="376"/>
    </row>
    <row r="14675" spans="1:100">
      <c r="A14675" s="374"/>
      <c r="C14675" s="374"/>
      <c r="CV14675" s="376"/>
    </row>
    <row r="14676" spans="1:100">
      <c r="A14676" s="374"/>
      <c r="C14676" s="374"/>
      <c r="CV14676" s="376"/>
    </row>
    <row r="14677" spans="1:100">
      <c r="A14677" s="374"/>
      <c r="C14677" s="374"/>
      <c r="CV14677" s="376"/>
    </row>
    <row r="14678" spans="1:100">
      <c r="A14678" s="374"/>
      <c r="C14678" s="374"/>
      <c r="CV14678" s="376"/>
    </row>
    <row r="14679" spans="1:100">
      <c r="A14679" s="374"/>
      <c r="C14679" s="374"/>
      <c r="CV14679" s="376"/>
    </row>
    <row r="14680" spans="1:100">
      <c r="A14680" s="374"/>
      <c r="C14680" s="374"/>
      <c r="CV14680" s="376"/>
    </row>
    <row r="14681" spans="1:100">
      <c r="A14681" s="374"/>
      <c r="C14681" s="374"/>
      <c r="CV14681" s="376"/>
    </row>
    <row r="14682" spans="1:100">
      <c r="A14682" s="374"/>
      <c r="C14682" s="374"/>
      <c r="CV14682" s="376"/>
    </row>
    <row r="14683" spans="1:100">
      <c r="A14683" s="374"/>
      <c r="C14683" s="374"/>
      <c r="CV14683" s="376"/>
    </row>
    <row r="14684" spans="1:100">
      <c r="A14684" s="374"/>
      <c r="C14684" s="374"/>
      <c r="CV14684" s="376"/>
    </row>
    <row r="14685" spans="1:100">
      <c r="A14685" s="374"/>
      <c r="C14685" s="374"/>
      <c r="CV14685" s="376"/>
    </row>
    <row r="14686" spans="1:100">
      <c r="A14686" s="374"/>
      <c r="C14686" s="374"/>
      <c r="CV14686" s="376"/>
    </row>
    <row r="14687" spans="1:100">
      <c r="A14687" s="374"/>
      <c r="C14687" s="374"/>
      <c r="CV14687" s="376"/>
    </row>
    <row r="14688" spans="1:100">
      <c r="A14688" s="374"/>
      <c r="C14688" s="374"/>
      <c r="CV14688" s="376"/>
    </row>
    <row r="14689" spans="1:100">
      <c r="A14689" s="374"/>
      <c r="C14689" s="374"/>
      <c r="CV14689" s="376"/>
    </row>
    <row r="14690" spans="1:100">
      <c r="A14690" s="374"/>
      <c r="C14690" s="374"/>
      <c r="CV14690" s="376"/>
    </row>
    <row r="14691" spans="1:100">
      <c r="A14691" s="374"/>
      <c r="C14691" s="374"/>
      <c r="CV14691" s="376"/>
    </row>
    <row r="14692" spans="1:100">
      <c r="A14692" s="374"/>
      <c r="C14692" s="374"/>
      <c r="CV14692" s="376"/>
    </row>
    <row r="14693" spans="1:100">
      <c r="A14693" s="374"/>
      <c r="C14693" s="374"/>
      <c r="CV14693" s="376"/>
    </row>
    <row r="14694" spans="1:100">
      <c r="A14694" s="374"/>
      <c r="C14694" s="374"/>
      <c r="CV14694" s="376"/>
    </row>
    <row r="14695" spans="1:100">
      <c r="A14695" s="374"/>
      <c r="C14695" s="374"/>
      <c r="CV14695" s="376"/>
    </row>
    <row r="14696" spans="1:100">
      <c r="A14696" s="374"/>
      <c r="C14696" s="374"/>
      <c r="CV14696" s="376"/>
    </row>
    <row r="14697" spans="1:100">
      <c r="A14697" s="374"/>
      <c r="C14697" s="374"/>
      <c r="CV14697" s="376"/>
    </row>
    <row r="14698" spans="1:100">
      <c r="A14698" s="374"/>
      <c r="C14698" s="374"/>
      <c r="CV14698" s="376"/>
    </row>
    <row r="14699" spans="1:100">
      <c r="A14699" s="374"/>
      <c r="C14699" s="374"/>
      <c r="CV14699" s="376"/>
    </row>
    <row r="14700" spans="1:100">
      <c r="A14700" s="374"/>
      <c r="C14700" s="374"/>
      <c r="CV14700" s="376"/>
    </row>
    <row r="14701" spans="1:100">
      <c r="A14701" s="374"/>
      <c r="C14701" s="374"/>
      <c r="CV14701" s="376"/>
    </row>
    <row r="14702" spans="1:100">
      <c r="A14702" s="374"/>
      <c r="C14702" s="374"/>
      <c r="CV14702" s="376"/>
    </row>
    <row r="14703" spans="1:100">
      <c r="A14703" s="374"/>
      <c r="C14703" s="374"/>
      <c r="CV14703" s="376"/>
    </row>
    <row r="14704" spans="1:100">
      <c r="A14704" s="374"/>
      <c r="C14704" s="374"/>
      <c r="CV14704" s="376"/>
    </row>
    <row r="14705" spans="1:100">
      <c r="A14705" s="374"/>
      <c r="C14705" s="374"/>
      <c r="CV14705" s="376"/>
    </row>
    <row r="14706" spans="1:100">
      <c r="A14706" s="374"/>
      <c r="C14706" s="374"/>
      <c r="CV14706" s="376"/>
    </row>
    <row r="14707" spans="1:100">
      <c r="A14707" s="374"/>
      <c r="C14707" s="374"/>
      <c r="CV14707" s="376"/>
    </row>
    <row r="14708" spans="1:100">
      <c r="A14708" s="374"/>
      <c r="C14708" s="374"/>
      <c r="CV14708" s="376"/>
    </row>
    <row r="14709" spans="1:100">
      <c r="A14709" s="374"/>
      <c r="C14709" s="374"/>
      <c r="CV14709" s="376"/>
    </row>
    <row r="14710" spans="1:100">
      <c r="A14710" s="374"/>
      <c r="C14710" s="374"/>
      <c r="CV14710" s="376"/>
    </row>
    <row r="14711" spans="1:100">
      <c r="A14711" s="374"/>
      <c r="C14711" s="374"/>
      <c r="CV14711" s="376"/>
    </row>
    <row r="14712" spans="1:100">
      <c r="A14712" s="374"/>
      <c r="C14712" s="374"/>
      <c r="CV14712" s="376"/>
    </row>
    <row r="14713" spans="1:100">
      <c r="A14713" s="374"/>
      <c r="C14713" s="374"/>
      <c r="CV14713" s="376"/>
    </row>
    <row r="14714" spans="1:100">
      <c r="A14714" s="374"/>
      <c r="C14714" s="374"/>
      <c r="CV14714" s="376"/>
    </row>
    <row r="14715" spans="1:100">
      <c r="A14715" s="374"/>
      <c r="C14715" s="374"/>
      <c r="CV14715" s="376"/>
    </row>
    <row r="14716" spans="1:100">
      <c r="A14716" s="374"/>
      <c r="C14716" s="374"/>
      <c r="CV14716" s="376"/>
    </row>
    <row r="14717" spans="1:100">
      <c r="A14717" s="374"/>
      <c r="C14717" s="374"/>
      <c r="CV14717" s="376"/>
    </row>
    <row r="14718" spans="1:100">
      <c r="A14718" s="374"/>
      <c r="C14718" s="374"/>
      <c r="CV14718" s="376"/>
    </row>
    <row r="14719" spans="1:100">
      <c r="A14719" s="374"/>
      <c r="C14719" s="374"/>
      <c r="CV14719" s="376"/>
    </row>
    <row r="14720" spans="1:100">
      <c r="A14720" s="374"/>
      <c r="C14720" s="374"/>
      <c r="CV14720" s="376"/>
    </row>
    <row r="14721" spans="1:100">
      <c r="A14721" s="374"/>
      <c r="C14721" s="374"/>
      <c r="CV14721" s="376"/>
    </row>
    <row r="14722" spans="1:100">
      <c r="A14722" s="374"/>
      <c r="C14722" s="374"/>
      <c r="CV14722" s="376"/>
    </row>
    <row r="14723" spans="1:100">
      <c r="A14723" s="374"/>
      <c r="C14723" s="374"/>
      <c r="CV14723" s="376"/>
    </row>
    <row r="14724" spans="1:100">
      <c r="A14724" s="374"/>
      <c r="C14724" s="374"/>
      <c r="CV14724" s="376"/>
    </row>
    <row r="14725" spans="1:100">
      <c r="A14725" s="374"/>
      <c r="C14725" s="374"/>
      <c r="CV14725" s="376"/>
    </row>
    <row r="14726" spans="1:100">
      <c r="A14726" s="374"/>
      <c r="C14726" s="374"/>
      <c r="CV14726" s="376"/>
    </row>
    <row r="14727" spans="1:100">
      <c r="A14727" s="374"/>
      <c r="C14727" s="374"/>
      <c r="CV14727" s="376"/>
    </row>
    <row r="14728" spans="1:100">
      <c r="A14728" s="374"/>
      <c r="C14728" s="374"/>
      <c r="CV14728" s="376"/>
    </row>
    <row r="14729" spans="1:100">
      <c r="A14729" s="374"/>
      <c r="C14729" s="374"/>
      <c r="CV14729" s="376"/>
    </row>
    <row r="14730" spans="1:100">
      <c r="A14730" s="374"/>
      <c r="C14730" s="374"/>
      <c r="CV14730" s="376"/>
    </row>
    <row r="14731" spans="1:100">
      <c r="A14731" s="374"/>
      <c r="C14731" s="374"/>
      <c r="CV14731" s="376"/>
    </row>
    <row r="14732" spans="1:100">
      <c r="A14732" s="374"/>
      <c r="C14732" s="374"/>
      <c r="CV14732" s="376"/>
    </row>
    <row r="14733" spans="1:100">
      <c r="A14733" s="374"/>
      <c r="C14733" s="374"/>
      <c r="CV14733" s="376"/>
    </row>
    <row r="14734" spans="1:100">
      <c r="A14734" s="374"/>
      <c r="C14734" s="374"/>
      <c r="CV14734" s="376"/>
    </row>
    <row r="14735" spans="1:100">
      <c r="A14735" s="374"/>
      <c r="C14735" s="374"/>
      <c r="CV14735" s="376"/>
    </row>
    <row r="14736" spans="1:100">
      <c r="A14736" s="374"/>
      <c r="C14736" s="374"/>
      <c r="CV14736" s="376"/>
    </row>
    <row r="14737" spans="1:100">
      <c r="A14737" s="374"/>
      <c r="C14737" s="374"/>
      <c r="CV14737" s="376"/>
    </row>
    <row r="14738" spans="1:100">
      <c r="A14738" s="374"/>
      <c r="C14738" s="374"/>
      <c r="CV14738" s="376"/>
    </row>
    <row r="14739" spans="1:100">
      <c r="A14739" s="374"/>
      <c r="C14739" s="374"/>
      <c r="CV14739" s="376"/>
    </row>
    <row r="14740" spans="1:100">
      <c r="A14740" s="374"/>
      <c r="C14740" s="374"/>
      <c r="CV14740" s="376"/>
    </row>
    <row r="14741" spans="1:100">
      <c r="A14741" s="374"/>
      <c r="C14741" s="374"/>
      <c r="CV14741" s="376"/>
    </row>
    <row r="14742" spans="1:100">
      <c r="A14742" s="374"/>
      <c r="C14742" s="374"/>
      <c r="CV14742" s="376"/>
    </row>
    <row r="14743" spans="1:100">
      <c r="A14743" s="374"/>
      <c r="C14743" s="374"/>
      <c r="CV14743" s="376"/>
    </row>
    <row r="14744" spans="1:100">
      <c r="A14744" s="374"/>
      <c r="C14744" s="374"/>
      <c r="CV14744" s="376"/>
    </row>
    <row r="14745" spans="1:100">
      <c r="A14745" s="374"/>
      <c r="C14745" s="374"/>
      <c r="CV14745" s="376"/>
    </row>
    <row r="14746" spans="1:100">
      <c r="A14746" s="374"/>
      <c r="C14746" s="374"/>
      <c r="CV14746" s="376"/>
    </row>
    <row r="14747" spans="1:100">
      <c r="A14747" s="374"/>
      <c r="C14747" s="374"/>
      <c r="CV14747" s="376"/>
    </row>
    <row r="14748" spans="1:100">
      <c r="A14748" s="374"/>
      <c r="C14748" s="374"/>
      <c r="CV14748" s="376"/>
    </row>
    <row r="14749" spans="1:100">
      <c r="A14749" s="374"/>
      <c r="C14749" s="374"/>
      <c r="CV14749" s="376"/>
    </row>
    <row r="14750" spans="1:100">
      <c r="A14750" s="374"/>
      <c r="C14750" s="374"/>
      <c r="CV14750" s="376"/>
    </row>
    <row r="14751" spans="1:100">
      <c r="A14751" s="374"/>
      <c r="C14751" s="374"/>
      <c r="CV14751" s="376"/>
    </row>
    <row r="14752" spans="1:100">
      <c r="A14752" s="374"/>
      <c r="C14752" s="374"/>
      <c r="CV14752" s="376"/>
    </row>
    <row r="14753" spans="1:100">
      <c r="A14753" s="374"/>
      <c r="C14753" s="374"/>
      <c r="CV14753" s="376"/>
    </row>
    <row r="14754" spans="1:100">
      <c r="A14754" s="374"/>
      <c r="C14754" s="374"/>
      <c r="CV14754" s="376"/>
    </row>
    <row r="14755" spans="1:100">
      <c r="A14755" s="374"/>
      <c r="C14755" s="374"/>
      <c r="CV14755" s="376"/>
    </row>
    <row r="14756" spans="1:100">
      <c r="A14756" s="374"/>
      <c r="C14756" s="374"/>
      <c r="CV14756" s="376"/>
    </row>
    <row r="14757" spans="1:100">
      <c r="A14757" s="374"/>
      <c r="C14757" s="374"/>
      <c r="CV14757" s="376"/>
    </row>
    <row r="14758" spans="1:100">
      <c r="A14758" s="374"/>
      <c r="C14758" s="374"/>
      <c r="CV14758" s="376"/>
    </row>
    <row r="14759" spans="1:100">
      <c r="A14759" s="374"/>
      <c r="C14759" s="374"/>
      <c r="CV14759" s="376"/>
    </row>
    <row r="14760" spans="1:100">
      <c r="A14760" s="374"/>
      <c r="C14760" s="374"/>
      <c r="CV14760" s="376"/>
    </row>
    <row r="14761" spans="1:100">
      <c r="A14761" s="374"/>
      <c r="C14761" s="374"/>
      <c r="CV14761" s="376"/>
    </row>
    <row r="14762" spans="1:100">
      <c r="A14762" s="374"/>
      <c r="C14762" s="374"/>
      <c r="CV14762" s="376"/>
    </row>
    <row r="14763" spans="1:100">
      <c r="A14763" s="374"/>
      <c r="C14763" s="374"/>
      <c r="CV14763" s="376"/>
    </row>
    <row r="14764" spans="1:100">
      <c r="A14764" s="374"/>
      <c r="C14764" s="374"/>
      <c r="CV14764" s="376"/>
    </row>
    <row r="14765" spans="1:100">
      <c r="A14765" s="374"/>
      <c r="C14765" s="374"/>
      <c r="CV14765" s="376"/>
    </row>
    <row r="14766" spans="1:100">
      <c r="A14766" s="374"/>
      <c r="C14766" s="374"/>
      <c r="CV14766" s="376"/>
    </row>
    <row r="14767" spans="1:100">
      <c r="A14767" s="374"/>
      <c r="C14767" s="374"/>
      <c r="CV14767" s="376"/>
    </row>
    <row r="14768" spans="1:100">
      <c r="A14768" s="374"/>
      <c r="C14768" s="374"/>
      <c r="CV14768" s="376"/>
    </row>
    <row r="14769" spans="1:100">
      <c r="A14769" s="374"/>
      <c r="C14769" s="374"/>
      <c r="CV14769" s="376"/>
    </row>
    <row r="14770" spans="1:100">
      <c r="A14770" s="374"/>
      <c r="C14770" s="374"/>
      <c r="CV14770" s="376"/>
    </row>
    <row r="14771" spans="1:100">
      <c r="A14771" s="374"/>
      <c r="C14771" s="374"/>
      <c r="CV14771" s="376"/>
    </row>
    <row r="14772" spans="1:100">
      <c r="A14772" s="374"/>
      <c r="C14772" s="374"/>
      <c r="CV14772" s="376"/>
    </row>
    <row r="14773" spans="1:100">
      <c r="A14773" s="374"/>
      <c r="C14773" s="374"/>
      <c r="CV14773" s="376"/>
    </row>
    <row r="14774" spans="1:100">
      <c r="A14774" s="374"/>
      <c r="C14774" s="374"/>
      <c r="CV14774" s="376"/>
    </row>
    <row r="14775" spans="1:100">
      <c r="A14775" s="374"/>
      <c r="C14775" s="374"/>
      <c r="CV14775" s="376"/>
    </row>
    <row r="14776" spans="1:100">
      <c r="A14776" s="374"/>
      <c r="C14776" s="374"/>
      <c r="CV14776" s="376"/>
    </row>
    <row r="14777" spans="1:100">
      <c r="A14777" s="374"/>
      <c r="C14777" s="374"/>
      <c r="CV14777" s="376"/>
    </row>
    <row r="14778" spans="1:100">
      <c r="A14778" s="374"/>
      <c r="C14778" s="374"/>
      <c r="CV14778" s="376"/>
    </row>
    <row r="14779" spans="1:100">
      <c r="A14779" s="374"/>
      <c r="C14779" s="374"/>
      <c r="CV14779" s="376"/>
    </row>
    <row r="14780" spans="1:100">
      <c r="A14780" s="374"/>
      <c r="C14780" s="374"/>
      <c r="CV14780" s="376"/>
    </row>
    <row r="14781" spans="1:100">
      <c r="A14781" s="374"/>
      <c r="C14781" s="374"/>
      <c r="CV14781" s="376"/>
    </row>
    <row r="14782" spans="1:100">
      <c r="A14782" s="374"/>
      <c r="C14782" s="374"/>
      <c r="CV14782" s="376"/>
    </row>
    <row r="14783" spans="1:100">
      <c r="A14783" s="374"/>
      <c r="C14783" s="374"/>
      <c r="CV14783" s="376"/>
    </row>
    <row r="14784" spans="1:100">
      <c r="A14784" s="374"/>
      <c r="C14784" s="374"/>
      <c r="CV14784" s="376"/>
    </row>
    <row r="14785" spans="1:100">
      <c r="A14785" s="374"/>
      <c r="C14785" s="374"/>
      <c r="CV14785" s="376"/>
    </row>
    <row r="14786" spans="1:100">
      <c r="A14786" s="374"/>
      <c r="C14786" s="374"/>
      <c r="CV14786" s="376"/>
    </row>
    <row r="14787" spans="1:100">
      <c r="A14787" s="374"/>
      <c r="C14787" s="374"/>
      <c r="CV14787" s="376"/>
    </row>
    <row r="14788" spans="1:100">
      <c r="A14788" s="374"/>
      <c r="C14788" s="374"/>
      <c r="CV14788" s="376"/>
    </row>
    <row r="14789" spans="1:100">
      <c r="A14789" s="374"/>
      <c r="C14789" s="374"/>
      <c r="CV14789" s="376"/>
    </row>
    <row r="14790" spans="1:100">
      <c r="A14790" s="374"/>
      <c r="C14790" s="374"/>
      <c r="CV14790" s="376"/>
    </row>
    <row r="14791" spans="1:100">
      <c r="A14791" s="374"/>
      <c r="C14791" s="374"/>
      <c r="CV14791" s="376"/>
    </row>
    <row r="14792" spans="1:100">
      <c r="A14792" s="374"/>
      <c r="C14792" s="374"/>
      <c r="CV14792" s="376"/>
    </row>
    <row r="14793" spans="1:100">
      <c r="A14793" s="374"/>
      <c r="C14793" s="374"/>
      <c r="CV14793" s="376"/>
    </row>
    <row r="14794" spans="1:100">
      <c r="A14794" s="374"/>
      <c r="C14794" s="374"/>
      <c r="CV14794" s="376"/>
    </row>
    <row r="14795" spans="1:100">
      <c r="A14795" s="374"/>
      <c r="C14795" s="374"/>
      <c r="CV14795" s="376"/>
    </row>
    <row r="14796" spans="1:100">
      <c r="A14796" s="374"/>
      <c r="C14796" s="374"/>
      <c r="CV14796" s="376"/>
    </row>
    <row r="14797" spans="1:100">
      <c r="A14797" s="374"/>
      <c r="C14797" s="374"/>
      <c r="CV14797" s="376"/>
    </row>
    <row r="14798" spans="1:100">
      <c r="A14798" s="374"/>
      <c r="C14798" s="374"/>
      <c r="CV14798" s="376"/>
    </row>
    <row r="14799" spans="1:100">
      <c r="A14799" s="374"/>
      <c r="C14799" s="374"/>
      <c r="CV14799" s="376"/>
    </row>
    <row r="14800" spans="1:100">
      <c r="A14800" s="374"/>
      <c r="C14800" s="374"/>
      <c r="CV14800" s="376"/>
    </row>
    <row r="14801" spans="1:100">
      <c r="A14801" s="374"/>
      <c r="C14801" s="374"/>
      <c r="CV14801" s="376"/>
    </row>
    <row r="14802" spans="1:100">
      <c r="A14802" s="374"/>
      <c r="C14802" s="374"/>
      <c r="CV14802" s="376"/>
    </row>
    <row r="14803" spans="1:100">
      <c r="A14803" s="374"/>
      <c r="C14803" s="374"/>
      <c r="CV14803" s="376"/>
    </row>
    <row r="14804" spans="1:100">
      <c r="A14804" s="374"/>
      <c r="C14804" s="374"/>
      <c r="CV14804" s="376"/>
    </row>
    <row r="14805" spans="1:100">
      <c r="A14805" s="374"/>
      <c r="C14805" s="374"/>
      <c r="CV14805" s="376"/>
    </row>
    <row r="14806" spans="1:100">
      <c r="A14806" s="374"/>
      <c r="C14806" s="374"/>
      <c r="CV14806" s="376"/>
    </row>
    <row r="14807" spans="1:100">
      <c r="A14807" s="374"/>
      <c r="C14807" s="374"/>
      <c r="CV14807" s="376"/>
    </row>
    <row r="14808" spans="1:100">
      <c r="A14808" s="374"/>
      <c r="C14808" s="374"/>
      <c r="CV14808" s="376"/>
    </row>
    <row r="14809" spans="1:100">
      <c r="A14809" s="374"/>
      <c r="C14809" s="374"/>
      <c r="CV14809" s="376"/>
    </row>
    <row r="14810" spans="1:100">
      <c r="A14810" s="374"/>
      <c r="C14810" s="374"/>
      <c r="CV14810" s="376"/>
    </row>
    <row r="14811" spans="1:100">
      <c r="A14811" s="374"/>
      <c r="C14811" s="374"/>
      <c r="CV14811" s="376"/>
    </row>
    <row r="14812" spans="1:100">
      <c r="A14812" s="374"/>
      <c r="C14812" s="374"/>
      <c r="CV14812" s="376"/>
    </row>
    <row r="14813" spans="1:100">
      <c r="A14813" s="374"/>
      <c r="C14813" s="374"/>
      <c r="CV14813" s="376"/>
    </row>
    <row r="14814" spans="1:100">
      <c r="A14814" s="374"/>
      <c r="C14814" s="374"/>
      <c r="CV14814" s="376"/>
    </row>
    <row r="14815" spans="1:100">
      <c r="A14815" s="374"/>
      <c r="C14815" s="374"/>
      <c r="CV14815" s="376"/>
    </row>
    <row r="14816" spans="1:100">
      <c r="A14816" s="374"/>
      <c r="C14816" s="374"/>
      <c r="CV14816" s="376"/>
    </row>
    <row r="14817" spans="1:100">
      <c r="A14817" s="374"/>
      <c r="C14817" s="374"/>
      <c r="CV14817" s="376"/>
    </row>
    <row r="14818" spans="1:100">
      <c r="A14818" s="374"/>
      <c r="C14818" s="374"/>
      <c r="CV14818" s="376"/>
    </row>
    <row r="14819" spans="1:100">
      <c r="A14819" s="374"/>
      <c r="C14819" s="374"/>
      <c r="CV14819" s="376"/>
    </row>
    <row r="14820" spans="1:100">
      <c r="A14820" s="374"/>
      <c r="C14820" s="374"/>
      <c r="CV14820" s="376"/>
    </row>
    <row r="14821" spans="1:100">
      <c r="A14821" s="374"/>
      <c r="C14821" s="374"/>
      <c r="CV14821" s="376"/>
    </row>
    <row r="14822" spans="1:100">
      <c r="A14822" s="374"/>
      <c r="C14822" s="374"/>
      <c r="CV14822" s="376"/>
    </row>
    <row r="14823" spans="1:100">
      <c r="A14823" s="374"/>
      <c r="C14823" s="374"/>
      <c r="CV14823" s="376"/>
    </row>
    <row r="14824" spans="1:100">
      <c r="A14824" s="374"/>
      <c r="C14824" s="374"/>
      <c r="CV14824" s="376"/>
    </row>
    <row r="14825" spans="1:100">
      <c r="A14825" s="374"/>
      <c r="C14825" s="374"/>
      <c r="CV14825" s="376"/>
    </row>
    <row r="14826" spans="1:100">
      <c r="A14826" s="374"/>
      <c r="C14826" s="374"/>
      <c r="CV14826" s="376"/>
    </row>
    <row r="14827" spans="1:100">
      <c r="A14827" s="374"/>
      <c r="C14827" s="374"/>
      <c r="CV14827" s="376"/>
    </row>
    <row r="14828" spans="1:100">
      <c r="A14828" s="374"/>
      <c r="C14828" s="374"/>
      <c r="CV14828" s="376"/>
    </row>
    <row r="14829" spans="1:100">
      <c r="A14829" s="374"/>
      <c r="C14829" s="374"/>
      <c r="CV14829" s="376"/>
    </row>
    <row r="14830" spans="1:100">
      <c r="A14830" s="374"/>
      <c r="C14830" s="374"/>
      <c r="CV14830" s="376"/>
    </row>
    <row r="14831" spans="1:100">
      <c r="A14831" s="374"/>
      <c r="C14831" s="374"/>
      <c r="CV14831" s="376"/>
    </row>
    <row r="14832" spans="1:100">
      <c r="A14832" s="374"/>
      <c r="C14832" s="374"/>
      <c r="CV14832" s="376"/>
    </row>
    <row r="14833" spans="1:100">
      <c r="A14833" s="374"/>
      <c r="C14833" s="374"/>
      <c r="CV14833" s="376"/>
    </row>
    <row r="14834" spans="1:100">
      <c r="A14834" s="374"/>
      <c r="C14834" s="374"/>
      <c r="CV14834" s="376"/>
    </row>
    <row r="14835" spans="1:100">
      <c r="A14835" s="374"/>
      <c r="C14835" s="374"/>
      <c r="CV14835" s="376"/>
    </row>
    <row r="14836" spans="1:100">
      <c r="A14836" s="374"/>
      <c r="C14836" s="374"/>
      <c r="CV14836" s="376"/>
    </row>
    <row r="14837" spans="1:100">
      <c r="A14837" s="374"/>
      <c r="C14837" s="374"/>
      <c r="CV14837" s="376"/>
    </row>
    <row r="14838" spans="1:100">
      <c r="A14838" s="374"/>
      <c r="C14838" s="374"/>
      <c r="CV14838" s="376"/>
    </row>
    <row r="14839" spans="1:100">
      <c r="A14839" s="374"/>
      <c r="C14839" s="374"/>
      <c r="CV14839" s="376"/>
    </row>
    <row r="14840" spans="1:100">
      <c r="A14840" s="374"/>
      <c r="C14840" s="374"/>
      <c r="CV14840" s="376"/>
    </row>
    <row r="14841" spans="1:100">
      <c r="A14841" s="374"/>
      <c r="C14841" s="374"/>
      <c r="CV14841" s="376"/>
    </row>
    <row r="14842" spans="1:100">
      <c r="A14842" s="374"/>
      <c r="C14842" s="374"/>
      <c r="CV14842" s="376"/>
    </row>
    <row r="14843" spans="1:100">
      <c r="A14843" s="374"/>
      <c r="C14843" s="374"/>
      <c r="CV14843" s="376"/>
    </row>
    <row r="14844" spans="1:100">
      <c r="A14844" s="374"/>
      <c r="C14844" s="374"/>
      <c r="CV14844" s="376"/>
    </row>
    <row r="14845" spans="1:100">
      <c r="A14845" s="374"/>
      <c r="C14845" s="374"/>
      <c r="CV14845" s="376"/>
    </row>
    <row r="14846" spans="1:100">
      <c r="A14846" s="374"/>
      <c r="C14846" s="374"/>
      <c r="CV14846" s="376"/>
    </row>
    <row r="14847" spans="1:100">
      <c r="A14847" s="374"/>
      <c r="C14847" s="374"/>
      <c r="CV14847" s="376"/>
    </row>
    <row r="14848" spans="1:100">
      <c r="A14848" s="374"/>
      <c r="C14848" s="374"/>
      <c r="CV14848" s="376"/>
    </row>
    <row r="14849" spans="1:100">
      <c r="A14849" s="374"/>
      <c r="C14849" s="374"/>
      <c r="CV14849" s="376"/>
    </row>
    <row r="14850" spans="1:100">
      <c r="A14850" s="374"/>
      <c r="C14850" s="374"/>
      <c r="CV14850" s="376"/>
    </row>
    <row r="14851" spans="1:100">
      <c r="A14851" s="374"/>
      <c r="C14851" s="374"/>
      <c r="CV14851" s="376"/>
    </row>
    <row r="14852" spans="1:100">
      <c r="A14852" s="374"/>
      <c r="C14852" s="374"/>
      <c r="CV14852" s="376"/>
    </row>
    <row r="14853" spans="1:100">
      <c r="A14853" s="374"/>
      <c r="C14853" s="374"/>
      <c r="CV14853" s="376"/>
    </row>
    <row r="14854" spans="1:100">
      <c r="A14854" s="374"/>
      <c r="C14854" s="374"/>
      <c r="CV14854" s="376"/>
    </row>
    <row r="14855" spans="1:100">
      <c r="A14855" s="374"/>
      <c r="C14855" s="374"/>
      <c r="CV14855" s="376"/>
    </row>
    <row r="14856" spans="1:100">
      <c r="A14856" s="374"/>
      <c r="C14856" s="374"/>
      <c r="CV14856" s="376"/>
    </row>
    <row r="14857" spans="1:100">
      <c r="A14857" s="374"/>
      <c r="C14857" s="374"/>
      <c r="CV14857" s="376"/>
    </row>
    <row r="14858" spans="1:100">
      <c r="A14858" s="374"/>
      <c r="C14858" s="374"/>
      <c r="CV14858" s="376"/>
    </row>
    <row r="14859" spans="1:100">
      <c r="A14859" s="374"/>
      <c r="C14859" s="374"/>
      <c r="CV14859" s="376"/>
    </row>
    <row r="14860" spans="1:100">
      <c r="A14860" s="374"/>
      <c r="C14860" s="374"/>
      <c r="CV14860" s="376"/>
    </row>
    <row r="14861" spans="1:100">
      <c r="A14861" s="374"/>
      <c r="C14861" s="374"/>
      <c r="CV14861" s="376"/>
    </row>
    <row r="14862" spans="1:100">
      <c r="A14862" s="374"/>
      <c r="C14862" s="374"/>
      <c r="CV14862" s="376"/>
    </row>
    <row r="14863" spans="1:100">
      <c r="A14863" s="374"/>
      <c r="C14863" s="374"/>
      <c r="CV14863" s="376"/>
    </row>
    <row r="14864" spans="1:100">
      <c r="A14864" s="374"/>
      <c r="C14864" s="374"/>
      <c r="CV14864" s="376"/>
    </row>
    <row r="14865" spans="1:100">
      <c r="A14865" s="374"/>
      <c r="C14865" s="374"/>
      <c r="CV14865" s="376"/>
    </row>
    <row r="14866" spans="1:100">
      <c r="A14866" s="374"/>
      <c r="C14866" s="374"/>
      <c r="CV14866" s="376"/>
    </row>
    <row r="14867" spans="1:100">
      <c r="A14867" s="374"/>
      <c r="C14867" s="374"/>
      <c r="CV14867" s="376"/>
    </row>
    <row r="14868" spans="1:100">
      <c r="A14868" s="374"/>
      <c r="C14868" s="374"/>
      <c r="CV14868" s="376"/>
    </row>
    <row r="14869" spans="1:100">
      <c r="A14869" s="374"/>
      <c r="C14869" s="374"/>
      <c r="CV14869" s="376"/>
    </row>
    <row r="14870" spans="1:100">
      <c r="A14870" s="374"/>
      <c r="C14870" s="374"/>
      <c r="CV14870" s="376"/>
    </row>
    <row r="14871" spans="1:100">
      <c r="A14871" s="374"/>
      <c r="C14871" s="374"/>
      <c r="CV14871" s="376"/>
    </row>
    <row r="14872" spans="1:100">
      <c r="A14872" s="374"/>
      <c r="C14872" s="374"/>
      <c r="CV14872" s="376"/>
    </row>
    <row r="14873" spans="1:100">
      <c r="A14873" s="374"/>
      <c r="C14873" s="374"/>
      <c r="CV14873" s="376"/>
    </row>
    <row r="14874" spans="1:100">
      <c r="A14874" s="374"/>
      <c r="C14874" s="374"/>
      <c r="CV14874" s="376"/>
    </row>
    <row r="14875" spans="1:100">
      <c r="A14875" s="374"/>
      <c r="C14875" s="374"/>
      <c r="CV14875" s="376"/>
    </row>
    <row r="14876" spans="1:100">
      <c r="A14876" s="374"/>
      <c r="C14876" s="374"/>
      <c r="CV14876" s="376"/>
    </row>
    <row r="14877" spans="1:100">
      <c r="A14877" s="374"/>
      <c r="C14877" s="374"/>
      <c r="CV14877" s="376"/>
    </row>
    <row r="14878" spans="1:100">
      <c r="A14878" s="374"/>
      <c r="C14878" s="374"/>
      <c r="CV14878" s="376"/>
    </row>
    <row r="14879" spans="1:100">
      <c r="A14879" s="374"/>
      <c r="C14879" s="374"/>
      <c r="CV14879" s="376"/>
    </row>
    <row r="14880" spans="1:100">
      <c r="A14880" s="374"/>
      <c r="C14880" s="374"/>
      <c r="CV14880" s="376"/>
    </row>
    <row r="14881" spans="1:100">
      <c r="A14881" s="374"/>
      <c r="C14881" s="374"/>
      <c r="CV14881" s="376"/>
    </row>
    <row r="14882" spans="1:100">
      <c r="A14882" s="374"/>
      <c r="C14882" s="374"/>
      <c r="CV14882" s="376"/>
    </row>
    <row r="14883" spans="1:100">
      <c r="A14883" s="374"/>
      <c r="C14883" s="374"/>
      <c r="CV14883" s="376"/>
    </row>
    <row r="14884" spans="1:100">
      <c r="A14884" s="374"/>
      <c r="C14884" s="374"/>
      <c r="CV14884" s="376"/>
    </row>
    <row r="14885" spans="1:100">
      <c r="A14885" s="374"/>
      <c r="C14885" s="374"/>
      <c r="CV14885" s="376"/>
    </row>
    <row r="14886" spans="1:100">
      <c r="A14886" s="374"/>
      <c r="C14886" s="374"/>
      <c r="CV14886" s="376"/>
    </row>
    <row r="14887" spans="1:100">
      <c r="A14887" s="374"/>
      <c r="C14887" s="374"/>
      <c r="CV14887" s="376"/>
    </row>
    <row r="14888" spans="1:100">
      <c r="A14888" s="374"/>
      <c r="C14888" s="374"/>
      <c r="CV14888" s="376"/>
    </row>
    <row r="14889" spans="1:100">
      <c r="A14889" s="374"/>
      <c r="C14889" s="374"/>
      <c r="CV14889" s="376"/>
    </row>
    <row r="14890" spans="1:100">
      <c r="A14890" s="374"/>
      <c r="C14890" s="374"/>
      <c r="CV14890" s="376"/>
    </row>
    <row r="14891" spans="1:100">
      <c r="A14891" s="374"/>
      <c r="C14891" s="374"/>
      <c r="CV14891" s="376"/>
    </row>
    <row r="14892" spans="1:100">
      <c r="A14892" s="374"/>
      <c r="C14892" s="374"/>
      <c r="CV14892" s="376"/>
    </row>
    <row r="14893" spans="1:100">
      <c r="A14893" s="374"/>
      <c r="C14893" s="374"/>
      <c r="CV14893" s="376"/>
    </row>
    <row r="14894" spans="1:100">
      <c r="A14894" s="374"/>
      <c r="C14894" s="374"/>
      <c r="CV14894" s="376"/>
    </row>
    <row r="14895" spans="1:100">
      <c r="A14895" s="374"/>
      <c r="C14895" s="374"/>
      <c r="CV14895" s="376"/>
    </row>
    <row r="14896" spans="1:100">
      <c r="A14896" s="374"/>
      <c r="C14896" s="374"/>
      <c r="CV14896" s="376"/>
    </row>
    <row r="14897" spans="1:100">
      <c r="A14897" s="374"/>
      <c r="C14897" s="374"/>
      <c r="CV14897" s="376"/>
    </row>
    <row r="14898" spans="1:100">
      <c r="A14898" s="374"/>
      <c r="C14898" s="374"/>
      <c r="CV14898" s="376"/>
    </row>
    <row r="14899" spans="1:100">
      <c r="A14899" s="374"/>
      <c r="C14899" s="374"/>
      <c r="CV14899" s="376"/>
    </row>
    <row r="14900" spans="1:100">
      <c r="A14900" s="374"/>
      <c r="C14900" s="374"/>
      <c r="CV14900" s="376"/>
    </row>
    <row r="14901" spans="1:100">
      <c r="A14901" s="374"/>
      <c r="C14901" s="374"/>
      <c r="CV14901" s="376"/>
    </row>
    <row r="14902" spans="1:100">
      <c r="A14902" s="374"/>
      <c r="C14902" s="374"/>
      <c r="CV14902" s="376"/>
    </row>
    <row r="14903" spans="1:100">
      <c r="A14903" s="374"/>
      <c r="C14903" s="374"/>
      <c r="CV14903" s="376"/>
    </row>
    <row r="14904" spans="1:100">
      <c r="A14904" s="374"/>
      <c r="C14904" s="374"/>
      <c r="CV14904" s="376"/>
    </row>
    <row r="14905" spans="1:100">
      <c r="A14905" s="374"/>
      <c r="C14905" s="374"/>
      <c r="CV14905" s="376"/>
    </row>
    <row r="14906" spans="1:100">
      <c r="A14906" s="374"/>
      <c r="C14906" s="374"/>
      <c r="CV14906" s="376"/>
    </row>
    <row r="14907" spans="1:100">
      <c r="A14907" s="374"/>
      <c r="C14907" s="374"/>
      <c r="CV14907" s="376"/>
    </row>
    <row r="14908" spans="1:100">
      <c r="A14908" s="374"/>
      <c r="C14908" s="374"/>
      <c r="CV14908" s="376"/>
    </row>
    <row r="14909" spans="1:100">
      <c r="A14909" s="374"/>
      <c r="C14909" s="374"/>
      <c r="CV14909" s="376"/>
    </row>
    <row r="14910" spans="1:100">
      <c r="A14910" s="374"/>
      <c r="C14910" s="374"/>
      <c r="CV14910" s="376"/>
    </row>
    <row r="14911" spans="1:100">
      <c r="A14911" s="374"/>
      <c r="C14911" s="374"/>
      <c r="CV14911" s="376"/>
    </row>
    <row r="14912" spans="1:100">
      <c r="A14912" s="374"/>
      <c r="C14912" s="374"/>
      <c r="CV14912" s="376"/>
    </row>
    <row r="14913" spans="1:100">
      <c r="A14913" s="374"/>
      <c r="C14913" s="374"/>
      <c r="CV14913" s="376"/>
    </row>
    <row r="14914" spans="1:100">
      <c r="A14914" s="374"/>
      <c r="C14914" s="374"/>
      <c r="CV14914" s="376"/>
    </row>
    <row r="14915" spans="1:100">
      <c r="A14915" s="374"/>
      <c r="C14915" s="374"/>
      <c r="CV14915" s="376"/>
    </row>
    <row r="14916" spans="1:100">
      <c r="A14916" s="374"/>
      <c r="C14916" s="374"/>
      <c r="CV14916" s="376"/>
    </row>
    <row r="14917" spans="1:100">
      <c r="A14917" s="374"/>
      <c r="C14917" s="374"/>
      <c r="CV14917" s="376"/>
    </row>
    <row r="14918" spans="1:100">
      <c r="A14918" s="374"/>
      <c r="C14918" s="374"/>
      <c r="CV14918" s="376"/>
    </row>
    <row r="14919" spans="1:100">
      <c r="A14919" s="374"/>
      <c r="C14919" s="374"/>
      <c r="CV14919" s="376"/>
    </row>
    <row r="14920" spans="1:100">
      <c r="A14920" s="374"/>
      <c r="C14920" s="374"/>
      <c r="CV14920" s="376"/>
    </row>
    <row r="14921" spans="1:100">
      <c r="A14921" s="374"/>
      <c r="C14921" s="374"/>
      <c r="CV14921" s="376"/>
    </row>
    <row r="14922" spans="1:100">
      <c r="A14922" s="374"/>
      <c r="C14922" s="374"/>
      <c r="CV14922" s="376"/>
    </row>
    <row r="14923" spans="1:100">
      <c r="A14923" s="374"/>
      <c r="C14923" s="374"/>
      <c r="CV14923" s="376"/>
    </row>
    <row r="14924" spans="1:100">
      <c r="A14924" s="374"/>
      <c r="C14924" s="374"/>
      <c r="CV14924" s="376"/>
    </row>
    <row r="14925" spans="1:100">
      <c r="A14925" s="374"/>
      <c r="C14925" s="374"/>
      <c r="CV14925" s="376"/>
    </row>
    <row r="14926" spans="1:100">
      <c r="A14926" s="374"/>
      <c r="C14926" s="374"/>
      <c r="CV14926" s="376"/>
    </row>
    <row r="14927" spans="1:100">
      <c r="A14927" s="374"/>
      <c r="C14927" s="374"/>
      <c r="CV14927" s="376"/>
    </row>
    <row r="14928" spans="1:100">
      <c r="A14928" s="374"/>
      <c r="C14928" s="374"/>
      <c r="CV14928" s="376"/>
    </row>
    <row r="14929" spans="1:100">
      <c r="A14929" s="374"/>
      <c r="C14929" s="374"/>
      <c r="CV14929" s="376"/>
    </row>
    <row r="14930" spans="1:100">
      <c r="A14930" s="374"/>
      <c r="C14930" s="374"/>
      <c r="CV14930" s="376"/>
    </row>
    <row r="14931" spans="1:100">
      <c r="A14931" s="374"/>
      <c r="C14931" s="374"/>
      <c r="CV14931" s="376"/>
    </row>
    <row r="14932" spans="1:100">
      <c r="A14932" s="374"/>
      <c r="C14932" s="374"/>
      <c r="CV14932" s="376"/>
    </row>
    <row r="14933" spans="1:100">
      <c r="A14933" s="374"/>
      <c r="C14933" s="374"/>
      <c r="CV14933" s="376"/>
    </row>
    <row r="14934" spans="1:100">
      <c r="A14934" s="374"/>
      <c r="C14934" s="374"/>
      <c r="CV14934" s="376"/>
    </row>
    <row r="14935" spans="1:100">
      <c r="A14935" s="374"/>
      <c r="C14935" s="374"/>
      <c r="CV14935" s="376"/>
    </row>
    <row r="14936" spans="1:100">
      <c r="A14936" s="374"/>
      <c r="C14936" s="374"/>
      <c r="CV14936" s="376"/>
    </row>
    <row r="14937" spans="1:100">
      <c r="A14937" s="374"/>
      <c r="C14937" s="374"/>
      <c r="CV14937" s="376"/>
    </row>
    <row r="14938" spans="1:100">
      <c r="A14938" s="374"/>
      <c r="C14938" s="374"/>
      <c r="CV14938" s="376"/>
    </row>
    <row r="14939" spans="1:100">
      <c r="A14939" s="374"/>
      <c r="C14939" s="374"/>
      <c r="CV14939" s="376"/>
    </row>
    <row r="14940" spans="1:100">
      <c r="A14940" s="374"/>
      <c r="C14940" s="374"/>
      <c r="CV14940" s="376"/>
    </row>
    <row r="14941" spans="1:100">
      <c r="A14941" s="374"/>
      <c r="C14941" s="374"/>
      <c r="CV14941" s="376"/>
    </row>
    <row r="14942" spans="1:100">
      <c r="A14942" s="374"/>
      <c r="C14942" s="374"/>
      <c r="CV14942" s="376"/>
    </row>
    <row r="14943" spans="1:100">
      <c r="A14943" s="374"/>
      <c r="C14943" s="374"/>
      <c r="CV14943" s="376"/>
    </row>
    <row r="14944" spans="1:100">
      <c r="A14944" s="374"/>
      <c r="C14944" s="374"/>
      <c r="CV14944" s="376"/>
    </row>
    <row r="14945" spans="1:100">
      <c r="A14945" s="374"/>
      <c r="C14945" s="374"/>
      <c r="CV14945" s="376"/>
    </row>
    <row r="14946" spans="1:100">
      <c r="A14946" s="374"/>
      <c r="C14946" s="374"/>
      <c r="CV14946" s="376"/>
    </row>
    <row r="14947" spans="1:100">
      <c r="A14947" s="374"/>
      <c r="C14947" s="374"/>
      <c r="CV14947" s="376"/>
    </row>
    <row r="14948" spans="1:100">
      <c r="A14948" s="374"/>
      <c r="C14948" s="374"/>
      <c r="CV14948" s="376"/>
    </row>
    <row r="14949" spans="1:100">
      <c r="A14949" s="374"/>
      <c r="C14949" s="374"/>
      <c r="CV14949" s="376"/>
    </row>
    <row r="14950" spans="1:100">
      <c r="A14950" s="374"/>
      <c r="C14950" s="374"/>
      <c r="CV14950" s="376"/>
    </row>
    <row r="14951" spans="1:100">
      <c r="A14951" s="374"/>
      <c r="C14951" s="374"/>
      <c r="CV14951" s="376"/>
    </row>
    <row r="14952" spans="1:100">
      <c r="A14952" s="374"/>
      <c r="C14952" s="374"/>
      <c r="CV14952" s="376"/>
    </row>
    <row r="14953" spans="1:100">
      <c r="A14953" s="374"/>
      <c r="C14953" s="374"/>
      <c r="CV14953" s="376"/>
    </row>
    <row r="14954" spans="1:100">
      <c r="A14954" s="374"/>
      <c r="C14954" s="374"/>
      <c r="CV14954" s="376"/>
    </row>
    <row r="14955" spans="1:100">
      <c r="A14955" s="374"/>
      <c r="C14955" s="374"/>
      <c r="CV14955" s="376"/>
    </row>
    <row r="14956" spans="1:100">
      <c r="A14956" s="374"/>
      <c r="C14956" s="374"/>
      <c r="CV14956" s="376"/>
    </row>
    <row r="14957" spans="1:100">
      <c r="A14957" s="374"/>
      <c r="C14957" s="374"/>
      <c r="CV14957" s="376"/>
    </row>
    <row r="14958" spans="1:100">
      <c r="A14958" s="374"/>
      <c r="C14958" s="374"/>
      <c r="CV14958" s="376"/>
    </row>
    <row r="14959" spans="1:100">
      <c r="A14959" s="374"/>
      <c r="C14959" s="374"/>
      <c r="CV14959" s="376"/>
    </row>
    <row r="14960" spans="1:100">
      <c r="A14960" s="374"/>
      <c r="C14960" s="374"/>
      <c r="CV14960" s="376"/>
    </row>
    <row r="14961" spans="1:100">
      <c r="A14961" s="374"/>
      <c r="C14961" s="374"/>
      <c r="CV14961" s="376"/>
    </row>
    <row r="14962" spans="1:100">
      <c r="A14962" s="374"/>
      <c r="C14962" s="374"/>
      <c r="CV14962" s="376"/>
    </row>
    <row r="14963" spans="1:100">
      <c r="A14963" s="374"/>
      <c r="C14963" s="374"/>
      <c r="CV14963" s="376"/>
    </row>
    <row r="14964" spans="1:100">
      <c r="A14964" s="374"/>
      <c r="C14964" s="374"/>
      <c r="CV14964" s="376"/>
    </row>
    <row r="14965" spans="1:100">
      <c r="A14965" s="374"/>
      <c r="C14965" s="374"/>
      <c r="CV14965" s="376"/>
    </row>
    <row r="14966" spans="1:100">
      <c r="A14966" s="374"/>
      <c r="C14966" s="374"/>
      <c r="CV14966" s="376"/>
    </row>
    <row r="14967" spans="1:100">
      <c r="A14967" s="374"/>
      <c r="C14967" s="374"/>
      <c r="CV14967" s="376"/>
    </row>
    <row r="14968" spans="1:100">
      <c r="A14968" s="374"/>
      <c r="C14968" s="374"/>
      <c r="CV14968" s="376"/>
    </row>
    <row r="14969" spans="1:100">
      <c r="A14969" s="374"/>
      <c r="C14969" s="374"/>
      <c r="CV14969" s="376"/>
    </row>
    <row r="14970" spans="1:100">
      <c r="A14970" s="374"/>
      <c r="C14970" s="374"/>
      <c r="CV14970" s="376"/>
    </row>
    <row r="14971" spans="1:100">
      <c r="A14971" s="374"/>
      <c r="C14971" s="374"/>
      <c r="CV14971" s="376"/>
    </row>
    <row r="14972" spans="1:100">
      <c r="A14972" s="374"/>
      <c r="C14972" s="374"/>
      <c r="CV14972" s="376"/>
    </row>
    <row r="14973" spans="1:100">
      <c r="A14973" s="374"/>
      <c r="C14973" s="374"/>
      <c r="CV14973" s="376"/>
    </row>
    <row r="14974" spans="1:100">
      <c r="A14974" s="374"/>
      <c r="C14974" s="374"/>
      <c r="CV14974" s="376"/>
    </row>
    <row r="14975" spans="1:100">
      <c r="A14975" s="374"/>
      <c r="C14975" s="374"/>
      <c r="CV14975" s="376"/>
    </row>
    <row r="14976" spans="1:100">
      <c r="A14976" s="374"/>
      <c r="C14976" s="374"/>
      <c r="CV14976" s="376"/>
    </row>
    <row r="14977" spans="1:100">
      <c r="A14977" s="374"/>
      <c r="C14977" s="374"/>
      <c r="CV14977" s="376"/>
    </row>
    <row r="14978" spans="1:100">
      <c r="A14978" s="374"/>
      <c r="C14978" s="374"/>
      <c r="CV14978" s="376"/>
    </row>
    <row r="14979" spans="1:100">
      <c r="A14979" s="374"/>
      <c r="C14979" s="374"/>
      <c r="CV14979" s="376"/>
    </row>
    <row r="14980" spans="1:100">
      <c r="A14980" s="374"/>
      <c r="C14980" s="374"/>
      <c r="CV14980" s="376"/>
    </row>
    <row r="14981" spans="1:100">
      <c r="A14981" s="374"/>
      <c r="C14981" s="374"/>
      <c r="CV14981" s="376"/>
    </row>
    <row r="14982" spans="1:100">
      <c r="A14982" s="374"/>
      <c r="C14982" s="374"/>
      <c r="CV14982" s="376"/>
    </row>
    <row r="14983" spans="1:100">
      <c r="A14983" s="374"/>
      <c r="C14983" s="374"/>
      <c r="CV14983" s="376"/>
    </row>
    <row r="14984" spans="1:100">
      <c r="A14984" s="374"/>
      <c r="C14984" s="374"/>
      <c r="CV14984" s="376"/>
    </row>
    <row r="14985" spans="1:100">
      <c r="A14985" s="374"/>
      <c r="C14985" s="374"/>
      <c r="CV14985" s="376"/>
    </row>
    <row r="14986" spans="1:100">
      <c r="A14986" s="374"/>
      <c r="C14986" s="374"/>
      <c r="CV14986" s="376"/>
    </row>
    <row r="14987" spans="1:100">
      <c r="A14987" s="374"/>
      <c r="C14987" s="374"/>
      <c r="CV14987" s="376"/>
    </row>
    <row r="14988" spans="1:100">
      <c r="A14988" s="374"/>
      <c r="C14988" s="374"/>
      <c r="CV14988" s="376"/>
    </row>
    <row r="14989" spans="1:100">
      <c r="A14989" s="374"/>
      <c r="C14989" s="374"/>
      <c r="CV14989" s="376"/>
    </row>
    <row r="14990" spans="1:100">
      <c r="A14990" s="374"/>
      <c r="C14990" s="374"/>
      <c r="CV14990" s="376"/>
    </row>
    <row r="14991" spans="1:100">
      <c r="A14991" s="374"/>
      <c r="C14991" s="374"/>
      <c r="CV14991" s="376"/>
    </row>
    <row r="14992" spans="1:100">
      <c r="A14992" s="374"/>
      <c r="C14992" s="374"/>
      <c r="CV14992" s="376"/>
    </row>
    <row r="14993" spans="1:100">
      <c r="A14993" s="374"/>
      <c r="C14993" s="374"/>
      <c r="CV14993" s="376"/>
    </row>
    <row r="14994" spans="1:100">
      <c r="A14994" s="374"/>
      <c r="C14994" s="374"/>
      <c r="CV14994" s="376"/>
    </row>
    <row r="14995" spans="1:100">
      <c r="A14995" s="374"/>
      <c r="C14995" s="374"/>
      <c r="CV14995" s="376"/>
    </row>
    <row r="14996" spans="1:100">
      <c r="A14996" s="374"/>
      <c r="C14996" s="374"/>
      <c r="CV14996" s="376"/>
    </row>
    <row r="14997" spans="1:100">
      <c r="A14997" s="374"/>
      <c r="C14997" s="374"/>
      <c r="CV14997" s="376"/>
    </row>
    <row r="14998" spans="1:100">
      <c r="A14998" s="374"/>
      <c r="C14998" s="374"/>
      <c r="CV14998" s="376"/>
    </row>
    <row r="14999" spans="1:100">
      <c r="A14999" s="374"/>
      <c r="C14999" s="374"/>
      <c r="CV14999" s="376"/>
    </row>
    <row r="15000" spans="1:100">
      <c r="A15000" s="374"/>
      <c r="C15000" s="374"/>
      <c r="CV15000" s="376"/>
    </row>
    <row r="15001" spans="1:100">
      <c r="A15001" s="374"/>
      <c r="C15001" s="374"/>
      <c r="CV15001" s="376"/>
    </row>
    <row r="15002" spans="1:100">
      <c r="A15002" s="374"/>
      <c r="C15002" s="374"/>
      <c r="CV15002" s="376"/>
    </row>
    <row r="15003" spans="1:100">
      <c r="A15003" s="374"/>
      <c r="C15003" s="374"/>
      <c r="CV15003" s="376"/>
    </row>
    <row r="15004" spans="1:100">
      <c r="A15004" s="374"/>
      <c r="C15004" s="374"/>
      <c r="CV15004" s="376"/>
    </row>
    <row r="15005" spans="1:100">
      <c r="A15005" s="374"/>
      <c r="C15005" s="374"/>
      <c r="CV15005" s="376"/>
    </row>
    <row r="15006" spans="1:100">
      <c r="A15006" s="374"/>
      <c r="C15006" s="374"/>
      <c r="CV15006" s="376"/>
    </row>
    <row r="15007" spans="1:100">
      <c r="A15007" s="374"/>
      <c r="C15007" s="374"/>
      <c r="CV15007" s="376"/>
    </row>
    <row r="15008" spans="1:100">
      <c r="A15008" s="374"/>
      <c r="C15008" s="374"/>
      <c r="CV15008" s="376"/>
    </row>
    <row r="15009" spans="1:100">
      <c r="A15009" s="374"/>
      <c r="C15009" s="374"/>
      <c r="CV15009" s="376"/>
    </row>
    <row r="15010" spans="1:100">
      <c r="A15010" s="374"/>
      <c r="C15010" s="374"/>
      <c r="CV15010" s="376"/>
    </row>
    <row r="15011" spans="1:100">
      <c r="A15011" s="374"/>
      <c r="C15011" s="374"/>
      <c r="CV15011" s="376"/>
    </row>
    <row r="15012" spans="1:100">
      <c r="A15012" s="374"/>
      <c r="C15012" s="374"/>
      <c r="CV15012" s="376"/>
    </row>
    <row r="15013" spans="1:100">
      <c r="A15013" s="374"/>
      <c r="C15013" s="374"/>
      <c r="CV15013" s="376"/>
    </row>
    <row r="15014" spans="1:100">
      <c r="A15014" s="374"/>
      <c r="C15014" s="374"/>
      <c r="CV15014" s="376"/>
    </row>
    <row r="15015" spans="1:100">
      <c r="A15015" s="374"/>
      <c r="C15015" s="374"/>
      <c r="CV15015" s="376"/>
    </row>
    <row r="15016" spans="1:100">
      <c r="A15016" s="374"/>
      <c r="C15016" s="374"/>
      <c r="CV15016" s="376"/>
    </row>
    <row r="15017" spans="1:100">
      <c r="A15017" s="374"/>
      <c r="C15017" s="374"/>
      <c r="CV15017" s="376"/>
    </row>
    <row r="15018" spans="1:100">
      <c r="A15018" s="374"/>
      <c r="C15018" s="374"/>
      <c r="CV15018" s="376"/>
    </row>
    <row r="15019" spans="1:100">
      <c r="A15019" s="374"/>
      <c r="C15019" s="374"/>
      <c r="CV15019" s="376"/>
    </row>
    <row r="15020" spans="1:100">
      <c r="A15020" s="374"/>
      <c r="C15020" s="374"/>
      <c r="CV15020" s="376"/>
    </row>
    <row r="15021" spans="1:100">
      <c r="A15021" s="374"/>
      <c r="C15021" s="374"/>
      <c r="CV15021" s="376"/>
    </row>
    <row r="15022" spans="1:100">
      <c r="A15022" s="374"/>
      <c r="C15022" s="374"/>
      <c r="CV15022" s="376"/>
    </row>
    <row r="15023" spans="1:100">
      <c r="A15023" s="374"/>
      <c r="C15023" s="374"/>
      <c r="CV15023" s="376"/>
    </row>
    <row r="15024" spans="1:100">
      <c r="A15024" s="374"/>
      <c r="C15024" s="374"/>
      <c r="CV15024" s="376"/>
    </row>
    <row r="15025" spans="1:100">
      <c r="A15025" s="374"/>
      <c r="C15025" s="374"/>
      <c r="CV15025" s="376"/>
    </row>
    <row r="15026" spans="1:100">
      <c r="A15026" s="374"/>
      <c r="C15026" s="374"/>
      <c r="CV15026" s="376"/>
    </row>
    <row r="15027" spans="1:100">
      <c r="A15027" s="374"/>
      <c r="C15027" s="374"/>
      <c r="CV15027" s="376"/>
    </row>
    <row r="15028" spans="1:100">
      <c r="A15028" s="374"/>
      <c r="C15028" s="374"/>
      <c r="CV15028" s="376"/>
    </row>
    <row r="15029" spans="1:100">
      <c r="A15029" s="374"/>
      <c r="C15029" s="374"/>
      <c r="CV15029" s="376"/>
    </row>
    <row r="15030" spans="1:100">
      <c r="A15030" s="374"/>
      <c r="C15030" s="374"/>
      <c r="CV15030" s="376"/>
    </row>
    <row r="15031" spans="1:100">
      <c r="A15031" s="374"/>
      <c r="C15031" s="374"/>
      <c r="CV15031" s="376"/>
    </row>
    <row r="15032" spans="1:100">
      <c r="A15032" s="374"/>
      <c r="C15032" s="374"/>
      <c r="CV15032" s="376"/>
    </row>
    <row r="15033" spans="1:100">
      <c r="A15033" s="374"/>
      <c r="C15033" s="374"/>
      <c r="CV15033" s="376"/>
    </row>
    <row r="15034" spans="1:100">
      <c r="A15034" s="374"/>
      <c r="C15034" s="374"/>
      <c r="CV15034" s="376"/>
    </row>
    <row r="15035" spans="1:100">
      <c r="A15035" s="374"/>
      <c r="C15035" s="374"/>
      <c r="CV15035" s="376"/>
    </row>
    <row r="15036" spans="1:100">
      <c r="A15036" s="374"/>
      <c r="C15036" s="374"/>
      <c r="CV15036" s="376"/>
    </row>
    <row r="15037" spans="1:100">
      <c r="A15037" s="374"/>
      <c r="C15037" s="374"/>
      <c r="CV15037" s="376"/>
    </row>
    <row r="15038" spans="1:100">
      <c r="A15038" s="374"/>
      <c r="C15038" s="374"/>
      <c r="CV15038" s="376"/>
    </row>
    <row r="15039" spans="1:100">
      <c r="A15039" s="374"/>
      <c r="C15039" s="374"/>
      <c r="CV15039" s="376"/>
    </row>
    <row r="15040" spans="1:100">
      <c r="A15040" s="374"/>
      <c r="C15040" s="374"/>
      <c r="CV15040" s="376"/>
    </row>
    <row r="15041" spans="1:100">
      <c r="A15041" s="374"/>
      <c r="C15041" s="374"/>
      <c r="CV15041" s="376"/>
    </row>
    <row r="15042" spans="1:100">
      <c r="A15042" s="374"/>
      <c r="C15042" s="374"/>
      <c r="CV15042" s="376"/>
    </row>
    <row r="15043" spans="1:100">
      <c r="A15043" s="374"/>
      <c r="C15043" s="374"/>
      <c r="CV15043" s="376"/>
    </row>
    <row r="15044" spans="1:100">
      <c r="A15044" s="374"/>
      <c r="C15044" s="374"/>
      <c r="CV15044" s="376"/>
    </row>
    <row r="15045" spans="1:100">
      <c r="A15045" s="374"/>
      <c r="C15045" s="374"/>
      <c r="CV15045" s="376"/>
    </row>
    <row r="15046" spans="1:100">
      <c r="A15046" s="374"/>
      <c r="C15046" s="374"/>
      <c r="CV15046" s="376"/>
    </row>
    <row r="15047" spans="1:100">
      <c r="A15047" s="374"/>
      <c r="C15047" s="374"/>
      <c r="CV15047" s="376"/>
    </row>
    <row r="15048" spans="1:100">
      <c r="A15048" s="374"/>
      <c r="C15048" s="374"/>
      <c r="CV15048" s="376"/>
    </row>
    <row r="15049" spans="1:100">
      <c r="A15049" s="374"/>
      <c r="C15049" s="374"/>
      <c r="CV15049" s="376"/>
    </row>
    <row r="15050" spans="1:100">
      <c r="A15050" s="374"/>
      <c r="C15050" s="374"/>
      <c r="CV15050" s="376"/>
    </row>
    <row r="15051" spans="1:100">
      <c r="A15051" s="374"/>
      <c r="C15051" s="374"/>
      <c r="CV15051" s="376"/>
    </row>
    <row r="15052" spans="1:100">
      <c r="A15052" s="374"/>
      <c r="C15052" s="374"/>
      <c r="CV15052" s="376"/>
    </row>
    <row r="15053" spans="1:100">
      <c r="A15053" s="374"/>
      <c r="C15053" s="374"/>
      <c r="CV15053" s="376"/>
    </row>
    <row r="15054" spans="1:100">
      <c r="A15054" s="374"/>
      <c r="C15054" s="374"/>
      <c r="CV15054" s="376"/>
    </row>
    <row r="15055" spans="1:100">
      <c r="A15055" s="374"/>
      <c r="C15055" s="374"/>
      <c r="CV15055" s="376"/>
    </row>
    <row r="15056" spans="1:100">
      <c r="A15056" s="374"/>
      <c r="C15056" s="374"/>
      <c r="CV15056" s="376"/>
    </row>
    <row r="15057" spans="1:100">
      <c r="A15057" s="374"/>
      <c r="C15057" s="374"/>
      <c r="CV15057" s="376"/>
    </row>
    <row r="15058" spans="1:100">
      <c r="A15058" s="374"/>
      <c r="C15058" s="374"/>
      <c r="CV15058" s="376"/>
    </row>
    <row r="15059" spans="1:100">
      <c r="A15059" s="374"/>
      <c r="C15059" s="374"/>
      <c r="CV15059" s="376"/>
    </row>
    <row r="15060" spans="1:100">
      <c r="A15060" s="374"/>
      <c r="C15060" s="374"/>
      <c r="CV15060" s="376"/>
    </row>
    <row r="15061" spans="1:100">
      <c r="A15061" s="374"/>
      <c r="C15061" s="374"/>
      <c r="CV15061" s="376"/>
    </row>
    <row r="15062" spans="1:100">
      <c r="A15062" s="374"/>
      <c r="C15062" s="374"/>
      <c r="CV15062" s="376"/>
    </row>
    <row r="15063" spans="1:100">
      <c r="A15063" s="374"/>
      <c r="C15063" s="374"/>
      <c r="CV15063" s="376"/>
    </row>
    <row r="15064" spans="1:100">
      <c r="A15064" s="374"/>
      <c r="C15064" s="374"/>
      <c r="CV15064" s="376"/>
    </row>
    <row r="15065" spans="1:100">
      <c r="A15065" s="374"/>
      <c r="C15065" s="374"/>
      <c r="CV15065" s="376"/>
    </row>
    <row r="15066" spans="1:100">
      <c r="A15066" s="374"/>
      <c r="C15066" s="374"/>
      <c r="CV15066" s="376"/>
    </row>
    <row r="15067" spans="1:100">
      <c r="A15067" s="374"/>
      <c r="C15067" s="374"/>
      <c r="CV15067" s="376"/>
    </row>
    <row r="15068" spans="1:100">
      <c r="A15068" s="374"/>
      <c r="C15068" s="374"/>
      <c r="CV15068" s="376"/>
    </row>
    <row r="15069" spans="1:100">
      <c r="A15069" s="374"/>
      <c r="C15069" s="374"/>
      <c r="CV15069" s="376"/>
    </row>
    <row r="15070" spans="1:100">
      <c r="A15070" s="374"/>
      <c r="C15070" s="374"/>
      <c r="CV15070" s="376"/>
    </row>
    <row r="15071" spans="1:100">
      <c r="A15071" s="374"/>
      <c r="C15071" s="374"/>
      <c r="CV15071" s="376"/>
    </row>
    <row r="15072" spans="1:100">
      <c r="A15072" s="374"/>
      <c r="C15072" s="374"/>
      <c r="CV15072" s="376"/>
    </row>
    <row r="15073" spans="1:100">
      <c r="A15073" s="374"/>
      <c r="C15073" s="374"/>
      <c r="CV15073" s="376"/>
    </row>
    <row r="15074" spans="1:100">
      <c r="A15074" s="374"/>
      <c r="C15074" s="374"/>
      <c r="CV15074" s="376"/>
    </row>
    <row r="15075" spans="1:100">
      <c r="A15075" s="374"/>
      <c r="C15075" s="374"/>
      <c r="CV15075" s="376"/>
    </row>
    <row r="15076" spans="1:100">
      <c r="A15076" s="374"/>
      <c r="C15076" s="374"/>
      <c r="CV15076" s="376"/>
    </row>
    <row r="15077" spans="1:100">
      <c r="A15077" s="374"/>
      <c r="C15077" s="374"/>
      <c r="CV15077" s="376"/>
    </row>
    <row r="15078" spans="1:100">
      <c r="A15078" s="374"/>
      <c r="C15078" s="374"/>
      <c r="CV15078" s="376"/>
    </row>
    <row r="15079" spans="1:100">
      <c r="A15079" s="374"/>
      <c r="C15079" s="374"/>
      <c r="CV15079" s="376"/>
    </row>
    <row r="15080" spans="1:100">
      <c r="A15080" s="374"/>
      <c r="C15080" s="374"/>
      <c r="CV15080" s="376"/>
    </row>
    <row r="15081" spans="1:100">
      <c r="A15081" s="374"/>
      <c r="C15081" s="374"/>
      <c r="CV15081" s="376"/>
    </row>
    <row r="15082" spans="1:100">
      <c r="A15082" s="374"/>
      <c r="C15082" s="374"/>
      <c r="CV15082" s="376"/>
    </row>
    <row r="15083" spans="1:100">
      <c r="A15083" s="374"/>
      <c r="C15083" s="374"/>
      <c r="CV15083" s="376"/>
    </row>
    <row r="15084" spans="1:100">
      <c r="A15084" s="374"/>
      <c r="C15084" s="374"/>
      <c r="CV15084" s="376"/>
    </row>
    <row r="15085" spans="1:100">
      <c r="A15085" s="374"/>
      <c r="C15085" s="374"/>
      <c r="CV15085" s="376"/>
    </row>
    <row r="15086" spans="1:100">
      <c r="A15086" s="374"/>
      <c r="C15086" s="374"/>
      <c r="CV15086" s="376"/>
    </row>
    <row r="15087" spans="1:100">
      <c r="A15087" s="374"/>
      <c r="C15087" s="374"/>
      <c r="CV15087" s="376"/>
    </row>
    <row r="15088" spans="1:100">
      <c r="A15088" s="374"/>
      <c r="C15088" s="374"/>
      <c r="CV15088" s="376"/>
    </row>
    <row r="15089" spans="1:100">
      <c r="A15089" s="374"/>
      <c r="C15089" s="374"/>
      <c r="CV15089" s="376"/>
    </row>
    <row r="15090" spans="1:100">
      <c r="A15090" s="374"/>
      <c r="C15090" s="374"/>
      <c r="CV15090" s="376"/>
    </row>
    <row r="15091" spans="1:100">
      <c r="A15091" s="374"/>
      <c r="C15091" s="374"/>
      <c r="CV15091" s="376"/>
    </row>
    <row r="15092" spans="1:100">
      <c r="A15092" s="374"/>
      <c r="C15092" s="374"/>
      <c r="CV15092" s="376"/>
    </row>
    <row r="15093" spans="1:100">
      <c r="A15093" s="374"/>
      <c r="C15093" s="374"/>
      <c r="CV15093" s="376"/>
    </row>
    <row r="15094" spans="1:100">
      <c r="A15094" s="374"/>
      <c r="C15094" s="374"/>
      <c r="CV15094" s="376"/>
    </row>
    <row r="15095" spans="1:100">
      <c r="A15095" s="374"/>
      <c r="C15095" s="374"/>
      <c r="CV15095" s="376"/>
    </row>
    <row r="15096" spans="1:100">
      <c r="A15096" s="374"/>
      <c r="C15096" s="374"/>
      <c r="CV15096" s="376"/>
    </row>
    <row r="15097" spans="1:100">
      <c r="A15097" s="374"/>
      <c r="C15097" s="374"/>
      <c r="CV15097" s="376"/>
    </row>
    <row r="15098" spans="1:100">
      <c r="A15098" s="374"/>
      <c r="C15098" s="374"/>
      <c r="CV15098" s="376"/>
    </row>
    <row r="15099" spans="1:100">
      <c r="A15099" s="374"/>
      <c r="C15099" s="374"/>
      <c r="CV15099" s="376"/>
    </row>
    <row r="15100" spans="1:100">
      <c r="A15100" s="374"/>
      <c r="C15100" s="374"/>
      <c r="CV15100" s="376"/>
    </row>
    <row r="15101" spans="1:100">
      <c r="A15101" s="374"/>
      <c r="C15101" s="374"/>
      <c r="CV15101" s="376"/>
    </row>
    <row r="15102" spans="1:100">
      <c r="A15102" s="374"/>
      <c r="C15102" s="374"/>
      <c r="CV15102" s="376"/>
    </row>
    <row r="15103" spans="1:100">
      <c r="A15103" s="374"/>
      <c r="C15103" s="374"/>
      <c r="CV15103" s="376"/>
    </row>
    <row r="15104" spans="1:100">
      <c r="A15104" s="374"/>
      <c r="C15104" s="374"/>
      <c r="CV15104" s="376"/>
    </row>
    <row r="15105" spans="1:100">
      <c r="A15105" s="374"/>
      <c r="C15105" s="374"/>
      <c r="CV15105" s="376"/>
    </row>
    <row r="15106" spans="1:100">
      <c r="A15106" s="374"/>
      <c r="C15106" s="374"/>
      <c r="CV15106" s="376"/>
    </row>
    <row r="15107" spans="1:100">
      <c r="A15107" s="374"/>
      <c r="C15107" s="374"/>
      <c r="CV15107" s="376"/>
    </row>
    <row r="15108" spans="1:100">
      <c r="A15108" s="374"/>
      <c r="C15108" s="374"/>
      <c r="CV15108" s="376"/>
    </row>
    <row r="15109" spans="1:100">
      <c r="A15109" s="374"/>
      <c r="C15109" s="374"/>
      <c r="CV15109" s="376"/>
    </row>
    <row r="15110" spans="1:100">
      <c r="A15110" s="374"/>
      <c r="C15110" s="374"/>
      <c r="CV15110" s="376"/>
    </row>
    <row r="15111" spans="1:100">
      <c r="A15111" s="374"/>
      <c r="C15111" s="374"/>
      <c r="CV15111" s="376"/>
    </row>
    <row r="15112" spans="1:100">
      <c r="A15112" s="374"/>
      <c r="C15112" s="374"/>
      <c r="CV15112" s="376"/>
    </row>
    <row r="15113" spans="1:100">
      <c r="A15113" s="374"/>
      <c r="C15113" s="374"/>
      <c r="CV15113" s="376"/>
    </row>
    <row r="15114" spans="1:100">
      <c r="A15114" s="374"/>
      <c r="C15114" s="374"/>
      <c r="CV15114" s="376"/>
    </row>
    <row r="15115" spans="1:100">
      <c r="A15115" s="374"/>
      <c r="C15115" s="374"/>
      <c r="CV15115" s="376"/>
    </row>
    <row r="15116" spans="1:100">
      <c r="A15116" s="374"/>
      <c r="C15116" s="374"/>
      <c r="CV15116" s="376"/>
    </row>
    <row r="15117" spans="1:100">
      <c r="A15117" s="374"/>
      <c r="C15117" s="374"/>
      <c r="CV15117" s="376"/>
    </row>
    <row r="15118" spans="1:100">
      <c r="A15118" s="374"/>
      <c r="C15118" s="374"/>
      <c r="CV15118" s="376"/>
    </row>
    <row r="15119" spans="1:100">
      <c r="A15119" s="374"/>
      <c r="C15119" s="374"/>
      <c r="CV15119" s="376"/>
    </row>
    <row r="15120" spans="1:100">
      <c r="A15120" s="374"/>
      <c r="C15120" s="374"/>
      <c r="CV15120" s="376"/>
    </row>
    <row r="15121" spans="1:100">
      <c r="A15121" s="374"/>
      <c r="C15121" s="374"/>
      <c r="CV15121" s="376"/>
    </row>
    <row r="15122" spans="1:100">
      <c r="A15122" s="374"/>
      <c r="C15122" s="374"/>
      <c r="CV15122" s="376"/>
    </row>
    <row r="15123" spans="1:100">
      <c r="A15123" s="374"/>
      <c r="C15123" s="374"/>
      <c r="CV15123" s="376"/>
    </row>
    <row r="15124" spans="1:100">
      <c r="A15124" s="374"/>
      <c r="C15124" s="374"/>
      <c r="CV15124" s="376"/>
    </row>
    <row r="15125" spans="1:100">
      <c r="A15125" s="374"/>
      <c r="C15125" s="374"/>
      <c r="CV15125" s="376"/>
    </row>
    <row r="15126" spans="1:100">
      <c r="A15126" s="374"/>
      <c r="C15126" s="374"/>
      <c r="CV15126" s="376"/>
    </row>
    <row r="15127" spans="1:100">
      <c r="A15127" s="374"/>
      <c r="C15127" s="374"/>
      <c r="CV15127" s="376"/>
    </row>
    <row r="15128" spans="1:100">
      <c r="A15128" s="374"/>
      <c r="C15128" s="374"/>
      <c r="CV15128" s="376"/>
    </row>
    <row r="15129" spans="1:100">
      <c r="A15129" s="374"/>
      <c r="C15129" s="374"/>
      <c r="CV15129" s="376"/>
    </row>
    <row r="15130" spans="1:100">
      <c r="A15130" s="374"/>
      <c r="C15130" s="374"/>
      <c r="CV15130" s="376"/>
    </row>
    <row r="15131" spans="1:100">
      <c r="A15131" s="374"/>
      <c r="C15131" s="374"/>
      <c r="CV15131" s="376"/>
    </row>
    <row r="15132" spans="1:100">
      <c r="A15132" s="374"/>
      <c r="C15132" s="374"/>
      <c r="CV15132" s="376"/>
    </row>
    <row r="15133" spans="1:100">
      <c r="A15133" s="374"/>
      <c r="C15133" s="374"/>
      <c r="CV15133" s="376"/>
    </row>
    <row r="15134" spans="1:100">
      <c r="A15134" s="374"/>
      <c r="C15134" s="374"/>
      <c r="CV15134" s="376"/>
    </row>
    <row r="15135" spans="1:100">
      <c r="A15135" s="374"/>
      <c r="C15135" s="374"/>
      <c r="CV15135" s="376"/>
    </row>
    <row r="15136" spans="1:100">
      <c r="A15136" s="374"/>
      <c r="C15136" s="374"/>
      <c r="CV15136" s="376"/>
    </row>
    <row r="15137" spans="1:100">
      <c r="A15137" s="374"/>
      <c r="C15137" s="374"/>
      <c r="CV15137" s="376"/>
    </row>
    <row r="15138" spans="1:100">
      <c r="A15138" s="374"/>
      <c r="C15138" s="374"/>
      <c r="CV15138" s="376"/>
    </row>
    <row r="15139" spans="1:100">
      <c r="A15139" s="374"/>
      <c r="C15139" s="374"/>
      <c r="CV15139" s="376"/>
    </row>
    <row r="15140" spans="1:100">
      <c r="A15140" s="374"/>
      <c r="C15140" s="374"/>
      <c r="CV15140" s="376"/>
    </row>
    <row r="15141" spans="1:100">
      <c r="A15141" s="374"/>
      <c r="C15141" s="374"/>
      <c r="CV15141" s="376"/>
    </row>
    <row r="15142" spans="1:100">
      <c r="A15142" s="374"/>
      <c r="C15142" s="374"/>
      <c r="CV15142" s="376"/>
    </row>
    <row r="15143" spans="1:100">
      <c r="A15143" s="374"/>
      <c r="C15143" s="374"/>
      <c r="CV15143" s="376"/>
    </row>
    <row r="15144" spans="1:100">
      <c r="A15144" s="374"/>
      <c r="C15144" s="374"/>
      <c r="CV15144" s="376"/>
    </row>
    <row r="15145" spans="1:100">
      <c r="A15145" s="374"/>
      <c r="C15145" s="374"/>
      <c r="CV15145" s="376"/>
    </row>
    <row r="15146" spans="1:100">
      <c r="A15146" s="374"/>
      <c r="C15146" s="374"/>
      <c r="CV15146" s="376"/>
    </row>
    <row r="15147" spans="1:100">
      <c r="A15147" s="374"/>
      <c r="C15147" s="374"/>
      <c r="CV15147" s="376"/>
    </row>
    <row r="15148" spans="1:100">
      <c r="A15148" s="374"/>
      <c r="C15148" s="374"/>
      <c r="CV15148" s="376"/>
    </row>
    <row r="15149" spans="1:100">
      <c r="A15149" s="374"/>
      <c r="C15149" s="374"/>
      <c r="CV15149" s="376"/>
    </row>
    <row r="15150" spans="1:100">
      <c r="A15150" s="374"/>
      <c r="C15150" s="374"/>
      <c r="CV15150" s="376"/>
    </row>
    <row r="15151" spans="1:100">
      <c r="A15151" s="374"/>
      <c r="C15151" s="374"/>
      <c r="CV15151" s="376"/>
    </row>
    <row r="15152" spans="1:100">
      <c r="A15152" s="374"/>
      <c r="C15152" s="374"/>
      <c r="CV15152" s="376"/>
    </row>
    <row r="15153" spans="1:100">
      <c r="A15153" s="374"/>
      <c r="C15153" s="374"/>
      <c r="CV15153" s="376"/>
    </row>
    <row r="15154" spans="1:100">
      <c r="A15154" s="374"/>
      <c r="C15154" s="374"/>
      <c r="CV15154" s="376"/>
    </row>
    <row r="15155" spans="1:100">
      <c r="A15155" s="374"/>
      <c r="C15155" s="374"/>
      <c r="CV15155" s="376"/>
    </row>
    <row r="15156" spans="1:100">
      <c r="A15156" s="374"/>
      <c r="C15156" s="374"/>
      <c r="CV15156" s="376"/>
    </row>
    <row r="15157" spans="1:100">
      <c r="A15157" s="374"/>
      <c r="C15157" s="374"/>
      <c r="CV15157" s="376"/>
    </row>
    <row r="15158" spans="1:100">
      <c r="A15158" s="374"/>
      <c r="C15158" s="374"/>
      <c r="CV15158" s="376"/>
    </row>
    <row r="15159" spans="1:100">
      <c r="A15159" s="374"/>
      <c r="C15159" s="374"/>
      <c r="CV15159" s="376"/>
    </row>
    <row r="15160" spans="1:100">
      <c r="A15160" s="374"/>
      <c r="C15160" s="374"/>
      <c r="CV15160" s="376"/>
    </row>
    <row r="15161" spans="1:100">
      <c r="A15161" s="374"/>
      <c r="C15161" s="374"/>
      <c r="CV15161" s="376"/>
    </row>
    <row r="15162" spans="1:100">
      <c r="A15162" s="374"/>
      <c r="C15162" s="374"/>
      <c r="CV15162" s="376"/>
    </row>
    <row r="15163" spans="1:100">
      <c r="A15163" s="374"/>
      <c r="C15163" s="374"/>
      <c r="CV15163" s="376"/>
    </row>
    <row r="15164" spans="1:100">
      <c r="A15164" s="374"/>
      <c r="C15164" s="374"/>
      <c r="CV15164" s="376"/>
    </row>
    <row r="15165" spans="1:100">
      <c r="A15165" s="374"/>
      <c r="C15165" s="374"/>
      <c r="CV15165" s="376"/>
    </row>
    <row r="15166" spans="1:100">
      <c r="A15166" s="374"/>
      <c r="C15166" s="374"/>
      <c r="CV15166" s="376"/>
    </row>
    <row r="15167" spans="1:100">
      <c r="A15167" s="374"/>
      <c r="C15167" s="374"/>
      <c r="CV15167" s="376"/>
    </row>
    <row r="15168" spans="1:100">
      <c r="A15168" s="374"/>
      <c r="C15168" s="374"/>
      <c r="CV15168" s="376"/>
    </row>
    <row r="15169" spans="1:100">
      <c r="A15169" s="374"/>
      <c r="C15169" s="374"/>
      <c r="CV15169" s="376"/>
    </row>
    <row r="15170" spans="1:100">
      <c r="A15170" s="374"/>
      <c r="C15170" s="374"/>
      <c r="CV15170" s="376"/>
    </row>
    <row r="15171" spans="1:100">
      <c r="A15171" s="374"/>
      <c r="C15171" s="374"/>
      <c r="CV15171" s="376"/>
    </row>
    <row r="15172" spans="1:100">
      <c r="A15172" s="374"/>
      <c r="C15172" s="374"/>
      <c r="CV15172" s="376"/>
    </row>
    <row r="15173" spans="1:100">
      <c r="A15173" s="374"/>
      <c r="C15173" s="374"/>
      <c r="CV15173" s="376"/>
    </row>
    <row r="15174" spans="1:100">
      <c r="A15174" s="374"/>
      <c r="C15174" s="374"/>
      <c r="CV15174" s="376"/>
    </row>
    <row r="15175" spans="1:100">
      <c r="A15175" s="374"/>
      <c r="C15175" s="374"/>
      <c r="CV15175" s="376"/>
    </row>
    <row r="15176" spans="1:100">
      <c r="A15176" s="374"/>
      <c r="C15176" s="374"/>
      <c r="CV15176" s="376"/>
    </row>
    <row r="15177" spans="1:100">
      <c r="A15177" s="374"/>
      <c r="C15177" s="374"/>
      <c r="CV15177" s="376"/>
    </row>
    <row r="15178" spans="1:100">
      <c r="A15178" s="374"/>
      <c r="C15178" s="374"/>
      <c r="CV15178" s="376"/>
    </row>
    <row r="15179" spans="1:100">
      <c r="A15179" s="374"/>
      <c r="C15179" s="374"/>
      <c r="CV15179" s="376"/>
    </row>
    <row r="15180" spans="1:100">
      <c r="A15180" s="374"/>
      <c r="C15180" s="374"/>
      <c r="CV15180" s="376"/>
    </row>
    <row r="15181" spans="1:100">
      <c r="A15181" s="374"/>
      <c r="C15181" s="374"/>
      <c r="CV15181" s="376"/>
    </row>
    <row r="15182" spans="1:100">
      <c r="A15182" s="374"/>
      <c r="C15182" s="374"/>
      <c r="CV15182" s="376"/>
    </row>
    <row r="15183" spans="1:100">
      <c r="A15183" s="374"/>
      <c r="C15183" s="374"/>
      <c r="CV15183" s="376"/>
    </row>
    <row r="15184" spans="1:100">
      <c r="A15184" s="374"/>
      <c r="C15184" s="374"/>
      <c r="CV15184" s="376"/>
    </row>
    <row r="15185" spans="1:100">
      <c r="A15185" s="374"/>
      <c r="C15185" s="374"/>
      <c r="CV15185" s="376"/>
    </row>
    <row r="15186" spans="1:100">
      <c r="A15186" s="374"/>
      <c r="C15186" s="374"/>
      <c r="CV15186" s="376"/>
    </row>
    <row r="15187" spans="1:100">
      <c r="A15187" s="374"/>
      <c r="C15187" s="374"/>
      <c r="CV15187" s="376"/>
    </row>
    <row r="15188" spans="1:100">
      <c r="A15188" s="374"/>
      <c r="C15188" s="374"/>
      <c r="CV15188" s="376"/>
    </row>
    <row r="15189" spans="1:100">
      <c r="A15189" s="374"/>
      <c r="C15189" s="374"/>
      <c r="CV15189" s="376"/>
    </row>
    <row r="15190" spans="1:100">
      <c r="A15190" s="374"/>
      <c r="C15190" s="374"/>
      <c r="CV15190" s="376"/>
    </row>
    <row r="15191" spans="1:100">
      <c r="A15191" s="374"/>
      <c r="C15191" s="374"/>
      <c r="CV15191" s="376"/>
    </row>
    <row r="15192" spans="1:100">
      <c r="A15192" s="374"/>
      <c r="C15192" s="374"/>
      <c r="CV15192" s="376"/>
    </row>
    <row r="15193" spans="1:100">
      <c r="A15193" s="374"/>
      <c r="C15193" s="374"/>
      <c r="CV15193" s="376"/>
    </row>
    <row r="15194" spans="1:100">
      <c r="A15194" s="374"/>
      <c r="C15194" s="374"/>
      <c r="CV15194" s="376"/>
    </row>
    <row r="15195" spans="1:100">
      <c r="A15195" s="374"/>
      <c r="C15195" s="374"/>
      <c r="CV15195" s="376"/>
    </row>
    <row r="15196" spans="1:100">
      <c r="A15196" s="374"/>
      <c r="C15196" s="374"/>
      <c r="CV15196" s="376"/>
    </row>
    <row r="15197" spans="1:100">
      <c r="A15197" s="374"/>
      <c r="C15197" s="374"/>
      <c r="CV15197" s="376"/>
    </row>
    <row r="15198" spans="1:100">
      <c r="A15198" s="374"/>
      <c r="C15198" s="374"/>
      <c r="CV15198" s="376"/>
    </row>
    <row r="15199" spans="1:100">
      <c r="A15199" s="374"/>
      <c r="C15199" s="374"/>
      <c r="CV15199" s="376"/>
    </row>
    <row r="15200" spans="1:100">
      <c r="A15200" s="374"/>
      <c r="C15200" s="374"/>
      <c r="CV15200" s="376"/>
    </row>
    <row r="15201" spans="1:100">
      <c r="A15201" s="374"/>
      <c r="C15201" s="374"/>
      <c r="CV15201" s="376"/>
    </row>
    <row r="15202" spans="1:100">
      <c r="A15202" s="374"/>
      <c r="C15202" s="374"/>
      <c r="CV15202" s="376"/>
    </row>
    <row r="15203" spans="1:100">
      <c r="A15203" s="374"/>
      <c r="C15203" s="374"/>
      <c r="CV15203" s="376"/>
    </row>
    <row r="15204" spans="1:100">
      <c r="A15204" s="374"/>
      <c r="C15204" s="374"/>
      <c r="CV15204" s="376"/>
    </row>
    <row r="15205" spans="1:100">
      <c r="A15205" s="374"/>
      <c r="C15205" s="374"/>
      <c r="CV15205" s="376"/>
    </row>
    <row r="15206" spans="1:100">
      <c r="A15206" s="374"/>
      <c r="C15206" s="374"/>
      <c r="CV15206" s="376"/>
    </row>
    <row r="15207" spans="1:100">
      <c r="A15207" s="374"/>
      <c r="C15207" s="374"/>
      <c r="CV15207" s="376"/>
    </row>
    <row r="15208" spans="1:100">
      <c r="A15208" s="374"/>
      <c r="C15208" s="374"/>
      <c r="CV15208" s="376"/>
    </row>
    <row r="15209" spans="1:100">
      <c r="A15209" s="374"/>
      <c r="C15209" s="374"/>
      <c r="CV15209" s="376"/>
    </row>
    <row r="15210" spans="1:100">
      <c r="A15210" s="374"/>
      <c r="C15210" s="374"/>
      <c r="CV15210" s="376"/>
    </row>
    <row r="15211" spans="1:100">
      <c r="A15211" s="374"/>
      <c r="C15211" s="374"/>
      <c r="CV15211" s="376"/>
    </row>
    <row r="15212" spans="1:100">
      <c r="A15212" s="374"/>
      <c r="C15212" s="374"/>
      <c r="CV15212" s="376"/>
    </row>
    <row r="15213" spans="1:100">
      <c r="A15213" s="374"/>
      <c r="C15213" s="374"/>
      <c r="CV15213" s="376"/>
    </row>
    <row r="15214" spans="1:100">
      <c r="A15214" s="374"/>
      <c r="C15214" s="374"/>
      <c r="CV15214" s="376"/>
    </row>
    <row r="15215" spans="1:100">
      <c r="A15215" s="374"/>
      <c r="C15215" s="374"/>
      <c r="CV15215" s="376"/>
    </row>
    <row r="15216" spans="1:100">
      <c r="A15216" s="374"/>
      <c r="C15216" s="374"/>
      <c r="CV15216" s="376"/>
    </row>
    <row r="15217" spans="1:100">
      <c r="A15217" s="374"/>
      <c r="C15217" s="374"/>
      <c r="CV15217" s="376"/>
    </row>
    <row r="15218" spans="1:100">
      <c r="A15218" s="374"/>
      <c r="C15218" s="374"/>
      <c r="CV15218" s="376"/>
    </row>
    <row r="15219" spans="1:100">
      <c r="A15219" s="374"/>
      <c r="C15219" s="374"/>
      <c r="CV15219" s="376"/>
    </row>
    <row r="15220" spans="1:100">
      <c r="A15220" s="374"/>
      <c r="C15220" s="374"/>
      <c r="CV15220" s="376"/>
    </row>
    <row r="15221" spans="1:100">
      <c r="A15221" s="374"/>
      <c r="C15221" s="374"/>
      <c r="CV15221" s="376"/>
    </row>
    <row r="15222" spans="1:100">
      <c r="A15222" s="374"/>
      <c r="C15222" s="374"/>
      <c r="CV15222" s="376"/>
    </row>
    <row r="15223" spans="1:100">
      <c r="A15223" s="374"/>
      <c r="C15223" s="374"/>
      <c r="CV15223" s="376"/>
    </row>
    <row r="15224" spans="1:100">
      <c r="A15224" s="374"/>
      <c r="C15224" s="374"/>
      <c r="CV15224" s="376"/>
    </row>
    <row r="15225" spans="1:100">
      <c r="A15225" s="374"/>
      <c r="C15225" s="374"/>
      <c r="CV15225" s="376"/>
    </row>
    <row r="15226" spans="1:100">
      <c r="A15226" s="374"/>
      <c r="C15226" s="374"/>
      <c r="CV15226" s="376"/>
    </row>
    <row r="15227" spans="1:100">
      <c r="A15227" s="374"/>
      <c r="C15227" s="374"/>
      <c r="CV15227" s="376"/>
    </row>
    <row r="15228" spans="1:100">
      <c r="A15228" s="374"/>
      <c r="C15228" s="374"/>
      <c r="CV15228" s="376"/>
    </row>
    <row r="15229" spans="1:100">
      <c r="A15229" s="374"/>
      <c r="C15229" s="374"/>
      <c r="CV15229" s="376"/>
    </row>
    <row r="15230" spans="1:100">
      <c r="A15230" s="374"/>
      <c r="C15230" s="374"/>
      <c r="CV15230" s="376"/>
    </row>
    <row r="15231" spans="1:100">
      <c r="A15231" s="374"/>
      <c r="C15231" s="374"/>
      <c r="CV15231" s="376"/>
    </row>
    <row r="15232" spans="1:100">
      <c r="A15232" s="374"/>
      <c r="C15232" s="374"/>
      <c r="CV15232" s="376"/>
    </row>
    <row r="15233" spans="1:100">
      <c r="A15233" s="374"/>
      <c r="C15233" s="374"/>
      <c r="CV15233" s="376"/>
    </row>
    <row r="15234" spans="1:100">
      <c r="A15234" s="374"/>
      <c r="C15234" s="374"/>
      <c r="CV15234" s="376"/>
    </row>
    <row r="15235" spans="1:100">
      <c r="A15235" s="374"/>
      <c r="C15235" s="374"/>
      <c r="CV15235" s="376"/>
    </row>
    <row r="15236" spans="1:100">
      <c r="A15236" s="374"/>
      <c r="C15236" s="374"/>
      <c r="CV15236" s="376"/>
    </row>
    <row r="15237" spans="1:100">
      <c r="A15237" s="374"/>
      <c r="C15237" s="374"/>
      <c r="CV15237" s="376"/>
    </row>
    <row r="15238" spans="1:100">
      <c r="A15238" s="374"/>
      <c r="C15238" s="374"/>
      <c r="CV15238" s="376"/>
    </row>
    <row r="15239" spans="1:100">
      <c r="A15239" s="374"/>
      <c r="C15239" s="374"/>
      <c r="CV15239" s="376"/>
    </row>
    <row r="15240" spans="1:100">
      <c r="A15240" s="374"/>
      <c r="C15240" s="374"/>
      <c r="CV15240" s="376"/>
    </row>
    <row r="15241" spans="1:100">
      <c r="A15241" s="374"/>
      <c r="C15241" s="374"/>
      <c r="CV15241" s="376"/>
    </row>
    <row r="15242" spans="1:100">
      <c r="A15242" s="374"/>
      <c r="C15242" s="374"/>
      <c r="CV15242" s="376"/>
    </row>
    <row r="15243" spans="1:100">
      <c r="A15243" s="374"/>
      <c r="C15243" s="374"/>
      <c r="CV15243" s="376"/>
    </row>
    <row r="15244" spans="1:100">
      <c r="A15244" s="374"/>
      <c r="C15244" s="374"/>
      <c r="CV15244" s="376"/>
    </row>
    <row r="15245" spans="1:100">
      <c r="A15245" s="374"/>
      <c r="C15245" s="374"/>
      <c r="CV15245" s="376"/>
    </row>
    <row r="15246" spans="1:100">
      <c r="A15246" s="374"/>
      <c r="C15246" s="374"/>
      <c r="CV15246" s="376"/>
    </row>
    <row r="15247" spans="1:100">
      <c r="A15247" s="374"/>
      <c r="C15247" s="374"/>
      <c r="CV15247" s="376"/>
    </row>
    <row r="15248" spans="1:100">
      <c r="A15248" s="374"/>
      <c r="C15248" s="374"/>
      <c r="CV15248" s="376"/>
    </row>
    <row r="15249" spans="1:100">
      <c r="A15249" s="374"/>
      <c r="C15249" s="374"/>
      <c r="CV15249" s="376"/>
    </row>
    <row r="15250" spans="1:100">
      <c r="A15250" s="374"/>
      <c r="C15250" s="374"/>
      <c r="CV15250" s="376"/>
    </row>
    <row r="15251" spans="1:100">
      <c r="A15251" s="374"/>
      <c r="C15251" s="374"/>
      <c r="CV15251" s="376"/>
    </row>
    <row r="15252" spans="1:100">
      <c r="A15252" s="374"/>
      <c r="C15252" s="374"/>
      <c r="CV15252" s="376"/>
    </row>
    <row r="15253" spans="1:100">
      <c r="A15253" s="374"/>
      <c r="C15253" s="374"/>
      <c r="CV15253" s="376"/>
    </row>
    <row r="15254" spans="1:100">
      <c r="A15254" s="374"/>
      <c r="C15254" s="374"/>
      <c r="CV15254" s="376"/>
    </row>
    <row r="15255" spans="1:100">
      <c r="A15255" s="374"/>
      <c r="C15255" s="374"/>
      <c r="CV15255" s="376"/>
    </row>
    <row r="15256" spans="1:100">
      <c r="A15256" s="374"/>
      <c r="C15256" s="374"/>
      <c r="CV15256" s="376"/>
    </row>
    <row r="15257" spans="1:100">
      <c r="A15257" s="374"/>
      <c r="C15257" s="374"/>
      <c r="CV15257" s="376"/>
    </row>
    <row r="15258" spans="1:100">
      <c r="A15258" s="374"/>
      <c r="C15258" s="374"/>
      <c r="CV15258" s="376"/>
    </row>
    <row r="15259" spans="1:100">
      <c r="A15259" s="374"/>
      <c r="C15259" s="374"/>
      <c r="CV15259" s="376"/>
    </row>
    <row r="15260" spans="1:100">
      <c r="A15260" s="374"/>
      <c r="C15260" s="374"/>
      <c r="CV15260" s="376"/>
    </row>
    <row r="15261" spans="1:100">
      <c r="A15261" s="374"/>
      <c r="C15261" s="374"/>
      <c r="CV15261" s="376"/>
    </row>
    <row r="15262" spans="1:100">
      <c r="A15262" s="374"/>
      <c r="C15262" s="374"/>
      <c r="CV15262" s="376"/>
    </row>
    <row r="15263" spans="1:100">
      <c r="A15263" s="374"/>
      <c r="C15263" s="374"/>
      <c r="CV15263" s="376"/>
    </row>
    <row r="15264" spans="1:100">
      <c r="A15264" s="374"/>
      <c r="C15264" s="374"/>
      <c r="CV15264" s="376"/>
    </row>
    <row r="15265" spans="1:100">
      <c r="A15265" s="374"/>
      <c r="C15265" s="374"/>
      <c r="CV15265" s="376"/>
    </row>
    <row r="15266" spans="1:100">
      <c r="A15266" s="374"/>
      <c r="C15266" s="374"/>
      <c r="CV15266" s="376"/>
    </row>
    <row r="15267" spans="1:100">
      <c r="A15267" s="374"/>
      <c r="C15267" s="374"/>
      <c r="CV15267" s="376"/>
    </row>
    <row r="15268" spans="1:100">
      <c r="A15268" s="374"/>
      <c r="C15268" s="374"/>
      <c r="CV15268" s="376"/>
    </row>
    <row r="15269" spans="1:100">
      <c r="A15269" s="374"/>
      <c r="C15269" s="374"/>
      <c r="CV15269" s="376"/>
    </row>
    <row r="15270" spans="1:100">
      <c r="A15270" s="374"/>
      <c r="C15270" s="374"/>
      <c r="CV15270" s="376"/>
    </row>
    <row r="15271" spans="1:100">
      <c r="A15271" s="374"/>
      <c r="C15271" s="374"/>
      <c r="CV15271" s="376"/>
    </row>
    <row r="15272" spans="1:100">
      <c r="A15272" s="374"/>
      <c r="C15272" s="374"/>
      <c r="CV15272" s="376"/>
    </row>
    <row r="15273" spans="1:100">
      <c r="A15273" s="374"/>
      <c r="C15273" s="374"/>
      <c r="CV15273" s="376"/>
    </row>
    <row r="15274" spans="1:100">
      <c r="A15274" s="374"/>
      <c r="C15274" s="374"/>
      <c r="CV15274" s="376"/>
    </row>
    <row r="15275" spans="1:100">
      <c r="A15275" s="374"/>
      <c r="C15275" s="374"/>
      <c r="CV15275" s="376"/>
    </row>
    <row r="15276" spans="1:100">
      <c r="A15276" s="374"/>
      <c r="C15276" s="374"/>
      <c r="CV15276" s="376"/>
    </row>
    <row r="15277" spans="1:100">
      <c r="A15277" s="374"/>
      <c r="C15277" s="374"/>
      <c r="CV15277" s="376"/>
    </row>
    <row r="15278" spans="1:100">
      <c r="A15278" s="374"/>
      <c r="C15278" s="374"/>
      <c r="CV15278" s="376"/>
    </row>
    <row r="15279" spans="1:100">
      <c r="A15279" s="374"/>
      <c r="C15279" s="374"/>
      <c r="CV15279" s="376"/>
    </row>
    <row r="15280" spans="1:100">
      <c r="A15280" s="374"/>
      <c r="C15280" s="374"/>
      <c r="CV15280" s="376"/>
    </row>
    <row r="15281" spans="1:100">
      <c r="A15281" s="374"/>
      <c r="C15281" s="374"/>
      <c r="CV15281" s="376"/>
    </row>
    <row r="15282" spans="1:100">
      <c r="A15282" s="374"/>
      <c r="C15282" s="374"/>
      <c r="CV15282" s="376"/>
    </row>
    <row r="15283" spans="1:100">
      <c r="A15283" s="374"/>
      <c r="C15283" s="374"/>
      <c r="CV15283" s="376"/>
    </row>
    <row r="15284" spans="1:100">
      <c r="A15284" s="374"/>
      <c r="C15284" s="374"/>
      <c r="CV15284" s="376"/>
    </row>
    <row r="15285" spans="1:100">
      <c r="A15285" s="374"/>
      <c r="C15285" s="374"/>
      <c r="CV15285" s="376"/>
    </row>
    <row r="15286" spans="1:100">
      <c r="A15286" s="374"/>
      <c r="C15286" s="374"/>
      <c r="CV15286" s="376"/>
    </row>
    <row r="15287" spans="1:100">
      <c r="A15287" s="374"/>
      <c r="C15287" s="374"/>
      <c r="CV15287" s="376"/>
    </row>
    <row r="15288" spans="1:100">
      <c r="A15288" s="374"/>
      <c r="C15288" s="374"/>
      <c r="CV15288" s="376"/>
    </row>
    <row r="15289" spans="1:100">
      <c r="A15289" s="374"/>
      <c r="C15289" s="374"/>
      <c r="CV15289" s="376"/>
    </row>
    <row r="15290" spans="1:100">
      <c r="A15290" s="374"/>
      <c r="C15290" s="374"/>
      <c r="CV15290" s="376"/>
    </row>
    <row r="15291" spans="1:100">
      <c r="A15291" s="374"/>
      <c r="C15291" s="374"/>
      <c r="CV15291" s="376"/>
    </row>
    <row r="15292" spans="1:100">
      <c r="A15292" s="374"/>
      <c r="C15292" s="374"/>
      <c r="CV15292" s="376"/>
    </row>
    <row r="15293" spans="1:100">
      <c r="A15293" s="374"/>
      <c r="C15293" s="374"/>
      <c r="CV15293" s="376"/>
    </row>
    <row r="15294" spans="1:100">
      <c r="A15294" s="374"/>
      <c r="C15294" s="374"/>
      <c r="CV15294" s="376"/>
    </row>
    <row r="15295" spans="1:100">
      <c r="A15295" s="374"/>
      <c r="C15295" s="374"/>
      <c r="CV15295" s="376"/>
    </row>
    <row r="15296" spans="1:100">
      <c r="A15296" s="374"/>
      <c r="C15296" s="374"/>
      <c r="CV15296" s="376"/>
    </row>
    <row r="15297" spans="1:100">
      <c r="A15297" s="374"/>
      <c r="C15297" s="374"/>
      <c r="CV15297" s="376"/>
    </row>
    <row r="15298" spans="1:100">
      <c r="A15298" s="374"/>
      <c r="C15298" s="374"/>
      <c r="CV15298" s="376"/>
    </row>
    <row r="15299" spans="1:100">
      <c r="A15299" s="374"/>
      <c r="C15299" s="374"/>
      <c r="CV15299" s="376"/>
    </row>
    <row r="15300" spans="1:100">
      <c r="A15300" s="374"/>
      <c r="C15300" s="374"/>
      <c r="CV15300" s="376"/>
    </row>
    <row r="15301" spans="1:100">
      <c r="A15301" s="374"/>
      <c r="C15301" s="374"/>
      <c r="CV15301" s="376"/>
    </row>
    <row r="15302" spans="1:100">
      <c r="A15302" s="374"/>
      <c r="C15302" s="374"/>
      <c r="CV15302" s="376"/>
    </row>
    <row r="15303" spans="1:100">
      <c r="A15303" s="374"/>
      <c r="C15303" s="374"/>
      <c r="CV15303" s="376"/>
    </row>
    <row r="15304" spans="1:100">
      <c r="A15304" s="374"/>
      <c r="C15304" s="374"/>
      <c r="CV15304" s="376"/>
    </row>
    <row r="15305" spans="1:100">
      <c r="A15305" s="374"/>
      <c r="C15305" s="374"/>
      <c r="CV15305" s="376"/>
    </row>
    <row r="15306" spans="1:100">
      <c r="A15306" s="374"/>
      <c r="C15306" s="374"/>
      <c r="CV15306" s="376"/>
    </row>
    <row r="15307" spans="1:100">
      <c r="A15307" s="374"/>
      <c r="C15307" s="374"/>
      <c r="CV15307" s="376"/>
    </row>
    <row r="15308" spans="1:100">
      <c r="A15308" s="374"/>
      <c r="C15308" s="374"/>
      <c r="CV15308" s="376"/>
    </row>
    <row r="15309" spans="1:100">
      <c r="A15309" s="374"/>
      <c r="C15309" s="374"/>
      <c r="CV15309" s="376"/>
    </row>
    <row r="15310" spans="1:100">
      <c r="A15310" s="374"/>
      <c r="C15310" s="374"/>
      <c r="CV15310" s="376"/>
    </row>
    <row r="15311" spans="1:100">
      <c r="A15311" s="374"/>
      <c r="C15311" s="374"/>
      <c r="CV15311" s="376"/>
    </row>
    <row r="15312" spans="1:100">
      <c r="A15312" s="374"/>
      <c r="C15312" s="374"/>
      <c r="CV15312" s="376"/>
    </row>
    <row r="15313" spans="1:100">
      <c r="A15313" s="374"/>
      <c r="C15313" s="374"/>
      <c r="CV15313" s="376"/>
    </row>
    <row r="15314" spans="1:100">
      <c r="A15314" s="374"/>
      <c r="C15314" s="374"/>
      <c r="CV15314" s="376"/>
    </row>
    <row r="15315" spans="1:100">
      <c r="A15315" s="374"/>
      <c r="C15315" s="374"/>
      <c r="CV15315" s="376"/>
    </row>
    <row r="15316" spans="1:100">
      <c r="A15316" s="374"/>
      <c r="C15316" s="374"/>
      <c r="CV15316" s="376"/>
    </row>
    <row r="15317" spans="1:100">
      <c r="A15317" s="374"/>
      <c r="C15317" s="374"/>
      <c r="CV15317" s="376"/>
    </row>
    <row r="15318" spans="1:100">
      <c r="A15318" s="374"/>
      <c r="C15318" s="374"/>
      <c r="CV15318" s="376"/>
    </row>
    <row r="15319" spans="1:100">
      <c r="A15319" s="374"/>
      <c r="C15319" s="374"/>
      <c r="CV15319" s="376"/>
    </row>
    <row r="15320" spans="1:100">
      <c r="A15320" s="374"/>
      <c r="C15320" s="374"/>
      <c r="CV15320" s="376"/>
    </row>
    <row r="15321" spans="1:100">
      <c r="A15321" s="374"/>
      <c r="C15321" s="374"/>
      <c r="CV15321" s="376"/>
    </row>
    <row r="15322" spans="1:100">
      <c r="A15322" s="374"/>
      <c r="C15322" s="374"/>
      <c r="CV15322" s="376"/>
    </row>
    <row r="15323" spans="1:100">
      <c r="A15323" s="374"/>
      <c r="C15323" s="374"/>
      <c r="CV15323" s="376"/>
    </row>
    <row r="15324" spans="1:100">
      <c r="A15324" s="374"/>
      <c r="C15324" s="374"/>
      <c r="CV15324" s="376"/>
    </row>
    <row r="15325" spans="1:100">
      <c r="A15325" s="374"/>
      <c r="C15325" s="374"/>
      <c r="CV15325" s="376"/>
    </row>
    <row r="15326" spans="1:100">
      <c r="A15326" s="374"/>
      <c r="C15326" s="374"/>
      <c r="CV15326" s="376"/>
    </row>
    <row r="15327" spans="1:100">
      <c r="A15327" s="374"/>
      <c r="C15327" s="374"/>
      <c r="CV15327" s="376"/>
    </row>
    <row r="15328" spans="1:100">
      <c r="A15328" s="374"/>
      <c r="C15328" s="374"/>
      <c r="CV15328" s="376"/>
    </row>
    <row r="15329" spans="1:100">
      <c r="A15329" s="374"/>
      <c r="C15329" s="374"/>
      <c r="CV15329" s="376"/>
    </row>
    <row r="15330" spans="1:100">
      <c r="A15330" s="374"/>
      <c r="C15330" s="374"/>
      <c r="CV15330" s="376"/>
    </row>
    <row r="15331" spans="1:100">
      <c r="A15331" s="374"/>
      <c r="C15331" s="374"/>
      <c r="CV15331" s="376"/>
    </row>
    <row r="15332" spans="1:100">
      <c r="A15332" s="374"/>
      <c r="C15332" s="374"/>
      <c r="CV15332" s="376"/>
    </row>
    <row r="15333" spans="1:100">
      <c r="A15333" s="374"/>
      <c r="C15333" s="374"/>
      <c r="CV15333" s="376"/>
    </row>
    <row r="15334" spans="1:100">
      <c r="A15334" s="374"/>
      <c r="C15334" s="374"/>
      <c r="CV15334" s="376"/>
    </row>
    <row r="15335" spans="1:100">
      <c r="A15335" s="374"/>
      <c r="C15335" s="374"/>
      <c r="CV15335" s="376"/>
    </row>
    <row r="15336" spans="1:100">
      <c r="A15336" s="374"/>
      <c r="C15336" s="374"/>
      <c r="CV15336" s="376"/>
    </row>
    <row r="15337" spans="1:100">
      <c r="A15337" s="374"/>
      <c r="C15337" s="374"/>
      <c r="CV15337" s="376"/>
    </row>
    <row r="15338" spans="1:100">
      <c r="A15338" s="374"/>
      <c r="C15338" s="374"/>
      <c r="CV15338" s="376"/>
    </row>
    <row r="15339" spans="1:100">
      <c r="A15339" s="374"/>
      <c r="C15339" s="374"/>
      <c r="CV15339" s="376"/>
    </row>
    <row r="15340" spans="1:100">
      <c r="A15340" s="374"/>
      <c r="C15340" s="374"/>
      <c r="CV15340" s="376"/>
    </row>
    <row r="15341" spans="1:100">
      <c r="A15341" s="374"/>
      <c r="C15341" s="374"/>
      <c r="CV15341" s="376"/>
    </row>
    <row r="15342" spans="1:100">
      <c r="A15342" s="374"/>
      <c r="C15342" s="374"/>
      <c r="CV15342" s="376"/>
    </row>
    <row r="15343" spans="1:100">
      <c r="A15343" s="374"/>
      <c r="C15343" s="374"/>
      <c r="CV15343" s="376"/>
    </row>
    <row r="15344" spans="1:100">
      <c r="A15344" s="374"/>
      <c r="C15344" s="374"/>
      <c r="CV15344" s="376"/>
    </row>
    <row r="15345" spans="1:100">
      <c r="A15345" s="374"/>
      <c r="C15345" s="374"/>
      <c r="CV15345" s="376"/>
    </row>
    <row r="15346" spans="1:100">
      <c r="A15346" s="374"/>
      <c r="C15346" s="374"/>
      <c r="CV15346" s="376"/>
    </row>
    <row r="15347" spans="1:100">
      <c r="A15347" s="374"/>
      <c r="C15347" s="374"/>
      <c r="CV15347" s="376"/>
    </row>
    <row r="15348" spans="1:100">
      <c r="A15348" s="374"/>
      <c r="C15348" s="374"/>
      <c r="CV15348" s="376"/>
    </row>
    <row r="15349" spans="1:100">
      <c r="A15349" s="374"/>
      <c r="C15349" s="374"/>
      <c r="CV15349" s="376"/>
    </row>
    <row r="15350" spans="1:100">
      <c r="A15350" s="374"/>
      <c r="C15350" s="374"/>
      <c r="CV15350" s="376"/>
    </row>
    <row r="15351" spans="1:100">
      <c r="A15351" s="374"/>
      <c r="C15351" s="374"/>
      <c r="CV15351" s="376"/>
    </row>
    <row r="15352" spans="1:100">
      <c r="A15352" s="374"/>
      <c r="C15352" s="374"/>
      <c r="CV15352" s="376"/>
    </row>
    <row r="15353" spans="1:100">
      <c r="A15353" s="374"/>
      <c r="C15353" s="374"/>
      <c r="CV15353" s="376"/>
    </row>
    <row r="15354" spans="1:100">
      <c r="A15354" s="374"/>
      <c r="C15354" s="374"/>
      <c r="CV15354" s="376"/>
    </row>
    <row r="15355" spans="1:100">
      <c r="A15355" s="374"/>
      <c r="C15355" s="374"/>
      <c r="CV15355" s="376"/>
    </row>
    <row r="15356" spans="1:100">
      <c r="A15356" s="374"/>
      <c r="C15356" s="374"/>
      <c r="CV15356" s="376"/>
    </row>
    <row r="15357" spans="1:100">
      <c r="A15357" s="374"/>
      <c r="C15357" s="374"/>
      <c r="CV15357" s="376"/>
    </row>
    <row r="15358" spans="1:100">
      <c r="A15358" s="374"/>
      <c r="C15358" s="374"/>
      <c r="CV15358" s="376"/>
    </row>
    <row r="15359" spans="1:100">
      <c r="A15359" s="374"/>
      <c r="C15359" s="374"/>
      <c r="CV15359" s="376"/>
    </row>
    <row r="15360" spans="1:100">
      <c r="A15360" s="374"/>
      <c r="C15360" s="374"/>
      <c r="CV15360" s="376"/>
    </row>
    <row r="15361" spans="1:100">
      <c r="A15361" s="374"/>
      <c r="C15361" s="374"/>
      <c r="CV15361" s="376"/>
    </row>
    <row r="15362" spans="1:100">
      <c r="A15362" s="374"/>
      <c r="C15362" s="374"/>
      <c r="CV15362" s="376"/>
    </row>
    <row r="15363" spans="1:100">
      <c r="A15363" s="374"/>
      <c r="C15363" s="374"/>
      <c r="CV15363" s="376"/>
    </row>
    <row r="15364" spans="1:100">
      <c r="A15364" s="374"/>
      <c r="C15364" s="374"/>
      <c r="CV15364" s="376"/>
    </row>
    <row r="15365" spans="1:100">
      <c r="A15365" s="374"/>
      <c r="C15365" s="374"/>
      <c r="CV15365" s="376"/>
    </row>
    <row r="15366" spans="1:100">
      <c r="A15366" s="374"/>
      <c r="C15366" s="374"/>
      <c r="CV15366" s="376"/>
    </row>
    <row r="15367" spans="1:100">
      <c r="A15367" s="374"/>
      <c r="C15367" s="374"/>
      <c r="CV15367" s="376"/>
    </row>
    <row r="15368" spans="1:100">
      <c r="A15368" s="374"/>
      <c r="C15368" s="374"/>
      <c r="CV15368" s="376"/>
    </row>
    <row r="15369" spans="1:100">
      <c r="A15369" s="374"/>
      <c r="C15369" s="374"/>
      <c r="CV15369" s="376"/>
    </row>
    <row r="15370" spans="1:100">
      <c r="A15370" s="374"/>
      <c r="C15370" s="374"/>
      <c r="CV15370" s="376"/>
    </row>
    <row r="15371" spans="1:100">
      <c r="A15371" s="374"/>
      <c r="C15371" s="374"/>
      <c r="CV15371" s="376"/>
    </row>
    <row r="15372" spans="1:100">
      <c r="A15372" s="374"/>
      <c r="C15372" s="374"/>
      <c r="CV15372" s="376"/>
    </row>
    <row r="15373" spans="1:100">
      <c r="A15373" s="374"/>
      <c r="C15373" s="374"/>
      <c r="CV15373" s="376"/>
    </row>
    <row r="15374" spans="1:100">
      <c r="A15374" s="374"/>
      <c r="C15374" s="374"/>
      <c r="CV15374" s="376"/>
    </row>
    <row r="15375" spans="1:100">
      <c r="A15375" s="374"/>
      <c r="C15375" s="374"/>
      <c r="CV15375" s="376"/>
    </row>
    <row r="15376" spans="1:100">
      <c r="A15376" s="374"/>
      <c r="C15376" s="374"/>
      <c r="CV15376" s="376"/>
    </row>
    <row r="15377" spans="1:100">
      <c r="A15377" s="374"/>
      <c r="C15377" s="374"/>
      <c r="CV15377" s="376"/>
    </row>
    <row r="15378" spans="1:100">
      <c r="A15378" s="374"/>
      <c r="C15378" s="374"/>
      <c r="CV15378" s="376"/>
    </row>
    <row r="15379" spans="1:100">
      <c r="A15379" s="374"/>
      <c r="C15379" s="374"/>
      <c r="CV15379" s="376"/>
    </row>
    <row r="15380" spans="1:100">
      <c r="A15380" s="374"/>
      <c r="C15380" s="374"/>
      <c r="CV15380" s="376"/>
    </row>
    <row r="15381" spans="1:100">
      <c r="A15381" s="374"/>
      <c r="C15381" s="374"/>
      <c r="CV15381" s="376"/>
    </row>
    <row r="15382" spans="1:100">
      <c r="A15382" s="374"/>
      <c r="C15382" s="374"/>
      <c r="CV15382" s="376"/>
    </row>
    <row r="15383" spans="1:100">
      <c r="A15383" s="374"/>
      <c r="C15383" s="374"/>
      <c r="CV15383" s="376"/>
    </row>
    <row r="15384" spans="1:100">
      <c r="A15384" s="374"/>
      <c r="C15384" s="374"/>
      <c r="CV15384" s="376"/>
    </row>
    <row r="15385" spans="1:100">
      <c r="A15385" s="374"/>
      <c r="C15385" s="374"/>
      <c r="CV15385" s="376"/>
    </row>
    <row r="15386" spans="1:100">
      <c r="A15386" s="374"/>
      <c r="C15386" s="374"/>
      <c r="CV15386" s="376"/>
    </row>
    <row r="15387" spans="1:100">
      <c r="A15387" s="374"/>
      <c r="C15387" s="374"/>
      <c r="CV15387" s="376"/>
    </row>
    <row r="15388" spans="1:100">
      <c r="A15388" s="374"/>
      <c r="C15388" s="374"/>
      <c r="CV15388" s="376"/>
    </row>
    <row r="15389" spans="1:100">
      <c r="A15389" s="374"/>
      <c r="C15389" s="374"/>
      <c r="CV15389" s="376"/>
    </row>
    <row r="15390" spans="1:100">
      <c r="A15390" s="374"/>
      <c r="C15390" s="374"/>
      <c r="CV15390" s="376"/>
    </row>
    <row r="15391" spans="1:100">
      <c r="A15391" s="374"/>
      <c r="C15391" s="374"/>
      <c r="CV15391" s="376"/>
    </row>
    <row r="15392" spans="1:100">
      <c r="A15392" s="374"/>
      <c r="C15392" s="374"/>
      <c r="CV15392" s="376"/>
    </row>
    <row r="15393" spans="1:100">
      <c r="A15393" s="374"/>
      <c r="C15393" s="374"/>
      <c r="CV15393" s="376"/>
    </row>
    <row r="15394" spans="1:100">
      <c r="A15394" s="374"/>
      <c r="C15394" s="374"/>
      <c r="CV15394" s="376"/>
    </row>
    <row r="15395" spans="1:100">
      <c r="A15395" s="374"/>
      <c r="C15395" s="374"/>
      <c r="CV15395" s="376"/>
    </row>
    <row r="15396" spans="1:100">
      <c r="A15396" s="374"/>
      <c r="C15396" s="374"/>
      <c r="CV15396" s="376"/>
    </row>
    <row r="15397" spans="1:100">
      <c r="A15397" s="374"/>
      <c r="C15397" s="374"/>
      <c r="CV15397" s="376"/>
    </row>
    <row r="15398" spans="1:100">
      <c r="A15398" s="374"/>
      <c r="C15398" s="374"/>
      <c r="CV15398" s="376"/>
    </row>
    <row r="15399" spans="1:100">
      <c r="A15399" s="374"/>
      <c r="C15399" s="374"/>
      <c r="CV15399" s="376"/>
    </row>
    <row r="15400" spans="1:100">
      <c r="A15400" s="374"/>
      <c r="C15400" s="374"/>
      <c r="CV15400" s="376"/>
    </row>
    <row r="15401" spans="1:100">
      <c r="A15401" s="374"/>
      <c r="C15401" s="374"/>
      <c r="CV15401" s="376"/>
    </row>
    <row r="15402" spans="1:100">
      <c r="A15402" s="374"/>
      <c r="C15402" s="374"/>
      <c r="CV15402" s="376"/>
    </row>
    <row r="15403" spans="1:100">
      <c r="A15403" s="374"/>
      <c r="C15403" s="374"/>
      <c r="CV15403" s="376"/>
    </row>
    <row r="15404" spans="1:100">
      <c r="A15404" s="374"/>
      <c r="C15404" s="374"/>
      <c r="CV15404" s="376"/>
    </row>
    <row r="15405" spans="1:100">
      <c r="A15405" s="374"/>
      <c r="C15405" s="374"/>
      <c r="CV15405" s="376"/>
    </row>
    <row r="15406" spans="1:100">
      <c r="A15406" s="374"/>
      <c r="C15406" s="374"/>
      <c r="CV15406" s="376"/>
    </row>
    <row r="15407" spans="1:100">
      <c r="A15407" s="374"/>
      <c r="C15407" s="374"/>
      <c r="CV15407" s="376"/>
    </row>
    <row r="15408" spans="1:100">
      <c r="A15408" s="374"/>
      <c r="C15408" s="374"/>
      <c r="CV15408" s="376"/>
    </row>
    <row r="15409" spans="1:100">
      <c r="A15409" s="374"/>
      <c r="C15409" s="374"/>
      <c r="CV15409" s="376"/>
    </row>
    <row r="15410" spans="1:100">
      <c r="A15410" s="374"/>
      <c r="C15410" s="374"/>
      <c r="CV15410" s="376"/>
    </row>
    <row r="15411" spans="1:100">
      <c r="A15411" s="374"/>
      <c r="C15411" s="374"/>
      <c r="CV15411" s="376"/>
    </row>
    <row r="15412" spans="1:100">
      <c r="A15412" s="374"/>
      <c r="C15412" s="374"/>
      <c r="CV15412" s="376"/>
    </row>
    <row r="15413" spans="1:100">
      <c r="A15413" s="374"/>
      <c r="C15413" s="374"/>
      <c r="CV15413" s="376"/>
    </row>
    <row r="15414" spans="1:100">
      <c r="A15414" s="374"/>
      <c r="C15414" s="374"/>
      <c r="CV15414" s="376"/>
    </row>
    <row r="15415" spans="1:100">
      <c r="A15415" s="374"/>
      <c r="C15415" s="374"/>
      <c r="CV15415" s="376"/>
    </row>
    <row r="15416" spans="1:100">
      <c r="A15416" s="374"/>
      <c r="C15416" s="374"/>
      <c r="CV15416" s="376"/>
    </row>
    <row r="15417" spans="1:100">
      <c r="A15417" s="374"/>
      <c r="C15417" s="374"/>
      <c r="CV15417" s="376"/>
    </row>
    <row r="15418" spans="1:100">
      <c r="A15418" s="374"/>
      <c r="C15418" s="374"/>
      <c r="CV15418" s="376"/>
    </row>
    <row r="15419" spans="1:100">
      <c r="A15419" s="374"/>
      <c r="C15419" s="374"/>
      <c r="CV15419" s="376"/>
    </row>
    <row r="15420" spans="1:100">
      <c r="A15420" s="374"/>
      <c r="C15420" s="374"/>
      <c r="CV15420" s="376"/>
    </row>
    <row r="15421" spans="1:100">
      <c r="A15421" s="374"/>
      <c r="C15421" s="374"/>
      <c r="CV15421" s="376"/>
    </row>
    <row r="15422" spans="1:100">
      <c r="A15422" s="374"/>
      <c r="C15422" s="374"/>
      <c r="CV15422" s="376"/>
    </row>
    <row r="15423" spans="1:100">
      <c r="A15423" s="374"/>
      <c r="C15423" s="374"/>
      <c r="CV15423" s="376"/>
    </row>
    <row r="15424" spans="1:100">
      <c r="A15424" s="374"/>
      <c r="C15424" s="374"/>
      <c r="CV15424" s="376"/>
    </row>
    <row r="15425" spans="1:100">
      <c r="A15425" s="374"/>
      <c r="C15425" s="374"/>
      <c r="CV15425" s="376"/>
    </row>
    <row r="15426" spans="1:100">
      <c r="A15426" s="374"/>
      <c r="C15426" s="374"/>
      <c r="CV15426" s="376"/>
    </row>
    <row r="15427" spans="1:100">
      <c r="A15427" s="374"/>
      <c r="C15427" s="374"/>
      <c r="CV15427" s="376"/>
    </row>
    <row r="15428" spans="1:100">
      <c r="A15428" s="374"/>
      <c r="C15428" s="374"/>
      <c r="CV15428" s="376"/>
    </row>
    <row r="15429" spans="1:100">
      <c r="A15429" s="374"/>
      <c r="C15429" s="374"/>
      <c r="CV15429" s="376"/>
    </row>
    <row r="15430" spans="1:100">
      <c r="A15430" s="374"/>
      <c r="C15430" s="374"/>
      <c r="CV15430" s="376"/>
    </row>
    <row r="15431" spans="1:100">
      <c r="A15431" s="374"/>
      <c r="C15431" s="374"/>
      <c r="CV15431" s="376"/>
    </row>
    <row r="15432" spans="1:100">
      <c r="A15432" s="374"/>
      <c r="C15432" s="374"/>
      <c r="CV15432" s="376"/>
    </row>
    <row r="15433" spans="1:100">
      <c r="A15433" s="374"/>
      <c r="C15433" s="374"/>
      <c r="CV15433" s="376"/>
    </row>
    <row r="15434" spans="1:100">
      <c r="A15434" s="374"/>
      <c r="C15434" s="374"/>
      <c r="CV15434" s="376"/>
    </row>
    <row r="15435" spans="1:100">
      <c r="A15435" s="374"/>
      <c r="C15435" s="374"/>
      <c r="CV15435" s="376"/>
    </row>
    <row r="15436" spans="1:100">
      <c r="A15436" s="374"/>
      <c r="C15436" s="374"/>
      <c r="CV15436" s="376"/>
    </row>
    <row r="15437" spans="1:100">
      <c r="A15437" s="374"/>
      <c r="C15437" s="374"/>
      <c r="CV15437" s="376"/>
    </row>
    <row r="15438" spans="1:100">
      <c r="A15438" s="374"/>
      <c r="C15438" s="374"/>
      <c r="CV15438" s="376"/>
    </row>
    <row r="15439" spans="1:100">
      <c r="A15439" s="374"/>
      <c r="C15439" s="374"/>
      <c r="CV15439" s="376"/>
    </row>
    <row r="15440" spans="1:100">
      <c r="A15440" s="374"/>
      <c r="C15440" s="374"/>
      <c r="CV15440" s="376"/>
    </row>
    <row r="15441" spans="1:100">
      <c r="A15441" s="374"/>
      <c r="C15441" s="374"/>
      <c r="CV15441" s="376"/>
    </row>
    <row r="15442" spans="1:100">
      <c r="A15442" s="374"/>
      <c r="C15442" s="374"/>
      <c r="CV15442" s="376"/>
    </row>
    <row r="15443" spans="1:100">
      <c r="A15443" s="374"/>
      <c r="C15443" s="374"/>
      <c r="CV15443" s="376"/>
    </row>
    <row r="15444" spans="1:100">
      <c r="A15444" s="374"/>
      <c r="C15444" s="374"/>
      <c r="CV15444" s="376"/>
    </row>
    <row r="15445" spans="1:100">
      <c r="A15445" s="374"/>
      <c r="C15445" s="374"/>
      <c r="CV15445" s="376"/>
    </row>
    <row r="15446" spans="1:100">
      <c r="A15446" s="374"/>
      <c r="C15446" s="374"/>
      <c r="CV15446" s="376"/>
    </row>
    <row r="15447" spans="1:100">
      <c r="A15447" s="374"/>
      <c r="C15447" s="374"/>
      <c r="CV15447" s="376"/>
    </row>
    <row r="15448" spans="1:100">
      <c r="A15448" s="374"/>
      <c r="C15448" s="374"/>
      <c r="CV15448" s="376"/>
    </row>
    <row r="15449" spans="1:100">
      <c r="A15449" s="374"/>
      <c r="C15449" s="374"/>
      <c r="CV15449" s="376"/>
    </row>
    <row r="15450" spans="1:100">
      <c r="A15450" s="374"/>
      <c r="C15450" s="374"/>
      <c r="CV15450" s="376"/>
    </row>
    <row r="15451" spans="1:100">
      <c r="A15451" s="374"/>
      <c r="C15451" s="374"/>
      <c r="CV15451" s="376"/>
    </row>
    <row r="15452" spans="1:100">
      <c r="A15452" s="374"/>
      <c r="C15452" s="374"/>
      <c r="CV15452" s="376"/>
    </row>
    <row r="15453" spans="1:100">
      <c r="A15453" s="374"/>
      <c r="C15453" s="374"/>
      <c r="CV15453" s="376"/>
    </row>
    <row r="15454" spans="1:100">
      <c r="A15454" s="374"/>
      <c r="C15454" s="374"/>
      <c r="CV15454" s="376"/>
    </row>
    <row r="15455" spans="1:100">
      <c r="A15455" s="374"/>
      <c r="C15455" s="374"/>
      <c r="CV15455" s="376"/>
    </row>
    <row r="15456" spans="1:100">
      <c r="A15456" s="374"/>
      <c r="C15456" s="374"/>
      <c r="CV15456" s="376"/>
    </row>
    <row r="15457" spans="1:100">
      <c r="A15457" s="374"/>
      <c r="C15457" s="374"/>
      <c r="CV15457" s="376"/>
    </row>
    <row r="15458" spans="1:100">
      <c r="A15458" s="374"/>
      <c r="C15458" s="374"/>
      <c r="CV15458" s="376"/>
    </row>
    <row r="15459" spans="1:100">
      <c r="A15459" s="374"/>
      <c r="C15459" s="374"/>
      <c r="CV15459" s="376"/>
    </row>
    <row r="15460" spans="1:100">
      <c r="A15460" s="374"/>
      <c r="C15460" s="374"/>
      <c r="CV15460" s="376"/>
    </row>
    <row r="15461" spans="1:100">
      <c r="A15461" s="374"/>
      <c r="C15461" s="374"/>
      <c r="CV15461" s="376"/>
    </row>
    <row r="15462" spans="1:100">
      <c r="A15462" s="374"/>
      <c r="C15462" s="374"/>
      <c r="CV15462" s="376"/>
    </row>
    <row r="15463" spans="1:100">
      <c r="A15463" s="374"/>
      <c r="C15463" s="374"/>
      <c r="CV15463" s="376"/>
    </row>
    <row r="15464" spans="1:100">
      <c r="A15464" s="374"/>
      <c r="C15464" s="374"/>
      <c r="CV15464" s="376"/>
    </row>
    <row r="15465" spans="1:100">
      <c r="A15465" s="374"/>
      <c r="C15465" s="374"/>
      <c r="CV15465" s="376"/>
    </row>
    <row r="15466" spans="1:100">
      <c r="A15466" s="374"/>
      <c r="C15466" s="374"/>
      <c r="CV15466" s="376"/>
    </row>
    <row r="15467" spans="1:100">
      <c r="A15467" s="374"/>
      <c r="C15467" s="374"/>
      <c r="CV15467" s="376"/>
    </row>
    <row r="15468" spans="1:100">
      <c r="A15468" s="374"/>
      <c r="C15468" s="374"/>
      <c r="CV15468" s="376"/>
    </row>
    <row r="15469" spans="1:100">
      <c r="A15469" s="374"/>
      <c r="C15469" s="374"/>
      <c r="CV15469" s="376"/>
    </row>
    <row r="15470" spans="1:100">
      <c r="A15470" s="374"/>
      <c r="C15470" s="374"/>
      <c r="CV15470" s="376"/>
    </row>
    <row r="15471" spans="1:100">
      <c r="A15471" s="374"/>
      <c r="C15471" s="374"/>
      <c r="CV15471" s="376"/>
    </row>
    <row r="15472" spans="1:100">
      <c r="A15472" s="374"/>
      <c r="C15472" s="374"/>
      <c r="CV15472" s="376"/>
    </row>
    <row r="15473" spans="1:100">
      <c r="A15473" s="374"/>
      <c r="C15473" s="374"/>
      <c r="CV15473" s="376"/>
    </row>
    <row r="15474" spans="1:100">
      <c r="A15474" s="374"/>
      <c r="C15474" s="374"/>
      <c r="CV15474" s="376"/>
    </row>
    <row r="15475" spans="1:100">
      <c r="A15475" s="374"/>
      <c r="C15475" s="374"/>
      <c r="CV15475" s="376"/>
    </row>
    <row r="15476" spans="1:100">
      <c r="A15476" s="374"/>
      <c r="C15476" s="374"/>
      <c r="CV15476" s="376"/>
    </row>
    <row r="15477" spans="1:100">
      <c r="A15477" s="374"/>
      <c r="C15477" s="374"/>
      <c r="CV15477" s="376"/>
    </row>
    <row r="15478" spans="1:100">
      <c r="A15478" s="374"/>
      <c r="C15478" s="374"/>
      <c r="CV15478" s="376"/>
    </row>
    <row r="15479" spans="1:100">
      <c r="A15479" s="374"/>
      <c r="C15479" s="374"/>
      <c r="CV15479" s="376"/>
    </row>
    <row r="15480" spans="1:100">
      <c r="A15480" s="374"/>
      <c r="C15480" s="374"/>
      <c r="CV15480" s="376"/>
    </row>
    <row r="15481" spans="1:100">
      <c r="A15481" s="374"/>
      <c r="C15481" s="374"/>
      <c r="CV15481" s="376"/>
    </row>
    <row r="15482" spans="1:100">
      <c r="A15482" s="374"/>
      <c r="C15482" s="374"/>
      <c r="CV15482" s="376"/>
    </row>
    <row r="15483" spans="1:100">
      <c r="A15483" s="374"/>
      <c r="C15483" s="374"/>
      <c r="CV15483" s="376"/>
    </row>
    <row r="15484" spans="1:100">
      <c r="A15484" s="374"/>
      <c r="C15484" s="374"/>
      <c r="CV15484" s="376"/>
    </row>
    <row r="15485" spans="1:100">
      <c r="A15485" s="374"/>
      <c r="C15485" s="374"/>
      <c r="CV15485" s="376"/>
    </row>
    <row r="15486" spans="1:100">
      <c r="A15486" s="374"/>
      <c r="C15486" s="374"/>
      <c r="CV15486" s="376"/>
    </row>
    <row r="15487" spans="1:100">
      <c r="A15487" s="374"/>
      <c r="C15487" s="374"/>
      <c r="CV15487" s="376"/>
    </row>
    <row r="15488" spans="1:100">
      <c r="A15488" s="374"/>
      <c r="C15488" s="374"/>
      <c r="CV15488" s="376"/>
    </row>
    <row r="15489" spans="1:100">
      <c r="A15489" s="374"/>
      <c r="C15489" s="374"/>
      <c r="CV15489" s="376"/>
    </row>
    <row r="15490" spans="1:100">
      <c r="A15490" s="374"/>
      <c r="C15490" s="374"/>
      <c r="CV15490" s="376"/>
    </row>
    <row r="15491" spans="1:100">
      <c r="A15491" s="374"/>
      <c r="C15491" s="374"/>
      <c r="CV15491" s="376"/>
    </row>
    <row r="15492" spans="1:100">
      <c r="A15492" s="374"/>
      <c r="C15492" s="374"/>
      <c r="CV15492" s="376"/>
    </row>
    <row r="15493" spans="1:100">
      <c r="A15493" s="374"/>
      <c r="C15493" s="374"/>
      <c r="CV15493" s="376"/>
    </row>
    <row r="15494" spans="1:100">
      <c r="A15494" s="374"/>
      <c r="C15494" s="374"/>
      <c r="CV15494" s="376"/>
    </row>
    <row r="15495" spans="1:100">
      <c r="A15495" s="374"/>
      <c r="C15495" s="374"/>
      <c r="CV15495" s="376"/>
    </row>
    <row r="15496" spans="1:100">
      <c r="A15496" s="374"/>
      <c r="C15496" s="374"/>
      <c r="CV15496" s="376"/>
    </row>
    <row r="15497" spans="1:100">
      <c r="A15497" s="374"/>
      <c r="C15497" s="374"/>
      <c r="CV15497" s="376"/>
    </row>
    <row r="15498" spans="1:100">
      <c r="A15498" s="374"/>
      <c r="C15498" s="374"/>
      <c r="CV15498" s="376"/>
    </row>
    <row r="15499" spans="1:100">
      <c r="A15499" s="374"/>
      <c r="C15499" s="374"/>
      <c r="CV15499" s="376"/>
    </row>
    <row r="15500" spans="1:100">
      <c r="A15500" s="374"/>
      <c r="C15500" s="374"/>
      <c r="CV15500" s="376"/>
    </row>
    <row r="15501" spans="1:100">
      <c r="A15501" s="374"/>
      <c r="C15501" s="374"/>
      <c r="CV15501" s="376"/>
    </row>
    <row r="15502" spans="1:100">
      <c r="A15502" s="374"/>
      <c r="C15502" s="374"/>
      <c r="CV15502" s="376"/>
    </row>
    <row r="15503" spans="1:100">
      <c r="A15503" s="374"/>
      <c r="C15503" s="374"/>
      <c r="CV15503" s="376"/>
    </row>
    <row r="15504" spans="1:100">
      <c r="A15504" s="374"/>
      <c r="C15504" s="374"/>
      <c r="CV15504" s="376"/>
    </row>
    <row r="15505" spans="1:100">
      <c r="A15505" s="374"/>
      <c r="C15505" s="374"/>
      <c r="CV15505" s="376"/>
    </row>
    <row r="15506" spans="1:100">
      <c r="A15506" s="374"/>
      <c r="C15506" s="374"/>
      <c r="CV15506" s="376"/>
    </row>
    <row r="15507" spans="1:100">
      <c r="A15507" s="374"/>
      <c r="C15507" s="374"/>
      <c r="CV15507" s="376"/>
    </row>
    <row r="15508" spans="1:100">
      <c r="A15508" s="374"/>
      <c r="C15508" s="374"/>
      <c r="CV15508" s="376"/>
    </row>
    <row r="15509" spans="1:100">
      <c r="A15509" s="374"/>
      <c r="C15509" s="374"/>
      <c r="CV15509" s="376"/>
    </row>
    <row r="15510" spans="1:100">
      <c r="A15510" s="374"/>
      <c r="C15510" s="374"/>
      <c r="CV15510" s="376"/>
    </row>
    <row r="15511" spans="1:100">
      <c r="A15511" s="374"/>
      <c r="C15511" s="374"/>
      <c r="CV15511" s="376"/>
    </row>
    <row r="15512" spans="1:100">
      <c r="A15512" s="374"/>
      <c r="C15512" s="374"/>
      <c r="CV15512" s="376"/>
    </row>
    <row r="15513" spans="1:100">
      <c r="A15513" s="374"/>
      <c r="C15513" s="374"/>
      <c r="CV15513" s="376"/>
    </row>
    <row r="15514" spans="1:100">
      <c r="A15514" s="374"/>
      <c r="C15514" s="374"/>
      <c r="CV15514" s="376"/>
    </row>
    <row r="15515" spans="1:100">
      <c r="A15515" s="374"/>
      <c r="C15515" s="374"/>
      <c r="CV15515" s="376"/>
    </row>
    <row r="15516" spans="1:100">
      <c r="A15516" s="374"/>
      <c r="C15516" s="374"/>
      <c r="CV15516" s="376"/>
    </row>
    <row r="15517" spans="1:100">
      <c r="A15517" s="374"/>
      <c r="C15517" s="374"/>
      <c r="CV15517" s="376"/>
    </row>
    <row r="15518" spans="1:100">
      <c r="A15518" s="374"/>
      <c r="C15518" s="374"/>
      <c r="CV15518" s="376"/>
    </row>
    <row r="15519" spans="1:100">
      <c r="A15519" s="374"/>
      <c r="C15519" s="374"/>
      <c r="CV15519" s="376"/>
    </row>
    <row r="15520" spans="1:100">
      <c r="A15520" s="374"/>
      <c r="C15520" s="374"/>
      <c r="CV15520" s="376"/>
    </row>
    <row r="15521" spans="1:100">
      <c r="A15521" s="374"/>
      <c r="C15521" s="374"/>
      <c r="CV15521" s="376"/>
    </row>
    <row r="15522" spans="1:100">
      <c r="A15522" s="374"/>
      <c r="C15522" s="374"/>
      <c r="CV15522" s="376"/>
    </row>
    <row r="15523" spans="1:100">
      <c r="A15523" s="374"/>
      <c r="C15523" s="374"/>
      <c r="CV15523" s="376"/>
    </row>
    <row r="15524" spans="1:100">
      <c r="A15524" s="374"/>
      <c r="C15524" s="374"/>
      <c r="CV15524" s="376"/>
    </row>
    <row r="15525" spans="1:100">
      <c r="A15525" s="374"/>
      <c r="C15525" s="374"/>
      <c r="CV15525" s="376"/>
    </row>
    <row r="15526" spans="1:100">
      <c r="A15526" s="374"/>
      <c r="C15526" s="374"/>
      <c r="CV15526" s="376"/>
    </row>
    <row r="15527" spans="1:100">
      <c r="A15527" s="374"/>
      <c r="C15527" s="374"/>
      <c r="CV15527" s="376"/>
    </row>
    <row r="15528" spans="1:100">
      <c r="A15528" s="374"/>
      <c r="C15528" s="374"/>
      <c r="CV15528" s="376"/>
    </row>
    <row r="15529" spans="1:100">
      <c r="A15529" s="374"/>
      <c r="C15529" s="374"/>
      <c r="CV15529" s="376"/>
    </row>
    <row r="15530" spans="1:100">
      <c r="A15530" s="374"/>
      <c r="C15530" s="374"/>
      <c r="CV15530" s="376"/>
    </row>
    <row r="15531" spans="1:100">
      <c r="A15531" s="374"/>
      <c r="C15531" s="374"/>
      <c r="CV15531" s="376"/>
    </row>
    <row r="15532" spans="1:100">
      <c r="A15532" s="374"/>
      <c r="C15532" s="374"/>
      <c r="CV15532" s="376"/>
    </row>
    <row r="15533" spans="1:100">
      <c r="A15533" s="374"/>
      <c r="C15533" s="374"/>
      <c r="CV15533" s="376"/>
    </row>
    <row r="15534" spans="1:100">
      <c r="A15534" s="374"/>
      <c r="C15534" s="374"/>
      <c r="CV15534" s="376"/>
    </row>
    <row r="15535" spans="1:100">
      <c r="A15535" s="374"/>
      <c r="C15535" s="374"/>
      <c r="CV15535" s="376"/>
    </row>
    <row r="15536" spans="1:100">
      <c r="A15536" s="374"/>
      <c r="C15536" s="374"/>
      <c r="CV15536" s="376"/>
    </row>
    <row r="15537" spans="1:100">
      <c r="A15537" s="374"/>
      <c r="C15537" s="374"/>
      <c r="CV15537" s="376"/>
    </row>
    <row r="15538" spans="1:100">
      <c r="A15538" s="374"/>
      <c r="C15538" s="374"/>
      <c r="CV15538" s="376"/>
    </row>
    <row r="15539" spans="1:100">
      <c r="A15539" s="374"/>
      <c r="C15539" s="374"/>
      <c r="CV15539" s="376"/>
    </row>
    <row r="15540" spans="1:100">
      <c r="A15540" s="374"/>
      <c r="C15540" s="374"/>
      <c r="CV15540" s="376"/>
    </row>
    <row r="15541" spans="1:100">
      <c r="A15541" s="374"/>
      <c r="C15541" s="374"/>
      <c r="CV15541" s="376"/>
    </row>
    <row r="15542" spans="1:100">
      <c r="A15542" s="374"/>
      <c r="C15542" s="374"/>
      <c r="CV15542" s="376"/>
    </row>
    <row r="15543" spans="1:100">
      <c r="A15543" s="374"/>
      <c r="C15543" s="374"/>
      <c r="CV15543" s="376"/>
    </row>
    <row r="15544" spans="1:100">
      <c r="A15544" s="374"/>
      <c r="C15544" s="374"/>
      <c r="CV15544" s="376"/>
    </row>
    <row r="15545" spans="1:100">
      <c r="A15545" s="374"/>
      <c r="C15545" s="374"/>
      <c r="CV15545" s="376"/>
    </row>
    <row r="15546" spans="1:100">
      <c r="A15546" s="374"/>
      <c r="C15546" s="374"/>
      <c r="CV15546" s="376"/>
    </row>
    <row r="15547" spans="1:100">
      <c r="A15547" s="374"/>
      <c r="C15547" s="374"/>
      <c r="CV15547" s="376"/>
    </row>
    <row r="15548" spans="1:100">
      <c r="A15548" s="374"/>
      <c r="C15548" s="374"/>
      <c r="CV15548" s="376"/>
    </row>
    <row r="15549" spans="1:100">
      <c r="A15549" s="374"/>
      <c r="C15549" s="374"/>
      <c r="CV15549" s="376"/>
    </row>
    <row r="15550" spans="1:100">
      <c r="A15550" s="374"/>
      <c r="C15550" s="374"/>
      <c r="CV15550" s="376"/>
    </row>
    <row r="15551" spans="1:100">
      <c r="A15551" s="374"/>
      <c r="C15551" s="374"/>
      <c r="CV15551" s="376"/>
    </row>
    <row r="15552" spans="1:100">
      <c r="A15552" s="374"/>
      <c r="C15552" s="374"/>
      <c r="CV15552" s="376"/>
    </row>
    <row r="15553" spans="1:100">
      <c r="A15553" s="374"/>
      <c r="C15553" s="374"/>
      <c r="CV15553" s="376"/>
    </row>
    <row r="15554" spans="1:100">
      <c r="A15554" s="374"/>
      <c r="C15554" s="374"/>
      <c r="CV15554" s="376"/>
    </row>
    <row r="15555" spans="1:100">
      <c r="A15555" s="374"/>
      <c r="C15555" s="374"/>
      <c r="CV15555" s="376"/>
    </row>
    <row r="15556" spans="1:100">
      <c r="A15556" s="374"/>
      <c r="C15556" s="374"/>
      <c r="CV15556" s="376"/>
    </row>
    <row r="15557" spans="1:100">
      <c r="A15557" s="374"/>
      <c r="C15557" s="374"/>
      <c r="CV15557" s="376"/>
    </row>
    <row r="15558" spans="1:100">
      <c r="A15558" s="374"/>
      <c r="C15558" s="374"/>
      <c r="CV15558" s="376"/>
    </row>
    <row r="15559" spans="1:100">
      <c r="A15559" s="374"/>
      <c r="C15559" s="374"/>
      <c r="CV15559" s="376"/>
    </row>
    <row r="15560" spans="1:100">
      <c r="A15560" s="374"/>
      <c r="C15560" s="374"/>
      <c r="CV15560" s="376"/>
    </row>
    <row r="15561" spans="1:100">
      <c r="A15561" s="374"/>
      <c r="C15561" s="374"/>
      <c r="CV15561" s="376"/>
    </row>
    <row r="15562" spans="1:100">
      <c r="A15562" s="374"/>
      <c r="C15562" s="374"/>
      <c r="CV15562" s="376"/>
    </row>
    <row r="15563" spans="1:100">
      <c r="A15563" s="374"/>
      <c r="C15563" s="374"/>
      <c r="CV15563" s="376"/>
    </row>
    <row r="15564" spans="1:100">
      <c r="A15564" s="374"/>
      <c r="C15564" s="374"/>
      <c r="CV15564" s="376"/>
    </row>
    <row r="15565" spans="1:100">
      <c r="A15565" s="374"/>
      <c r="C15565" s="374"/>
      <c r="CV15565" s="376"/>
    </row>
    <row r="15566" spans="1:100">
      <c r="A15566" s="374"/>
      <c r="C15566" s="374"/>
      <c r="CV15566" s="376"/>
    </row>
    <row r="15567" spans="1:100">
      <c r="A15567" s="374"/>
      <c r="C15567" s="374"/>
      <c r="CV15567" s="376"/>
    </row>
    <row r="15568" spans="1:100">
      <c r="A15568" s="374"/>
      <c r="C15568" s="374"/>
      <c r="CV15568" s="376"/>
    </row>
    <row r="15569" spans="1:100">
      <c r="A15569" s="374"/>
      <c r="C15569" s="374"/>
      <c r="CV15569" s="376"/>
    </row>
    <row r="15570" spans="1:100">
      <c r="A15570" s="374"/>
      <c r="C15570" s="374"/>
      <c r="CV15570" s="376"/>
    </row>
    <row r="15571" spans="1:100">
      <c r="A15571" s="374"/>
      <c r="C15571" s="374"/>
      <c r="CV15571" s="376"/>
    </row>
    <row r="15572" spans="1:100">
      <c r="A15572" s="374"/>
      <c r="C15572" s="374"/>
      <c r="CV15572" s="376"/>
    </row>
    <row r="15573" spans="1:100">
      <c r="A15573" s="374"/>
      <c r="C15573" s="374"/>
      <c r="CV15573" s="376"/>
    </row>
    <row r="15574" spans="1:100">
      <c r="A15574" s="374"/>
      <c r="C15574" s="374"/>
      <c r="CV15574" s="376"/>
    </row>
    <row r="15575" spans="1:100">
      <c r="A15575" s="374"/>
      <c r="C15575" s="374"/>
      <c r="CV15575" s="376"/>
    </row>
    <row r="15576" spans="1:100">
      <c r="A15576" s="374"/>
      <c r="C15576" s="374"/>
      <c r="CV15576" s="376"/>
    </row>
    <row r="15577" spans="1:100">
      <c r="A15577" s="374"/>
      <c r="C15577" s="374"/>
      <c r="CV15577" s="376"/>
    </row>
    <row r="15578" spans="1:100">
      <c r="A15578" s="374"/>
      <c r="C15578" s="374"/>
      <c r="CV15578" s="376"/>
    </row>
    <row r="15579" spans="1:100">
      <c r="A15579" s="374"/>
      <c r="C15579" s="374"/>
      <c r="CV15579" s="376"/>
    </row>
    <row r="15580" spans="1:100">
      <c r="A15580" s="374"/>
      <c r="C15580" s="374"/>
      <c r="CV15580" s="376"/>
    </row>
    <row r="15581" spans="1:100">
      <c r="A15581" s="374"/>
      <c r="C15581" s="374"/>
      <c r="CV15581" s="376"/>
    </row>
    <row r="15582" spans="1:100">
      <c r="A15582" s="374"/>
      <c r="C15582" s="374"/>
      <c r="CV15582" s="376"/>
    </row>
    <row r="15583" spans="1:100">
      <c r="A15583" s="374"/>
      <c r="C15583" s="374"/>
      <c r="CV15583" s="376"/>
    </row>
    <row r="15584" spans="1:100">
      <c r="A15584" s="374"/>
      <c r="C15584" s="374"/>
      <c r="CV15584" s="376"/>
    </row>
    <row r="15585" spans="1:100">
      <c r="A15585" s="374"/>
      <c r="C15585" s="374"/>
      <c r="CV15585" s="376"/>
    </row>
    <row r="15586" spans="1:100">
      <c r="A15586" s="374"/>
      <c r="C15586" s="374"/>
      <c r="CV15586" s="376"/>
    </row>
    <row r="15587" spans="1:100">
      <c r="A15587" s="374"/>
      <c r="C15587" s="374"/>
      <c r="CV15587" s="376"/>
    </row>
    <row r="15588" spans="1:100">
      <c r="A15588" s="374"/>
      <c r="C15588" s="374"/>
      <c r="CV15588" s="376"/>
    </row>
    <row r="15589" spans="1:100">
      <c r="A15589" s="374"/>
      <c r="C15589" s="374"/>
      <c r="CV15589" s="376"/>
    </row>
    <row r="15590" spans="1:100">
      <c r="A15590" s="374"/>
      <c r="C15590" s="374"/>
      <c r="CV15590" s="376"/>
    </row>
    <row r="15591" spans="1:100">
      <c r="A15591" s="374"/>
      <c r="C15591" s="374"/>
      <c r="CV15591" s="376"/>
    </row>
    <row r="15592" spans="1:100">
      <c r="A15592" s="374"/>
      <c r="C15592" s="374"/>
      <c r="CV15592" s="376"/>
    </row>
    <row r="15593" spans="1:100">
      <c r="A15593" s="374"/>
      <c r="C15593" s="374"/>
      <c r="CV15593" s="376"/>
    </row>
    <row r="15594" spans="1:100">
      <c r="A15594" s="374"/>
      <c r="C15594" s="374"/>
      <c r="CV15594" s="376"/>
    </row>
    <row r="15595" spans="1:100">
      <c r="A15595" s="374"/>
      <c r="C15595" s="374"/>
      <c r="CV15595" s="376"/>
    </row>
    <row r="15596" spans="1:100">
      <c r="A15596" s="374"/>
      <c r="C15596" s="374"/>
      <c r="CV15596" s="376"/>
    </row>
    <row r="15597" spans="1:100">
      <c r="A15597" s="374"/>
      <c r="C15597" s="374"/>
      <c r="CV15597" s="376"/>
    </row>
    <row r="15598" spans="1:100">
      <c r="A15598" s="374"/>
      <c r="C15598" s="374"/>
      <c r="CV15598" s="376"/>
    </row>
    <row r="15599" spans="1:100">
      <c r="A15599" s="374"/>
      <c r="C15599" s="374"/>
      <c r="CV15599" s="376"/>
    </row>
    <row r="15600" spans="1:100">
      <c r="A15600" s="374"/>
      <c r="C15600" s="374"/>
      <c r="CV15600" s="376"/>
    </row>
    <row r="15601" spans="1:100">
      <c r="A15601" s="374"/>
      <c r="C15601" s="374"/>
      <c r="CV15601" s="376"/>
    </row>
    <row r="15602" spans="1:100">
      <c r="A15602" s="374"/>
      <c r="C15602" s="374"/>
      <c r="CV15602" s="376"/>
    </row>
    <row r="15603" spans="1:100">
      <c r="A15603" s="374"/>
      <c r="C15603" s="374"/>
      <c r="CV15603" s="376"/>
    </row>
    <row r="15604" spans="1:100">
      <c r="A15604" s="374"/>
      <c r="C15604" s="374"/>
      <c r="CV15604" s="376"/>
    </row>
    <row r="15605" spans="1:100">
      <c r="A15605" s="374"/>
      <c r="C15605" s="374"/>
      <c r="CV15605" s="376"/>
    </row>
    <row r="15606" spans="1:100">
      <c r="A15606" s="374"/>
      <c r="C15606" s="374"/>
      <c r="CV15606" s="376"/>
    </row>
    <row r="15607" spans="1:100">
      <c r="A15607" s="374"/>
      <c r="C15607" s="374"/>
      <c r="CV15607" s="376"/>
    </row>
    <row r="15608" spans="1:100">
      <c r="A15608" s="374"/>
      <c r="C15608" s="374"/>
      <c r="CV15608" s="376"/>
    </row>
    <row r="15609" spans="1:100">
      <c r="A15609" s="374"/>
      <c r="C15609" s="374"/>
      <c r="CV15609" s="376"/>
    </row>
    <row r="15610" spans="1:100">
      <c r="A15610" s="374"/>
      <c r="C15610" s="374"/>
      <c r="CV15610" s="376"/>
    </row>
    <row r="15611" spans="1:100">
      <c r="A15611" s="374"/>
      <c r="C15611" s="374"/>
      <c r="CV15611" s="376"/>
    </row>
    <row r="15612" spans="1:100">
      <c r="A15612" s="374"/>
      <c r="C15612" s="374"/>
      <c r="CV15612" s="376"/>
    </row>
    <row r="15613" spans="1:100">
      <c r="A15613" s="374"/>
      <c r="C15613" s="374"/>
      <c r="CV15613" s="376"/>
    </row>
    <row r="15614" spans="1:100">
      <c r="A15614" s="374"/>
      <c r="C15614" s="374"/>
      <c r="CV15614" s="376"/>
    </row>
    <row r="15615" spans="1:100">
      <c r="A15615" s="374"/>
      <c r="C15615" s="374"/>
      <c r="CV15615" s="376"/>
    </row>
    <row r="15616" spans="1:100">
      <c r="A15616" s="374"/>
      <c r="C15616" s="374"/>
      <c r="CV15616" s="376"/>
    </row>
    <row r="15617" spans="1:100">
      <c r="A15617" s="374"/>
      <c r="C15617" s="374"/>
      <c r="CV15617" s="376"/>
    </row>
    <row r="15618" spans="1:100">
      <c r="A15618" s="374"/>
      <c r="C15618" s="374"/>
      <c r="CV15618" s="376"/>
    </row>
    <row r="15619" spans="1:100">
      <c r="A15619" s="374"/>
      <c r="C15619" s="374"/>
      <c r="CV15619" s="376"/>
    </row>
    <row r="15620" spans="1:100">
      <c r="A15620" s="374"/>
      <c r="C15620" s="374"/>
      <c r="CV15620" s="376"/>
    </row>
    <row r="15621" spans="1:100">
      <c r="A15621" s="374"/>
      <c r="C15621" s="374"/>
      <c r="CV15621" s="376"/>
    </row>
    <row r="15622" spans="1:100">
      <c r="A15622" s="374"/>
      <c r="C15622" s="374"/>
      <c r="CV15622" s="376"/>
    </row>
    <row r="15623" spans="1:100">
      <c r="A15623" s="374"/>
      <c r="C15623" s="374"/>
      <c r="CV15623" s="376"/>
    </row>
    <row r="15624" spans="1:100">
      <c r="A15624" s="374"/>
      <c r="C15624" s="374"/>
      <c r="CV15624" s="376"/>
    </row>
    <row r="15625" spans="1:100">
      <c r="A15625" s="374"/>
      <c r="C15625" s="374"/>
      <c r="CV15625" s="376"/>
    </row>
    <row r="15626" spans="1:100">
      <c r="A15626" s="374"/>
      <c r="C15626" s="374"/>
      <c r="CV15626" s="376"/>
    </row>
    <row r="15627" spans="1:100">
      <c r="A15627" s="374"/>
      <c r="C15627" s="374"/>
      <c r="CV15627" s="376"/>
    </row>
    <row r="15628" spans="1:100">
      <c r="A15628" s="374"/>
      <c r="C15628" s="374"/>
      <c r="CV15628" s="376"/>
    </row>
    <row r="15629" spans="1:100">
      <c r="A15629" s="374"/>
      <c r="C15629" s="374"/>
      <c r="CV15629" s="376"/>
    </row>
    <row r="15630" spans="1:100">
      <c r="A15630" s="374"/>
      <c r="C15630" s="374"/>
      <c r="CV15630" s="376"/>
    </row>
    <row r="15631" spans="1:100">
      <c r="A15631" s="374"/>
      <c r="C15631" s="374"/>
      <c r="CV15631" s="376"/>
    </row>
    <row r="15632" spans="1:100">
      <c r="A15632" s="374"/>
      <c r="C15632" s="374"/>
      <c r="CV15632" s="376"/>
    </row>
    <row r="15633" spans="1:100">
      <c r="A15633" s="374"/>
      <c r="C15633" s="374"/>
      <c r="CV15633" s="376"/>
    </row>
    <row r="15634" spans="1:100">
      <c r="A15634" s="374"/>
      <c r="C15634" s="374"/>
      <c r="CV15634" s="376"/>
    </row>
    <row r="15635" spans="1:100">
      <c r="A15635" s="374"/>
      <c r="C15635" s="374"/>
      <c r="CV15635" s="376"/>
    </row>
    <row r="15636" spans="1:100">
      <c r="A15636" s="374"/>
      <c r="C15636" s="374"/>
      <c r="CV15636" s="376"/>
    </row>
    <row r="15637" spans="1:100">
      <c r="A15637" s="374"/>
      <c r="C15637" s="374"/>
      <c r="CV15637" s="376"/>
    </row>
    <row r="15638" spans="1:100">
      <c r="A15638" s="374"/>
      <c r="C15638" s="374"/>
      <c r="CV15638" s="376"/>
    </row>
    <row r="15639" spans="1:100">
      <c r="A15639" s="374"/>
      <c r="C15639" s="374"/>
      <c r="CV15639" s="376"/>
    </row>
    <row r="15640" spans="1:100">
      <c r="A15640" s="374"/>
      <c r="C15640" s="374"/>
      <c r="CV15640" s="376"/>
    </row>
    <row r="15641" spans="1:100">
      <c r="A15641" s="374"/>
      <c r="C15641" s="374"/>
      <c r="CV15641" s="376"/>
    </row>
    <row r="15642" spans="1:100">
      <c r="A15642" s="374"/>
      <c r="C15642" s="374"/>
      <c r="CV15642" s="376"/>
    </row>
    <row r="15643" spans="1:100">
      <c r="A15643" s="374"/>
      <c r="C15643" s="374"/>
      <c r="CV15643" s="376"/>
    </row>
    <row r="15644" spans="1:100">
      <c r="A15644" s="374"/>
      <c r="C15644" s="374"/>
      <c r="CV15644" s="376"/>
    </row>
    <row r="15645" spans="1:100">
      <c r="A15645" s="374"/>
      <c r="C15645" s="374"/>
      <c r="CV15645" s="376"/>
    </row>
    <row r="15646" spans="1:100">
      <c r="A15646" s="374"/>
      <c r="C15646" s="374"/>
      <c r="CV15646" s="376"/>
    </row>
    <row r="15647" spans="1:100">
      <c r="A15647" s="374"/>
      <c r="C15647" s="374"/>
      <c r="CV15647" s="376"/>
    </row>
    <row r="15648" spans="1:100">
      <c r="A15648" s="374"/>
      <c r="C15648" s="374"/>
      <c r="CV15648" s="376"/>
    </row>
    <row r="15649" spans="1:100">
      <c r="A15649" s="374"/>
      <c r="C15649" s="374"/>
      <c r="CV15649" s="376"/>
    </row>
    <row r="15650" spans="1:100">
      <c r="A15650" s="374"/>
      <c r="C15650" s="374"/>
      <c r="CV15650" s="376"/>
    </row>
    <row r="15651" spans="1:100">
      <c r="A15651" s="374"/>
      <c r="C15651" s="374"/>
      <c r="CV15651" s="376"/>
    </row>
    <row r="15652" spans="1:100">
      <c r="A15652" s="374"/>
      <c r="C15652" s="374"/>
      <c r="CV15652" s="376"/>
    </row>
    <row r="15653" spans="1:100">
      <c r="A15653" s="374"/>
      <c r="C15653" s="374"/>
      <c r="CV15653" s="376"/>
    </row>
    <row r="15654" spans="1:100">
      <c r="A15654" s="374"/>
      <c r="C15654" s="374"/>
      <c r="CV15654" s="376"/>
    </row>
    <row r="15655" spans="1:100">
      <c r="A15655" s="374"/>
      <c r="C15655" s="374"/>
      <c r="CV15655" s="376"/>
    </row>
    <row r="15656" spans="1:100">
      <c r="A15656" s="374"/>
      <c r="C15656" s="374"/>
      <c r="CV15656" s="376"/>
    </row>
    <row r="15657" spans="1:100">
      <c r="A15657" s="374"/>
      <c r="C15657" s="374"/>
      <c r="CV15657" s="376"/>
    </row>
    <row r="15658" spans="1:100">
      <c r="A15658" s="374"/>
      <c r="C15658" s="374"/>
      <c r="CV15658" s="376"/>
    </row>
    <row r="15659" spans="1:100">
      <c r="A15659" s="374"/>
      <c r="C15659" s="374"/>
      <c r="CV15659" s="376"/>
    </row>
    <row r="15660" spans="1:100">
      <c r="A15660" s="374"/>
      <c r="C15660" s="374"/>
      <c r="CV15660" s="376"/>
    </row>
    <row r="15661" spans="1:100">
      <c r="A15661" s="374"/>
      <c r="C15661" s="374"/>
      <c r="CV15661" s="376"/>
    </row>
    <row r="15662" spans="1:100">
      <c r="A15662" s="374"/>
      <c r="C15662" s="374"/>
      <c r="CV15662" s="376"/>
    </row>
    <row r="15663" spans="1:100">
      <c r="A15663" s="374"/>
      <c r="C15663" s="374"/>
      <c r="CV15663" s="376"/>
    </row>
    <row r="15664" spans="1:100">
      <c r="A15664" s="374"/>
      <c r="C15664" s="374"/>
      <c r="CV15664" s="376"/>
    </row>
    <row r="15665" spans="1:100">
      <c r="A15665" s="374"/>
      <c r="C15665" s="374"/>
      <c r="CV15665" s="376"/>
    </row>
    <row r="15666" spans="1:100">
      <c r="A15666" s="374"/>
      <c r="C15666" s="374"/>
      <c r="CV15666" s="376"/>
    </row>
    <row r="15667" spans="1:100">
      <c r="A15667" s="374"/>
      <c r="C15667" s="374"/>
      <c r="CV15667" s="376"/>
    </row>
    <row r="15668" spans="1:100">
      <c r="A15668" s="374"/>
      <c r="C15668" s="374"/>
      <c r="CV15668" s="376"/>
    </row>
    <row r="15669" spans="1:100">
      <c r="A15669" s="374"/>
      <c r="C15669" s="374"/>
      <c r="CV15669" s="376"/>
    </row>
    <row r="15670" spans="1:100">
      <c r="A15670" s="374"/>
      <c r="C15670" s="374"/>
      <c r="CV15670" s="376"/>
    </row>
    <row r="15671" spans="1:100">
      <c r="A15671" s="374"/>
      <c r="C15671" s="374"/>
      <c r="CV15671" s="376"/>
    </row>
    <row r="15672" spans="1:100">
      <c r="A15672" s="374"/>
      <c r="C15672" s="374"/>
      <c r="CV15672" s="376"/>
    </row>
    <row r="15673" spans="1:100">
      <c r="A15673" s="374"/>
      <c r="C15673" s="374"/>
      <c r="CV15673" s="376"/>
    </row>
    <row r="15674" spans="1:100">
      <c r="A15674" s="374"/>
      <c r="C15674" s="374"/>
      <c r="CV15674" s="376"/>
    </row>
    <row r="15675" spans="1:100">
      <c r="A15675" s="374"/>
      <c r="C15675" s="374"/>
      <c r="CV15675" s="376"/>
    </row>
    <row r="15676" spans="1:100">
      <c r="A15676" s="374"/>
      <c r="C15676" s="374"/>
      <c r="CV15676" s="376"/>
    </row>
    <row r="15677" spans="1:100">
      <c r="A15677" s="374"/>
      <c r="C15677" s="374"/>
      <c r="CV15677" s="376"/>
    </row>
    <row r="15678" spans="1:100">
      <c r="A15678" s="374"/>
      <c r="C15678" s="374"/>
      <c r="CV15678" s="376"/>
    </row>
    <row r="15679" spans="1:100">
      <c r="A15679" s="374"/>
      <c r="C15679" s="374"/>
      <c r="CV15679" s="376"/>
    </row>
    <row r="15680" spans="1:100">
      <c r="A15680" s="374"/>
      <c r="C15680" s="374"/>
      <c r="CV15680" s="376"/>
    </row>
    <row r="15681" spans="1:100">
      <c r="A15681" s="374"/>
      <c r="C15681" s="374"/>
      <c r="CV15681" s="376"/>
    </row>
    <row r="15682" spans="1:100">
      <c r="A15682" s="374"/>
      <c r="C15682" s="374"/>
      <c r="CV15682" s="376"/>
    </row>
    <row r="15683" spans="1:100">
      <c r="A15683" s="374"/>
      <c r="C15683" s="374"/>
      <c r="CV15683" s="376"/>
    </row>
    <row r="15684" spans="1:100">
      <c r="A15684" s="374"/>
      <c r="C15684" s="374"/>
      <c r="CV15684" s="376"/>
    </row>
    <row r="15685" spans="1:100">
      <c r="A15685" s="374"/>
      <c r="C15685" s="374"/>
      <c r="CV15685" s="376"/>
    </row>
    <row r="15686" spans="1:100">
      <c r="A15686" s="374"/>
      <c r="C15686" s="374"/>
      <c r="CV15686" s="376"/>
    </row>
    <row r="15687" spans="1:100">
      <c r="A15687" s="374"/>
      <c r="C15687" s="374"/>
      <c r="CV15687" s="376"/>
    </row>
    <row r="15688" spans="1:100">
      <c r="A15688" s="374"/>
      <c r="C15688" s="374"/>
      <c r="CV15688" s="376"/>
    </row>
    <row r="15689" spans="1:100">
      <c r="A15689" s="374"/>
      <c r="C15689" s="374"/>
      <c r="CV15689" s="376"/>
    </row>
    <row r="15690" spans="1:100">
      <c r="A15690" s="374"/>
      <c r="C15690" s="374"/>
      <c r="CV15690" s="376"/>
    </row>
    <row r="15691" spans="1:100">
      <c r="A15691" s="374"/>
      <c r="C15691" s="374"/>
      <c r="CV15691" s="376"/>
    </row>
    <row r="15692" spans="1:100">
      <c r="A15692" s="374"/>
      <c r="C15692" s="374"/>
      <c r="CV15692" s="376"/>
    </row>
    <row r="15693" spans="1:100">
      <c r="A15693" s="374"/>
      <c r="C15693" s="374"/>
      <c r="CV15693" s="376"/>
    </row>
    <row r="15694" spans="1:100">
      <c r="A15694" s="374"/>
      <c r="C15694" s="374"/>
      <c r="CV15694" s="376"/>
    </row>
    <row r="15695" spans="1:100">
      <c r="A15695" s="374"/>
      <c r="C15695" s="374"/>
      <c r="CV15695" s="376"/>
    </row>
    <row r="15696" spans="1:100">
      <c r="A15696" s="374"/>
      <c r="C15696" s="374"/>
      <c r="CV15696" s="376"/>
    </row>
    <row r="15697" spans="1:100">
      <c r="A15697" s="374"/>
      <c r="C15697" s="374"/>
      <c r="CV15697" s="376"/>
    </row>
    <row r="15698" spans="1:100">
      <c r="A15698" s="374"/>
      <c r="C15698" s="374"/>
      <c r="CV15698" s="376"/>
    </row>
    <row r="15699" spans="1:100">
      <c r="A15699" s="374"/>
      <c r="C15699" s="374"/>
      <c r="CV15699" s="376"/>
    </row>
    <row r="15700" spans="1:100">
      <c r="A15700" s="374"/>
      <c r="C15700" s="374"/>
      <c r="CV15700" s="376"/>
    </row>
    <row r="15701" spans="1:100">
      <c r="A15701" s="374"/>
      <c r="C15701" s="374"/>
      <c r="CV15701" s="376"/>
    </row>
    <row r="15702" spans="1:100">
      <c r="A15702" s="374"/>
      <c r="C15702" s="374"/>
      <c r="CV15702" s="376"/>
    </row>
    <row r="15703" spans="1:100">
      <c r="A15703" s="374"/>
      <c r="C15703" s="374"/>
      <c r="CV15703" s="376"/>
    </row>
    <row r="15704" spans="1:100">
      <c r="A15704" s="374"/>
      <c r="C15704" s="374"/>
      <c r="CV15704" s="376"/>
    </row>
    <row r="15705" spans="1:100">
      <c r="A15705" s="374"/>
      <c r="C15705" s="374"/>
      <c r="CV15705" s="376"/>
    </row>
    <row r="15706" spans="1:100">
      <c r="A15706" s="374"/>
      <c r="C15706" s="374"/>
      <c r="CV15706" s="376"/>
    </row>
    <row r="15707" spans="1:100">
      <c r="A15707" s="374"/>
      <c r="C15707" s="374"/>
      <c r="CV15707" s="376"/>
    </row>
    <row r="15708" spans="1:100">
      <c r="A15708" s="374"/>
      <c r="C15708" s="374"/>
      <c r="CV15708" s="376"/>
    </row>
    <row r="15709" spans="1:100">
      <c r="A15709" s="374"/>
      <c r="C15709" s="374"/>
      <c r="CV15709" s="376"/>
    </row>
    <row r="15710" spans="1:100">
      <c r="A15710" s="374"/>
      <c r="C15710" s="374"/>
      <c r="CV15710" s="376"/>
    </row>
    <row r="15711" spans="1:100">
      <c r="A15711" s="374"/>
      <c r="C15711" s="374"/>
      <c r="CV15711" s="376"/>
    </row>
    <row r="15712" spans="1:100">
      <c r="A15712" s="374"/>
      <c r="C15712" s="374"/>
      <c r="CV15712" s="376"/>
    </row>
    <row r="15713" spans="1:100">
      <c r="A15713" s="374"/>
      <c r="C15713" s="374"/>
      <c r="CV15713" s="376"/>
    </row>
    <row r="15714" spans="1:100">
      <c r="A15714" s="374"/>
      <c r="C15714" s="374"/>
      <c r="CV15714" s="376"/>
    </row>
    <row r="15715" spans="1:100">
      <c r="A15715" s="374"/>
      <c r="C15715" s="374"/>
      <c r="CV15715" s="376"/>
    </row>
    <row r="15716" spans="1:100">
      <c r="A15716" s="374"/>
      <c r="C15716" s="374"/>
      <c r="CV15716" s="376"/>
    </row>
    <row r="15717" spans="1:100">
      <c r="A15717" s="374"/>
      <c r="C15717" s="374"/>
      <c r="CV15717" s="376"/>
    </row>
    <row r="15718" spans="1:100">
      <c r="A15718" s="374"/>
      <c r="C15718" s="374"/>
      <c r="CV15718" s="376"/>
    </row>
    <row r="15719" spans="1:100">
      <c r="A15719" s="374"/>
      <c r="C15719" s="374"/>
      <c r="CV15719" s="376"/>
    </row>
    <row r="15720" spans="1:100">
      <c r="A15720" s="374"/>
      <c r="C15720" s="374"/>
      <c r="CV15720" s="376"/>
    </row>
    <row r="15721" spans="1:100">
      <c r="A15721" s="374"/>
      <c r="C15721" s="374"/>
      <c r="CV15721" s="376"/>
    </row>
    <row r="15722" spans="1:100">
      <c r="A15722" s="374"/>
      <c r="C15722" s="374"/>
      <c r="CV15722" s="376"/>
    </row>
    <row r="15723" spans="1:100">
      <c r="A15723" s="374"/>
      <c r="C15723" s="374"/>
      <c r="CV15723" s="376"/>
    </row>
    <row r="15724" spans="1:100">
      <c r="A15724" s="374"/>
      <c r="C15724" s="374"/>
      <c r="CV15724" s="376"/>
    </row>
    <row r="15725" spans="1:100">
      <c r="A15725" s="374"/>
      <c r="C15725" s="374"/>
      <c r="CV15725" s="376"/>
    </row>
    <row r="15726" spans="1:100">
      <c r="A15726" s="374"/>
      <c r="C15726" s="374"/>
      <c r="CV15726" s="376"/>
    </row>
    <row r="15727" spans="1:100">
      <c r="A15727" s="374"/>
      <c r="C15727" s="374"/>
      <c r="CV15727" s="376"/>
    </row>
    <row r="15728" spans="1:100">
      <c r="A15728" s="374"/>
      <c r="C15728" s="374"/>
      <c r="CV15728" s="376"/>
    </row>
    <row r="15729" spans="1:100">
      <c r="A15729" s="374"/>
      <c r="C15729" s="374"/>
      <c r="CV15729" s="376"/>
    </row>
    <row r="15730" spans="1:100">
      <c r="A15730" s="374"/>
      <c r="C15730" s="374"/>
      <c r="CV15730" s="376"/>
    </row>
    <row r="15731" spans="1:100">
      <c r="A15731" s="374"/>
      <c r="C15731" s="374"/>
      <c r="CV15731" s="376"/>
    </row>
    <row r="15732" spans="1:100">
      <c r="A15732" s="374"/>
      <c r="C15732" s="374"/>
      <c r="CV15732" s="376"/>
    </row>
    <row r="15733" spans="1:100">
      <c r="A15733" s="374"/>
      <c r="C15733" s="374"/>
      <c r="CV15733" s="376"/>
    </row>
    <row r="15734" spans="1:100">
      <c r="A15734" s="374"/>
      <c r="C15734" s="374"/>
      <c r="CV15734" s="376"/>
    </row>
    <row r="15735" spans="1:100">
      <c r="A15735" s="374"/>
      <c r="C15735" s="374"/>
      <c r="CV15735" s="376"/>
    </row>
    <row r="15736" spans="1:100">
      <c r="A15736" s="374"/>
      <c r="C15736" s="374"/>
      <c r="CV15736" s="376"/>
    </row>
    <row r="15737" spans="1:100">
      <c r="A15737" s="374"/>
      <c r="C15737" s="374"/>
      <c r="CV15737" s="376"/>
    </row>
    <row r="15738" spans="1:100">
      <c r="A15738" s="374"/>
      <c r="C15738" s="374"/>
      <c r="CV15738" s="376"/>
    </row>
    <row r="15739" spans="1:100">
      <c r="A15739" s="374"/>
      <c r="C15739" s="374"/>
      <c r="CV15739" s="376"/>
    </row>
    <row r="15740" spans="1:100">
      <c r="A15740" s="374"/>
      <c r="C15740" s="374"/>
      <c r="CV15740" s="376"/>
    </row>
    <row r="15741" spans="1:100">
      <c r="A15741" s="374"/>
      <c r="C15741" s="374"/>
      <c r="CV15741" s="376"/>
    </row>
    <row r="15742" spans="1:100">
      <c r="A15742" s="374"/>
      <c r="C15742" s="374"/>
      <c r="CV15742" s="376"/>
    </row>
    <row r="15743" spans="1:100">
      <c r="A15743" s="374"/>
      <c r="C15743" s="374"/>
      <c r="CV15743" s="376"/>
    </row>
    <row r="15744" spans="1:100">
      <c r="A15744" s="374"/>
      <c r="C15744" s="374"/>
      <c r="CV15744" s="376"/>
    </row>
    <row r="15745" spans="1:100">
      <c r="A15745" s="374"/>
      <c r="C15745" s="374"/>
      <c r="CV15745" s="376"/>
    </row>
    <row r="15746" spans="1:100">
      <c r="A15746" s="374"/>
      <c r="C15746" s="374"/>
      <c r="CV15746" s="376"/>
    </row>
    <row r="15747" spans="1:100">
      <c r="A15747" s="374"/>
      <c r="C15747" s="374"/>
      <c r="CV15747" s="376"/>
    </row>
    <row r="15748" spans="1:100">
      <c r="A15748" s="374"/>
      <c r="C15748" s="374"/>
      <c r="CV15748" s="376"/>
    </row>
    <row r="15749" spans="1:100">
      <c r="A15749" s="374"/>
      <c r="C15749" s="374"/>
      <c r="CV15749" s="376"/>
    </row>
    <row r="15750" spans="1:100">
      <c r="A15750" s="374"/>
      <c r="C15750" s="374"/>
      <c r="CV15750" s="376"/>
    </row>
    <row r="15751" spans="1:100">
      <c r="A15751" s="374"/>
      <c r="C15751" s="374"/>
      <c r="CV15751" s="376"/>
    </row>
    <row r="15752" spans="1:100">
      <c r="A15752" s="374"/>
      <c r="C15752" s="374"/>
      <c r="CV15752" s="376"/>
    </row>
    <row r="15753" spans="1:100">
      <c r="A15753" s="374"/>
      <c r="C15753" s="374"/>
      <c r="CV15753" s="376"/>
    </row>
    <row r="15754" spans="1:100">
      <c r="A15754" s="374"/>
      <c r="C15754" s="374"/>
      <c r="CV15754" s="376"/>
    </row>
    <row r="15755" spans="1:100">
      <c r="A15755" s="374"/>
      <c r="C15755" s="374"/>
      <c r="CV15755" s="376"/>
    </row>
    <row r="15756" spans="1:100">
      <c r="A15756" s="374"/>
      <c r="C15756" s="374"/>
      <c r="CV15756" s="376"/>
    </row>
    <row r="15757" spans="1:100">
      <c r="A15757" s="374"/>
      <c r="C15757" s="374"/>
      <c r="CV15757" s="376"/>
    </row>
    <row r="15758" spans="1:100">
      <c r="A15758" s="374"/>
      <c r="C15758" s="374"/>
      <c r="CV15758" s="376"/>
    </row>
    <row r="15759" spans="1:100">
      <c r="A15759" s="374"/>
      <c r="C15759" s="374"/>
      <c r="CV15759" s="376"/>
    </row>
    <row r="15760" spans="1:100">
      <c r="A15760" s="374"/>
      <c r="C15760" s="374"/>
      <c r="CV15760" s="376"/>
    </row>
    <row r="15761" spans="1:100">
      <c r="A15761" s="374"/>
      <c r="C15761" s="374"/>
      <c r="CV15761" s="376"/>
    </row>
    <row r="15762" spans="1:100">
      <c r="A15762" s="374"/>
      <c r="C15762" s="374"/>
      <c r="CV15762" s="376"/>
    </row>
    <row r="15763" spans="1:100">
      <c r="A15763" s="374"/>
      <c r="C15763" s="374"/>
      <c r="CV15763" s="376"/>
    </row>
    <row r="15764" spans="1:100">
      <c r="A15764" s="374"/>
      <c r="C15764" s="374"/>
      <c r="CV15764" s="376"/>
    </row>
    <row r="15765" spans="1:100">
      <c r="A15765" s="374"/>
      <c r="C15765" s="374"/>
      <c r="CV15765" s="376"/>
    </row>
    <row r="15766" spans="1:100">
      <c r="A15766" s="374"/>
      <c r="C15766" s="374"/>
      <c r="CV15766" s="376"/>
    </row>
    <row r="15767" spans="1:100">
      <c r="A15767" s="374"/>
      <c r="C15767" s="374"/>
      <c r="CV15767" s="376"/>
    </row>
    <row r="15768" spans="1:100">
      <c r="A15768" s="374"/>
      <c r="C15768" s="374"/>
      <c r="CV15768" s="376"/>
    </row>
    <row r="15769" spans="1:100">
      <c r="A15769" s="374"/>
      <c r="C15769" s="374"/>
      <c r="CV15769" s="376"/>
    </row>
    <row r="15770" spans="1:100">
      <c r="A15770" s="374"/>
      <c r="C15770" s="374"/>
      <c r="CV15770" s="376"/>
    </row>
    <row r="15771" spans="1:100">
      <c r="A15771" s="374"/>
      <c r="C15771" s="374"/>
      <c r="CV15771" s="376"/>
    </row>
    <row r="15772" spans="1:100">
      <c r="A15772" s="374"/>
      <c r="C15772" s="374"/>
      <c r="CV15772" s="376"/>
    </row>
    <row r="15773" spans="1:100">
      <c r="A15773" s="374"/>
      <c r="C15773" s="374"/>
      <c r="CV15773" s="376"/>
    </row>
    <row r="15774" spans="1:100">
      <c r="A15774" s="374"/>
      <c r="C15774" s="374"/>
      <c r="CV15774" s="376"/>
    </row>
    <row r="15775" spans="1:100">
      <c r="A15775" s="374"/>
      <c r="C15775" s="374"/>
      <c r="CV15775" s="376"/>
    </row>
    <row r="15776" spans="1:100">
      <c r="A15776" s="374"/>
      <c r="C15776" s="374"/>
      <c r="CV15776" s="376"/>
    </row>
    <row r="15777" spans="1:100">
      <c r="A15777" s="374"/>
      <c r="C15777" s="374"/>
      <c r="CV15777" s="376"/>
    </row>
    <row r="15778" spans="1:100">
      <c r="A15778" s="374"/>
      <c r="C15778" s="374"/>
      <c r="CV15778" s="376"/>
    </row>
    <row r="15779" spans="1:100">
      <c r="A15779" s="374"/>
      <c r="C15779" s="374"/>
      <c r="CV15779" s="376"/>
    </row>
    <row r="15780" spans="1:100">
      <c r="A15780" s="374"/>
      <c r="C15780" s="374"/>
      <c r="CV15780" s="376"/>
    </row>
    <row r="15781" spans="1:100">
      <c r="A15781" s="374"/>
      <c r="C15781" s="374"/>
      <c r="CV15781" s="376"/>
    </row>
    <row r="15782" spans="1:100">
      <c r="A15782" s="374"/>
      <c r="C15782" s="374"/>
      <c r="CV15782" s="376"/>
    </row>
    <row r="15783" spans="1:100">
      <c r="A15783" s="374"/>
      <c r="C15783" s="374"/>
      <c r="CV15783" s="376"/>
    </row>
    <row r="15784" spans="1:100">
      <c r="A15784" s="374"/>
      <c r="C15784" s="374"/>
      <c r="CV15784" s="376"/>
    </row>
    <row r="15785" spans="1:100">
      <c r="A15785" s="374"/>
      <c r="C15785" s="374"/>
      <c r="CV15785" s="376"/>
    </row>
    <row r="15786" spans="1:100">
      <c r="A15786" s="374"/>
      <c r="C15786" s="374"/>
      <c r="CV15786" s="376"/>
    </row>
    <row r="15787" spans="1:100">
      <c r="A15787" s="374"/>
      <c r="C15787" s="374"/>
      <c r="CV15787" s="376"/>
    </row>
    <row r="15788" spans="1:100">
      <c r="A15788" s="374"/>
      <c r="C15788" s="374"/>
      <c r="CV15788" s="376"/>
    </row>
    <row r="15789" spans="1:100">
      <c r="A15789" s="374"/>
      <c r="C15789" s="374"/>
      <c r="CV15789" s="376"/>
    </row>
    <row r="15790" spans="1:100">
      <c r="A15790" s="374"/>
      <c r="C15790" s="374"/>
      <c r="CV15790" s="376"/>
    </row>
    <row r="15791" spans="1:100">
      <c r="A15791" s="374"/>
      <c r="C15791" s="374"/>
      <c r="CV15791" s="376"/>
    </row>
    <row r="15792" spans="1:100">
      <c r="A15792" s="374"/>
      <c r="C15792" s="374"/>
      <c r="CV15792" s="376"/>
    </row>
    <row r="15793" spans="1:100">
      <c r="A15793" s="374"/>
      <c r="C15793" s="374"/>
      <c r="CV15793" s="376"/>
    </row>
    <row r="15794" spans="1:100">
      <c r="A15794" s="374"/>
      <c r="C15794" s="374"/>
      <c r="CV15794" s="376"/>
    </row>
    <row r="15795" spans="1:100">
      <c r="A15795" s="374"/>
      <c r="C15795" s="374"/>
      <c r="CV15795" s="376"/>
    </row>
    <row r="15796" spans="1:100">
      <c r="A15796" s="374"/>
      <c r="C15796" s="374"/>
      <c r="CV15796" s="376"/>
    </row>
    <row r="15797" spans="1:100">
      <c r="A15797" s="374"/>
      <c r="C15797" s="374"/>
      <c r="CV15797" s="376"/>
    </row>
    <row r="15798" spans="1:100">
      <c r="A15798" s="374"/>
      <c r="C15798" s="374"/>
      <c r="CV15798" s="376"/>
    </row>
    <row r="15799" spans="1:100">
      <c r="A15799" s="374"/>
      <c r="C15799" s="374"/>
      <c r="CV15799" s="376"/>
    </row>
    <row r="15800" spans="1:100">
      <c r="A15800" s="374"/>
      <c r="C15800" s="374"/>
      <c r="CV15800" s="376"/>
    </row>
    <row r="15801" spans="1:100">
      <c r="A15801" s="374"/>
      <c r="C15801" s="374"/>
      <c r="CV15801" s="376"/>
    </row>
    <row r="15802" spans="1:100">
      <c r="A15802" s="374"/>
      <c r="C15802" s="374"/>
      <c r="CV15802" s="376"/>
    </row>
    <row r="15803" spans="1:100">
      <c r="A15803" s="374"/>
      <c r="C15803" s="374"/>
      <c r="CV15803" s="376"/>
    </row>
    <row r="15804" spans="1:100">
      <c r="A15804" s="374"/>
      <c r="C15804" s="374"/>
      <c r="CV15804" s="376"/>
    </row>
    <row r="15805" spans="1:100">
      <c r="A15805" s="374"/>
      <c r="C15805" s="374"/>
      <c r="CV15805" s="376"/>
    </row>
    <row r="15806" spans="1:100">
      <c r="A15806" s="374"/>
      <c r="C15806" s="374"/>
      <c r="CV15806" s="376"/>
    </row>
    <row r="15807" spans="1:100">
      <c r="A15807" s="374"/>
      <c r="C15807" s="374"/>
      <c r="CV15807" s="376"/>
    </row>
    <row r="15808" spans="1:100">
      <c r="A15808" s="374"/>
      <c r="C15808" s="374"/>
      <c r="CV15808" s="376"/>
    </row>
    <row r="15809" spans="1:100">
      <c r="A15809" s="374"/>
      <c r="C15809" s="374"/>
      <c r="CV15809" s="376"/>
    </row>
    <row r="15810" spans="1:100">
      <c r="A15810" s="374"/>
      <c r="C15810" s="374"/>
      <c r="CV15810" s="376"/>
    </row>
    <row r="15811" spans="1:100">
      <c r="A15811" s="374"/>
      <c r="C15811" s="374"/>
      <c r="CV15811" s="376"/>
    </row>
    <row r="15812" spans="1:100">
      <c r="A15812" s="374"/>
      <c r="C15812" s="374"/>
      <c r="CV15812" s="376"/>
    </row>
    <row r="15813" spans="1:100">
      <c r="A15813" s="374"/>
      <c r="C15813" s="374"/>
      <c r="CV15813" s="376"/>
    </row>
    <row r="15814" spans="1:100">
      <c r="A15814" s="374"/>
      <c r="C15814" s="374"/>
      <c r="CV15814" s="376"/>
    </row>
    <row r="15815" spans="1:100">
      <c r="A15815" s="374"/>
      <c r="C15815" s="374"/>
      <c r="CV15815" s="376"/>
    </row>
    <row r="15816" spans="1:100">
      <c r="A15816" s="374"/>
      <c r="C15816" s="374"/>
      <c r="CV15816" s="376"/>
    </row>
    <row r="15817" spans="1:100">
      <c r="A15817" s="374"/>
      <c r="C15817" s="374"/>
      <c r="CV15817" s="376"/>
    </row>
    <row r="15818" spans="1:100">
      <c r="A15818" s="374"/>
      <c r="C15818" s="374"/>
      <c r="CV15818" s="376"/>
    </row>
    <row r="15819" spans="1:100">
      <c r="A15819" s="374"/>
      <c r="C15819" s="374"/>
      <c r="CV15819" s="376"/>
    </row>
    <row r="15820" spans="1:100">
      <c r="A15820" s="374"/>
      <c r="C15820" s="374"/>
      <c r="CV15820" s="376"/>
    </row>
    <row r="15821" spans="1:100">
      <c r="A15821" s="374"/>
      <c r="C15821" s="374"/>
      <c r="CV15821" s="376"/>
    </row>
    <row r="15822" spans="1:100">
      <c r="A15822" s="374"/>
      <c r="C15822" s="374"/>
      <c r="CV15822" s="376"/>
    </row>
    <row r="15823" spans="1:100">
      <c r="A15823" s="374"/>
      <c r="C15823" s="374"/>
      <c r="CV15823" s="376"/>
    </row>
    <row r="15824" spans="1:100">
      <c r="A15824" s="374"/>
      <c r="C15824" s="374"/>
      <c r="CV15824" s="376"/>
    </row>
    <row r="15825" spans="1:100">
      <c r="A15825" s="374"/>
      <c r="C15825" s="374"/>
      <c r="CV15825" s="376"/>
    </row>
    <row r="15826" spans="1:100">
      <c r="A15826" s="374"/>
      <c r="C15826" s="374"/>
      <c r="CV15826" s="376"/>
    </row>
    <row r="15827" spans="1:100">
      <c r="A15827" s="374"/>
      <c r="C15827" s="374"/>
      <c r="CV15827" s="376"/>
    </row>
    <row r="15828" spans="1:100">
      <c r="A15828" s="374"/>
      <c r="C15828" s="374"/>
      <c r="CV15828" s="376"/>
    </row>
    <row r="15829" spans="1:100">
      <c r="A15829" s="374"/>
      <c r="C15829" s="374"/>
      <c r="CV15829" s="376"/>
    </row>
    <row r="15830" spans="1:100">
      <c r="A15830" s="374"/>
      <c r="C15830" s="374"/>
      <c r="CV15830" s="376"/>
    </row>
    <row r="15831" spans="1:100">
      <c r="A15831" s="374"/>
      <c r="C15831" s="374"/>
      <c r="CV15831" s="376"/>
    </row>
    <row r="15832" spans="1:100">
      <c r="A15832" s="374"/>
      <c r="C15832" s="374"/>
      <c r="CV15832" s="376"/>
    </row>
    <row r="15833" spans="1:100">
      <c r="A15833" s="374"/>
      <c r="C15833" s="374"/>
      <c r="CV15833" s="376"/>
    </row>
    <row r="15834" spans="1:100">
      <c r="A15834" s="374"/>
      <c r="C15834" s="374"/>
      <c r="CV15834" s="376"/>
    </row>
    <row r="15835" spans="1:100">
      <c r="A15835" s="374"/>
      <c r="C15835" s="374"/>
      <c r="CV15835" s="376"/>
    </row>
    <row r="15836" spans="1:100">
      <c r="A15836" s="374"/>
      <c r="C15836" s="374"/>
      <c r="CV15836" s="376"/>
    </row>
    <row r="15837" spans="1:100">
      <c r="A15837" s="374"/>
      <c r="C15837" s="374"/>
      <c r="CV15837" s="376"/>
    </row>
    <row r="15838" spans="1:100">
      <c r="A15838" s="374"/>
      <c r="C15838" s="374"/>
      <c r="CV15838" s="376"/>
    </row>
    <row r="15839" spans="1:100">
      <c r="A15839" s="374"/>
      <c r="C15839" s="374"/>
      <c r="CV15839" s="376"/>
    </row>
    <row r="15840" spans="1:100">
      <c r="A15840" s="374"/>
      <c r="C15840" s="374"/>
      <c r="CV15840" s="376"/>
    </row>
    <row r="15841" spans="1:100">
      <c r="A15841" s="374"/>
      <c r="C15841" s="374"/>
      <c r="CV15841" s="376"/>
    </row>
    <row r="15842" spans="1:100">
      <c r="A15842" s="374"/>
      <c r="C15842" s="374"/>
      <c r="CV15842" s="376"/>
    </row>
    <row r="15843" spans="1:100">
      <c r="A15843" s="374"/>
      <c r="C15843" s="374"/>
      <c r="CV15843" s="376"/>
    </row>
    <row r="15844" spans="1:100">
      <c r="A15844" s="374"/>
      <c r="C15844" s="374"/>
      <c r="CV15844" s="376"/>
    </row>
    <row r="15845" spans="1:100">
      <c r="A15845" s="374"/>
      <c r="C15845" s="374"/>
      <c r="CV15845" s="376"/>
    </row>
    <row r="15846" spans="1:100">
      <c r="A15846" s="374"/>
      <c r="C15846" s="374"/>
      <c r="CV15846" s="376"/>
    </row>
    <row r="15847" spans="1:100">
      <c r="A15847" s="374"/>
      <c r="C15847" s="374"/>
      <c r="CV15847" s="376"/>
    </row>
    <row r="15848" spans="1:100">
      <c r="A15848" s="374"/>
      <c r="C15848" s="374"/>
      <c r="CV15848" s="376"/>
    </row>
    <row r="15849" spans="1:100">
      <c r="A15849" s="374"/>
      <c r="C15849" s="374"/>
      <c r="CV15849" s="376"/>
    </row>
    <row r="15850" spans="1:100">
      <c r="A15850" s="374"/>
      <c r="C15850" s="374"/>
      <c r="CV15850" s="376"/>
    </row>
    <row r="15851" spans="1:100">
      <c r="A15851" s="374"/>
      <c r="C15851" s="374"/>
      <c r="CV15851" s="376"/>
    </row>
    <row r="15852" spans="1:100">
      <c r="A15852" s="374"/>
      <c r="C15852" s="374"/>
      <c r="CV15852" s="376"/>
    </row>
    <row r="15853" spans="1:100">
      <c r="A15853" s="374"/>
      <c r="C15853" s="374"/>
      <c r="CV15853" s="376"/>
    </row>
    <row r="15854" spans="1:100">
      <c r="A15854" s="374"/>
      <c r="C15854" s="374"/>
      <c r="CV15854" s="376"/>
    </row>
    <row r="15855" spans="1:100">
      <c r="A15855" s="374"/>
      <c r="C15855" s="374"/>
      <c r="CV15855" s="376"/>
    </row>
    <row r="15856" spans="1:100">
      <c r="A15856" s="374"/>
      <c r="C15856" s="374"/>
      <c r="CV15856" s="376"/>
    </row>
    <row r="15857" spans="1:100">
      <c r="A15857" s="374"/>
      <c r="C15857" s="374"/>
      <c r="CV15857" s="376"/>
    </row>
    <row r="15858" spans="1:100">
      <c r="A15858" s="374"/>
      <c r="C15858" s="374"/>
      <c r="CV15858" s="376"/>
    </row>
    <row r="15859" spans="1:100">
      <c r="A15859" s="374"/>
      <c r="C15859" s="374"/>
      <c r="CV15859" s="376"/>
    </row>
    <row r="15860" spans="1:100">
      <c r="A15860" s="374"/>
      <c r="C15860" s="374"/>
      <c r="CV15860" s="376"/>
    </row>
    <row r="15861" spans="1:100">
      <c r="A15861" s="374"/>
      <c r="C15861" s="374"/>
      <c r="CV15861" s="376"/>
    </row>
    <row r="15862" spans="1:100">
      <c r="A15862" s="374"/>
      <c r="C15862" s="374"/>
      <c r="CV15862" s="376"/>
    </row>
    <row r="15863" spans="1:100">
      <c r="A15863" s="374"/>
      <c r="C15863" s="374"/>
      <c r="CV15863" s="376"/>
    </row>
    <row r="15864" spans="1:100">
      <c r="A15864" s="374"/>
      <c r="C15864" s="374"/>
      <c r="CV15864" s="376"/>
    </row>
    <row r="15865" spans="1:100">
      <c r="A15865" s="374"/>
      <c r="C15865" s="374"/>
      <c r="CV15865" s="376"/>
    </row>
    <row r="15866" spans="1:100">
      <c r="A15866" s="374"/>
      <c r="C15866" s="374"/>
      <c r="CV15866" s="376"/>
    </row>
    <row r="15867" spans="1:100">
      <c r="A15867" s="374"/>
      <c r="C15867" s="374"/>
      <c r="CV15867" s="376"/>
    </row>
    <row r="15868" spans="1:100">
      <c r="A15868" s="374"/>
      <c r="C15868" s="374"/>
      <c r="CV15868" s="376"/>
    </row>
    <row r="15869" spans="1:100">
      <c r="A15869" s="374"/>
      <c r="C15869" s="374"/>
      <c r="CV15869" s="376"/>
    </row>
    <row r="15870" spans="1:100">
      <c r="A15870" s="374"/>
      <c r="C15870" s="374"/>
      <c r="CV15870" s="376"/>
    </row>
    <row r="15871" spans="1:100">
      <c r="A15871" s="374"/>
      <c r="C15871" s="374"/>
      <c r="CV15871" s="376"/>
    </row>
    <row r="15872" spans="1:100">
      <c r="A15872" s="374"/>
      <c r="C15872" s="374"/>
      <c r="CV15872" s="376"/>
    </row>
    <row r="15873" spans="1:100">
      <c r="A15873" s="374"/>
      <c r="C15873" s="374"/>
      <c r="CV15873" s="376"/>
    </row>
    <row r="15874" spans="1:100">
      <c r="A15874" s="374"/>
      <c r="C15874" s="374"/>
      <c r="CV15874" s="376"/>
    </row>
    <row r="15875" spans="1:100">
      <c r="A15875" s="374"/>
      <c r="C15875" s="374"/>
      <c r="CV15875" s="376"/>
    </row>
    <row r="15876" spans="1:100">
      <c r="A15876" s="374"/>
      <c r="C15876" s="374"/>
      <c r="CV15876" s="376"/>
    </row>
    <row r="15877" spans="1:100">
      <c r="A15877" s="374"/>
      <c r="C15877" s="374"/>
      <c r="CV15877" s="376"/>
    </row>
    <row r="15878" spans="1:100">
      <c r="A15878" s="374"/>
      <c r="C15878" s="374"/>
      <c r="CV15878" s="376"/>
    </row>
    <row r="15879" spans="1:100">
      <c r="A15879" s="374"/>
      <c r="C15879" s="374"/>
      <c r="CV15879" s="376"/>
    </row>
    <row r="15880" spans="1:100">
      <c r="A15880" s="374"/>
      <c r="C15880" s="374"/>
      <c r="CV15880" s="376"/>
    </row>
    <row r="15881" spans="1:100">
      <c r="A15881" s="374"/>
      <c r="C15881" s="374"/>
      <c r="CV15881" s="376"/>
    </row>
    <row r="15882" spans="1:100">
      <c r="A15882" s="374"/>
      <c r="C15882" s="374"/>
      <c r="CV15882" s="376"/>
    </row>
    <row r="15883" spans="1:100">
      <c r="A15883" s="374"/>
      <c r="C15883" s="374"/>
      <c r="CV15883" s="376"/>
    </row>
    <row r="15884" spans="1:100">
      <c r="A15884" s="374"/>
      <c r="C15884" s="374"/>
      <c r="CV15884" s="376"/>
    </row>
    <row r="15885" spans="1:100">
      <c r="A15885" s="374"/>
      <c r="C15885" s="374"/>
      <c r="CV15885" s="376"/>
    </row>
    <row r="15886" spans="1:100">
      <c r="A15886" s="374"/>
      <c r="C15886" s="374"/>
      <c r="CV15886" s="376"/>
    </row>
    <row r="15887" spans="1:100">
      <c r="A15887" s="374"/>
      <c r="C15887" s="374"/>
      <c r="CV15887" s="376"/>
    </row>
    <row r="15888" spans="1:100">
      <c r="A15888" s="374"/>
      <c r="C15888" s="374"/>
      <c r="CV15888" s="376"/>
    </row>
    <row r="15889" spans="1:100">
      <c r="A15889" s="374"/>
      <c r="C15889" s="374"/>
      <c r="CV15889" s="376"/>
    </row>
    <row r="15890" spans="1:100">
      <c r="A15890" s="374"/>
      <c r="C15890" s="374"/>
      <c r="CV15890" s="376"/>
    </row>
    <row r="15891" spans="1:100">
      <c r="A15891" s="374"/>
      <c r="C15891" s="374"/>
      <c r="CV15891" s="376"/>
    </row>
    <row r="15892" spans="1:100">
      <c r="A15892" s="374"/>
      <c r="C15892" s="374"/>
      <c r="CV15892" s="376"/>
    </row>
    <row r="15893" spans="1:100">
      <c r="A15893" s="374"/>
      <c r="C15893" s="374"/>
      <c r="CV15893" s="376"/>
    </row>
    <row r="15894" spans="1:100">
      <c r="A15894" s="374"/>
      <c r="C15894" s="374"/>
      <c r="CV15894" s="376"/>
    </row>
    <row r="15895" spans="1:100">
      <c r="A15895" s="374"/>
      <c r="C15895" s="374"/>
      <c r="CV15895" s="376"/>
    </row>
    <row r="15896" spans="1:100">
      <c r="A15896" s="374"/>
      <c r="C15896" s="374"/>
      <c r="CV15896" s="376"/>
    </row>
    <row r="15897" spans="1:100">
      <c r="A15897" s="374"/>
      <c r="C15897" s="374"/>
      <c r="CV15897" s="376"/>
    </row>
    <row r="15898" spans="1:100">
      <c r="A15898" s="374"/>
      <c r="C15898" s="374"/>
      <c r="CV15898" s="376"/>
    </row>
    <row r="15899" spans="1:100">
      <c r="A15899" s="374"/>
      <c r="C15899" s="374"/>
      <c r="CV15899" s="376"/>
    </row>
    <row r="15900" spans="1:100">
      <c r="A15900" s="374"/>
      <c r="C15900" s="374"/>
      <c r="CV15900" s="376"/>
    </row>
    <row r="15901" spans="1:100">
      <c r="A15901" s="374"/>
      <c r="C15901" s="374"/>
      <c r="CV15901" s="376"/>
    </row>
    <row r="15902" spans="1:100">
      <c r="A15902" s="374"/>
      <c r="C15902" s="374"/>
      <c r="CV15902" s="376"/>
    </row>
    <row r="15903" spans="1:100">
      <c r="A15903" s="374"/>
      <c r="C15903" s="374"/>
      <c r="CV15903" s="376"/>
    </row>
    <row r="15904" spans="1:100">
      <c r="A15904" s="374"/>
      <c r="C15904" s="374"/>
      <c r="CV15904" s="376"/>
    </row>
    <row r="15905" spans="1:100">
      <c r="A15905" s="374"/>
      <c r="C15905" s="374"/>
      <c r="CV15905" s="376"/>
    </row>
    <row r="15906" spans="1:100">
      <c r="A15906" s="374"/>
      <c r="C15906" s="374"/>
      <c r="CV15906" s="376"/>
    </row>
    <row r="15907" spans="1:100">
      <c r="A15907" s="374"/>
      <c r="C15907" s="374"/>
      <c r="CV15907" s="376"/>
    </row>
    <row r="15908" spans="1:100">
      <c r="A15908" s="374"/>
      <c r="C15908" s="374"/>
      <c r="CV15908" s="376"/>
    </row>
    <row r="15909" spans="1:100">
      <c r="A15909" s="374"/>
      <c r="C15909" s="374"/>
      <c r="CV15909" s="376"/>
    </row>
    <row r="15910" spans="1:100">
      <c r="A15910" s="374"/>
      <c r="C15910" s="374"/>
      <c r="CV15910" s="376"/>
    </row>
    <row r="15911" spans="1:100">
      <c r="A15911" s="374"/>
      <c r="C15911" s="374"/>
      <c r="CV15911" s="376"/>
    </row>
    <row r="15912" spans="1:100">
      <c r="A15912" s="374"/>
      <c r="C15912" s="374"/>
      <c r="CV15912" s="376"/>
    </row>
    <row r="15913" spans="1:100">
      <c r="A15913" s="374"/>
      <c r="C15913" s="374"/>
      <c r="CV15913" s="376"/>
    </row>
    <row r="15914" spans="1:100">
      <c r="A15914" s="374"/>
      <c r="C15914" s="374"/>
      <c r="CV15914" s="376"/>
    </row>
    <row r="15915" spans="1:100">
      <c r="A15915" s="374"/>
      <c r="C15915" s="374"/>
      <c r="CV15915" s="376"/>
    </row>
    <row r="15916" spans="1:100">
      <c r="A15916" s="374"/>
      <c r="C15916" s="374"/>
      <c r="CV15916" s="376"/>
    </row>
    <row r="15917" spans="1:100">
      <c r="A15917" s="374"/>
      <c r="C15917" s="374"/>
      <c r="CV15917" s="376"/>
    </row>
    <row r="15918" spans="1:100">
      <c r="A15918" s="374"/>
      <c r="C15918" s="374"/>
      <c r="CV15918" s="376"/>
    </row>
    <row r="15919" spans="1:100">
      <c r="A15919" s="374"/>
      <c r="C15919" s="374"/>
      <c r="CV15919" s="376"/>
    </row>
    <row r="15920" spans="1:100">
      <c r="A15920" s="374"/>
      <c r="C15920" s="374"/>
      <c r="CV15920" s="376"/>
    </row>
    <row r="15921" spans="1:100">
      <c r="A15921" s="374"/>
      <c r="C15921" s="374"/>
      <c r="CV15921" s="376"/>
    </row>
    <row r="15922" spans="1:100">
      <c r="A15922" s="374"/>
      <c r="C15922" s="374"/>
      <c r="CV15922" s="376"/>
    </row>
    <row r="15923" spans="1:100">
      <c r="A15923" s="374"/>
      <c r="C15923" s="374"/>
      <c r="CV15923" s="376"/>
    </row>
    <row r="15924" spans="1:100">
      <c r="A15924" s="374"/>
      <c r="C15924" s="374"/>
      <c r="CV15924" s="376"/>
    </row>
    <row r="15925" spans="1:100">
      <c r="A15925" s="374"/>
      <c r="C15925" s="374"/>
      <c r="CV15925" s="376"/>
    </row>
    <row r="15926" spans="1:100">
      <c r="A15926" s="374"/>
      <c r="C15926" s="374"/>
      <c r="CV15926" s="376"/>
    </row>
    <row r="15927" spans="1:100">
      <c r="A15927" s="374"/>
      <c r="C15927" s="374"/>
      <c r="CV15927" s="376"/>
    </row>
    <row r="15928" spans="1:100">
      <c r="A15928" s="374"/>
      <c r="C15928" s="374"/>
      <c r="CV15928" s="376"/>
    </row>
    <row r="15929" spans="1:100">
      <c r="A15929" s="374"/>
      <c r="C15929" s="374"/>
      <c r="CV15929" s="376"/>
    </row>
    <row r="15930" spans="1:100">
      <c r="A15930" s="374"/>
      <c r="C15930" s="374"/>
      <c r="CV15930" s="376"/>
    </row>
    <row r="15931" spans="1:100">
      <c r="A15931" s="374"/>
      <c r="C15931" s="374"/>
      <c r="CV15931" s="376"/>
    </row>
    <row r="15932" spans="1:100">
      <c r="A15932" s="374"/>
      <c r="C15932" s="374"/>
      <c r="CV15932" s="376"/>
    </row>
    <row r="15933" spans="1:100">
      <c r="A15933" s="374"/>
      <c r="C15933" s="374"/>
      <c r="CV15933" s="376"/>
    </row>
    <row r="15934" spans="1:100">
      <c r="A15934" s="374"/>
      <c r="C15934" s="374"/>
      <c r="CV15934" s="376"/>
    </row>
    <row r="15935" spans="1:100">
      <c r="A15935" s="374"/>
      <c r="C15935" s="374"/>
      <c r="CV15935" s="376"/>
    </row>
    <row r="15936" spans="1:100">
      <c r="A15936" s="374"/>
      <c r="C15936" s="374"/>
      <c r="CV15936" s="376"/>
    </row>
    <row r="15937" spans="1:100">
      <c r="A15937" s="374"/>
      <c r="C15937" s="374"/>
      <c r="CV15937" s="376"/>
    </row>
    <row r="15938" spans="1:100">
      <c r="A15938" s="374"/>
      <c r="C15938" s="374"/>
      <c r="CV15938" s="376"/>
    </row>
    <row r="15939" spans="1:100">
      <c r="A15939" s="374"/>
      <c r="C15939" s="374"/>
      <c r="CV15939" s="376"/>
    </row>
    <row r="15940" spans="1:100">
      <c r="A15940" s="374"/>
      <c r="C15940" s="374"/>
      <c r="CV15940" s="376"/>
    </row>
    <row r="15941" spans="1:100">
      <c r="A15941" s="374"/>
      <c r="C15941" s="374"/>
      <c r="CV15941" s="376"/>
    </row>
    <row r="15942" spans="1:100">
      <c r="A15942" s="374"/>
      <c r="C15942" s="374"/>
      <c r="CV15942" s="376"/>
    </row>
    <row r="15943" spans="1:100">
      <c r="A15943" s="374"/>
      <c r="C15943" s="374"/>
      <c r="CV15943" s="376"/>
    </row>
    <row r="15944" spans="1:100">
      <c r="A15944" s="374"/>
      <c r="C15944" s="374"/>
      <c r="CV15944" s="376"/>
    </row>
    <row r="15945" spans="1:100">
      <c r="A15945" s="374"/>
      <c r="C15945" s="374"/>
      <c r="CV15945" s="376"/>
    </row>
    <row r="15946" spans="1:100">
      <c r="A15946" s="374"/>
      <c r="C15946" s="374"/>
      <c r="CV15946" s="376"/>
    </row>
    <row r="15947" spans="1:100">
      <c r="A15947" s="374"/>
      <c r="C15947" s="374"/>
      <c r="CV15947" s="376"/>
    </row>
    <row r="15948" spans="1:100">
      <c r="A15948" s="374"/>
      <c r="C15948" s="374"/>
      <c r="CV15948" s="376"/>
    </row>
    <row r="15949" spans="1:100">
      <c r="A15949" s="374"/>
      <c r="C15949" s="374"/>
      <c r="CV15949" s="376"/>
    </row>
    <row r="15950" spans="1:100">
      <c r="A15950" s="374"/>
      <c r="C15950" s="374"/>
      <c r="CV15950" s="376"/>
    </row>
    <row r="15951" spans="1:100">
      <c r="A15951" s="374"/>
      <c r="C15951" s="374"/>
      <c r="CV15951" s="376"/>
    </row>
    <row r="15952" spans="1:100">
      <c r="A15952" s="374"/>
      <c r="C15952" s="374"/>
      <c r="CV15952" s="376"/>
    </row>
    <row r="15953" spans="1:100">
      <c r="A15953" s="374"/>
      <c r="C15953" s="374"/>
      <c r="CV15953" s="376"/>
    </row>
    <row r="15954" spans="1:100">
      <c r="A15954" s="374"/>
      <c r="C15954" s="374"/>
      <c r="CV15954" s="376"/>
    </row>
    <row r="15955" spans="1:100">
      <c r="A15955" s="374"/>
      <c r="C15955" s="374"/>
      <c r="CV15955" s="376"/>
    </row>
    <row r="15956" spans="1:100">
      <c r="A15956" s="374"/>
      <c r="C15956" s="374"/>
      <c r="CV15956" s="376"/>
    </row>
    <row r="15957" spans="1:100">
      <c r="A15957" s="374"/>
      <c r="C15957" s="374"/>
      <c r="CV15957" s="376"/>
    </row>
    <row r="15958" spans="1:100">
      <c r="A15958" s="374"/>
      <c r="C15958" s="374"/>
      <c r="CV15958" s="376"/>
    </row>
    <row r="15959" spans="1:100">
      <c r="A15959" s="374"/>
      <c r="C15959" s="374"/>
      <c r="CV15959" s="376"/>
    </row>
    <row r="15960" spans="1:100">
      <c r="A15960" s="374"/>
      <c r="C15960" s="374"/>
      <c r="CV15960" s="376"/>
    </row>
    <row r="15961" spans="1:100">
      <c r="A15961" s="374"/>
      <c r="C15961" s="374"/>
      <c r="CV15961" s="376"/>
    </row>
    <row r="15962" spans="1:100">
      <c r="A15962" s="374"/>
      <c r="C15962" s="374"/>
      <c r="CV15962" s="376"/>
    </row>
    <row r="15963" spans="1:100">
      <c r="A15963" s="374"/>
      <c r="C15963" s="374"/>
      <c r="CV15963" s="376"/>
    </row>
    <row r="15964" spans="1:100">
      <c r="A15964" s="374"/>
      <c r="C15964" s="374"/>
      <c r="CV15964" s="376"/>
    </row>
    <row r="15965" spans="1:100">
      <c r="A15965" s="374"/>
      <c r="C15965" s="374"/>
      <c r="CV15965" s="376"/>
    </row>
    <row r="15966" spans="1:100">
      <c r="A15966" s="374"/>
      <c r="C15966" s="374"/>
      <c r="CV15966" s="376"/>
    </row>
    <row r="15967" spans="1:100">
      <c r="A15967" s="374"/>
      <c r="C15967" s="374"/>
      <c r="CV15967" s="376"/>
    </row>
    <row r="15968" spans="1:100">
      <c r="A15968" s="374"/>
      <c r="C15968" s="374"/>
      <c r="CV15968" s="376"/>
    </row>
    <row r="15969" spans="1:100">
      <c r="A15969" s="374"/>
      <c r="C15969" s="374"/>
      <c r="CV15969" s="376"/>
    </row>
    <row r="15970" spans="1:100">
      <c r="A15970" s="374"/>
      <c r="C15970" s="374"/>
      <c r="CV15970" s="376"/>
    </row>
    <row r="15971" spans="1:100">
      <c r="A15971" s="374"/>
      <c r="C15971" s="374"/>
      <c r="CV15971" s="376"/>
    </row>
    <row r="15972" spans="1:100">
      <c r="A15972" s="374"/>
      <c r="C15972" s="374"/>
      <c r="CV15972" s="376"/>
    </row>
    <row r="15973" spans="1:100">
      <c r="A15973" s="374"/>
      <c r="C15973" s="374"/>
      <c r="CV15973" s="376"/>
    </row>
    <row r="15974" spans="1:100">
      <c r="A15974" s="374"/>
      <c r="C15974" s="374"/>
      <c r="CV15974" s="376"/>
    </row>
    <row r="15975" spans="1:100">
      <c r="A15975" s="374"/>
      <c r="C15975" s="374"/>
      <c r="CV15975" s="376"/>
    </row>
    <row r="15976" spans="1:100">
      <c r="A15976" s="374"/>
      <c r="C15976" s="374"/>
      <c r="CV15976" s="376"/>
    </row>
    <row r="15977" spans="1:100">
      <c r="A15977" s="374"/>
      <c r="C15977" s="374"/>
      <c r="CV15977" s="376"/>
    </row>
    <row r="15978" spans="1:100">
      <c r="A15978" s="374"/>
      <c r="C15978" s="374"/>
      <c r="CV15978" s="376"/>
    </row>
    <row r="15979" spans="1:100">
      <c r="A15979" s="374"/>
      <c r="C15979" s="374"/>
      <c r="CV15979" s="376"/>
    </row>
    <row r="15980" spans="1:100">
      <c r="A15980" s="374"/>
      <c r="C15980" s="374"/>
      <c r="CV15980" s="376"/>
    </row>
    <row r="15981" spans="1:100">
      <c r="A15981" s="374"/>
      <c r="C15981" s="374"/>
      <c r="CV15981" s="376"/>
    </row>
    <row r="15982" spans="1:100">
      <c r="A15982" s="374"/>
      <c r="C15982" s="374"/>
      <c r="CV15982" s="376"/>
    </row>
    <row r="15983" spans="1:100">
      <c r="A15983" s="374"/>
      <c r="C15983" s="374"/>
      <c r="CV15983" s="376"/>
    </row>
    <row r="15984" spans="1:100">
      <c r="A15984" s="374"/>
      <c r="C15984" s="374"/>
      <c r="CV15984" s="376"/>
    </row>
    <row r="15985" spans="1:100">
      <c r="A15985" s="374"/>
      <c r="C15985" s="374"/>
      <c r="CV15985" s="376"/>
    </row>
    <row r="15986" spans="1:100">
      <c r="A15986" s="374"/>
      <c r="C15986" s="374"/>
      <c r="CV15986" s="376"/>
    </row>
    <row r="15987" spans="1:100">
      <c r="A15987" s="374"/>
      <c r="C15987" s="374"/>
      <c r="CV15987" s="376"/>
    </row>
    <row r="15988" spans="1:100">
      <c r="A15988" s="374"/>
      <c r="C15988" s="374"/>
      <c r="CV15988" s="376"/>
    </row>
    <row r="15989" spans="1:100">
      <c r="A15989" s="374"/>
      <c r="C15989" s="374"/>
      <c r="CV15989" s="376"/>
    </row>
    <row r="15990" spans="1:100">
      <c r="A15990" s="374"/>
      <c r="C15990" s="374"/>
      <c r="CV15990" s="376"/>
    </row>
    <row r="15991" spans="1:100">
      <c r="A15991" s="374"/>
      <c r="C15991" s="374"/>
      <c r="CV15991" s="376"/>
    </row>
    <row r="15992" spans="1:100">
      <c r="A15992" s="374"/>
      <c r="C15992" s="374"/>
      <c r="CV15992" s="376"/>
    </row>
    <row r="15993" spans="1:100">
      <c r="A15993" s="374"/>
      <c r="C15993" s="374"/>
      <c r="CV15993" s="376"/>
    </row>
    <row r="15994" spans="1:100">
      <c r="A15994" s="374"/>
      <c r="C15994" s="374"/>
      <c r="CV15994" s="376"/>
    </row>
    <row r="15995" spans="1:100">
      <c r="A15995" s="374"/>
      <c r="C15995" s="374"/>
      <c r="CV15995" s="376"/>
    </row>
    <row r="15996" spans="1:100">
      <c r="A15996" s="374"/>
      <c r="C15996" s="374"/>
      <c r="CV15996" s="376"/>
    </row>
    <row r="15997" spans="1:100">
      <c r="A15997" s="374"/>
      <c r="C15997" s="374"/>
      <c r="CV15997" s="376"/>
    </row>
    <row r="15998" spans="1:100">
      <c r="A15998" s="374"/>
      <c r="C15998" s="374"/>
      <c r="CV15998" s="376"/>
    </row>
    <row r="15999" spans="1:100">
      <c r="A15999" s="374"/>
      <c r="C15999" s="374"/>
      <c r="CV15999" s="376"/>
    </row>
    <row r="16000" spans="1:100">
      <c r="A16000" s="374"/>
      <c r="C16000" s="374"/>
      <c r="CV16000" s="376"/>
    </row>
    <row r="16001" spans="1:100">
      <c r="A16001" s="374"/>
      <c r="C16001" s="374"/>
      <c r="CV16001" s="376"/>
    </row>
    <row r="16002" spans="1:100">
      <c r="A16002" s="374"/>
      <c r="C16002" s="374"/>
      <c r="CV16002" s="376"/>
    </row>
    <row r="16003" spans="1:100">
      <c r="A16003" s="374"/>
      <c r="C16003" s="374"/>
      <c r="CV16003" s="376"/>
    </row>
    <row r="16004" spans="1:100">
      <c r="A16004" s="374"/>
      <c r="C16004" s="374"/>
      <c r="CV16004" s="376"/>
    </row>
    <row r="16005" spans="1:100">
      <c r="A16005" s="374"/>
      <c r="C16005" s="374"/>
      <c r="CV16005" s="376"/>
    </row>
    <row r="16006" spans="1:100">
      <c r="A16006" s="374"/>
      <c r="C16006" s="374"/>
      <c r="CV16006" s="376"/>
    </row>
    <row r="16007" spans="1:100">
      <c r="A16007" s="374"/>
      <c r="C16007" s="374"/>
      <c r="CV16007" s="376"/>
    </row>
    <row r="16008" spans="1:100">
      <c r="A16008" s="374"/>
      <c r="C16008" s="374"/>
      <c r="CV16008" s="376"/>
    </row>
    <row r="16009" spans="1:100">
      <c r="A16009" s="374"/>
      <c r="C16009" s="374"/>
      <c r="CV16009" s="376"/>
    </row>
    <row r="16010" spans="1:100">
      <c r="A16010" s="374"/>
      <c r="C16010" s="374"/>
      <c r="CV16010" s="376"/>
    </row>
    <row r="16011" spans="1:100">
      <c r="A16011" s="374"/>
      <c r="C16011" s="374"/>
      <c r="CV16011" s="376"/>
    </row>
    <row r="16012" spans="1:100">
      <c r="A16012" s="374"/>
      <c r="C16012" s="374"/>
      <c r="CV16012" s="376"/>
    </row>
    <row r="16013" spans="1:100">
      <c r="A16013" s="374"/>
      <c r="C16013" s="374"/>
      <c r="CV16013" s="376"/>
    </row>
    <row r="16014" spans="1:100">
      <c r="A16014" s="374"/>
      <c r="C16014" s="374"/>
      <c r="CV16014" s="376"/>
    </row>
    <row r="16015" spans="1:100">
      <c r="A16015" s="374"/>
      <c r="C16015" s="374"/>
      <c r="CV16015" s="376"/>
    </row>
    <row r="16016" spans="1:100">
      <c r="A16016" s="374"/>
      <c r="C16016" s="374"/>
      <c r="CV16016" s="376"/>
    </row>
    <row r="16017" spans="1:100">
      <c r="A16017" s="374"/>
      <c r="C16017" s="374"/>
      <c r="CV16017" s="376"/>
    </row>
    <row r="16018" spans="1:100">
      <c r="A16018" s="374"/>
      <c r="C16018" s="374"/>
      <c r="CV16018" s="376"/>
    </row>
    <row r="16019" spans="1:100">
      <c r="A16019" s="374"/>
      <c r="C16019" s="374"/>
      <c r="CV16019" s="376"/>
    </row>
    <row r="16020" spans="1:100">
      <c r="A16020" s="374"/>
      <c r="C16020" s="374"/>
      <c r="CV16020" s="376"/>
    </row>
    <row r="16021" spans="1:100">
      <c r="A16021" s="374"/>
      <c r="C16021" s="374"/>
      <c r="CV16021" s="376"/>
    </row>
    <row r="16022" spans="1:100">
      <c r="A16022" s="374"/>
      <c r="C16022" s="374"/>
      <c r="CV16022" s="376"/>
    </row>
    <row r="16023" spans="1:100">
      <c r="A16023" s="374"/>
      <c r="C16023" s="374"/>
      <c r="CV16023" s="376"/>
    </row>
    <row r="16024" spans="1:100">
      <c r="A16024" s="374"/>
      <c r="C16024" s="374"/>
      <c r="CV16024" s="376"/>
    </row>
    <row r="16025" spans="1:100">
      <c r="A16025" s="374"/>
      <c r="C16025" s="374"/>
      <c r="CV16025" s="376"/>
    </row>
    <row r="16026" spans="1:100">
      <c r="A16026" s="374"/>
      <c r="C16026" s="374"/>
      <c r="CV16026" s="376"/>
    </row>
    <row r="16027" spans="1:100">
      <c r="A16027" s="374"/>
      <c r="C16027" s="374"/>
      <c r="CV16027" s="376"/>
    </row>
    <row r="16028" spans="1:100">
      <c r="A16028" s="374"/>
      <c r="C16028" s="374"/>
      <c r="CV16028" s="376"/>
    </row>
    <row r="16029" spans="1:100">
      <c r="A16029" s="374"/>
      <c r="C16029" s="374"/>
      <c r="CV16029" s="376"/>
    </row>
    <row r="16030" spans="1:100">
      <c r="A16030" s="374"/>
      <c r="C16030" s="374"/>
      <c r="CV16030" s="376"/>
    </row>
    <row r="16031" spans="1:100">
      <c r="A16031" s="374"/>
      <c r="C16031" s="374"/>
      <c r="CV16031" s="376"/>
    </row>
    <row r="16032" spans="1:100">
      <c r="A16032" s="374"/>
      <c r="C16032" s="374"/>
      <c r="CV16032" s="376"/>
    </row>
    <row r="16033" spans="1:100">
      <c r="A16033" s="374"/>
      <c r="C16033" s="374"/>
      <c r="CV16033" s="376"/>
    </row>
    <row r="16034" spans="1:100">
      <c r="A16034" s="374"/>
      <c r="C16034" s="374"/>
      <c r="CV16034" s="376"/>
    </row>
    <row r="16035" spans="1:100">
      <c r="A16035" s="374"/>
      <c r="C16035" s="374"/>
      <c r="CV16035" s="376"/>
    </row>
    <row r="16036" spans="1:100">
      <c r="A16036" s="374"/>
      <c r="C16036" s="374"/>
      <c r="CV16036" s="376"/>
    </row>
    <row r="16037" spans="1:100">
      <c r="A16037" s="374"/>
      <c r="C16037" s="374"/>
      <c r="CV16037" s="376"/>
    </row>
    <row r="16038" spans="1:100">
      <c r="A16038" s="374"/>
      <c r="C16038" s="374"/>
      <c r="CV16038" s="376"/>
    </row>
    <row r="16039" spans="1:100">
      <c r="A16039" s="374"/>
      <c r="C16039" s="374"/>
      <c r="CV16039" s="376"/>
    </row>
    <row r="16040" spans="1:100">
      <c r="A16040" s="374"/>
      <c r="C16040" s="374"/>
      <c r="CV16040" s="376"/>
    </row>
    <row r="16041" spans="1:100">
      <c r="A16041" s="374"/>
      <c r="C16041" s="374"/>
      <c r="CV16041" s="376"/>
    </row>
    <row r="16042" spans="1:100">
      <c r="A16042" s="374"/>
      <c r="C16042" s="374"/>
      <c r="CV16042" s="376"/>
    </row>
    <row r="16043" spans="1:100">
      <c r="A16043" s="374"/>
      <c r="C16043" s="374"/>
      <c r="CV16043" s="376"/>
    </row>
    <row r="16044" spans="1:100">
      <c r="A16044" s="374"/>
      <c r="C16044" s="374"/>
      <c r="CV16044" s="376"/>
    </row>
    <row r="16045" spans="1:100">
      <c r="A16045" s="374"/>
      <c r="C16045" s="374"/>
      <c r="CV16045" s="376"/>
    </row>
    <row r="16046" spans="1:100">
      <c r="A16046" s="374"/>
      <c r="C16046" s="374"/>
      <c r="CV16046" s="376"/>
    </row>
    <row r="16047" spans="1:100">
      <c r="A16047" s="374"/>
      <c r="C16047" s="374"/>
      <c r="CV16047" s="376"/>
    </row>
    <row r="16048" spans="1:100">
      <c r="A16048" s="374"/>
      <c r="C16048" s="374"/>
      <c r="CV16048" s="376"/>
    </row>
    <row r="16049" spans="1:100">
      <c r="A16049" s="374"/>
      <c r="C16049" s="374"/>
      <c r="CV16049" s="376"/>
    </row>
    <row r="16050" spans="1:100">
      <c r="A16050" s="374"/>
      <c r="C16050" s="374"/>
      <c r="CV16050" s="376"/>
    </row>
    <row r="16051" spans="1:100">
      <c r="A16051" s="374"/>
      <c r="C16051" s="374"/>
      <c r="CV16051" s="376"/>
    </row>
    <row r="16052" spans="1:100">
      <c r="A16052" s="374"/>
      <c r="C16052" s="374"/>
      <c r="CV16052" s="376"/>
    </row>
    <row r="16053" spans="1:100">
      <c r="A16053" s="374"/>
      <c r="C16053" s="374"/>
      <c r="CV16053" s="376"/>
    </row>
    <row r="16054" spans="1:100">
      <c r="A16054" s="374"/>
      <c r="C16054" s="374"/>
      <c r="CV16054" s="376"/>
    </row>
    <row r="16055" spans="1:100">
      <c r="A16055" s="374"/>
      <c r="C16055" s="374"/>
      <c r="CV16055" s="376"/>
    </row>
    <row r="16056" spans="1:100">
      <c r="A16056" s="374"/>
      <c r="C16056" s="374"/>
      <c r="CV16056" s="376"/>
    </row>
    <row r="16057" spans="1:100">
      <c r="A16057" s="374"/>
      <c r="C16057" s="374"/>
      <c r="CV16057" s="376"/>
    </row>
    <row r="16058" spans="1:100">
      <c r="A16058" s="374"/>
      <c r="C16058" s="374"/>
      <c r="CV16058" s="376"/>
    </row>
    <row r="16059" spans="1:100">
      <c r="A16059" s="374"/>
      <c r="C16059" s="374"/>
      <c r="CV16059" s="376"/>
    </row>
    <row r="16060" spans="1:100">
      <c r="A16060" s="374"/>
      <c r="C16060" s="374"/>
      <c r="CV16060" s="376"/>
    </row>
    <row r="16061" spans="1:100">
      <c r="A16061" s="374"/>
      <c r="C16061" s="374"/>
      <c r="CV16061" s="376"/>
    </row>
    <row r="16062" spans="1:100">
      <c r="A16062" s="374"/>
      <c r="C16062" s="374"/>
      <c r="CV16062" s="376"/>
    </row>
    <row r="16063" spans="1:100">
      <c r="A16063" s="374"/>
      <c r="C16063" s="374"/>
      <c r="CV16063" s="376"/>
    </row>
    <row r="16064" spans="1:100">
      <c r="A16064" s="374"/>
      <c r="C16064" s="374"/>
      <c r="CV16064" s="376"/>
    </row>
    <row r="16065" spans="1:100">
      <c r="A16065" s="374"/>
      <c r="C16065" s="374"/>
      <c r="CV16065" s="376"/>
    </row>
    <row r="16066" spans="1:100">
      <c r="A16066" s="374"/>
      <c r="C16066" s="374"/>
      <c r="CV16066" s="376"/>
    </row>
    <row r="16067" spans="1:100">
      <c r="A16067" s="374"/>
      <c r="C16067" s="374"/>
      <c r="CV16067" s="376"/>
    </row>
    <row r="16068" spans="1:100">
      <c r="A16068" s="374"/>
      <c r="C16068" s="374"/>
      <c r="CV16068" s="376"/>
    </row>
    <row r="16069" spans="1:100">
      <c r="A16069" s="374"/>
      <c r="C16069" s="374"/>
      <c r="CV16069" s="376"/>
    </row>
    <row r="16070" spans="1:100">
      <c r="A16070" s="374"/>
      <c r="C16070" s="374"/>
      <c r="CV16070" s="376"/>
    </row>
    <row r="16071" spans="1:100">
      <c r="A16071" s="374"/>
      <c r="C16071" s="374"/>
      <c r="CV16071" s="376"/>
    </row>
    <row r="16072" spans="1:100">
      <c r="A16072" s="374"/>
      <c r="C16072" s="374"/>
      <c r="CV16072" s="376"/>
    </row>
    <row r="16073" spans="1:100">
      <c r="A16073" s="374"/>
      <c r="C16073" s="374"/>
      <c r="CV16073" s="376"/>
    </row>
    <row r="16074" spans="1:100">
      <c r="A16074" s="374"/>
      <c r="C16074" s="374"/>
      <c r="CV16074" s="376"/>
    </row>
    <row r="16075" spans="1:100">
      <c r="A16075" s="374"/>
      <c r="C16075" s="374"/>
      <c r="CV16075" s="376"/>
    </row>
    <row r="16076" spans="1:100">
      <c r="A16076" s="374"/>
      <c r="C16076" s="374"/>
      <c r="CV16076" s="376"/>
    </row>
    <row r="16077" spans="1:100">
      <c r="A16077" s="374"/>
      <c r="C16077" s="374"/>
      <c r="CV16077" s="376"/>
    </row>
    <row r="16078" spans="1:100">
      <c r="A16078" s="374"/>
      <c r="C16078" s="374"/>
      <c r="CV16078" s="376"/>
    </row>
    <row r="16079" spans="1:100">
      <c r="A16079" s="374"/>
      <c r="C16079" s="374"/>
      <c r="CV16079" s="376"/>
    </row>
    <row r="16080" spans="1:100">
      <c r="A16080" s="374"/>
      <c r="C16080" s="374"/>
      <c r="CV16080" s="376"/>
    </row>
    <row r="16081" spans="1:100">
      <c r="A16081" s="374"/>
      <c r="C16081" s="374"/>
      <c r="CV16081" s="376"/>
    </row>
    <row r="16082" spans="1:100">
      <c r="A16082" s="374"/>
      <c r="C16082" s="374"/>
      <c r="CV16082" s="376"/>
    </row>
    <row r="16083" spans="1:100">
      <c r="A16083" s="374"/>
      <c r="C16083" s="374"/>
      <c r="CV16083" s="376"/>
    </row>
    <row r="16084" spans="1:100">
      <c r="A16084" s="374"/>
      <c r="C16084" s="374"/>
      <c r="CV16084" s="376"/>
    </row>
    <row r="16085" spans="1:100">
      <c r="A16085" s="374"/>
      <c r="C16085" s="374"/>
      <c r="CV16085" s="376"/>
    </row>
    <row r="16086" spans="1:100">
      <c r="A16086" s="374"/>
      <c r="C16086" s="374"/>
      <c r="CV16086" s="376"/>
    </row>
    <row r="16087" spans="1:100">
      <c r="A16087" s="374"/>
      <c r="C16087" s="374"/>
      <c r="CV16087" s="376"/>
    </row>
    <row r="16088" spans="1:100">
      <c r="A16088" s="374"/>
      <c r="C16088" s="374"/>
      <c r="CV16088" s="376"/>
    </row>
    <row r="16089" spans="1:100">
      <c r="A16089" s="374"/>
      <c r="C16089" s="374"/>
      <c r="CV16089" s="376"/>
    </row>
    <row r="16090" spans="1:100">
      <c r="A16090" s="374"/>
      <c r="C16090" s="374"/>
      <c r="CV16090" s="376"/>
    </row>
    <row r="16091" spans="1:100">
      <c r="A16091" s="374"/>
      <c r="C16091" s="374"/>
      <c r="CV16091" s="376"/>
    </row>
    <row r="16092" spans="1:100">
      <c r="A16092" s="374"/>
      <c r="C16092" s="374"/>
      <c r="CV16092" s="376"/>
    </row>
    <row r="16093" spans="1:100">
      <c r="A16093" s="374"/>
      <c r="C16093" s="374"/>
      <c r="CV16093" s="376"/>
    </row>
    <row r="16094" spans="1:100">
      <c r="A16094" s="374"/>
      <c r="C16094" s="374"/>
      <c r="CV16094" s="376"/>
    </row>
    <row r="16095" spans="1:100">
      <c r="A16095" s="374"/>
      <c r="C16095" s="374"/>
      <c r="CV16095" s="376"/>
    </row>
    <row r="16096" spans="1:100">
      <c r="A16096" s="374"/>
      <c r="C16096" s="374"/>
      <c r="CV16096" s="376"/>
    </row>
    <row r="16097" spans="1:100">
      <c r="A16097" s="374"/>
      <c r="C16097" s="374"/>
      <c r="CV16097" s="376"/>
    </row>
    <row r="16098" spans="1:100">
      <c r="A16098" s="374"/>
      <c r="C16098" s="374"/>
      <c r="CV16098" s="376"/>
    </row>
    <row r="16099" spans="1:100">
      <c r="A16099" s="374"/>
      <c r="C16099" s="374"/>
      <c r="CV16099" s="376"/>
    </row>
    <row r="16100" spans="1:100">
      <c r="A16100" s="374"/>
      <c r="C16100" s="374"/>
      <c r="CV16100" s="376"/>
    </row>
    <row r="16101" spans="1:100">
      <c r="A16101" s="374"/>
      <c r="C16101" s="374"/>
      <c r="CV16101" s="376"/>
    </row>
    <row r="16102" spans="1:100">
      <c r="A16102" s="374"/>
      <c r="C16102" s="374"/>
      <c r="CV16102" s="376"/>
    </row>
    <row r="16103" spans="1:100">
      <c r="A16103" s="374"/>
      <c r="C16103" s="374"/>
      <c r="CV16103" s="376"/>
    </row>
    <row r="16104" spans="1:100">
      <c r="A16104" s="374"/>
      <c r="C16104" s="374"/>
      <c r="CV16104" s="376"/>
    </row>
    <row r="16105" spans="1:100">
      <c r="A16105" s="374"/>
      <c r="C16105" s="374"/>
      <c r="CV16105" s="376"/>
    </row>
    <row r="16106" spans="1:100">
      <c r="A16106" s="374"/>
      <c r="C16106" s="374"/>
      <c r="CV16106" s="376"/>
    </row>
    <row r="16107" spans="1:100">
      <c r="A16107" s="374"/>
      <c r="C16107" s="374"/>
      <c r="CV16107" s="376"/>
    </row>
    <row r="16108" spans="1:100">
      <c r="A16108" s="374"/>
      <c r="C16108" s="374"/>
      <c r="CV16108" s="376"/>
    </row>
    <row r="16109" spans="1:100">
      <c r="A16109" s="374"/>
      <c r="C16109" s="374"/>
      <c r="CV16109" s="376"/>
    </row>
    <row r="16110" spans="1:100">
      <c r="A16110" s="374"/>
      <c r="C16110" s="374"/>
      <c r="CV16110" s="376"/>
    </row>
    <row r="16111" spans="1:100">
      <c r="A16111" s="374"/>
      <c r="C16111" s="374"/>
      <c r="CV16111" s="376"/>
    </row>
    <row r="16112" spans="1:100">
      <c r="A16112" s="374"/>
      <c r="C16112" s="374"/>
      <c r="CV16112" s="376"/>
    </row>
    <row r="16113" spans="1:100">
      <c r="A16113" s="374"/>
      <c r="C16113" s="374"/>
      <c r="CV16113" s="376"/>
    </row>
    <row r="16114" spans="1:100">
      <c r="A16114" s="374"/>
      <c r="C16114" s="374"/>
      <c r="CV16114" s="376"/>
    </row>
    <row r="16115" spans="1:100">
      <c r="A16115" s="374"/>
      <c r="C16115" s="374"/>
      <c r="CV16115" s="376"/>
    </row>
    <row r="16116" spans="1:100">
      <c r="A16116" s="374"/>
      <c r="C16116" s="374"/>
      <c r="CV16116" s="376"/>
    </row>
    <row r="16117" spans="1:100">
      <c r="A16117" s="374"/>
      <c r="C16117" s="374"/>
      <c r="CV16117" s="376"/>
    </row>
    <row r="16118" spans="1:100">
      <c r="A16118" s="374"/>
      <c r="C16118" s="374"/>
      <c r="CV16118" s="376"/>
    </row>
    <row r="16119" spans="1:100">
      <c r="A16119" s="374"/>
      <c r="C16119" s="374"/>
      <c r="CV16119" s="376"/>
    </row>
    <row r="16120" spans="1:100">
      <c r="A16120" s="374"/>
      <c r="C16120" s="374"/>
      <c r="CV16120" s="376"/>
    </row>
    <row r="16121" spans="1:100">
      <c r="A16121" s="374"/>
      <c r="C16121" s="374"/>
      <c r="CV16121" s="376"/>
    </row>
    <row r="16122" spans="1:100">
      <c r="A16122" s="374"/>
      <c r="C16122" s="374"/>
      <c r="CV16122" s="376"/>
    </row>
    <row r="16123" spans="1:100">
      <c r="A16123" s="374"/>
      <c r="C16123" s="374"/>
      <c r="CV16123" s="376"/>
    </row>
    <row r="16124" spans="1:100">
      <c r="A16124" s="374"/>
      <c r="C16124" s="374"/>
      <c r="CV16124" s="376"/>
    </row>
    <row r="16125" spans="1:100">
      <c r="A16125" s="374"/>
      <c r="C16125" s="374"/>
      <c r="CV16125" s="376"/>
    </row>
    <row r="16126" spans="1:100">
      <c r="A16126" s="374"/>
      <c r="C16126" s="374"/>
      <c r="CV16126" s="376"/>
    </row>
    <row r="16127" spans="1:100">
      <c r="A16127" s="374"/>
      <c r="C16127" s="374"/>
      <c r="CV16127" s="376"/>
    </row>
    <row r="16128" spans="1:100">
      <c r="A16128" s="374"/>
      <c r="C16128" s="374"/>
      <c r="CV16128" s="376"/>
    </row>
    <row r="16129" spans="1:100">
      <c r="A16129" s="374"/>
      <c r="C16129" s="374"/>
      <c r="CV16129" s="376"/>
    </row>
    <row r="16130" spans="1:100">
      <c r="A16130" s="374"/>
      <c r="C16130" s="374"/>
      <c r="CV16130" s="376"/>
    </row>
    <row r="16131" spans="1:100">
      <c r="A16131" s="374"/>
      <c r="C16131" s="374"/>
      <c r="CV16131" s="376"/>
    </row>
    <row r="16132" spans="1:100">
      <c r="A16132" s="374"/>
      <c r="C16132" s="374"/>
      <c r="CV16132" s="376"/>
    </row>
    <row r="16133" spans="1:100">
      <c r="A16133" s="374"/>
      <c r="C16133" s="374"/>
      <c r="CV16133" s="376"/>
    </row>
    <row r="16134" spans="1:100">
      <c r="A16134" s="374"/>
      <c r="C16134" s="374"/>
      <c r="CV16134" s="376"/>
    </row>
    <row r="16135" spans="1:100">
      <c r="A16135" s="374"/>
      <c r="C16135" s="374"/>
      <c r="CV16135" s="376"/>
    </row>
    <row r="16136" spans="1:100">
      <c r="A16136" s="374"/>
      <c r="C16136" s="374"/>
      <c r="CV16136" s="376"/>
    </row>
    <row r="16137" spans="1:100">
      <c r="A16137" s="374"/>
      <c r="C16137" s="374"/>
      <c r="CV16137" s="376"/>
    </row>
    <row r="16138" spans="1:100">
      <c r="A16138" s="374"/>
      <c r="C16138" s="374"/>
      <c r="CV16138" s="376"/>
    </row>
    <row r="16139" spans="1:100">
      <c r="A16139" s="374"/>
      <c r="C16139" s="374"/>
      <c r="CV16139" s="376"/>
    </row>
    <row r="16140" spans="1:100">
      <c r="A16140" s="374"/>
      <c r="C16140" s="374"/>
      <c r="CV16140" s="376"/>
    </row>
    <row r="16141" spans="1:100">
      <c r="A16141" s="374"/>
      <c r="C16141" s="374"/>
      <c r="CV16141" s="376"/>
    </row>
    <row r="16142" spans="1:100">
      <c r="A16142" s="374"/>
      <c r="C16142" s="374"/>
      <c r="CV16142" s="376"/>
    </row>
    <row r="16143" spans="1:100">
      <c r="A16143" s="374"/>
      <c r="C16143" s="374"/>
      <c r="CV16143" s="376"/>
    </row>
    <row r="16144" spans="1:100">
      <c r="A16144" s="374"/>
      <c r="C16144" s="374"/>
      <c r="CV16144" s="376"/>
    </row>
    <row r="16145" spans="1:100">
      <c r="A16145" s="374"/>
      <c r="C16145" s="374"/>
      <c r="CV16145" s="376"/>
    </row>
    <row r="16146" spans="1:100">
      <c r="A16146" s="374"/>
      <c r="C16146" s="374"/>
      <c r="CV16146" s="376"/>
    </row>
    <row r="16147" spans="1:100">
      <c r="A16147" s="374"/>
      <c r="C16147" s="374"/>
      <c r="CV16147" s="376"/>
    </row>
    <row r="16148" spans="1:100">
      <c r="A16148" s="374"/>
      <c r="C16148" s="374"/>
      <c r="CV16148" s="376"/>
    </row>
    <row r="16149" spans="1:100">
      <c r="A16149" s="374"/>
      <c r="C16149" s="374"/>
      <c r="CV16149" s="376"/>
    </row>
    <row r="16150" spans="1:100">
      <c r="A16150" s="374"/>
      <c r="C16150" s="374"/>
      <c r="CV16150" s="376"/>
    </row>
    <row r="16151" spans="1:100">
      <c r="A16151" s="374"/>
      <c r="C16151" s="374"/>
      <c r="CV16151" s="376"/>
    </row>
    <row r="16152" spans="1:100">
      <c r="A16152" s="374"/>
      <c r="C16152" s="374"/>
      <c r="CV16152" s="376"/>
    </row>
    <row r="16153" spans="1:100">
      <c r="A16153" s="374"/>
      <c r="C16153" s="374"/>
      <c r="CV16153" s="376"/>
    </row>
    <row r="16154" spans="1:100">
      <c r="A16154" s="374"/>
      <c r="C16154" s="374"/>
      <c r="CV16154" s="376"/>
    </row>
    <row r="16155" spans="1:100">
      <c r="A16155" s="374"/>
      <c r="C16155" s="374"/>
      <c r="CV16155" s="376"/>
    </row>
    <row r="16156" spans="1:100">
      <c r="A16156" s="374"/>
      <c r="C16156" s="374"/>
      <c r="CV16156" s="376"/>
    </row>
    <row r="16157" spans="1:100">
      <c r="A16157" s="374"/>
      <c r="C16157" s="374"/>
      <c r="CV16157" s="376"/>
    </row>
    <row r="16158" spans="1:100">
      <c r="A16158" s="374"/>
      <c r="C16158" s="374"/>
      <c r="CV16158" s="376"/>
    </row>
    <row r="16159" spans="1:100">
      <c r="A16159" s="374"/>
      <c r="C16159" s="374"/>
      <c r="CV16159" s="376"/>
    </row>
    <row r="16160" spans="1:100">
      <c r="A16160" s="374"/>
      <c r="C16160" s="374"/>
      <c r="CV16160" s="376"/>
    </row>
    <row r="16161" spans="1:100">
      <c r="A16161" s="374"/>
      <c r="C16161" s="374"/>
      <c r="CV16161" s="376"/>
    </row>
    <row r="16162" spans="1:100">
      <c r="A16162" s="374"/>
      <c r="C16162" s="374"/>
      <c r="CV16162" s="376"/>
    </row>
    <row r="16163" spans="1:100">
      <c r="A16163" s="374"/>
      <c r="C16163" s="374"/>
      <c r="CV16163" s="376"/>
    </row>
    <row r="16164" spans="1:100">
      <c r="A16164" s="374"/>
      <c r="C16164" s="374"/>
      <c r="CV16164" s="376"/>
    </row>
    <row r="16165" spans="1:100">
      <c r="A16165" s="374"/>
      <c r="C16165" s="374"/>
      <c r="CV16165" s="376"/>
    </row>
    <row r="16166" spans="1:100">
      <c r="A16166" s="374"/>
      <c r="C16166" s="374"/>
      <c r="CV16166" s="376"/>
    </row>
    <row r="16167" spans="1:100">
      <c r="A16167" s="374"/>
      <c r="C16167" s="374"/>
      <c r="CV16167" s="376"/>
    </row>
    <row r="16168" spans="1:100">
      <c r="A16168" s="374"/>
      <c r="C16168" s="374"/>
      <c r="CV16168" s="376"/>
    </row>
    <row r="16169" spans="1:100">
      <c r="A16169" s="374"/>
      <c r="C16169" s="374"/>
      <c r="CV16169" s="376"/>
    </row>
    <row r="16170" spans="1:100">
      <c r="A16170" s="374"/>
      <c r="C16170" s="374"/>
      <c r="CV16170" s="376"/>
    </row>
    <row r="16171" spans="1:100">
      <c r="A16171" s="374"/>
      <c r="C16171" s="374"/>
      <c r="CV16171" s="376"/>
    </row>
    <row r="16172" spans="1:100">
      <c r="A16172" s="374"/>
      <c r="C16172" s="374"/>
      <c r="CV16172" s="376"/>
    </row>
    <row r="16173" spans="1:100">
      <c r="A16173" s="374"/>
      <c r="C16173" s="374"/>
      <c r="CV16173" s="376"/>
    </row>
    <row r="16174" spans="1:100">
      <c r="A16174" s="374"/>
      <c r="C16174" s="374"/>
      <c r="CV16174" s="376"/>
    </row>
    <row r="16175" spans="1:100">
      <c r="A16175" s="374"/>
      <c r="C16175" s="374"/>
      <c r="CV16175" s="376"/>
    </row>
    <row r="16176" spans="1:100">
      <c r="A16176" s="374"/>
      <c r="C16176" s="374"/>
      <c r="CV16176" s="376"/>
    </row>
    <row r="16177" spans="1:100">
      <c r="A16177" s="374"/>
      <c r="C16177" s="374"/>
      <c r="CV16177" s="376"/>
    </row>
    <row r="16178" spans="1:100">
      <c r="A16178" s="374"/>
      <c r="C16178" s="374"/>
      <c r="CV16178" s="376"/>
    </row>
    <row r="16179" spans="1:100">
      <c r="A16179" s="374"/>
      <c r="C16179" s="374"/>
      <c r="CV16179" s="376"/>
    </row>
    <row r="16180" spans="1:100">
      <c r="A16180" s="374"/>
      <c r="C16180" s="374"/>
      <c r="CV16180" s="376"/>
    </row>
    <row r="16181" spans="1:100">
      <c r="A16181" s="374"/>
      <c r="C16181" s="374"/>
      <c r="CV16181" s="376"/>
    </row>
    <row r="16182" spans="1:100">
      <c r="A16182" s="374"/>
      <c r="C16182" s="374"/>
      <c r="CV16182" s="376"/>
    </row>
    <row r="16183" spans="1:100">
      <c r="A16183" s="374"/>
      <c r="C16183" s="374"/>
      <c r="CV16183" s="376"/>
    </row>
    <row r="16184" spans="1:100">
      <c r="A16184" s="374"/>
      <c r="C16184" s="374"/>
      <c r="CV16184" s="376"/>
    </row>
    <row r="16185" spans="1:100">
      <c r="A16185" s="374"/>
      <c r="C16185" s="374"/>
      <c r="CV16185" s="376"/>
    </row>
    <row r="16186" spans="1:100">
      <c r="A16186" s="374"/>
      <c r="C16186" s="374"/>
      <c r="CV16186" s="376"/>
    </row>
    <row r="16187" spans="1:100">
      <c r="A16187" s="374"/>
      <c r="C16187" s="374"/>
      <c r="CV16187" s="376"/>
    </row>
    <row r="16188" spans="1:100">
      <c r="A16188" s="374"/>
      <c r="C16188" s="374"/>
      <c r="CV16188" s="376"/>
    </row>
    <row r="16189" spans="1:100">
      <c r="A16189" s="374"/>
      <c r="C16189" s="374"/>
      <c r="CV16189" s="376"/>
    </row>
    <row r="16190" spans="1:100">
      <c r="A16190" s="374"/>
      <c r="C16190" s="374"/>
      <c r="CV16190" s="376"/>
    </row>
    <row r="16191" spans="1:100">
      <c r="A16191" s="374"/>
      <c r="C16191" s="374"/>
      <c r="CV16191" s="376"/>
    </row>
    <row r="16192" spans="1:100">
      <c r="A16192" s="374"/>
      <c r="C16192" s="374"/>
      <c r="CV16192" s="376"/>
    </row>
    <row r="16193" spans="1:100">
      <c r="A16193" s="374"/>
      <c r="C16193" s="374"/>
      <c r="CV16193" s="376"/>
    </row>
    <row r="16194" spans="1:100">
      <c r="A16194" s="374"/>
      <c r="C16194" s="374"/>
      <c r="CV16194" s="376"/>
    </row>
    <row r="16195" spans="1:100">
      <c r="A16195" s="374"/>
      <c r="C16195" s="374"/>
      <c r="CV16195" s="376"/>
    </row>
    <row r="16196" spans="1:100">
      <c r="A16196" s="374"/>
      <c r="C16196" s="374"/>
      <c r="CV16196" s="376"/>
    </row>
    <row r="16197" spans="1:100">
      <c r="A16197" s="374"/>
      <c r="C16197" s="374"/>
      <c r="CV16197" s="376"/>
    </row>
    <row r="16198" spans="1:100">
      <c r="A16198" s="374"/>
      <c r="C16198" s="374"/>
      <c r="CV16198" s="376"/>
    </row>
    <row r="16199" spans="1:100">
      <c r="A16199" s="374"/>
      <c r="C16199" s="374"/>
      <c r="CV16199" s="376"/>
    </row>
    <row r="16200" spans="1:100">
      <c r="A16200" s="374"/>
      <c r="C16200" s="374"/>
      <c r="CV16200" s="376"/>
    </row>
    <row r="16201" spans="1:100">
      <c r="A16201" s="374"/>
      <c r="C16201" s="374"/>
      <c r="CV16201" s="376"/>
    </row>
    <row r="16202" spans="1:100">
      <c r="A16202" s="374"/>
      <c r="C16202" s="374"/>
      <c r="CV16202" s="376"/>
    </row>
    <row r="16203" spans="1:100">
      <c r="A16203" s="374"/>
      <c r="C16203" s="374"/>
      <c r="CV16203" s="376"/>
    </row>
    <row r="16204" spans="1:100">
      <c r="A16204" s="374"/>
      <c r="C16204" s="374"/>
      <c r="CV16204" s="376"/>
    </row>
    <row r="16205" spans="1:100">
      <c r="A16205" s="374"/>
      <c r="C16205" s="374"/>
      <c r="CV16205" s="376"/>
    </row>
    <row r="16206" spans="1:100">
      <c r="A16206" s="374"/>
      <c r="C16206" s="374"/>
      <c r="CV16206" s="376"/>
    </row>
    <row r="16207" spans="1:100">
      <c r="A16207" s="374"/>
      <c r="C16207" s="374"/>
      <c r="CV16207" s="376"/>
    </row>
    <row r="16208" spans="1:100">
      <c r="A16208" s="374"/>
      <c r="C16208" s="374"/>
      <c r="CV16208" s="376"/>
    </row>
    <row r="16209" spans="1:100">
      <c r="A16209" s="374"/>
      <c r="C16209" s="374"/>
      <c r="CV16209" s="376"/>
    </row>
    <row r="16210" spans="1:100">
      <c r="A16210" s="374"/>
      <c r="C16210" s="374"/>
      <c r="CV16210" s="376"/>
    </row>
    <row r="16211" spans="1:100">
      <c r="A16211" s="374"/>
      <c r="C16211" s="374"/>
      <c r="CV16211" s="376"/>
    </row>
    <row r="16212" spans="1:100">
      <c r="A16212" s="374"/>
      <c r="C16212" s="374"/>
      <c r="CV16212" s="376"/>
    </row>
    <row r="16213" spans="1:100">
      <c r="A16213" s="374"/>
      <c r="C16213" s="374"/>
      <c r="CV16213" s="376"/>
    </row>
    <row r="16214" spans="1:100">
      <c r="A16214" s="374"/>
      <c r="C16214" s="374"/>
      <c r="CV16214" s="376"/>
    </row>
    <row r="16215" spans="1:100">
      <c r="A16215" s="374"/>
      <c r="C16215" s="374"/>
      <c r="CV16215" s="376"/>
    </row>
    <row r="16216" spans="1:100">
      <c r="A16216" s="374"/>
      <c r="C16216" s="374"/>
      <c r="CV16216" s="376"/>
    </row>
    <row r="16217" spans="1:100">
      <c r="A16217" s="374"/>
      <c r="C16217" s="374"/>
      <c r="CV16217" s="376"/>
    </row>
    <row r="16218" spans="1:100">
      <c r="A16218" s="374"/>
      <c r="C16218" s="374"/>
      <c r="CV16218" s="376"/>
    </row>
    <row r="16219" spans="1:100">
      <c r="A16219" s="374"/>
      <c r="C16219" s="374"/>
      <c r="CV16219" s="376"/>
    </row>
    <row r="16220" spans="1:100">
      <c r="A16220" s="374"/>
      <c r="C16220" s="374"/>
      <c r="CV16220" s="376"/>
    </row>
    <row r="16221" spans="1:100">
      <c r="A16221" s="374"/>
      <c r="C16221" s="374"/>
      <c r="CV16221" s="376"/>
    </row>
    <row r="16222" spans="1:100">
      <c r="A16222" s="374"/>
      <c r="C16222" s="374"/>
      <c r="CV16222" s="376"/>
    </row>
    <row r="16223" spans="1:100">
      <c r="A16223" s="374"/>
      <c r="C16223" s="374"/>
      <c r="CV16223" s="376"/>
    </row>
    <row r="16224" spans="1:100">
      <c r="A16224" s="374"/>
      <c r="C16224" s="374"/>
      <c r="CV16224" s="376"/>
    </row>
    <row r="16225" spans="1:100">
      <c r="A16225" s="374"/>
      <c r="C16225" s="374"/>
      <c r="CV16225" s="376"/>
    </row>
    <row r="16226" spans="1:100">
      <c r="A16226" s="374"/>
      <c r="C16226" s="374"/>
      <c r="CV16226" s="376"/>
    </row>
    <row r="16227" spans="1:100">
      <c r="A16227" s="374"/>
      <c r="C16227" s="374"/>
      <c r="CV16227" s="376"/>
    </row>
    <row r="16228" spans="1:100">
      <c r="A16228" s="374"/>
      <c r="C16228" s="374"/>
      <c r="CV16228" s="376"/>
    </row>
    <row r="16229" spans="1:100">
      <c r="A16229" s="374"/>
      <c r="C16229" s="374"/>
      <c r="CV16229" s="376"/>
    </row>
    <row r="16230" spans="1:100">
      <c r="A16230" s="374"/>
      <c r="C16230" s="374"/>
      <c r="CV16230" s="376"/>
    </row>
    <row r="16231" spans="1:100">
      <c r="A16231" s="374"/>
      <c r="C16231" s="374"/>
      <c r="CV16231" s="376"/>
    </row>
    <row r="16232" spans="1:100">
      <c r="A16232" s="374"/>
      <c r="C16232" s="374"/>
      <c r="CV16232" s="376"/>
    </row>
    <row r="16233" spans="1:100">
      <c r="A16233" s="374"/>
      <c r="C16233" s="374"/>
      <c r="CV16233" s="376"/>
    </row>
    <row r="16234" spans="1:100">
      <c r="A16234" s="374"/>
      <c r="C16234" s="374"/>
      <c r="CV16234" s="376"/>
    </row>
    <row r="16235" spans="1:100">
      <c r="A16235" s="374"/>
      <c r="C16235" s="374"/>
      <c r="CV16235" s="376"/>
    </row>
    <row r="16236" spans="1:100">
      <c r="A16236" s="374"/>
      <c r="C16236" s="374"/>
      <c r="CV16236" s="376"/>
    </row>
    <row r="16237" spans="1:100">
      <c r="A16237" s="374"/>
      <c r="C16237" s="374"/>
      <c r="CV16237" s="376"/>
    </row>
    <row r="16238" spans="1:100">
      <c r="A16238" s="374"/>
      <c r="C16238" s="374"/>
      <c r="CV16238" s="376"/>
    </row>
    <row r="16239" spans="1:100">
      <c r="A16239" s="374"/>
      <c r="C16239" s="374"/>
      <c r="CV16239" s="376"/>
    </row>
    <row r="16240" spans="1:100">
      <c r="A16240" s="374"/>
      <c r="C16240" s="374"/>
      <c r="CV16240" s="376"/>
    </row>
    <row r="16241" spans="1:100">
      <c r="A16241" s="374"/>
      <c r="C16241" s="374"/>
      <c r="CV16241" s="376"/>
    </row>
    <row r="16242" spans="1:100">
      <c r="A16242" s="374"/>
      <c r="C16242" s="374"/>
      <c r="CV16242" s="376"/>
    </row>
    <row r="16243" spans="1:100">
      <c r="A16243" s="374"/>
      <c r="C16243" s="374"/>
      <c r="CV16243" s="376"/>
    </row>
    <row r="16244" spans="1:100">
      <c r="A16244" s="374"/>
      <c r="C16244" s="374"/>
      <c r="CV16244" s="376"/>
    </row>
    <row r="16245" spans="1:100">
      <c r="A16245" s="374"/>
      <c r="C16245" s="374"/>
      <c r="CV16245" s="376"/>
    </row>
    <row r="16246" spans="1:100">
      <c r="A16246" s="374"/>
      <c r="C16246" s="374"/>
      <c r="CV16246" s="376"/>
    </row>
    <row r="16247" spans="1:100">
      <c r="A16247" s="374"/>
      <c r="C16247" s="374"/>
      <c r="CV16247" s="376"/>
    </row>
    <row r="16248" spans="1:100">
      <c r="A16248" s="374"/>
      <c r="C16248" s="374"/>
      <c r="CV16248" s="376"/>
    </row>
    <row r="16249" spans="1:100">
      <c r="A16249" s="374"/>
      <c r="C16249" s="374"/>
      <c r="CV16249" s="376"/>
    </row>
    <row r="16250" spans="1:100">
      <c r="A16250" s="374"/>
      <c r="C16250" s="374"/>
      <c r="CV16250" s="376"/>
    </row>
    <row r="16251" spans="1:100">
      <c r="A16251" s="374"/>
      <c r="C16251" s="374"/>
      <c r="CV16251" s="376"/>
    </row>
    <row r="16252" spans="1:100">
      <c r="A16252" s="374"/>
      <c r="C16252" s="374"/>
      <c r="CV16252" s="376"/>
    </row>
    <row r="16253" spans="1:100">
      <c r="A16253" s="374"/>
      <c r="C16253" s="374"/>
      <c r="CV16253" s="376"/>
    </row>
    <row r="16254" spans="1:100">
      <c r="A16254" s="374"/>
      <c r="C16254" s="374"/>
      <c r="CV16254" s="376"/>
    </row>
    <row r="16255" spans="1:100">
      <c r="A16255" s="374"/>
      <c r="C16255" s="374"/>
      <c r="CV16255" s="376"/>
    </row>
    <row r="16256" spans="1:100">
      <c r="A16256" s="374"/>
      <c r="C16256" s="374"/>
      <c r="CV16256" s="376"/>
    </row>
    <row r="16257" spans="1:100">
      <c r="A16257" s="374"/>
      <c r="C16257" s="374"/>
      <c r="CV16257" s="376"/>
    </row>
    <row r="16258" spans="1:100">
      <c r="A16258" s="374"/>
      <c r="C16258" s="374"/>
      <c r="CV16258" s="376"/>
    </row>
    <row r="16259" spans="1:100">
      <c r="A16259" s="374"/>
      <c r="C16259" s="374"/>
      <c r="CV16259" s="376"/>
    </row>
    <row r="16260" spans="1:100">
      <c r="A16260" s="374"/>
      <c r="C16260" s="374"/>
      <c r="CV16260" s="376"/>
    </row>
    <row r="16261" spans="1:100">
      <c r="A16261" s="374"/>
      <c r="C16261" s="374"/>
      <c r="CV16261" s="376"/>
    </row>
    <row r="16262" spans="1:100">
      <c r="A16262" s="374"/>
      <c r="C16262" s="374"/>
      <c r="CV16262" s="376"/>
    </row>
    <row r="16263" spans="1:100">
      <c r="A16263" s="374"/>
      <c r="C16263" s="374"/>
      <c r="CV16263" s="376"/>
    </row>
    <row r="16264" spans="1:100">
      <c r="A16264" s="374"/>
      <c r="C16264" s="374"/>
      <c r="CV16264" s="376"/>
    </row>
    <row r="16265" spans="1:100">
      <c r="A16265" s="374"/>
      <c r="C16265" s="374"/>
      <c r="CV16265" s="376"/>
    </row>
    <row r="16266" spans="1:100">
      <c r="A16266" s="374"/>
      <c r="C16266" s="374"/>
      <c r="CV16266" s="376"/>
    </row>
    <row r="16267" spans="1:100">
      <c r="A16267" s="374"/>
      <c r="C16267" s="374"/>
      <c r="CV16267" s="376"/>
    </row>
    <row r="16268" spans="1:100">
      <c r="A16268" s="374"/>
      <c r="C16268" s="374"/>
      <c r="CV16268" s="376"/>
    </row>
    <row r="16269" spans="1:100">
      <c r="A16269" s="374"/>
      <c r="C16269" s="374"/>
      <c r="CV16269" s="376"/>
    </row>
    <row r="16270" spans="1:100">
      <c r="A16270" s="374"/>
      <c r="C16270" s="374"/>
      <c r="CV16270" s="376"/>
    </row>
    <row r="16271" spans="1:100">
      <c r="A16271" s="374"/>
      <c r="C16271" s="374"/>
      <c r="CV16271" s="376"/>
    </row>
    <row r="16272" spans="1:100">
      <c r="A16272" s="374"/>
      <c r="C16272" s="374"/>
      <c r="CV16272" s="376"/>
    </row>
    <row r="16273" spans="1:100">
      <c r="A16273" s="374"/>
      <c r="C16273" s="374"/>
      <c r="CV16273" s="376"/>
    </row>
    <row r="16274" spans="1:100">
      <c r="A16274" s="374"/>
      <c r="C16274" s="374"/>
      <c r="CV16274" s="376"/>
    </row>
    <row r="16275" spans="1:100">
      <c r="A16275" s="374"/>
      <c r="C16275" s="374"/>
      <c r="CV16275" s="376"/>
    </row>
    <row r="16276" spans="1:100">
      <c r="A16276" s="374"/>
      <c r="C16276" s="374"/>
      <c r="CV16276" s="376"/>
    </row>
    <row r="16277" spans="1:100">
      <c r="A16277" s="374"/>
      <c r="C16277" s="374"/>
      <c r="CV16277" s="376"/>
    </row>
    <row r="16278" spans="1:100">
      <c r="A16278" s="374"/>
      <c r="C16278" s="374"/>
      <c r="CV16278" s="376"/>
    </row>
    <row r="16279" spans="1:100">
      <c r="A16279" s="374"/>
      <c r="C16279" s="374"/>
      <c r="CV16279" s="376"/>
    </row>
    <row r="16280" spans="1:100">
      <c r="A16280" s="374"/>
      <c r="C16280" s="374"/>
      <c r="CV16280" s="376"/>
    </row>
    <row r="16281" spans="1:100">
      <c r="A16281" s="374"/>
      <c r="C16281" s="374"/>
      <c r="CV16281" s="376"/>
    </row>
    <row r="16282" spans="1:100">
      <c r="A16282" s="374"/>
      <c r="C16282" s="374"/>
      <c r="CV16282" s="376"/>
    </row>
    <row r="16283" spans="1:100">
      <c r="A16283" s="374"/>
      <c r="C16283" s="374"/>
      <c r="CV16283" s="376"/>
    </row>
    <row r="16284" spans="1:100">
      <c r="A16284" s="374"/>
      <c r="C16284" s="374"/>
      <c r="CV16284" s="376"/>
    </row>
    <row r="16285" spans="1:100">
      <c r="A16285" s="374"/>
      <c r="C16285" s="374"/>
      <c r="CV16285" s="376"/>
    </row>
    <row r="16286" spans="1:100">
      <c r="A16286" s="374"/>
      <c r="C16286" s="374"/>
      <c r="CV16286" s="376"/>
    </row>
    <row r="16287" spans="1:100">
      <c r="A16287" s="374"/>
      <c r="C16287" s="374"/>
      <c r="CV16287" s="376"/>
    </row>
    <row r="16288" spans="1:100">
      <c r="A16288" s="374"/>
      <c r="C16288" s="374"/>
      <c r="CV16288" s="376"/>
    </row>
    <row r="16289" spans="1:100">
      <c r="A16289" s="374"/>
      <c r="C16289" s="374"/>
      <c r="CV16289" s="376"/>
    </row>
    <row r="16290" spans="1:100">
      <c r="A16290" s="374"/>
      <c r="C16290" s="374"/>
      <c r="CV16290" s="376"/>
    </row>
    <row r="16291" spans="1:100">
      <c r="A16291" s="374"/>
      <c r="C16291" s="374"/>
      <c r="CV16291" s="376"/>
    </row>
    <row r="16292" spans="1:100">
      <c r="A16292" s="374"/>
      <c r="C16292" s="374"/>
      <c r="CV16292" s="376"/>
    </row>
    <row r="16293" spans="1:100">
      <c r="A16293" s="374"/>
      <c r="C16293" s="374"/>
      <c r="CV16293" s="376"/>
    </row>
    <row r="16294" spans="1:100">
      <c r="A16294" s="374"/>
      <c r="C16294" s="374"/>
      <c r="CV16294" s="376"/>
    </row>
    <row r="16295" spans="1:100">
      <c r="A16295" s="374"/>
      <c r="C16295" s="374"/>
      <c r="CV16295" s="376"/>
    </row>
    <row r="16296" spans="1:100">
      <c r="A16296" s="374"/>
      <c r="C16296" s="374"/>
      <c r="CV16296" s="376"/>
    </row>
    <row r="16297" spans="1:100">
      <c r="A16297" s="374"/>
      <c r="C16297" s="374"/>
      <c r="CV16297" s="376"/>
    </row>
    <row r="16298" spans="1:100">
      <c r="A16298" s="374"/>
      <c r="C16298" s="374"/>
      <c r="CV16298" s="376"/>
    </row>
    <row r="16299" spans="1:100">
      <c r="A16299" s="374"/>
      <c r="C16299" s="374"/>
      <c r="CV16299" s="376"/>
    </row>
    <row r="16300" spans="1:100">
      <c r="A16300" s="374"/>
      <c r="C16300" s="374"/>
      <c r="CV16300" s="376"/>
    </row>
    <row r="16301" spans="1:100">
      <c r="A16301" s="374"/>
      <c r="C16301" s="374"/>
      <c r="CV16301" s="376"/>
    </row>
    <row r="16302" spans="1:100">
      <c r="A16302" s="374"/>
      <c r="C16302" s="374"/>
      <c r="CV16302" s="376"/>
    </row>
    <row r="16303" spans="1:100">
      <c r="A16303" s="374"/>
      <c r="C16303" s="374"/>
      <c r="CV16303" s="376"/>
    </row>
    <row r="16304" spans="1:100">
      <c r="A16304" s="374"/>
      <c r="C16304" s="374"/>
      <c r="CV16304" s="376"/>
    </row>
    <row r="16305" spans="1:100">
      <c r="A16305" s="374"/>
      <c r="C16305" s="374"/>
      <c r="CV16305" s="376"/>
    </row>
    <row r="16306" spans="1:100">
      <c r="A16306" s="374"/>
      <c r="C16306" s="374"/>
      <c r="CV16306" s="376"/>
    </row>
    <row r="16307" spans="1:100">
      <c r="A16307" s="374"/>
      <c r="C16307" s="374"/>
      <c r="CV16307" s="376"/>
    </row>
    <row r="16308" spans="1:100">
      <c r="A16308" s="374"/>
      <c r="C16308" s="374"/>
      <c r="CV16308" s="376"/>
    </row>
    <row r="16309" spans="1:100">
      <c r="A16309" s="374"/>
      <c r="C16309" s="374"/>
      <c r="CV16309" s="376"/>
    </row>
    <row r="16310" spans="1:100">
      <c r="A16310" s="374"/>
      <c r="C16310" s="374"/>
      <c r="CV16310" s="376"/>
    </row>
    <row r="16311" spans="1:100">
      <c r="A16311" s="374"/>
      <c r="C16311" s="374"/>
      <c r="CV16311" s="376"/>
    </row>
    <row r="16312" spans="1:100">
      <c r="A16312" s="374"/>
      <c r="C16312" s="374"/>
      <c r="CV16312" s="376"/>
    </row>
    <row r="16313" spans="1:100">
      <c r="A16313" s="374"/>
      <c r="C16313" s="374"/>
      <c r="CV16313" s="376"/>
    </row>
    <row r="16314" spans="1:100">
      <c r="A16314" s="374"/>
      <c r="C16314" s="374"/>
      <c r="CV16314" s="376"/>
    </row>
    <row r="16315" spans="1:100">
      <c r="A16315" s="374"/>
      <c r="C16315" s="374"/>
      <c r="CV16315" s="376"/>
    </row>
    <row r="16316" spans="1:100">
      <c r="A16316" s="374"/>
      <c r="C16316" s="374"/>
      <c r="CV16316" s="376"/>
    </row>
    <row r="16317" spans="1:100">
      <c r="A16317" s="374"/>
      <c r="C16317" s="374"/>
      <c r="CV16317" s="376"/>
    </row>
    <row r="16318" spans="1:100">
      <c r="A16318" s="374"/>
      <c r="C16318" s="374"/>
      <c r="CV16318" s="376"/>
    </row>
    <row r="16319" spans="1:100">
      <c r="A16319" s="374"/>
      <c r="C16319" s="374"/>
      <c r="CV16319" s="376"/>
    </row>
    <row r="16320" spans="1:100">
      <c r="A16320" s="374"/>
      <c r="C16320" s="374"/>
      <c r="CV16320" s="376"/>
    </row>
    <row r="16321" spans="1:100">
      <c r="A16321" s="374"/>
      <c r="C16321" s="374"/>
      <c r="CV16321" s="376"/>
    </row>
    <row r="16322" spans="1:100">
      <c r="A16322" s="374"/>
      <c r="C16322" s="374"/>
      <c r="CV16322" s="376"/>
    </row>
    <row r="16323" spans="1:100">
      <c r="A16323" s="374"/>
      <c r="C16323" s="374"/>
      <c r="CV16323" s="376"/>
    </row>
    <row r="16324" spans="1:100">
      <c r="A16324" s="374"/>
      <c r="C16324" s="374"/>
      <c r="CV16324" s="376"/>
    </row>
    <row r="16325" spans="1:100">
      <c r="A16325" s="374"/>
      <c r="C16325" s="374"/>
      <c r="CV16325" s="376"/>
    </row>
    <row r="16326" spans="1:100">
      <c r="A16326" s="374"/>
      <c r="C16326" s="374"/>
      <c r="CV16326" s="376"/>
    </row>
    <row r="16327" spans="1:100">
      <c r="A16327" s="374"/>
      <c r="C16327" s="374"/>
      <c r="CV16327" s="376"/>
    </row>
    <row r="16328" spans="1:100">
      <c r="A16328" s="374"/>
      <c r="C16328" s="374"/>
      <c r="CV16328" s="376"/>
    </row>
    <row r="16329" spans="1:100">
      <c r="A16329" s="374"/>
      <c r="C16329" s="374"/>
      <c r="CV16329" s="376"/>
    </row>
    <row r="16330" spans="1:100">
      <c r="A16330" s="374"/>
      <c r="C16330" s="374"/>
      <c r="CV16330" s="376"/>
    </row>
    <row r="16331" spans="1:100">
      <c r="A16331" s="374"/>
      <c r="C16331" s="374"/>
      <c r="CV16331" s="376"/>
    </row>
    <row r="16332" spans="1:100">
      <c r="A16332" s="374"/>
      <c r="C16332" s="374"/>
      <c r="CV16332" s="376"/>
    </row>
    <row r="16333" spans="1:100">
      <c r="A16333" s="374"/>
      <c r="C16333" s="374"/>
      <c r="CV16333" s="376"/>
    </row>
    <row r="16334" spans="1:100">
      <c r="A16334" s="374"/>
      <c r="C16334" s="374"/>
      <c r="CV16334" s="376"/>
    </row>
    <row r="16335" spans="1:100">
      <c r="A16335" s="374"/>
      <c r="C16335" s="374"/>
      <c r="CV16335" s="376"/>
    </row>
    <row r="16336" spans="1:100">
      <c r="A16336" s="374"/>
      <c r="C16336" s="374"/>
      <c r="CV16336" s="376"/>
    </row>
    <row r="16337" spans="1:100">
      <c r="A16337" s="374"/>
      <c r="C16337" s="374"/>
      <c r="CV16337" s="376"/>
    </row>
    <row r="16338" spans="1:100">
      <c r="A16338" s="374"/>
      <c r="C16338" s="374"/>
      <c r="CV16338" s="376"/>
    </row>
    <row r="16339" spans="1:100">
      <c r="A16339" s="374"/>
      <c r="C16339" s="374"/>
      <c r="CV16339" s="376"/>
    </row>
    <row r="16340" spans="1:100">
      <c r="A16340" s="374"/>
      <c r="C16340" s="374"/>
      <c r="CV16340" s="376"/>
    </row>
    <row r="16341" spans="1:100">
      <c r="A16341" s="374"/>
      <c r="C16341" s="374"/>
      <c r="CV16341" s="376"/>
    </row>
    <row r="16342" spans="1:100">
      <c r="A16342" s="374"/>
      <c r="C16342" s="374"/>
      <c r="CV16342" s="376"/>
    </row>
    <row r="16343" spans="1:100">
      <c r="A16343" s="374"/>
      <c r="C16343" s="374"/>
      <c r="CV16343" s="376"/>
    </row>
    <row r="16344" spans="1:100">
      <c r="A16344" s="374"/>
      <c r="C16344" s="374"/>
      <c r="CV16344" s="376"/>
    </row>
    <row r="16345" spans="1:100">
      <c r="A16345" s="374"/>
      <c r="C16345" s="374"/>
      <c r="CV16345" s="376"/>
    </row>
    <row r="16346" spans="1:100">
      <c r="A16346" s="374"/>
      <c r="C16346" s="374"/>
      <c r="CV16346" s="376"/>
    </row>
    <row r="16347" spans="1:100">
      <c r="A16347" s="374"/>
      <c r="C16347" s="374"/>
      <c r="CV16347" s="376"/>
    </row>
    <row r="16348" spans="1:100">
      <c r="A16348" s="374"/>
      <c r="C16348" s="374"/>
      <c r="CV16348" s="376"/>
    </row>
    <row r="16349" spans="1:100">
      <c r="A16349" s="374"/>
      <c r="C16349" s="374"/>
      <c r="CV16349" s="376"/>
    </row>
    <row r="16350" spans="1:100">
      <c r="A16350" s="374"/>
      <c r="C16350" s="374"/>
      <c r="CV16350" s="376"/>
    </row>
    <row r="16351" spans="1:100">
      <c r="A16351" s="374"/>
      <c r="C16351" s="374"/>
      <c r="CV16351" s="376"/>
    </row>
    <row r="16352" spans="1:100">
      <c r="A16352" s="374"/>
      <c r="C16352" s="374"/>
      <c r="CV16352" s="376"/>
    </row>
    <row r="16353" spans="1:100">
      <c r="A16353" s="374"/>
      <c r="C16353" s="374"/>
      <c r="CV16353" s="376"/>
    </row>
    <row r="16354" spans="1:100">
      <c r="A16354" s="374"/>
      <c r="C16354" s="374"/>
      <c r="CV16354" s="376"/>
    </row>
    <row r="16355" spans="1:100">
      <c r="A16355" s="374"/>
      <c r="C16355" s="374"/>
      <c r="CV16355" s="376"/>
    </row>
    <row r="16356" spans="1:100">
      <c r="A16356" s="374"/>
      <c r="C16356" s="374"/>
      <c r="CV16356" s="376"/>
    </row>
    <row r="16357" spans="1:100">
      <c r="A16357" s="374"/>
      <c r="C16357" s="374"/>
      <c r="CV16357" s="376"/>
    </row>
    <row r="16358" spans="1:100">
      <c r="A16358" s="374"/>
      <c r="C16358" s="374"/>
      <c r="CV16358" s="376"/>
    </row>
    <row r="16359" spans="1:100">
      <c r="A16359" s="374"/>
      <c r="C16359" s="374"/>
      <c r="CV16359" s="376"/>
    </row>
    <row r="16360" spans="1:100">
      <c r="A16360" s="374"/>
      <c r="C16360" s="374"/>
      <c r="CV16360" s="376"/>
    </row>
    <row r="16361" spans="1:100">
      <c r="A16361" s="374"/>
      <c r="C16361" s="374"/>
      <c r="CV16361" s="376"/>
    </row>
    <row r="16362" spans="1:100">
      <c r="A16362" s="374"/>
      <c r="C16362" s="374"/>
      <c r="CV16362" s="376"/>
    </row>
    <row r="16363" spans="1:100">
      <c r="A16363" s="374"/>
      <c r="C16363" s="374"/>
      <c r="CV16363" s="376"/>
    </row>
    <row r="16364" spans="1:100">
      <c r="A16364" s="374"/>
      <c r="C16364" s="374"/>
      <c r="CV16364" s="376"/>
    </row>
    <row r="16365" spans="1:100">
      <c r="A16365" s="374"/>
      <c r="C16365" s="374"/>
      <c r="CV16365" s="376"/>
    </row>
    <row r="16366" spans="1:100">
      <c r="A16366" s="374"/>
      <c r="C16366" s="374"/>
      <c r="CV16366" s="376"/>
    </row>
    <row r="16367" spans="1:100">
      <c r="A16367" s="374"/>
      <c r="C16367" s="374"/>
      <c r="CV16367" s="376"/>
    </row>
    <row r="16368" spans="1:100">
      <c r="A16368" s="374"/>
      <c r="C16368" s="374"/>
      <c r="CV16368" s="376"/>
    </row>
    <row r="16369" spans="1:100">
      <c r="A16369" s="374"/>
      <c r="C16369" s="374"/>
      <c r="CV16369" s="376"/>
    </row>
    <row r="16370" spans="1:100">
      <c r="A16370" s="374"/>
      <c r="C16370" s="374"/>
      <c r="CV16370" s="376"/>
    </row>
    <row r="16371" spans="1:100">
      <c r="A16371" s="374"/>
      <c r="C16371" s="374"/>
      <c r="CV16371" s="376"/>
    </row>
    <row r="16372" spans="1:100">
      <c r="A16372" s="374"/>
      <c r="C16372" s="374"/>
      <c r="CV16372" s="376"/>
    </row>
    <row r="16373" spans="1:100">
      <c r="A16373" s="374"/>
      <c r="C16373" s="374"/>
      <c r="CV16373" s="376"/>
    </row>
    <row r="16374" spans="1:100">
      <c r="A16374" s="374"/>
      <c r="C16374" s="374"/>
      <c r="CV16374" s="376"/>
    </row>
    <row r="16375" spans="1:100">
      <c r="A16375" s="374"/>
      <c r="C16375" s="374"/>
      <c r="CV16375" s="376"/>
    </row>
    <row r="16376" spans="1:100">
      <c r="A16376" s="374"/>
      <c r="C16376" s="374"/>
      <c r="CV16376" s="376"/>
    </row>
    <row r="16377" spans="1:100">
      <c r="A16377" s="374"/>
      <c r="C16377" s="374"/>
      <c r="CV16377" s="376"/>
    </row>
    <row r="16378" spans="1:100">
      <c r="A16378" s="374"/>
      <c r="C16378" s="374"/>
      <c r="CV16378" s="376"/>
    </row>
    <row r="16379" spans="1:100">
      <c r="A16379" s="374"/>
      <c r="C16379" s="374"/>
      <c r="CV16379" s="376"/>
    </row>
    <row r="16380" spans="1:100">
      <c r="A16380" s="374"/>
      <c r="C16380" s="374"/>
      <c r="CV16380" s="376"/>
    </row>
    <row r="16381" spans="1:100">
      <c r="A16381" s="374"/>
      <c r="C16381" s="374"/>
      <c r="CV16381" s="376"/>
    </row>
    <row r="16382" spans="1:100">
      <c r="A16382" s="374"/>
      <c r="C16382" s="374"/>
      <c r="CV16382" s="376"/>
    </row>
    <row r="16383" spans="1:100">
      <c r="A16383" s="374"/>
      <c r="C16383" s="374"/>
      <c r="CV16383" s="376"/>
    </row>
    <row r="16384" spans="1:100">
      <c r="A16384" s="374"/>
      <c r="C16384" s="374"/>
      <c r="CV16384" s="376"/>
    </row>
    <row r="16385" spans="1:100">
      <c r="A16385" s="374"/>
      <c r="C16385" s="374"/>
      <c r="CV16385" s="376"/>
    </row>
    <row r="16386" spans="1:100">
      <c r="A16386" s="374"/>
      <c r="C16386" s="374"/>
      <c r="CV16386" s="376"/>
    </row>
    <row r="16387" spans="1:100">
      <c r="A16387" s="374"/>
      <c r="C16387" s="374"/>
      <c r="CV16387" s="376"/>
    </row>
    <row r="16388" spans="1:100">
      <c r="A16388" s="374"/>
      <c r="C16388" s="374"/>
      <c r="CV16388" s="376"/>
    </row>
    <row r="16389" spans="1:100">
      <c r="A16389" s="374"/>
      <c r="C16389" s="374"/>
      <c r="CV16389" s="376"/>
    </row>
    <row r="16390" spans="1:100">
      <c r="A16390" s="374"/>
      <c r="C16390" s="374"/>
      <c r="CV16390" s="376"/>
    </row>
    <row r="16391" spans="1:100">
      <c r="A16391" s="374"/>
      <c r="C16391" s="374"/>
      <c r="CV16391" s="376"/>
    </row>
    <row r="16392" spans="1:100">
      <c r="A16392" s="374"/>
      <c r="C16392" s="374"/>
      <c r="CV16392" s="376"/>
    </row>
    <row r="16393" spans="1:100">
      <c r="A16393" s="374"/>
      <c r="C16393" s="374"/>
      <c r="CV16393" s="376"/>
    </row>
    <row r="16394" spans="1:100">
      <c r="A16394" s="374"/>
      <c r="C16394" s="374"/>
      <c r="CV16394" s="376"/>
    </row>
    <row r="16395" spans="1:100">
      <c r="A16395" s="374"/>
      <c r="C16395" s="374"/>
      <c r="CV16395" s="376"/>
    </row>
    <row r="16396" spans="1:100">
      <c r="A16396" s="374"/>
      <c r="C16396" s="374"/>
      <c r="CV16396" s="376"/>
    </row>
    <row r="16397" spans="1:100">
      <c r="A16397" s="374"/>
      <c r="C16397" s="374"/>
      <c r="CV16397" s="376"/>
    </row>
    <row r="16398" spans="1:100">
      <c r="A16398" s="374"/>
      <c r="C16398" s="374"/>
      <c r="CV16398" s="376"/>
    </row>
    <row r="16399" spans="1:100">
      <c r="A16399" s="374"/>
      <c r="C16399" s="374"/>
      <c r="CV16399" s="376"/>
    </row>
    <row r="16400" spans="1:100">
      <c r="A16400" s="374"/>
      <c r="C16400" s="374"/>
      <c r="CV16400" s="376"/>
    </row>
    <row r="16401" spans="1:100">
      <c r="A16401" s="374"/>
      <c r="C16401" s="374"/>
      <c r="CV16401" s="376"/>
    </row>
    <row r="16402" spans="1:100">
      <c r="A16402" s="374"/>
      <c r="C16402" s="374"/>
      <c r="CV16402" s="376"/>
    </row>
    <row r="16403" spans="1:100">
      <c r="A16403" s="374"/>
      <c r="C16403" s="374"/>
      <c r="CV16403" s="376"/>
    </row>
    <row r="16404" spans="1:100">
      <c r="A16404" s="374"/>
      <c r="C16404" s="374"/>
      <c r="CV16404" s="376"/>
    </row>
    <row r="16405" spans="1:100">
      <c r="A16405" s="374"/>
      <c r="C16405" s="374"/>
      <c r="CV16405" s="376"/>
    </row>
    <row r="16406" spans="1:100">
      <c r="A16406" s="374"/>
      <c r="C16406" s="374"/>
      <c r="CV16406" s="376"/>
    </row>
    <row r="16407" spans="1:100">
      <c r="A16407" s="374"/>
      <c r="C16407" s="374"/>
      <c r="CV16407" s="376"/>
    </row>
    <row r="16408" spans="1:100">
      <c r="A16408" s="374"/>
      <c r="C16408" s="374"/>
      <c r="CV16408" s="376"/>
    </row>
    <row r="16409" spans="1:100">
      <c r="A16409" s="374"/>
      <c r="C16409" s="374"/>
      <c r="CV16409" s="376"/>
    </row>
    <row r="16410" spans="1:100">
      <c r="A16410" s="374"/>
      <c r="C16410" s="374"/>
      <c r="CV16410" s="376"/>
    </row>
    <row r="16411" spans="1:100">
      <c r="A16411" s="374"/>
      <c r="C16411" s="374"/>
      <c r="CV16411" s="376"/>
    </row>
    <row r="16412" spans="1:100">
      <c r="A16412" s="374"/>
      <c r="C16412" s="374"/>
      <c r="CV16412" s="376"/>
    </row>
    <row r="16413" spans="1:100">
      <c r="A16413" s="374"/>
      <c r="C16413" s="374"/>
      <c r="CV16413" s="376"/>
    </row>
    <row r="16414" spans="1:100">
      <c r="A16414" s="374"/>
      <c r="C16414" s="374"/>
      <c r="CV16414" s="376"/>
    </row>
    <row r="16415" spans="1:100">
      <c r="A16415" s="374"/>
      <c r="C16415" s="374"/>
      <c r="CV16415" s="376"/>
    </row>
    <row r="16416" spans="1:100">
      <c r="A16416" s="374"/>
      <c r="C16416" s="374"/>
      <c r="CV16416" s="376"/>
    </row>
    <row r="16417" spans="1:100">
      <c r="A16417" s="374"/>
      <c r="C16417" s="374"/>
      <c r="CV16417" s="376"/>
    </row>
    <row r="16418" spans="1:100">
      <c r="A16418" s="374"/>
      <c r="C16418" s="374"/>
      <c r="CV16418" s="376"/>
    </row>
    <row r="16419" spans="1:100">
      <c r="A16419" s="374"/>
      <c r="C16419" s="374"/>
      <c r="CV16419" s="376"/>
    </row>
    <row r="16420" spans="1:100">
      <c r="A16420" s="374"/>
      <c r="C16420" s="374"/>
      <c r="CV16420" s="376"/>
    </row>
    <row r="16421" spans="1:100">
      <c r="A16421" s="374"/>
      <c r="C16421" s="374"/>
      <c r="CV16421" s="376"/>
    </row>
    <row r="16422" spans="1:100">
      <c r="A16422" s="374"/>
      <c r="C16422" s="374"/>
      <c r="CV16422" s="376"/>
    </row>
    <row r="16423" spans="1:100">
      <c r="A16423" s="374"/>
      <c r="C16423" s="374"/>
      <c r="CV16423" s="376"/>
    </row>
    <row r="16424" spans="1:100">
      <c r="A16424" s="374"/>
      <c r="C16424" s="374"/>
      <c r="CV16424" s="376"/>
    </row>
    <row r="16425" spans="1:100">
      <c r="A16425" s="374"/>
      <c r="C16425" s="374"/>
      <c r="CV16425" s="376"/>
    </row>
    <row r="16426" spans="1:100">
      <c r="A16426" s="374"/>
      <c r="C16426" s="374"/>
      <c r="CV16426" s="376"/>
    </row>
    <row r="16427" spans="1:100">
      <c r="A16427" s="374"/>
      <c r="C16427" s="374"/>
      <c r="CV16427" s="376"/>
    </row>
    <row r="16428" spans="1:100">
      <c r="A16428" s="374"/>
      <c r="C16428" s="374"/>
      <c r="CV16428" s="376"/>
    </row>
    <row r="16429" spans="1:100">
      <c r="A16429" s="374"/>
      <c r="C16429" s="374"/>
      <c r="CV16429" s="376"/>
    </row>
    <row r="16430" spans="1:100">
      <c r="A16430" s="374"/>
      <c r="C16430" s="374"/>
      <c r="CV16430" s="376"/>
    </row>
    <row r="16431" spans="1:100">
      <c r="A16431" s="374"/>
      <c r="C16431" s="374"/>
      <c r="CV16431" s="376"/>
    </row>
    <row r="16432" spans="1:100">
      <c r="A16432" s="374"/>
      <c r="C16432" s="374"/>
      <c r="CV16432" s="376"/>
    </row>
    <row r="16433" spans="1:100">
      <c r="A16433" s="374"/>
      <c r="C16433" s="374"/>
      <c r="CV16433" s="376"/>
    </row>
    <row r="16434" spans="1:100">
      <c r="A16434" s="374"/>
      <c r="C16434" s="374"/>
      <c r="CV16434" s="376"/>
    </row>
    <row r="16435" spans="1:100">
      <c r="A16435" s="374"/>
      <c r="C16435" s="374"/>
      <c r="CV16435" s="376"/>
    </row>
    <row r="16436" spans="1:100">
      <c r="A16436" s="374"/>
      <c r="C16436" s="374"/>
      <c r="CV16436" s="376"/>
    </row>
    <row r="16437" spans="1:100">
      <c r="A16437" s="374"/>
      <c r="C16437" s="374"/>
      <c r="CV16437" s="376"/>
    </row>
    <row r="16438" spans="1:100">
      <c r="A16438" s="374"/>
      <c r="C16438" s="374"/>
      <c r="CV16438" s="376"/>
    </row>
    <row r="16439" spans="1:100">
      <c r="A16439" s="374"/>
      <c r="C16439" s="374"/>
      <c r="CV16439" s="376"/>
    </row>
    <row r="16440" spans="1:100">
      <c r="A16440" s="374"/>
      <c r="C16440" s="374"/>
      <c r="CV16440" s="376"/>
    </row>
    <row r="16441" spans="1:100">
      <c r="A16441" s="374"/>
      <c r="C16441" s="374"/>
      <c r="CV16441" s="376"/>
    </row>
    <row r="16442" spans="1:100">
      <c r="A16442" s="374"/>
      <c r="C16442" s="374"/>
      <c r="CV16442" s="376"/>
    </row>
    <row r="16443" spans="1:100">
      <c r="A16443" s="374"/>
      <c r="C16443" s="374"/>
      <c r="CV16443" s="376"/>
    </row>
    <row r="16444" spans="1:100">
      <c r="A16444" s="374"/>
      <c r="C16444" s="374"/>
      <c r="CV16444" s="376"/>
    </row>
    <row r="16445" spans="1:100">
      <c r="A16445" s="374"/>
      <c r="C16445" s="374"/>
      <c r="CV16445" s="376"/>
    </row>
    <row r="16446" spans="1:100">
      <c r="A16446" s="374"/>
      <c r="C16446" s="374"/>
      <c r="CV16446" s="376"/>
    </row>
    <row r="16447" spans="1:100">
      <c r="A16447" s="374"/>
      <c r="C16447" s="374"/>
      <c r="CV16447" s="376"/>
    </row>
    <row r="16448" spans="1:100">
      <c r="A16448" s="374"/>
      <c r="C16448" s="374"/>
      <c r="CV16448" s="376"/>
    </row>
    <row r="16449" spans="1:100">
      <c r="A16449" s="374"/>
      <c r="C16449" s="374"/>
      <c r="CV16449" s="376"/>
    </row>
    <row r="16450" spans="1:100">
      <c r="A16450" s="374"/>
      <c r="C16450" s="374"/>
      <c r="CV16450" s="376"/>
    </row>
    <row r="16451" spans="1:100">
      <c r="A16451" s="374"/>
      <c r="C16451" s="374"/>
      <c r="CV16451" s="376"/>
    </row>
    <row r="16452" spans="1:100">
      <c r="A16452" s="374"/>
      <c r="C16452" s="374"/>
      <c r="CV16452" s="376"/>
    </row>
    <row r="16453" spans="1:100">
      <c r="A16453" s="374"/>
      <c r="C16453" s="374"/>
      <c r="CV16453" s="376"/>
    </row>
    <row r="16454" spans="1:100">
      <c r="A16454" s="374"/>
      <c r="C16454" s="374"/>
      <c r="CV16454" s="376"/>
    </row>
    <row r="16455" spans="1:100">
      <c r="A16455" s="374"/>
      <c r="C16455" s="374"/>
      <c r="CV16455" s="376"/>
    </row>
    <row r="16456" spans="1:100">
      <c r="A16456" s="374"/>
      <c r="C16456" s="374"/>
      <c r="CV16456" s="376"/>
    </row>
    <row r="16457" spans="1:100">
      <c r="A16457" s="374"/>
      <c r="C16457" s="374"/>
      <c r="CV16457" s="376"/>
    </row>
    <row r="16458" spans="1:100">
      <c r="A16458" s="374"/>
      <c r="C16458" s="374"/>
      <c r="CV16458" s="376"/>
    </row>
    <row r="16459" spans="1:100">
      <c r="A16459" s="374"/>
      <c r="C16459" s="374"/>
      <c r="CV16459" s="376"/>
    </row>
    <row r="16460" spans="1:100">
      <c r="A16460" s="374"/>
      <c r="C16460" s="374"/>
      <c r="CV16460" s="376"/>
    </row>
    <row r="16461" spans="1:100">
      <c r="A16461" s="374"/>
      <c r="C16461" s="374"/>
      <c r="CV16461" s="376"/>
    </row>
    <row r="16462" spans="1:100">
      <c r="A16462" s="374"/>
      <c r="C16462" s="374"/>
      <c r="CV16462" s="376"/>
    </row>
    <row r="16463" spans="1:100">
      <c r="A16463" s="374"/>
      <c r="C16463" s="374"/>
      <c r="CV16463" s="376"/>
    </row>
    <row r="16464" spans="1:100">
      <c r="A16464" s="374"/>
      <c r="C16464" s="374"/>
      <c r="CV16464" s="376"/>
    </row>
    <row r="16465" spans="1:100">
      <c r="A16465" s="374"/>
      <c r="C16465" s="374"/>
      <c r="CV16465" s="376"/>
    </row>
    <row r="16466" spans="1:100">
      <c r="A16466" s="374"/>
      <c r="C16466" s="374"/>
      <c r="CV16466" s="376"/>
    </row>
    <row r="16467" spans="1:100">
      <c r="A16467" s="374"/>
      <c r="C16467" s="374"/>
      <c r="CV16467" s="376"/>
    </row>
    <row r="16468" spans="1:100">
      <c r="A16468" s="374"/>
      <c r="C16468" s="374"/>
      <c r="CV16468" s="376"/>
    </row>
    <row r="16469" spans="1:100">
      <c r="A16469" s="374"/>
      <c r="C16469" s="374"/>
      <c r="CV16469" s="376"/>
    </row>
    <row r="16470" spans="1:100">
      <c r="A16470" s="374"/>
      <c r="C16470" s="374"/>
      <c r="CV16470" s="376"/>
    </row>
    <row r="16471" spans="1:100">
      <c r="A16471" s="374"/>
      <c r="C16471" s="374"/>
      <c r="CV16471" s="376"/>
    </row>
    <row r="16472" spans="1:100">
      <c r="A16472" s="374"/>
      <c r="C16472" s="374"/>
      <c r="CV16472" s="376"/>
    </row>
    <row r="16473" spans="1:100">
      <c r="A16473" s="374"/>
      <c r="C16473" s="374"/>
      <c r="CV16473" s="376"/>
    </row>
    <row r="16474" spans="1:100">
      <c r="A16474" s="374"/>
      <c r="C16474" s="374"/>
      <c r="CV16474" s="376"/>
    </row>
    <row r="16475" spans="1:100">
      <c r="A16475" s="374"/>
      <c r="C16475" s="374"/>
      <c r="CV16475" s="376"/>
    </row>
    <row r="16476" spans="1:100">
      <c r="A16476" s="374"/>
      <c r="C16476" s="374"/>
      <c r="CV16476" s="376"/>
    </row>
    <row r="16477" spans="1:100">
      <c r="A16477" s="374"/>
      <c r="C16477" s="374"/>
      <c r="CV16477" s="376"/>
    </row>
    <row r="16478" spans="1:100">
      <c r="A16478" s="374"/>
      <c r="C16478" s="374"/>
      <c r="CV16478" s="376"/>
    </row>
    <row r="16479" spans="1:100">
      <c r="A16479" s="374"/>
      <c r="C16479" s="374"/>
      <c r="CV16479" s="376"/>
    </row>
    <row r="16480" spans="1:100">
      <c r="A16480" s="374"/>
      <c r="C16480" s="374"/>
      <c r="CV16480" s="376"/>
    </row>
    <row r="16481" spans="1:100">
      <c r="A16481" s="374"/>
      <c r="C16481" s="374"/>
      <c r="CV16481" s="376"/>
    </row>
    <row r="16482" spans="1:100">
      <c r="A16482" s="374"/>
      <c r="C16482" s="374"/>
      <c r="CV16482" s="376"/>
    </row>
    <row r="16483" spans="1:100">
      <c r="A16483" s="374"/>
      <c r="C16483" s="374"/>
      <c r="CV16483" s="376"/>
    </row>
    <row r="16484" spans="1:100">
      <c r="A16484" s="374"/>
      <c r="C16484" s="374"/>
      <c r="CV16484" s="376"/>
    </row>
    <row r="16485" spans="1:100">
      <c r="A16485" s="374"/>
      <c r="C16485" s="374"/>
      <c r="CV16485" s="376"/>
    </row>
    <row r="16486" spans="1:100">
      <c r="A16486" s="374"/>
      <c r="C16486" s="374"/>
      <c r="CV16486" s="376"/>
    </row>
    <row r="16487" spans="1:100">
      <c r="A16487" s="374"/>
      <c r="C16487" s="374"/>
      <c r="CV16487" s="376"/>
    </row>
    <row r="16488" spans="1:100">
      <c r="A16488" s="374"/>
      <c r="C16488" s="374"/>
      <c r="CV16488" s="376"/>
    </row>
    <row r="16489" spans="1:100">
      <c r="A16489" s="374"/>
      <c r="C16489" s="374"/>
      <c r="CV16489" s="376"/>
    </row>
    <row r="16490" spans="1:100">
      <c r="A16490" s="374"/>
      <c r="C16490" s="374"/>
      <c r="CV16490" s="376"/>
    </row>
    <row r="16491" spans="1:100">
      <c r="A16491" s="374"/>
      <c r="C16491" s="374"/>
      <c r="CV16491" s="376"/>
    </row>
    <row r="16492" spans="1:100">
      <c r="A16492" s="374"/>
      <c r="C16492" s="374"/>
      <c r="CV16492" s="376"/>
    </row>
    <row r="16493" spans="1:100">
      <c r="A16493" s="374"/>
      <c r="C16493" s="374"/>
      <c r="CV16493" s="376"/>
    </row>
    <row r="16494" spans="1:100">
      <c r="A16494" s="374"/>
      <c r="C16494" s="374"/>
      <c r="CV16494" s="376"/>
    </row>
    <row r="16495" spans="1:100">
      <c r="A16495" s="374"/>
      <c r="C16495" s="374"/>
      <c r="CV16495" s="376"/>
    </row>
    <row r="16496" spans="1:100">
      <c r="A16496" s="374"/>
      <c r="C16496" s="374"/>
      <c r="CV16496" s="376"/>
    </row>
    <row r="16497" spans="1:100">
      <c r="A16497" s="374"/>
      <c r="C16497" s="374"/>
      <c r="CV16497" s="376"/>
    </row>
    <row r="16498" spans="1:100">
      <c r="A16498" s="374"/>
      <c r="C16498" s="374"/>
      <c r="CV16498" s="376"/>
    </row>
    <row r="16499" spans="1:100">
      <c r="A16499" s="374"/>
      <c r="C16499" s="374"/>
      <c r="CV16499" s="376"/>
    </row>
    <row r="16500" spans="1:100">
      <c r="A16500" s="374"/>
      <c r="C16500" s="374"/>
      <c r="CV16500" s="376"/>
    </row>
    <row r="16501" spans="1:100">
      <c r="A16501" s="374"/>
      <c r="C16501" s="374"/>
      <c r="CV16501" s="376"/>
    </row>
    <row r="16502" spans="1:100">
      <c r="A16502" s="374"/>
      <c r="C16502" s="374"/>
      <c r="CV16502" s="376"/>
    </row>
    <row r="16503" spans="1:100">
      <c r="A16503" s="374"/>
      <c r="C16503" s="374"/>
      <c r="CV16503" s="376"/>
    </row>
    <row r="16504" spans="1:100">
      <c r="A16504" s="374"/>
      <c r="C16504" s="374"/>
      <c r="CV16504" s="376"/>
    </row>
    <row r="16505" spans="1:100">
      <c r="A16505" s="374"/>
      <c r="C16505" s="374"/>
      <c r="CV16505" s="376"/>
    </row>
    <row r="16506" spans="1:100">
      <c r="A16506" s="374"/>
      <c r="C16506" s="374"/>
      <c r="CV16506" s="376"/>
    </row>
    <row r="16507" spans="1:100">
      <c r="A16507" s="374"/>
      <c r="C16507" s="374"/>
      <c r="CV16507" s="376"/>
    </row>
    <row r="16508" spans="1:100">
      <c r="A16508" s="374"/>
      <c r="C16508" s="374"/>
      <c r="CV16508" s="376"/>
    </row>
    <row r="16509" spans="1:100">
      <c r="A16509" s="374"/>
      <c r="C16509" s="374"/>
      <c r="CV16509" s="376"/>
    </row>
    <row r="16510" spans="1:100">
      <c r="A16510" s="374"/>
      <c r="C16510" s="374"/>
      <c r="CV16510" s="376"/>
    </row>
    <row r="16511" spans="1:100">
      <c r="A16511" s="374"/>
      <c r="C16511" s="374"/>
      <c r="CV16511" s="376"/>
    </row>
    <row r="16512" spans="1:100">
      <c r="A16512" s="374"/>
      <c r="C16512" s="374"/>
      <c r="CV16512" s="376"/>
    </row>
    <row r="16513" spans="1:100">
      <c r="A16513" s="374"/>
      <c r="C16513" s="374"/>
      <c r="CV16513" s="376"/>
    </row>
    <row r="16514" spans="1:100">
      <c r="A16514" s="374"/>
      <c r="C16514" s="374"/>
      <c r="CV16514" s="376"/>
    </row>
    <row r="16515" spans="1:100">
      <c r="A16515" s="374"/>
      <c r="C16515" s="374"/>
      <c r="CV16515" s="376"/>
    </row>
    <row r="16516" spans="1:100">
      <c r="A16516" s="374"/>
      <c r="C16516" s="374"/>
      <c r="CV16516" s="376"/>
    </row>
    <row r="16517" spans="1:100">
      <c r="A16517" s="374"/>
      <c r="C16517" s="374"/>
      <c r="CV16517" s="376"/>
    </row>
    <row r="16518" spans="1:100">
      <c r="A16518" s="374"/>
      <c r="C16518" s="374"/>
      <c r="CV16518" s="376"/>
    </row>
    <row r="16519" spans="1:100">
      <c r="A16519" s="374"/>
      <c r="C16519" s="374"/>
      <c r="CV16519" s="376"/>
    </row>
    <row r="16520" spans="1:100">
      <c r="A16520" s="374"/>
      <c r="C16520" s="374"/>
      <c r="CV16520" s="376"/>
    </row>
    <row r="16521" spans="1:100">
      <c r="A16521" s="374"/>
      <c r="C16521" s="374"/>
      <c r="CV16521" s="376"/>
    </row>
    <row r="16522" spans="1:100">
      <c r="A16522" s="374"/>
      <c r="C16522" s="374"/>
      <c r="CV16522" s="376"/>
    </row>
    <row r="16523" spans="1:100">
      <c r="A16523" s="374"/>
      <c r="C16523" s="374"/>
      <c r="CV16523" s="376"/>
    </row>
    <row r="16524" spans="1:100">
      <c r="A16524" s="374"/>
      <c r="C16524" s="374"/>
      <c r="CV16524" s="376"/>
    </row>
    <row r="16525" spans="1:100">
      <c r="A16525" s="374"/>
      <c r="C16525" s="374"/>
      <c r="CV16525" s="376"/>
    </row>
    <row r="16526" spans="1:100">
      <c r="A16526" s="374"/>
      <c r="C16526" s="374"/>
      <c r="CV16526" s="376"/>
    </row>
    <row r="16527" spans="1:100">
      <c r="A16527" s="374"/>
      <c r="C16527" s="374"/>
      <c r="CV16527" s="376"/>
    </row>
    <row r="16528" spans="1:100">
      <c r="A16528" s="374"/>
      <c r="C16528" s="374"/>
      <c r="CV16528" s="376"/>
    </row>
    <row r="16529" spans="1:100">
      <c r="A16529" s="374"/>
      <c r="C16529" s="374"/>
      <c r="CV16529" s="376"/>
    </row>
    <row r="16530" spans="1:100">
      <c r="A16530" s="374"/>
      <c r="C16530" s="374"/>
      <c r="CV16530" s="376"/>
    </row>
    <row r="16531" spans="1:100">
      <c r="A16531" s="374"/>
      <c r="C16531" s="374"/>
      <c r="CV16531" s="376"/>
    </row>
    <row r="16532" spans="1:100">
      <c r="A16532" s="374"/>
      <c r="C16532" s="374"/>
      <c r="CV16532" s="376"/>
    </row>
    <row r="16533" spans="1:100">
      <c r="A16533" s="374"/>
      <c r="C16533" s="374"/>
      <c r="CV16533" s="376"/>
    </row>
    <row r="16534" spans="1:100">
      <c r="A16534" s="374"/>
      <c r="C16534" s="374"/>
      <c r="CV16534" s="376"/>
    </row>
    <row r="16535" spans="1:100">
      <c r="A16535" s="374"/>
      <c r="C16535" s="374"/>
      <c r="CV16535" s="376"/>
    </row>
    <row r="16536" spans="1:100">
      <c r="A16536" s="374"/>
      <c r="C16536" s="374"/>
      <c r="CV16536" s="376"/>
    </row>
    <row r="16537" spans="1:100">
      <c r="A16537" s="374"/>
      <c r="C16537" s="374"/>
      <c r="CV16537" s="376"/>
    </row>
    <row r="16538" spans="1:100">
      <c r="A16538" s="374"/>
      <c r="C16538" s="374"/>
      <c r="CV16538" s="376"/>
    </row>
    <row r="16539" spans="1:100">
      <c r="A16539" s="374"/>
      <c r="C16539" s="374"/>
      <c r="CV16539" s="376"/>
    </row>
    <row r="16540" spans="1:100">
      <c r="A16540" s="374"/>
      <c r="C16540" s="374"/>
      <c r="CV16540" s="376"/>
    </row>
    <row r="16541" spans="1:100">
      <c r="A16541" s="374"/>
      <c r="C16541" s="374"/>
      <c r="CV16541" s="376"/>
    </row>
    <row r="16542" spans="1:100">
      <c r="A16542" s="374"/>
      <c r="C16542" s="374"/>
      <c r="CV16542" s="376"/>
    </row>
    <row r="16543" spans="1:100">
      <c r="A16543" s="374"/>
      <c r="C16543" s="374"/>
      <c r="CV16543" s="376"/>
    </row>
    <row r="16544" spans="1:100">
      <c r="A16544" s="374"/>
      <c r="C16544" s="374"/>
      <c r="CV16544" s="376"/>
    </row>
    <row r="16545" spans="1:100">
      <c r="A16545" s="374"/>
      <c r="C16545" s="374"/>
      <c r="CV16545" s="376"/>
    </row>
    <row r="16546" spans="1:100">
      <c r="A16546" s="374"/>
      <c r="C16546" s="374"/>
      <c r="CV16546" s="376"/>
    </row>
    <row r="16547" spans="1:100">
      <c r="A16547" s="374"/>
      <c r="C16547" s="374"/>
      <c r="CV16547" s="376"/>
    </row>
    <row r="16548" spans="1:100">
      <c r="A16548" s="374"/>
      <c r="C16548" s="374"/>
      <c r="CV16548" s="376"/>
    </row>
    <row r="16549" spans="1:100">
      <c r="A16549" s="374"/>
      <c r="C16549" s="374"/>
      <c r="CV16549" s="376"/>
    </row>
    <row r="16550" spans="1:100">
      <c r="A16550" s="374"/>
      <c r="C16550" s="374"/>
      <c r="CV16550" s="376"/>
    </row>
    <row r="16551" spans="1:100">
      <c r="A16551" s="374"/>
      <c r="C16551" s="374"/>
      <c r="CV16551" s="376"/>
    </row>
    <row r="16552" spans="1:100">
      <c r="A16552" s="374"/>
      <c r="C16552" s="374"/>
      <c r="CV16552" s="376"/>
    </row>
    <row r="16553" spans="1:100">
      <c r="A16553" s="374"/>
      <c r="C16553" s="374"/>
      <c r="CV16553" s="376"/>
    </row>
    <row r="16554" spans="1:100">
      <c r="A16554" s="374"/>
      <c r="C16554" s="374"/>
      <c r="CV16554" s="376"/>
    </row>
    <row r="16555" spans="1:100">
      <c r="A16555" s="374"/>
      <c r="C16555" s="374"/>
      <c r="CV16555" s="376"/>
    </row>
    <row r="16556" spans="1:100">
      <c r="A16556" s="374"/>
      <c r="C16556" s="374"/>
      <c r="CV16556" s="376"/>
    </row>
    <row r="16557" spans="1:100">
      <c r="A16557" s="374"/>
      <c r="C16557" s="374"/>
      <c r="CV16557" s="376"/>
    </row>
    <row r="16558" spans="1:100">
      <c r="A16558" s="374"/>
      <c r="C16558" s="374"/>
      <c r="CV16558" s="376"/>
    </row>
    <row r="16559" spans="1:100">
      <c r="A16559" s="374"/>
      <c r="C16559" s="374"/>
      <c r="CV16559" s="376"/>
    </row>
    <row r="16560" spans="1:100">
      <c r="A16560" s="374"/>
      <c r="C16560" s="374"/>
      <c r="CV16560" s="376"/>
    </row>
    <row r="16561" spans="1:100">
      <c r="A16561" s="374"/>
      <c r="C16561" s="374"/>
      <c r="CV16561" s="376"/>
    </row>
    <row r="16562" spans="1:100">
      <c r="A16562" s="374"/>
      <c r="C16562" s="374"/>
      <c r="CV16562" s="376"/>
    </row>
    <row r="16563" spans="1:100">
      <c r="A16563" s="374"/>
      <c r="C16563" s="374"/>
      <c r="CV16563" s="376"/>
    </row>
    <row r="16564" spans="1:100">
      <c r="A16564" s="374"/>
      <c r="C16564" s="374"/>
      <c r="CV16564" s="376"/>
    </row>
    <row r="16565" spans="1:100">
      <c r="A16565" s="374"/>
      <c r="C16565" s="374"/>
      <c r="CV16565" s="376"/>
    </row>
    <row r="16566" spans="1:100">
      <c r="A16566" s="374"/>
      <c r="C16566" s="374"/>
      <c r="CV16566" s="376"/>
    </row>
    <row r="16567" spans="1:100">
      <c r="A16567" s="374"/>
      <c r="C16567" s="374"/>
      <c r="CV16567" s="376"/>
    </row>
    <row r="16568" spans="1:100">
      <c r="A16568" s="374"/>
      <c r="C16568" s="374"/>
      <c r="CV16568" s="376"/>
    </row>
    <row r="16569" spans="1:100">
      <c r="A16569" s="374"/>
      <c r="C16569" s="374"/>
      <c r="CV16569" s="376"/>
    </row>
    <row r="16570" spans="1:100">
      <c r="A16570" s="374"/>
      <c r="C16570" s="374"/>
      <c r="CV16570" s="376"/>
    </row>
    <row r="16571" spans="1:100">
      <c r="A16571" s="374"/>
      <c r="C16571" s="374"/>
      <c r="CV16571" s="376"/>
    </row>
    <row r="16572" spans="1:100">
      <c r="A16572" s="374"/>
      <c r="C16572" s="374"/>
      <c r="CV16572" s="376"/>
    </row>
    <row r="16573" spans="1:100">
      <c r="A16573" s="374"/>
      <c r="C16573" s="374"/>
      <c r="CV16573" s="376"/>
    </row>
    <row r="16574" spans="1:100">
      <c r="A16574" s="374"/>
      <c r="C16574" s="374"/>
      <c r="CV16574" s="376"/>
    </row>
    <row r="16575" spans="1:100">
      <c r="A16575" s="374"/>
      <c r="C16575" s="374"/>
      <c r="CV16575" s="376"/>
    </row>
    <row r="16576" spans="1:100">
      <c r="A16576" s="374"/>
      <c r="C16576" s="374"/>
      <c r="CV16576" s="376"/>
    </row>
    <row r="16577" spans="1:100">
      <c r="A16577" s="374"/>
      <c r="C16577" s="374"/>
      <c r="CV16577" s="376"/>
    </row>
    <row r="16578" spans="1:100">
      <c r="A16578" s="374"/>
      <c r="C16578" s="374"/>
      <c r="CV16578" s="376"/>
    </row>
    <row r="16579" spans="1:100">
      <c r="A16579" s="374"/>
      <c r="C16579" s="374"/>
      <c r="CV16579" s="376"/>
    </row>
    <row r="16580" spans="1:100">
      <c r="A16580" s="374"/>
      <c r="C16580" s="374"/>
      <c r="CV16580" s="376"/>
    </row>
    <row r="16581" spans="1:100">
      <c r="A16581" s="374"/>
      <c r="C16581" s="374"/>
      <c r="CV16581" s="376"/>
    </row>
    <row r="16582" spans="1:100">
      <c r="A16582" s="374"/>
      <c r="C16582" s="374"/>
      <c r="CV16582" s="376"/>
    </row>
    <row r="16583" spans="1:100">
      <c r="A16583" s="374"/>
      <c r="C16583" s="374"/>
      <c r="CV16583" s="376"/>
    </row>
    <row r="16584" spans="1:100">
      <c r="A16584" s="374"/>
      <c r="C16584" s="374"/>
      <c r="CV16584" s="376"/>
    </row>
    <row r="16585" spans="1:100">
      <c r="A16585" s="374"/>
      <c r="C16585" s="374"/>
      <c r="CV16585" s="376"/>
    </row>
    <row r="16586" spans="1:100">
      <c r="A16586" s="374"/>
      <c r="C16586" s="374"/>
      <c r="CV16586" s="376"/>
    </row>
    <row r="16587" spans="1:100">
      <c r="A16587" s="374"/>
      <c r="C16587" s="374"/>
      <c r="CV16587" s="376"/>
    </row>
    <row r="16588" spans="1:100">
      <c r="A16588" s="374"/>
      <c r="C16588" s="374"/>
      <c r="CV16588" s="376"/>
    </row>
    <row r="16589" spans="1:100">
      <c r="A16589" s="374"/>
      <c r="C16589" s="374"/>
      <c r="CV16589" s="376"/>
    </row>
    <row r="16590" spans="1:100">
      <c r="A16590" s="374"/>
      <c r="C16590" s="374"/>
      <c r="CV16590" s="376"/>
    </row>
    <row r="16591" spans="1:100">
      <c r="A16591" s="374"/>
      <c r="C16591" s="374"/>
      <c r="CV16591" s="376"/>
    </row>
    <row r="16592" spans="1:100">
      <c r="A16592" s="374"/>
      <c r="C16592" s="374"/>
      <c r="CV16592" s="376"/>
    </row>
    <row r="16593" spans="1:100">
      <c r="A16593" s="374"/>
      <c r="C16593" s="374"/>
      <c r="CV16593" s="376"/>
    </row>
    <row r="16594" spans="1:100">
      <c r="A16594" s="374"/>
      <c r="C16594" s="374"/>
      <c r="CV16594" s="376"/>
    </row>
    <row r="16595" spans="1:100">
      <c r="A16595" s="374"/>
      <c r="C16595" s="374"/>
      <c r="CV16595" s="376"/>
    </row>
    <row r="16596" spans="1:100">
      <c r="A16596" s="374"/>
      <c r="C16596" s="374"/>
      <c r="CV16596" s="376"/>
    </row>
    <row r="16597" spans="1:100">
      <c r="A16597" s="374"/>
      <c r="C16597" s="374"/>
      <c r="CV16597" s="376"/>
    </row>
    <row r="16598" spans="1:100">
      <c r="A16598" s="374"/>
      <c r="C16598" s="374"/>
      <c r="CV16598" s="376"/>
    </row>
    <row r="16599" spans="1:100">
      <c r="A16599" s="374"/>
      <c r="C16599" s="374"/>
      <c r="CV16599" s="376"/>
    </row>
    <row r="16600" spans="1:100">
      <c r="A16600" s="374"/>
      <c r="C16600" s="374"/>
      <c r="CV16600" s="376"/>
    </row>
    <row r="16601" spans="1:100">
      <c r="A16601" s="374"/>
      <c r="C16601" s="374"/>
      <c r="CV16601" s="376"/>
    </row>
    <row r="16602" spans="1:100">
      <c r="A16602" s="374"/>
      <c r="C16602" s="374"/>
      <c r="CV16602" s="376"/>
    </row>
    <row r="16603" spans="1:100">
      <c r="A16603" s="374"/>
      <c r="C16603" s="374"/>
      <c r="CV16603" s="376"/>
    </row>
    <row r="16604" spans="1:100">
      <c r="A16604" s="374"/>
      <c r="C16604" s="374"/>
      <c r="CV16604" s="376"/>
    </row>
    <row r="16605" spans="1:100">
      <c r="A16605" s="374"/>
      <c r="C16605" s="374"/>
      <c r="CV16605" s="376"/>
    </row>
    <row r="16606" spans="1:100">
      <c r="A16606" s="374"/>
      <c r="C16606" s="374"/>
      <c r="CV16606" s="376"/>
    </row>
    <row r="16607" spans="1:100">
      <c r="A16607" s="374"/>
      <c r="C16607" s="374"/>
      <c r="CV16607" s="376"/>
    </row>
    <row r="16608" spans="1:100">
      <c r="A16608" s="374"/>
      <c r="C16608" s="374"/>
      <c r="CV16608" s="376"/>
    </row>
    <row r="16609" spans="1:100">
      <c r="A16609" s="374"/>
      <c r="C16609" s="374"/>
      <c r="CV16609" s="376"/>
    </row>
    <row r="16610" spans="1:100">
      <c r="A16610" s="374"/>
      <c r="C16610" s="374"/>
      <c r="CV16610" s="376"/>
    </row>
    <row r="16611" spans="1:100">
      <c r="A16611" s="374"/>
      <c r="C16611" s="374"/>
      <c r="CV16611" s="376"/>
    </row>
    <row r="16612" spans="1:100">
      <c r="A16612" s="374"/>
      <c r="C16612" s="374"/>
      <c r="CV16612" s="376"/>
    </row>
    <row r="16613" spans="1:100">
      <c r="A16613" s="374"/>
      <c r="C16613" s="374"/>
      <c r="CV16613" s="376"/>
    </row>
    <row r="16614" spans="1:100">
      <c r="A16614" s="374"/>
      <c r="C16614" s="374"/>
      <c r="CV16614" s="376"/>
    </row>
    <row r="16615" spans="1:100">
      <c r="A16615" s="374"/>
      <c r="C16615" s="374"/>
      <c r="CV16615" s="376"/>
    </row>
    <row r="16616" spans="1:100">
      <c r="A16616" s="374"/>
      <c r="C16616" s="374"/>
      <c r="CV16616" s="376"/>
    </row>
    <row r="16617" spans="1:100">
      <c r="A16617" s="374"/>
      <c r="C16617" s="374"/>
      <c r="CV16617" s="376"/>
    </row>
    <row r="16618" spans="1:100">
      <c r="A16618" s="374"/>
      <c r="C16618" s="374"/>
      <c r="CV16618" s="376"/>
    </row>
    <row r="16619" spans="1:100">
      <c r="A16619" s="374"/>
      <c r="C16619" s="374"/>
      <c r="CV16619" s="376"/>
    </row>
    <row r="16620" spans="1:100">
      <c r="A16620" s="374"/>
      <c r="C16620" s="374"/>
      <c r="CV16620" s="376"/>
    </row>
    <row r="16621" spans="1:100">
      <c r="A16621" s="374"/>
      <c r="C16621" s="374"/>
      <c r="CV16621" s="376"/>
    </row>
    <row r="16622" spans="1:100">
      <c r="A16622" s="374"/>
      <c r="C16622" s="374"/>
      <c r="CV16622" s="376"/>
    </row>
    <row r="16623" spans="1:100">
      <c r="A16623" s="374"/>
      <c r="C16623" s="374"/>
      <c r="CV16623" s="376"/>
    </row>
    <row r="16624" spans="1:100">
      <c r="A16624" s="374"/>
      <c r="C16624" s="374"/>
      <c r="CV16624" s="376"/>
    </row>
    <row r="16625" spans="1:100">
      <c r="A16625" s="374"/>
      <c r="C16625" s="374"/>
      <c r="CV16625" s="376"/>
    </row>
    <row r="16626" spans="1:100">
      <c r="A16626" s="374"/>
      <c r="C16626" s="374"/>
      <c r="CV16626" s="376"/>
    </row>
    <row r="16627" spans="1:100">
      <c r="A16627" s="374"/>
      <c r="C16627" s="374"/>
      <c r="CV16627" s="376"/>
    </row>
    <row r="16628" spans="1:100">
      <c r="A16628" s="374"/>
      <c r="C16628" s="374"/>
      <c r="CV16628" s="376"/>
    </row>
    <row r="16629" spans="1:100">
      <c r="A16629" s="374"/>
      <c r="C16629" s="374"/>
      <c r="CV16629" s="376"/>
    </row>
    <row r="16630" spans="1:100">
      <c r="A16630" s="374"/>
      <c r="C16630" s="374"/>
      <c r="CV16630" s="376"/>
    </row>
    <row r="16631" spans="1:100">
      <c r="A16631" s="374"/>
      <c r="C16631" s="374"/>
      <c r="CV16631" s="376"/>
    </row>
    <row r="16632" spans="1:100">
      <c r="A16632" s="374"/>
      <c r="C16632" s="374"/>
      <c r="CV16632" s="376"/>
    </row>
    <row r="16633" spans="1:100">
      <c r="A16633" s="374"/>
      <c r="C16633" s="374"/>
      <c r="CV16633" s="376"/>
    </row>
    <row r="16634" spans="1:100">
      <c r="A16634" s="374"/>
      <c r="C16634" s="374"/>
      <c r="CV16634" s="376"/>
    </row>
    <row r="16635" spans="1:100">
      <c r="A16635" s="374"/>
      <c r="C16635" s="374"/>
      <c r="CV16635" s="376"/>
    </row>
    <row r="16636" spans="1:100">
      <c r="A16636" s="374"/>
      <c r="C16636" s="374"/>
      <c r="CV16636" s="376"/>
    </row>
    <row r="16637" spans="1:100">
      <c r="A16637" s="374"/>
      <c r="C16637" s="374"/>
      <c r="CV16637" s="376"/>
    </row>
    <row r="16638" spans="1:100">
      <c r="A16638" s="374"/>
      <c r="C16638" s="374"/>
      <c r="CV16638" s="376"/>
    </row>
    <row r="16639" spans="1:100">
      <c r="A16639" s="374"/>
      <c r="C16639" s="374"/>
      <c r="CV16639" s="376"/>
    </row>
    <row r="16640" spans="1:100">
      <c r="A16640" s="374"/>
      <c r="C16640" s="374"/>
      <c r="CV16640" s="376"/>
    </row>
    <row r="16641" spans="1:100">
      <c r="A16641" s="374"/>
      <c r="C16641" s="374"/>
      <c r="CV16641" s="376"/>
    </row>
    <row r="16642" spans="1:100">
      <c r="A16642" s="374"/>
      <c r="C16642" s="374"/>
      <c r="CV16642" s="376"/>
    </row>
    <row r="16643" spans="1:100">
      <c r="A16643" s="374"/>
      <c r="C16643" s="374"/>
      <c r="CV16643" s="376"/>
    </row>
    <row r="16644" spans="1:100">
      <c r="A16644" s="374"/>
      <c r="C16644" s="374"/>
      <c r="CV16644" s="376"/>
    </row>
    <row r="16645" spans="1:100">
      <c r="A16645" s="374"/>
      <c r="C16645" s="374"/>
      <c r="CV16645" s="376"/>
    </row>
    <row r="16646" spans="1:100">
      <c r="A16646" s="374"/>
      <c r="C16646" s="374"/>
      <c r="CV16646" s="376"/>
    </row>
    <row r="16647" spans="1:100">
      <c r="A16647" s="374"/>
      <c r="C16647" s="374"/>
      <c r="CV16647" s="376"/>
    </row>
    <row r="16648" spans="1:100">
      <c r="A16648" s="374"/>
      <c r="C16648" s="374"/>
      <c r="CV16648" s="376"/>
    </row>
    <row r="16649" spans="1:100">
      <c r="A16649" s="374"/>
      <c r="C16649" s="374"/>
      <c r="CV16649" s="376"/>
    </row>
    <row r="16650" spans="1:100">
      <c r="A16650" s="374"/>
      <c r="C16650" s="374"/>
      <c r="CV16650" s="376"/>
    </row>
    <row r="16651" spans="1:100">
      <c r="A16651" s="374"/>
      <c r="C16651" s="374"/>
      <c r="CV16651" s="376"/>
    </row>
    <row r="16652" spans="1:100">
      <c r="A16652" s="374"/>
      <c r="C16652" s="374"/>
      <c r="CV16652" s="376"/>
    </row>
    <row r="16653" spans="1:100">
      <c r="A16653" s="374"/>
      <c r="C16653" s="374"/>
      <c r="CV16653" s="376"/>
    </row>
    <row r="16654" spans="1:100">
      <c r="A16654" s="374"/>
      <c r="C16654" s="374"/>
      <c r="CV16654" s="376"/>
    </row>
    <row r="16655" spans="1:100">
      <c r="A16655" s="374"/>
      <c r="C16655" s="374"/>
      <c r="CV16655" s="376"/>
    </row>
    <row r="16656" spans="1:100">
      <c r="A16656" s="374"/>
      <c r="C16656" s="374"/>
      <c r="CV16656" s="376"/>
    </row>
    <row r="16657" spans="1:100">
      <c r="A16657" s="374"/>
      <c r="C16657" s="374"/>
      <c r="CV16657" s="376"/>
    </row>
    <row r="16658" spans="1:100">
      <c r="A16658" s="374"/>
      <c r="C16658" s="374"/>
      <c r="CV16658" s="376"/>
    </row>
    <row r="16659" spans="1:100">
      <c r="A16659" s="374"/>
      <c r="C16659" s="374"/>
      <c r="CV16659" s="376"/>
    </row>
    <row r="16660" spans="1:100">
      <c r="A16660" s="374"/>
      <c r="C16660" s="374"/>
      <c r="CV16660" s="376"/>
    </row>
    <row r="16661" spans="1:100">
      <c r="A16661" s="374"/>
      <c r="C16661" s="374"/>
      <c r="CV16661" s="376"/>
    </row>
    <row r="16662" spans="1:100">
      <c r="A16662" s="374"/>
      <c r="C16662" s="374"/>
      <c r="CV16662" s="376"/>
    </row>
    <row r="16663" spans="1:100">
      <c r="A16663" s="374"/>
      <c r="C16663" s="374"/>
      <c r="CV16663" s="376"/>
    </row>
    <row r="16664" spans="1:100">
      <c r="A16664" s="374"/>
      <c r="C16664" s="374"/>
      <c r="CV16664" s="376"/>
    </row>
    <row r="16665" spans="1:100">
      <c r="A16665" s="374"/>
      <c r="C16665" s="374"/>
      <c r="CV16665" s="376"/>
    </row>
    <row r="16666" spans="1:100">
      <c r="A16666" s="374"/>
      <c r="C16666" s="374"/>
      <c r="CV16666" s="376"/>
    </row>
    <row r="16667" spans="1:100">
      <c r="A16667" s="374"/>
      <c r="C16667" s="374"/>
      <c r="CV16667" s="376"/>
    </row>
    <row r="16668" spans="1:100">
      <c r="A16668" s="374"/>
      <c r="C16668" s="374"/>
      <c r="CV16668" s="376"/>
    </row>
    <row r="16669" spans="1:100">
      <c r="A16669" s="374"/>
      <c r="C16669" s="374"/>
      <c r="CV16669" s="376"/>
    </row>
    <row r="16670" spans="1:100">
      <c r="A16670" s="374"/>
      <c r="C16670" s="374"/>
      <c r="CV16670" s="376"/>
    </row>
    <row r="16671" spans="1:100">
      <c r="A16671" s="374"/>
      <c r="C16671" s="374"/>
      <c r="CV16671" s="376"/>
    </row>
    <row r="16672" spans="1:100">
      <c r="A16672" s="374"/>
      <c r="C16672" s="374"/>
      <c r="CV16672" s="376"/>
    </row>
    <row r="16673" spans="1:100">
      <c r="A16673" s="374"/>
      <c r="C16673" s="374"/>
      <c r="CV16673" s="376"/>
    </row>
    <row r="16674" spans="1:100">
      <c r="A16674" s="374"/>
      <c r="C16674" s="374"/>
      <c r="CV16674" s="376"/>
    </row>
    <row r="16675" spans="1:100">
      <c r="A16675" s="374"/>
      <c r="C16675" s="374"/>
      <c r="CV16675" s="376"/>
    </row>
    <row r="16676" spans="1:100">
      <c r="A16676" s="374"/>
      <c r="C16676" s="374"/>
      <c r="CV16676" s="376"/>
    </row>
    <row r="16677" spans="1:100">
      <c r="A16677" s="374"/>
      <c r="C16677" s="374"/>
      <c r="CV16677" s="376"/>
    </row>
    <row r="16678" spans="1:100">
      <c r="A16678" s="374"/>
      <c r="C16678" s="374"/>
      <c r="CV16678" s="376"/>
    </row>
    <row r="16679" spans="1:100">
      <c r="A16679" s="374"/>
      <c r="C16679" s="374"/>
      <c r="CV16679" s="376"/>
    </row>
    <row r="16680" spans="1:100">
      <c r="A16680" s="374"/>
      <c r="C16680" s="374"/>
      <c r="CV16680" s="376"/>
    </row>
    <row r="16681" spans="1:100">
      <c r="A16681" s="374"/>
      <c r="C16681" s="374"/>
      <c r="CV16681" s="376"/>
    </row>
    <row r="16682" spans="1:100">
      <c r="A16682" s="374"/>
      <c r="C16682" s="374"/>
      <c r="CV16682" s="376"/>
    </row>
    <row r="16683" spans="1:100">
      <c r="A16683" s="374"/>
      <c r="C16683" s="374"/>
      <c r="CV16683" s="376"/>
    </row>
    <row r="16684" spans="1:100">
      <c r="A16684" s="374"/>
      <c r="C16684" s="374"/>
      <c r="CV16684" s="376"/>
    </row>
    <row r="16685" spans="1:100">
      <c r="A16685" s="374"/>
      <c r="C16685" s="374"/>
      <c r="CV16685" s="376"/>
    </row>
    <row r="16686" spans="1:100">
      <c r="A16686" s="374"/>
      <c r="C16686" s="374"/>
      <c r="CV16686" s="376"/>
    </row>
    <row r="16687" spans="1:100">
      <c r="A16687" s="374"/>
      <c r="C16687" s="374"/>
      <c r="CV16687" s="376"/>
    </row>
    <row r="16688" spans="1:100">
      <c r="A16688" s="374"/>
      <c r="C16688" s="374"/>
      <c r="CV16688" s="376"/>
    </row>
    <row r="16689" spans="1:100">
      <c r="A16689" s="374"/>
      <c r="C16689" s="374"/>
      <c r="CV16689" s="376"/>
    </row>
    <row r="16690" spans="1:100">
      <c r="A16690" s="374"/>
      <c r="C16690" s="374"/>
      <c r="CV16690" s="376"/>
    </row>
    <row r="16691" spans="1:100">
      <c r="A16691" s="374"/>
      <c r="C16691" s="374"/>
      <c r="CV16691" s="376"/>
    </row>
    <row r="16692" spans="1:100">
      <c r="A16692" s="374"/>
      <c r="C16692" s="374"/>
      <c r="CV16692" s="376"/>
    </row>
    <row r="16693" spans="1:100">
      <c r="A16693" s="374"/>
      <c r="C16693" s="374"/>
      <c r="CV16693" s="376"/>
    </row>
    <row r="16694" spans="1:100">
      <c r="A16694" s="374"/>
      <c r="C16694" s="374"/>
      <c r="CV16694" s="376"/>
    </row>
    <row r="16695" spans="1:100">
      <c r="A16695" s="374"/>
      <c r="C16695" s="374"/>
      <c r="CV16695" s="376"/>
    </row>
    <row r="16696" spans="1:100">
      <c r="A16696" s="374"/>
      <c r="C16696" s="374"/>
      <c r="CV16696" s="376"/>
    </row>
    <row r="16697" spans="1:100">
      <c r="A16697" s="374"/>
      <c r="C16697" s="374"/>
      <c r="CV16697" s="376"/>
    </row>
    <row r="16698" spans="1:100">
      <c r="A16698" s="374"/>
      <c r="C16698" s="374"/>
      <c r="CV16698" s="376"/>
    </row>
    <row r="16699" spans="1:100">
      <c r="A16699" s="374"/>
      <c r="C16699" s="374"/>
      <c r="CV16699" s="376"/>
    </row>
    <row r="16700" spans="1:100">
      <c r="A16700" s="374"/>
      <c r="C16700" s="374"/>
      <c r="CV16700" s="376"/>
    </row>
    <row r="16701" spans="1:100">
      <c r="A16701" s="374"/>
      <c r="C16701" s="374"/>
      <c r="CV16701" s="376"/>
    </row>
    <row r="16702" spans="1:100">
      <c r="A16702" s="374"/>
      <c r="C16702" s="374"/>
      <c r="CV16702" s="376"/>
    </row>
    <row r="16703" spans="1:100">
      <c r="A16703" s="374"/>
      <c r="C16703" s="374"/>
      <c r="CV16703" s="376"/>
    </row>
    <row r="16704" spans="1:100">
      <c r="A16704" s="374"/>
      <c r="C16704" s="374"/>
      <c r="CV16704" s="376"/>
    </row>
    <row r="16705" spans="1:100">
      <c r="A16705" s="374"/>
      <c r="C16705" s="374"/>
      <c r="CV16705" s="376"/>
    </row>
    <row r="16706" spans="1:100">
      <c r="A16706" s="374"/>
      <c r="C16706" s="374"/>
      <c r="CV16706" s="376"/>
    </row>
    <row r="16707" spans="1:100">
      <c r="A16707" s="374"/>
      <c r="C16707" s="374"/>
      <c r="CV16707" s="376"/>
    </row>
    <row r="16708" spans="1:100">
      <c r="A16708" s="374"/>
      <c r="C16708" s="374"/>
      <c r="CV16708" s="376"/>
    </row>
    <row r="16709" spans="1:100">
      <c r="A16709" s="374"/>
      <c r="C16709" s="374"/>
      <c r="CV16709" s="376"/>
    </row>
    <row r="16710" spans="1:100">
      <c r="A16710" s="374"/>
      <c r="C16710" s="374"/>
      <c r="CV16710" s="376"/>
    </row>
    <row r="16711" spans="1:100">
      <c r="A16711" s="374"/>
      <c r="C16711" s="374"/>
      <c r="CV16711" s="376"/>
    </row>
    <row r="16712" spans="1:100">
      <c r="A16712" s="374"/>
      <c r="C16712" s="374"/>
      <c r="CV16712" s="376"/>
    </row>
    <row r="16713" spans="1:100">
      <c r="A16713" s="374"/>
      <c r="C16713" s="374"/>
      <c r="CV16713" s="376"/>
    </row>
    <row r="16714" spans="1:100">
      <c r="A16714" s="374"/>
      <c r="C16714" s="374"/>
      <c r="CV16714" s="376"/>
    </row>
    <row r="16715" spans="1:100">
      <c r="A16715" s="374"/>
      <c r="C16715" s="374"/>
      <c r="CV16715" s="376"/>
    </row>
    <row r="16716" spans="1:100">
      <c r="A16716" s="374"/>
      <c r="C16716" s="374"/>
      <c r="CV16716" s="376"/>
    </row>
    <row r="16717" spans="1:100">
      <c r="A16717" s="374"/>
      <c r="C16717" s="374"/>
      <c r="CV16717" s="376"/>
    </row>
    <row r="16718" spans="1:100">
      <c r="A16718" s="374"/>
      <c r="C16718" s="374"/>
      <c r="CV16718" s="376"/>
    </row>
    <row r="16719" spans="1:100">
      <c r="A16719" s="374"/>
      <c r="C16719" s="374"/>
      <c r="CV16719" s="376"/>
    </row>
    <row r="16720" spans="1:100">
      <c r="A16720" s="374"/>
      <c r="C16720" s="374"/>
      <c r="CV16720" s="376"/>
    </row>
    <row r="16721" spans="1:100">
      <c r="A16721" s="374"/>
      <c r="C16721" s="374"/>
      <c r="CV16721" s="376"/>
    </row>
    <row r="16722" spans="1:100">
      <c r="A16722" s="374"/>
      <c r="C16722" s="374"/>
      <c r="CV16722" s="376"/>
    </row>
    <row r="16723" spans="1:100">
      <c r="A16723" s="374"/>
      <c r="C16723" s="374"/>
      <c r="CV16723" s="376"/>
    </row>
    <row r="16724" spans="1:100">
      <c r="A16724" s="374"/>
      <c r="C16724" s="374"/>
      <c r="CV16724" s="376"/>
    </row>
    <row r="16725" spans="1:100">
      <c r="A16725" s="374"/>
      <c r="C16725" s="374"/>
      <c r="CV16725" s="376"/>
    </row>
    <row r="16726" spans="1:100">
      <c r="A16726" s="374"/>
      <c r="C16726" s="374"/>
      <c r="CV16726" s="376"/>
    </row>
    <row r="16727" spans="1:100">
      <c r="A16727" s="374"/>
      <c r="C16727" s="374"/>
      <c r="CV16727" s="376"/>
    </row>
    <row r="16728" spans="1:100">
      <c r="A16728" s="374"/>
      <c r="C16728" s="374"/>
      <c r="CV16728" s="376"/>
    </row>
    <row r="16729" spans="1:100">
      <c r="A16729" s="374"/>
      <c r="C16729" s="374"/>
      <c r="CV16729" s="376"/>
    </row>
    <row r="16730" spans="1:100">
      <c r="A16730" s="374"/>
      <c r="C16730" s="374"/>
      <c r="CV16730" s="376"/>
    </row>
    <row r="16731" spans="1:100">
      <c r="A16731" s="374"/>
      <c r="C16731" s="374"/>
      <c r="CV16731" s="376"/>
    </row>
    <row r="16732" spans="1:100">
      <c r="A16732" s="374"/>
      <c r="C16732" s="374"/>
      <c r="CV16732" s="376"/>
    </row>
    <row r="16733" spans="1:100">
      <c r="A16733" s="374"/>
      <c r="C16733" s="374"/>
      <c r="CV16733" s="376"/>
    </row>
    <row r="16734" spans="1:100">
      <c r="A16734" s="374"/>
      <c r="C16734" s="374"/>
      <c r="CV16734" s="376"/>
    </row>
    <row r="16735" spans="1:100">
      <c r="A16735" s="374"/>
      <c r="C16735" s="374"/>
      <c r="CV16735" s="376"/>
    </row>
    <row r="16736" spans="1:100">
      <c r="A16736" s="374"/>
      <c r="C16736" s="374"/>
      <c r="CV16736" s="376"/>
    </row>
    <row r="16737" spans="1:100">
      <c r="A16737" s="374"/>
      <c r="C16737" s="374"/>
      <c r="CV16737" s="376"/>
    </row>
    <row r="16738" spans="1:100">
      <c r="A16738" s="374"/>
      <c r="C16738" s="374"/>
      <c r="CV16738" s="376"/>
    </row>
    <row r="16739" spans="1:100">
      <c r="A16739" s="374"/>
      <c r="C16739" s="374"/>
      <c r="CV16739" s="376"/>
    </row>
    <row r="16740" spans="1:100">
      <c r="A16740" s="374"/>
      <c r="C16740" s="374"/>
      <c r="CV16740" s="376"/>
    </row>
    <row r="16741" spans="1:100">
      <c r="A16741" s="374"/>
      <c r="C16741" s="374"/>
      <c r="CV16741" s="376"/>
    </row>
    <row r="16742" spans="1:100">
      <c r="A16742" s="374"/>
      <c r="C16742" s="374"/>
      <c r="CV16742" s="376"/>
    </row>
    <row r="16743" spans="1:100">
      <c r="A16743" s="374"/>
      <c r="C16743" s="374"/>
      <c r="CV16743" s="376"/>
    </row>
    <row r="16744" spans="1:100">
      <c r="A16744" s="374"/>
      <c r="C16744" s="374"/>
      <c r="CV16744" s="376"/>
    </row>
    <row r="16745" spans="1:100">
      <c r="A16745" s="374"/>
      <c r="C16745" s="374"/>
      <c r="CV16745" s="376"/>
    </row>
    <row r="16746" spans="1:100">
      <c r="A16746" s="374"/>
      <c r="C16746" s="374"/>
      <c r="CV16746" s="376"/>
    </row>
    <row r="16747" spans="1:100">
      <c r="A16747" s="374"/>
      <c r="C16747" s="374"/>
      <c r="CV16747" s="376"/>
    </row>
    <row r="16748" spans="1:100">
      <c r="A16748" s="374"/>
      <c r="C16748" s="374"/>
      <c r="CV16748" s="376"/>
    </row>
    <row r="16749" spans="1:100">
      <c r="A16749" s="374"/>
      <c r="C16749" s="374"/>
      <c r="CV16749" s="376"/>
    </row>
    <row r="16750" spans="1:100">
      <c r="A16750" s="374"/>
      <c r="C16750" s="374"/>
      <c r="CV16750" s="376"/>
    </row>
    <row r="16751" spans="1:100">
      <c r="A16751" s="374"/>
      <c r="C16751" s="374"/>
      <c r="CV16751" s="376"/>
    </row>
    <row r="16752" spans="1:100">
      <c r="A16752" s="374"/>
      <c r="C16752" s="374"/>
      <c r="CV16752" s="376"/>
    </row>
    <row r="16753" spans="1:100">
      <c r="A16753" s="374"/>
      <c r="C16753" s="374"/>
      <c r="CV16753" s="376"/>
    </row>
    <row r="16754" spans="1:100">
      <c r="A16754" s="374"/>
      <c r="C16754" s="374"/>
      <c r="CV16754" s="376"/>
    </row>
    <row r="16755" spans="1:100">
      <c r="A16755" s="374"/>
      <c r="C16755" s="374"/>
      <c r="CV16755" s="376"/>
    </row>
    <row r="16756" spans="1:100">
      <c r="A16756" s="374"/>
      <c r="C16756" s="374"/>
      <c r="CV16756" s="376"/>
    </row>
    <row r="16757" spans="1:100">
      <c r="A16757" s="374"/>
      <c r="C16757" s="374"/>
      <c r="CV16757" s="376"/>
    </row>
    <row r="16758" spans="1:100">
      <c r="A16758" s="374"/>
      <c r="C16758" s="374"/>
      <c r="CV16758" s="376"/>
    </row>
    <row r="16759" spans="1:100">
      <c r="A16759" s="374"/>
      <c r="C16759" s="374"/>
      <c r="CV16759" s="376"/>
    </row>
    <row r="16760" spans="1:100">
      <c r="A16760" s="374"/>
      <c r="C16760" s="374"/>
      <c r="CV16760" s="376"/>
    </row>
    <row r="16761" spans="1:100">
      <c r="A16761" s="374"/>
      <c r="C16761" s="374"/>
      <c r="CV16761" s="376"/>
    </row>
    <row r="16762" spans="1:100">
      <c r="A16762" s="374"/>
      <c r="C16762" s="374"/>
      <c r="CV16762" s="376"/>
    </row>
    <row r="16763" spans="1:100">
      <c r="A16763" s="374"/>
      <c r="C16763" s="374"/>
      <c r="CV16763" s="376"/>
    </row>
    <row r="16764" spans="1:100">
      <c r="A16764" s="374"/>
      <c r="C16764" s="374"/>
      <c r="CV16764" s="376"/>
    </row>
    <row r="16765" spans="1:100">
      <c r="A16765" s="374"/>
      <c r="C16765" s="374"/>
      <c r="CV16765" s="376"/>
    </row>
    <row r="16766" spans="1:100">
      <c r="A16766" s="374"/>
      <c r="C16766" s="374"/>
      <c r="CV16766" s="376"/>
    </row>
    <row r="16767" spans="1:100">
      <c r="A16767" s="374"/>
      <c r="C16767" s="374"/>
      <c r="CV16767" s="376"/>
    </row>
    <row r="16768" spans="1:100">
      <c r="A16768" s="374"/>
      <c r="C16768" s="374"/>
      <c r="CV16768" s="376"/>
    </row>
    <row r="16769" spans="1:100">
      <c r="A16769" s="374"/>
      <c r="C16769" s="374"/>
      <c r="CV16769" s="376"/>
    </row>
    <row r="16770" spans="1:100">
      <c r="A16770" s="374"/>
      <c r="C16770" s="374"/>
      <c r="CV16770" s="376"/>
    </row>
    <row r="16771" spans="1:100">
      <c r="A16771" s="374"/>
      <c r="C16771" s="374"/>
      <c r="CV16771" s="376"/>
    </row>
    <row r="16772" spans="1:100">
      <c r="A16772" s="374"/>
      <c r="C16772" s="374"/>
      <c r="CV16772" s="376"/>
    </row>
    <row r="16773" spans="1:100">
      <c r="A16773" s="374"/>
      <c r="C16773" s="374"/>
      <c r="CV16773" s="376"/>
    </row>
    <row r="16774" spans="1:100">
      <c r="A16774" s="374"/>
      <c r="C16774" s="374"/>
      <c r="CV16774" s="376"/>
    </row>
    <row r="16775" spans="1:100">
      <c r="A16775" s="374"/>
      <c r="C16775" s="374"/>
      <c r="CV16775" s="376"/>
    </row>
    <row r="16776" spans="1:100">
      <c r="A16776" s="374"/>
      <c r="C16776" s="374"/>
      <c r="CV16776" s="376"/>
    </row>
    <row r="16777" spans="1:100">
      <c r="A16777" s="374"/>
      <c r="C16777" s="374"/>
      <c r="CV16777" s="376"/>
    </row>
    <row r="16778" spans="1:100">
      <c r="A16778" s="374"/>
      <c r="C16778" s="374"/>
      <c r="CV16778" s="376"/>
    </row>
    <row r="16779" spans="1:100">
      <c r="A16779" s="374"/>
      <c r="C16779" s="374"/>
      <c r="CV16779" s="376"/>
    </row>
    <row r="16780" spans="1:100">
      <c r="A16780" s="374"/>
      <c r="C16780" s="374"/>
      <c r="CV16780" s="376"/>
    </row>
    <row r="16781" spans="1:100">
      <c r="A16781" s="374"/>
      <c r="C16781" s="374"/>
      <c r="CV16781" s="376"/>
    </row>
    <row r="16782" spans="1:100">
      <c r="A16782" s="374"/>
      <c r="C16782" s="374"/>
      <c r="CV16782" s="376"/>
    </row>
    <row r="16783" spans="1:100">
      <c r="A16783" s="374"/>
      <c r="C16783" s="374"/>
      <c r="CV16783" s="376"/>
    </row>
    <row r="16784" spans="1:100">
      <c r="A16784" s="374"/>
      <c r="C16784" s="374"/>
      <c r="CV16784" s="376"/>
    </row>
    <row r="16785" spans="1:100">
      <c r="A16785" s="374"/>
      <c r="C16785" s="374"/>
      <c r="CV16785" s="376"/>
    </row>
    <row r="16786" spans="1:100">
      <c r="A16786" s="374"/>
      <c r="C16786" s="374"/>
      <c r="CV16786" s="376"/>
    </row>
    <row r="16787" spans="1:100">
      <c r="A16787" s="374"/>
      <c r="C16787" s="374"/>
      <c r="CV16787" s="376"/>
    </row>
    <row r="16788" spans="1:100">
      <c r="A16788" s="374"/>
      <c r="C16788" s="374"/>
      <c r="CV16788" s="376"/>
    </row>
    <row r="16789" spans="1:100">
      <c r="A16789" s="374"/>
      <c r="C16789" s="374"/>
      <c r="CV16789" s="376"/>
    </row>
    <row r="16790" spans="1:100">
      <c r="A16790" s="374"/>
      <c r="C16790" s="374"/>
      <c r="CV16790" s="376"/>
    </row>
    <row r="16791" spans="1:100">
      <c r="A16791" s="374"/>
      <c r="C16791" s="374"/>
      <c r="CV16791" s="376"/>
    </row>
    <row r="16792" spans="1:100">
      <c r="A16792" s="374"/>
      <c r="C16792" s="374"/>
      <c r="CV16792" s="376"/>
    </row>
    <row r="16793" spans="1:100">
      <c r="A16793" s="374"/>
      <c r="C16793" s="374"/>
      <c r="CV16793" s="376"/>
    </row>
    <row r="16794" spans="1:100">
      <c r="A16794" s="374"/>
      <c r="C16794" s="374"/>
      <c r="CV16794" s="376"/>
    </row>
    <row r="16795" spans="1:100">
      <c r="A16795" s="374"/>
      <c r="C16795" s="374"/>
      <c r="CV16795" s="376"/>
    </row>
    <row r="16796" spans="1:100">
      <c r="A16796" s="374"/>
      <c r="C16796" s="374"/>
      <c r="CV16796" s="376"/>
    </row>
    <row r="16797" spans="1:100">
      <c r="A16797" s="374"/>
      <c r="C16797" s="374"/>
      <c r="CV16797" s="376"/>
    </row>
    <row r="16798" spans="1:100">
      <c r="A16798" s="374"/>
      <c r="C16798" s="374"/>
      <c r="CV16798" s="376"/>
    </row>
    <row r="16799" spans="1:100">
      <c r="A16799" s="374"/>
      <c r="C16799" s="374"/>
      <c r="CV16799" s="376"/>
    </row>
    <row r="16800" spans="1:100">
      <c r="A16800" s="374"/>
      <c r="C16800" s="374"/>
      <c r="CV16800" s="376"/>
    </row>
    <row r="16801" spans="1:100">
      <c r="A16801" s="374"/>
      <c r="C16801" s="374"/>
      <c r="CV16801" s="376"/>
    </row>
    <row r="16802" spans="1:100">
      <c r="A16802" s="374"/>
      <c r="C16802" s="374"/>
      <c r="CV16802" s="376"/>
    </row>
    <row r="16803" spans="1:100">
      <c r="A16803" s="374"/>
      <c r="C16803" s="374"/>
      <c r="CV16803" s="376"/>
    </row>
    <row r="16804" spans="1:100">
      <c r="A16804" s="374"/>
      <c r="C16804" s="374"/>
      <c r="CV16804" s="376"/>
    </row>
    <row r="16805" spans="1:100">
      <c r="A16805" s="374"/>
      <c r="C16805" s="374"/>
      <c r="CV16805" s="376"/>
    </row>
    <row r="16806" spans="1:100">
      <c r="A16806" s="374"/>
      <c r="C16806" s="374"/>
      <c r="CV16806" s="376"/>
    </row>
    <row r="16807" spans="1:100">
      <c r="A16807" s="374"/>
      <c r="C16807" s="374"/>
      <c r="CV16807" s="376"/>
    </row>
    <row r="16808" spans="1:100">
      <c r="A16808" s="374"/>
      <c r="C16808" s="374"/>
      <c r="CV16808" s="376"/>
    </row>
    <row r="16809" spans="1:100">
      <c r="A16809" s="374"/>
      <c r="C16809" s="374"/>
      <c r="CV16809" s="376"/>
    </row>
    <row r="16810" spans="1:100">
      <c r="A16810" s="374"/>
      <c r="C16810" s="374"/>
      <c r="CV16810" s="376"/>
    </row>
    <row r="16811" spans="1:100">
      <c r="A16811" s="374"/>
      <c r="C16811" s="374"/>
      <c r="CV16811" s="376"/>
    </row>
    <row r="16812" spans="1:100">
      <c r="A16812" s="374"/>
      <c r="C16812" s="374"/>
      <c r="CV16812" s="376"/>
    </row>
    <row r="16813" spans="1:100">
      <c r="A16813" s="374"/>
      <c r="C16813" s="374"/>
      <c r="CV16813" s="376"/>
    </row>
    <row r="16814" spans="1:100">
      <c r="A16814" s="374"/>
      <c r="C16814" s="374"/>
      <c r="CV16814" s="376"/>
    </row>
    <row r="16815" spans="1:100">
      <c r="A16815" s="374"/>
      <c r="C16815" s="374"/>
      <c r="CV16815" s="376"/>
    </row>
    <row r="16816" spans="1:100">
      <c r="A16816" s="374"/>
      <c r="C16816" s="374"/>
      <c r="CV16816" s="376"/>
    </row>
    <row r="16817" spans="1:100">
      <c r="A16817" s="374"/>
      <c r="C16817" s="374"/>
      <c r="CV16817" s="376"/>
    </row>
    <row r="16818" spans="1:100">
      <c r="A16818" s="374"/>
      <c r="C16818" s="374"/>
      <c r="CV16818" s="376"/>
    </row>
    <row r="16819" spans="1:100">
      <c r="A16819" s="374"/>
      <c r="C16819" s="374"/>
      <c r="CV16819" s="376"/>
    </row>
    <row r="16820" spans="1:100">
      <c r="A16820" s="374"/>
      <c r="C16820" s="374"/>
      <c r="CV16820" s="376"/>
    </row>
    <row r="16821" spans="1:100">
      <c r="A16821" s="374"/>
      <c r="C16821" s="374"/>
      <c r="CV16821" s="376"/>
    </row>
    <row r="16822" spans="1:100">
      <c r="A16822" s="374"/>
      <c r="C16822" s="374"/>
      <c r="CV16822" s="376"/>
    </row>
    <row r="16823" spans="1:100">
      <c r="A16823" s="374"/>
      <c r="C16823" s="374"/>
      <c r="CV16823" s="376"/>
    </row>
    <row r="16824" spans="1:100">
      <c r="A16824" s="374"/>
      <c r="C16824" s="374"/>
      <c r="CV16824" s="376"/>
    </row>
    <row r="16825" spans="1:100">
      <c r="A16825" s="374"/>
      <c r="C16825" s="374"/>
      <c r="CV16825" s="376"/>
    </row>
    <row r="16826" spans="1:100">
      <c r="A16826" s="374"/>
      <c r="C16826" s="374"/>
      <c r="CV16826" s="376"/>
    </row>
    <row r="16827" spans="1:100">
      <c r="A16827" s="374"/>
      <c r="C16827" s="374"/>
      <c r="CV16827" s="376"/>
    </row>
    <row r="16828" spans="1:100">
      <c r="A16828" s="374"/>
      <c r="C16828" s="374"/>
      <c r="CV16828" s="376"/>
    </row>
    <row r="16829" spans="1:100">
      <c r="A16829" s="374"/>
      <c r="C16829" s="374"/>
      <c r="CV16829" s="376"/>
    </row>
    <row r="16830" spans="1:100">
      <c r="A16830" s="374"/>
      <c r="C16830" s="374"/>
      <c r="CV16830" s="376"/>
    </row>
    <row r="16831" spans="1:100">
      <c r="A16831" s="374"/>
      <c r="C16831" s="374"/>
      <c r="CV16831" s="376"/>
    </row>
    <row r="16832" spans="1:100">
      <c r="A16832" s="374"/>
      <c r="C16832" s="374"/>
      <c r="CV16832" s="376"/>
    </row>
    <row r="16833" spans="1:100">
      <c r="A16833" s="374"/>
      <c r="C16833" s="374"/>
      <c r="CV16833" s="376"/>
    </row>
    <row r="16834" spans="1:100">
      <c r="A16834" s="374"/>
      <c r="C16834" s="374"/>
      <c r="CV16834" s="376"/>
    </row>
    <row r="16835" spans="1:100">
      <c r="A16835" s="374"/>
      <c r="C16835" s="374"/>
      <c r="CV16835" s="376"/>
    </row>
    <row r="16836" spans="1:100">
      <c r="A16836" s="374"/>
      <c r="C16836" s="374"/>
      <c r="CV16836" s="376"/>
    </row>
    <row r="16837" spans="1:100">
      <c r="A16837" s="374"/>
      <c r="C16837" s="374"/>
      <c r="CV16837" s="376"/>
    </row>
    <row r="16838" spans="1:100">
      <c r="A16838" s="374"/>
      <c r="C16838" s="374"/>
      <c r="CV16838" s="376"/>
    </row>
    <row r="16839" spans="1:100">
      <c r="A16839" s="374"/>
      <c r="C16839" s="374"/>
      <c r="CV16839" s="376"/>
    </row>
    <row r="16840" spans="1:100">
      <c r="A16840" s="374"/>
      <c r="C16840" s="374"/>
      <c r="CV16840" s="376"/>
    </row>
    <row r="16841" spans="1:100">
      <c r="A16841" s="374"/>
      <c r="C16841" s="374"/>
      <c r="CV16841" s="376"/>
    </row>
    <row r="16842" spans="1:100">
      <c r="A16842" s="374"/>
      <c r="C16842" s="374"/>
      <c r="CV16842" s="376"/>
    </row>
    <row r="16843" spans="1:100">
      <c r="A16843" s="374"/>
      <c r="C16843" s="374"/>
      <c r="CV16843" s="376"/>
    </row>
    <row r="16844" spans="1:100">
      <c r="A16844" s="374"/>
      <c r="C16844" s="374"/>
      <c r="CV16844" s="376"/>
    </row>
    <row r="16845" spans="1:100">
      <c r="A16845" s="374"/>
      <c r="C16845" s="374"/>
      <c r="CV16845" s="376"/>
    </row>
    <row r="16846" spans="1:100">
      <c r="A16846" s="374"/>
      <c r="C16846" s="374"/>
      <c r="CV16846" s="376"/>
    </row>
    <row r="16847" spans="1:100">
      <c r="A16847" s="374"/>
      <c r="C16847" s="374"/>
      <c r="CV16847" s="376"/>
    </row>
    <row r="16848" spans="1:100">
      <c r="A16848" s="374"/>
      <c r="C16848" s="374"/>
      <c r="CV16848" s="376"/>
    </row>
    <row r="16849" spans="1:100">
      <c r="A16849" s="374"/>
      <c r="C16849" s="374"/>
      <c r="CV16849" s="376"/>
    </row>
    <row r="16850" spans="1:100">
      <c r="A16850" s="374"/>
      <c r="C16850" s="374"/>
      <c r="CV16850" s="376"/>
    </row>
    <row r="16851" spans="1:100">
      <c r="A16851" s="374"/>
      <c r="C16851" s="374"/>
      <c r="CV16851" s="376"/>
    </row>
    <row r="16852" spans="1:100">
      <c r="A16852" s="374"/>
      <c r="C16852" s="374"/>
      <c r="CV16852" s="376"/>
    </row>
    <row r="16853" spans="1:100">
      <c r="A16853" s="374"/>
      <c r="C16853" s="374"/>
      <c r="CV16853" s="376"/>
    </row>
    <row r="16854" spans="1:100">
      <c r="A16854" s="374"/>
      <c r="C16854" s="374"/>
      <c r="CV16854" s="376"/>
    </row>
    <row r="16855" spans="1:100">
      <c r="A16855" s="374"/>
      <c r="C16855" s="374"/>
      <c r="CV16855" s="376"/>
    </row>
    <row r="16856" spans="1:100">
      <c r="A16856" s="374"/>
      <c r="C16856" s="374"/>
      <c r="CV16856" s="376"/>
    </row>
    <row r="16857" spans="1:100">
      <c r="A16857" s="374"/>
      <c r="C16857" s="374"/>
      <c r="CV16857" s="376"/>
    </row>
    <row r="16858" spans="1:100">
      <c r="A16858" s="374"/>
      <c r="C16858" s="374"/>
      <c r="CV16858" s="376"/>
    </row>
    <row r="16859" spans="1:100">
      <c r="A16859" s="374"/>
      <c r="C16859" s="374"/>
      <c r="CV16859" s="376"/>
    </row>
    <row r="16860" spans="1:100">
      <c r="A16860" s="374"/>
      <c r="C16860" s="374"/>
      <c r="CV16860" s="376"/>
    </row>
    <row r="16861" spans="1:100">
      <c r="A16861" s="374"/>
      <c r="C16861" s="374"/>
      <c r="CV16861" s="376"/>
    </row>
    <row r="16862" spans="1:100">
      <c r="A16862" s="374"/>
      <c r="C16862" s="374"/>
      <c r="CV16862" s="376"/>
    </row>
    <row r="16863" spans="1:100">
      <c r="A16863" s="374"/>
      <c r="C16863" s="374"/>
      <c r="CV16863" s="376"/>
    </row>
    <row r="16864" spans="1:100">
      <c r="A16864" s="374"/>
      <c r="C16864" s="374"/>
      <c r="CV16864" s="376"/>
    </row>
    <row r="16865" spans="1:100">
      <c r="A16865" s="374"/>
      <c r="C16865" s="374"/>
      <c r="CV16865" s="376"/>
    </row>
    <row r="16866" spans="1:100">
      <c r="A16866" s="374"/>
      <c r="C16866" s="374"/>
      <c r="CV16866" s="376"/>
    </row>
    <row r="16867" spans="1:100">
      <c r="A16867" s="374"/>
      <c r="C16867" s="374"/>
      <c r="CV16867" s="376"/>
    </row>
    <row r="16868" spans="1:100">
      <c r="A16868" s="374"/>
      <c r="C16868" s="374"/>
      <c r="CV16868" s="376"/>
    </row>
    <row r="16869" spans="1:100">
      <c r="A16869" s="374"/>
      <c r="C16869" s="374"/>
      <c r="CV16869" s="376"/>
    </row>
    <row r="16870" spans="1:100">
      <c r="A16870" s="374"/>
      <c r="C16870" s="374"/>
      <c r="CV16870" s="376"/>
    </row>
    <row r="16871" spans="1:100">
      <c r="A16871" s="374"/>
      <c r="C16871" s="374"/>
      <c r="CV16871" s="376"/>
    </row>
    <row r="16872" spans="1:100">
      <c r="A16872" s="374"/>
      <c r="C16872" s="374"/>
      <c r="CV16872" s="376"/>
    </row>
    <row r="16873" spans="1:100">
      <c r="A16873" s="374"/>
      <c r="C16873" s="374"/>
      <c r="CV16873" s="376"/>
    </row>
    <row r="16874" spans="1:100">
      <c r="A16874" s="374"/>
      <c r="C16874" s="374"/>
      <c r="CV16874" s="376"/>
    </row>
    <row r="16875" spans="1:100">
      <c r="A16875" s="374"/>
      <c r="C16875" s="374"/>
      <c r="CV16875" s="376"/>
    </row>
    <row r="16876" spans="1:100">
      <c r="A16876" s="374"/>
      <c r="C16876" s="374"/>
      <c r="CV16876" s="376"/>
    </row>
    <row r="16877" spans="1:100">
      <c r="A16877" s="374"/>
      <c r="C16877" s="374"/>
      <c r="CV16877" s="376"/>
    </row>
    <row r="16878" spans="1:100">
      <c r="A16878" s="374"/>
      <c r="C16878" s="374"/>
      <c r="CV16878" s="376"/>
    </row>
    <row r="16879" spans="1:100">
      <c r="A16879" s="374"/>
      <c r="C16879" s="374"/>
      <c r="CV16879" s="376"/>
    </row>
    <row r="16880" spans="1:100">
      <c r="A16880" s="374"/>
      <c r="C16880" s="374"/>
      <c r="CV16880" s="376"/>
    </row>
    <row r="16881" spans="1:100">
      <c r="A16881" s="374"/>
      <c r="C16881" s="374"/>
      <c r="CV16881" s="376"/>
    </row>
    <row r="16882" spans="1:100">
      <c r="A16882" s="374"/>
      <c r="C16882" s="374"/>
      <c r="CV16882" s="376"/>
    </row>
    <row r="16883" spans="1:100">
      <c r="A16883" s="374"/>
      <c r="C16883" s="374"/>
      <c r="CV16883" s="376"/>
    </row>
    <row r="16884" spans="1:100">
      <c r="A16884" s="374"/>
      <c r="C16884" s="374"/>
      <c r="CV16884" s="376"/>
    </row>
    <row r="16885" spans="1:100">
      <c r="A16885" s="374"/>
      <c r="C16885" s="374"/>
      <c r="CV16885" s="376"/>
    </row>
    <row r="16886" spans="1:100">
      <c r="A16886" s="374"/>
      <c r="C16886" s="374"/>
      <c r="CV16886" s="376"/>
    </row>
    <row r="16887" spans="1:100">
      <c r="A16887" s="374"/>
      <c r="C16887" s="374"/>
      <c r="CV16887" s="376"/>
    </row>
    <row r="16888" spans="1:100">
      <c r="A16888" s="374"/>
      <c r="C16888" s="374"/>
      <c r="CV16888" s="376"/>
    </row>
    <row r="16889" spans="1:100">
      <c r="A16889" s="374"/>
      <c r="C16889" s="374"/>
      <c r="CV16889" s="376"/>
    </row>
    <row r="16890" spans="1:100">
      <c r="A16890" s="374"/>
      <c r="C16890" s="374"/>
      <c r="CV16890" s="376"/>
    </row>
    <row r="16891" spans="1:100">
      <c r="A16891" s="374"/>
      <c r="C16891" s="374"/>
      <c r="CV16891" s="376"/>
    </row>
    <row r="16892" spans="1:100">
      <c r="A16892" s="374"/>
      <c r="C16892" s="374"/>
      <c r="CV16892" s="376"/>
    </row>
    <row r="16893" spans="1:100">
      <c r="A16893" s="374"/>
      <c r="C16893" s="374"/>
      <c r="CV16893" s="376"/>
    </row>
    <row r="16894" spans="1:100">
      <c r="A16894" s="374"/>
      <c r="C16894" s="374"/>
      <c r="CV16894" s="376"/>
    </row>
    <row r="16895" spans="1:100">
      <c r="A16895" s="374"/>
      <c r="C16895" s="374"/>
      <c r="CV16895" s="376"/>
    </row>
    <row r="16896" spans="1:100">
      <c r="A16896" s="374"/>
      <c r="C16896" s="374"/>
      <c r="CV16896" s="376"/>
    </row>
    <row r="16897" spans="1:100">
      <c r="A16897" s="374"/>
      <c r="C16897" s="374"/>
      <c r="CV16897" s="376"/>
    </row>
    <row r="16898" spans="1:100">
      <c r="A16898" s="374"/>
      <c r="C16898" s="374"/>
      <c r="CV16898" s="376"/>
    </row>
    <row r="16899" spans="1:100">
      <c r="A16899" s="374"/>
      <c r="C16899" s="374"/>
      <c r="CV16899" s="376"/>
    </row>
    <row r="16900" spans="1:100">
      <c r="A16900" s="374"/>
      <c r="C16900" s="374"/>
      <c r="CV16900" s="376"/>
    </row>
    <row r="16901" spans="1:100">
      <c r="A16901" s="374"/>
      <c r="C16901" s="374"/>
      <c r="CV16901" s="376"/>
    </row>
    <row r="16902" spans="1:100">
      <c r="A16902" s="374"/>
      <c r="C16902" s="374"/>
      <c r="CV16902" s="376"/>
    </row>
    <row r="16903" spans="1:100">
      <c r="A16903" s="374"/>
      <c r="C16903" s="374"/>
      <c r="CV16903" s="376"/>
    </row>
    <row r="16904" spans="1:100">
      <c r="A16904" s="374"/>
      <c r="C16904" s="374"/>
      <c r="CV16904" s="376"/>
    </row>
    <row r="16905" spans="1:100">
      <c r="A16905" s="374"/>
      <c r="C16905" s="374"/>
      <c r="CV16905" s="376"/>
    </row>
    <row r="16906" spans="1:100">
      <c r="A16906" s="374"/>
      <c r="C16906" s="374"/>
      <c r="CV16906" s="376"/>
    </row>
    <row r="16907" spans="1:100">
      <c r="A16907" s="374"/>
      <c r="C16907" s="374"/>
      <c r="CV16907" s="376"/>
    </row>
    <row r="16908" spans="1:100">
      <c r="A16908" s="374"/>
      <c r="C16908" s="374"/>
      <c r="CV16908" s="376"/>
    </row>
    <row r="16909" spans="1:100">
      <c r="A16909" s="374"/>
      <c r="C16909" s="374"/>
      <c r="CV16909" s="376"/>
    </row>
    <row r="16910" spans="1:100">
      <c r="A16910" s="374"/>
      <c r="C16910" s="374"/>
      <c r="CV16910" s="376"/>
    </row>
    <row r="16911" spans="1:100">
      <c r="A16911" s="374"/>
      <c r="C16911" s="374"/>
      <c r="CV16911" s="376"/>
    </row>
    <row r="16912" spans="1:100">
      <c r="A16912" s="374"/>
      <c r="C16912" s="374"/>
      <c r="CV16912" s="376"/>
    </row>
    <row r="16913" spans="1:100">
      <c r="A16913" s="374"/>
      <c r="C16913" s="374"/>
      <c r="CV16913" s="376"/>
    </row>
    <row r="16914" spans="1:100">
      <c r="A16914" s="374"/>
      <c r="C16914" s="374"/>
      <c r="CV16914" s="376"/>
    </row>
    <row r="16915" spans="1:100">
      <c r="A16915" s="374"/>
      <c r="C16915" s="374"/>
      <c r="CV16915" s="376"/>
    </row>
    <row r="16916" spans="1:100">
      <c r="A16916" s="374"/>
      <c r="C16916" s="374"/>
      <c r="CV16916" s="376"/>
    </row>
    <row r="16917" spans="1:100">
      <c r="A16917" s="374"/>
      <c r="C16917" s="374"/>
      <c r="CV16917" s="376"/>
    </row>
    <row r="16918" spans="1:100">
      <c r="A16918" s="374"/>
      <c r="C16918" s="374"/>
      <c r="CV16918" s="376"/>
    </row>
    <row r="16919" spans="1:100">
      <c r="A16919" s="374"/>
      <c r="C16919" s="374"/>
      <c r="CV16919" s="376"/>
    </row>
    <row r="16920" spans="1:100">
      <c r="A16920" s="374"/>
      <c r="C16920" s="374"/>
      <c r="CV16920" s="376"/>
    </row>
    <row r="16921" spans="1:100">
      <c r="A16921" s="374"/>
      <c r="C16921" s="374"/>
      <c r="CV16921" s="376"/>
    </row>
    <row r="16922" spans="1:100">
      <c r="A16922" s="374"/>
      <c r="C16922" s="374"/>
      <c r="CV16922" s="376"/>
    </row>
    <row r="16923" spans="1:100">
      <c r="A16923" s="374"/>
      <c r="C16923" s="374"/>
      <c r="CV16923" s="376"/>
    </row>
    <row r="16924" spans="1:100">
      <c r="A16924" s="374"/>
      <c r="C16924" s="374"/>
      <c r="CV16924" s="376"/>
    </row>
    <row r="16925" spans="1:100">
      <c r="A16925" s="374"/>
      <c r="C16925" s="374"/>
      <c r="CV16925" s="376"/>
    </row>
    <row r="16926" spans="1:100">
      <c r="A16926" s="374"/>
      <c r="C16926" s="374"/>
      <c r="CV16926" s="376"/>
    </row>
    <row r="16927" spans="1:100">
      <c r="A16927" s="374"/>
      <c r="C16927" s="374"/>
      <c r="CV16927" s="376"/>
    </row>
    <row r="16928" spans="1:100">
      <c r="A16928" s="374"/>
      <c r="C16928" s="374"/>
      <c r="CV16928" s="376"/>
    </row>
    <row r="16929" spans="1:100">
      <c r="A16929" s="374"/>
      <c r="C16929" s="374"/>
      <c r="CV16929" s="376"/>
    </row>
    <row r="16930" spans="1:100">
      <c r="A16930" s="374"/>
      <c r="C16930" s="374"/>
      <c r="CV16930" s="376"/>
    </row>
    <row r="16931" spans="1:100">
      <c r="A16931" s="374"/>
      <c r="C16931" s="374"/>
      <c r="CV16931" s="376"/>
    </row>
    <row r="16932" spans="1:100">
      <c r="A16932" s="374"/>
      <c r="C16932" s="374"/>
      <c r="CV16932" s="376"/>
    </row>
    <row r="16933" spans="1:100">
      <c r="A16933" s="374"/>
      <c r="C16933" s="374"/>
      <c r="CV16933" s="376"/>
    </row>
    <row r="16934" spans="1:100">
      <c r="A16934" s="374"/>
      <c r="C16934" s="374"/>
      <c r="CV16934" s="376"/>
    </row>
    <row r="16935" spans="1:100">
      <c r="A16935" s="374"/>
      <c r="C16935" s="374"/>
      <c r="CV16935" s="376"/>
    </row>
    <row r="16936" spans="1:100">
      <c r="A16936" s="374"/>
      <c r="C16936" s="374"/>
      <c r="CV16936" s="376"/>
    </row>
    <row r="16937" spans="1:100">
      <c r="A16937" s="374"/>
      <c r="C16937" s="374"/>
      <c r="CV16937" s="376"/>
    </row>
    <row r="16938" spans="1:100">
      <c r="A16938" s="374"/>
      <c r="C16938" s="374"/>
      <c r="CV16938" s="376"/>
    </row>
    <row r="16939" spans="1:100">
      <c r="A16939" s="374"/>
      <c r="C16939" s="374"/>
      <c r="CV16939" s="376"/>
    </row>
    <row r="16940" spans="1:100">
      <c r="A16940" s="374"/>
      <c r="C16940" s="374"/>
      <c r="CV16940" s="376"/>
    </row>
    <row r="16941" spans="1:100">
      <c r="A16941" s="374"/>
      <c r="C16941" s="374"/>
      <c r="CV16941" s="376"/>
    </row>
    <row r="16942" spans="1:100">
      <c r="A16942" s="374"/>
      <c r="C16942" s="374"/>
      <c r="CV16942" s="376"/>
    </row>
    <row r="16943" spans="1:100">
      <c r="A16943" s="374"/>
      <c r="C16943" s="374"/>
      <c r="CV16943" s="376"/>
    </row>
    <row r="16944" spans="1:100">
      <c r="A16944" s="374"/>
      <c r="C16944" s="374"/>
      <c r="CV16944" s="376"/>
    </row>
    <row r="16945" spans="1:100">
      <c r="A16945" s="374"/>
      <c r="C16945" s="374"/>
      <c r="CV16945" s="376"/>
    </row>
    <row r="16946" spans="1:100">
      <c r="A16946" s="374"/>
      <c r="C16946" s="374"/>
      <c r="CV16946" s="376"/>
    </row>
    <row r="16947" spans="1:100">
      <c r="A16947" s="374"/>
      <c r="C16947" s="374"/>
      <c r="CV16947" s="376"/>
    </row>
    <row r="16948" spans="1:100">
      <c r="A16948" s="374"/>
      <c r="C16948" s="374"/>
      <c r="CV16948" s="376"/>
    </row>
    <row r="16949" spans="1:100">
      <c r="A16949" s="374"/>
      <c r="C16949" s="374"/>
      <c r="CV16949" s="376"/>
    </row>
    <row r="16950" spans="1:100">
      <c r="A16950" s="374"/>
      <c r="C16950" s="374"/>
      <c r="CV16950" s="376"/>
    </row>
    <row r="16951" spans="1:100">
      <c r="A16951" s="374"/>
      <c r="C16951" s="374"/>
      <c r="CV16951" s="376"/>
    </row>
    <row r="16952" spans="1:100">
      <c r="A16952" s="374"/>
      <c r="C16952" s="374"/>
      <c r="CV16952" s="376"/>
    </row>
    <row r="16953" spans="1:100">
      <c r="A16953" s="374"/>
      <c r="C16953" s="374"/>
      <c r="CV16953" s="376"/>
    </row>
    <row r="16954" spans="1:100">
      <c r="A16954" s="374"/>
      <c r="C16954" s="374"/>
      <c r="CV16954" s="376"/>
    </row>
    <row r="16955" spans="1:100">
      <c r="A16955" s="374"/>
      <c r="C16955" s="374"/>
      <c r="CV16955" s="376"/>
    </row>
    <row r="16956" spans="1:100">
      <c r="A16956" s="374"/>
      <c r="C16956" s="374"/>
      <c r="CV16956" s="376"/>
    </row>
    <row r="16957" spans="1:100">
      <c r="A16957" s="374"/>
      <c r="C16957" s="374"/>
      <c r="CV16957" s="376"/>
    </row>
    <row r="16958" spans="1:100">
      <c r="A16958" s="374"/>
      <c r="C16958" s="374"/>
      <c r="CV16958" s="376"/>
    </row>
    <row r="16959" spans="1:100">
      <c r="A16959" s="374"/>
      <c r="C16959" s="374"/>
      <c r="CV16959" s="376"/>
    </row>
    <row r="16960" spans="1:100">
      <c r="A16960" s="374"/>
      <c r="C16960" s="374"/>
      <c r="CV16960" s="376"/>
    </row>
    <row r="16961" spans="1:100">
      <c r="A16961" s="374"/>
      <c r="C16961" s="374"/>
      <c r="CV16961" s="376"/>
    </row>
    <row r="16962" spans="1:100">
      <c r="A16962" s="374"/>
      <c r="C16962" s="374"/>
      <c r="CV16962" s="376"/>
    </row>
    <row r="16963" spans="1:100">
      <c r="A16963" s="374"/>
      <c r="C16963" s="374"/>
      <c r="CV16963" s="376"/>
    </row>
    <row r="16964" spans="1:100">
      <c r="A16964" s="374"/>
      <c r="C16964" s="374"/>
      <c r="CV16964" s="376"/>
    </row>
    <row r="16965" spans="1:100">
      <c r="A16965" s="374"/>
      <c r="C16965" s="374"/>
      <c r="CV16965" s="376"/>
    </row>
    <row r="16966" spans="1:100">
      <c r="A16966" s="374"/>
      <c r="C16966" s="374"/>
      <c r="CV16966" s="376"/>
    </row>
    <row r="16967" spans="1:100">
      <c r="A16967" s="374"/>
      <c r="C16967" s="374"/>
      <c r="CV16967" s="376"/>
    </row>
    <row r="16968" spans="1:100">
      <c r="A16968" s="374"/>
      <c r="C16968" s="374"/>
      <c r="CV16968" s="376"/>
    </row>
    <row r="16969" spans="1:100">
      <c r="A16969" s="374"/>
      <c r="C16969" s="374"/>
      <c r="CV16969" s="376"/>
    </row>
    <row r="16970" spans="1:100">
      <c r="A16970" s="374"/>
      <c r="C16970" s="374"/>
      <c r="CV16970" s="376"/>
    </row>
    <row r="16971" spans="1:100">
      <c r="A16971" s="374"/>
      <c r="C16971" s="374"/>
      <c r="CV16971" s="376"/>
    </row>
    <row r="16972" spans="1:100">
      <c r="A16972" s="374"/>
      <c r="C16972" s="374"/>
      <c r="CV16972" s="376"/>
    </row>
    <row r="16973" spans="1:100">
      <c r="A16973" s="374"/>
      <c r="C16973" s="374"/>
      <c r="CV16973" s="376"/>
    </row>
    <row r="16974" spans="1:100">
      <c r="A16974" s="374"/>
      <c r="C16974" s="374"/>
      <c r="CV16974" s="376"/>
    </row>
    <row r="16975" spans="1:100">
      <c r="A16975" s="374"/>
      <c r="C16975" s="374"/>
      <c r="CV16975" s="376"/>
    </row>
    <row r="16976" spans="1:100">
      <c r="A16976" s="374"/>
      <c r="C16976" s="374"/>
      <c r="CV16976" s="376"/>
    </row>
    <row r="16977" spans="1:100">
      <c r="A16977" s="374"/>
      <c r="C16977" s="374"/>
      <c r="CV16977" s="376"/>
    </row>
    <row r="16978" spans="1:100">
      <c r="A16978" s="374"/>
      <c r="C16978" s="374"/>
      <c r="CV16978" s="376"/>
    </row>
    <row r="16979" spans="1:100">
      <c r="A16979" s="374"/>
      <c r="C16979" s="374"/>
      <c r="CV16979" s="376"/>
    </row>
    <row r="16980" spans="1:100">
      <c r="A16980" s="374"/>
      <c r="C16980" s="374"/>
      <c r="CV16980" s="376"/>
    </row>
    <row r="16981" spans="1:100">
      <c r="A16981" s="374"/>
      <c r="C16981" s="374"/>
      <c r="CV16981" s="376"/>
    </row>
    <row r="16982" spans="1:100">
      <c r="A16982" s="374"/>
      <c r="C16982" s="374"/>
      <c r="CV16982" s="376"/>
    </row>
    <row r="16983" spans="1:100">
      <c r="A16983" s="374"/>
      <c r="C16983" s="374"/>
      <c r="CV16983" s="376"/>
    </row>
    <row r="16984" spans="1:100">
      <c r="A16984" s="374"/>
      <c r="C16984" s="374"/>
      <c r="CV16984" s="376"/>
    </row>
    <row r="16985" spans="1:100">
      <c r="A16985" s="374"/>
      <c r="C16985" s="374"/>
      <c r="CV16985" s="376"/>
    </row>
    <row r="16986" spans="1:100">
      <c r="A16986" s="374"/>
      <c r="C16986" s="374"/>
      <c r="CV16986" s="376"/>
    </row>
    <row r="16987" spans="1:100">
      <c r="A16987" s="374"/>
      <c r="C16987" s="374"/>
      <c r="CV16987" s="376"/>
    </row>
    <row r="16988" spans="1:100">
      <c r="A16988" s="374"/>
      <c r="C16988" s="374"/>
      <c r="CV16988" s="376"/>
    </row>
    <row r="16989" spans="1:100">
      <c r="A16989" s="374"/>
      <c r="C16989" s="374"/>
      <c r="CV16989" s="376"/>
    </row>
    <row r="16990" spans="1:100">
      <c r="A16990" s="374"/>
      <c r="C16990" s="374"/>
      <c r="CV16990" s="376"/>
    </row>
    <row r="16991" spans="1:100">
      <c r="A16991" s="374"/>
      <c r="C16991" s="374"/>
      <c r="CV16991" s="376"/>
    </row>
    <row r="16992" spans="1:100">
      <c r="A16992" s="374"/>
      <c r="C16992" s="374"/>
      <c r="CV16992" s="376"/>
    </row>
    <row r="16993" spans="1:100">
      <c r="A16993" s="374"/>
      <c r="C16993" s="374"/>
      <c r="CV16993" s="376"/>
    </row>
    <row r="16994" spans="1:100">
      <c r="A16994" s="374"/>
      <c r="C16994" s="374"/>
      <c r="CV16994" s="376"/>
    </row>
    <row r="16995" spans="1:100">
      <c r="A16995" s="374"/>
      <c r="C16995" s="374"/>
      <c r="CV16995" s="376"/>
    </row>
    <row r="16996" spans="1:100">
      <c r="A16996" s="374"/>
      <c r="C16996" s="374"/>
      <c r="CV16996" s="376"/>
    </row>
    <row r="16997" spans="1:100">
      <c r="A16997" s="374"/>
      <c r="C16997" s="374"/>
      <c r="CV16997" s="376"/>
    </row>
    <row r="16998" spans="1:100">
      <c r="A16998" s="374"/>
      <c r="C16998" s="374"/>
      <c r="CV16998" s="376"/>
    </row>
    <row r="16999" spans="1:100">
      <c r="A16999" s="374"/>
      <c r="C16999" s="374"/>
      <c r="CV16999" s="376"/>
    </row>
    <row r="17000" spans="1:100">
      <c r="A17000" s="374"/>
      <c r="C17000" s="374"/>
      <c r="CV17000" s="376"/>
    </row>
    <row r="17001" spans="1:100">
      <c r="A17001" s="374"/>
      <c r="C17001" s="374"/>
      <c r="CV17001" s="376"/>
    </row>
    <row r="17002" spans="1:100">
      <c r="A17002" s="374"/>
      <c r="C17002" s="374"/>
      <c r="CV17002" s="376"/>
    </row>
    <row r="17003" spans="1:100">
      <c r="A17003" s="374"/>
      <c r="C17003" s="374"/>
      <c r="CV17003" s="376"/>
    </row>
    <row r="17004" spans="1:100">
      <c r="A17004" s="374"/>
      <c r="C17004" s="374"/>
      <c r="CV17004" s="376"/>
    </row>
    <row r="17005" spans="1:100">
      <c r="A17005" s="374"/>
      <c r="C17005" s="374"/>
      <c r="CV17005" s="376"/>
    </row>
    <row r="17006" spans="1:100">
      <c r="A17006" s="374"/>
      <c r="C17006" s="374"/>
      <c r="CV17006" s="376"/>
    </row>
    <row r="17007" spans="1:100">
      <c r="A17007" s="374"/>
      <c r="C17007" s="374"/>
      <c r="CV17007" s="376"/>
    </row>
    <row r="17008" spans="1:100">
      <c r="A17008" s="374"/>
      <c r="C17008" s="374"/>
      <c r="CV17008" s="376"/>
    </row>
    <row r="17009" spans="1:100">
      <c r="A17009" s="374"/>
      <c r="C17009" s="374"/>
      <c r="CV17009" s="376"/>
    </row>
    <row r="17010" spans="1:100">
      <c r="A17010" s="374"/>
      <c r="C17010" s="374"/>
      <c r="CV17010" s="376"/>
    </row>
    <row r="17011" spans="1:100">
      <c r="A17011" s="374"/>
      <c r="C17011" s="374"/>
      <c r="CV17011" s="376"/>
    </row>
    <row r="17012" spans="1:100">
      <c r="A17012" s="374"/>
      <c r="C17012" s="374"/>
      <c r="CV17012" s="376"/>
    </row>
    <row r="17013" spans="1:100">
      <c r="A17013" s="374"/>
      <c r="C17013" s="374"/>
      <c r="CV17013" s="376"/>
    </row>
    <row r="17014" spans="1:100">
      <c r="A17014" s="374"/>
      <c r="C17014" s="374"/>
      <c r="CV17014" s="376"/>
    </row>
    <row r="17015" spans="1:100">
      <c r="A17015" s="374"/>
      <c r="C17015" s="374"/>
      <c r="CV17015" s="376"/>
    </row>
    <row r="17016" spans="1:100">
      <c r="A17016" s="374"/>
      <c r="C17016" s="374"/>
      <c r="CV17016" s="376"/>
    </row>
    <row r="17017" spans="1:100">
      <c r="A17017" s="374"/>
      <c r="C17017" s="374"/>
      <c r="CV17017" s="376"/>
    </row>
    <row r="17018" spans="1:100">
      <c r="A17018" s="374"/>
      <c r="C17018" s="374"/>
      <c r="CV17018" s="376"/>
    </row>
    <row r="17019" spans="1:100">
      <c r="A17019" s="374"/>
      <c r="C17019" s="374"/>
      <c r="CV17019" s="376"/>
    </row>
    <row r="17020" spans="1:100">
      <c r="A17020" s="374"/>
      <c r="C17020" s="374"/>
      <c r="CV17020" s="376"/>
    </row>
    <row r="17021" spans="1:100">
      <c r="A17021" s="374"/>
      <c r="C17021" s="374"/>
      <c r="CV17021" s="376"/>
    </row>
    <row r="17022" spans="1:100">
      <c r="A17022" s="374"/>
      <c r="C17022" s="374"/>
      <c r="CV17022" s="376"/>
    </row>
    <row r="17023" spans="1:100">
      <c r="A17023" s="374"/>
      <c r="C17023" s="374"/>
      <c r="CV17023" s="376"/>
    </row>
    <row r="17024" spans="1:100">
      <c r="A17024" s="374"/>
      <c r="C17024" s="374"/>
      <c r="CV17024" s="376"/>
    </row>
    <row r="17025" spans="1:100">
      <c r="A17025" s="374"/>
      <c r="C17025" s="374"/>
      <c r="CV17025" s="376"/>
    </row>
    <row r="17026" spans="1:100">
      <c r="A17026" s="374"/>
      <c r="C17026" s="374"/>
      <c r="CV17026" s="376"/>
    </row>
    <row r="17027" spans="1:100">
      <c r="A17027" s="374"/>
      <c r="C17027" s="374"/>
      <c r="CV17027" s="376"/>
    </row>
    <row r="17028" spans="1:100">
      <c r="A17028" s="374"/>
      <c r="C17028" s="374"/>
      <c r="CV17028" s="376"/>
    </row>
    <row r="17029" spans="1:100">
      <c r="A17029" s="374"/>
      <c r="C17029" s="374"/>
      <c r="CV17029" s="376"/>
    </row>
    <row r="17030" spans="1:100">
      <c r="A17030" s="374"/>
      <c r="C17030" s="374"/>
      <c r="CV17030" s="376"/>
    </row>
    <row r="17031" spans="1:100">
      <c r="A17031" s="374"/>
      <c r="C17031" s="374"/>
      <c r="CV17031" s="376"/>
    </row>
    <row r="17032" spans="1:100">
      <c r="A17032" s="374"/>
      <c r="C17032" s="374"/>
      <c r="CV17032" s="376"/>
    </row>
    <row r="17033" spans="1:100">
      <c r="A17033" s="374"/>
      <c r="C17033" s="374"/>
      <c r="CV17033" s="376"/>
    </row>
    <row r="17034" spans="1:100">
      <c r="A17034" s="374"/>
      <c r="C17034" s="374"/>
      <c r="CV17034" s="376"/>
    </row>
    <row r="17035" spans="1:100">
      <c r="A17035" s="374"/>
      <c r="C17035" s="374"/>
      <c r="CV17035" s="376"/>
    </row>
    <row r="17036" spans="1:100">
      <c r="A17036" s="374"/>
      <c r="C17036" s="374"/>
      <c r="CV17036" s="376"/>
    </row>
    <row r="17037" spans="1:100">
      <c r="A17037" s="374"/>
      <c r="C17037" s="374"/>
      <c r="CV17037" s="376"/>
    </row>
    <row r="17038" spans="1:100">
      <c r="A17038" s="374"/>
      <c r="C17038" s="374"/>
      <c r="CV17038" s="376"/>
    </row>
    <row r="17039" spans="1:100">
      <c r="A17039" s="374"/>
      <c r="C17039" s="374"/>
      <c r="CV17039" s="376"/>
    </row>
    <row r="17040" spans="1:100">
      <c r="A17040" s="374"/>
      <c r="C17040" s="374"/>
      <c r="CV17040" s="376"/>
    </row>
    <row r="17041" spans="1:100">
      <c r="A17041" s="374"/>
      <c r="C17041" s="374"/>
      <c r="CV17041" s="376"/>
    </row>
    <row r="17042" spans="1:100">
      <c r="A17042" s="374"/>
      <c r="C17042" s="374"/>
      <c r="CV17042" s="376"/>
    </row>
    <row r="17043" spans="1:100">
      <c r="A17043" s="374"/>
      <c r="C17043" s="374"/>
      <c r="CV17043" s="376"/>
    </row>
    <row r="17044" spans="1:100">
      <c r="A17044" s="374"/>
      <c r="C17044" s="374"/>
      <c r="CV17044" s="376"/>
    </row>
    <row r="17045" spans="1:100">
      <c r="A17045" s="374"/>
      <c r="C17045" s="374"/>
      <c r="CV17045" s="376"/>
    </row>
    <row r="17046" spans="1:100">
      <c r="A17046" s="374"/>
      <c r="C17046" s="374"/>
      <c r="CV17046" s="376"/>
    </row>
    <row r="17047" spans="1:100">
      <c r="A17047" s="374"/>
      <c r="C17047" s="374"/>
      <c r="CV17047" s="376"/>
    </row>
    <row r="17048" spans="1:100">
      <c r="A17048" s="374"/>
      <c r="C17048" s="374"/>
      <c r="CV17048" s="376"/>
    </row>
    <row r="17049" spans="1:100">
      <c r="A17049" s="374"/>
      <c r="C17049" s="374"/>
      <c r="CV17049" s="376"/>
    </row>
    <row r="17050" spans="1:100">
      <c r="A17050" s="374"/>
      <c r="C17050" s="374"/>
      <c r="CV17050" s="376"/>
    </row>
    <row r="17051" spans="1:100">
      <c r="A17051" s="374"/>
      <c r="C17051" s="374"/>
      <c r="CV17051" s="376"/>
    </row>
    <row r="17052" spans="1:100">
      <c r="A17052" s="374"/>
      <c r="C17052" s="374"/>
      <c r="CV17052" s="376"/>
    </row>
    <row r="17053" spans="1:100">
      <c r="A17053" s="374"/>
      <c r="C17053" s="374"/>
      <c r="CV17053" s="376"/>
    </row>
    <row r="17054" spans="1:100">
      <c r="A17054" s="374"/>
      <c r="C17054" s="374"/>
      <c r="CV17054" s="376"/>
    </row>
    <row r="17055" spans="1:100">
      <c r="A17055" s="374"/>
      <c r="C17055" s="374"/>
      <c r="CV17055" s="376"/>
    </row>
    <row r="17056" spans="1:100">
      <c r="A17056" s="374"/>
      <c r="C17056" s="374"/>
      <c r="CV17056" s="376"/>
    </row>
    <row r="17057" spans="1:100">
      <c r="A17057" s="374"/>
      <c r="C17057" s="374"/>
      <c r="CV17057" s="376"/>
    </row>
    <row r="17058" spans="1:100">
      <c r="A17058" s="374"/>
      <c r="C17058" s="374"/>
      <c r="CV17058" s="376"/>
    </row>
    <row r="17059" spans="1:100">
      <c r="A17059" s="374"/>
      <c r="C17059" s="374"/>
      <c r="CV17059" s="376"/>
    </row>
    <row r="17060" spans="1:100">
      <c r="A17060" s="374"/>
      <c r="C17060" s="374"/>
      <c r="CV17060" s="376"/>
    </row>
    <row r="17061" spans="1:100">
      <c r="A17061" s="374"/>
      <c r="C17061" s="374"/>
      <c r="CV17061" s="376"/>
    </row>
    <row r="17062" spans="1:100">
      <c r="A17062" s="374"/>
      <c r="C17062" s="374"/>
      <c r="CV17062" s="376"/>
    </row>
    <row r="17063" spans="1:100">
      <c r="A17063" s="374"/>
      <c r="C17063" s="374"/>
      <c r="CV17063" s="376"/>
    </row>
    <row r="17064" spans="1:100">
      <c r="A17064" s="374"/>
      <c r="C17064" s="374"/>
      <c r="CV17064" s="376"/>
    </row>
    <row r="17065" spans="1:100">
      <c r="A17065" s="374"/>
      <c r="C17065" s="374"/>
      <c r="CV17065" s="376"/>
    </row>
    <row r="17066" spans="1:100">
      <c r="A17066" s="374"/>
      <c r="C17066" s="374"/>
      <c r="CV17066" s="376"/>
    </row>
    <row r="17067" spans="1:100">
      <c r="A17067" s="374"/>
      <c r="C17067" s="374"/>
      <c r="CV17067" s="376"/>
    </row>
    <row r="17068" spans="1:100">
      <c r="A17068" s="374"/>
      <c r="C17068" s="374"/>
      <c r="CV17068" s="376"/>
    </row>
    <row r="17069" spans="1:100">
      <c r="A17069" s="374"/>
      <c r="C17069" s="374"/>
      <c r="CV17069" s="376"/>
    </row>
    <row r="17070" spans="1:100">
      <c r="A17070" s="374"/>
      <c r="C17070" s="374"/>
      <c r="CV17070" s="376"/>
    </row>
    <row r="17071" spans="1:100">
      <c r="A17071" s="374"/>
      <c r="C17071" s="374"/>
      <c r="CV17071" s="376"/>
    </row>
    <row r="17072" spans="1:100">
      <c r="A17072" s="374"/>
      <c r="C17072" s="374"/>
      <c r="CV17072" s="376"/>
    </row>
    <row r="17073" spans="1:100">
      <c r="A17073" s="374"/>
      <c r="C17073" s="374"/>
      <c r="CV17073" s="376"/>
    </row>
    <row r="17074" spans="1:100">
      <c r="A17074" s="374"/>
      <c r="C17074" s="374"/>
      <c r="CV17074" s="376"/>
    </row>
    <row r="17075" spans="1:100">
      <c r="A17075" s="374"/>
      <c r="C17075" s="374"/>
      <c r="CV17075" s="376"/>
    </row>
    <row r="17076" spans="1:100">
      <c r="A17076" s="374"/>
      <c r="C17076" s="374"/>
      <c r="CV17076" s="376"/>
    </row>
    <row r="17077" spans="1:100">
      <c r="A17077" s="374"/>
      <c r="C17077" s="374"/>
      <c r="CV17077" s="376"/>
    </row>
    <row r="17078" spans="1:100">
      <c r="A17078" s="374"/>
      <c r="C17078" s="374"/>
      <c r="CV17078" s="376"/>
    </row>
    <row r="17079" spans="1:100">
      <c r="A17079" s="374"/>
      <c r="C17079" s="374"/>
      <c r="CV17079" s="376"/>
    </row>
    <row r="17080" spans="1:100">
      <c r="A17080" s="374"/>
      <c r="C17080" s="374"/>
      <c r="CV17080" s="376"/>
    </row>
    <row r="17081" spans="1:100">
      <c r="A17081" s="374"/>
      <c r="C17081" s="374"/>
      <c r="CV17081" s="376"/>
    </row>
    <row r="17082" spans="1:100">
      <c r="A17082" s="374"/>
      <c r="C17082" s="374"/>
      <c r="CV17082" s="376"/>
    </row>
    <row r="17083" spans="1:100">
      <c r="A17083" s="374"/>
      <c r="C17083" s="374"/>
      <c r="CV17083" s="376"/>
    </row>
    <row r="17084" spans="1:100">
      <c r="A17084" s="374"/>
      <c r="C17084" s="374"/>
      <c r="CV17084" s="376"/>
    </row>
    <row r="17085" spans="1:100">
      <c r="A17085" s="374"/>
      <c r="C17085" s="374"/>
      <c r="CV17085" s="376"/>
    </row>
    <row r="17086" spans="1:100">
      <c r="A17086" s="374"/>
      <c r="C17086" s="374"/>
      <c r="CV17086" s="376"/>
    </row>
    <row r="17087" spans="1:100">
      <c r="A17087" s="374"/>
      <c r="C17087" s="374"/>
      <c r="CV17087" s="376"/>
    </row>
    <row r="17088" spans="1:100">
      <c r="A17088" s="374"/>
      <c r="C17088" s="374"/>
      <c r="CV17088" s="376"/>
    </row>
    <row r="17089" spans="1:100">
      <c r="A17089" s="374"/>
      <c r="C17089" s="374"/>
      <c r="CV17089" s="376"/>
    </row>
    <row r="17090" spans="1:100">
      <c r="A17090" s="374"/>
      <c r="C17090" s="374"/>
      <c r="CV17090" s="376"/>
    </row>
    <row r="17091" spans="1:100">
      <c r="A17091" s="374"/>
      <c r="C17091" s="374"/>
      <c r="CV17091" s="376"/>
    </row>
    <row r="17092" spans="1:100">
      <c r="A17092" s="374"/>
      <c r="C17092" s="374"/>
      <c r="CV17092" s="376"/>
    </row>
    <row r="17093" spans="1:100">
      <c r="A17093" s="374"/>
      <c r="C17093" s="374"/>
      <c r="CV17093" s="376"/>
    </row>
    <row r="17094" spans="1:100">
      <c r="A17094" s="374"/>
      <c r="C17094" s="374"/>
      <c r="CV17094" s="376"/>
    </row>
    <row r="17095" spans="1:100">
      <c r="A17095" s="374"/>
      <c r="C17095" s="374"/>
      <c r="CV17095" s="376"/>
    </row>
    <row r="17096" spans="1:100">
      <c r="A17096" s="374"/>
      <c r="C17096" s="374"/>
      <c r="CV17096" s="376"/>
    </row>
    <row r="17097" spans="1:100">
      <c r="A17097" s="374"/>
      <c r="C17097" s="374"/>
      <c r="CV17097" s="376"/>
    </row>
    <row r="17098" spans="1:100">
      <c r="A17098" s="374"/>
      <c r="C17098" s="374"/>
      <c r="CV17098" s="376"/>
    </row>
    <row r="17099" spans="1:100">
      <c r="A17099" s="374"/>
      <c r="C17099" s="374"/>
      <c r="CV17099" s="376"/>
    </row>
    <row r="17100" spans="1:100">
      <c r="A17100" s="374"/>
      <c r="C17100" s="374"/>
      <c r="CV17100" s="376"/>
    </row>
    <row r="17101" spans="1:100">
      <c r="A17101" s="374"/>
      <c r="C17101" s="374"/>
      <c r="CV17101" s="376"/>
    </row>
    <row r="17102" spans="1:100">
      <c r="A17102" s="374"/>
      <c r="C17102" s="374"/>
      <c r="CV17102" s="376"/>
    </row>
    <row r="17103" spans="1:100">
      <c r="A17103" s="374"/>
      <c r="C17103" s="374"/>
      <c r="CV17103" s="376"/>
    </row>
    <row r="17104" spans="1:100">
      <c r="A17104" s="374"/>
      <c r="C17104" s="374"/>
      <c r="CV17104" s="376"/>
    </row>
    <row r="17105" spans="1:100">
      <c r="A17105" s="374"/>
      <c r="C17105" s="374"/>
      <c r="CV17105" s="376"/>
    </row>
    <row r="17106" spans="1:100">
      <c r="A17106" s="374"/>
      <c r="C17106" s="374"/>
      <c r="CV17106" s="376"/>
    </row>
    <row r="17107" spans="1:100">
      <c r="A17107" s="374"/>
      <c r="C17107" s="374"/>
      <c r="CV17107" s="376"/>
    </row>
    <row r="17108" spans="1:100">
      <c r="A17108" s="374"/>
      <c r="C17108" s="374"/>
      <c r="CV17108" s="376"/>
    </row>
    <row r="17109" spans="1:100">
      <c r="A17109" s="374"/>
      <c r="C17109" s="374"/>
      <c r="CV17109" s="376"/>
    </row>
    <row r="17110" spans="1:100">
      <c r="A17110" s="374"/>
      <c r="C17110" s="374"/>
      <c r="CV17110" s="376"/>
    </row>
    <row r="17111" spans="1:100">
      <c r="A17111" s="374"/>
      <c r="C17111" s="374"/>
      <c r="CV17111" s="376"/>
    </row>
    <row r="17112" spans="1:100">
      <c r="A17112" s="374"/>
      <c r="C17112" s="374"/>
      <c r="CV17112" s="376"/>
    </row>
    <row r="17113" spans="1:100">
      <c r="A17113" s="374"/>
      <c r="C17113" s="374"/>
      <c r="CV17113" s="376"/>
    </row>
    <row r="17114" spans="1:100">
      <c r="A17114" s="374"/>
      <c r="C17114" s="374"/>
      <c r="CV17114" s="376"/>
    </row>
    <row r="17115" spans="1:100">
      <c r="A17115" s="374"/>
      <c r="C17115" s="374"/>
      <c r="CV17115" s="376"/>
    </row>
    <row r="17116" spans="1:100">
      <c r="A17116" s="374"/>
      <c r="C17116" s="374"/>
      <c r="CV17116" s="376"/>
    </row>
    <row r="17117" spans="1:100">
      <c r="A17117" s="374"/>
      <c r="C17117" s="374"/>
      <c r="CV17117" s="376"/>
    </row>
    <row r="17118" spans="1:100">
      <c r="A17118" s="374"/>
      <c r="C17118" s="374"/>
      <c r="CV17118" s="376"/>
    </row>
    <row r="17119" spans="1:100">
      <c r="A17119" s="374"/>
      <c r="C17119" s="374"/>
      <c r="CV17119" s="376"/>
    </row>
    <row r="17120" spans="1:100">
      <c r="A17120" s="374"/>
      <c r="C17120" s="374"/>
      <c r="CV17120" s="376"/>
    </row>
    <row r="17121" spans="1:100">
      <c r="A17121" s="374"/>
      <c r="C17121" s="374"/>
      <c r="CV17121" s="376"/>
    </row>
    <row r="17122" spans="1:100">
      <c r="A17122" s="374"/>
      <c r="C17122" s="374"/>
      <c r="CV17122" s="376"/>
    </row>
    <row r="17123" spans="1:100">
      <c r="A17123" s="374"/>
      <c r="C17123" s="374"/>
      <c r="CV17123" s="376"/>
    </row>
    <row r="17124" spans="1:100">
      <c r="A17124" s="374"/>
      <c r="C17124" s="374"/>
      <c r="CV17124" s="376"/>
    </row>
    <row r="17125" spans="1:100">
      <c r="A17125" s="374"/>
      <c r="C17125" s="374"/>
      <c r="CV17125" s="376"/>
    </row>
    <row r="17126" spans="1:100">
      <c r="A17126" s="374"/>
      <c r="C17126" s="374"/>
      <c r="CV17126" s="376"/>
    </row>
    <row r="17127" spans="1:100">
      <c r="A17127" s="374"/>
      <c r="C17127" s="374"/>
      <c r="CV17127" s="376"/>
    </row>
    <row r="17128" spans="1:100">
      <c r="A17128" s="374"/>
      <c r="C17128" s="374"/>
      <c r="CV17128" s="376"/>
    </row>
    <row r="17129" spans="1:100">
      <c r="A17129" s="374"/>
      <c r="C17129" s="374"/>
      <c r="CV17129" s="376"/>
    </row>
    <row r="17130" spans="1:100">
      <c r="A17130" s="374"/>
      <c r="C17130" s="374"/>
      <c r="CV17130" s="376"/>
    </row>
    <row r="17131" spans="1:100">
      <c r="A17131" s="374"/>
      <c r="C17131" s="374"/>
      <c r="CV17131" s="376"/>
    </row>
    <row r="17132" spans="1:100">
      <c r="A17132" s="374"/>
      <c r="C17132" s="374"/>
      <c r="CV17132" s="376"/>
    </row>
    <row r="17133" spans="1:100">
      <c r="A17133" s="374"/>
      <c r="C17133" s="374"/>
      <c r="CV17133" s="376"/>
    </row>
    <row r="17134" spans="1:100">
      <c r="A17134" s="374"/>
      <c r="C17134" s="374"/>
      <c r="CV17134" s="376"/>
    </row>
    <row r="17135" spans="1:100">
      <c r="A17135" s="374"/>
      <c r="C17135" s="374"/>
      <c r="CV17135" s="376"/>
    </row>
    <row r="17136" spans="1:100">
      <c r="A17136" s="374"/>
      <c r="C17136" s="374"/>
      <c r="CV17136" s="376"/>
    </row>
    <row r="17137" spans="1:100">
      <c r="A17137" s="374"/>
      <c r="C17137" s="374"/>
      <c r="CV17137" s="376"/>
    </row>
    <row r="17138" spans="1:100">
      <c r="A17138" s="374"/>
      <c r="C17138" s="374"/>
      <c r="CV17138" s="376"/>
    </row>
    <row r="17139" spans="1:100">
      <c r="A17139" s="374"/>
      <c r="C17139" s="374"/>
      <c r="CV17139" s="376"/>
    </row>
    <row r="17140" spans="1:100">
      <c r="A17140" s="374"/>
      <c r="C17140" s="374"/>
      <c r="CV17140" s="376"/>
    </row>
    <row r="17141" spans="1:100">
      <c r="A17141" s="374"/>
      <c r="C17141" s="374"/>
      <c r="CV17141" s="376"/>
    </row>
    <row r="17142" spans="1:100">
      <c r="A17142" s="374"/>
      <c r="C17142" s="374"/>
      <c r="CV17142" s="376"/>
    </row>
    <row r="17143" spans="1:100">
      <c r="A17143" s="374"/>
      <c r="C17143" s="374"/>
      <c r="CV17143" s="376"/>
    </row>
    <row r="17144" spans="1:100">
      <c r="A17144" s="374"/>
      <c r="C17144" s="374"/>
      <c r="CV17144" s="376"/>
    </row>
    <row r="17145" spans="1:100">
      <c r="A17145" s="374"/>
      <c r="C17145" s="374"/>
      <c r="CV17145" s="376"/>
    </row>
    <row r="17146" spans="1:100">
      <c r="A17146" s="374"/>
      <c r="C17146" s="374"/>
      <c r="CV17146" s="376"/>
    </row>
    <row r="17147" spans="1:100">
      <c r="A17147" s="374"/>
      <c r="C17147" s="374"/>
      <c r="CV17147" s="376"/>
    </row>
    <row r="17148" spans="1:100">
      <c r="A17148" s="374"/>
      <c r="C17148" s="374"/>
      <c r="CV17148" s="376"/>
    </row>
    <row r="17149" spans="1:100">
      <c r="A17149" s="374"/>
      <c r="C17149" s="374"/>
      <c r="CV17149" s="376"/>
    </row>
    <row r="17150" spans="1:100">
      <c r="A17150" s="374"/>
      <c r="C17150" s="374"/>
      <c r="CV17150" s="376"/>
    </row>
    <row r="17151" spans="1:100">
      <c r="A17151" s="374"/>
      <c r="C17151" s="374"/>
      <c r="CV17151" s="376"/>
    </row>
    <row r="17152" spans="1:100">
      <c r="A17152" s="374"/>
      <c r="C17152" s="374"/>
      <c r="CV17152" s="376"/>
    </row>
    <row r="17153" spans="1:100">
      <c r="A17153" s="374"/>
      <c r="C17153" s="374"/>
      <c r="CV17153" s="376"/>
    </row>
    <row r="17154" spans="1:100">
      <c r="A17154" s="374"/>
      <c r="C17154" s="374"/>
      <c r="CV17154" s="376"/>
    </row>
    <row r="17155" spans="1:100">
      <c r="A17155" s="374"/>
      <c r="C17155" s="374"/>
      <c r="CV17155" s="376"/>
    </row>
    <row r="17156" spans="1:100">
      <c r="A17156" s="374"/>
      <c r="C17156" s="374"/>
      <c r="CV17156" s="376"/>
    </row>
    <row r="17157" spans="1:100">
      <c r="A17157" s="374"/>
      <c r="C17157" s="374"/>
      <c r="CV17157" s="376"/>
    </row>
    <row r="17158" spans="1:100">
      <c r="A17158" s="374"/>
      <c r="C17158" s="374"/>
      <c r="CV17158" s="376"/>
    </row>
    <row r="17159" spans="1:100">
      <c r="A17159" s="374"/>
      <c r="C17159" s="374"/>
      <c r="CV17159" s="376"/>
    </row>
    <row r="17160" spans="1:100">
      <c r="A17160" s="374"/>
      <c r="C17160" s="374"/>
      <c r="CV17160" s="376"/>
    </row>
    <row r="17161" spans="1:100">
      <c r="A17161" s="374"/>
      <c r="C17161" s="374"/>
      <c r="CV17161" s="376"/>
    </row>
    <row r="17162" spans="1:100">
      <c r="A17162" s="374"/>
      <c r="C17162" s="374"/>
      <c r="CV17162" s="376"/>
    </row>
    <row r="17163" spans="1:100">
      <c r="A17163" s="374"/>
      <c r="C17163" s="374"/>
      <c r="CV17163" s="376"/>
    </row>
    <row r="17164" spans="1:100">
      <c r="A17164" s="374"/>
      <c r="C17164" s="374"/>
      <c r="CV17164" s="376"/>
    </row>
    <row r="17165" spans="1:100">
      <c r="A17165" s="374"/>
      <c r="C17165" s="374"/>
      <c r="CV17165" s="376"/>
    </row>
    <row r="17166" spans="1:100">
      <c r="A17166" s="374"/>
      <c r="C17166" s="374"/>
      <c r="CV17166" s="376"/>
    </row>
    <row r="17167" spans="1:100">
      <c r="A17167" s="374"/>
      <c r="C17167" s="374"/>
      <c r="CV17167" s="376"/>
    </row>
    <row r="17168" spans="1:100">
      <c r="A17168" s="374"/>
      <c r="C17168" s="374"/>
      <c r="CV17168" s="376"/>
    </row>
    <row r="17169" spans="1:100">
      <c r="A17169" s="374"/>
      <c r="C17169" s="374"/>
      <c r="CV17169" s="376"/>
    </row>
    <row r="17170" spans="1:100">
      <c r="A17170" s="374"/>
      <c r="C17170" s="374"/>
      <c r="CV17170" s="376"/>
    </row>
    <row r="17171" spans="1:100">
      <c r="A17171" s="374"/>
      <c r="C17171" s="374"/>
      <c r="CV17171" s="376"/>
    </row>
    <row r="17172" spans="1:100">
      <c r="A17172" s="374"/>
      <c r="C17172" s="374"/>
      <c r="CV17172" s="376"/>
    </row>
    <row r="17173" spans="1:100">
      <c r="A17173" s="374"/>
      <c r="C17173" s="374"/>
      <c r="CV17173" s="376"/>
    </row>
    <row r="17174" spans="1:100">
      <c r="A17174" s="374"/>
      <c r="C17174" s="374"/>
      <c r="CV17174" s="376"/>
    </row>
    <row r="17175" spans="1:100">
      <c r="A17175" s="374"/>
      <c r="C17175" s="374"/>
      <c r="CV17175" s="376"/>
    </row>
    <row r="17176" spans="1:100">
      <c r="A17176" s="374"/>
      <c r="C17176" s="374"/>
      <c r="CV17176" s="376"/>
    </row>
    <row r="17177" spans="1:100">
      <c r="A17177" s="374"/>
      <c r="C17177" s="374"/>
      <c r="CV17177" s="376"/>
    </row>
    <row r="17178" spans="1:100">
      <c r="A17178" s="374"/>
      <c r="C17178" s="374"/>
      <c r="CV17178" s="376"/>
    </row>
    <row r="17179" spans="1:100">
      <c r="A17179" s="374"/>
      <c r="C17179" s="374"/>
      <c r="CV17179" s="376"/>
    </row>
    <row r="17180" spans="1:100">
      <c r="A17180" s="374"/>
      <c r="C17180" s="374"/>
      <c r="CV17180" s="376"/>
    </row>
    <row r="17181" spans="1:100">
      <c r="A17181" s="374"/>
      <c r="C17181" s="374"/>
      <c r="CV17181" s="376"/>
    </row>
    <row r="17182" spans="1:100">
      <c r="A17182" s="374"/>
      <c r="C17182" s="374"/>
      <c r="CV17182" s="376"/>
    </row>
    <row r="17183" spans="1:100">
      <c r="A17183" s="374"/>
      <c r="C17183" s="374"/>
      <c r="CV17183" s="376"/>
    </row>
    <row r="17184" spans="1:100">
      <c r="A17184" s="374"/>
      <c r="C17184" s="374"/>
      <c r="CV17184" s="376"/>
    </row>
    <row r="17185" spans="1:100">
      <c r="A17185" s="374"/>
      <c r="C17185" s="374"/>
      <c r="CV17185" s="376"/>
    </row>
    <row r="17186" spans="1:100">
      <c r="A17186" s="374"/>
      <c r="C17186" s="374"/>
      <c r="CV17186" s="376"/>
    </row>
    <row r="17187" spans="1:100">
      <c r="A17187" s="374"/>
      <c r="C17187" s="374"/>
      <c r="CV17187" s="376"/>
    </row>
    <row r="17188" spans="1:100">
      <c r="A17188" s="374"/>
      <c r="C17188" s="374"/>
      <c r="CV17188" s="376"/>
    </row>
    <row r="17189" spans="1:100">
      <c r="A17189" s="374"/>
      <c r="C17189" s="374"/>
      <c r="CV17189" s="376"/>
    </row>
    <row r="17190" spans="1:100">
      <c r="A17190" s="374"/>
      <c r="C17190" s="374"/>
      <c r="CV17190" s="376"/>
    </row>
    <row r="17191" spans="1:100">
      <c r="A17191" s="374"/>
      <c r="C17191" s="374"/>
      <c r="CV17191" s="376"/>
    </row>
    <row r="17192" spans="1:100">
      <c r="A17192" s="374"/>
      <c r="C17192" s="374"/>
      <c r="CV17192" s="376"/>
    </row>
    <row r="17193" spans="1:100">
      <c r="A17193" s="374"/>
      <c r="C17193" s="374"/>
      <c r="CV17193" s="376"/>
    </row>
    <row r="17194" spans="1:100">
      <c r="A17194" s="374"/>
      <c r="C17194" s="374"/>
      <c r="CV17194" s="376"/>
    </row>
    <row r="17195" spans="1:100">
      <c r="A17195" s="374"/>
      <c r="C17195" s="374"/>
      <c r="CV17195" s="376"/>
    </row>
    <row r="17196" spans="1:100">
      <c r="A17196" s="374"/>
      <c r="C17196" s="374"/>
      <c r="CV17196" s="376"/>
    </row>
    <row r="17197" spans="1:100">
      <c r="A17197" s="374"/>
      <c r="C17197" s="374"/>
      <c r="CV17197" s="376"/>
    </row>
    <row r="17198" spans="1:100">
      <c r="A17198" s="374"/>
      <c r="C17198" s="374"/>
      <c r="CV17198" s="376"/>
    </row>
    <row r="17199" spans="1:100">
      <c r="A17199" s="374"/>
      <c r="C17199" s="374"/>
      <c r="CV17199" s="376"/>
    </row>
    <row r="17200" spans="1:100">
      <c r="A17200" s="374"/>
      <c r="C17200" s="374"/>
      <c r="CV17200" s="376"/>
    </row>
    <row r="17201" spans="1:100">
      <c r="A17201" s="374"/>
      <c r="C17201" s="374"/>
      <c r="CV17201" s="376"/>
    </row>
    <row r="17202" spans="1:100">
      <c r="A17202" s="374"/>
      <c r="C17202" s="374"/>
      <c r="CV17202" s="376"/>
    </row>
    <row r="17203" spans="1:100">
      <c r="A17203" s="374"/>
      <c r="C17203" s="374"/>
      <c r="CV17203" s="376"/>
    </row>
    <row r="17204" spans="1:100">
      <c r="A17204" s="374"/>
      <c r="C17204" s="374"/>
      <c r="CV17204" s="376"/>
    </row>
    <row r="17205" spans="1:100">
      <c r="A17205" s="374"/>
      <c r="C17205" s="374"/>
      <c r="CV17205" s="376"/>
    </row>
    <row r="17206" spans="1:100">
      <c r="A17206" s="374"/>
      <c r="C17206" s="374"/>
      <c r="CV17206" s="376"/>
    </row>
    <row r="17207" spans="1:100">
      <c r="A17207" s="374"/>
      <c r="C17207" s="374"/>
      <c r="CV17207" s="376"/>
    </row>
    <row r="17208" spans="1:100">
      <c r="A17208" s="374"/>
      <c r="C17208" s="374"/>
      <c r="CV17208" s="376"/>
    </row>
    <row r="17209" spans="1:100">
      <c r="A17209" s="374"/>
      <c r="C17209" s="374"/>
      <c r="CV17209" s="376"/>
    </row>
    <row r="17210" spans="1:100">
      <c r="A17210" s="374"/>
      <c r="C17210" s="374"/>
      <c r="CV17210" s="376"/>
    </row>
    <row r="17211" spans="1:100">
      <c r="A17211" s="374"/>
      <c r="C17211" s="374"/>
      <c r="CV17211" s="376"/>
    </row>
    <row r="17212" spans="1:100">
      <c r="A17212" s="374"/>
      <c r="C17212" s="374"/>
      <c r="CV17212" s="376"/>
    </row>
    <row r="17213" spans="1:100">
      <c r="A17213" s="374"/>
      <c r="C17213" s="374"/>
      <c r="CV17213" s="376"/>
    </row>
    <row r="17214" spans="1:100">
      <c r="A17214" s="374"/>
      <c r="C17214" s="374"/>
      <c r="CV17214" s="376"/>
    </row>
    <row r="17215" spans="1:100">
      <c r="A17215" s="374"/>
      <c r="C17215" s="374"/>
      <c r="CV17215" s="376"/>
    </row>
    <row r="17216" spans="1:100">
      <c r="A17216" s="374"/>
      <c r="C17216" s="374"/>
      <c r="CV17216" s="376"/>
    </row>
    <row r="17217" spans="1:100">
      <c r="A17217" s="374"/>
      <c r="C17217" s="374"/>
      <c r="CV17217" s="376"/>
    </row>
    <row r="17218" spans="1:100">
      <c r="A17218" s="374"/>
      <c r="C17218" s="374"/>
      <c r="CV17218" s="376"/>
    </row>
    <row r="17219" spans="1:100">
      <c r="A17219" s="374"/>
      <c r="C17219" s="374"/>
      <c r="CV17219" s="376"/>
    </row>
    <row r="17220" spans="1:100">
      <c r="A17220" s="374"/>
      <c r="C17220" s="374"/>
      <c r="CV17220" s="376"/>
    </row>
    <row r="17221" spans="1:100">
      <c r="A17221" s="374"/>
      <c r="C17221" s="374"/>
      <c r="CV17221" s="376"/>
    </row>
    <row r="17222" spans="1:100">
      <c r="A17222" s="374"/>
      <c r="C17222" s="374"/>
      <c r="CV17222" s="376"/>
    </row>
    <row r="17223" spans="1:100">
      <c r="A17223" s="374"/>
      <c r="C17223" s="374"/>
      <c r="CV17223" s="376"/>
    </row>
    <row r="17224" spans="1:100">
      <c r="A17224" s="374"/>
      <c r="C17224" s="374"/>
      <c r="CV17224" s="376"/>
    </row>
    <row r="17225" spans="1:100">
      <c r="A17225" s="374"/>
      <c r="C17225" s="374"/>
      <c r="CV17225" s="376"/>
    </row>
    <row r="17226" spans="1:100">
      <c r="A17226" s="374"/>
      <c r="C17226" s="374"/>
      <c r="CV17226" s="376"/>
    </row>
    <row r="17227" spans="1:100">
      <c r="A17227" s="374"/>
      <c r="C17227" s="374"/>
      <c r="CV17227" s="376"/>
    </row>
    <row r="17228" spans="1:100">
      <c r="A17228" s="374"/>
      <c r="C17228" s="374"/>
      <c r="CV17228" s="376"/>
    </row>
    <row r="17229" spans="1:100">
      <c r="A17229" s="374"/>
      <c r="C17229" s="374"/>
      <c r="CV17229" s="376"/>
    </row>
    <row r="17230" spans="1:100">
      <c r="A17230" s="374"/>
      <c r="C17230" s="374"/>
      <c r="CV17230" s="376"/>
    </row>
    <row r="17231" spans="1:100">
      <c r="A17231" s="374"/>
      <c r="C17231" s="374"/>
      <c r="CV17231" s="376"/>
    </row>
    <row r="17232" spans="1:100">
      <c r="A17232" s="374"/>
      <c r="C17232" s="374"/>
      <c r="CV17232" s="376"/>
    </row>
    <row r="17233" spans="1:100">
      <c r="A17233" s="374"/>
      <c r="C17233" s="374"/>
      <c r="CV17233" s="376"/>
    </row>
    <row r="17234" spans="1:100">
      <c r="A17234" s="374"/>
      <c r="C17234" s="374"/>
      <c r="CV17234" s="376"/>
    </row>
    <row r="17235" spans="1:100">
      <c r="A17235" s="374"/>
      <c r="C17235" s="374"/>
      <c r="CV17235" s="376"/>
    </row>
    <row r="17236" spans="1:100">
      <c r="A17236" s="374"/>
      <c r="C17236" s="374"/>
      <c r="CV17236" s="376"/>
    </row>
    <row r="17237" spans="1:100">
      <c r="A17237" s="374"/>
      <c r="C17237" s="374"/>
      <c r="CV17237" s="376"/>
    </row>
    <row r="17238" spans="1:100">
      <c r="A17238" s="374"/>
      <c r="C17238" s="374"/>
      <c r="CV17238" s="376"/>
    </row>
    <row r="17239" spans="1:100">
      <c r="A17239" s="374"/>
      <c r="C17239" s="374"/>
      <c r="CV17239" s="376"/>
    </row>
    <row r="17240" spans="1:100">
      <c r="A17240" s="374"/>
      <c r="C17240" s="374"/>
      <c r="CV17240" s="376"/>
    </row>
    <row r="17241" spans="1:100">
      <c r="A17241" s="374"/>
      <c r="C17241" s="374"/>
      <c r="CV17241" s="376"/>
    </row>
    <row r="17242" spans="1:100">
      <c r="A17242" s="374"/>
      <c r="C17242" s="374"/>
      <c r="CV17242" s="376"/>
    </row>
    <row r="17243" spans="1:100">
      <c r="A17243" s="374"/>
      <c r="C17243" s="374"/>
      <c r="CV17243" s="376"/>
    </row>
    <row r="17244" spans="1:100">
      <c r="A17244" s="374"/>
      <c r="C17244" s="374"/>
      <c r="CV17244" s="376"/>
    </row>
    <row r="17245" spans="1:100">
      <c r="A17245" s="374"/>
      <c r="C17245" s="374"/>
      <c r="CV17245" s="376"/>
    </row>
    <row r="17246" spans="1:100">
      <c r="A17246" s="374"/>
      <c r="C17246" s="374"/>
      <c r="CV17246" s="376"/>
    </row>
    <row r="17247" spans="1:100">
      <c r="A17247" s="374"/>
      <c r="C17247" s="374"/>
      <c r="CV17247" s="376"/>
    </row>
    <row r="17248" spans="1:100">
      <c r="A17248" s="374"/>
      <c r="C17248" s="374"/>
      <c r="CV17248" s="376"/>
    </row>
    <row r="17249" spans="1:100">
      <c r="A17249" s="374"/>
      <c r="C17249" s="374"/>
      <c r="CV17249" s="376"/>
    </row>
    <row r="17250" spans="1:100">
      <c r="A17250" s="374"/>
      <c r="C17250" s="374"/>
      <c r="CV17250" s="376"/>
    </row>
    <row r="17251" spans="1:100">
      <c r="A17251" s="374"/>
      <c r="C17251" s="374"/>
      <c r="CV17251" s="376"/>
    </row>
    <row r="17252" spans="1:100">
      <c r="A17252" s="374"/>
      <c r="C17252" s="374"/>
      <c r="CV17252" s="376"/>
    </row>
    <row r="17253" spans="1:100">
      <c r="A17253" s="374"/>
      <c r="C17253" s="374"/>
      <c r="CV17253" s="376"/>
    </row>
    <row r="17254" spans="1:100">
      <c r="A17254" s="374"/>
      <c r="C17254" s="374"/>
      <c r="CV17254" s="376"/>
    </row>
    <row r="17255" spans="1:100">
      <c r="A17255" s="374"/>
      <c r="C17255" s="374"/>
      <c r="CV17255" s="376"/>
    </row>
    <row r="17256" spans="1:100">
      <c r="A17256" s="374"/>
      <c r="C17256" s="374"/>
      <c r="CV17256" s="376"/>
    </row>
    <row r="17257" spans="1:100">
      <c r="A17257" s="374"/>
      <c r="C17257" s="374"/>
      <c r="CV17257" s="376"/>
    </row>
    <row r="17258" spans="1:100">
      <c r="A17258" s="374"/>
      <c r="C17258" s="374"/>
      <c r="CV17258" s="376"/>
    </row>
    <row r="17259" spans="1:100">
      <c r="A17259" s="374"/>
      <c r="C17259" s="374"/>
      <c r="CV17259" s="376"/>
    </row>
    <row r="17260" spans="1:100">
      <c r="A17260" s="374"/>
      <c r="C17260" s="374"/>
      <c r="CV17260" s="376"/>
    </row>
    <row r="17261" spans="1:100">
      <c r="A17261" s="374"/>
      <c r="C17261" s="374"/>
      <c r="CV17261" s="376"/>
    </row>
    <row r="17262" spans="1:100">
      <c r="A17262" s="374"/>
      <c r="C17262" s="374"/>
      <c r="CV17262" s="376"/>
    </row>
    <row r="17263" spans="1:100">
      <c r="A17263" s="374"/>
      <c r="C17263" s="374"/>
      <c r="CV17263" s="376"/>
    </row>
    <row r="17264" spans="1:100">
      <c r="A17264" s="374"/>
      <c r="C17264" s="374"/>
      <c r="CV17264" s="376"/>
    </row>
    <row r="17265" spans="1:100">
      <c r="A17265" s="374"/>
      <c r="C17265" s="374"/>
      <c r="CV17265" s="376"/>
    </row>
    <row r="17266" spans="1:100">
      <c r="A17266" s="374"/>
      <c r="C17266" s="374"/>
      <c r="CV17266" s="376"/>
    </row>
    <row r="17267" spans="1:100">
      <c r="A17267" s="374"/>
      <c r="C17267" s="374"/>
      <c r="CV17267" s="376"/>
    </row>
    <row r="17268" spans="1:100">
      <c r="A17268" s="374"/>
      <c r="C17268" s="374"/>
      <c r="CV17268" s="376"/>
    </row>
    <row r="17269" spans="1:100">
      <c r="A17269" s="374"/>
      <c r="C17269" s="374"/>
      <c r="CV17269" s="376"/>
    </row>
    <row r="17270" spans="1:100">
      <c r="A17270" s="374"/>
      <c r="C17270" s="374"/>
      <c r="CV17270" s="376"/>
    </row>
    <row r="17271" spans="1:100">
      <c r="A17271" s="374"/>
      <c r="C17271" s="374"/>
      <c r="CV17271" s="376"/>
    </row>
    <row r="17272" spans="1:100">
      <c r="A17272" s="374"/>
      <c r="C17272" s="374"/>
      <c r="CV17272" s="376"/>
    </row>
    <row r="17273" spans="1:100">
      <c r="A17273" s="374"/>
      <c r="C17273" s="374"/>
      <c r="CV17273" s="376"/>
    </row>
    <row r="17274" spans="1:100">
      <c r="A17274" s="374"/>
      <c r="C17274" s="374"/>
      <c r="CV17274" s="376"/>
    </row>
    <row r="17275" spans="1:100">
      <c r="A17275" s="374"/>
      <c r="C17275" s="374"/>
      <c r="CV17275" s="376"/>
    </row>
    <row r="17276" spans="1:100">
      <c r="A17276" s="374"/>
      <c r="C17276" s="374"/>
      <c r="CV17276" s="376"/>
    </row>
    <row r="17277" spans="1:100">
      <c r="A17277" s="374"/>
      <c r="C17277" s="374"/>
      <c r="CV17277" s="376"/>
    </row>
    <row r="17278" spans="1:100">
      <c r="A17278" s="374"/>
      <c r="C17278" s="374"/>
      <c r="CV17278" s="376"/>
    </row>
    <row r="17279" spans="1:100">
      <c r="A17279" s="374"/>
      <c r="C17279" s="374"/>
      <c r="CV17279" s="376"/>
    </row>
    <row r="17280" spans="1:100">
      <c r="A17280" s="374"/>
      <c r="C17280" s="374"/>
      <c r="CV17280" s="376"/>
    </row>
    <row r="17281" spans="1:100">
      <c r="A17281" s="374"/>
      <c r="C17281" s="374"/>
      <c r="CV17281" s="376"/>
    </row>
    <row r="17282" spans="1:100">
      <c r="A17282" s="374"/>
      <c r="C17282" s="374"/>
      <c r="CV17282" s="376"/>
    </row>
    <row r="17283" spans="1:100">
      <c r="A17283" s="374"/>
      <c r="C17283" s="374"/>
      <c r="CV17283" s="376"/>
    </row>
    <row r="17284" spans="1:100">
      <c r="A17284" s="374"/>
      <c r="C17284" s="374"/>
      <c r="CV17284" s="376"/>
    </row>
    <row r="17285" spans="1:100">
      <c r="A17285" s="374"/>
      <c r="C17285" s="374"/>
      <c r="CV17285" s="376"/>
    </row>
    <row r="17286" spans="1:100">
      <c r="A17286" s="374"/>
      <c r="C17286" s="374"/>
      <c r="CV17286" s="376"/>
    </row>
    <row r="17287" spans="1:100">
      <c r="A17287" s="374"/>
      <c r="C17287" s="374"/>
      <c r="CV17287" s="376"/>
    </row>
    <row r="17288" spans="1:100">
      <c r="A17288" s="374"/>
      <c r="C17288" s="374"/>
      <c r="CV17288" s="376"/>
    </row>
    <row r="17289" spans="1:100">
      <c r="A17289" s="374"/>
      <c r="C17289" s="374"/>
      <c r="CV17289" s="376"/>
    </row>
    <row r="17290" spans="1:100">
      <c r="A17290" s="374"/>
      <c r="C17290" s="374"/>
      <c r="CV17290" s="376"/>
    </row>
    <row r="17291" spans="1:100">
      <c r="A17291" s="374"/>
      <c r="C17291" s="374"/>
      <c r="CV17291" s="376"/>
    </row>
    <row r="17292" spans="1:100">
      <c r="A17292" s="374"/>
      <c r="C17292" s="374"/>
      <c r="CV17292" s="376"/>
    </row>
    <row r="17293" spans="1:100">
      <c r="A17293" s="374"/>
      <c r="C17293" s="374"/>
      <c r="CV17293" s="376"/>
    </row>
    <row r="17294" spans="1:100">
      <c r="A17294" s="374"/>
      <c r="C17294" s="374"/>
      <c r="CV17294" s="376"/>
    </row>
    <row r="17295" spans="1:100">
      <c r="A17295" s="374"/>
      <c r="C17295" s="374"/>
      <c r="CV17295" s="376"/>
    </row>
    <row r="17296" spans="1:100">
      <c r="A17296" s="374"/>
      <c r="C17296" s="374"/>
      <c r="CV17296" s="376"/>
    </row>
    <row r="17297" spans="1:100">
      <c r="A17297" s="374"/>
      <c r="C17297" s="374"/>
      <c r="CV17297" s="376"/>
    </row>
    <row r="17298" spans="1:100">
      <c r="A17298" s="374"/>
      <c r="C17298" s="374"/>
      <c r="CV17298" s="376"/>
    </row>
    <row r="17299" spans="1:100">
      <c r="A17299" s="374"/>
      <c r="C17299" s="374"/>
      <c r="CV17299" s="376"/>
    </row>
    <row r="17300" spans="1:100">
      <c r="A17300" s="374"/>
      <c r="C17300" s="374"/>
      <c r="CV17300" s="376"/>
    </row>
    <row r="17301" spans="1:100">
      <c r="A17301" s="374"/>
      <c r="C17301" s="374"/>
      <c r="CV17301" s="376"/>
    </row>
    <row r="17302" spans="1:100">
      <c r="A17302" s="374"/>
      <c r="C17302" s="374"/>
      <c r="CV17302" s="376"/>
    </row>
    <row r="17303" spans="1:100">
      <c r="A17303" s="374"/>
      <c r="C17303" s="374"/>
      <c r="CV17303" s="376"/>
    </row>
    <row r="17304" spans="1:100">
      <c r="A17304" s="374"/>
      <c r="C17304" s="374"/>
      <c r="CV17304" s="376"/>
    </row>
    <row r="17305" spans="1:100">
      <c r="A17305" s="374"/>
      <c r="C17305" s="374"/>
      <c r="CV17305" s="376"/>
    </row>
    <row r="17306" spans="1:100">
      <c r="A17306" s="374"/>
      <c r="C17306" s="374"/>
      <c r="CV17306" s="376"/>
    </row>
    <row r="17307" spans="1:100">
      <c r="A17307" s="374"/>
      <c r="C17307" s="374"/>
      <c r="CV17307" s="376"/>
    </row>
    <row r="17308" spans="1:100">
      <c r="A17308" s="374"/>
      <c r="C17308" s="374"/>
      <c r="CV17308" s="376"/>
    </row>
    <row r="17309" spans="1:100">
      <c r="A17309" s="374"/>
      <c r="C17309" s="374"/>
      <c r="CV17309" s="376"/>
    </row>
    <row r="17310" spans="1:100">
      <c r="A17310" s="374"/>
      <c r="C17310" s="374"/>
      <c r="CV17310" s="376"/>
    </row>
    <row r="17311" spans="1:100">
      <c r="A17311" s="374"/>
      <c r="C17311" s="374"/>
      <c r="CV17311" s="376"/>
    </row>
    <row r="17312" spans="1:100">
      <c r="A17312" s="374"/>
      <c r="C17312" s="374"/>
      <c r="CV17312" s="376"/>
    </row>
    <row r="17313" spans="1:100">
      <c r="A17313" s="374"/>
      <c r="C17313" s="374"/>
      <c r="CV17313" s="376"/>
    </row>
    <row r="17314" spans="1:100">
      <c r="A17314" s="374"/>
      <c r="C17314" s="374"/>
      <c r="CV17314" s="376"/>
    </row>
    <row r="17315" spans="1:100">
      <c r="A17315" s="374"/>
      <c r="C17315" s="374"/>
      <c r="CV17315" s="376"/>
    </row>
    <row r="17316" spans="1:100">
      <c r="A17316" s="374"/>
      <c r="C17316" s="374"/>
      <c r="CV17316" s="376"/>
    </row>
    <row r="17317" spans="1:100">
      <c r="A17317" s="374"/>
      <c r="C17317" s="374"/>
      <c r="CV17317" s="376"/>
    </row>
    <row r="17318" spans="1:100">
      <c r="A17318" s="374"/>
      <c r="C17318" s="374"/>
      <c r="CV17318" s="376"/>
    </row>
    <row r="17319" spans="1:100">
      <c r="A17319" s="374"/>
      <c r="C17319" s="374"/>
      <c r="CV17319" s="376"/>
    </row>
    <row r="17320" spans="1:100">
      <c r="A17320" s="374"/>
      <c r="C17320" s="374"/>
      <c r="CV17320" s="376"/>
    </row>
    <row r="17321" spans="1:100">
      <c r="A17321" s="374"/>
      <c r="C17321" s="374"/>
      <c r="CV17321" s="376"/>
    </row>
    <row r="17322" spans="1:100">
      <c r="A17322" s="374"/>
      <c r="C17322" s="374"/>
      <c r="CV17322" s="376"/>
    </row>
    <row r="17323" spans="1:100">
      <c r="A17323" s="374"/>
      <c r="C17323" s="374"/>
      <c r="CV17323" s="376"/>
    </row>
    <row r="17324" spans="1:100">
      <c r="A17324" s="374"/>
      <c r="C17324" s="374"/>
      <c r="CV17324" s="376"/>
    </row>
    <row r="17325" spans="1:100">
      <c r="A17325" s="374"/>
      <c r="C17325" s="374"/>
      <c r="CV17325" s="376"/>
    </row>
    <row r="17326" spans="1:100">
      <c r="A17326" s="374"/>
      <c r="C17326" s="374"/>
      <c r="CV17326" s="376"/>
    </row>
    <row r="17327" spans="1:100">
      <c r="A17327" s="374"/>
      <c r="C17327" s="374"/>
      <c r="CV17327" s="376"/>
    </row>
    <row r="17328" spans="1:100">
      <c r="A17328" s="374"/>
      <c r="C17328" s="374"/>
      <c r="CV17328" s="376"/>
    </row>
    <row r="17329" spans="1:100">
      <c r="A17329" s="374"/>
      <c r="C17329" s="374"/>
      <c r="CV17329" s="376"/>
    </row>
    <row r="17330" spans="1:100">
      <c r="A17330" s="374"/>
      <c r="C17330" s="374"/>
      <c r="CV17330" s="376"/>
    </row>
    <row r="17331" spans="1:100">
      <c r="A17331" s="374"/>
      <c r="C17331" s="374"/>
      <c r="CV17331" s="376"/>
    </row>
    <row r="17332" spans="1:100">
      <c r="A17332" s="374"/>
      <c r="C17332" s="374"/>
      <c r="CV17332" s="376"/>
    </row>
    <row r="17333" spans="1:100">
      <c r="A17333" s="374"/>
      <c r="C17333" s="374"/>
      <c r="CV17333" s="376"/>
    </row>
    <row r="17334" spans="1:100">
      <c r="A17334" s="374"/>
      <c r="C17334" s="374"/>
      <c r="CV17334" s="376"/>
    </row>
    <row r="17335" spans="1:100">
      <c r="A17335" s="374"/>
      <c r="C17335" s="374"/>
      <c r="CV17335" s="376"/>
    </row>
    <row r="17336" spans="1:100">
      <c r="A17336" s="374"/>
      <c r="C17336" s="374"/>
      <c r="CV17336" s="376"/>
    </row>
    <row r="17337" spans="1:100">
      <c r="A17337" s="374"/>
      <c r="C17337" s="374"/>
      <c r="CV17337" s="376"/>
    </row>
    <row r="17338" spans="1:100">
      <c r="A17338" s="374"/>
      <c r="C17338" s="374"/>
      <c r="CV17338" s="376"/>
    </row>
    <row r="17339" spans="1:100">
      <c r="A17339" s="374"/>
      <c r="C17339" s="374"/>
      <c r="CV17339" s="376"/>
    </row>
    <row r="17340" spans="1:100">
      <c r="A17340" s="374"/>
      <c r="C17340" s="374"/>
      <c r="CV17340" s="376"/>
    </row>
    <row r="17341" spans="1:100">
      <c r="A17341" s="374"/>
      <c r="C17341" s="374"/>
      <c r="CV17341" s="376"/>
    </row>
    <row r="17342" spans="1:100">
      <c r="A17342" s="374"/>
      <c r="C17342" s="374"/>
      <c r="CV17342" s="376"/>
    </row>
    <row r="17343" spans="1:100">
      <c r="A17343" s="374"/>
      <c r="C17343" s="374"/>
      <c r="CV17343" s="376"/>
    </row>
    <row r="17344" spans="1:100">
      <c r="A17344" s="374"/>
      <c r="C17344" s="374"/>
      <c r="CV17344" s="376"/>
    </row>
    <row r="17345" spans="1:100">
      <c r="A17345" s="374"/>
      <c r="C17345" s="374"/>
      <c r="CV17345" s="376"/>
    </row>
    <row r="17346" spans="1:100">
      <c r="A17346" s="374"/>
      <c r="C17346" s="374"/>
      <c r="CV17346" s="376"/>
    </row>
    <row r="17347" spans="1:100">
      <c r="A17347" s="374"/>
      <c r="C17347" s="374"/>
      <c r="CV17347" s="376"/>
    </row>
    <row r="17348" spans="1:100">
      <c r="A17348" s="374"/>
      <c r="C17348" s="374"/>
      <c r="CV17348" s="376"/>
    </row>
    <row r="17349" spans="1:100">
      <c r="A17349" s="374"/>
      <c r="C17349" s="374"/>
      <c r="CV17349" s="376"/>
    </row>
    <row r="17350" spans="1:100">
      <c r="A17350" s="374"/>
      <c r="C17350" s="374"/>
      <c r="CV17350" s="376"/>
    </row>
    <row r="17351" spans="1:100">
      <c r="A17351" s="374"/>
      <c r="C17351" s="374"/>
      <c r="CV17351" s="376"/>
    </row>
    <row r="17352" spans="1:100">
      <c r="A17352" s="374"/>
      <c r="C17352" s="374"/>
      <c r="CV17352" s="376"/>
    </row>
    <row r="17353" spans="1:100">
      <c r="A17353" s="374"/>
      <c r="C17353" s="374"/>
      <c r="CV17353" s="376"/>
    </row>
    <row r="17354" spans="1:100">
      <c r="A17354" s="374"/>
      <c r="C17354" s="374"/>
      <c r="CV17354" s="376"/>
    </row>
    <row r="17355" spans="1:100">
      <c r="A17355" s="374"/>
      <c r="C17355" s="374"/>
      <c r="CV17355" s="376"/>
    </row>
    <row r="17356" spans="1:100">
      <c r="A17356" s="374"/>
      <c r="C17356" s="374"/>
      <c r="CV17356" s="376"/>
    </row>
    <row r="17357" spans="1:100">
      <c r="A17357" s="374"/>
      <c r="C17357" s="374"/>
      <c r="CV17357" s="376"/>
    </row>
    <row r="17358" spans="1:100">
      <c r="A17358" s="374"/>
      <c r="C17358" s="374"/>
      <c r="CV17358" s="376"/>
    </row>
    <row r="17359" spans="1:100">
      <c r="A17359" s="374"/>
      <c r="C17359" s="374"/>
      <c r="CV17359" s="376"/>
    </row>
    <row r="17360" spans="1:100">
      <c r="A17360" s="374"/>
      <c r="C17360" s="374"/>
      <c r="CV17360" s="376"/>
    </row>
    <row r="17361" spans="1:100">
      <c r="A17361" s="374"/>
      <c r="C17361" s="374"/>
      <c r="CV17361" s="376"/>
    </row>
    <row r="17362" spans="1:100">
      <c r="A17362" s="374"/>
      <c r="C17362" s="374"/>
      <c r="CV17362" s="376"/>
    </row>
    <row r="17363" spans="1:100">
      <c r="A17363" s="374"/>
      <c r="C17363" s="374"/>
      <c r="CV17363" s="376"/>
    </row>
    <row r="17364" spans="1:100">
      <c r="A17364" s="374"/>
      <c r="C17364" s="374"/>
      <c r="CV17364" s="376"/>
    </row>
    <row r="17365" spans="1:100">
      <c r="A17365" s="374"/>
      <c r="C17365" s="374"/>
      <c r="CV17365" s="376"/>
    </row>
    <row r="17366" spans="1:100">
      <c r="A17366" s="374"/>
      <c r="C17366" s="374"/>
      <c r="CV17366" s="376"/>
    </row>
    <row r="17367" spans="1:100">
      <c r="A17367" s="374"/>
      <c r="C17367" s="374"/>
      <c r="CV17367" s="376"/>
    </row>
    <row r="17368" spans="1:100">
      <c r="A17368" s="374"/>
      <c r="C17368" s="374"/>
      <c r="CV17368" s="376"/>
    </row>
    <row r="17369" spans="1:100">
      <c r="A17369" s="374"/>
      <c r="C17369" s="374"/>
      <c r="CV17369" s="376"/>
    </row>
    <row r="17370" spans="1:100">
      <c r="A17370" s="374"/>
      <c r="C17370" s="374"/>
      <c r="CV17370" s="376"/>
    </row>
    <row r="17371" spans="1:100">
      <c r="A17371" s="374"/>
      <c r="C17371" s="374"/>
      <c r="CV17371" s="376"/>
    </row>
    <row r="17372" spans="1:100">
      <c r="A17372" s="374"/>
      <c r="C17372" s="374"/>
      <c r="CV17372" s="376"/>
    </row>
    <row r="17373" spans="1:100">
      <c r="A17373" s="374"/>
      <c r="C17373" s="374"/>
      <c r="CV17373" s="376"/>
    </row>
    <row r="17374" spans="1:100">
      <c r="A17374" s="374"/>
      <c r="C17374" s="374"/>
      <c r="CV17374" s="376"/>
    </row>
    <row r="17375" spans="1:100">
      <c r="A17375" s="374"/>
      <c r="C17375" s="374"/>
      <c r="CV17375" s="376"/>
    </row>
    <row r="17376" spans="1:100">
      <c r="A17376" s="374"/>
      <c r="C17376" s="374"/>
      <c r="CV17376" s="376"/>
    </row>
    <row r="17377" spans="1:100">
      <c r="A17377" s="374"/>
      <c r="C17377" s="374"/>
      <c r="CV17377" s="376"/>
    </row>
    <row r="17378" spans="1:100">
      <c r="A17378" s="374"/>
      <c r="C17378" s="374"/>
      <c r="CV17378" s="376"/>
    </row>
    <row r="17379" spans="1:100">
      <c r="A17379" s="374"/>
      <c r="C17379" s="374"/>
      <c r="CV17379" s="376"/>
    </row>
    <row r="17380" spans="1:100">
      <c r="A17380" s="374"/>
      <c r="C17380" s="374"/>
      <c r="CV17380" s="376"/>
    </row>
    <row r="17381" spans="1:100">
      <c r="A17381" s="374"/>
      <c r="C17381" s="374"/>
      <c r="CV17381" s="376"/>
    </row>
    <row r="17382" spans="1:100">
      <c r="A17382" s="374"/>
      <c r="C17382" s="374"/>
      <c r="CV17382" s="376"/>
    </row>
    <row r="17383" spans="1:100">
      <c r="A17383" s="374"/>
      <c r="C17383" s="374"/>
      <c r="CV17383" s="376"/>
    </row>
    <row r="17384" spans="1:100">
      <c r="A17384" s="374"/>
      <c r="C17384" s="374"/>
      <c r="CV17384" s="376"/>
    </row>
    <row r="17385" spans="1:100">
      <c r="A17385" s="374"/>
      <c r="C17385" s="374"/>
      <c r="CV17385" s="376"/>
    </row>
    <row r="17386" spans="1:100">
      <c r="A17386" s="374"/>
      <c r="C17386" s="374"/>
      <c r="CV17386" s="376"/>
    </row>
    <row r="17387" spans="1:100">
      <c r="A17387" s="374"/>
      <c r="C17387" s="374"/>
      <c r="CV17387" s="376"/>
    </row>
    <row r="17388" spans="1:100">
      <c r="A17388" s="374"/>
      <c r="C17388" s="374"/>
      <c r="CV17388" s="376"/>
    </row>
    <row r="17389" spans="1:100">
      <c r="A17389" s="374"/>
      <c r="C17389" s="374"/>
      <c r="CV17389" s="376"/>
    </row>
    <row r="17390" spans="1:100">
      <c r="A17390" s="374"/>
      <c r="C17390" s="374"/>
      <c r="CV17390" s="376"/>
    </row>
    <row r="17391" spans="1:100">
      <c r="A17391" s="374"/>
      <c r="C17391" s="374"/>
      <c r="CV17391" s="376"/>
    </row>
    <row r="17392" spans="1:100">
      <c r="A17392" s="374"/>
      <c r="C17392" s="374"/>
      <c r="CV17392" s="376"/>
    </row>
    <row r="17393" spans="1:100">
      <c r="A17393" s="374"/>
      <c r="C17393" s="374"/>
      <c r="CV17393" s="376"/>
    </row>
    <row r="17394" spans="1:100">
      <c r="A17394" s="374"/>
      <c r="C17394" s="374"/>
      <c r="CV17394" s="376"/>
    </row>
    <row r="17395" spans="1:100">
      <c r="A17395" s="374"/>
      <c r="C17395" s="374"/>
      <c r="CV17395" s="376"/>
    </row>
    <row r="17396" spans="1:100">
      <c r="A17396" s="374"/>
      <c r="C17396" s="374"/>
      <c r="CV17396" s="376"/>
    </row>
    <row r="17397" spans="1:100">
      <c r="A17397" s="374"/>
      <c r="C17397" s="374"/>
      <c r="CV17397" s="376"/>
    </row>
    <row r="17398" spans="1:100">
      <c r="A17398" s="374"/>
      <c r="C17398" s="374"/>
      <c r="CV17398" s="376"/>
    </row>
    <row r="17399" spans="1:100">
      <c r="A17399" s="374"/>
      <c r="C17399" s="374"/>
      <c r="CV17399" s="376"/>
    </row>
    <row r="17400" spans="1:100">
      <c r="A17400" s="374"/>
      <c r="C17400" s="374"/>
      <c r="CV17400" s="376"/>
    </row>
    <row r="17401" spans="1:100">
      <c r="A17401" s="374"/>
      <c r="C17401" s="374"/>
      <c r="CV17401" s="376"/>
    </row>
    <row r="17402" spans="1:100">
      <c r="A17402" s="374"/>
      <c r="C17402" s="374"/>
      <c r="CV17402" s="376"/>
    </row>
    <row r="17403" spans="1:100">
      <c r="A17403" s="374"/>
      <c r="C17403" s="374"/>
      <c r="CV17403" s="376"/>
    </row>
    <row r="17404" spans="1:100">
      <c r="A17404" s="374"/>
      <c r="C17404" s="374"/>
      <c r="CV17404" s="376"/>
    </row>
    <row r="17405" spans="1:100">
      <c r="A17405" s="374"/>
      <c r="C17405" s="374"/>
      <c r="CV17405" s="376"/>
    </row>
    <row r="17406" spans="1:100">
      <c r="A17406" s="374"/>
      <c r="C17406" s="374"/>
      <c r="CV17406" s="376"/>
    </row>
    <row r="17407" spans="1:100">
      <c r="A17407" s="374"/>
      <c r="C17407" s="374"/>
      <c r="CV17407" s="376"/>
    </row>
    <row r="17408" spans="1:100">
      <c r="A17408" s="374"/>
      <c r="C17408" s="374"/>
      <c r="CV17408" s="376"/>
    </row>
    <row r="17409" spans="1:100">
      <c r="A17409" s="374"/>
      <c r="C17409" s="374"/>
      <c r="CV17409" s="376"/>
    </row>
    <row r="17410" spans="1:100">
      <c r="A17410" s="374"/>
      <c r="C17410" s="374"/>
      <c r="CV17410" s="376"/>
    </row>
    <row r="17411" spans="1:100">
      <c r="A17411" s="374"/>
      <c r="C17411" s="374"/>
      <c r="CV17411" s="376"/>
    </row>
    <row r="17412" spans="1:100">
      <c r="A17412" s="374"/>
      <c r="C17412" s="374"/>
      <c r="CV17412" s="376"/>
    </row>
    <row r="17413" spans="1:100">
      <c r="A17413" s="374"/>
      <c r="C17413" s="374"/>
      <c r="CV17413" s="376"/>
    </row>
    <row r="17414" spans="1:100">
      <c r="A17414" s="374"/>
      <c r="C17414" s="374"/>
      <c r="CV17414" s="376"/>
    </row>
    <row r="17415" spans="1:100">
      <c r="A17415" s="374"/>
      <c r="C17415" s="374"/>
      <c r="CV17415" s="376"/>
    </row>
    <row r="17416" spans="1:100">
      <c r="A17416" s="374"/>
      <c r="C17416" s="374"/>
      <c r="CV17416" s="376"/>
    </row>
    <row r="17417" spans="1:100">
      <c r="A17417" s="374"/>
      <c r="C17417" s="374"/>
      <c r="CV17417" s="376"/>
    </row>
    <row r="17418" spans="1:100">
      <c r="A17418" s="374"/>
      <c r="C17418" s="374"/>
      <c r="CV17418" s="376"/>
    </row>
    <row r="17419" spans="1:100">
      <c r="A17419" s="374"/>
      <c r="C17419" s="374"/>
      <c r="CV17419" s="376"/>
    </row>
    <row r="17420" spans="1:100">
      <c r="A17420" s="374"/>
      <c r="C17420" s="374"/>
      <c r="CV17420" s="376"/>
    </row>
    <row r="17421" spans="1:100">
      <c r="A17421" s="374"/>
      <c r="C17421" s="374"/>
      <c r="CV17421" s="376"/>
    </row>
    <row r="17422" spans="1:100">
      <c r="A17422" s="374"/>
      <c r="C17422" s="374"/>
      <c r="CV17422" s="376"/>
    </row>
    <row r="17423" spans="1:100">
      <c r="A17423" s="374"/>
      <c r="C17423" s="374"/>
      <c r="CV17423" s="376"/>
    </row>
    <row r="17424" spans="1:100">
      <c r="A17424" s="374"/>
      <c r="C17424" s="374"/>
      <c r="CV17424" s="376"/>
    </row>
    <row r="17425" spans="1:100">
      <c r="A17425" s="374"/>
      <c r="C17425" s="374"/>
      <c r="CV17425" s="376"/>
    </row>
    <row r="17426" spans="1:100">
      <c r="A17426" s="374"/>
      <c r="C17426" s="374"/>
      <c r="CV17426" s="376"/>
    </row>
    <row r="17427" spans="1:100">
      <c r="A17427" s="374"/>
      <c r="C17427" s="374"/>
      <c r="CV17427" s="376"/>
    </row>
    <row r="17428" spans="1:100">
      <c r="A17428" s="374"/>
      <c r="C17428" s="374"/>
      <c r="CV17428" s="376"/>
    </row>
    <row r="17429" spans="1:100">
      <c r="A17429" s="374"/>
      <c r="C17429" s="374"/>
      <c r="CV17429" s="376"/>
    </row>
    <row r="17430" spans="1:100">
      <c r="A17430" s="374"/>
      <c r="C17430" s="374"/>
      <c r="CV17430" s="376"/>
    </row>
    <row r="17431" spans="1:100">
      <c r="A17431" s="374"/>
      <c r="C17431" s="374"/>
      <c r="CV17431" s="376"/>
    </row>
    <row r="17432" spans="1:100">
      <c r="A17432" s="374"/>
      <c r="C17432" s="374"/>
      <c r="CV17432" s="376"/>
    </row>
    <row r="17433" spans="1:100">
      <c r="A17433" s="374"/>
      <c r="C17433" s="374"/>
      <c r="CV17433" s="376"/>
    </row>
    <row r="17434" spans="1:100">
      <c r="A17434" s="374"/>
      <c r="C17434" s="374"/>
      <c r="CV17434" s="376"/>
    </row>
    <row r="17435" spans="1:100">
      <c r="A17435" s="374"/>
      <c r="C17435" s="374"/>
      <c r="CV17435" s="376"/>
    </row>
    <row r="17436" spans="1:100">
      <c r="A17436" s="374"/>
      <c r="C17436" s="374"/>
      <c r="CV17436" s="376"/>
    </row>
    <row r="17437" spans="1:100">
      <c r="A17437" s="374"/>
      <c r="C17437" s="374"/>
      <c r="CV17437" s="376"/>
    </row>
    <row r="17438" spans="1:100">
      <c r="A17438" s="374"/>
      <c r="C17438" s="374"/>
      <c r="CV17438" s="376"/>
    </row>
    <row r="17439" spans="1:100">
      <c r="A17439" s="374"/>
      <c r="C17439" s="374"/>
      <c r="CV17439" s="376"/>
    </row>
    <row r="17440" spans="1:100">
      <c r="A17440" s="374"/>
      <c r="C17440" s="374"/>
      <c r="CV17440" s="376"/>
    </row>
    <row r="17441" spans="1:100">
      <c r="A17441" s="374"/>
      <c r="C17441" s="374"/>
      <c r="CV17441" s="376"/>
    </row>
    <row r="17442" spans="1:100">
      <c r="A17442" s="374"/>
      <c r="C17442" s="374"/>
      <c r="CV17442" s="376"/>
    </row>
    <row r="17443" spans="1:100">
      <c r="A17443" s="374"/>
      <c r="C17443" s="374"/>
      <c r="CV17443" s="376"/>
    </row>
    <row r="17444" spans="1:100">
      <c r="A17444" s="374"/>
      <c r="C17444" s="374"/>
      <c r="CV17444" s="376"/>
    </row>
    <row r="17445" spans="1:100">
      <c r="A17445" s="374"/>
      <c r="C17445" s="374"/>
      <c r="CV17445" s="376"/>
    </row>
    <row r="17446" spans="1:100">
      <c r="A17446" s="374"/>
      <c r="C17446" s="374"/>
      <c r="CV17446" s="376"/>
    </row>
    <row r="17447" spans="1:100">
      <c r="A17447" s="374"/>
      <c r="C17447" s="374"/>
      <c r="CV17447" s="376"/>
    </row>
    <row r="17448" spans="1:100">
      <c r="A17448" s="374"/>
      <c r="C17448" s="374"/>
      <c r="CV17448" s="376"/>
    </row>
    <row r="17449" spans="1:100">
      <c r="A17449" s="374"/>
      <c r="C17449" s="374"/>
      <c r="CV17449" s="376"/>
    </row>
    <row r="17450" spans="1:100">
      <c r="A17450" s="374"/>
      <c r="C17450" s="374"/>
      <c r="CV17450" s="376"/>
    </row>
    <row r="17451" spans="1:100">
      <c r="A17451" s="374"/>
      <c r="C17451" s="374"/>
      <c r="CV17451" s="376"/>
    </row>
    <row r="17452" spans="1:100">
      <c r="A17452" s="374"/>
      <c r="C17452" s="374"/>
      <c r="CV17452" s="376"/>
    </row>
    <row r="17453" spans="1:100">
      <c r="A17453" s="374"/>
      <c r="C17453" s="374"/>
      <c r="CV17453" s="376"/>
    </row>
    <row r="17454" spans="1:100">
      <c r="A17454" s="374"/>
      <c r="C17454" s="374"/>
      <c r="CV17454" s="376"/>
    </row>
    <row r="17455" spans="1:100">
      <c r="A17455" s="374"/>
      <c r="C17455" s="374"/>
      <c r="CV17455" s="376"/>
    </row>
    <row r="17456" spans="1:100">
      <c r="A17456" s="374"/>
      <c r="C17456" s="374"/>
      <c r="CV17456" s="376"/>
    </row>
    <row r="17457" spans="1:100">
      <c r="A17457" s="374"/>
      <c r="C17457" s="374"/>
      <c r="CV17457" s="376"/>
    </row>
    <row r="17458" spans="1:100">
      <c r="A17458" s="374"/>
      <c r="C17458" s="374"/>
      <c r="CV17458" s="376"/>
    </row>
    <row r="17459" spans="1:100">
      <c r="A17459" s="374"/>
      <c r="C17459" s="374"/>
      <c r="CV17459" s="376"/>
    </row>
    <row r="17460" spans="1:100">
      <c r="A17460" s="374"/>
      <c r="C17460" s="374"/>
      <c r="CV17460" s="376"/>
    </row>
    <row r="17461" spans="1:100">
      <c r="A17461" s="374"/>
      <c r="C17461" s="374"/>
      <c r="CV17461" s="376"/>
    </row>
    <row r="17462" spans="1:100">
      <c r="A17462" s="374"/>
      <c r="C17462" s="374"/>
      <c r="CV17462" s="376"/>
    </row>
    <row r="17463" spans="1:100">
      <c r="A17463" s="374"/>
      <c r="C17463" s="374"/>
      <c r="CV17463" s="376"/>
    </row>
    <row r="17464" spans="1:100">
      <c r="A17464" s="374"/>
      <c r="C17464" s="374"/>
      <c r="CV17464" s="376"/>
    </row>
    <row r="17465" spans="1:100">
      <c r="A17465" s="374"/>
      <c r="C17465" s="374"/>
      <c r="CV17465" s="376"/>
    </row>
    <row r="17466" spans="1:100">
      <c r="A17466" s="374"/>
      <c r="C17466" s="374"/>
      <c r="CV17466" s="376"/>
    </row>
    <row r="17467" spans="1:100">
      <c r="A17467" s="374"/>
      <c r="C17467" s="374"/>
      <c r="CV17467" s="376"/>
    </row>
    <row r="17468" spans="1:100">
      <c r="A17468" s="374"/>
      <c r="C17468" s="374"/>
      <c r="CV17468" s="376"/>
    </row>
    <row r="17469" spans="1:100">
      <c r="A17469" s="374"/>
      <c r="C17469" s="374"/>
      <c r="CV17469" s="376"/>
    </row>
    <row r="17470" spans="1:100">
      <c r="A17470" s="374"/>
      <c r="C17470" s="374"/>
      <c r="CV17470" s="376"/>
    </row>
    <row r="17471" spans="1:100">
      <c r="A17471" s="374"/>
      <c r="C17471" s="374"/>
      <c r="CV17471" s="376"/>
    </row>
    <row r="17472" spans="1:100">
      <c r="A17472" s="374"/>
      <c r="C17472" s="374"/>
      <c r="CV17472" s="376"/>
    </row>
    <row r="17473" spans="1:100">
      <c r="A17473" s="374"/>
      <c r="C17473" s="374"/>
      <c r="CV17473" s="376"/>
    </row>
    <row r="17474" spans="1:100">
      <c r="A17474" s="374"/>
      <c r="C17474" s="374"/>
      <c r="CV17474" s="376"/>
    </row>
    <row r="17475" spans="1:100">
      <c r="A17475" s="374"/>
      <c r="C17475" s="374"/>
      <c r="CV17475" s="376"/>
    </row>
    <row r="17476" spans="1:100">
      <c r="A17476" s="374"/>
      <c r="C17476" s="374"/>
      <c r="CV17476" s="376"/>
    </row>
    <row r="17477" spans="1:100">
      <c r="A17477" s="374"/>
      <c r="C17477" s="374"/>
      <c r="CV17477" s="376"/>
    </row>
    <row r="17478" spans="1:100">
      <c r="A17478" s="374"/>
      <c r="C17478" s="374"/>
      <c r="CV17478" s="376"/>
    </row>
    <row r="17479" spans="1:100">
      <c r="A17479" s="374"/>
      <c r="C17479" s="374"/>
      <c r="CV17479" s="376"/>
    </row>
    <row r="17480" spans="1:100">
      <c r="A17480" s="374"/>
      <c r="C17480" s="374"/>
      <c r="CV17480" s="376"/>
    </row>
    <row r="17481" spans="1:100">
      <c r="A17481" s="374"/>
      <c r="C17481" s="374"/>
      <c r="CV17481" s="376"/>
    </row>
    <row r="17482" spans="1:100">
      <c r="A17482" s="374"/>
      <c r="C17482" s="374"/>
      <c r="CV17482" s="376"/>
    </row>
    <row r="17483" spans="1:100">
      <c r="A17483" s="374"/>
      <c r="C17483" s="374"/>
      <c r="CV17483" s="376"/>
    </row>
    <row r="17484" spans="1:100">
      <c r="A17484" s="374"/>
      <c r="C17484" s="374"/>
      <c r="CV17484" s="376"/>
    </row>
    <row r="17485" spans="1:100">
      <c r="A17485" s="374"/>
      <c r="C17485" s="374"/>
      <c r="CV17485" s="376"/>
    </row>
    <row r="17486" spans="1:100">
      <c r="A17486" s="374"/>
      <c r="C17486" s="374"/>
      <c r="CV17486" s="376"/>
    </row>
    <row r="17487" spans="1:100">
      <c r="A17487" s="374"/>
      <c r="C17487" s="374"/>
      <c r="CV17487" s="376"/>
    </row>
    <row r="17488" spans="1:100">
      <c r="A17488" s="374"/>
      <c r="C17488" s="374"/>
      <c r="CV17488" s="376"/>
    </row>
    <row r="17489" spans="1:100">
      <c r="A17489" s="374"/>
      <c r="C17489" s="374"/>
      <c r="CV17489" s="376"/>
    </row>
    <row r="17490" spans="1:100">
      <c r="A17490" s="374"/>
      <c r="C17490" s="374"/>
      <c r="CV17490" s="376"/>
    </row>
    <row r="17491" spans="1:100">
      <c r="A17491" s="374"/>
      <c r="C17491" s="374"/>
      <c r="CV17491" s="376"/>
    </row>
    <row r="17492" spans="1:100">
      <c r="A17492" s="374"/>
      <c r="C17492" s="374"/>
      <c r="CV17492" s="376"/>
    </row>
    <row r="17493" spans="1:100">
      <c r="A17493" s="374"/>
      <c r="C17493" s="374"/>
      <c r="CV17493" s="376"/>
    </row>
    <row r="17494" spans="1:100">
      <c r="A17494" s="374"/>
      <c r="C17494" s="374"/>
      <c r="CV17494" s="376"/>
    </row>
    <row r="17495" spans="1:100">
      <c r="A17495" s="374"/>
      <c r="C17495" s="374"/>
      <c r="CV17495" s="376"/>
    </row>
    <row r="17496" spans="1:100">
      <c r="A17496" s="374"/>
      <c r="C17496" s="374"/>
      <c r="CV17496" s="376"/>
    </row>
    <row r="17497" spans="1:100">
      <c r="A17497" s="374"/>
      <c r="C17497" s="374"/>
      <c r="CV17497" s="376"/>
    </row>
    <row r="17498" spans="1:100">
      <c r="A17498" s="374"/>
      <c r="C17498" s="374"/>
      <c r="CV17498" s="376"/>
    </row>
    <row r="17499" spans="1:100">
      <c r="A17499" s="374"/>
      <c r="C17499" s="374"/>
      <c r="CV17499" s="376"/>
    </row>
    <row r="17500" spans="1:100">
      <c r="A17500" s="374"/>
      <c r="C17500" s="374"/>
      <c r="CV17500" s="376"/>
    </row>
    <row r="17501" spans="1:100">
      <c r="A17501" s="374"/>
      <c r="C17501" s="374"/>
      <c r="CV17501" s="376"/>
    </row>
    <row r="17502" spans="1:100">
      <c r="A17502" s="374"/>
      <c r="C17502" s="374"/>
      <c r="CV17502" s="376"/>
    </row>
    <row r="17503" spans="1:100">
      <c r="A17503" s="374"/>
      <c r="C17503" s="374"/>
      <c r="CV17503" s="376"/>
    </row>
    <row r="17504" spans="1:100">
      <c r="A17504" s="374"/>
      <c r="C17504" s="374"/>
      <c r="CV17504" s="376"/>
    </row>
    <row r="17505" spans="1:100">
      <c r="A17505" s="374"/>
      <c r="C17505" s="374"/>
      <c r="CV17505" s="376"/>
    </row>
    <row r="17506" spans="1:100">
      <c r="A17506" s="374"/>
      <c r="C17506" s="374"/>
      <c r="CV17506" s="376"/>
    </row>
    <row r="17507" spans="1:100">
      <c r="A17507" s="374"/>
      <c r="C17507" s="374"/>
      <c r="CV17507" s="376"/>
    </row>
    <row r="17508" spans="1:100">
      <c r="A17508" s="374"/>
      <c r="C17508" s="374"/>
      <c r="CV17508" s="376"/>
    </row>
    <row r="17509" spans="1:100">
      <c r="A17509" s="374"/>
      <c r="C17509" s="374"/>
      <c r="CV17509" s="376"/>
    </row>
    <row r="17510" spans="1:100">
      <c r="A17510" s="374"/>
      <c r="C17510" s="374"/>
      <c r="CV17510" s="376"/>
    </row>
    <row r="17511" spans="1:100">
      <c r="A17511" s="374"/>
      <c r="C17511" s="374"/>
      <c r="CV17511" s="376"/>
    </row>
    <row r="17512" spans="1:100">
      <c r="A17512" s="374"/>
      <c r="C17512" s="374"/>
      <c r="CV17512" s="376"/>
    </row>
    <row r="17513" spans="1:100">
      <c r="A17513" s="374"/>
      <c r="C17513" s="374"/>
      <c r="CV17513" s="376"/>
    </row>
    <row r="17514" spans="1:100">
      <c r="A17514" s="374"/>
      <c r="C17514" s="374"/>
      <c r="CV17514" s="376"/>
    </row>
    <row r="17515" spans="1:100">
      <c r="A17515" s="374"/>
      <c r="C17515" s="374"/>
      <c r="CV17515" s="376"/>
    </row>
    <row r="17516" spans="1:100">
      <c r="A17516" s="374"/>
      <c r="C17516" s="374"/>
      <c r="CV17516" s="376"/>
    </row>
    <row r="17517" spans="1:100">
      <c r="A17517" s="374"/>
      <c r="C17517" s="374"/>
      <c r="CV17517" s="376"/>
    </row>
    <row r="17518" spans="1:100">
      <c r="A17518" s="374"/>
      <c r="C17518" s="374"/>
      <c r="CV17518" s="376"/>
    </row>
    <row r="17519" spans="1:100">
      <c r="A17519" s="374"/>
      <c r="C17519" s="374"/>
      <c r="CV17519" s="376"/>
    </row>
    <row r="17520" spans="1:100">
      <c r="A17520" s="374"/>
      <c r="C17520" s="374"/>
      <c r="CV17520" s="376"/>
    </row>
    <row r="17521" spans="1:100">
      <c r="A17521" s="374"/>
      <c r="C17521" s="374"/>
      <c r="CV17521" s="376"/>
    </row>
    <row r="17522" spans="1:100">
      <c r="A17522" s="374"/>
      <c r="C17522" s="374"/>
      <c r="CV17522" s="376"/>
    </row>
    <row r="17523" spans="1:100">
      <c r="A17523" s="374"/>
      <c r="C17523" s="374"/>
      <c r="CV17523" s="376"/>
    </row>
    <row r="17524" spans="1:100">
      <c r="A17524" s="374"/>
      <c r="C17524" s="374"/>
      <c r="CV17524" s="376"/>
    </row>
    <row r="17525" spans="1:100">
      <c r="A17525" s="374"/>
      <c r="C17525" s="374"/>
      <c r="CV17525" s="376"/>
    </row>
    <row r="17526" spans="1:100">
      <c r="A17526" s="374"/>
      <c r="C17526" s="374"/>
      <c r="CV17526" s="376"/>
    </row>
    <row r="17527" spans="1:100">
      <c r="A17527" s="374"/>
      <c r="C17527" s="374"/>
      <c r="CV17527" s="376"/>
    </row>
    <row r="17528" spans="1:100">
      <c r="A17528" s="374"/>
      <c r="C17528" s="374"/>
      <c r="CV17528" s="376"/>
    </row>
    <row r="17529" spans="1:100">
      <c r="A17529" s="374"/>
      <c r="C17529" s="374"/>
      <c r="CV17529" s="376"/>
    </row>
    <row r="17530" spans="1:100">
      <c r="A17530" s="374"/>
      <c r="C17530" s="374"/>
      <c r="CV17530" s="376"/>
    </row>
    <row r="17531" spans="1:100">
      <c r="A17531" s="374"/>
      <c r="C17531" s="374"/>
      <c r="CV17531" s="376"/>
    </row>
    <row r="17532" spans="1:100">
      <c r="A17532" s="374"/>
      <c r="C17532" s="374"/>
      <c r="CV17532" s="376"/>
    </row>
    <row r="17533" spans="1:100">
      <c r="A17533" s="374"/>
      <c r="C17533" s="374"/>
      <c r="CV17533" s="376"/>
    </row>
    <row r="17534" spans="1:100">
      <c r="A17534" s="374"/>
      <c r="C17534" s="374"/>
      <c r="CV17534" s="376"/>
    </row>
    <row r="17535" spans="1:100">
      <c r="A17535" s="374"/>
      <c r="C17535" s="374"/>
      <c r="CV17535" s="376"/>
    </row>
    <row r="17536" spans="1:100">
      <c r="A17536" s="374"/>
      <c r="C17536" s="374"/>
      <c r="CV17536" s="376"/>
    </row>
    <row r="17537" spans="1:100">
      <c r="A17537" s="374"/>
      <c r="C17537" s="374"/>
      <c r="CV17537" s="376"/>
    </row>
    <row r="17538" spans="1:100">
      <c r="A17538" s="374"/>
      <c r="C17538" s="374"/>
      <c r="CV17538" s="376"/>
    </row>
    <row r="17539" spans="1:100">
      <c r="A17539" s="374"/>
      <c r="C17539" s="374"/>
      <c r="CV17539" s="376"/>
    </row>
    <row r="17540" spans="1:100">
      <c r="A17540" s="374"/>
      <c r="C17540" s="374"/>
      <c r="CV17540" s="376"/>
    </row>
    <row r="17541" spans="1:100">
      <c r="A17541" s="374"/>
      <c r="C17541" s="374"/>
      <c r="CV17541" s="376"/>
    </row>
    <row r="17542" spans="1:100">
      <c r="A17542" s="374"/>
      <c r="C17542" s="374"/>
      <c r="CV17542" s="376"/>
    </row>
    <row r="17543" spans="1:100">
      <c r="A17543" s="374"/>
      <c r="C17543" s="374"/>
      <c r="CV17543" s="376"/>
    </row>
    <row r="17544" spans="1:100">
      <c r="A17544" s="374"/>
      <c r="C17544" s="374"/>
      <c r="CV17544" s="376"/>
    </row>
    <row r="17545" spans="1:100">
      <c r="A17545" s="374"/>
      <c r="C17545" s="374"/>
      <c r="CV17545" s="376"/>
    </row>
    <row r="17546" spans="1:100">
      <c r="A17546" s="374"/>
      <c r="C17546" s="374"/>
      <c r="CV17546" s="376"/>
    </row>
    <row r="17547" spans="1:100">
      <c r="A17547" s="374"/>
      <c r="C17547" s="374"/>
      <c r="CV17547" s="376"/>
    </row>
    <row r="17548" spans="1:100">
      <c r="A17548" s="374"/>
      <c r="C17548" s="374"/>
      <c r="CV17548" s="376"/>
    </row>
    <row r="17549" spans="1:100">
      <c r="A17549" s="374"/>
      <c r="C17549" s="374"/>
      <c r="CV17549" s="376"/>
    </row>
    <row r="17550" spans="1:100">
      <c r="A17550" s="374"/>
      <c r="C17550" s="374"/>
      <c r="CV17550" s="376"/>
    </row>
    <row r="17551" spans="1:100">
      <c r="A17551" s="374"/>
      <c r="C17551" s="374"/>
      <c r="CV17551" s="376"/>
    </row>
    <row r="17552" spans="1:100">
      <c r="A17552" s="374"/>
      <c r="C17552" s="374"/>
      <c r="CV17552" s="376"/>
    </row>
    <row r="17553" spans="1:100">
      <c r="A17553" s="374"/>
      <c r="C17553" s="374"/>
      <c r="CV17553" s="376"/>
    </row>
    <row r="17554" spans="1:100">
      <c r="A17554" s="374"/>
      <c r="C17554" s="374"/>
      <c r="CV17554" s="376"/>
    </row>
    <row r="17555" spans="1:100">
      <c r="A17555" s="374"/>
      <c r="C17555" s="374"/>
      <c r="CV17555" s="376"/>
    </row>
    <row r="17556" spans="1:100">
      <c r="A17556" s="374"/>
      <c r="C17556" s="374"/>
      <c r="CV17556" s="376"/>
    </row>
    <row r="17557" spans="1:100">
      <c r="A17557" s="374"/>
      <c r="C17557" s="374"/>
      <c r="CV17557" s="376"/>
    </row>
    <row r="17558" spans="1:100">
      <c r="A17558" s="374"/>
      <c r="C17558" s="374"/>
      <c r="CV17558" s="376"/>
    </row>
    <row r="17559" spans="1:100">
      <c r="A17559" s="374"/>
      <c r="C17559" s="374"/>
      <c r="CV17559" s="376"/>
    </row>
    <row r="17560" spans="1:100">
      <c r="A17560" s="374"/>
      <c r="C17560" s="374"/>
      <c r="CV17560" s="376"/>
    </row>
    <row r="17561" spans="1:100">
      <c r="A17561" s="374"/>
      <c r="C17561" s="374"/>
      <c r="CV17561" s="376"/>
    </row>
    <row r="17562" spans="1:100">
      <c r="A17562" s="374"/>
      <c r="C17562" s="374"/>
      <c r="CV17562" s="376"/>
    </row>
    <row r="17563" spans="1:100">
      <c r="A17563" s="374"/>
      <c r="C17563" s="374"/>
      <c r="CV17563" s="376"/>
    </row>
    <row r="17564" spans="1:100">
      <c r="A17564" s="374"/>
      <c r="C17564" s="374"/>
      <c r="CV17564" s="376"/>
    </row>
    <row r="17565" spans="1:100">
      <c r="A17565" s="374"/>
      <c r="C17565" s="374"/>
      <c r="CV17565" s="376"/>
    </row>
    <row r="17566" spans="1:100">
      <c r="A17566" s="374"/>
      <c r="C17566" s="374"/>
      <c r="CV17566" s="376"/>
    </row>
    <row r="17567" spans="1:100">
      <c r="A17567" s="374"/>
      <c r="C17567" s="374"/>
      <c r="CV17567" s="376"/>
    </row>
    <row r="17568" spans="1:100">
      <c r="A17568" s="374"/>
      <c r="C17568" s="374"/>
      <c r="CV17568" s="376"/>
    </row>
    <row r="17569" spans="1:100">
      <c r="A17569" s="374"/>
      <c r="C17569" s="374"/>
      <c r="CV17569" s="376"/>
    </row>
    <row r="17570" spans="1:100">
      <c r="A17570" s="374"/>
      <c r="C17570" s="374"/>
      <c r="CV17570" s="376"/>
    </row>
    <row r="17571" spans="1:100">
      <c r="A17571" s="374"/>
      <c r="C17571" s="374"/>
      <c r="CV17571" s="376"/>
    </row>
    <row r="17572" spans="1:100">
      <c r="A17572" s="374"/>
      <c r="C17572" s="374"/>
      <c r="CV17572" s="376"/>
    </row>
    <row r="17573" spans="1:100">
      <c r="A17573" s="374"/>
      <c r="C17573" s="374"/>
      <c r="CV17573" s="376"/>
    </row>
    <row r="17574" spans="1:100">
      <c r="A17574" s="374"/>
      <c r="C17574" s="374"/>
      <c r="CV17574" s="376"/>
    </row>
    <row r="17575" spans="1:100">
      <c r="A17575" s="374"/>
      <c r="C17575" s="374"/>
      <c r="CV17575" s="376"/>
    </row>
    <row r="17576" spans="1:100">
      <c r="A17576" s="374"/>
      <c r="C17576" s="374"/>
      <c r="CV17576" s="376"/>
    </row>
    <row r="17577" spans="1:100">
      <c r="A17577" s="374"/>
      <c r="C17577" s="374"/>
      <c r="CV17577" s="376"/>
    </row>
    <row r="17578" spans="1:100">
      <c r="A17578" s="374"/>
      <c r="C17578" s="374"/>
      <c r="CV17578" s="376"/>
    </row>
    <row r="17579" spans="1:100">
      <c r="A17579" s="374"/>
      <c r="C17579" s="374"/>
      <c r="CV17579" s="376"/>
    </row>
    <row r="17580" spans="1:100">
      <c r="A17580" s="374"/>
      <c r="C17580" s="374"/>
      <c r="CV17580" s="376"/>
    </row>
    <row r="17581" spans="1:100">
      <c r="A17581" s="374"/>
      <c r="C17581" s="374"/>
      <c r="CV17581" s="376"/>
    </row>
    <row r="17582" spans="1:100">
      <c r="A17582" s="374"/>
      <c r="C17582" s="374"/>
      <c r="CV17582" s="376"/>
    </row>
    <row r="17583" spans="1:100">
      <c r="A17583" s="374"/>
      <c r="C17583" s="374"/>
      <c r="CV17583" s="376"/>
    </row>
    <row r="17584" spans="1:100">
      <c r="A17584" s="374"/>
      <c r="C17584" s="374"/>
      <c r="CV17584" s="376"/>
    </row>
    <row r="17585" spans="1:100">
      <c r="A17585" s="374"/>
      <c r="C17585" s="374"/>
      <c r="CV17585" s="376"/>
    </row>
    <row r="17586" spans="1:100">
      <c r="A17586" s="374"/>
      <c r="C17586" s="374"/>
      <c r="CV17586" s="376"/>
    </row>
    <row r="17587" spans="1:100">
      <c r="A17587" s="374"/>
      <c r="C17587" s="374"/>
      <c r="CV17587" s="376"/>
    </row>
    <row r="17588" spans="1:100">
      <c r="A17588" s="374"/>
      <c r="C17588" s="374"/>
      <c r="CV17588" s="376"/>
    </row>
    <row r="17589" spans="1:100">
      <c r="A17589" s="374"/>
      <c r="C17589" s="374"/>
      <c r="CV17589" s="376"/>
    </row>
    <row r="17590" spans="1:100">
      <c r="A17590" s="374"/>
      <c r="C17590" s="374"/>
      <c r="CV17590" s="376"/>
    </row>
    <row r="17591" spans="1:100">
      <c r="A17591" s="374"/>
      <c r="C17591" s="374"/>
      <c r="CV17591" s="376"/>
    </row>
    <row r="17592" spans="1:100">
      <c r="A17592" s="374"/>
      <c r="C17592" s="374"/>
      <c r="CV17592" s="376"/>
    </row>
    <row r="17593" spans="1:100">
      <c r="A17593" s="374"/>
      <c r="C17593" s="374"/>
      <c r="CV17593" s="376"/>
    </row>
    <row r="17594" spans="1:100">
      <c r="A17594" s="374"/>
      <c r="C17594" s="374"/>
      <c r="CV17594" s="376"/>
    </row>
    <row r="17595" spans="1:100">
      <c r="A17595" s="374"/>
      <c r="C17595" s="374"/>
      <c r="CV17595" s="376"/>
    </row>
    <row r="17596" spans="1:100">
      <c r="A17596" s="374"/>
      <c r="C17596" s="374"/>
      <c r="CV17596" s="376"/>
    </row>
    <row r="17597" spans="1:100">
      <c r="A17597" s="374"/>
      <c r="C17597" s="374"/>
      <c r="CV17597" s="376"/>
    </row>
    <row r="17598" spans="1:100">
      <c r="A17598" s="374"/>
      <c r="C17598" s="374"/>
      <c r="CV17598" s="376"/>
    </row>
    <row r="17599" spans="1:100">
      <c r="A17599" s="374"/>
      <c r="C17599" s="374"/>
      <c r="CV17599" s="376"/>
    </row>
    <row r="17600" spans="1:100">
      <c r="A17600" s="374"/>
      <c r="C17600" s="374"/>
      <c r="CV17600" s="376"/>
    </row>
    <row r="17601" spans="1:100">
      <c r="A17601" s="374"/>
      <c r="C17601" s="374"/>
      <c r="CV17601" s="376"/>
    </row>
    <row r="17602" spans="1:100">
      <c r="A17602" s="374"/>
      <c r="C17602" s="374"/>
      <c r="CV17602" s="376"/>
    </row>
    <row r="17603" spans="1:100">
      <c r="A17603" s="374"/>
      <c r="C17603" s="374"/>
      <c r="CV17603" s="376"/>
    </row>
    <row r="17604" spans="1:100">
      <c r="A17604" s="374"/>
      <c r="C17604" s="374"/>
      <c r="CV17604" s="376"/>
    </row>
    <row r="17605" spans="1:100">
      <c r="A17605" s="374"/>
      <c r="C17605" s="374"/>
      <c r="CV17605" s="376"/>
    </row>
    <row r="17606" spans="1:100">
      <c r="A17606" s="374"/>
      <c r="C17606" s="374"/>
      <c r="CV17606" s="376"/>
    </row>
    <row r="17607" spans="1:100">
      <c r="A17607" s="374"/>
      <c r="C17607" s="374"/>
      <c r="CV17607" s="376"/>
    </row>
    <row r="17608" spans="1:100">
      <c r="A17608" s="374"/>
      <c r="C17608" s="374"/>
      <c r="CV17608" s="376"/>
    </row>
    <row r="17609" spans="1:100">
      <c r="A17609" s="374"/>
      <c r="C17609" s="374"/>
      <c r="CV17609" s="376"/>
    </row>
    <row r="17610" spans="1:100">
      <c r="A17610" s="374"/>
      <c r="C17610" s="374"/>
      <c r="CV17610" s="376"/>
    </row>
    <row r="17611" spans="1:100">
      <c r="A17611" s="374"/>
      <c r="C17611" s="374"/>
      <c r="CV17611" s="376"/>
    </row>
    <row r="17612" spans="1:100">
      <c r="A17612" s="374"/>
      <c r="C17612" s="374"/>
      <c r="CV17612" s="376"/>
    </row>
    <row r="17613" spans="1:100">
      <c r="A17613" s="374"/>
      <c r="C17613" s="374"/>
      <c r="CV17613" s="376"/>
    </row>
    <row r="17614" spans="1:100">
      <c r="A17614" s="374"/>
      <c r="C17614" s="374"/>
      <c r="CV17614" s="376"/>
    </row>
    <row r="17615" spans="1:100">
      <c r="A17615" s="374"/>
      <c r="C17615" s="374"/>
      <c r="CV17615" s="376"/>
    </row>
    <row r="17616" spans="1:100">
      <c r="A17616" s="374"/>
      <c r="C17616" s="374"/>
      <c r="CV17616" s="376"/>
    </row>
    <row r="17617" spans="1:100">
      <c r="A17617" s="374"/>
      <c r="C17617" s="374"/>
      <c r="CV17617" s="376"/>
    </row>
    <row r="17618" spans="1:100">
      <c r="A17618" s="374"/>
      <c r="C17618" s="374"/>
      <c r="CV17618" s="376"/>
    </row>
    <row r="17619" spans="1:100">
      <c r="A17619" s="374"/>
      <c r="C17619" s="374"/>
      <c r="CV17619" s="376"/>
    </row>
    <row r="17620" spans="1:100">
      <c r="A17620" s="374"/>
      <c r="C17620" s="374"/>
      <c r="CV17620" s="376"/>
    </row>
    <row r="17621" spans="1:100">
      <c r="A17621" s="374"/>
      <c r="C17621" s="374"/>
      <c r="CV17621" s="376"/>
    </row>
    <row r="17622" spans="1:100">
      <c r="A17622" s="374"/>
      <c r="C17622" s="374"/>
      <c r="CV17622" s="376"/>
    </row>
    <row r="17623" spans="1:100">
      <c r="A17623" s="374"/>
      <c r="C17623" s="374"/>
      <c r="CV17623" s="376"/>
    </row>
    <row r="17624" spans="1:100">
      <c r="A17624" s="374"/>
      <c r="C17624" s="374"/>
      <c r="CV17624" s="376"/>
    </row>
    <row r="17625" spans="1:100">
      <c r="A17625" s="374"/>
      <c r="C17625" s="374"/>
      <c r="CV17625" s="376"/>
    </row>
    <row r="17626" spans="1:100">
      <c r="A17626" s="374"/>
      <c r="C17626" s="374"/>
      <c r="CV17626" s="376"/>
    </row>
    <row r="17627" spans="1:100">
      <c r="A17627" s="374"/>
      <c r="C17627" s="374"/>
      <c r="CV17627" s="376"/>
    </row>
    <row r="17628" spans="1:100">
      <c r="A17628" s="374"/>
      <c r="C17628" s="374"/>
      <c r="CV17628" s="376"/>
    </row>
    <row r="17629" spans="1:100">
      <c r="A17629" s="374"/>
      <c r="C17629" s="374"/>
      <c r="CV17629" s="376"/>
    </row>
    <row r="17630" spans="1:100">
      <c r="A17630" s="374"/>
      <c r="C17630" s="374"/>
      <c r="CV17630" s="376"/>
    </row>
    <row r="17631" spans="1:100">
      <c r="A17631" s="374"/>
      <c r="C17631" s="374"/>
      <c r="CV17631" s="376"/>
    </row>
    <row r="17632" spans="1:100">
      <c r="A17632" s="374"/>
      <c r="C17632" s="374"/>
      <c r="CV17632" s="376"/>
    </row>
    <row r="17633" spans="1:100">
      <c r="A17633" s="374"/>
      <c r="C17633" s="374"/>
      <c r="CV17633" s="376"/>
    </row>
    <row r="17634" spans="1:100">
      <c r="A17634" s="374"/>
      <c r="C17634" s="374"/>
      <c r="CV17634" s="376"/>
    </row>
    <row r="17635" spans="1:100">
      <c r="A17635" s="374"/>
      <c r="C17635" s="374"/>
      <c r="CV17635" s="376"/>
    </row>
    <row r="17636" spans="1:100">
      <c r="A17636" s="374"/>
      <c r="C17636" s="374"/>
      <c r="CV17636" s="376"/>
    </row>
    <row r="17637" spans="1:100">
      <c r="A17637" s="374"/>
      <c r="C17637" s="374"/>
      <c r="CV17637" s="376"/>
    </row>
    <row r="17638" spans="1:100">
      <c r="A17638" s="374"/>
      <c r="C17638" s="374"/>
      <c r="CV17638" s="376"/>
    </row>
    <row r="17639" spans="1:100">
      <c r="A17639" s="374"/>
      <c r="C17639" s="374"/>
      <c r="CV17639" s="376"/>
    </row>
    <row r="17640" spans="1:100">
      <c r="A17640" s="374"/>
      <c r="C17640" s="374"/>
      <c r="CV17640" s="376"/>
    </row>
    <row r="17641" spans="1:100">
      <c r="A17641" s="374"/>
      <c r="C17641" s="374"/>
      <c r="CV17641" s="376"/>
    </row>
    <row r="17642" spans="1:100">
      <c r="A17642" s="374"/>
      <c r="C17642" s="374"/>
      <c r="CV17642" s="376"/>
    </row>
    <row r="17643" spans="1:100">
      <c r="A17643" s="374"/>
      <c r="C17643" s="374"/>
      <c r="CV17643" s="376"/>
    </row>
    <row r="17644" spans="1:100">
      <c r="A17644" s="374"/>
      <c r="C17644" s="374"/>
      <c r="CV17644" s="376"/>
    </row>
    <row r="17645" spans="1:100">
      <c r="A17645" s="374"/>
      <c r="C17645" s="374"/>
      <c r="CV17645" s="376"/>
    </row>
    <row r="17646" spans="1:100">
      <c r="A17646" s="374"/>
      <c r="C17646" s="374"/>
      <c r="CV17646" s="376"/>
    </row>
    <row r="17647" spans="1:100">
      <c r="A17647" s="374"/>
      <c r="C17647" s="374"/>
      <c r="CV17647" s="376"/>
    </row>
    <row r="17648" spans="1:100">
      <c r="A17648" s="374"/>
      <c r="C17648" s="374"/>
      <c r="CV17648" s="376"/>
    </row>
    <row r="17649" spans="1:100">
      <c r="A17649" s="374"/>
      <c r="C17649" s="374"/>
      <c r="CV17649" s="376"/>
    </row>
    <row r="17650" spans="1:100">
      <c r="A17650" s="374"/>
      <c r="C17650" s="374"/>
      <c r="CV17650" s="376"/>
    </row>
    <row r="17651" spans="1:100">
      <c r="A17651" s="374"/>
      <c r="C17651" s="374"/>
      <c r="CV17651" s="376"/>
    </row>
    <row r="17652" spans="1:100">
      <c r="A17652" s="374"/>
      <c r="C17652" s="374"/>
      <c r="CV17652" s="376"/>
    </row>
    <row r="17653" spans="1:100">
      <c r="A17653" s="374"/>
      <c r="C17653" s="374"/>
      <c r="CV17653" s="376"/>
    </row>
    <row r="17654" spans="1:100">
      <c r="A17654" s="374"/>
      <c r="C17654" s="374"/>
      <c r="CV17654" s="376"/>
    </row>
    <row r="17655" spans="1:100">
      <c r="A17655" s="374"/>
      <c r="C17655" s="374"/>
      <c r="CV17655" s="376"/>
    </row>
    <row r="17656" spans="1:100">
      <c r="A17656" s="374"/>
      <c r="C17656" s="374"/>
      <c r="CV17656" s="376"/>
    </row>
    <row r="17657" spans="1:100">
      <c r="A17657" s="374"/>
      <c r="C17657" s="374"/>
      <c r="CV17657" s="376"/>
    </row>
    <row r="17658" spans="1:100">
      <c r="A17658" s="374"/>
      <c r="C17658" s="374"/>
      <c r="CV17658" s="376"/>
    </row>
    <row r="17659" spans="1:100">
      <c r="A17659" s="374"/>
      <c r="C17659" s="374"/>
      <c r="CV17659" s="376"/>
    </row>
    <row r="17660" spans="1:100">
      <c r="A17660" s="374"/>
      <c r="C17660" s="374"/>
      <c r="CV17660" s="376"/>
    </row>
    <row r="17661" spans="1:100">
      <c r="A17661" s="374"/>
      <c r="C17661" s="374"/>
      <c r="CV17661" s="376"/>
    </row>
    <row r="17662" spans="1:100">
      <c r="A17662" s="374"/>
      <c r="C17662" s="374"/>
      <c r="CV17662" s="376"/>
    </row>
    <row r="17663" spans="1:100">
      <c r="A17663" s="374"/>
      <c r="C17663" s="374"/>
      <c r="CV17663" s="376"/>
    </row>
    <row r="17664" spans="1:100">
      <c r="A17664" s="374"/>
      <c r="C17664" s="374"/>
      <c r="CV17664" s="376"/>
    </row>
    <row r="17665" spans="1:100">
      <c r="A17665" s="374"/>
      <c r="C17665" s="374"/>
      <c r="CV17665" s="376"/>
    </row>
    <row r="17666" spans="1:100">
      <c r="A17666" s="374"/>
      <c r="C17666" s="374"/>
      <c r="CV17666" s="376"/>
    </row>
    <row r="17667" spans="1:100">
      <c r="A17667" s="374"/>
      <c r="C17667" s="374"/>
      <c r="CV17667" s="376"/>
    </row>
    <row r="17668" spans="1:100">
      <c r="A17668" s="374"/>
      <c r="C17668" s="374"/>
      <c r="CV17668" s="376"/>
    </row>
    <row r="17669" spans="1:100">
      <c r="A17669" s="374"/>
      <c r="C17669" s="374"/>
      <c r="CV17669" s="376"/>
    </row>
    <row r="17670" spans="1:100">
      <c r="A17670" s="374"/>
      <c r="C17670" s="374"/>
      <c r="CV17670" s="376"/>
    </row>
    <row r="17671" spans="1:100">
      <c r="A17671" s="374"/>
      <c r="C17671" s="374"/>
      <c r="CV17671" s="376"/>
    </row>
    <row r="17672" spans="1:100">
      <c r="A17672" s="374"/>
      <c r="C17672" s="374"/>
      <c r="CV17672" s="376"/>
    </row>
    <row r="17673" spans="1:100">
      <c r="A17673" s="374"/>
      <c r="C17673" s="374"/>
      <c r="CV17673" s="376"/>
    </row>
    <row r="17674" spans="1:100">
      <c r="A17674" s="374"/>
      <c r="C17674" s="374"/>
      <c r="CV17674" s="376"/>
    </row>
    <row r="17675" spans="1:100">
      <c r="A17675" s="374"/>
      <c r="C17675" s="374"/>
      <c r="CV17675" s="376"/>
    </row>
    <row r="17676" spans="1:100">
      <c r="A17676" s="374"/>
      <c r="C17676" s="374"/>
      <c r="CV17676" s="376"/>
    </row>
    <row r="17677" spans="1:100">
      <c r="A17677" s="374"/>
      <c r="C17677" s="374"/>
      <c r="CV17677" s="376"/>
    </row>
    <row r="17678" spans="1:100">
      <c r="A17678" s="374"/>
      <c r="C17678" s="374"/>
      <c r="CV17678" s="376"/>
    </row>
    <row r="17679" spans="1:100">
      <c r="A17679" s="374"/>
      <c r="C17679" s="374"/>
      <c r="CV17679" s="376"/>
    </row>
    <row r="17680" spans="1:100">
      <c r="A17680" s="374"/>
      <c r="C17680" s="374"/>
      <c r="CV17680" s="376"/>
    </row>
    <row r="17681" spans="1:100">
      <c r="A17681" s="374"/>
      <c r="C17681" s="374"/>
      <c r="CV17681" s="376"/>
    </row>
    <row r="17682" spans="1:100">
      <c r="A17682" s="374"/>
      <c r="C17682" s="374"/>
      <c r="CV17682" s="376"/>
    </row>
    <row r="17683" spans="1:100">
      <c r="A17683" s="374"/>
      <c r="C17683" s="374"/>
      <c r="CV17683" s="376"/>
    </row>
    <row r="17684" spans="1:100">
      <c r="A17684" s="374"/>
      <c r="C17684" s="374"/>
      <c r="CV17684" s="376"/>
    </row>
    <row r="17685" spans="1:100">
      <c r="A17685" s="374"/>
      <c r="C17685" s="374"/>
      <c r="CV17685" s="376"/>
    </row>
    <row r="17686" spans="1:100">
      <c r="A17686" s="374"/>
      <c r="C17686" s="374"/>
      <c r="CV17686" s="376"/>
    </row>
    <row r="17687" spans="1:100">
      <c r="A17687" s="374"/>
      <c r="C17687" s="374"/>
      <c r="CV17687" s="376"/>
    </row>
    <row r="17688" spans="1:100">
      <c r="A17688" s="374"/>
      <c r="C17688" s="374"/>
      <c r="CV17688" s="376"/>
    </row>
    <row r="17689" spans="1:100">
      <c r="A17689" s="374"/>
      <c r="C17689" s="374"/>
      <c r="CV17689" s="376"/>
    </row>
    <row r="17690" spans="1:100">
      <c r="A17690" s="374"/>
      <c r="C17690" s="374"/>
      <c r="CV17690" s="376"/>
    </row>
    <row r="17691" spans="1:100">
      <c r="A17691" s="374"/>
      <c r="C17691" s="374"/>
      <c r="CV17691" s="376"/>
    </row>
    <row r="17692" spans="1:100">
      <c r="A17692" s="374"/>
      <c r="C17692" s="374"/>
      <c r="CV17692" s="376"/>
    </row>
    <row r="17693" spans="1:100">
      <c r="A17693" s="374"/>
      <c r="C17693" s="374"/>
      <c r="CV17693" s="376"/>
    </row>
    <row r="17694" spans="1:100">
      <c r="A17694" s="374"/>
      <c r="C17694" s="374"/>
      <c r="CV17694" s="376"/>
    </row>
    <row r="17695" spans="1:100">
      <c r="A17695" s="374"/>
      <c r="C17695" s="374"/>
      <c r="CV17695" s="376"/>
    </row>
    <row r="17696" spans="1:100">
      <c r="A17696" s="374"/>
      <c r="C17696" s="374"/>
      <c r="CV17696" s="376"/>
    </row>
    <row r="17697" spans="1:100">
      <c r="A17697" s="374"/>
      <c r="C17697" s="374"/>
      <c r="CV17697" s="376"/>
    </row>
    <row r="17698" spans="1:100">
      <c r="A17698" s="374"/>
      <c r="C17698" s="374"/>
      <c r="CV17698" s="376"/>
    </row>
    <row r="17699" spans="1:100">
      <c r="A17699" s="374"/>
      <c r="C17699" s="374"/>
      <c r="CV17699" s="376"/>
    </row>
    <row r="17700" spans="1:100">
      <c r="A17700" s="374"/>
      <c r="C17700" s="374"/>
      <c r="CV17700" s="376"/>
    </row>
    <row r="17701" spans="1:100">
      <c r="A17701" s="374"/>
      <c r="C17701" s="374"/>
      <c r="CV17701" s="376"/>
    </row>
    <row r="17702" spans="1:100">
      <c r="A17702" s="374"/>
      <c r="C17702" s="374"/>
      <c r="CV17702" s="376"/>
    </row>
    <row r="17703" spans="1:100">
      <c r="A17703" s="374"/>
      <c r="C17703" s="374"/>
      <c r="CV17703" s="376"/>
    </row>
    <row r="17704" spans="1:100">
      <c r="A17704" s="374"/>
      <c r="C17704" s="374"/>
      <c r="CV17704" s="376"/>
    </row>
    <row r="17705" spans="1:100">
      <c r="A17705" s="374"/>
      <c r="C17705" s="374"/>
      <c r="CV17705" s="376"/>
    </row>
    <row r="17706" spans="1:100">
      <c r="A17706" s="374"/>
      <c r="C17706" s="374"/>
      <c r="CV17706" s="376"/>
    </row>
    <row r="17707" spans="1:100">
      <c r="A17707" s="374"/>
      <c r="C17707" s="374"/>
      <c r="CV17707" s="376"/>
    </row>
    <row r="17708" spans="1:100">
      <c r="A17708" s="374"/>
      <c r="C17708" s="374"/>
      <c r="CV17708" s="376"/>
    </row>
    <row r="17709" spans="1:100">
      <c r="A17709" s="374"/>
      <c r="C17709" s="374"/>
      <c r="CV17709" s="376"/>
    </row>
    <row r="17710" spans="1:100">
      <c r="A17710" s="374"/>
      <c r="C17710" s="374"/>
      <c r="CV17710" s="376"/>
    </row>
    <row r="17711" spans="1:100">
      <c r="A17711" s="374"/>
      <c r="C17711" s="374"/>
      <c r="CV17711" s="376"/>
    </row>
    <row r="17712" spans="1:100">
      <c r="A17712" s="374"/>
      <c r="C17712" s="374"/>
      <c r="CV17712" s="376"/>
    </row>
    <row r="17713" spans="1:100">
      <c r="A17713" s="374"/>
      <c r="C17713" s="374"/>
      <c r="CV17713" s="376"/>
    </row>
    <row r="17714" spans="1:100">
      <c r="A17714" s="374"/>
      <c r="C17714" s="374"/>
      <c r="CV17714" s="376"/>
    </row>
    <row r="17715" spans="1:100">
      <c r="A17715" s="374"/>
      <c r="C17715" s="374"/>
      <c r="CV17715" s="376"/>
    </row>
    <row r="17716" spans="1:100">
      <c r="A17716" s="374"/>
      <c r="C17716" s="374"/>
      <c r="CV17716" s="376"/>
    </row>
    <row r="17717" spans="1:100">
      <c r="A17717" s="374"/>
      <c r="C17717" s="374"/>
      <c r="CV17717" s="376"/>
    </row>
    <row r="17718" spans="1:100">
      <c r="A17718" s="374"/>
      <c r="C17718" s="374"/>
      <c r="CV17718" s="376"/>
    </row>
    <row r="17719" spans="1:100">
      <c r="A17719" s="374"/>
      <c r="C17719" s="374"/>
      <c r="CV17719" s="376"/>
    </row>
    <row r="17720" spans="1:100">
      <c r="A17720" s="374"/>
      <c r="C17720" s="374"/>
      <c r="CV17720" s="376"/>
    </row>
    <row r="17721" spans="1:100">
      <c r="A17721" s="374"/>
      <c r="C17721" s="374"/>
      <c r="CV17721" s="376"/>
    </row>
    <row r="17722" spans="1:100">
      <c r="A17722" s="374"/>
      <c r="C17722" s="374"/>
      <c r="CV17722" s="376"/>
    </row>
    <row r="17723" spans="1:100">
      <c r="A17723" s="374"/>
      <c r="C17723" s="374"/>
      <c r="CV17723" s="376"/>
    </row>
    <row r="17724" spans="1:100">
      <c r="A17724" s="374"/>
      <c r="C17724" s="374"/>
      <c r="CV17724" s="376"/>
    </row>
    <row r="17725" spans="1:100">
      <c r="A17725" s="374"/>
      <c r="C17725" s="374"/>
      <c r="CV17725" s="376"/>
    </row>
    <row r="17726" spans="1:100">
      <c r="A17726" s="374"/>
      <c r="C17726" s="374"/>
      <c r="CV17726" s="376"/>
    </row>
    <row r="17727" spans="1:100">
      <c r="A17727" s="374"/>
      <c r="C17727" s="374"/>
      <c r="CV17727" s="376"/>
    </row>
    <row r="17728" spans="1:100">
      <c r="A17728" s="374"/>
      <c r="C17728" s="374"/>
      <c r="CV17728" s="376"/>
    </row>
    <row r="17729" spans="1:100">
      <c r="A17729" s="374"/>
      <c r="C17729" s="374"/>
      <c r="CV17729" s="376"/>
    </row>
    <row r="17730" spans="1:100">
      <c r="A17730" s="374"/>
      <c r="C17730" s="374"/>
      <c r="CV17730" s="376"/>
    </row>
    <row r="17731" spans="1:100">
      <c r="A17731" s="374"/>
      <c r="C17731" s="374"/>
      <c r="CV17731" s="376"/>
    </row>
    <row r="17732" spans="1:100">
      <c r="A17732" s="374"/>
      <c r="C17732" s="374"/>
      <c r="CV17732" s="376"/>
    </row>
    <row r="17733" spans="1:100">
      <c r="A17733" s="374"/>
      <c r="C17733" s="374"/>
      <c r="CV17733" s="376"/>
    </row>
    <row r="17734" spans="1:100">
      <c r="A17734" s="374"/>
      <c r="C17734" s="374"/>
      <c r="CV17734" s="376"/>
    </row>
    <row r="17735" spans="1:100">
      <c r="A17735" s="374"/>
      <c r="C17735" s="374"/>
      <c r="CV17735" s="376"/>
    </row>
    <row r="17736" spans="1:100">
      <c r="A17736" s="374"/>
      <c r="C17736" s="374"/>
      <c r="CV17736" s="376"/>
    </row>
    <row r="17737" spans="1:100">
      <c r="A17737" s="374"/>
      <c r="C17737" s="374"/>
      <c r="CV17737" s="376"/>
    </row>
    <row r="17738" spans="1:100">
      <c r="A17738" s="374"/>
      <c r="C17738" s="374"/>
      <c r="CV17738" s="376"/>
    </row>
    <row r="17739" spans="1:100">
      <c r="A17739" s="374"/>
      <c r="C17739" s="374"/>
      <c r="CV17739" s="376"/>
    </row>
    <row r="17740" spans="1:100">
      <c r="A17740" s="374"/>
      <c r="C17740" s="374"/>
      <c r="CV17740" s="376"/>
    </row>
    <row r="17741" spans="1:100">
      <c r="A17741" s="374"/>
      <c r="C17741" s="374"/>
      <c r="CV17741" s="376"/>
    </row>
    <row r="17742" spans="1:100">
      <c r="A17742" s="374"/>
      <c r="C17742" s="374"/>
      <c r="CV17742" s="376"/>
    </row>
    <row r="17743" spans="1:100">
      <c r="A17743" s="374"/>
      <c r="C17743" s="374"/>
      <c r="CV17743" s="376"/>
    </row>
    <row r="17744" spans="1:100">
      <c r="A17744" s="374"/>
      <c r="C17744" s="374"/>
      <c r="CV17744" s="376"/>
    </row>
    <row r="17745" spans="1:100">
      <c r="A17745" s="374"/>
      <c r="C17745" s="374"/>
      <c r="CV17745" s="376"/>
    </row>
    <row r="17746" spans="1:100">
      <c r="A17746" s="374"/>
      <c r="C17746" s="374"/>
      <c r="CV17746" s="376"/>
    </row>
    <row r="17747" spans="1:100">
      <c r="A17747" s="374"/>
      <c r="C17747" s="374"/>
      <c r="CV17747" s="376"/>
    </row>
    <row r="17748" spans="1:100">
      <c r="A17748" s="374"/>
      <c r="C17748" s="374"/>
      <c r="CV17748" s="376"/>
    </row>
    <row r="17749" spans="1:100">
      <c r="A17749" s="374"/>
      <c r="C17749" s="374"/>
      <c r="CV17749" s="376"/>
    </row>
    <row r="17750" spans="1:100">
      <c r="A17750" s="374"/>
      <c r="C17750" s="374"/>
      <c r="CV17750" s="376"/>
    </row>
    <row r="17751" spans="1:100">
      <c r="A17751" s="374"/>
      <c r="C17751" s="374"/>
      <c r="CV17751" s="376"/>
    </row>
    <row r="17752" spans="1:100">
      <c r="A17752" s="374"/>
      <c r="C17752" s="374"/>
      <c r="CV17752" s="376"/>
    </row>
    <row r="17753" spans="1:100">
      <c r="A17753" s="374"/>
      <c r="C17753" s="374"/>
      <c r="CV17753" s="376"/>
    </row>
    <row r="17754" spans="1:100">
      <c r="A17754" s="374"/>
      <c r="C17754" s="374"/>
      <c r="CV17754" s="376"/>
    </row>
    <row r="17755" spans="1:100">
      <c r="A17755" s="374"/>
      <c r="C17755" s="374"/>
      <c r="CV17755" s="376"/>
    </row>
    <row r="17756" spans="1:100">
      <c r="A17756" s="374"/>
      <c r="C17756" s="374"/>
      <c r="CV17756" s="376"/>
    </row>
    <row r="17757" spans="1:100">
      <c r="A17757" s="374"/>
      <c r="C17757" s="374"/>
      <c r="CV17757" s="376"/>
    </row>
    <row r="17758" spans="1:100">
      <c r="A17758" s="374"/>
      <c r="C17758" s="374"/>
      <c r="CV17758" s="376"/>
    </row>
    <row r="17759" spans="1:100">
      <c r="A17759" s="374"/>
      <c r="C17759" s="374"/>
      <c r="CV17759" s="376"/>
    </row>
    <row r="17760" spans="1:100">
      <c r="A17760" s="374"/>
      <c r="C17760" s="374"/>
      <c r="CV17760" s="376"/>
    </row>
    <row r="17761" spans="1:100">
      <c r="A17761" s="374"/>
      <c r="C17761" s="374"/>
      <c r="CV17761" s="376"/>
    </row>
    <row r="17762" spans="1:100">
      <c r="A17762" s="374"/>
      <c r="C17762" s="374"/>
      <c r="CV17762" s="376"/>
    </row>
    <row r="17763" spans="1:100">
      <c r="A17763" s="374"/>
      <c r="C17763" s="374"/>
      <c r="CV17763" s="376"/>
    </row>
    <row r="17764" spans="1:100">
      <c r="A17764" s="374"/>
      <c r="C17764" s="374"/>
      <c r="CV17764" s="376"/>
    </row>
    <row r="17765" spans="1:100">
      <c r="A17765" s="374"/>
      <c r="C17765" s="374"/>
      <c r="CV17765" s="376"/>
    </row>
    <row r="17766" spans="1:100">
      <c r="A17766" s="374"/>
      <c r="C17766" s="374"/>
      <c r="CV17766" s="376"/>
    </row>
    <row r="17767" spans="1:100">
      <c r="A17767" s="374"/>
      <c r="C17767" s="374"/>
      <c r="CV17767" s="376"/>
    </row>
    <row r="17768" spans="1:100">
      <c r="A17768" s="374"/>
      <c r="C17768" s="374"/>
      <c r="CV17768" s="376"/>
    </row>
    <row r="17769" spans="1:100">
      <c r="A17769" s="374"/>
      <c r="C17769" s="374"/>
      <c r="CV17769" s="376"/>
    </row>
    <row r="17770" spans="1:100">
      <c r="A17770" s="374"/>
      <c r="C17770" s="374"/>
      <c r="CV17770" s="376"/>
    </row>
    <row r="17771" spans="1:100">
      <c r="A17771" s="374"/>
      <c r="C17771" s="374"/>
      <c r="CV17771" s="376"/>
    </row>
    <row r="17772" spans="1:100">
      <c r="A17772" s="374"/>
      <c r="C17772" s="374"/>
      <c r="CV17772" s="376"/>
    </row>
    <row r="17773" spans="1:100">
      <c r="A17773" s="374"/>
      <c r="C17773" s="374"/>
      <c r="CV17773" s="376"/>
    </row>
    <row r="17774" spans="1:100">
      <c r="A17774" s="374"/>
      <c r="C17774" s="374"/>
      <c r="CV17774" s="376"/>
    </row>
    <row r="17775" spans="1:100">
      <c r="A17775" s="374"/>
      <c r="C17775" s="374"/>
      <c r="CV17775" s="376"/>
    </row>
    <row r="17776" spans="1:100">
      <c r="A17776" s="374"/>
      <c r="C17776" s="374"/>
      <c r="CV17776" s="376"/>
    </row>
    <row r="17777" spans="1:100">
      <c r="A17777" s="374"/>
      <c r="C17777" s="374"/>
      <c r="CV17777" s="376"/>
    </row>
    <row r="17778" spans="1:100">
      <c r="A17778" s="374"/>
      <c r="C17778" s="374"/>
      <c r="CV17778" s="376"/>
    </row>
    <row r="17779" spans="1:100">
      <c r="A17779" s="374"/>
      <c r="C17779" s="374"/>
      <c r="CV17779" s="376"/>
    </row>
    <row r="17780" spans="1:100">
      <c r="A17780" s="374"/>
      <c r="C17780" s="374"/>
      <c r="CV17780" s="376"/>
    </row>
    <row r="17781" spans="1:100">
      <c r="A17781" s="374"/>
      <c r="C17781" s="374"/>
      <c r="CV17781" s="376"/>
    </row>
    <row r="17782" spans="1:100">
      <c r="A17782" s="374"/>
      <c r="C17782" s="374"/>
      <c r="CV17782" s="376"/>
    </row>
    <row r="17783" spans="1:100">
      <c r="A17783" s="374"/>
      <c r="C17783" s="374"/>
      <c r="CV17783" s="376"/>
    </row>
    <row r="17784" spans="1:100">
      <c r="A17784" s="374"/>
      <c r="C17784" s="374"/>
      <c r="CV17784" s="376"/>
    </row>
    <row r="17785" spans="1:100">
      <c r="A17785" s="374"/>
      <c r="C17785" s="374"/>
      <c r="CV17785" s="376"/>
    </row>
    <row r="17786" spans="1:100">
      <c r="A17786" s="374"/>
      <c r="C17786" s="374"/>
      <c r="CV17786" s="376"/>
    </row>
    <row r="17787" spans="1:100">
      <c r="A17787" s="374"/>
      <c r="C17787" s="374"/>
      <c r="CV17787" s="376"/>
    </row>
    <row r="17788" spans="1:100">
      <c r="A17788" s="374"/>
      <c r="C17788" s="374"/>
      <c r="CV17788" s="376"/>
    </row>
    <row r="17789" spans="1:100">
      <c r="A17789" s="374"/>
      <c r="C17789" s="374"/>
      <c r="CV17789" s="376"/>
    </row>
    <row r="17790" spans="1:100">
      <c r="A17790" s="374"/>
      <c r="C17790" s="374"/>
      <c r="CV17790" s="376"/>
    </row>
    <row r="17791" spans="1:100">
      <c r="A17791" s="374"/>
      <c r="C17791" s="374"/>
      <c r="CV17791" s="376"/>
    </row>
    <row r="17792" spans="1:100">
      <c r="A17792" s="374"/>
      <c r="C17792" s="374"/>
      <c r="CV17792" s="376"/>
    </row>
    <row r="17793" spans="1:100">
      <c r="A17793" s="374"/>
      <c r="C17793" s="374"/>
      <c r="CV17793" s="376"/>
    </row>
    <row r="17794" spans="1:100">
      <c r="A17794" s="374"/>
      <c r="C17794" s="374"/>
      <c r="CV17794" s="376"/>
    </row>
    <row r="17795" spans="1:100">
      <c r="A17795" s="374"/>
      <c r="C17795" s="374"/>
      <c r="CV17795" s="376"/>
    </row>
    <row r="17796" spans="1:100">
      <c r="A17796" s="374"/>
      <c r="C17796" s="374"/>
      <c r="CV17796" s="376"/>
    </row>
    <row r="17797" spans="1:100">
      <c r="A17797" s="374"/>
      <c r="C17797" s="374"/>
      <c r="CV17797" s="376"/>
    </row>
    <row r="17798" spans="1:100">
      <c r="A17798" s="374"/>
      <c r="C17798" s="374"/>
      <c r="CV17798" s="376"/>
    </row>
    <row r="17799" spans="1:100">
      <c r="A17799" s="374"/>
      <c r="C17799" s="374"/>
      <c r="CV17799" s="376"/>
    </row>
    <row r="17800" spans="1:100">
      <c r="A17800" s="374"/>
      <c r="C17800" s="374"/>
      <c r="CV17800" s="376"/>
    </row>
    <row r="17801" spans="1:100">
      <c r="A17801" s="374"/>
      <c r="C17801" s="374"/>
      <c r="CV17801" s="376"/>
    </row>
    <row r="17802" spans="1:100">
      <c r="A17802" s="374"/>
      <c r="C17802" s="374"/>
      <c r="CV17802" s="376"/>
    </row>
    <row r="17803" spans="1:100">
      <c r="A17803" s="374"/>
      <c r="C17803" s="374"/>
      <c r="CV17803" s="376"/>
    </row>
    <row r="17804" spans="1:100">
      <c r="A17804" s="374"/>
      <c r="C17804" s="374"/>
      <c r="CV17804" s="376"/>
    </row>
    <row r="17805" spans="1:100">
      <c r="A17805" s="374"/>
      <c r="C17805" s="374"/>
      <c r="CV17805" s="376"/>
    </row>
    <row r="17806" spans="1:100">
      <c r="A17806" s="374"/>
      <c r="C17806" s="374"/>
      <c r="CV17806" s="376"/>
    </row>
    <row r="17807" spans="1:100">
      <c r="A17807" s="374"/>
      <c r="C17807" s="374"/>
      <c r="CV17807" s="376"/>
    </row>
    <row r="17808" spans="1:100">
      <c r="A17808" s="374"/>
      <c r="C17808" s="374"/>
      <c r="CV17808" s="376"/>
    </row>
    <row r="17809" spans="1:100">
      <c r="A17809" s="374"/>
      <c r="C17809" s="374"/>
      <c r="CV17809" s="376"/>
    </row>
    <row r="17810" spans="1:100">
      <c r="A17810" s="374"/>
      <c r="C17810" s="374"/>
      <c r="CV17810" s="376"/>
    </row>
    <row r="17811" spans="1:100">
      <c r="A17811" s="374"/>
      <c r="C17811" s="374"/>
      <c r="CV17811" s="376"/>
    </row>
    <row r="17812" spans="1:100">
      <c r="A17812" s="374"/>
      <c r="C17812" s="374"/>
      <c r="CV17812" s="376"/>
    </row>
    <row r="17813" spans="1:100">
      <c r="A17813" s="374"/>
      <c r="C17813" s="374"/>
      <c r="CV17813" s="376"/>
    </row>
    <row r="17814" spans="1:100">
      <c r="A17814" s="374"/>
      <c r="C17814" s="374"/>
      <c r="CV17814" s="376"/>
    </row>
    <row r="17815" spans="1:100">
      <c r="A17815" s="374"/>
      <c r="C17815" s="374"/>
      <c r="CV17815" s="376"/>
    </row>
    <row r="17816" spans="1:100">
      <c r="A17816" s="374"/>
      <c r="C17816" s="374"/>
      <c r="CV17816" s="376"/>
    </row>
    <row r="17817" spans="1:100">
      <c r="A17817" s="374"/>
      <c r="C17817" s="374"/>
      <c r="CV17817" s="376"/>
    </row>
    <row r="17818" spans="1:100">
      <c r="A17818" s="374"/>
      <c r="C17818" s="374"/>
      <c r="CV17818" s="376"/>
    </row>
    <row r="17819" spans="1:100">
      <c r="A17819" s="374"/>
      <c r="C17819" s="374"/>
      <c r="CV17819" s="376"/>
    </row>
    <row r="17820" spans="1:100">
      <c r="A17820" s="374"/>
      <c r="C17820" s="374"/>
      <c r="CV17820" s="376"/>
    </row>
    <row r="17821" spans="1:100">
      <c r="A17821" s="374"/>
      <c r="C17821" s="374"/>
      <c r="CV17821" s="376"/>
    </row>
    <row r="17822" spans="1:100">
      <c r="A17822" s="374"/>
      <c r="C17822" s="374"/>
      <c r="CV17822" s="376"/>
    </row>
    <row r="17823" spans="1:100">
      <c r="A17823" s="374"/>
      <c r="C17823" s="374"/>
      <c r="CV17823" s="376"/>
    </row>
    <row r="17824" spans="1:100">
      <c r="A17824" s="374"/>
      <c r="C17824" s="374"/>
      <c r="CV17824" s="376"/>
    </row>
    <row r="17825" spans="1:100">
      <c r="A17825" s="374"/>
      <c r="C17825" s="374"/>
      <c r="CV17825" s="376"/>
    </row>
    <row r="17826" spans="1:100">
      <c r="A17826" s="374"/>
      <c r="C17826" s="374"/>
      <c r="CV17826" s="376"/>
    </row>
    <row r="17827" spans="1:100">
      <c r="A17827" s="374"/>
      <c r="C17827" s="374"/>
      <c r="CV17827" s="376"/>
    </row>
    <row r="17828" spans="1:100">
      <c r="A17828" s="374"/>
      <c r="C17828" s="374"/>
      <c r="CV17828" s="376"/>
    </row>
    <row r="17829" spans="1:100">
      <c r="A17829" s="374"/>
      <c r="C17829" s="374"/>
      <c r="CV17829" s="376"/>
    </row>
    <row r="17830" spans="1:100">
      <c r="A17830" s="374"/>
      <c r="C17830" s="374"/>
      <c r="CV17830" s="376"/>
    </row>
    <row r="17831" spans="1:100">
      <c r="A17831" s="374"/>
      <c r="C17831" s="374"/>
      <c r="CV17831" s="376"/>
    </row>
    <row r="17832" spans="1:100">
      <c r="A17832" s="374"/>
      <c r="C17832" s="374"/>
      <c r="CV17832" s="376"/>
    </row>
    <row r="17833" spans="1:100">
      <c r="A17833" s="374"/>
      <c r="C17833" s="374"/>
      <c r="CV17833" s="376"/>
    </row>
    <row r="17834" spans="1:100">
      <c r="A17834" s="374"/>
      <c r="C17834" s="374"/>
      <c r="CV17834" s="376"/>
    </row>
    <row r="17835" spans="1:100">
      <c r="A17835" s="374"/>
      <c r="C17835" s="374"/>
      <c r="CV17835" s="376"/>
    </row>
    <row r="17836" spans="1:100">
      <c r="A17836" s="374"/>
      <c r="C17836" s="374"/>
      <c r="CV17836" s="376"/>
    </row>
    <row r="17837" spans="1:100">
      <c r="A17837" s="374"/>
      <c r="C17837" s="374"/>
      <c r="CV17837" s="376"/>
    </row>
    <row r="17838" spans="1:100">
      <c r="A17838" s="374"/>
      <c r="C17838" s="374"/>
      <c r="CV17838" s="376"/>
    </row>
    <row r="17839" spans="1:100">
      <c r="A17839" s="374"/>
      <c r="C17839" s="374"/>
      <c r="CV17839" s="376"/>
    </row>
    <row r="17840" spans="1:100">
      <c r="A17840" s="374"/>
      <c r="C17840" s="374"/>
      <c r="CV17840" s="376"/>
    </row>
    <row r="17841" spans="1:100">
      <c r="A17841" s="374"/>
      <c r="C17841" s="374"/>
      <c r="CV17841" s="376"/>
    </row>
    <row r="17842" spans="1:100">
      <c r="A17842" s="374"/>
      <c r="C17842" s="374"/>
      <c r="CV17842" s="376"/>
    </row>
    <row r="17843" spans="1:100">
      <c r="A17843" s="374"/>
      <c r="C17843" s="374"/>
      <c r="CV17843" s="376"/>
    </row>
    <row r="17844" spans="1:100">
      <c r="A17844" s="374"/>
      <c r="C17844" s="374"/>
      <c r="CV17844" s="376"/>
    </row>
    <row r="17845" spans="1:100">
      <c r="A17845" s="374"/>
      <c r="C17845" s="374"/>
      <c r="CV17845" s="376"/>
    </row>
    <row r="17846" spans="1:100">
      <c r="A17846" s="374"/>
      <c r="C17846" s="374"/>
      <c r="CV17846" s="376"/>
    </row>
    <row r="17847" spans="1:100">
      <c r="A17847" s="374"/>
      <c r="C17847" s="374"/>
      <c r="CV17847" s="376"/>
    </row>
    <row r="17848" spans="1:100">
      <c r="A17848" s="374"/>
      <c r="C17848" s="374"/>
      <c r="CV17848" s="376"/>
    </row>
    <row r="17849" spans="1:100">
      <c r="A17849" s="374"/>
      <c r="C17849" s="374"/>
      <c r="CV17849" s="376"/>
    </row>
    <row r="17850" spans="1:100">
      <c r="A17850" s="374"/>
      <c r="C17850" s="374"/>
      <c r="CV17850" s="376"/>
    </row>
    <row r="17851" spans="1:100">
      <c r="A17851" s="374"/>
      <c r="C17851" s="374"/>
      <c r="CV17851" s="376"/>
    </row>
    <row r="17852" spans="1:100">
      <c r="A17852" s="374"/>
      <c r="C17852" s="374"/>
      <c r="CV17852" s="376"/>
    </row>
    <row r="17853" spans="1:100">
      <c r="A17853" s="374"/>
      <c r="C17853" s="374"/>
      <c r="CV17853" s="376"/>
    </row>
    <row r="17854" spans="1:100">
      <c r="A17854" s="374"/>
      <c r="C17854" s="374"/>
      <c r="CV17854" s="376"/>
    </row>
    <row r="17855" spans="1:100">
      <c r="A17855" s="374"/>
      <c r="C17855" s="374"/>
      <c r="CV17855" s="376"/>
    </row>
    <row r="17856" spans="1:100">
      <c r="A17856" s="374"/>
      <c r="C17856" s="374"/>
      <c r="CV17856" s="376"/>
    </row>
    <row r="17857" spans="1:100">
      <c r="A17857" s="374"/>
      <c r="C17857" s="374"/>
      <c r="CV17857" s="376"/>
    </row>
    <row r="17858" spans="1:100">
      <c r="A17858" s="374"/>
      <c r="C17858" s="374"/>
      <c r="CV17858" s="376"/>
    </row>
    <row r="17859" spans="1:100">
      <c r="A17859" s="374"/>
      <c r="C17859" s="374"/>
      <c r="CV17859" s="376"/>
    </row>
    <row r="17860" spans="1:100">
      <c r="A17860" s="374"/>
      <c r="C17860" s="374"/>
      <c r="CV17860" s="376"/>
    </row>
    <row r="17861" spans="1:100">
      <c r="A17861" s="374"/>
      <c r="C17861" s="374"/>
      <c r="CV17861" s="376"/>
    </row>
    <row r="17862" spans="1:100">
      <c r="A17862" s="374"/>
      <c r="C17862" s="374"/>
      <c r="CV17862" s="376"/>
    </row>
    <row r="17863" spans="1:100">
      <c r="A17863" s="374"/>
      <c r="C17863" s="374"/>
      <c r="CV17863" s="376"/>
    </row>
    <row r="17864" spans="1:100">
      <c r="A17864" s="374"/>
      <c r="C17864" s="374"/>
      <c r="CV17864" s="376"/>
    </row>
    <row r="17865" spans="1:100">
      <c r="A17865" s="374"/>
      <c r="C17865" s="374"/>
      <c r="CV17865" s="376"/>
    </row>
    <row r="17866" spans="1:100">
      <c r="A17866" s="374"/>
      <c r="C17866" s="374"/>
      <c r="CV17866" s="376"/>
    </row>
    <row r="17867" spans="1:100">
      <c r="A17867" s="374"/>
      <c r="C17867" s="374"/>
      <c r="CV17867" s="376"/>
    </row>
    <row r="17868" spans="1:100">
      <c r="A17868" s="374"/>
      <c r="C17868" s="374"/>
      <c r="CV17868" s="376"/>
    </row>
    <row r="17869" spans="1:100">
      <c r="A17869" s="374"/>
      <c r="C17869" s="374"/>
      <c r="CV17869" s="376"/>
    </row>
    <row r="17870" spans="1:100">
      <c r="A17870" s="374"/>
      <c r="C17870" s="374"/>
      <c r="CV17870" s="376"/>
    </row>
    <row r="17871" spans="1:100">
      <c r="A17871" s="374"/>
      <c r="C17871" s="374"/>
      <c r="CV17871" s="376"/>
    </row>
    <row r="17872" spans="1:100">
      <c r="A17872" s="374"/>
      <c r="C17872" s="374"/>
      <c r="CV17872" s="376"/>
    </row>
    <row r="17873" spans="1:100">
      <c r="A17873" s="374"/>
      <c r="C17873" s="374"/>
      <c r="CV17873" s="376"/>
    </row>
    <row r="17874" spans="1:100">
      <c r="A17874" s="374"/>
      <c r="C17874" s="374"/>
      <c r="CV17874" s="376"/>
    </row>
    <row r="17875" spans="1:100">
      <c r="A17875" s="374"/>
      <c r="C17875" s="374"/>
      <c r="CV17875" s="376"/>
    </row>
    <row r="17876" spans="1:100">
      <c r="A17876" s="374"/>
      <c r="C17876" s="374"/>
      <c r="CV17876" s="376"/>
    </row>
    <row r="17877" spans="1:100">
      <c r="A17877" s="374"/>
      <c r="C17877" s="374"/>
      <c r="CV17877" s="376"/>
    </row>
    <row r="17878" spans="1:100">
      <c r="A17878" s="374"/>
      <c r="C17878" s="374"/>
      <c r="CV17878" s="376"/>
    </row>
    <row r="17879" spans="1:100">
      <c r="A17879" s="374"/>
      <c r="C17879" s="374"/>
      <c r="CV17879" s="376"/>
    </row>
    <row r="17880" spans="1:100">
      <c r="A17880" s="374"/>
      <c r="C17880" s="374"/>
      <c r="CV17880" s="376"/>
    </row>
    <row r="17881" spans="1:100">
      <c r="A17881" s="374"/>
      <c r="C17881" s="374"/>
      <c r="CV17881" s="376"/>
    </row>
    <row r="17882" spans="1:100">
      <c r="A17882" s="374"/>
      <c r="C17882" s="374"/>
      <c r="CV17882" s="376"/>
    </row>
    <row r="17883" spans="1:100">
      <c r="A17883" s="374"/>
      <c r="C17883" s="374"/>
      <c r="CV17883" s="376"/>
    </row>
    <row r="17884" spans="1:100">
      <c r="A17884" s="374"/>
      <c r="C17884" s="374"/>
      <c r="CV17884" s="376"/>
    </row>
    <row r="17885" spans="1:100">
      <c r="A17885" s="374"/>
      <c r="C17885" s="374"/>
      <c r="CV17885" s="376"/>
    </row>
    <row r="17886" spans="1:100">
      <c r="A17886" s="374"/>
      <c r="C17886" s="374"/>
      <c r="CV17886" s="376"/>
    </row>
    <row r="17887" spans="1:100">
      <c r="A17887" s="374"/>
      <c r="C17887" s="374"/>
      <c r="CV17887" s="376"/>
    </row>
    <row r="17888" spans="1:100">
      <c r="A17888" s="374"/>
      <c r="C17888" s="374"/>
      <c r="CV17888" s="376"/>
    </row>
    <row r="17889" spans="1:100">
      <c r="A17889" s="374"/>
      <c r="C17889" s="374"/>
      <c r="CV17889" s="376"/>
    </row>
    <row r="17890" spans="1:100">
      <c r="A17890" s="374"/>
      <c r="C17890" s="374"/>
      <c r="CV17890" s="376"/>
    </row>
    <row r="17891" spans="1:100">
      <c r="A17891" s="374"/>
      <c r="C17891" s="374"/>
      <c r="CV17891" s="376"/>
    </row>
    <row r="17892" spans="1:100">
      <c r="A17892" s="374"/>
      <c r="C17892" s="374"/>
      <c r="CV17892" s="376"/>
    </row>
    <row r="17893" spans="1:100">
      <c r="A17893" s="374"/>
      <c r="C17893" s="374"/>
      <c r="CV17893" s="376"/>
    </row>
    <row r="17894" spans="1:100">
      <c r="A17894" s="374"/>
      <c r="C17894" s="374"/>
      <c r="CV17894" s="376"/>
    </row>
    <row r="17895" spans="1:100">
      <c r="A17895" s="374"/>
      <c r="C17895" s="374"/>
      <c r="CV17895" s="376"/>
    </row>
    <row r="17896" spans="1:100">
      <c r="A17896" s="374"/>
      <c r="C17896" s="374"/>
      <c r="CV17896" s="376"/>
    </row>
    <row r="17897" spans="1:100">
      <c r="A17897" s="374"/>
      <c r="C17897" s="374"/>
      <c r="CV17897" s="376"/>
    </row>
    <row r="17898" spans="1:100">
      <c r="A17898" s="374"/>
      <c r="C17898" s="374"/>
      <c r="CV17898" s="376"/>
    </row>
    <row r="17899" spans="1:100">
      <c r="A17899" s="374"/>
      <c r="C17899" s="374"/>
      <c r="CV17899" s="376"/>
    </row>
    <row r="17900" spans="1:100">
      <c r="A17900" s="374"/>
      <c r="C17900" s="374"/>
      <c r="CV17900" s="376"/>
    </row>
    <row r="17901" spans="1:100">
      <c r="A17901" s="374"/>
      <c r="C17901" s="374"/>
      <c r="CV17901" s="376"/>
    </row>
    <row r="17902" spans="1:100">
      <c r="A17902" s="374"/>
      <c r="C17902" s="374"/>
      <c r="CV17902" s="376"/>
    </row>
    <row r="17903" spans="1:100">
      <c r="A17903" s="374"/>
      <c r="C17903" s="374"/>
      <c r="CV17903" s="376"/>
    </row>
    <row r="17904" spans="1:100">
      <c r="A17904" s="374"/>
      <c r="C17904" s="374"/>
      <c r="CV17904" s="376"/>
    </row>
    <row r="17905" spans="1:100">
      <c r="A17905" s="374"/>
      <c r="C17905" s="374"/>
      <c r="CV17905" s="376"/>
    </row>
    <row r="17906" spans="1:100">
      <c r="A17906" s="374"/>
      <c r="C17906" s="374"/>
      <c r="CV17906" s="376"/>
    </row>
    <row r="17907" spans="1:100">
      <c r="A17907" s="374"/>
      <c r="C17907" s="374"/>
      <c r="CV17907" s="376"/>
    </row>
    <row r="17908" spans="1:100">
      <c r="A17908" s="374"/>
      <c r="C17908" s="374"/>
      <c r="CV17908" s="376"/>
    </row>
    <row r="17909" spans="1:100">
      <c r="A17909" s="374"/>
      <c r="C17909" s="374"/>
      <c r="CV17909" s="376"/>
    </row>
    <row r="17910" spans="1:100">
      <c r="A17910" s="374"/>
      <c r="C17910" s="374"/>
      <c r="CV17910" s="376"/>
    </row>
    <row r="17911" spans="1:100">
      <c r="A17911" s="374"/>
      <c r="C17911" s="374"/>
      <c r="CV17911" s="376"/>
    </row>
    <row r="17912" spans="1:100">
      <c r="A17912" s="374"/>
      <c r="C17912" s="374"/>
      <c r="CV17912" s="376"/>
    </row>
    <row r="17913" spans="1:100">
      <c r="A17913" s="374"/>
      <c r="C17913" s="374"/>
      <c r="CV17913" s="376"/>
    </row>
    <row r="17914" spans="1:100">
      <c r="A17914" s="374"/>
      <c r="C17914" s="374"/>
      <c r="CV17914" s="376"/>
    </row>
    <row r="17915" spans="1:100">
      <c r="A17915" s="374"/>
      <c r="C17915" s="374"/>
      <c r="CV17915" s="376"/>
    </row>
    <row r="17916" spans="1:100">
      <c r="A17916" s="374"/>
      <c r="C17916" s="374"/>
      <c r="CV17916" s="376"/>
    </row>
    <row r="17917" spans="1:100">
      <c r="A17917" s="374"/>
      <c r="C17917" s="374"/>
      <c r="CV17917" s="376"/>
    </row>
    <row r="17918" spans="1:100">
      <c r="A17918" s="374"/>
      <c r="C17918" s="374"/>
      <c r="CV17918" s="376"/>
    </row>
    <row r="17919" spans="1:100">
      <c r="A17919" s="374"/>
      <c r="C17919" s="374"/>
      <c r="CV17919" s="376"/>
    </row>
    <row r="17920" spans="1:100">
      <c r="A17920" s="374"/>
      <c r="C17920" s="374"/>
      <c r="CV17920" s="376"/>
    </row>
    <row r="17921" spans="1:100">
      <c r="A17921" s="374"/>
      <c r="C17921" s="374"/>
      <c r="CV17921" s="376"/>
    </row>
    <row r="17922" spans="1:100">
      <c r="A17922" s="374"/>
      <c r="C17922" s="374"/>
      <c r="CV17922" s="376"/>
    </row>
    <row r="17923" spans="1:100">
      <c r="A17923" s="374"/>
      <c r="C17923" s="374"/>
      <c r="CV17923" s="376"/>
    </row>
    <row r="17924" spans="1:100">
      <c r="A17924" s="374"/>
      <c r="C17924" s="374"/>
      <c r="CV17924" s="376"/>
    </row>
    <row r="17925" spans="1:100">
      <c r="A17925" s="374"/>
      <c r="C17925" s="374"/>
      <c r="CV17925" s="376"/>
    </row>
    <row r="17926" spans="1:100">
      <c r="A17926" s="374"/>
      <c r="C17926" s="374"/>
      <c r="CV17926" s="376"/>
    </row>
    <row r="17927" spans="1:100">
      <c r="A17927" s="374"/>
      <c r="C17927" s="374"/>
      <c r="CV17927" s="376"/>
    </row>
    <row r="17928" spans="1:100">
      <c r="A17928" s="374"/>
      <c r="C17928" s="374"/>
      <c r="CV17928" s="376"/>
    </row>
    <row r="17929" spans="1:100">
      <c r="A17929" s="374"/>
      <c r="C17929" s="374"/>
      <c r="CV17929" s="376"/>
    </row>
    <row r="17930" spans="1:100">
      <c r="A17930" s="374"/>
      <c r="C17930" s="374"/>
      <c r="CV17930" s="376"/>
    </row>
    <row r="17931" spans="1:100">
      <c r="A17931" s="374"/>
      <c r="C17931" s="374"/>
      <c r="CV17931" s="376"/>
    </row>
    <row r="17932" spans="1:100">
      <c r="A17932" s="374"/>
      <c r="C17932" s="374"/>
      <c r="CV17932" s="376"/>
    </row>
    <row r="17933" spans="1:100">
      <c r="A17933" s="374"/>
      <c r="C17933" s="374"/>
      <c r="CV17933" s="376"/>
    </row>
    <row r="17934" spans="1:100">
      <c r="A17934" s="374"/>
      <c r="C17934" s="374"/>
      <c r="CV17934" s="376"/>
    </row>
    <row r="17935" spans="1:100">
      <c r="A17935" s="374"/>
      <c r="C17935" s="374"/>
      <c r="CV17935" s="376"/>
    </row>
    <row r="17936" spans="1:100">
      <c r="A17936" s="374"/>
      <c r="C17936" s="374"/>
      <c r="CV17936" s="376"/>
    </row>
    <row r="17937" spans="1:100">
      <c r="A17937" s="374"/>
      <c r="C17937" s="374"/>
      <c r="CV17937" s="376"/>
    </row>
    <row r="17938" spans="1:100">
      <c r="A17938" s="374"/>
      <c r="C17938" s="374"/>
      <c r="CV17938" s="376"/>
    </row>
    <row r="17939" spans="1:100">
      <c r="A17939" s="374"/>
      <c r="C17939" s="374"/>
      <c r="CV17939" s="376"/>
    </row>
    <row r="17940" spans="1:100">
      <c r="A17940" s="374"/>
      <c r="C17940" s="374"/>
      <c r="CV17940" s="376"/>
    </row>
    <row r="17941" spans="1:100">
      <c r="A17941" s="374"/>
      <c r="C17941" s="374"/>
      <c r="CV17941" s="376"/>
    </row>
    <row r="17942" spans="1:100">
      <c r="A17942" s="374"/>
      <c r="C17942" s="374"/>
      <c r="CV17942" s="376"/>
    </row>
    <row r="17943" spans="1:100">
      <c r="A17943" s="374"/>
      <c r="C17943" s="374"/>
      <c r="CV17943" s="376"/>
    </row>
    <row r="17944" spans="1:100">
      <c r="A17944" s="374"/>
      <c r="C17944" s="374"/>
      <c r="CV17944" s="376"/>
    </row>
    <row r="17945" spans="1:100">
      <c r="A17945" s="374"/>
      <c r="C17945" s="374"/>
      <c r="CV17945" s="376"/>
    </row>
    <row r="17946" spans="1:100">
      <c r="A17946" s="374"/>
      <c r="C17946" s="374"/>
      <c r="CV17946" s="376"/>
    </row>
    <row r="17947" spans="1:100">
      <c r="A17947" s="374"/>
      <c r="C17947" s="374"/>
      <c r="CV17947" s="376"/>
    </row>
    <row r="17948" spans="1:100">
      <c r="A17948" s="374"/>
      <c r="C17948" s="374"/>
      <c r="CV17948" s="376"/>
    </row>
    <row r="17949" spans="1:100">
      <c r="A17949" s="374"/>
      <c r="C17949" s="374"/>
      <c r="CV17949" s="376"/>
    </row>
    <row r="17950" spans="1:100">
      <c r="A17950" s="374"/>
      <c r="C17950" s="374"/>
      <c r="CV17950" s="376"/>
    </row>
    <row r="17951" spans="1:100">
      <c r="A17951" s="374"/>
      <c r="C17951" s="374"/>
      <c r="CV17951" s="376"/>
    </row>
    <row r="17952" spans="1:100">
      <c r="A17952" s="374"/>
      <c r="C17952" s="374"/>
      <c r="CV17952" s="376"/>
    </row>
    <row r="17953" spans="1:100">
      <c r="A17953" s="374"/>
      <c r="C17953" s="374"/>
      <c r="CV17953" s="376"/>
    </row>
    <row r="17954" spans="1:100">
      <c r="A17954" s="374"/>
      <c r="C17954" s="374"/>
      <c r="CV17954" s="376"/>
    </row>
    <row r="17955" spans="1:100">
      <c r="A17955" s="374"/>
      <c r="C17955" s="374"/>
      <c r="CV17955" s="376"/>
    </row>
    <row r="17956" spans="1:100">
      <c r="A17956" s="374"/>
      <c r="C17956" s="374"/>
      <c r="CV17956" s="376"/>
    </row>
    <row r="17957" spans="1:100">
      <c r="A17957" s="374"/>
      <c r="C17957" s="374"/>
      <c r="CV17957" s="376"/>
    </row>
    <row r="17958" spans="1:100">
      <c r="A17958" s="374"/>
      <c r="C17958" s="374"/>
      <c r="CV17958" s="376"/>
    </row>
    <row r="17959" spans="1:100">
      <c r="A17959" s="374"/>
      <c r="C17959" s="374"/>
      <c r="CV17959" s="376"/>
    </row>
    <row r="17960" spans="1:100">
      <c r="A17960" s="374"/>
      <c r="C17960" s="374"/>
      <c r="CV17960" s="376"/>
    </row>
    <row r="17961" spans="1:100">
      <c r="A17961" s="374"/>
      <c r="C17961" s="374"/>
      <c r="CV17961" s="376"/>
    </row>
    <row r="17962" spans="1:100">
      <c r="A17962" s="374"/>
      <c r="C17962" s="374"/>
      <c r="CV17962" s="376"/>
    </row>
    <row r="17963" spans="1:100">
      <c r="A17963" s="374"/>
      <c r="C17963" s="374"/>
      <c r="CV17963" s="376"/>
    </row>
    <row r="17964" spans="1:100">
      <c r="A17964" s="374"/>
      <c r="C17964" s="374"/>
      <c r="CV17964" s="376"/>
    </row>
    <row r="17965" spans="1:100">
      <c r="A17965" s="374"/>
      <c r="C17965" s="374"/>
      <c r="CV17965" s="376"/>
    </row>
    <row r="17966" spans="1:100">
      <c r="A17966" s="374"/>
      <c r="C17966" s="374"/>
      <c r="CV17966" s="376"/>
    </row>
    <row r="17967" spans="1:100">
      <c r="A17967" s="374"/>
      <c r="C17967" s="374"/>
      <c r="CV17967" s="376"/>
    </row>
    <row r="17968" spans="1:100">
      <c r="A17968" s="374"/>
      <c r="C17968" s="374"/>
      <c r="CV17968" s="376"/>
    </row>
    <row r="17969" spans="1:100">
      <c r="A17969" s="374"/>
      <c r="C17969" s="374"/>
      <c r="CV17969" s="376"/>
    </row>
    <row r="17970" spans="1:100">
      <c r="A17970" s="374"/>
      <c r="C17970" s="374"/>
      <c r="CV17970" s="376"/>
    </row>
    <row r="17971" spans="1:100">
      <c r="A17971" s="374"/>
      <c r="C17971" s="374"/>
      <c r="CV17971" s="376"/>
    </row>
    <row r="17972" spans="1:100">
      <c r="A17972" s="374"/>
      <c r="C17972" s="374"/>
      <c r="CV17972" s="376"/>
    </row>
    <row r="17973" spans="1:100">
      <c r="A17973" s="374"/>
      <c r="C17973" s="374"/>
      <c r="CV17973" s="376"/>
    </row>
    <row r="17974" spans="1:100">
      <c r="A17974" s="374"/>
      <c r="C17974" s="374"/>
      <c r="CV17974" s="376"/>
    </row>
    <row r="17975" spans="1:100">
      <c r="A17975" s="374"/>
      <c r="C17975" s="374"/>
      <c r="CV17975" s="376"/>
    </row>
    <row r="17976" spans="1:100">
      <c r="A17976" s="374"/>
      <c r="C17976" s="374"/>
      <c r="CV17976" s="376"/>
    </row>
    <row r="17977" spans="1:100">
      <c r="A17977" s="374"/>
      <c r="C17977" s="374"/>
      <c r="CV17977" s="376"/>
    </row>
    <row r="17978" spans="1:100">
      <c r="A17978" s="374"/>
      <c r="C17978" s="374"/>
      <c r="CV17978" s="376"/>
    </row>
    <row r="17979" spans="1:100">
      <c r="A17979" s="374"/>
      <c r="C17979" s="374"/>
      <c r="CV17979" s="376"/>
    </row>
    <row r="17980" spans="1:100">
      <c r="A17980" s="374"/>
      <c r="C17980" s="374"/>
      <c r="CV17980" s="376"/>
    </row>
    <row r="17981" spans="1:100">
      <c r="A17981" s="374"/>
      <c r="C17981" s="374"/>
      <c r="CV17981" s="376"/>
    </row>
    <row r="17982" spans="1:100">
      <c r="A17982" s="374"/>
      <c r="C17982" s="374"/>
      <c r="CV17982" s="376"/>
    </row>
    <row r="17983" spans="1:100">
      <c r="A17983" s="374"/>
      <c r="C17983" s="374"/>
      <c r="CV17983" s="376"/>
    </row>
    <row r="17984" spans="1:100">
      <c r="A17984" s="374"/>
      <c r="C17984" s="374"/>
      <c r="CV17984" s="376"/>
    </row>
    <row r="17985" spans="1:100">
      <c r="A17985" s="374"/>
      <c r="C17985" s="374"/>
      <c r="CV17985" s="376"/>
    </row>
    <row r="17986" spans="1:100">
      <c r="A17986" s="374"/>
      <c r="C17986" s="374"/>
      <c r="CV17986" s="376"/>
    </row>
    <row r="17987" spans="1:100">
      <c r="A17987" s="374"/>
      <c r="C17987" s="374"/>
      <c r="CV17987" s="376"/>
    </row>
    <row r="17988" spans="1:100">
      <c r="A17988" s="374"/>
      <c r="C17988" s="374"/>
      <c r="CV17988" s="376"/>
    </row>
    <row r="17989" spans="1:100">
      <c r="A17989" s="374"/>
      <c r="C17989" s="374"/>
      <c r="CV17989" s="376"/>
    </row>
    <row r="17990" spans="1:100">
      <c r="A17990" s="374"/>
      <c r="C17990" s="374"/>
      <c r="CV17990" s="376"/>
    </row>
    <row r="17991" spans="1:100">
      <c r="A17991" s="374"/>
      <c r="C17991" s="374"/>
      <c r="CV17991" s="376"/>
    </row>
    <row r="17992" spans="1:100">
      <c r="A17992" s="374"/>
      <c r="C17992" s="374"/>
      <c r="CV17992" s="376"/>
    </row>
    <row r="17993" spans="1:100">
      <c r="A17993" s="374"/>
      <c r="C17993" s="374"/>
      <c r="CV17993" s="376"/>
    </row>
    <row r="17994" spans="1:100">
      <c r="A17994" s="374"/>
      <c r="C17994" s="374"/>
      <c r="CV17994" s="376"/>
    </row>
    <row r="17995" spans="1:100">
      <c r="A17995" s="374"/>
      <c r="C17995" s="374"/>
      <c r="CV17995" s="376"/>
    </row>
    <row r="17996" spans="1:100">
      <c r="A17996" s="374"/>
      <c r="C17996" s="374"/>
      <c r="CV17996" s="376"/>
    </row>
    <row r="17997" spans="1:100">
      <c r="A17997" s="374"/>
      <c r="C17997" s="374"/>
      <c r="CV17997" s="376"/>
    </row>
    <row r="17998" spans="1:100">
      <c r="A17998" s="374"/>
      <c r="C17998" s="374"/>
      <c r="CV17998" s="376"/>
    </row>
    <row r="17999" spans="1:100">
      <c r="A17999" s="374"/>
      <c r="C17999" s="374"/>
      <c r="CV17999" s="376"/>
    </row>
    <row r="18000" spans="1:100">
      <c r="A18000" s="374"/>
      <c r="C18000" s="374"/>
      <c r="CV18000" s="376"/>
    </row>
    <row r="18001" spans="1:100">
      <c r="A18001" s="374"/>
      <c r="C18001" s="374"/>
      <c r="CV18001" s="376"/>
    </row>
    <row r="18002" spans="1:100">
      <c r="A18002" s="374"/>
      <c r="C18002" s="374"/>
      <c r="CV18002" s="376"/>
    </row>
    <row r="18003" spans="1:100">
      <c r="A18003" s="374"/>
      <c r="C18003" s="374"/>
      <c r="CV18003" s="376"/>
    </row>
    <row r="18004" spans="1:100">
      <c r="A18004" s="374"/>
      <c r="C18004" s="374"/>
      <c r="CV18004" s="376"/>
    </row>
    <row r="18005" spans="1:100">
      <c r="A18005" s="374"/>
      <c r="C18005" s="374"/>
      <c r="CV18005" s="376"/>
    </row>
    <row r="18006" spans="1:100">
      <c r="A18006" s="374"/>
      <c r="C18006" s="374"/>
      <c r="CV18006" s="376"/>
    </row>
    <row r="18007" spans="1:100">
      <c r="A18007" s="374"/>
      <c r="C18007" s="374"/>
      <c r="CV18007" s="376"/>
    </row>
    <row r="18008" spans="1:100">
      <c r="A18008" s="374"/>
      <c r="C18008" s="374"/>
      <c r="CV18008" s="376"/>
    </row>
    <row r="18009" spans="1:100">
      <c r="A18009" s="374"/>
      <c r="C18009" s="374"/>
      <c r="CV18009" s="376"/>
    </row>
    <row r="18010" spans="1:100">
      <c r="A18010" s="374"/>
      <c r="C18010" s="374"/>
      <c r="CV18010" s="376"/>
    </row>
    <row r="18011" spans="1:100">
      <c r="A18011" s="374"/>
      <c r="C18011" s="374"/>
      <c r="CV18011" s="376"/>
    </row>
    <row r="18012" spans="1:100">
      <c r="A18012" s="374"/>
      <c r="C18012" s="374"/>
      <c r="CV18012" s="376"/>
    </row>
    <row r="18013" spans="1:100">
      <c r="A18013" s="374"/>
      <c r="C18013" s="374"/>
      <c r="CV18013" s="376"/>
    </row>
    <row r="18014" spans="1:100">
      <c r="A18014" s="374"/>
      <c r="C18014" s="374"/>
      <c r="CV18014" s="376"/>
    </row>
    <row r="18015" spans="1:100">
      <c r="A18015" s="374"/>
      <c r="C18015" s="374"/>
      <c r="CV18015" s="376"/>
    </row>
    <row r="18016" spans="1:100">
      <c r="A18016" s="374"/>
      <c r="C18016" s="374"/>
      <c r="CV18016" s="376"/>
    </row>
    <row r="18017" spans="1:100">
      <c r="A18017" s="374"/>
      <c r="C18017" s="374"/>
      <c r="CV18017" s="376"/>
    </row>
    <row r="18018" spans="1:100">
      <c r="A18018" s="374"/>
      <c r="C18018" s="374"/>
      <c r="CV18018" s="376"/>
    </row>
    <row r="18019" spans="1:100">
      <c r="A18019" s="374"/>
      <c r="C18019" s="374"/>
      <c r="CV18019" s="376"/>
    </row>
    <row r="18020" spans="1:100">
      <c r="A18020" s="374"/>
      <c r="C18020" s="374"/>
      <c r="CV18020" s="376"/>
    </row>
    <row r="18021" spans="1:100">
      <c r="A18021" s="374"/>
      <c r="C18021" s="374"/>
      <c r="CV18021" s="376"/>
    </row>
    <row r="18022" spans="1:100">
      <c r="A18022" s="374"/>
      <c r="C18022" s="374"/>
      <c r="CV18022" s="376"/>
    </row>
    <row r="18023" spans="1:100">
      <c r="A18023" s="374"/>
      <c r="C18023" s="374"/>
      <c r="CV18023" s="376"/>
    </row>
    <row r="18024" spans="1:100">
      <c r="A18024" s="374"/>
      <c r="C18024" s="374"/>
      <c r="CV18024" s="376"/>
    </row>
    <row r="18025" spans="1:100">
      <c r="A18025" s="374"/>
      <c r="C18025" s="374"/>
      <c r="CV18025" s="376"/>
    </row>
    <row r="18026" spans="1:100">
      <c r="A18026" s="374"/>
      <c r="C18026" s="374"/>
      <c r="CV18026" s="376"/>
    </row>
    <row r="18027" spans="1:100">
      <c r="A18027" s="374"/>
      <c r="C18027" s="374"/>
      <c r="CV18027" s="376"/>
    </row>
    <row r="18028" spans="1:100">
      <c r="A18028" s="374"/>
      <c r="C18028" s="374"/>
      <c r="CV18028" s="376"/>
    </row>
    <row r="18029" spans="1:100">
      <c r="A18029" s="374"/>
      <c r="C18029" s="374"/>
      <c r="CV18029" s="376"/>
    </row>
    <row r="18030" spans="1:100">
      <c r="A18030" s="374"/>
      <c r="C18030" s="374"/>
      <c r="CV18030" s="376"/>
    </row>
    <row r="18031" spans="1:100">
      <c r="A18031" s="374"/>
      <c r="C18031" s="374"/>
      <c r="CV18031" s="376"/>
    </row>
    <row r="18032" spans="1:100">
      <c r="A18032" s="374"/>
      <c r="C18032" s="374"/>
      <c r="CV18032" s="376"/>
    </row>
    <row r="18033" spans="1:100">
      <c r="A18033" s="374"/>
      <c r="C18033" s="374"/>
      <c r="CV18033" s="376"/>
    </row>
    <row r="18034" spans="1:100">
      <c r="A18034" s="374"/>
      <c r="C18034" s="374"/>
      <c r="CV18034" s="376"/>
    </row>
    <row r="18035" spans="1:100">
      <c r="A18035" s="374"/>
      <c r="C18035" s="374"/>
      <c r="CV18035" s="376"/>
    </row>
    <row r="18036" spans="1:100">
      <c r="A18036" s="374"/>
      <c r="C18036" s="374"/>
      <c r="CV18036" s="376"/>
    </row>
    <row r="18037" spans="1:100">
      <c r="A18037" s="374"/>
      <c r="C18037" s="374"/>
      <c r="CV18037" s="376"/>
    </row>
    <row r="18038" spans="1:100">
      <c r="A18038" s="374"/>
      <c r="C18038" s="374"/>
      <c r="CV18038" s="376"/>
    </row>
    <row r="18039" spans="1:100">
      <c r="A18039" s="374"/>
      <c r="C18039" s="374"/>
      <c r="CV18039" s="376"/>
    </row>
    <row r="18040" spans="1:100">
      <c r="A18040" s="374"/>
      <c r="C18040" s="374"/>
      <c r="CV18040" s="376"/>
    </row>
    <row r="18041" spans="1:100">
      <c r="A18041" s="374"/>
      <c r="C18041" s="374"/>
      <c r="CV18041" s="376"/>
    </row>
    <row r="18042" spans="1:100">
      <c r="A18042" s="374"/>
      <c r="C18042" s="374"/>
      <c r="CV18042" s="376"/>
    </row>
    <row r="18043" spans="1:100">
      <c r="A18043" s="374"/>
      <c r="C18043" s="374"/>
      <c r="CV18043" s="376"/>
    </row>
    <row r="18044" spans="1:100">
      <c r="A18044" s="374"/>
      <c r="C18044" s="374"/>
      <c r="CV18044" s="376"/>
    </row>
    <row r="18045" spans="1:100">
      <c r="A18045" s="374"/>
      <c r="C18045" s="374"/>
      <c r="CV18045" s="376"/>
    </row>
    <row r="18046" spans="1:100">
      <c r="A18046" s="374"/>
      <c r="C18046" s="374"/>
      <c r="CV18046" s="376"/>
    </row>
    <row r="18047" spans="1:100">
      <c r="A18047" s="374"/>
      <c r="C18047" s="374"/>
      <c r="CV18047" s="376"/>
    </row>
    <row r="18048" spans="1:100">
      <c r="A18048" s="374"/>
      <c r="C18048" s="374"/>
      <c r="CV18048" s="376"/>
    </row>
    <row r="18049" spans="1:100">
      <c r="A18049" s="374"/>
      <c r="C18049" s="374"/>
      <c r="CV18049" s="376"/>
    </row>
    <row r="18050" spans="1:100">
      <c r="A18050" s="374"/>
      <c r="C18050" s="374"/>
      <c r="CV18050" s="376"/>
    </row>
    <row r="18051" spans="1:100">
      <c r="A18051" s="374"/>
      <c r="C18051" s="374"/>
      <c r="CV18051" s="376"/>
    </row>
    <row r="18052" spans="1:100">
      <c r="A18052" s="374"/>
      <c r="C18052" s="374"/>
      <c r="CV18052" s="376"/>
    </row>
    <row r="18053" spans="1:100">
      <c r="A18053" s="374"/>
      <c r="C18053" s="374"/>
      <c r="CV18053" s="376"/>
    </row>
    <row r="18054" spans="1:100">
      <c r="A18054" s="374"/>
      <c r="C18054" s="374"/>
      <c r="CV18054" s="376"/>
    </row>
    <row r="18055" spans="1:100">
      <c r="A18055" s="374"/>
      <c r="C18055" s="374"/>
      <c r="CV18055" s="376"/>
    </row>
    <row r="18056" spans="1:100">
      <c r="A18056" s="374"/>
      <c r="C18056" s="374"/>
      <c r="CV18056" s="376"/>
    </row>
    <row r="18057" spans="1:100">
      <c r="A18057" s="374"/>
      <c r="C18057" s="374"/>
      <c r="CV18057" s="376"/>
    </row>
    <row r="18058" spans="1:100">
      <c r="A18058" s="374"/>
      <c r="C18058" s="374"/>
      <c r="CV18058" s="376"/>
    </row>
    <row r="18059" spans="1:100">
      <c r="A18059" s="374"/>
      <c r="C18059" s="374"/>
      <c r="CV18059" s="376"/>
    </row>
    <row r="18060" spans="1:100">
      <c r="A18060" s="374"/>
      <c r="C18060" s="374"/>
      <c r="CV18060" s="376"/>
    </row>
    <row r="18061" spans="1:100">
      <c r="A18061" s="374"/>
      <c r="C18061" s="374"/>
      <c r="CV18061" s="376"/>
    </row>
    <row r="18062" spans="1:100">
      <c r="A18062" s="374"/>
      <c r="C18062" s="374"/>
      <c r="CV18062" s="376"/>
    </row>
    <row r="18063" spans="1:100">
      <c r="A18063" s="374"/>
      <c r="C18063" s="374"/>
      <c r="CV18063" s="376"/>
    </row>
    <row r="18064" spans="1:100">
      <c r="A18064" s="374"/>
      <c r="C18064" s="374"/>
      <c r="CV18064" s="376"/>
    </row>
    <row r="18065" spans="1:100">
      <c r="A18065" s="374"/>
      <c r="C18065" s="374"/>
      <c r="CV18065" s="376"/>
    </row>
    <row r="18066" spans="1:100">
      <c r="A18066" s="374"/>
      <c r="C18066" s="374"/>
      <c r="CV18066" s="376"/>
    </row>
    <row r="18067" spans="1:100">
      <c r="A18067" s="374"/>
      <c r="C18067" s="374"/>
      <c r="CV18067" s="376"/>
    </row>
    <row r="18068" spans="1:100">
      <c r="A18068" s="374"/>
      <c r="C18068" s="374"/>
      <c r="CV18068" s="376"/>
    </row>
    <row r="18069" spans="1:100">
      <c r="A18069" s="374"/>
      <c r="C18069" s="374"/>
      <c r="CV18069" s="376"/>
    </row>
    <row r="18070" spans="1:100">
      <c r="A18070" s="374"/>
      <c r="C18070" s="374"/>
      <c r="CV18070" s="376"/>
    </row>
    <row r="18071" spans="1:100">
      <c r="A18071" s="374"/>
      <c r="C18071" s="374"/>
      <c r="CV18071" s="376"/>
    </row>
    <row r="18072" spans="1:100">
      <c r="A18072" s="374"/>
      <c r="C18072" s="374"/>
      <c r="CV18072" s="376"/>
    </row>
    <row r="18073" spans="1:100">
      <c r="A18073" s="374"/>
      <c r="C18073" s="374"/>
      <c r="CV18073" s="376"/>
    </row>
    <row r="18074" spans="1:100">
      <c r="A18074" s="374"/>
      <c r="C18074" s="374"/>
      <c r="CV18074" s="376"/>
    </row>
    <row r="18075" spans="1:100">
      <c r="A18075" s="374"/>
      <c r="C18075" s="374"/>
      <c r="CV18075" s="376"/>
    </row>
    <row r="18076" spans="1:100">
      <c r="A18076" s="374"/>
      <c r="C18076" s="374"/>
      <c r="CV18076" s="376"/>
    </row>
    <row r="18077" spans="1:100">
      <c r="A18077" s="374"/>
      <c r="C18077" s="374"/>
      <c r="CV18077" s="376"/>
    </row>
    <row r="18078" spans="1:100">
      <c r="A18078" s="374"/>
      <c r="C18078" s="374"/>
      <c r="CV18078" s="376"/>
    </row>
    <row r="18079" spans="1:100">
      <c r="A18079" s="374"/>
      <c r="C18079" s="374"/>
      <c r="CV18079" s="376"/>
    </row>
    <row r="18080" spans="1:100">
      <c r="A18080" s="374"/>
      <c r="C18080" s="374"/>
      <c r="CV18080" s="376"/>
    </row>
    <row r="18081" spans="1:100">
      <c r="A18081" s="374"/>
      <c r="C18081" s="374"/>
      <c r="CV18081" s="376"/>
    </row>
    <row r="18082" spans="1:100">
      <c r="A18082" s="374"/>
      <c r="C18082" s="374"/>
      <c r="CV18082" s="376"/>
    </row>
    <row r="18083" spans="1:100">
      <c r="A18083" s="374"/>
      <c r="C18083" s="374"/>
      <c r="CV18083" s="376"/>
    </row>
    <row r="18084" spans="1:100">
      <c r="A18084" s="374"/>
      <c r="C18084" s="374"/>
      <c r="CV18084" s="376"/>
    </row>
    <row r="18085" spans="1:100">
      <c r="A18085" s="374"/>
      <c r="C18085" s="374"/>
      <c r="CV18085" s="376"/>
    </row>
    <row r="18086" spans="1:100">
      <c r="A18086" s="374"/>
      <c r="C18086" s="374"/>
      <c r="CV18086" s="376"/>
    </row>
    <row r="18087" spans="1:100">
      <c r="A18087" s="374"/>
      <c r="C18087" s="374"/>
      <c r="CV18087" s="376"/>
    </row>
    <row r="18088" spans="1:100">
      <c r="A18088" s="374"/>
      <c r="C18088" s="374"/>
      <c r="CV18088" s="376"/>
    </row>
    <row r="18089" spans="1:100">
      <c r="A18089" s="374"/>
      <c r="C18089" s="374"/>
      <c r="CV18089" s="376"/>
    </row>
    <row r="18090" spans="1:100">
      <c r="A18090" s="374"/>
      <c r="C18090" s="374"/>
      <c r="CV18090" s="376"/>
    </row>
    <row r="18091" spans="1:100">
      <c r="A18091" s="374"/>
      <c r="C18091" s="374"/>
      <c r="CV18091" s="376"/>
    </row>
    <row r="18092" spans="1:100">
      <c r="A18092" s="374"/>
      <c r="C18092" s="374"/>
      <c r="CV18092" s="376"/>
    </row>
    <row r="18093" spans="1:100">
      <c r="A18093" s="374"/>
      <c r="C18093" s="374"/>
      <c r="CV18093" s="376"/>
    </row>
    <row r="18094" spans="1:100">
      <c r="A18094" s="374"/>
      <c r="C18094" s="374"/>
      <c r="CV18094" s="376"/>
    </row>
    <row r="18095" spans="1:100">
      <c r="A18095" s="374"/>
      <c r="C18095" s="374"/>
      <c r="CV18095" s="376"/>
    </row>
    <row r="18096" spans="1:100">
      <c r="A18096" s="374"/>
      <c r="C18096" s="374"/>
      <c r="CV18096" s="376"/>
    </row>
    <row r="18097" spans="1:100">
      <c r="A18097" s="374"/>
      <c r="C18097" s="374"/>
      <c r="CV18097" s="376"/>
    </row>
    <row r="18098" spans="1:100">
      <c r="A18098" s="374"/>
      <c r="C18098" s="374"/>
      <c r="CV18098" s="376"/>
    </row>
    <row r="18099" spans="1:100">
      <c r="A18099" s="374"/>
      <c r="C18099" s="374"/>
      <c r="CV18099" s="376"/>
    </row>
    <row r="18100" spans="1:100">
      <c r="A18100" s="374"/>
      <c r="C18100" s="374"/>
      <c r="CV18100" s="376"/>
    </row>
    <row r="18101" spans="1:100">
      <c r="A18101" s="374"/>
      <c r="C18101" s="374"/>
      <c r="CV18101" s="376"/>
    </row>
    <row r="18102" spans="1:100">
      <c r="A18102" s="374"/>
      <c r="C18102" s="374"/>
      <c r="CV18102" s="376"/>
    </row>
    <row r="18103" spans="1:100">
      <c r="A18103" s="374"/>
      <c r="C18103" s="374"/>
      <c r="CV18103" s="376"/>
    </row>
    <row r="18104" spans="1:100">
      <c r="A18104" s="374"/>
      <c r="C18104" s="374"/>
      <c r="CV18104" s="376"/>
    </row>
    <row r="18105" spans="1:100">
      <c r="A18105" s="374"/>
      <c r="C18105" s="374"/>
      <c r="CV18105" s="376"/>
    </row>
    <row r="18106" spans="1:100">
      <c r="A18106" s="374"/>
      <c r="C18106" s="374"/>
      <c r="CV18106" s="376"/>
    </row>
    <row r="18107" spans="1:100">
      <c r="A18107" s="374"/>
      <c r="C18107" s="374"/>
      <c r="CV18107" s="376"/>
    </row>
    <row r="18108" spans="1:100">
      <c r="A18108" s="374"/>
      <c r="C18108" s="374"/>
      <c r="CV18108" s="376"/>
    </row>
    <row r="18109" spans="1:100">
      <c r="A18109" s="374"/>
      <c r="C18109" s="374"/>
      <c r="CV18109" s="376"/>
    </row>
    <row r="18110" spans="1:100">
      <c r="A18110" s="374"/>
      <c r="C18110" s="374"/>
      <c r="CV18110" s="376"/>
    </row>
    <row r="18111" spans="1:100">
      <c r="A18111" s="374"/>
      <c r="C18111" s="374"/>
      <c r="CV18111" s="376"/>
    </row>
    <row r="18112" spans="1:100">
      <c r="A18112" s="374"/>
      <c r="C18112" s="374"/>
      <c r="CV18112" s="376"/>
    </row>
    <row r="18113" spans="1:100">
      <c r="A18113" s="374"/>
      <c r="C18113" s="374"/>
      <c r="CV18113" s="376"/>
    </row>
    <row r="18114" spans="1:100">
      <c r="A18114" s="374"/>
      <c r="C18114" s="374"/>
      <c r="CV18114" s="376"/>
    </row>
    <row r="18115" spans="1:100">
      <c r="A18115" s="374"/>
      <c r="C18115" s="374"/>
      <c r="CV18115" s="376"/>
    </row>
    <row r="18116" spans="1:100">
      <c r="A18116" s="374"/>
      <c r="C18116" s="374"/>
      <c r="CV18116" s="376"/>
    </row>
    <row r="18117" spans="1:100">
      <c r="A18117" s="374"/>
      <c r="C18117" s="374"/>
      <c r="CV18117" s="376"/>
    </row>
    <row r="18118" spans="1:100">
      <c r="A18118" s="374"/>
      <c r="C18118" s="374"/>
      <c r="CV18118" s="376"/>
    </row>
    <row r="18119" spans="1:100">
      <c r="A18119" s="374"/>
      <c r="C18119" s="374"/>
      <c r="CV18119" s="376"/>
    </row>
    <row r="18120" spans="1:100">
      <c r="A18120" s="374"/>
      <c r="C18120" s="374"/>
      <c r="CV18120" s="376"/>
    </row>
    <row r="18121" spans="1:100">
      <c r="A18121" s="374"/>
      <c r="C18121" s="374"/>
      <c r="CV18121" s="376"/>
    </row>
    <row r="18122" spans="1:100">
      <c r="A18122" s="374"/>
      <c r="C18122" s="374"/>
      <c r="CV18122" s="376"/>
    </row>
    <row r="18123" spans="1:100">
      <c r="A18123" s="374"/>
      <c r="C18123" s="374"/>
      <c r="CV18123" s="376"/>
    </row>
    <row r="18124" spans="1:100">
      <c r="A18124" s="374"/>
      <c r="C18124" s="374"/>
      <c r="CV18124" s="376"/>
    </row>
    <row r="18125" spans="1:100">
      <c r="A18125" s="374"/>
      <c r="C18125" s="374"/>
      <c r="CV18125" s="376"/>
    </row>
    <row r="18126" spans="1:100">
      <c r="A18126" s="374"/>
      <c r="C18126" s="374"/>
      <c r="CV18126" s="376"/>
    </row>
    <row r="18127" spans="1:100">
      <c r="A18127" s="374"/>
      <c r="C18127" s="374"/>
      <c r="CV18127" s="376"/>
    </row>
    <row r="18128" spans="1:100">
      <c r="A18128" s="374"/>
      <c r="C18128" s="374"/>
      <c r="CV18128" s="376"/>
    </row>
    <row r="18129" spans="1:100">
      <c r="A18129" s="374"/>
      <c r="C18129" s="374"/>
      <c r="CV18129" s="376"/>
    </row>
    <row r="18130" spans="1:100">
      <c r="A18130" s="374"/>
      <c r="C18130" s="374"/>
      <c r="CV18130" s="376"/>
    </row>
    <row r="18131" spans="1:100">
      <c r="A18131" s="374"/>
      <c r="C18131" s="374"/>
      <c r="CV18131" s="376"/>
    </row>
    <row r="18132" spans="1:100">
      <c r="A18132" s="374"/>
      <c r="C18132" s="374"/>
      <c r="CV18132" s="376"/>
    </row>
    <row r="18133" spans="1:100">
      <c r="A18133" s="374"/>
      <c r="C18133" s="374"/>
      <c r="CV18133" s="376"/>
    </row>
    <row r="18134" spans="1:100">
      <c r="A18134" s="374"/>
      <c r="C18134" s="374"/>
      <c r="CV18134" s="376"/>
    </row>
    <row r="18135" spans="1:100">
      <c r="A18135" s="374"/>
      <c r="C18135" s="374"/>
      <c r="CV18135" s="376"/>
    </row>
    <row r="18136" spans="1:100">
      <c r="A18136" s="374"/>
      <c r="C18136" s="374"/>
      <c r="CV18136" s="376"/>
    </row>
    <row r="18137" spans="1:100">
      <c r="A18137" s="374"/>
      <c r="C18137" s="374"/>
      <c r="CV18137" s="376"/>
    </row>
    <row r="18138" spans="1:100">
      <c r="A18138" s="374"/>
      <c r="C18138" s="374"/>
      <c r="CV18138" s="376"/>
    </row>
    <row r="18139" spans="1:100">
      <c r="A18139" s="374"/>
      <c r="C18139" s="374"/>
      <c r="CV18139" s="376"/>
    </row>
    <row r="18140" spans="1:100">
      <c r="A18140" s="374"/>
      <c r="C18140" s="374"/>
      <c r="CV18140" s="376"/>
    </row>
    <row r="18141" spans="1:100">
      <c r="A18141" s="374"/>
      <c r="C18141" s="374"/>
      <c r="CV18141" s="376"/>
    </row>
    <row r="18142" spans="1:100">
      <c r="A18142" s="374"/>
      <c r="C18142" s="374"/>
      <c r="CV18142" s="376"/>
    </row>
    <row r="18143" spans="1:100">
      <c r="A18143" s="374"/>
      <c r="C18143" s="374"/>
      <c r="CV18143" s="376"/>
    </row>
    <row r="18144" spans="1:100">
      <c r="A18144" s="374"/>
      <c r="C18144" s="374"/>
      <c r="CV18144" s="376"/>
    </row>
    <row r="18145" spans="1:100">
      <c r="A18145" s="374"/>
      <c r="C18145" s="374"/>
      <c r="CV18145" s="376"/>
    </row>
    <row r="18146" spans="1:100">
      <c r="A18146" s="374"/>
      <c r="C18146" s="374"/>
      <c r="CV18146" s="376"/>
    </row>
    <row r="18147" spans="1:100">
      <c r="A18147" s="374"/>
      <c r="C18147" s="374"/>
      <c r="CV18147" s="376"/>
    </row>
    <row r="18148" spans="1:100">
      <c r="A18148" s="374"/>
      <c r="C18148" s="374"/>
      <c r="CV18148" s="376"/>
    </row>
    <row r="18149" spans="1:100">
      <c r="A18149" s="374"/>
      <c r="C18149" s="374"/>
      <c r="CV18149" s="376"/>
    </row>
    <row r="18150" spans="1:100">
      <c r="A18150" s="374"/>
      <c r="C18150" s="374"/>
      <c r="CV18150" s="376"/>
    </row>
    <row r="18151" spans="1:100">
      <c r="A18151" s="374"/>
      <c r="C18151" s="374"/>
      <c r="CV18151" s="376"/>
    </row>
    <row r="18152" spans="1:100">
      <c r="A18152" s="374"/>
      <c r="C18152" s="374"/>
      <c r="CV18152" s="376"/>
    </row>
    <row r="18153" spans="1:100">
      <c r="A18153" s="374"/>
      <c r="C18153" s="374"/>
      <c r="CV18153" s="376"/>
    </row>
    <row r="18154" spans="1:100">
      <c r="A18154" s="374"/>
      <c r="C18154" s="374"/>
      <c r="CV18154" s="376"/>
    </row>
    <row r="18155" spans="1:100">
      <c r="A18155" s="374"/>
      <c r="C18155" s="374"/>
      <c r="CV18155" s="376"/>
    </row>
    <row r="18156" spans="1:100">
      <c r="A18156" s="374"/>
      <c r="C18156" s="374"/>
      <c r="CV18156" s="376"/>
    </row>
    <row r="18157" spans="1:100">
      <c r="A18157" s="374"/>
      <c r="C18157" s="374"/>
      <c r="CV18157" s="376"/>
    </row>
    <row r="18158" spans="1:100">
      <c r="A18158" s="374"/>
      <c r="C18158" s="374"/>
      <c r="CV18158" s="376"/>
    </row>
    <row r="18159" spans="1:100">
      <c r="A18159" s="374"/>
      <c r="C18159" s="374"/>
      <c r="CV18159" s="376"/>
    </row>
    <row r="18160" spans="1:100">
      <c r="A18160" s="374"/>
      <c r="C18160" s="374"/>
      <c r="CV18160" s="376"/>
    </row>
    <row r="18161" spans="1:100">
      <c r="A18161" s="374"/>
      <c r="C18161" s="374"/>
      <c r="CV18161" s="376"/>
    </row>
    <row r="18162" spans="1:100">
      <c r="A18162" s="374"/>
      <c r="C18162" s="374"/>
      <c r="CV18162" s="376"/>
    </row>
    <row r="18163" spans="1:100">
      <c r="A18163" s="374"/>
      <c r="C18163" s="374"/>
      <c r="CV18163" s="376"/>
    </row>
    <row r="18164" spans="1:100">
      <c r="A18164" s="374"/>
      <c r="C18164" s="374"/>
      <c r="CV18164" s="376"/>
    </row>
    <row r="18165" spans="1:100">
      <c r="A18165" s="374"/>
      <c r="C18165" s="374"/>
      <c r="CV18165" s="376"/>
    </row>
    <row r="18166" spans="1:100">
      <c r="A18166" s="374"/>
      <c r="C18166" s="374"/>
      <c r="CV18166" s="376"/>
    </row>
    <row r="18167" spans="1:100">
      <c r="A18167" s="374"/>
      <c r="C18167" s="374"/>
      <c r="CV18167" s="376"/>
    </row>
    <row r="18168" spans="1:100">
      <c r="A18168" s="374"/>
      <c r="C18168" s="374"/>
      <c r="CV18168" s="376"/>
    </row>
    <row r="18169" spans="1:100">
      <c r="A18169" s="374"/>
      <c r="C18169" s="374"/>
      <c r="CV18169" s="376"/>
    </row>
    <row r="18170" spans="1:100">
      <c r="A18170" s="374"/>
      <c r="C18170" s="374"/>
      <c r="CV18170" s="376"/>
    </row>
    <row r="18171" spans="1:100">
      <c r="A18171" s="374"/>
      <c r="C18171" s="374"/>
      <c r="CV18171" s="376"/>
    </row>
    <row r="18172" spans="1:100">
      <c r="A18172" s="374"/>
      <c r="C18172" s="374"/>
      <c r="CV18172" s="376"/>
    </row>
    <row r="18173" spans="1:100">
      <c r="A18173" s="374"/>
      <c r="C18173" s="374"/>
      <c r="CV18173" s="376"/>
    </row>
    <row r="18174" spans="1:100">
      <c r="A18174" s="374"/>
      <c r="C18174" s="374"/>
      <c r="CV18174" s="376"/>
    </row>
    <row r="18175" spans="1:100">
      <c r="A18175" s="374"/>
      <c r="C18175" s="374"/>
      <c r="CV18175" s="376"/>
    </row>
    <row r="18176" spans="1:100">
      <c r="A18176" s="374"/>
      <c r="C18176" s="374"/>
      <c r="CV18176" s="376"/>
    </row>
    <row r="18177" spans="1:100">
      <c r="A18177" s="374"/>
      <c r="C18177" s="374"/>
      <c r="CV18177" s="376"/>
    </row>
    <row r="18178" spans="1:100">
      <c r="A18178" s="374"/>
      <c r="C18178" s="374"/>
      <c r="CV18178" s="376"/>
    </row>
    <row r="18179" spans="1:100">
      <c r="A18179" s="374"/>
      <c r="C18179" s="374"/>
      <c r="CV18179" s="376"/>
    </row>
    <row r="18180" spans="1:100">
      <c r="A18180" s="374"/>
      <c r="C18180" s="374"/>
      <c r="CV18180" s="376"/>
    </row>
    <row r="18181" spans="1:100">
      <c r="A18181" s="374"/>
      <c r="C18181" s="374"/>
      <c r="CV18181" s="376"/>
    </row>
    <row r="18182" spans="1:100">
      <c r="A18182" s="374"/>
      <c r="C18182" s="374"/>
      <c r="CV18182" s="376"/>
    </row>
    <row r="18183" spans="1:100">
      <c r="A18183" s="374"/>
      <c r="C18183" s="374"/>
      <c r="CV18183" s="376"/>
    </row>
    <row r="18184" spans="1:100">
      <c r="A18184" s="374"/>
      <c r="C18184" s="374"/>
      <c r="CV18184" s="376"/>
    </row>
    <row r="18185" spans="1:100">
      <c r="A18185" s="374"/>
      <c r="C18185" s="374"/>
      <c r="CV18185" s="376"/>
    </row>
    <row r="18186" spans="1:100">
      <c r="A18186" s="374"/>
      <c r="C18186" s="374"/>
      <c r="CV18186" s="376"/>
    </row>
    <row r="18187" spans="1:100">
      <c r="A18187" s="374"/>
      <c r="C18187" s="374"/>
      <c r="CV18187" s="376"/>
    </row>
    <row r="18188" spans="1:100">
      <c r="A18188" s="374"/>
      <c r="C18188" s="374"/>
      <c r="CV18188" s="376"/>
    </row>
    <row r="18189" spans="1:100">
      <c r="A18189" s="374"/>
      <c r="C18189" s="374"/>
      <c r="CV18189" s="376"/>
    </row>
    <row r="18190" spans="1:100">
      <c r="A18190" s="374"/>
      <c r="C18190" s="374"/>
      <c r="CV18190" s="376"/>
    </row>
    <row r="18191" spans="1:100">
      <c r="A18191" s="374"/>
      <c r="C18191" s="374"/>
      <c r="CV18191" s="376"/>
    </row>
    <row r="18192" spans="1:100">
      <c r="A18192" s="374"/>
      <c r="C18192" s="374"/>
      <c r="CV18192" s="376"/>
    </row>
    <row r="18193" spans="1:100">
      <c r="A18193" s="374"/>
      <c r="C18193" s="374"/>
      <c r="CV18193" s="376"/>
    </row>
    <row r="18194" spans="1:100">
      <c r="A18194" s="374"/>
      <c r="C18194" s="374"/>
      <c r="CV18194" s="376"/>
    </row>
    <row r="18195" spans="1:100">
      <c r="A18195" s="374"/>
      <c r="C18195" s="374"/>
      <c r="CV18195" s="376"/>
    </row>
    <row r="18196" spans="1:100">
      <c r="A18196" s="374"/>
      <c r="C18196" s="374"/>
      <c r="CV18196" s="376"/>
    </row>
    <row r="18197" spans="1:100">
      <c r="A18197" s="374"/>
      <c r="C18197" s="374"/>
      <c r="CV18197" s="376"/>
    </row>
    <row r="18198" spans="1:100">
      <c r="A18198" s="374"/>
      <c r="C18198" s="374"/>
      <c r="CV18198" s="376"/>
    </row>
    <row r="18199" spans="1:100">
      <c r="A18199" s="374"/>
      <c r="C18199" s="374"/>
      <c r="CV18199" s="376"/>
    </row>
    <row r="18200" spans="1:100">
      <c r="A18200" s="374"/>
      <c r="C18200" s="374"/>
      <c r="CV18200" s="376"/>
    </row>
    <row r="18201" spans="1:100">
      <c r="A18201" s="374"/>
      <c r="C18201" s="374"/>
      <c r="CV18201" s="376"/>
    </row>
    <row r="18202" spans="1:100">
      <c r="A18202" s="374"/>
      <c r="C18202" s="374"/>
      <c r="CV18202" s="376"/>
    </row>
    <row r="18203" spans="1:100">
      <c r="A18203" s="374"/>
      <c r="C18203" s="374"/>
      <c r="CV18203" s="376"/>
    </row>
    <row r="18204" spans="1:100">
      <c r="A18204" s="374"/>
      <c r="C18204" s="374"/>
      <c r="CV18204" s="376"/>
    </row>
    <row r="18205" spans="1:100">
      <c r="A18205" s="374"/>
      <c r="C18205" s="374"/>
      <c r="CV18205" s="376"/>
    </row>
    <row r="18206" spans="1:100">
      <c r="A18206" s="374"/>
      <c r="C18206" s="374"/>
      <c r="CV18206" s="376"/>
    </row>
    <row r="18207" spans="1:100">
      <c r="A18207" s="374"/>
      <c r="C18207" s="374"/>
      <c r="CV18207" s="376"/>
    </row>
    <row r="18208" spans="1:100">
      <c r="A18208" s="374"/>
      <c r="C18208" s="374"/>
      <c r="CV18208" s="376"/>
    </row>
    <row r="18209" spans="1:100">
      <c r="A18209" s="374"/>
      <c r="C18209" s="374"/>
      <c r="CV18209" s="376"/>
    </row>
    <row r="18210" spans="1:100">
      <c r="A18210" s="374"/>
      <c r="C18210" s="374"/>
      <c r="CV18210" s="376"/>
    </row>
    <row r="18211" spans="1:100">
      <c r="A18211" s="374"/>
      <c r="C18211" s="374"/>
      <c r="CV18211" s="376"/>
    </row>
    <row r="18212" spans="1:100">
      <c r="A18212" s="374"/>
      <c r="C18212" s="374"/>
      <c r="CV18212" s="376"/>
    </row>
    <row r="18213" spans="1:100">
      <c r="A18213" s="374"/>
      <c r="C18213" s="374"/>
      <c r="CV18213" s="376"/>
    </row>
    <row r="18214" spans="1:100">
      <c r="A18214" s="374"/>
      <c r="C18214" s="374"/>
      <c r="CV18214" s="376"/>
    </row>
    <row r="18215" spans="1:100">
      <c r="A18215" s="374"/>
      <c r="C18215" s="374"/>
      <c r="CV18215" s="376"/>
    </row>
    <row r="18216" spans="1:100">
      <c r="A18216" s="374"/>
      <c r="C18216" s="374"/>
      <c r="CV18216" s="376"/>
    </row>
    <row r="18217" spans="1:100">
      <c r="A18217" s="374"/>
      <c r="C18217" s="374"/>
      <c r="CV18217" s="376"/>
    </row>
    <row r="18218" spans="1:100">
      <c r="A18218" s="374"/>
      <c r="C18218" s="374"/>
      <c r="CV18218" s="376"/>
    </row>
    <row r="18219" spans="1:100">
      <c r="A18219" s="374"/>
      <c r="C18219" s="374"/>
      <c r="CV18219" s="376"/>
    </row>
    <row r="18220" spans="1:100">
      <c r="A18220" s="374"/>
      <c r="C18220" s="374"/>
      <c r="CV18220" s="376"/>
    </row>
    <row r="18221" spans="1:100">
      <c r="A18221" s="374"/>
      <c r="C18221" s="374"/>
      <c r="CV18221" s="376"/>
    </row>
    <row r="18222" spans="1:100">
      <c r="A18222" s="374"/>
      <c r="C18222" s="374"/>
      <c r="CV18222" s="376"/>
    </row>
    <row r="18223" spans="1:100">
      <c r="A18223" s="374"/>
      <c r="C18223" s="374"/>
      <c r="CV18223" s="376"/>
    </row>
    <row r="18224" spans="1:100">
      <c r="A18224" s="374"/>
      <c r="C18224" s="374"/>
      <c r="CV18224" s="376"/>
    </row>
    <row r="18225" spans="1:100">
      <c r="A18225" s="374"/>
      <c r="C18225" s="374"/>
      <c r="CV18225" s="376"/>
    </row>
    <row r="18226" spans="1:100">
      <c r="A18226" s="374"/>
      <c r="C18226" s="374"/>
      <c r="CV18226" s="376"/>
    </row>
    <row r="18227" spans="1:100">
      <c r="A18227" s="374"/>
      <c r="C18227" s="374"/>
      <c r="CV18227" s="376"/>
    </row>
    <row r="18228" spans="1:100">
      <c r="A18228" s="374"/>
      <c r="C18228" s="374"/>
      <c r="CV18228" s="376"/>
    </row>
    <row r="18229" spans="1:100">
      <c r="A18229" s="374"/>
      <c r="C18229" s="374"/>
      <c r="CV18229" s="376"/>
    </row>
    <row r="18230" spans="1:100">
      <c r="A18230" s="374"/>
      <c r="C18230" s="374"/>
      <c r="CV18230" s="376"/>
    </row>
    <row r="18231" spans="1:100">
      <c r="A18231" s="374"/>
      <c r="C18231" s="374"/>
      <c r="CV18231" s="376"/>
    </row>
    <row r="18232" spans="1:100">
      <c r="A18232" s="374"/>
      <c r="C18232" s="374"/>
      <c r="CV18232" s="376"/>
    </row>
    <row r="18233" spans="1:100">
      <c r="A18233" s="374"/>
      <c r="C18233" s="374"/>
      <c r="CV18233" s="376"/>
    </row>
    <row r="18234" spans="1:100">
      <c r="A18234" s="374"/>
      <c r="C18234" s="374"/>
      <c r="CV18234" s="376"/>
    </row>
    <row r="18235" spans="1:100">
      <c r="A18235" s="374"/>
      <c r="C18235" s="374"/>
      <c r="CV18235" s="376"/>
    </row>
    <row r="18236" spans="1:100">
      <c r="A18236" s="374"/>
      <c r="C18236" s="374"/>
      <c r="CV18236" s="376"/>
    </row>
    <row r="18237" spans="1:100">
      <c r="A18237" s="374"/>
      <c r="C18237" s="374"/>
      <c r="CV18237" s="376"/>
    </row>
    <row r="18238" spans="1:100">
      <c r="A18238" s="374"/>
      <c r="C18238" s="374"/>
      <c r="CV18238" s="376"/>
    </row>
    <row r="18239" spans="1:100">
      <c r="A18239" s="374"/>
      <c r="C18239" s="374"/>
      <c r="CV18239" s="376"/>
    </row>
    <row r="18240" spans="1:100">
      <c r="A18240" s="374"/>
      <c r="C18240" s="374"/>
      <c r="CV18240" s="376"/>
    </row>
    <row r="18241" spans="1:100">
      <c r="A18241" s="374"/>
      <c r="C18241" s="374"/>
      <c r="CV18241" s="376"/>
    </row>
    <row r="18242" spans="1:100">
      <c r="A18242" s="374"/>
      <c r="C18242" s="374"/>
      <c r="CV18242" s="376"/>
    </row>
    <row r="18243" spans="1:100">
      <c r="A18243" s="374"/>
      <c r="C18243" s="374"/>
      <c r="CV18243" s="376"/>
    </row>
    <row r="18244" spans="1:100">
      <c r="A18244" s="374"/>
      <c r="C18244" s="374"/>
      <c r="CV18244" s="376"/>
    </row>
    <row r="18245" spans="1:100">
      <c r="A18245" s="374"/>
      <c r="C18245" s="374"/>
      <c r="CV18245" s="376"/>
    </row>
    <row r="18246" spans="1:100">
      <c r="A18246" s="374"/>
      <c r="C18246" s="374"/>
      <c r="CV18246" s="376"/>
    </row>
    <row r="18247" spans="1:100">
      <c r="A18247" s="374"/>
      <c r="C18247" s="374"/>
      <c r="CV18247" s="376"/>
    </row>
    <row r="18248" spans="1:100">
      <c r="A18248" s="374"/>
      <c r="C18248" s="374"/>
      <c r="CV18248" s="376"/>
    </row>
    <row r="18249" spans="1:100">
      <c r="A18249" s="374"/>
      <c r="C18249" s="374"/>
      <c r="CV18249" s="376"/>
    </row>
    <row r="18250" spans="1:100">
      <c r="A18250" s="374"/>
      <c r="C18250" s="374"/>
      <c r="CV18250" s="376"/>
    </row>
    <row r="18251" spans="1:100">
      <c r="A18251" s="374"/>
      <c r="C18251" s="374"/>
      <c r="CV18251" s="376"/>
    </row>
    <row r="18252" spans="1:100">
      <c r="A18252" s="374"/>
      <c r="C18252" s="374"/>
      <c r="CV18252" s="376"/>
    </row>
    <row r="18253" spans="1:100">
      <c r="A18253" s="374"/>
      <c r="C18253" s="374"/>
      <c r="CV18253" s="376"/>
    </row>
    <row r="18254" spans="1:100">
      <c r="A18254" s="374"/>
      <c r="C18254" s="374"/>
      <c r="CV18254" s="376"/>
    </row>
    <row r="18255" spans="1:100">
      <c r="A18255" s="374"/>
      <c r="C18255" s="374"/>
      <c r="CV18255" s="376"/>
    </row>
    <row r="18256" spans="1:100">
      <c r="A18256" s="374"/>
      <c r="C18256" s="374"/>
      <c r="CV18256" s="376"/>
    </row>
    <row r="18257" spans="1:100">
      <c r="A18257" s="374"/>
      <c r="C18257" s="374"/>
      <c r="CV18257" s="376"/>
    </row>
    <row r="18258" spans="1:100">
      <c r="A18258" s="374"/>
      <c r="C18258" s="374"/>
      <c r="CV18258" s="376"/>
    </row>
    <row r="18259" spans="1:100">
      <c r="A18259" s="374"/>
      <c r="C18259" s="374"/>
      <c r="CV18259" s="376"/>
    </row>
    <row r="18260" spans="1:100">
      <c r="A18260" s="374"/>
      <c r="C18260" s="374"/>
      <c r="CV18260" s="376"/>
    </row>
    <row r="18261" spans="1:100">
      <c r="A18261" s="374"/>
      <c r="C18261" s="374"/>
      <c r="CV18261" s="376"/>
    </row>
    <row r="18262" spans="1:100">
      <c r="A18262" s="374"/>
      <c r="C18262" s="374"/>
      <c r="CV18262" s="376"/>
    </row>
    <row r="18263" spans="1:100">
      <c r="A18263" s="374"/>
      <c r="C18263" s="374"/>
      <c r="CV18263" s="376"/>
    </row>
    <row r="18264" spans="1:100">
      <c r="A18264" s="374"/>
      <c r="C18264" s="374"/>
      <c r="CV18264" s="376"/>
    </row>
    <row r="18265" spans="1:100">
      <c r="A18265" s="374"/>
      <c r="C18265" s="374"/>
      <c r="CV18265" s="376"/>
    </row>
    <row r="18266" spans="1:100">
      <c r="A18266" s="374"/>
      <c r="C18266" s="374"/>
      <c r="CV18266" s="376"/>
    </row>
    <row r="18267" spans="1:100">
      <c r="A18267" s="374"/>
      <c r="C18267" s="374"/>
      <c r="CV18267" s="376"/>
    </row>
    <row r="18268" spans="1:100">
      <c r="A18268" s="374"/>
      <c r="C18268" s="374"/>
      <c r="CV18268" s="376"/>
    </row>
    <row r="18269" spans="1:100">
      <c r="A18269" s="374"/>
      <c r="C18269" s="374"/>
      <c r="CV18269" s="376"/>
    </row>
    <row r="18270" spans="1:100">
      <c r="A18270" s="374"/>
      <c r="C18270" s="374"/>
      <c r="CV18270" s="376"/>
    </row>
    <row r="18271" spans="1:100">
      <c r="A18271" s="374"/>
      <c r="C18271" s="374"/>
      <c r="CV18271" s="376"/>
    </row>
    <row r="18272" spans="1:100">
      <c r="A18272" s="374"/>
      <c r="C18272" s="374"/>
      <c r="CV18272" s="376"/>
    </row>
    <row r="18273" spans="1:100">
      <c r="A18273" s="374"/>
      <c r="C18273" s="374"/>
      <c r="CV18273" s="376"/>
    </row>
    <row r="18274" spans="1:100">
      <c r="A18274" s="374"/>
      <c r="C18274" s="374"/>
      <c r="CV18274" s="376"/>
    </row>
    <row r="18275" spans="1:100">
      <c r="A18275" s="374"/>
      <c r="C18275" s="374"/>
      <c r="CV18275" s="376"/>
    </row>
    <row r="18276" spans="1:100">
      <c r="A18276" s="374"/>
      <c r="C18276" s="374"/>
      <c r="CV18276" s="376"/>
    </row>
    <row r="18277" spans="1:100">
      <c r="A18277" s="374"/>
      <c r="C18277" s="374"/>
      <c r="CV18277" s="376"/>
    </row>
    <row r="18278" spans="1:100">
      <c r="A18278" s="374"/>
      <c r="C18278" s="374"/>
      <c r="CV18278" s="376"/>
    </row>
    <row r="18279" spans="1:100">
      <c r="A18279" s="374"/>
      <c r="C18279" s="374"/>
      <c r="CV18279" s="376"/>
    </row>
    <row r="18280" spans="1:100">
      <c r="A18280" s="374"/>
      <c r="C18280" s="374"/>
      <c r="CV18280" s="376"/>
    </row>
    <row r="18281" spans="1:100">
      <c r="A18281" s="374"/>
      <c r="C18281" s="374"/>
      <c r="CV18281" s="376"/>
    </row>
    <row r="18282" spans="1:100">
      <c r="A18282" s="374"/>
      <c r="C18282" s="374"/>
      <c r="CV18282" s="376"/>
    </row>
    <row r="18283" spans="1:100">
      <c r="A18283" s="374"/>
      <c r="C18283" s="374"/>
      <c r="CV18283" s="376"/>
    </row>
    <row r="18284" spans="1:100">
      <c r="A18284" s="374"/>
      <c r="C18284" s="374"/>
      <c r="CV18284" s="376"/>
    </row>
    <row r="18285" spans="1:100">
      <c r="A18285" s="374"/>
      <c r="C18285" s="374"/>
      <c r="CV18285" s="376"/>
    </row>
    <row r="18286" spans="1:100">
      <c r="A18286" s="374"/>
      <c r="C18286" s="374"/>
      <c r="CV18286" s="376"/>
    </row>
    <row r="18287" spans="1:100">
      <c r="A18287" s="374"/>
      <c r="C18287" s="374"/>
      <c r="CV18287" s="376"/>
    </row>
    <row r="18288" spans="1:100">
      <c r="A18288" s="374"/>
      <c r="C18288" s="374"/>
      <c r="CV18288" s="376"/>
    </row>
    <row r="18289" spans="1:100">
      <c r="A18289" s="374"/>
      <c r="C18289" s="374"/>
      <c r="CV18289" s="376"/>
    </row>
    <row r="18290" spans="1:100">
      <c r="A18290" s="374"/>
      <c r="C18290" s="374"/>
      <c r="CV18290" s="376"/>
    </row>
    <row r="18291" spans="1:100">
      <c r="A18291" s="374"/>
      <c r="C18291" s="374"/>
      <c r="CV18291" s="376"/>
    </row>
    <row r="18292" spans="1:100">
      <c r="A18292" s="374"/>
      <c r="C18292" s="374"/>
      <c r="CV18292" s="376"/>
    </row>
    <row r="18293" spans="1:100">
      <c r="A18293" s="374"/>
      <c r="C18293" s="374"/>
      <c r="CV18293" s="376"/>
    </row>
    <row r="18294" spans="1:100">
      <c r="A18294" s="374"/>
      <c r="C18294" s="374"/>
      <c r="CV18294" s="376"/>
    </row>
    <row r="18295" spans="1:100">
      <c r="A18295" s="374"/>
      <c r="C18295" s="374"/>
      <c r="CV18295" s="376"/>
    </row>
    <row r="18296" spans="1:100">
      <c r="A18296" s="374"/>
      <c r="C18296" s="374"/>
      <c r="CV18296" s="376"/>
    </row>
    <row r="18297" spans="1:100">
      <c r="A18297" s="374"/>
      <c r="C18297" s="374"/>
      <c r="CV18297" s="376"/>
    </row>
    <row r="18298" spans="1:100">
      <c r="A18298" s="374"/>
      <c r="C18298" s="374"/>
      <c r="CV18298" s="376"/>
    </row>
    <row r="18299" spans="1:100">
      <c r="A18299" s="374"/>
      <c r="C18299" s="374"/>
      <c r="CV18299" s="376"/>
    </row>
    <row r="18300" spans="1:100">
      <c r="A18300" s="374"/>
      <c r="C18300" s="374"/>
      <c r="CV18300" s="376"/>
    </row>
    <row r="18301" spans="1:100">
      <c r="A18301" s="374"/>
      <c r="C18301" s="374"/>
      <c r="CV18301" s="376"/>
    </row>
    <row r="18302" spans="1:100">
      <c r="A18302" s="374"/>
      <c r="C18302" s="374"/>
      <c r="CV18302" s="376"/>
    </row>
    <row r="18303" spans="1:100">
      <c r="A18303" s="374"/>
      <c r="C18303" s="374"/>
      <c r="CV18303" s="376"/>
    </row>
    <row r="18304" spans="1:100">
      <c r="A18304" s="374"/>
      <c r="C18304" s="374"/>
      <c r="CV18304" s="376"/>
    </row>
    <row r="18305" spans="1:100">
      <c r="A18305" s="374"/>
      <c r="C18305" s="374"/>
      <c r="CV18305" s="376"/>
    </row>
    <row r="18306" spans="1:100">
      <c r="A18306" s="374"/>
      <c r="C18306" s="374"/>
      <c r="CV18306" s="376"/>
    </row>
    <row r="18307" spans="1:100">
      <c r="A18307" s="374"/>
      <c r="C18307" s="374"/>
      <c r="CV18307" s="376"/>
    </row>
    <row r="18308" spans="1:100">
      <c r="A18308" s="374"/>
      <c r="C18308" s="374"/>
      <c r="CV18308" s="376"/>
    </row>
    <row r="18309" spans="1:100">
      <c r="A18309" s="374"/>
      <c r="C18309" s="374"/>
      <c r="CV18309" s="376"/>
    </row>
    <row r="18310" spans="1:100">
      <c r="A18310" s="374"/>
      <c r="C18310" s="374"/>
      <c r="CV18310" s="376"/>
    </row>
    <row r="18311" spans="1:100">
      <c r="A18311" s="374"/>
      <c r="C18311" s="374"/>
      <c r="CV18311" s="376"/>
    </row>
    <row r="18312" spans="1:100">
      <c r="A18312" s="374"/>
      <c r="C18312" s="374"/>
      <c r="CV18312" s="376"/>
    </row>
    <row r="18313" spans="1:100">
      <c r="A18313" s="374"/>
      <c r="C18313" s="374"/>
      <c r="CV18313" s="376"/>
    </row>
    <row r="18314" spans="1:100">
      <c r="A18314" s="374"/>
      <c r="C18314" s="374"/>
      <c r="CV18314" s="376"/>
    </row>
    <row r="18315" spans="1:100">
      <c r="A18315" s="374"/>
      <c r="C18315" s="374"/>
      <c r="CV18315" s="376"/>
    </row>
    <row r="18316" spans="1:100">
      <c r="A18316" s="374"/>
      <c r="C18316" s="374"/>
      <c r="CV18316" s="376"/>
    </row>
    <row r="18317" spans="1:100">
      <c r="A18317" s="374"/>
      <c r="C18317" s="374"/>
      <c r="CV18317" s="376"/>
    </row>
    <row r="18318" spans="1:100">
      <c r="A18318" s="374"/>
      <c r="C18318" s="374"/>
      <c r="CV18318" s="376"/>
    </row>
    <row r="18319" spans="1:100">
      <c r="A18319" s="374"/>
      <c r="C18319" s="374"/>
      <c r="CV18319" s="376"/>
    </row>
    <row r="18320" spans="1:100">
      <c r="A18320" s="374"/>
      <c r="C18320" s="374"/>
      <c r="CV18320" s="376"/>
    </row>
    <row r="18321" spans="1:100">
      <c r="A18321" s="374"/>
      <c r="C18321" s="374"/>
      <c r="CV18321" s="376"/>
    </row>
    <row r="18322" spans="1:100">
      <c r="A18322" s="374"/>
      <c r="C18322" s="374"/>
      <c r="CV18322" s="376"/>
    </row>
    <row r="18323" spans="1:100">
      <c r="A18323" s="374"/>
      <c r="C18323" s="374"/>
      <c r="CV18323" s="376"/>
    </row>
    <row r="18324" spans="1:100">
      <c r="A18324" s="374"/>
      <c r="C18324" s="374"/>
      <c r="CV18324" s="376"/>
    </row>
    <row r="18325" spans="1:100">
      <c r="A18325" s="374"/>
      <c r="C18325" s="374"/>
      <c r="CV18325" s="376"/>
    </row>
    <row r="18326" spans="1:100">
      <c r="A18326" s="374"/>
      <c r="C18326" s="374"/>
      <c r="CV18326" s="376"/>
    </row>
    <row r="18327" spans="1:100">
      <c r="A18327" s="374"/>
      <c r="C18327" s="374"/>
      <c r="CV18327" s="376"/>
    </row>
    <row r="18328" spans="1:100">
      <c r="A18328" s="374"/>
      <c r="C18328" s="374"/>
      <c r="CV18328" s="376"/>
    </row>
    <row r="18329" spans="1:100">
      <c r="A18329" s="374"/>
      <c r="C18329" s="374"/>
      <c r="CV18329" s="376"/>
    </row>
    <row r="18330" spans="1:100">
      <c r="A18330" s="374"/>
      <c r="C18330" s="374"/>
      <c r="CV18330" s="376"/>
    </row>
    <row r="18331" spans="1:100">
      <c r="A18331" s="374"/>
      <c r="C18331" s="374"/>
      <c r="CV18331" s="376"/>
    </row>
    <row r="18332" spans="1:100">
      <c r="A18332" s="374"/>
      <c r="C18332" s="374"/>
      <c r="CV18332" s="376"/>
    </row>
    <row r="18333" spans="1:100">
      <c r="A18333" s="374"/>
      <c r="C18333" s="374"/>
      <c r="CV18333" s="376"/>
    </row>
    <row r="18334" spans="1:100">
      <c r="A18334" s="374"/>
      <c r="C18334" s="374"/>
      <c r="CV18334" s="376"/>
    </row>
    <row r="18335" spans="1:100">
      <c r="A18335" s="374"/>
      <c r="C18335" s="374"/>
      <c r="CV18335" s="376"/>
    </row>
    <row r="18336" spans="1:100">
      <c r="A18336" s="374"/>
      <c r="C18336" s="374"/>
      <c r="CV18336" s="376"/>
    </row>
    <row r="18337" spans="1:100">
      <c r="A18337" s="374"/>
      <c r="C18337" s="374"/>
      <c r="CV18337" s="376"/>
    </row>
    <row r="18338" spans="1:100">
      <c r="A18338" s="374"/>
      <c r="C18338" s="374"/>
      <c r="CV18338" s="376"/>
    </row>
    <row r="18339" spans="1:100">
      <c r="A18339" s="374"/>
      <c r="C18339" s="374"/>
      <c r="CV18339" s="376"/>
    </row>
    <row r="18340" spans="1:100">
      <c r="A18340" s="374"/>
      <c r="C18340" s="374"/>
      <c r="CV18340" s="376"/>
    </row>
    <row r="18341" spans="1:100">
      <c r="A18341" s="374"/>
      <c r="C18341" s="374"/>
      <c r="CV18341" s="376"/>
    </row>
    <row r="18342" spans="1:100">
      <c r="A18342" s="374"/>
      <c r="C18342" s="374"/>
      <c r="CV18342" s="376"/>
    </row>
    <row r="18343" spans="1:100">
      <c r="A18343" s="374"/>
      <c r="C18343" s="374"/>
      <c r="CV18343" s="376"/>
    </row>
    <row r="18344" spans="1:100">
      <c r="A18344" s="374"/>
      <c r="C18344" s="374"/>
      <c r="CV18344" s="376"/>
    </row>
    <row r="18345" spans="1:100">
      <c r="A18345" s="374"/>
      <c r="C18345" s="374"/>
      <c r="CV18345" s="376"/>
    </row>
    <row r="18346" spans="1:100">
      <c r="A18346" s="374"/>
      <c r="C18346" s="374"/>
      <c r="CV18346" s="376"/>
    </row>
    <row r="18347" spans="1:100">
      <c r="A18347" s="374"/>
      <c r="C18347" s="374"/>
      <c r="CV18347" s="376"/>
    </row>
    <row r="18348" spans="1:100">
      <c r="A18348" s="374"/>
      <c r="C18348" s="374"/>
      <c r="CV18348" s="376"/>
    </row>
    <row r="18349" spans="1:100">
      <c r="A18349" s="374"/>
      <c r="C18349" s="374"/>
      <c r="CV18349" s="376"/>
    </row>
    <row r="18350" spans="1:100">
      <c r="A18350" s="374"/>
      <c r="C18350" s="374"/>
      <c r="CV18350" s="376"/>
    </row>
    <row r="18351" spans="1:100">
      <c r="A18351" s="374"/>
      <c r="C18351" s="374"/>
      <c r="CV18351" s="376"/>
    </row>
    <row r="18352" spans="1:100">
      <c r="A18352" s="374"/>
      <c r="C18352" s="374"/>
      <c r="CV18352" s="376"/>
    </row>
    <row r="18353" spans="1:100">
      <c r="A18353" s="374"/>
      <c r="C18353" s="374"/>
      <c r="CV18353" s="376"/>
    </row>
    <row r="18354" spans="1:100">
      <c r="A18354" s="374"/>
      <c r="C18354" s="374"/>
      <c r="CV18354" s="376"/>
    </row>
    <row r="18355" spans="1:100">
      <c r="A18355" s="374"/>
      <c r="C18355" s="374"/>
      <c r="CV18355" s="376"/>
    </row>
    <row r="18356" spans="1:100">
      <c r="A18356" s="374"/>
      <c r="C18356" s="374"/>
      <c r="CV18356" s="376"/>
    </row>
    <row r="18357" spans="1:100">
      <c r="A18357" s="374"/>
      <c r="C18357" s="374"/>
      <c r="CV18357" s="376"/>
    </row>
    <row r="18358" spans="1:100">
      <c r="A18358" s="374"/>
      <c r="C18358" s="374"/>
      <c r="CV18358" s="376"/>
    </row>
    <row r="18359" spans="1:100">
      <c r="A18359" s="374"/>
      <c r="C18359" s="374"/>
      <c r="CV18359" s="376"/>
    </row>
    <row r="18360" spans="1:100">
      <c r="A18360" s="374"/>
      <c r="C18360" s="374"/>
      <c r="CV18360" s="376"/>
    </row>
    <row r="18361" spans="1:100">
      <c r="A18361" s="374"/>
      <c r="C18361" s="374"/>
      <c r="CV18361" s="376"/>
    </row>
    <row r="18362" spans="1:100">
      <c r="A18362" s="374"/>
      <c r="C18362" s="374"/>
      <c r="CV18362" s="376"/>
    </row>
    <row r="18363" spans="1:100">
      <c r="A18363" s="374"/>
      <c r="C18363" s="374"/>
      <c r="CV18363" s="376"/>
    </row>
    <row r="18364" spans="1:100">
      <c r="A18364" s="374"/>
      <c r="C18364" s="374"/>
      <c r="CV18364" s="376"/>
    </row>
    <row r="18365" spans="1:100">
      <c r="A18365" s="374"/>
      <c r="C18365" s="374"/>
      <c r="CV18365" s="376"/>
    </row>
    <row r="18366" spans="1:100">
      <c r="A18366" s="374"/>
      <c r="C18366" s="374"/>
      <c r="CV18366" s="376"/>
    </row>
    <row r="18367" spans="1:100">
      <c r="A18367" s="374"/>
      <c r="C18367" s="374"/>
      <c r="CV18367" s="376"/>
    </row>
    <row r="18368" spans="1:100">
      <c r="A18368" s="374"/>
      <c r="C18368" s="374"/>
      <c r="CV18368" s="376"/>
    </row>
    <row r="18369" spans="1:100">
      <c r="A18369" s="374"/>
      <c r="C18369" s="374"/>
      <c r="CV18369" s="376"/>
    </row>
    <row r="18370" spans="1:100">
      <c r="A18370" s="374"/>
      <c r="C18370" s="374"/>
      <c r="CV18370" s="376"/>
    </row>
    <row r="18371" spans="1:100">
      <c r="A18371" s="374"/>
      <c r="C18371" s="374"/>
      <c r="CV18371" s="376"/>
    </row>
    <row r="18372" spans="1:100">
      <c r="A18372" s="374"/>
      <c r="C18372" s="374"/>
      <c r="CV18372" s="376"/>
    </row>
    <row r="18373" spans="1:100">
      <c r="A18373" s="374"/>
      <c r="C18373" s="374"/>
      <c r="CV18373" s="376"/>
    </row>
    <row r="18374" spans="1:100">
      <c r="A18374" s="374"/>
      <c r="C18374" s="374"/>
      <c r="CV18374" s="376"/>
    </row>
    <row r="18375" spans="1:100">
      <c r="A18375" s="374"/>
      <c r="C18375" s="374"/>
      <c r="CV18375" s="376"/>
    </row>
    <row r="18376" spans="1:100">
      <c r="A18376" s="374"/>
      <c r="C18376" s="374"/>
      <c r="CV18376" s="376"/>
    </row>
    <row r="18377" spans="1:100">
      <c r="A18377" s="374"/>
      <c r="C18377" s="374"/>
      <c r="CV18377" s="376"/>
    </row>
    <row r="18378" spans="1:100">
      <c r="A18378" s="374"/>
      <c r="C18378" s="374"/>
      <c r="CV18378" s="376"/>
    </row>
    <row r="18379" spans="1:100">
      <c r="A18379" s="374"/>
      <c r="C18379" s="374"/>
      <c r="CV18379" s="376"/>
    </row>
    <row r="18380" spans="1:100">
      <c r="A18380" s="374"/>
      <c r="C18380" s="374"/>
      <c r="CV18380" s="376"/>
    </row>
    <row r="18381" spans="1:100">
      <c r="A18381" s="374"/>
      <c r="C18381" s="374"/>
      <c r="CV18381" s="376"/>
    </row>
    <row r="18382" spans="1:100">
      <c r="A18382" s="374"/>
      <c r="C18382" s="374"/>
      <c r="CV18382" s="376"/>
    </row>
    <row r="18383" spans="1:100">
      <c r="A18383" s="374"/>
      <c r="C18383" s="374"/>
      <c r="CV18383" s="376"/>
    </row>
    <row r="18384" spans="1:100">
      <c r="A18384" s="374"/>
      <c r="C18384" s="374"/>
      <c r="CV18384" s="376"/>
    </row>
    <row r="18385" spans="1:100">
      <c r="A18385" s="374"/>
      <c r="C18385" s="374"/>
      <c r="CV18385" s="376"/>
    </row>
    <row r="18386" spans="1:100">
      <c r="A18386" s="374"/>
      <c r="C18386" s="374"/>
      <c r="CV18386" s="376"/>
    </row>
    <row r="18387" spans="1:100">
      <c r="A18387" s="374"/>
      <c r="C18387" s="374"/>
      <c r="CV18387" s="376"/>
    </row>
    <row r="18388" spans="1:100">
      <c r="A18388" s="374"/>
      <c r="C18388" s="374"/>
      <c r="CV18388" s="376"/>
    </row>
    <row r="18389" spans="1:100">
      <c r="A18389" s="374"/>
      <c r="C18389" s="374"/>
      <c r="CV18389" s="376"/>
    </row>
    <row r="18390" spans="1:100">
      <c r="A18390" s="374"/>
      <c r="C18390" s="374"/>
      <c r="CV18390" s="376"/>
    </row>
    <row r="18391" spans="1:100">
      <c r="A18391" s="374"/>
      <c r="C18391" s="374"/>
      <c r="CV18391" s="376"/>
    </row>
    <row r="18392" spans="1:100">
      <c r="A18392" s="374"/>
      <c r="C18392" s="374"/>
      <c r="CV18392" s="376"/>
    </row>
    <row r="18393" spans="1:100">
      <c r="A18393" s="374"/>
      <c r="C18393" s="374"/>
      <c r="CV18393" s="376"/>
    </row>
    <row r="18394" spans="1:100">
      <c r="A18394" s="374"/>
      <c r="C18394" s="374"/>
      <c r="CV18394" s="376"/>
    </row>
    <row r="18395" spans="1:100">
      <c r="A18395" s="374"/>
      <c r="C18395" s="374"/>
      <c r="CV18395" s="376"/>
    </row>
    <row r="18396" spans="1:100">
      <c r="A18396" s="374"/>
      <c r="C18396" s="374"/>
      <c r="CV18396" s="376"/>
    </row>
    <row r="18397" spans="1:100">
      <c r="A18397" s="374"/>
      <c r="C18397" s="374"/>
      <c r="CV18397" s="376"/>
    </row>
    <row r="18398" spans="1:100">
      <c r="A18398" s="374"/>
      <c r="C18398" s="374"/>
      <c r="CV18398" s="376"/>
    </row>
    <row r="18399" spans="1:100">
      <c r="A18399" s="374"/>
      <c r="C18399" s="374"/>
      <c r="CV18399" s="376"/>
    </row>
    <row r="18400" spans="1:100">
      <c r="A18400" s="374"/>
      <c r="C18400" s="374"/>
      <c r="CV18400" s="376"/>
    </row>
    <row r="18401" spans="1:100">
      <c r="A18401" s="374"/>
      <c r="C18401" s="374"/>
      <c r="CV18401" s="376"/>
    </row>
    <row r="18402" spans="1:100">
      <c r="A18402" s="374"/>
      <c r="C18402" s="374"/>
      <c r="CV18402" s="376"/>
    </row>
    <row r="18403" spans="1:100">
      <c r="A18403" s="374"/>
      <c r="C18403" s="374"/>
      <c r="CV18403" s="376"/>
    </row>
    <row r="18404" spans="1:100">
      <c r="A18404" s="374"/>
      <c r="C18404" s="374"/>
      <c r="CV18404" s="376"/>
    </row>
    <row r="18405" spans="1:100">
      <c r="A18405" s="374"/>
      <c r="C18405" s="374"/>
      <c r="CV18405" s="376"/>
    </row>
    <row r="18406" spans="1:100">
      <c r="A18406" s="374"/>
      <c r="C18406" s="374"/>
      <c r="CV18406" s="376"/>
    </row>
    <row r="18407" spans="1:100">
      <c r="A18407" s="374"/>
      <c r="C18407" s="374"/>
      <c r="CV18407" s="376"/>
    </row>
    <row r="18408" spans="1:100">
      <c r="A18408" s="374"/>
      <c r="C18408" s="374"/>
      <c r="CV18408" s="376"/>
    </row>
    <row r="18409" spans="1:100">
      <c r="A18409" s="374"/>
      <c r="C18409" s="374"/>
      <c r="CV18409" s="376"/>
    </row>
    <row r="18410" spans="1:100">
      <c r="A18410" s="374"/>
      <c r="C18410" s="374"/>
      <c r="CV18410" s="376"/>
    </row>
    <row r="18411" spans="1:100">
      <c r="A18411" s="374"/>
      <c r="C18411" s="374"/>
      <c r="CV18411" s="376"/>
    </row>
    <row r="18412" spans="1:100">
      <c r="A18412" s="374"/>
      <c r="C18412" s="374"/>
      <c r="CV18412" s="376"/>
    </row>
    <row r="18413" spans="1:100">
      <c r="A18413" s="374"/>
      <c r="C18413" s="374"/>
      <c r="CV18413" s="376"/>
    </row>
    <row r="18414" spans="1:100">
      <c r="A18414" s="374"/>
      <c r="C18414" s="374"/>
      <c r="CV18414" s="376"/>
    </row>
    <row r="18415" spans="1:100">
      <c r="A18415" s="374"/>
      <c r="C18415" s="374"/>
      <c r="CV18415" s="376"/>
    </row>
    <row r="18416" spans="1:100">
      <c r="A18416" s="374"/>
      <c r="C18416" s="374"/>
      <c r="CV18416" s="376"/>
    </row>
    <row r="18417" spans="1:100">
      <c r="A18417" s="374"/>
      <c r="C18417" s="374"/>
      <c r="CV18417" s="376"/>
    </row>
    <row r="18418" spans="1:100">
      <c r="A18418" s="374"/>
      <c r="C18418" s="374"/>
      <c r="CV18418" s="376"/>
    </row>
    <row r="18419" spans="1:100">
      <c r="A18419" s="374"/>
      <c r="C18419" s="374"/>
      <c r="CV18419" s="376"/>
    </row>
    <row r="18420" spans="1:100">
      <c r="A18420" s="374"/>
      <c r="C18420" s="374"/>
      <c r="CV18420" s="376"/>
    </row>
    <row r="18421" spans="1:100">
      <c r="A18421" s="374"/>
      <c r="C18421" s="374"/>
      <c r="CV18421" s="376"/>
    </row>
    <row r="18422" spans="1:100">
      <c r="A18422" s="374"/>
      <c r="C18422" s="374"/>
      <c r="CV18422" s="376"/>
    </row>
    <row r="18423" spans="1:100">
      <c r="A18423" s="374"/>
      <c r="C18423" s="374"/>
      <c r="CV18423" s="376"/>
    </row>
    <row r="18424" spans="1:100">
      <c r="A18424" s="374"/>
      <c r="C18424" s="374"/>
      <c r="CV18424" s="376"/>
    </row>
    <row r="18425" spans="1:100">
      <c r="A18425" s="374"/>
      <c r="C18425" s="374"/>
      <c r="CV18425" s="376"/>
    </row>
    <row r="18426" spans="1:100">
      <c r="A18426" s="374"/>
      <c r="C18426" s="374"/>
      <c r="CV18426" s="376"/>
    </row>
    <row r="18427" spans="1:100">
      <c r="A18427" s="374"/>
      <c r="C18427" s="374"/>
      <c r="CV18427" s="376"/>
    </row>
    <row r="18428" spans="1:100">
      <c r="A18428" s="374"/>
      <c r="C18428" s="374"/>
      <c r="CV18428" s="376"/>
    </row>
    <row r="18429" spans="1:100">
      <c r="A18429" s="374"/>
      <c r="C18429" s="374"/>
      <c r="CV18429" s="376"/>
    </row>
    <row r="18430" spans="1:100">
      <c r="A18430" s="374"/>
      <c r="C18430" s="374"/>
      <c r="CV18430" s="376"/>
    </row>
    <row r="18431" spans="1:100">
      <c r="A18431" s="374"/>
      <c r="C18431" s="374"/>
      <c r="CV18431" s="376"/>
    </row>
    <row r="18432" spans="1:100">
      <c r="A18432" s="374"/>
      <c r="C18432" s="374"/>
      <c r="CV18432" s="376"/>
    </row>
    <row r="18433" spans="1:100">
      <c r="A18433" s="374"/>
      <c r="C18433" s="374"/>
      <c r="CV18433" s="376"/>
    </row>
    <row r="18434" spans="1:100">
      <c r="A18434" s="374"/>
      <c r="C18434" s="374"/>
      <c r="CV18434" s="376"/>
    </row>
    <row r="18435" spans="1:100">
      <c r="A18435" s="374"/>
      <c r="C18435" s="374"/>
      <c r="CV18435" s="376"/>
    </row>
    <row r="18436" spans="1:100">
      <c r="A18436" s="374"/>
      <c r="C18436" s="374"/>
      <c r="CV18436" s="376"/>
    </row>
    <row r="18437" spans="1:100">
      <c r="A18437" s="374"/>
      <c r="C18437" s="374"/>
      <c r="CV18437" s="376"/>
    </row>
    <row r="18438" spans="1:100">
      <c r="A18438" s="374"/>
      <c r="C18438" s="374"/>
      <c r="CV18438" s="376"/>
    </row>
    <row r="18439" spans="1:100">
      <c r="A18439" s="374"/>
      <c r="C18439" s="374"/>
      <c r="CV18439" s="376"/>
    </row>
    <row r="18440" spans="1:100">
      <c r="A18440" s="374"/>
      <c r="C18440" s="374"/>
      <c r="CV18440" s="376"/>
    </row>
    <row r="18441" spans="1:100">
      <c r="A18441" s="374"/>
      <c r="C18441" s="374"/>
      <c r="CV18441" s="376"/>
    </row>
    <row r="18442" spans="1:100">
      <c r="A18442" s="374"/>
      <c r="C18442" s="374"/>
      <c r="CV18442" s="376"/>
    </row>
    <row r="18443" spans="1:100">
      <c r="A18443" s="374"/>
      <c r="C18443" s="374"/>
      <c r="CV18443" s="376"/>
    </row>
    <row r="18444" spans="1:100">
      <c r="A18444" s="374"/>
      <c r="C18444" s="374"/>
      <c r="CV18444" s="376"/>
    </row>
    <row r="18445" spans="1:100">
      <c r="A18445" s="374"/>
      <c r="C18445" s="374"/>
      <c r="CV18445" s="376"/>
    </row>
    <row r="18446" spans="1:100">
      <c r="A18446" s="374"/>
      <c r="C18446" s="374"/>
      <c r="CV18446" s="376"/>
    </row>
    <row r="18447" spans="1:100">
      <c r="A18447" s="374"/>
      <c r="C18447" s="374"/>
      <c r="CV18447" s="376"/>
    </row>
    <row r="18448" spans="1:100">
      <c r="A18448" s="374"/>
      <c r="C18448" s="374"/>
      <c r="CV18448" s="376"/>
    </row>
    <row r="18449" spans="1:100">
      <c r="A18449" s="374"/>
      <c r="C18449" s="374"/>
      <c r="CV18449" s="376"/>
    </row>
    <row r="18450" spans="1:100">
      <c r="A18450" s="374"/>
      <c r="C18450" s="374"/>
      <c r="CV18450" s="376"/>
    </row>
    <row r="18451" spans="1:100">
      <c r="A18451" s="374"/>
      <c r="C18451" s="374"/>
      <c r="CV18451" s="376"/>
    </row>
    <row r="18452" spans="1:100">
      <c r="A18452" s="374"/>
      <c r="C18452" s="374"/>
      <c r="CV18452" s="376"/>
    </row>
    <row r="18453" spans="1:100">
      <c r="A18453" s="374"/>
      <c r="C18453" s="374"/>
      <c r="CV18453" s="376"/>
    </row>
    <row r="18454" spans="1:100">
      <c r="A18454" s="374"/>
      <c r="C18454" s="374"/>
      <c r="CV18454" s="376"/>
    </row>
    <row r="18455" spans="1:100">
      <c r="A18455" s="374"/>
      <c r="C18455" s="374"/>
      <c r="CV18455" s="376"/>
    </row>
    <row r="18456" spans="1:100">
      <c r="A18456" s="374"/>
      <c r="C18456" s="374"/>
      <c r="CV18456" s="376"/>
    </row>
    <row r="18457" spans="1:100">
      <c r="A18457" s="374"/>
      <c r="C18457" s="374"/>
      <c r="CV18457" s="376"/>
    </row>
    <row r="18458" spans="1:100">
      <c r="A18458" s="374"/>
      <c r="C18458" s="374"/>
      <c r="CV18458" s="376"/>
    </row>
    <row r="18459" spans="1:100">
      <c r="A18459" s="374"/>
      <c r="C18459" s="374"/>
      <c r="CV18459" s="376"/>
    </row>
    <row r="18460" spans="1:100">
      <c r="A18460" s="374"/>
      <c r="C18460" s="374"/>
      <c r="CV18460" s="376"/>
    </row>
    <row r="18461" spans="1:100">
      <c r="A18461" s="374"/>
      <c r="C18461" s="374"/>
      <c r="CV18461" s="376"/>
    </row>
    <row r="18462" spans="1:100">
      <c r="A18462" s="374"/>
      <c r="C18462" s="374"/>
      <c r="CV18462" s="376"/>
    </row>
    <row r="18463" spans="1:100">
      <c r="A18463" s="374"/>
      <c r="C18463" s="374"/>
      <c r="CV18463" s="376"/>
    </row>
    <row r="18464" spans="1:100">
      <c r="A18464" s="374"/>
      <c r="C18464" s="374"/>
      <c r="CV18464" s="376"/>
    </row>
    <row r="18465" spans="1:100">
      <c r="A18465" s="374"/>
      <c r="C18465" s="374"/>
      <c r="CV18465" s="376"/>
    </row>
    <row r="18466" spans="1:100">
      <c r="A18466" s="374"/>
      <c r="C18466" s="374"/>
      <c r="CV18466" s="376"/>
    </row>
    <row r="18467" spans="1:100">
      <c r="A18467" s="374"/>
      <c r="C18467" s="374"/>
      <c r="CV18467" s="376"/>
    </row>
    <row r="18468" spans="1:100">
      <c r="A18468" s="374"/>
      <c r="C18468" s="374"/>
      <c r="CV18468" s="376"/>
    </row>
    <row r="18469" spans="1:100">
      <c r="A18469" s="374"/>
      <c r="C18469" s="374"/>
      <c r="CV18469" s="376"/>
    </row>
    <row r="18470" spans="1:100">
      <c r="A18470" s="374"/>
      <c r="C18470" s="374"/>
      <c r="CV18470" s="376"/>
    </row>
    <row r="18471" spans="1:100">
      <c r="A18471" s="374"/>
      <c r="C18471" s="374"/>
      <c r="CV18471" s="376"/>
    </row>
    <row r="18472" spans="1:100">
      <c r="A18472" s="374"/>
      <c r="C18472" s="374"/>
      <c r="CV18472" s="376"/>
    </row>
    <row r="18473" spans="1:100">
      <c r="A18473" s="374"/>
      <c r="C18473" s="374"/>
      <c r="CV18473" s="376"/>
    </row>
    <row r="18474" spans="1:100">
      <c r="A18474" s="374"/>
      <c r="C18474" s="374"/>
      <c r="CV18474" s="376"/>
    </row>
    <row r="18475" spans="1:100">
      <c r="A18475" s="374"/>
      <c r="C18475" s="374"/>
      <c r="CV18475" s="376"/>
    </row>
    <row r="18476" spans="1:100">
      <c r="A18476" s="374"/>
      <c r="C18476" s="374"/>
      <c r="CV18476" s="376"/>
    </row>
    <row r="18477" spans="1:100">
      <c r="A18477" s="374"/>
      <c r="C18477" s="374"/>
      <c r="CV18477" s="376"/>
    </row>
    <row r="18478" spans="1:100">
      <c r="A18478" s="374"/>
      <c r="C18478" s="374"/>
      <c r="CV18478" s="376"/>
    </row>
    <row r="18479" spans="1:100">
      <c r="A18479" s="374"/>
      <c r="C18479" s="374"/>
      <c r="CV18479" s="376"/>
    </row>
    <row r="18480" spans="1:100">
      <c r="A18480" s="374"/>
      <c r="C18480" s="374"/>
      <c r="CV18480" s="376"/>
    </row>
    <row r="18481" spans="1:100">
      <c r="A18481" s="374"/>
      <c r="C18481" s="374"/>
      <c r="CV18481" s="376"/>
    </row>
    <row r="18482" spans="1:100">
      <c r="A18482" s="374"/>
      <c r="C18482" s="374"/>
      <c r="CV18482" s="376"/>
    </row>
    <row r="18483" spans="1:100">
      <c r="A18483" s="374"/>
      <c r="C18483" s="374"/>
      <c r="CV18483" s="376"/>
    </row>
    <row r="18484" spans="1:100">
      <c r="A18484" s="374"/>
      <c r="C18484" s="374"/>
      <c r="CV18484" s="376"/>
    </row>
    <row r="18485" spans="1:100">
      <c r="A18485" s="374"/>
      <c r="C18485" s="374"/>
      <c r="CV18485" s="376"/>
    </row>
    <row r="18486" spans="1:100">
      <c r="A18486" s="374"/>
      <c r="C18486" s="374"/>
      <c r="CV18486" s="376"/>
    </row>
    <row r="18487" spans="1:100">
      <c r="A18487" s="374"/>
      <c r="C18487" s="374"/>
      <c r="CV18487" s="376"/>
    </row>
    <row r="18488" spans="1:100">
      <c r="A18488" s="374"/>
      <c r="C18488" s="374"/>
      <c r="CV18488" s="376"/>
    </row>
    <row r="18489" spans="1:100">
      <c r="A18489" s="374"/>
      <c r="C18489" s="374"/>
      <c r="CV18489" s="376"/>
    </row>
    <row r="18490" spans="1:100">
      <c r="A18490" s="374"/>
      <c r="C18490" s="374"/>
      <c r="CV18490" s="376"/>
    </row>
    <row r="18491" spans="1:100">
      <c r="A18491" s="374"/>
      <c r="C18491" s="374"/>
      <c r="CV18491" s="376"/>
    </row>
    <row r="18492" spans="1:100">
      <c r="A18492" s="374"/>
      <c r="C18492" s="374"/>
      <c r="CV18492" s="376"/>
    </row>
    <row r="18493" spans="1:100">
      <c r="A18493" s="374"/>
      <c r="C18493" s="374"/>
      <c r="CV18493" s="376"/>
    </row>
    <row r="18494" spans="1:100">
      <c r="A18494" s="374"/>
      <c r="C18494" s="374"/>
      <c r="CV18494" s="376"/>
    </row>
    <row r="18495" spans="1:100">
      <c r="A18495" s="374"/>
      <c r="C18495" s="374"/>
      <c r="CV18495" s="376"/>
    </row>
    <row r="18496" spans="1:100">
      <c r="A18496" s="374"/>
      <c r="C18496" s="374"/>
      <c r="CV18496" s="376"/>
    </row>
    <row r="18497" spans="1:100">
      <c r="A18497" s="374"/>
      <c r="C18497" s="374"/>
      <c r="CV18497" s="376"/>
    </row>
    <row r="18498" spans="1:100">
      <c r="A18498" s="374"/>
      <c r="C18498" s="374"/>
      <c r="CV18498" s="376"/>
    </row>
    <row r="18499" spans="1:100">
      <c r="A18499" s="374"/>
      <c r="C18499" s="374"/>
      <c r="CV18499" s="376"/>
    </row>
    <row r="18500" spans="1:100">
      <c r="A18500" s="374"/>
      <c r="C18500" s="374"/>
      <c r="CV18500" s="376"/>
    </row>
    <row r="18501" spans="1:100">
      <c r="A18501" s="374"/>
      <c r="C18501" s="374"/>
      <c r="CV18501" s="376"/>
    </row>
    <row r="18502" spans="1:100">
      <c r="A18502" s="374"/>
      <c r="C18502" s="374"/>
      <c r="CV18502" s="376"/>
    </row>
    <row r="18503" spans="1:100">
      <c r="A18503" s="374"/>
      <c r="C18503" s="374"/>
      <c r="CV18503" s="376"/>
    </row>
    <row r="18504" spans="1:100">
      <c r="A18504" s="374"/>
      <c r="C18504" s="374"/>
      <c r="CV18504" s="376"/>
    </row>
    <row r="18505" spans="1:100">
      <c r="A18505" s="374"/>
      <c r="C18505" s="374"/>
      <c r="CV18505" s="376"/>
    </row>
    <row r="18506" spans="1:100">
      <c r="A18506" s="374"/>
      <c r="C18506" s="374"/>
      <c r="CV18506" s="376"/>
    </row>
    <row r="18507" spans="1:100">
      <c r="A18507" s="374"/>
      <c r="C18507" s="374"/>
      <c r="CV18507" s="376"/>
    </row>
    <row r="18508" spans="1:100">
      <c r="A18508" s="374"/>
      <c r="C18508" s="374"/>
      <c r="CV18508" s="376"/>
    </row>
    <row r="18509" spans="1:100">
      <c r="A18509" s="374"/>
      <c r="C18509" s="374"/>
      <c r="CV18509" s="376"/>
    </row>
    <row r="18510" spans="1:100">
      <c r="A18510" s="374"/>
      <c r="C18510" s="374"/>
      <c r="CV18510" s="376"/>
    </row>
    <row r="18511" spans="1:100">
      <c r="A18511" s="374"/>
      <c r="C18511" s="374"/>
      <c r="CV18511" s="376"/>
    </row>
    <row r="18512" spans="1:100">
      <c r="A18512" s="374"/>
      <c r="C18512" s="374"/>
      <c r="CV18512" s="376"/>
    </row>
    <row r="18513" spans="1:100">
      <c r="A18513" s="374"/>
      <c r="C18513" s="374"/>
      <c r="CV18513" s="376"/>
    </row>
    <row r="18514" spans="1:100">
      <c r="A18514" s="374"/>
      <c r="C18514" s="374"/>
      <c r="CV18514" s="376"/>
    </row>
    <row r="18515" spans="1:100">
      <c r="A18515" s="374"/>
      <c r="C18515" s="374"/>
      <c r="CV18515" s="376"/>
    </row>
    <row r="18516" spans="1:100">
      <c r="A18516" s="374"/>
      <c r="C18516" s="374"/>
      <c r="CV18516" s="376"/>
    </row>
    <row r="18517" spans="1:100">
      <c r="A18517" s="374"/>
      <c r="C18517" s="374"/>
      <c r="CV18517" s="376"/>
    </row>
    <row r="18518" spans="1:100">
      <c r="A18518" s="374"/>
      <c r="C18518" s="374"/>
      <c r="CV18518" s="376"/>
    </row>
    <row r="18519" spans="1:100">
      <c r="A18519" s="374"/>
      <c r="C18519" s="374"/>
      <c r="CV18519" s="376"/>
    </row>
    <row r="18520" spans="1:100">
      <c r="A18520" s="374"/>
      <c r="C18520" s="374"/>
      <c r="CV18520" s="376"/>
    </row>
    <row r="18521" spans="1:100">
      <c r="A18521" s="374"/>
      <c r="C18521" s="374"/>
      <c r="CV18521" s="376"/>
    </row>
    <row r="18522" spans="1:100">
      <c r="A18522" s="374"/>
      <c r="C18522" s="374"/>
      <c r="CV18522" s="376"/>
    </row>
    <row r="18523" spans="1:100">
      <c r="A18523" s="374"/>
      <c r="C18523" s="374"/>
      <c r="CV18523" s="376"/>
    </row>
    <row r="18524" spans="1:100">
      <c r="A18524" s="374"/>
      <c r="C18524" s="374"/>
      <c r="CV18524" s="376"/>
    </row>
    <row r="18525" spans="1:100">
      <c r="A18525" s="374"/>
      <c r="C18525" s="374"/>
      <c r="CV18525" s="376"/>
    </row>
    <row r="18526" spans="1:100">
      <c r="A18526" s="374"/>
      <c r="C18526" s="374"/>
      <c r="CV18526" s="376"/>
    </row>
    <row r="18527" spans="1:100">
      <c r="A18527" s="374"/>
      <c r="C18527" s="374"/>
      <c r="CV18527" s="376"/>
    </row>
    <row r="18528" spans="1:100">
      <c r="A18528" s="374"/>
      <c r="C18528" s="374"/>
      <c r="CV18528" s="376"/>
    </row>
    <row r="18529" spans="1:100">
      <c r="A18529" s="374"/>
      <c r="C18529" s="374"/>
      <c r="CV18529" s="376"/>
    </row>
    <row r="18530" spans="1:100">
      <c r="A18530" s="374"/>
      <c r="C18530" s="374"/>
      <c r="CV18530" s="376"/>
    </row>
    <row r="18531" spans="1:100">
      <c r="A18531" s="374"/>
      <c r="C18531" s="374"/>
      <c r="CV18531" s="376"/>
    </row>
    <row r="18532" spans="1:100">
      <c r="A18532" s="374"/>
      <c r="C18532" s="374"/>
      <c r="CV18532" s="376"/>
    </row>
    <row r="18533" spans="1:100">
      <c r="A18533" s="374"/>
      <c r="C18533" s="374"/>
      <c r="CV18533" s="376"/>
    </row>
    <row r="18534" spans="1:100">
      <c r="A18534" s="374"/>
      <c r="C18534" s="374"/>
      <c r="CV18534" s="376"/>
    </row>
    <row r="18535" spans="1:100">
      <c r="A18535" s="374"/>
      <c r="C18535" s="374"/>
      <c r="CV18535" s="376"/>
    </row>
    <row r="18536" spans="1:100">
      <c r="A18536" s="374"/>
      <c r="C18536" s="374"/>
      <c r="CV18536" s="376"/>
    </row>
    <row r="18537" spans="1:100">
      <c r="A18537" s="374"/>
      <c r="C18537" s="374"/>
      <c r="CV18537" s="376"/>
    </row>
    <row r="18538" spans="1:100">
      <c r="A18538" s="374"/>
      <c r="C18538" s="374"/>
      <c r="CV18538" s="376"/>
    </row>
    <row r="18539" spans="1:100">
      <c r="A18539" s="374"/>
      <c r="C18539" s="374"/>
      <c r="CV18539" s="376"/>
    </row>
    <row r="18540" spans="1:100">
      <c r="A18540" s="374"/>
      <c r="C18540" s="374"/>
      <c r="CV18540" s="376"/>
    </row>
    <row r="18541" spans="1:100">
      <c r="A18541" s="374"/>
      <c r="C18541" s="374"/>
      <c r="CV18541" s="376"/>
    </row>
    <row r="18542" spans="1:100">
      <c r="A18542" s="374"/>
      <c r="C18542" s="374"/>
      <c r="CV18542" s="376"/>
    </row>
    <row r="18543" spans="1:100">
      <c r="A18543" s="374"/>
      <c r="C18543" s="374"/>
      <c r="CV18543" s="376"/>
    </row>
    <row r="18544" spans="1:100">
      <c r="A18544" s="374"/>
      <c r="C18544" s="374"/>
      <c r="CV18544" s="376"/>
    </row>
    <row r="18545" spans="1:100">
      <c r="A18545" s="374"/>
      <c r="C18545" s="374"/>
      <c r="CV18545" s="376"/>
    </row>
    <row r="18546" spans="1:100">
      <c r="A18546" s="374"/>
      <c r="C18546" s="374"/>
      <c r="CV18546" s="376"/>
    </row>
    <row r="18547" spans="1:100">
      <c r="A18547" s="374"/>
      <c r="C18547" s="374"/>
      <c r="CV18547" s="376"/>
    </row>
    <row r="18548" spans="1:100">
      <c r="A18548" s="374"/>
      <c r="C18548" s="374"/>
      <c r="CV18548" s="376"/>
    </row>
    <row r="18549" spans="1:100">
      <c r="A18549" s="374"/>
      <c r="C18549" s="374"/>
      <c r="CV18549" s="376"/>
    </row>
    <row r="18550" spans="1:100">
      <c r="A18550" s="374"/>
      <c r="C18550" s="374"/>
      <c r="CV18550" s="376"/>
    </row>
    <row r="18551" spans="1:100">
      <c r="A18551" s="374"/>
      <c r="C18551" s="374"/>
      <c r="CV18551" s="376"/>
    </row>
    <row r="18552" spans="1:100">
      <c r="A18552" s="374"/>
      <c r="C18552" s="374"/>
      <c r="CV18552" s="376"/>
    </row>
    <row r="18553" spans="1:100">
      <c r="A18553" s="374"/>
      <c r="C18553" s="374"/>
      <c r="CV18553" s="376"/>
    </row>
    <row r="18554" spans="1:100">
      <c r="A18554" s="374"/>
      <c r="C18554" s="374"/>
      <c r="CV18554" s="376"/>
    </row>
    <row r="18555" spans="1:100">
      <c r="A18555" s="374"/>
      <c r="C18555" s="374"/>
      <c r="CV18555" s="376"/>
    </row>
    <row r="18556" spans="1:100">
      <c r="A18556" s="374"/>
      <c r="C18556" s="374"/>
      <c r="CV18556" s="376"/>
    </row>
    <row r="18557" spans="1:100">
      <c r="A18557" s="374"/>
      <c r="C18557" s="374"/>
      <c r="CV18557" s="376"/>
    </row>
    <row r="18558" spans="1:100">
      <c r="A18558" s="374"/>
      <c r="C18558" s="374"/>
      <c r="CV18558" s="376"/>
    </row>
    <row r="18559" spans="1:100">
      <c r="A18559" s="374"/>
      <c r="C18559" s="374"/>
      <c r="CV18559" s="376"/>
    </row>
    <row r="18560" spans="1:100">
      <c r="A18560" s="374"/>
      <c r="C18560" s="374"/>
      <c r="CV18560" s="376"/>
    </row>
    <row r="18561" spans="1:100">
      <c r="A18561" s="374"/>
      <c r="C18561" s="374"/>
      <c r="CV18561" s="376"/>
    </row>
    <row r="18562" spans="1:100">
      <c r="A18562" s="374"/>
      <c r="C18562" s="374"/>
      <c r="CV18562" s="376"/>
    </row>
    <row r="18563" spans="1:100">
      <c r="A18563" s="374"/>
      <c r="C18563" s="374"/>
      <c r="CV18563" s="376"/>
    </row>
    <row r="18564" spans="1:100">
      <c r="A18564" s="374"/>
      <c r="C18564" s="374"/>
      <c r="CV18564" s="376"/>
    </row>
    <row r="18565" spans="1:100">
      <c r="A18565" s="374"/>
      <c r="C18565" s="374"/>
      <c r="CV18565" s="376"/>
    </row>
    <row r="18566" spans="1:100">
      <c r="A18566" s="374"/>
      <c r="C18566" s="374"/>
      <c r="CV18566" s="376"/>
    </row>
    <row r="18567" spans="1:100">
      <c r="A18567" s="374"/>
      <c r="C18567" s="374"/>
      <c r="CV18567" s="376"/>
    </row>
    <row r="18568" spans="1:100">
      <c r="A18568" s="374"/>
      <c r="C18568" s="374"/>
      <c r="CV18568" s="376"/>
    </row>
    <row r="18569" spans="1:100">
      <c r="A18569" s="374"/>
      <c r="C18569" s="374"/>
      <c r="CV18569" s="376"/>
    </row>
    <row r="18570" spans="1:100">
      <c r="A18570" s="374"/>
      <c r="C18570" s="374"/>
      <c r="CV18570" s="376"/>
    </row>
    <row r="18571" spans="1:100">
      <c r="A18571" s="374"/>
      <c r="C18571" s="374"/>
      <c r="CV18571" s="376"/>
    </row>
    <row r="18572" spans="1:100">
      <c r="A18572" s="374"/>
      <c r="C18572" s="374"/>
      <c r="CV18572" s="376"/>
    </row>
    <row r="18573" spans="1:100">
      <c r="A18573" s="374"/>
      <c r="C18573" s="374"/>
      <c r="CV18573" s="376"/>
    </row>
    <row r="18574" spans="1:100">
      <c r="A18574" s="374"/>
      <c r="C18574" s="374"/>
      <c r="CV18574" s="376"/>
    </row>
    <row r="18575" spans="1:100">
      <c r="A18575" s="374"/>
      <c r="C18575" s="374"/>
      <c r="CV18575" s="376"/>
    </row>
    <row r="18576" spans="1:100">
      <c r="A18576" s="374"/>
      <c r="C18576" s="374"/>
      <c r="CV18576" s="376"/>
    </row>
    <row r="18577" spans="1:100">
      <c r="A18577" s="374"/>
      <c r="C18577" s="374"/>
      <c r="CV18577" s="376"/>
    </row>
    <row r="18578" spans="1:100">
      <c r="A18578" s="374"/>
      <c r="C18578" s="374"/>
      <c r="CV18578" s="376"/>
    </row>
    <row r="18579" spans="1:100">
      <c r="A18579" s="374"/>
      <c r="C18579" s="374"/>
      <c r="CV18579" s="376"/>
    </row>
    <row r="18580" spans="1:100">
      <c r="A18580" s="374"/>
      <c r="C18580" s="374"/>
      <c r="CV18580" s="376"/>
    </row>
    <row r="18581" spans="1:100">
      <c r="A18581" s="374"/>
      <c r="C18581" s="374"/>
      <c r="CV18581" s="376"/>
    </row>
    <row r="18582" spans="1:100">
      <c r="A18582" s="374"/>
      <c r="C18582" s="374"/>
      <c r="CV18582" s="376"/>
    </row>
    <row r="18583" spans="1:100">
      <c r="A18583" s="374"/>
      <c r="C18583" s="374"/>
      <c r="CV18583" s="376"/>
    </row>
    <row r="18584" spans="1:100">
      <c r="A18584" s="374"/>
      <c r="C18584" s="374"/>
      <c r="CV18584" s="376"/>
    </row>
    <row r="18585" spans="1:100">
      <c r="A18585" s="374"/>
      <c r="C18585" s="374"/>
      <c r="CV18585" s="376"/>
    </row>
    <row r="18586" spans="1:100">
      <c r="A18586" s="374"/>
      <c r="C18586" s="374"/>
      <c r="CV18586" s="376"/>
    </row>
    <row r="18587" spans="1:100">
      <c r="A18587" s="374"/>
      <c r="C18587" s="374"/>
      <c r="CV18587" s="376"/>
    </row>
    <row r="18588" spans="1:100">
      <c r="A18588" s="374"/>
      <c r="C18588" s="374"/>
      <c r="CV18588" s="376"/>
    </row>
    <row r="18589" spans="1:100">
      <c r="A18589" s="374"/>
      <c r="C18589" s="374"/>
      <c r="CV18589" s="376"/>
    </row>
    <row r="18590" spans="1:100">
      <c r="A18590" s="374"/>
      <c r="C18590" s="374"/>
      <c r="CV18590" s="376"/>
    </row>
    <row r="18591" spans="1:100">
      <c r="A18591" s="374"/>
      <c r="C18591" s="374"/>
      <c r="CV18591" s="376"/>
    </row>
    <row r="18592" spans="1:100">
      <c r="A18592" s="374"/>
      <c r="C18592" s="374"/>
      <c r="CV18592" s="376"/>
    </row>
    <row r="18593" spans="1:100">
      <c r="A18593" s="374"/>
      <c r="C18593" s="374"/>
      <c r="CV18593" s="376"/>
    </row>
    <row r="18594" spans="1:100">
      <c r="A18594" s="374"/>
      <c r="C18594" s="374"/>
      <c r="CV18594" s="376"/>
    </row>
    <row r="18595" spans="1:100">
      <c r="A18595" s="374"/>
      <c r="C18595" s="374"/>
      <c r="CV18595" s="376"/>
    </row>
    <row r="18596" spans="1:100">
      <c r="A18596" s="374"/>
      <c r="C18596" s="374"/>
      <c r="CV18596" s="376"/>
    </row>
    <row r="18597" spans="1:100">
      <c r="A18597" s="374"/>
      <c r="C18597" s="374"/>
      <c r="CV18597" s="376"/>
    </row>
    <row r="18598" spans="1:100">
      <c r="A18598" s="374"/>
      <c r="C18598" s="374"/>
      <c r="CV18598" s="376"/>
    </row>
    <row r="18599" spans="1:100">
      <c r="A18599" s="374"/>
      <c r="C18599" s="374"/>
      <c r="CV18599" s="376"/>
    </row>
    <row r="18600" spans="1:100">
      <c r="A18600" s="374"/>
      <c r="C18600" s="374"/>
      <c r="CV18600" s="376"/>
    </row>
    <row r="18601" spans="1:100">
      <c r="A18601" s="374"/>
      <c r="C18601" s="374"/>
      <c r="CV18601" s="376"/>
    </row>
    <row r="18602" spans="1:100">
      <c r="A18602" s="374"/>
      <c r="C18602" s="374"/>
      <c r="CV18602" s="376"/>
    </row>
    <row r="18603" spans="1:100">
      <c r="A18603" s="374"/>
      <c r="C18603" s="374"/>
      <c r="CV18603" s="376"/>
    </row>
    <row r="18604" spans="1:100">
      <c r="A18604" s="374"/>
      <c r="C18604" s="374"/>
      <c r="CV18604" s="376"/>
    </row>
    <row r="18605" spans="1:100">
      <c r="A18605" s="374"/>
      <c r="C18605" s="374"/>
      <c r="CV18605" s="376"/>
    </row>
    <row r="18606" spans="1:100">
      <c r="A18606" s="374"/>
      <c r="C18606" s="374"/>
      <c r="CV18606" s="376"/>
    </row>
    <row r="18607" spans="1:100">
      <c r="A18607" s="374"/>
      <c r="C18607" s="374"/>
      <c r="CV18607" s="376"/>
    </row>
    <row r="18608" spans="1:100">
      <c r="A18608" s="374"/>
      <c r="C18608" s="374"/>
      <c r="CV18608" s="376"/>
    </row>
    <row r="18609" spans="1:100">
      <c r="A18609" s="374"/>
      <c r="C18609" s="374"/>
      <c r="CV18609" s="376"/>
    </row>
    <row r="18610" spans="1:100">
      <c r="A18610" s="374"/>
      <c r="C18610" s="374"/>
      <c r="CV18610" s="376"/>
    </row>
    <row r="18611" spans="1:100">
      <c r="A18611" s="374"/>
      <c r="C18611" s="374"/>
      <c r="CV18611" s="376"/>
    </row>
    <row r="18612" spans="1:100">
      <c r="A18612" s="374"/>
      <c r="C18612" s="374"/>
      <c r="CV18612" s="376"/>
    </row>
    <row r="18613" spans="1:100">
      <c r="A18613" s="374"/>
      <c r="C18613" s="374"/>
      <c r="CV18613" s="376"/>
    </row>
    <row r="18614" spans="1:100">
      <c r="A18614" s="374"/>
      <c r="C18614" s="374"/>
      <c r="CV18614" s="376"/>
    </row>
    <row r="18615" spans="1:100">
      <c r="A18615" s="374"/>
      <c r="C18615" s="374"/>
      <c r="CV18615" s="376"/>
    </row>
    <row r="18616" spans="1:100">
      <c r="A18616" s="374"/>
      <c r="C18616" s="374"/>
      <c r="CV18616" s="376"/>
    </row>
    <row r="18617" spans="1:100">
      <c r="A18617" s="374"/>
      <c r="C18617" s="374"/>
      <c r="CV18617" s="376"/>
    </row>
    <row r="18618" spans="1:100">
      <c r="A18618" s="374"/>
      <c r="C18618" s="374"/>
      <c r="CV18618" s="376"/>
    </row>
    <row r="18619" spans="1:100">
      <c r="A18619" s="374"/>
      <c r="C18619" s="374"/>
      <c r="CV18619" s="376"/>
    </row>
    <row r="18620" spans="1:100">
      <c r="A18620" s="374"/>
      <c r="C18620" s="374"/>
      <c r="CV18620" s="376"/>
    </row>
    <row r="18621" spans="1:100">
      <c r="A18621" s="374"/>
      <c r="C18621" s="374"/>
      <c r="CV18621" s="376"/>
    </row>
    <row r="18622" spans="1:100">
      <c r="A18622" s="374"/>
      <c r="C18622" s="374"/>
      <c r="CV18622" s="376"/>
    </row>
    <row r="18623" spans="1:100">
      <c r="A18623" s="374"/>
      <c r="C18623" s="374"/>
      <c r="CV18623" s="376"/>
    </row>
    <row r="18624" spans="1:100">
      <c r="A18624" s="374"/>
      <c r="C18624" s="374"/>
      <c r="CV18624" s="376"/>
    </row>
    <row r="18625" spans="1:100">
      <c r="A18625" s="374"/>
      <c r="C18625" s="374"/>
      <c r="CV18625" s="376"/>
    </row>
    <row r="18626" spans="1:100">
      <c r="A18626" s="374"/>
      <c r="C18626" s="374"/>
      <c r="CV18626" s="376"/>
    </row>
    <row r="18627" spans="1:100">
      <c r="A18627" s="374"/>
      <c r="C18627" s="374"/>
      <c r="CV18627" s="376"/>
    </row>
    <row r="18628" spans="1:100">
      <c r="A18628" s="374"/>
      <c r="C18628" s="374"/>
      <c r="CV18628" s="376"/>
    </row>
    <row r="18629" spans="1:100">
      <c r="A18629" s="374"/>
      <c r="C18629" s="374"/>
      <c r="CV18629" s="376"/>
    </row>
    <row r="18630" spans="1:100">
      <c r="A18630" s="374"/>
      <c r="C18630" s="374"/>
      <c r="CV18630" s="376"/>
    </row>
    <row r="18631" spans="1:100">
      <c r="A18631" s="374"/>
      <c r="C18631" s="374"/>
      <c r="CV18631" s="376"/>
    </row>
    <row r="18632" spans="1:100">
      <c r="A18632" s="374"/>
      <c r="C18632" s="374"/>
      <c r="CV18632" s="376"/>
    </row>
    <row r="18633" spans="1:100">
      <c r="A18633" s="374"/>
      <c r="C18633" s="374"/>
      <c r="CV18633" s="376"/>
    </row>
    <row r="18634" spans="1:100">
      <c r="A18634" s="374"/>
      <c r="C18634" s="374"/>
      <c r="CV18634" s="376"/>
    </row>
    <row r="18635" spans="1:100">
      <c r="A18635" s="374"/>
      <c r="C18635" s="374"/>
      <c r="CV18635" s="376"/>
    </row>
    <row r="18636" spans="1:100">
      <c r="A18636" s="374"/>
      <c r="C18636" s="374"/>
      <c r="CV18636" s="376"/>
    </row>
    <row r="18637" spans="1:100">
      <c r="A18637" s="374"/>
      <c r="C18637" s="374"/>
      <c r="CV18637" s="376"/>
    </row>
    <row r="18638" spans="1:100">
      <c r="A18638" s="374"/>
      <c r="C18638" s="374"/>
      <c r="CV18638" s="376"/>
    </row>
    <row r="18639" spans="1:100">
      <c r="A18639" s="374"/>
      <c r="C18639" s="374"/>
      <c r="CV18639" s="376"/>
    </row>
    <row r="18640" spans="1:100">
      <c r="A18640" s="374"/>
      <c r="C18640" s="374"/>
      <c r="CV18640" s="376"/>
    </row>
    <row r="18641" spans="1:100">
      <c r="A18641" s="374"/>
      <c r="C18641" s="374"/>
      <c r="CV18641" s="376"/>
    </row>
    <row r="18642" spans="1:100">
      <c r="A18642" s="374"/>
      <c r="C18642" s="374"/>
      <c r="CV18642" s="376"/>
    </row>
    <row r="18643" spans="1:100">
      <c r="A18643" s="374"/>
      <c r="C18643" s="374"/>
      <c r="CV18643" s="376"/>
    </row>
    <row r="18644" spans="1:100">
      <c r="A18644" s="374"/>
      <c r="C18644" s="374"/>
      <c r="CV18644" s="376"/>
    </row>
    <row r="18645" spans="1:100">
      <c r="A18645" s="374"/>
      <c r="C18645" s="374"/>
      <c r="CV18645" s="376"/>
    </row>
    <row r="18646" spans="1:100">
      <c r="A18646" s="374"/>
      <c r="C18646" s="374"/>
      <c r="CV18646" s="376"/>
    </row>
    <row r="18647" spans="1:100">
      <c r="A18647" s="374"/>
      <c r="C18647" s="374"/>
      <c r="CV18647" s="376"/>
    </row>
    <row r="18648" spans="1:100">
      <c r="A18648" s="374"/>
      <c r="C18648" s="374"/>
      <c r="CV18648" s="376"/>
    </row>
    <row r="18649" spans="1:100">
      <c r="A18649" s="374"/>
      <c r="C18649" s="374"/>
      <c r="CV18649" s="376"/>
    </row>
    <row r="18650" spans="1:100">
      <c r="A18650" s="374"/>
      <c r="C18650" s="374"/>
      <c r="CV18650" s="376"/>
    </row>
    <row r="18651" spans="1:100">
      <c r="A18651" s="374"/>
      <c r="C18651" s="374"/>
      <c r="CV18651" s="376"/>
    </row>
    <row r="18652" spans="1:100">
      <c r="A18652" s="374"/>
      <c r="C18652" s="374"/>
      <c r="CV18652" s="376"/>
    </row>
    <row r="18653" spans="1:100">
      <c r="A18653" s="374"/>
      <c r="C18653" s="374"/>
      <c r="CV18653" s="376"/>
    </row>
    <row r="18654" spans="1:100">
      <c r="A18654" s="374"/>
      <c r="C18654" s="374"/>
      <c r="CV18654" s="376"/>
    </row>
    <row r="18655" spans="1:100">
      <c r="A18655" s="374"/>
      <c r="C18655" s="374"/>
      <c r="CV18655" s="376"/>
    </row>
    <row r="18656" spans="1:100">
      <c r="A18656" s="374"/>
      <c r="C18656" s="374"/>
      <c r="CV18656" s="376"/>
    </row>
    <row r="18657" spans="1:100">
      <c r="A18657" s="374"/>
      <c r="C18657" s="374"/>
      <c r="CV18657" s="376"/>
    </row>
    <row r="18658" spans="1:100">
      <c r="A18658" s="374"/>
      <c r="C18658" s="374"/>
      <c r="CV18658" s="376"/>
    </row>
    <row r="18659" spans="1:100">
      <c r="A18659" s="374"/>
      <c r="C18659" s="374"/>
      <c r="CV18659" s="376"/>
    </row>
    <row r="18660" spans="1:100">
      <c r="A18660" s="374"/>
      <c r="C18660" s="374"/>
      <c r="CV18660" s="376"/>
    </row>
    <row r="18661" spans="1:100">
      <c r="A18661" s="374"/>
      <c r="C18661" s="374"/>
      <c r="CV18661" s="376"/>
    </row>
    <row r="18662" spans="1:100">
      <c r="A18662" s="374"/>
      <c r="C18662" s="374"/>
      <c r="CV18662" s="376"/>
    </row>
    <row r="18663" spans="1:100">
      <c r="A18663" s="374"/>
      <c r="C18663" s="374"/>
      <c r="CV18663" s="376"/>
    </row>
    <row r="18664" spans="1:100">
      <c r="A18664" s="374"/>
      <c r="C18664" s="374"/>
      <c r="CV18664" s="376"/>
    </row>
    <row r="18665" spans="1:100">
      <c r="A18665" s="374"/>
      <c r="C18665" s="374"/>
      <c r="CV18665" s="376"/>
    </row>
    <row r="18666" spans="1:100">
      <c r="A18666" s="374"/>
      <c r="C18666" s="374"/>
      <c r="CV18666" s="376"/>
    </row>
    <row r="18667" spans="1:100">
      <c r="A18667" s="374"/>
      <c r="C18667" s="374"/>
      <c r="CV18667" s="376"/>
    </row>
    <row r="18668" spans="1:100">
      <c r="A18668" s="374"/>
      <c r="C18668" s="374"/>
      <c r="CV18668" s="376"/>
    </row>
    <row r="18669" spans="1:100">
      <c r="A18669" s="374"/>
      <c r="C18669" s="374"/>
      <c r="CV18669" s="376"/>
    </row>
    <row r="18670" spans="1:100">
      <c r="A18670" s="374"/>
      <c r="C18670" s="374"/>
      <c r="CV18670" s="376"/>
    </row>
    <row r="18671" spans="1:100">
      <c r="A18671" s="374"/>
      <c r="C18671" s="374"/>
      <c r="CV18671" s="376"/>
    </row>
    <row r="18672" spans="1:100">
      <c r="A18672" s="374"/>
      <c r="C18672" s="374"/>
      <c r="CV18672" s="376"/>
    </row>
    <row r="18673" spans="1:100">
      <c r="A18673" s="374"/>
      <c r="C18673" s="374"/>
      <c r="CV18673" s="376"/>
    </row>
    <row r="18674" spans="1:100">
      <c r="A18674" s="374"/>
      <c r="C18674" s="374"/>
      <c r="CV18674" s="376"/>
    </row>
    <row r="18675" spans="1:100">
      <c r="A18675" s="374"/>
      <c r="C18675" s="374"/>
      <c r="CV18675" s="376"/>
    </row>
    <row r="18676" spans="1:100">
      <c r="A18676" s="374"/>
      <c r="C18676" s="374"/>
      <c r="CV18676" s="376"/>
    </row>
    <row r="18677" spans="1:100">
      <c r="A18677" s="374"/>
      <c r="C18677" s="374"/>
      <c r="CV18677" s="376"/>
    </row>
    <row r="18678" spans="1:100">
      <c r="A18678" s="374"/>
      <c r="C18678" s="374"/>
      <c r="CV18678" s="376"/>
    </row>
    <row r="18679" spans="1:100">
      <c r="A18679" s="374"/>
      <c r="C18679" s="374"/>
      <c r="CV18679" s="376"/>
    </row>
    <row r="18680" spans="1:100">
      <c r="A18680" s="374"/>
      <c r="C18680" s="374"/>
      <c r="CV18680" s="376"/>
    </row>
    <row r="18681" spans="1:100">
      <c r="A18681" s="374"/>
      <c r="C18681" s="374"/>
      <c r="CV18681" s="376"/>
    </row>
    <row r="18682" spans="1:100">
      <c r="A18682" s="374"/>
      <c r="C18682" s="374"/>
      <c r="CV18682" s="376"/>
    </row>
    <row r="18683" spans="1:100">
      <c r="A18683" s="374"/>
      <c r="C18683" s="374"/>
      <c r="CV18683" s="376"/>
    </row>
    <row r="18684" spans="1:100">
      <c r="A18684" s="374"/>
      <c r="C18684" s="374"/>
      <c r="CV18684" s="376"/>
    </row>
    <row r="18685" spans="1:100">
      <c r="A18685" s="374"/>
      <c r="C18685" s="374"/>
      <c r="CV18685" s="376"/>
    </row>
    <row r="18686" spans="1:100">
      <c r="A18686" s="374"/>
      <c r="C18686" s="374"/>
      <c r="CV18686" s="376"/>
    </row>
    <row r="18687" spans="1:100">
      <c r="A18687" s="374"/>
      <c r="C18687" s="374"/>
      <c r="CV18687" s="376"/>
    </row>
    <row r="18688" spans="1:100">
      <c r="A18688" s="374"/>
      <c r="C18688" s="374"/>
      <c r="CV18688" s="376"/>
    </row>
    <row r="18689" spans="1:100">
      <c r="A18689" s="374"/>
      <c r="C18689" s="374"/>
      <c r="CV18689" s="376"/>
    </row>
    <row r="18690" spans="1:100">
      <c r="A18690" s="374"/>
      <c r="C18690" s="374"/>
      <c r="CV18690" s="376"/>
    </row>
    <row r="18691" spans="1:100">
      <c r="A18691" s="374"/>
      <c r="C18691" s="374"/>
      <c r="CV18691" s="376"/>
    </row>
    <row r="18692" spans="1:100">
      <c r="A18692" s="374"/>
      <c r="C18692" s="374"/>
      <c r="CV18692" s="376"/>
    </row>
    <row r="18693" spans="1:100">
      <c r="A18693" s="374"/>
      <c r="C18693" s="374"/>
      <c r="CV18693" s="376"/>
    </row>
    <row r="18694" spans="1:100">
      <c r="A18694" s="374"/>
      <c r="C18694" s="374"/>
      <c r="CV18694" s="376"/>
    </row>
    <row r="18695" spans="1:100">
      <c r="A18695" s="374"/>
      <c r="C18695" s="374"/>
      <c r="CV18695" s="376"/>
    </row>
    <row r="18696" spans="1:100">
      <c r="A18696" s="374"/>
      <c r="C18696" s="374"/>
      <c r="CV18696" s="376"/>
    </row>
    <row r="18697" spans="1:100">
      <c r="A18697" s="374"/>
      <c r="C18697" s="374"/>
      <c r="CV18697" s="376"/>
    </row>
    <row r="18698" spans="1:100">
      <c r="A18698" s="374"/>
      <c r="C18698" s="374"/>
      <c r="CV18698" s="376"/>
    </row>
    <row r="18699" spans="1:100">
      <c r="A18699" s="374"/>
      <c r="C18699" s="374"/>
      <c r="CV18699" s="376"/>
    </row>
    <row r="18700" spans="1:100">
      <c r="A18700" s="374"/>
      <c r="C18700" s="374"/>
      <c r="CV18700" s="376"/>
    </row>
    <row r="18701" spans="1:100">
      <c r="A18701" s="374"/>
      <c r="C18701" s="374"/>
      <c r="CV18701" s="376"/>
    </row>
    <row r="18702" spans="1:100">
      <c r="A18702" s="374"/>
      <c r="C18702" s="374"/>
      <c r="CV18702" s="376"/>
    </row>
    <row r="18703" spans="1:100">
      <c r="A18703" s="374"/>
      <c r="C18703" s="374"/>
      <c r="CV18703" s="376"/>
    </row>
    <row r="18704" spans="1:100">
      <c r="A18704" s="374"/>
      <c r="C18704" s="374"/>
      <c r="CV18704" s="376"/>
    </row>
    <row r="18705" spans="1:100">
      <c r="A18705" s="374"/>
      <c r="C18705" s="374"/>
      <c r="CV18705" s="376"/>
    </row>
    <row r="18706" spans="1:100">
      <c r="A18706" s="374"/>
      <c r="C18706" s="374"/>
      <c r="CV18706" s="376"/>
    </row>
    <row r="18707" spans="1:100">
      <c r="A18707" s="374"/>
      <c r="C18707" s="374"/>
      <c r="CV18707" s="376"/>
    </row>
    <row r="18708" spans="1:100">
      <c r="A18708" s="374"/>
      <c r="C18708" s="374"/>
      <c r="CV18708" s="376"/>
    </row>
    <row r="18709" spans="1:100">
      <c r="A18709" s="374"/>
      <c r="C18709" s="374"/>
      <c r="CV18709" s="376"/>
    </row>
    <row r="18710" spans="1:100">
      <c r="A18710" s="374"/>
      <c r="C18710" s="374"/>
      <c r="CV18710" s="376"/>
    </row>
    <row r="18711" spans="1:100">
      <c r="A18711" s="374"/>
      <c r="C18711" s="374"/>
      <c r="CV18711" s="376"/>
    </row>
    <row r="18712" spans="1:100">
      <c r="A18712" s="374"/>
      <c r="C18712" s="374"/>
      <c r="CV18712" s="376"/>
    </row>
    <row r="18713" spans="1:100">
      <c r="A18713" s="374"/>
      <c r="C18713" s="374"/>
      <c r="CV18713" s="376"/>
    </row>
    <row r="18714" spans="1:100">
      <c r="A18714" s="374"/>
      <c r="C18714" s="374"/>
      <c r="CV18714" s="376"/>
    </row>
    <row r="18715" spans="1:100">
      <c r="A18715" s="374"/>
      <c r="C18715" s="374"/>
      <c r="CV18715" s="376"/>
    </row>
    <row r="18716" spans="1:100">
      <c r="A18716" s="374"/>
      <c r="C18716" s="374"/>
      <c r="CV18716" s="376"/>
    </row>
    <row r="18717" spans="1:100">
      <c r="A18717" s="374"/>
      <c r="C18717" s="374"/>
      <c r="CV18717" s="376"/>
    </row>
    <row r="18718" spans="1:100">
      <c r="A18718" s="374"/>
      <c r="C18718" s="374"/>
      <c r="CV18718" s="376"/>
    </row>
    <row r="18719" spans="1:100">
      <c r="A18719" s="374"/>
      <c r="C18719" s="374"/>
      <c r="CV18719" s="376"/>
    </row>
    <row r="18720" spans="1:100">
      <c r="A18720" s="374"/>
      <c r="C18720" s="374"/>
      <c r="CV18720" s="376"/>
    </row>
    <row r="18721" spans="1:100">
      <c r="A18721" s="374"/>
      <c r="C18721" s="374"/>
      <c r="CV18721" s="376"/>
    </row>
    <row r="18722" spans="1:100">
      <c r="A18722" s="374"/>
      <c r="C18722" s="374"/>
      <c r="CV18722" s="376"/>
    </row>
    <row r="18723" spans="1:100">
      <c r="A18723" s="374"/>
      <c r="C18723" s="374"/>
      <c r="CV18723" s="376"/>
    </row>
    <row r="18724" spans="1:100">
      <c r="A18724" s="374"/>
      <c r="C18724" s="374"/>
      <c r="CV18724" s="376"/>
    </row>
    <row r="18725" spans="1:100">
      <c r="A18725" s="374"/>
      <c r="C18725" s="374"/>
      <c r="CV18725" s="376"/>
    </row>
    <row r="18726" spans="1:100">
      <c r="A18726" s="374"/>
      <c r="C18726" s="374"/>
      <c r="CV18726" s="376"/>
    </row>
    <row r="18727" spans="1:100">
      <c r="A18727" s="374"/>
      <c r="C18727" s="374"/>
      <c r="CV18727" s="376"/>
    </row>
    <row r="18728" spans="1:100">
      <c r="A18728" s="374"/>
      <c r="C18728" s="374"/>
      <c r="CV18728" s="376"/>
    </row>
    <row r="18729" spans="1:100">
      <c r="A18729" s="374"/>
      <c r="C18729" s="374"/>
      <c r="CV18729" s="376"/>
    </row>
    <row r="18730" spans="1:100">
      <c r="A18730" s="374"/>
      <c r="C18730" s="374"/>
      <c r="CV18730" s="376"/>
    </row>
    <row r="18731" spans="1:100">
      <c r="A18731" s="374"/>
      <c r="C18731" s="374"/>
      <c r="CV18731" s="376"/>
    </row>
    <row r="18732" spans="1:100">
      <c r="A18732" s="374"/>
      <c r="C18732" s="374"/>
      <c r="CV18732" s="376"/>
    </row>
    <row r="18733" spans="1:100">
      <c r="A18733" s="374"/>
      <c r="C18733" s="374"/>
      <c r="CV18733" s="376"/>
    </row>
    <row r="18734" spans="1:100">
      <c r="A18734" s="374"/>
      <c r="C18734" s="374"/>
      <c r="CV18734" s="376"/>
    </row>
    <row r="18735" spans="1:100">
      <c r="A18735" s="374"/>
      <c r="C18735" s="374"/>
      <c r="CV18735" s="376"/>
    </row>
    <row r="18736" spans="1:100">
      <c r="A18736" s="374"/>
      <c r="C18736" s="374"/>
      <c r="CV18736" s="376"/>
    </row>
    <row r="18737" spans="1:100">
      <c r="A18737" s="374"/>
      <c r="C18737" s="374"/>
      <c r="CV18737" s="376"/>
    </row>
    <row r="18738" spans="1:100">
      <c r="A18738" s="374"/>
      <c r="C18738" s="374"/>
      <c r="CV18738" s="376"/>
    </row>
    <row r="18739" spans="1:100">
      <c r="A18739" s="374"/>
      <c r="C18739" s="374"/>
      <c r="CV18739" s="376"/>
    </row>
    <row r="18740" spans="1:100">
      <c r="A18740" s="374"/>
      <c r="C18740" s="374"/>
      <c r="CV18740" s="376"/>
    </row>
    <row r="18741" spans="1:100">
      <c r="A18741" s="374"/>
      <c r="C18741" s="374"/>
      <c r="CV18741" s="376"/>
    </row>
    <row r="18742" spans="1:100">
      <c r="A18742" s="374"/>
      <c r="C18742" s="374"/>
      <c r="CV18742" s="376"/>
    </row>
    <row r="18743" spans="1:100">
      <c r="A18743" s="374"/>
      <c r="C18743" s="374"/>
      <c r="CV18743" s="376"/>
    </row>
    <row r="18744" spans="1:100">
      <c r="A18744" s="374"/>
      <c r="C18744" s="374"/>
      <c r="CV18744" s="376"/>
    </row>
    <row r="18745" spans="1:100">
      <c r="A18745" s="374"/>
      <c r="C18745" s="374"/>
      <c r="CV18745" s="376"/>
    </row>
    <row r="18746" spans="1:100">
      <c r="A18746" s="374"/>
      <c r="C18746" s="374"/>
      <c r="CV18746" s="376"/>
    </row>
    <row r="18747" spans="1:100">
      <c r="A18747" s="374"/>
      <c r="C18747" s="374"/>
      <c r="CV18747" s="376"/>
    </row>
    <row r="18748" spans="1:100">
      <c r="A18748" s="374"/>
      <c r="C18748" s="374"/>
      <c r="CV18748" s="376"/>
    </row>
    <row r="18749" spans="1:100">
      <c r="A18749" s="374"/>
      <c r="C18749" s="374"/>
      <c r="CV18749" s="376"/>
    </row>
    <row r="18750" spans="1:100">
      <c r="A18750" s="374"/>
      <c r="C18750" s="374"/>
      <c r="CV18750" s="376"/>
    </row>
    <row r="18751" spans="1:100">
      <c r="A18751" s="374"/>
      <c r="C18751" s="374"/>
      <c r="CV18751" s="376"/>
    </row>
    <row r="18752" spans="1:100">
      <c r="A18752" s="374"/>
      <c r="C18752" s="374"/>
      <c r="CV18752" s="376"/>
    </row>
    <row r="18753" spans="1:100">
      <c r="A18753" s="374"/>
      <c r="C18753" s="374"/>
      <c r="CV18753" s="376"/>
    </row>
    <row r="18754" spans="1:100">
      <c r="A18754" s="374"/>
      <c r="C18754" s="374"/>
      <c r="CV18754" s="376"/>
    </row>
    <row r="18755" spans="1:100">
      <c r="A18755" s="374"/>
      <c r="C18755" s="374"/>
      <c r="CV18755" s="376"/>
    </row>
    <row r="18756" spans="1:100">
      <c r="A18756" s="374"/>
      <c r="C18756" s="374"/>
      <c r="CV18756" s="376"/>
    </row>
    <row r="18757" spans="1:100">
      <c r="A18757" s="374"/>
      <c r="C18757" s="374"/>
      <c r="CV18757" s="376"/>
    </row>
    <row r="18758" spans="1:100">
      <c r="A18758" s="374"/>
      <c r="C18758" s="374"/>
      <c r="CV18758" s="376"/>
    </row>
    <row r="18759" spans="1:100">
      <c r="A18759" s="374"/>
      <c r="C18759" s="374"/>
      <c r="CV18759" s="376"/>
    </row>
    <row r="18760" spans="1:100">
      <c r="A18760" s="374"/>
      <c r="C18760" s="374"/>
      <c r="CV18760" s="376"/>
    </row>
    <row r="18761" spans="1:100">
      <c r="A18761" s="374"/>
      <c r="C18761" s="374"/>
      <c r="CV18761" s="376"/>
    </row>
    <row r="18762" spans="1:100">
      <c r="A18762" s="374"/>
      <c r="C18762" s="374"/>
      <c r="CV18762" s="376"/>
    </row>
    <row r="18763" spans="1:100">
      <c r="A18763" s="374"/>
      <c r="C18763" s="374"/>
      <c r="CV18763" s="376"/>
    </row>
    <row r="18764" spans="1:100">
      <c r="A18764" s="374"/>
      <c r="C18764" s="374"/>
      <c r="CV18764" s="376"/>
    </row>
    <row r="18765" spans="1:100">
      <c r="A18765" s="374"/>
      <c r="C18765" s="374"/>
      <c r="CV18765" s="376"/>
    </row>
    <row r="18766" spans="1:100">
      <c r="A18766" s="374"/>
      <c r="C18766" s="374"/>
      <c r="CV18766" s="376"/>
    </row>
    <row r="18767" spans="1:100">
      <c r="A18767" s="374"/>
      <c r="C18767" s="374"/>
      <c r="CV18767" s="376"/>
    </row>
    <row r="18768" spans="1:100">
      <c r="A18768" s="374"/>
      <c r="C18768" s="374"/>
      <c r="CV18768" s="376"/>
    </row>
    <row r="18769" spans="1:100">
      <c r="A18769" s="374"/>
      <c r="C18769" s="374"/>
      <c r="CV18769" s="376"/>
    </row>
    <row r="18770" spans="1:100">
      <c r="A18770" s="374"/>
      <c r="C18770" s="374"/>
      <c r="CV18770" s="376"/>
    </row>
    <row r="18771" spans="1:100">
      <c r="A18771" s="374"/>
      <c r="C18771" s="374"/>
      <c r="CV18771" s="376"/>
    </row>
    <row r="18772" spans="1:100">
      <c r="A18772" s="374"/>
      <c r="C18772" s="374"/>
      <c r="CV18772" s="376"/>
    </row>
    <row r="18773" spans="1:100">
      <c r="A18773" s="374"/>
      <c r="C18773" s="374"/>
      <c r="CV18773" s="376"/>
    </row>
    <row r="18774" spans="1:100">
      <c r="A18774" s="374"/>
      <c r="C18774" s="374"/>
      <c r="CV18774" s="376"/>
    </row>
    <row r="18775" spans="1:100">
      <c r="A18775" s="374"/>
      <c r="C18775" s="374"/>
      <c r="CV18775" s="376"/>
    </row>
    <row r="18776" spans="1:100">
      <c r="A18776" s="374"/>
      <c r="C18776" s="374"/>
      <c r="CV18776" s="376"/>
    </row>
    <row r="18777" spans="1:100">
      <c r="A18777" s="374"/>
      <c r="C18777" s="374"/>
      <c r="CV18777" s="376"/>
    </row>
    <row r="18778" spans="1:100">
      <c r="A18778" s="374"/>
      <c r="C18778" s="374"/>
      <c r="CV18778" s="376"/>
    </row>
    <row r="18779" spans="1:100">
      <c r="A18779" s="374"/>
      <c r="C18779" s="374"/>
      <c r="CV18779" s="376"/>
    </row>
    <row r="18780" spans="1:100">
      <c r="A18780" s="374"/>
      <c r="C18780" s="374"/>
      <c r="CV18780" s="376"/>
    </row>
    <row r="18781" spans="1:100">
      <c r="A18781" s="374"/>
      <c r="C18781" s="374"/>
      <c r="CV18781" s="376"/>
    </row>
    <row r="18782" spans="1:100">
      <c r="A18782" s="374"/>
      <c r="C18782" s="374"/>
      <c r="CV18782" s="376"/>
    </row>
    <row r="18783" spans="1:100">
      <c r="A18783" s="374"/>
      <c r="C18783" s="374"/>
      <c r="CV18783" s="376"/>
    </row>
    <row r="18784" spans="1:100">
      <c r="A18784" s="374"/>
      <c r="C18784" s="374"/>
      <c r="CV18784" s="376"/>
    </row>
    <row r="18785" spans="1:100">
      <c r="A18785" s="374"/>
      <c r="C18785" s="374"/>
      <c r="CV18785" s="376"/>
    </row>
    <row r="18786" spans="1:100">
      <c r="A18786" s="374"/>
      <c r="C18786" s="374"/>
      <c r="CV18786" s="376"/>
    </row>
    <row r="18787" spans="1:100">
      <c r="A18787" s="374"/>
      <c r="C18787" s="374"/>
      <c r="CV18787" s="376"/>
    </row>
    <row r="18788" spans="1:100">
      <c r="A18788" s="374"/>
      <c r="C18788" s="374"/>
      <c r="CV18788" s="376"/>
    </row>
    <row r="18789" spans="1:100">
      <c r="A18789" s="374"/>
      <c r="C18789" s="374"/>
      <c r="CV18789" s="376"/>
    </row>
    <row r="18790" spans="1:100">
      <c r="A18790" s="374"/>
      <c r="C18790" s="374"/>
      <c r="CV18790" s="376"/>
    </row>
    <row r="18791" spans="1:100">
      <c r="A18791" s="374"/>
      <c r="C18791" s="374"/>
      <c r="CV18791" s="376"/>
    </row>
    <row r="18792" spans="1:100">
      <c r="A18792" s="374"/>
      <c r="C18792" s="374"/>
      <c r="CV18792" s="376"/>
    </row>
    <row r="18793" spans="1:100">
      <c r="A18793" s="374"/>
      <c r="C18793" s="374"/>
      <c r="CV18793" s="376"/>
    </row>
    <row r="18794" spans="1:100">
      <c r="A18794" s="374"/>
      <c r="C18794" s="374"/>
      <c r="CV18794" s="376"/>
    </row>
    <row r="18795" spans="1:100">
      <c r="A18795" s="374"/>
      <c r="C18795" s="374"/>
      <c r="CV18795" s="376"/>
    </row>
    <row r="18796" spans="1:100">
      <c r="A18796" s="374"/>
      <c r="C18796" s="374"/>
      <c r="CV18796" s="376"/>
    </row>
    <row r="18797" spans="1:100">
      <c r="A18797" s="374"/>
      <c r="C18797" s="374"/>
      <c r="CV18797" s="376"/>
    </row>
    <row r="18798" spans="1:100">
      <c r="A18798" s="374"/>
      <c r="C18798" s="374"/>
      <c r="CV18798" s="376"/>
    </row>
    <row r="18799" spans="1:100">
      <c r="A18799" s="374"/>
      <c r="C18799" s="374"/>
      <c r="CV18799" s="376"/>
    </row>
    <row r="18800" spans="1:100">
      <c r="A18800" s="374"/>
      <c r="C18800" s="374"/>
      <c r="CV18800" s="376"/>
    </row>
    <row r="18801" spans="1:100">
      <c r="A18801" s="374"/>
      <c r="C18801" s="374"/>
      <c r="CV18801" s="376"/>
    </row>
    <row r="18802" spans="1:100">
      <c r="A18802" s="374"/>
      <c r="C18802" s="374"/>
      <c r="CV18802" s="376"/>
    </row>
    <row r="18803" spans="1:100">
      <c r="A18803" s="374"/>
      <c r="C18803" s="374"/>
      <c r="CV18803" s="376"/>
    </row>
    <row r="18804" spans="1:100">
      <c r="A18804" s="374"/>
      <c r="C18804" s="374"/>
      <c r="CV18804" s="376"/>
    </row>
    <row r="18805" spans="1:100">
      <c r="A18805" s="374"/>
      <c r="C18805" s="374"/>
      <c r="CV18805" s="376"/>
    </row>
    <row r="18806" spans="1:100">
      <c r="A18806" s="374"/>
      <c r="C18806" s="374"/>
      <c r="CV18806" s="376"/>
    </row>
    <row r="18807" spans="1:100">
      <c r="A18807" s="374"/>
      <c r="C18807" s="374"/>
      <c r="CV18807" s="376"/>
    </row>
    <row r="18808" spans="1:100">
      <c r="A18808" s="374"/>
      <c r="C18808" s="374"/>
      <c r="CV18808" s="376"/>
    </row>
    <row r="18809" spans="1:100">
      <c r="A18809" s="374"/>
      <c r="C18809" s="374"/>
      <c r="CV18809" s="376"/>
    </row>
    <row r="18810" spans="1:100">
      <c r="A18810" s="374"/>
      <c r="C18810" s="374"/>
      <c r="CV18810" s="376"/>
    </row>
    <row r="18811" spans="1:100">
      <c r="A18811" s="374"/>
      <c r="C18811" s="374"/>
      <c r="CV18811" s="376"/>
    </row>
    <row r="18812" spans="1:100">
      <c r="A18812" s="374"/>
      <c r="C18812" s="374"/>
      <c r="CV18812" s="376"/>
    </row>
    <row r="18813" spans="1:100">
      <c r="A18813" s="374"/>
      <c r="C18813" s="374"/>
      <c r="CV18813" s="376"/>
    </row>
    <row r="18814" spans="1:100">
      <c r="A18814" s="374"/>
      <c r="C18814" s="374"/>
      <c r="CV18814" s="376"/>
    </row>
    <row r="18815" spans="1:100">
      <c r="A18815" s="374"/>
      <c r="C18815" s="374"/>
      <c r="CV18815" s="376"/>
    </row>
    <row r="18816" spans="1:100">
      <c r="A18816" s="374"/>
      <c r="C18816" s="374"/>
      <c r="CV18816" s="376"/>
    </row>
    <row r="18817" spans="1:100">
      <c r="A18817" s="374"/>
      <c r="C18817" s="374"/>
      <c r="CV18817" s="376"/>
    </row>
    <row r="18818" spans="1:100">
      <c r="A18818" s="374"/>
      <c r="C18818" s="374"/>
      <c r="CV18818" s="376"/>
    </row>
    <row r="18819" spans="1:100">
      <c r="A18819" s="374"/>
      <c r="C18819" s="374"/>
      <c r="CV18819" s="376"/>
    </row>
    <row r="18820" spans="1:100">
      <c r="A18820" s="374"/>
      <c r="C18820" s="374"/>
      <c r="CV18820" s="376"/>
    </row>
    <row r="18821" spans="1:100">
      <c r="A18821" s="374"/>
      <c r="C18821" s="374"/>
      <c r="CV18821" s="376"/>
    </row>
    <row r="18822" spans="1:100">
      <c r="A18822" s="374"/>
      <c r="C18822" s="374"/>
      <c r="CV18822" s="376"/>
    </row>
    <row r="18823" spans="1:100">
      <c r="A18823" s="374"/>
      <c r="C18823" s="374"/>
      <c r="CV18823" s="376"/>
    </row>
    <row r="18824" spans="1:100">
      <c r="A18824" s="374"/>
      <c r="C18824" s="374"/>
      <c r="CV18824" s="376"/>
    </row>
    <row r="18825" spans="1:100">
      <c r="A18825" s="374"/>
      <c r="C18825" s="374"/>
      <c r="CV18825" s="376"/>
    </row>
    <row r="18826" spans="1:100">
      <c r="A18826" s="374"/>
      <c r="C18826" s="374"/>
      <c r="CV18826" s="376"/>
    </row>
    <row r="18827" spans="1:100">
      <c r="A18827" s="374"/>
      <c r="C18827" s="374"/>
      <c r="CV18827" s="376"/>
    </row>
    <row r="18828" spans="1:100">
      <c r="A18828" s="374"/>
      <c r="C18828" s="374"/>
      <c r="CV18828" s="376"/>
    </row>
    <row r="18829" spans="1:100">
      <c r="A18829" s="374"/>
      <c r="C18829" s="374"/>
      <c r="CV18829" s="376"/>
    </row>
    <row r="18830" spans="1:100">
      <c r="A18830" s="374"/>
      <c r="C18830" s="374"/>
      <c r="CV18830" s="376"/>
    </row>
    <row r="18831" spans="1:100">
      <c r="A18831" s="374"/>
      <c r="C18831" s="374"/>
      <c r="CV18831" s="376"/>
    </row>
    <row r="18832" spans="1:100">
      <c r="A18832" s="374"/>
      <c r="C18832" s="374"/>
      <c r="CV18832" s="376"/>
    </row>
    <row r="18833" spans="1:100">
      <c r="A18833" s="374"/>
      <c r="C18833" s="374"/>
      <c r="CV18833" s="376"/>
    </row>
    <row r="18834" spans="1:100">
      <c r="A18834" s="374"/>
      <c r="C18834" s="374"/>
      <c r="CV18834" s="376"/>
    </row>
    <row r="18835" spans="1:100">
      <c r="A18835" s="374"/>
      <c r="C18835" s="374"/>
      <c r="CV18835" s="376"/>
    </row>
    <row r="18836" spans="1:100">
      <c r="A18836" s="374"/>
      <c r="C18836" s="374"/>
      <c r="CV18836" s="376"/>
    </row>
    <row r="18837" spans="1:100">
      <c r="A18837" s="374"/>
      <c r="C18837" s="374"/>
      <c r="CV18837" s="376"/>
    </row>
    <row r="18838" spans="1:100">
      <c r="A18838" s="374"/>
      <c r="C18838" s="374"/>
      <c r="CV18838" s="376"/>
    </row>
    <row r="18839" spans="1:100">
      <c r="A18839" s="374"/>
      <c r="C18839" s="374"/>
      <c r="CV18839" s="376"/>
    </row>
    <row r="18840" spans="1:100">
      <c r="A18840" s="374"/>
      <c r="C18840" s="374"/>
      <c r="CV18840" s="376"/>
    </row>
    <row r="18841" spans="1:100">
      <c r="A18841" s="374"/>
      <c r="C18841" s="374"/>
      <c r="CV18841" s="376"/>
    </row>
    <row r="18842" spans="1:100">
      <c r="A18842" s="374"/>
      <c r="C18842" s="374"/>
      <c r="CV18842" s="376"/>
    </row>
    <row r="18843" spans="1:100">
      <c r="A18843" s="374"/>
      <c r="C18843" s="374"/>
      <c r="CV18843" s="376"/>
    </row>
    <row r="18844" spans="1:100">
      <c r="A18844" s="374"/>
      <c r="C18844" s="374"/>
      <c r="CV18844" s="376"/>
    </row>
    <row r="18845" spans="1:100">
      <c r="A18845" s="374"/>
      <c r="C18845" s="374"/>
      <c r="CV18845" s="376"/>
    </row>
    <row r="18846" spans="1:100">
      <c r="A18846" s="374"/>
      <c r="C18846" s="374"/>
      <c r="CV18846" s="376"/>
    </row>
    <row r="18847" spans="1:100">
      <c r="A18847" s="374"/>
      <c r="C18847" s="374"/>
      <c r="CV18847" s="376"/>
    </row>
    <row r="18848" spans="1:100">
      <c r="A18848" s="374"/>
      <c r="C18848" s="374"/>
      <c r="CV18848" s="376"/>
    </row>
    <row r="18849" spans="1:100">
      <c r="A18849" s="374"/>
      <c r="C18849" s="374"/>
      <c r="CV18849" s="376"/>
    </row>
    <row r="18850" spans="1:100">
      <c r="A18850" s="374"/>
      <c r="C18850" s="374"/>
      <c r="CV18850" s="376"/>
    </row>
    <row r="18851" spans="1:100">
      <c r="A18851" s="374"/>
      <c r="C18851" s="374"/>
      <c r="CV18851" s="376"/>
    </row>
    <row r="18852" spans="1:100">
      <c r="A18852" s="374"/>
      <c r="C18852" s="374"/>
      <c r="CV18852" s="376"/>
    </row>
    <row r="18853" spans="1:100">
      <c r="A18853" s="374"/>
      <c r="C18853" s="374"/>
      <c r="CV18853" s="376"/>
    </row>
    <row r="18854" spans="1:100">
      <c r="A18854" s="374"/>
      <c r="C18854" s="374"/>
      <c r="CV18854" s="376"/>
    </row>
    <row r="18855" spans="1:100">
      <c r="A18855" s="374"/>
      <c r="C18855" s="374"/>
      <c r="CV18855" s="376"/>
    </row>
    <row r="18856" spans="1:100">
      <c r="A18856" s="374"/>
      <c r="C18856" s="374"/>
      <c r="CV18856" s="376"/>
    </row>
    <row r="18857" spans="1:100">
      <c r="A18857" s="374"/>
      <c r="C18857" s="374"/>
      <c r="CV18857" s="376"/>
    </row>
    <row r="18858" spans="1:100">
      <c r="A18858" s="374"/>
      <c r="C18858" s="374"/>
      <c r="CV18858" s="376"/>
    </row>
    <row r="18859" spans="1:100">
      <c r="A18859" s="374"/>
      <c r="C18859" s="374"/>
      <c r="CV18859" s="376"/>
    </row>
    <row r="18860" spans="1:100">
      <c r="A18860" s="374"/>
      <c r="C18860" s="374"/>
      <c r="CV18860" s="376"/>
    </row>
    <row r="18861" spans="1:100">
      <c r="A18861" s="374"/>
      <c r="C18861" s="374"/>
      <c r="CV18861" s="376"/>
    </row>
    <row r="18862" spans="1:100">
      <c r="A18862" s="374"/>
      <c r="C18862" s="374"/>
      <c r="CV18862" s="376"/>
    </row>
    <row r="18863" spans="1:100">
      <c r="A18863" s="374"/>
      <c r="C18863" s="374"/>
      <c r="CV18863" s="376"/>
    </row>
    <row r="18864" spans="1:100">
      <c r="A18864" s="374"/>
      <c r="C18864" s="374"/>
      <c r="CV18864" s="376"/>
    </row>
    <row r="18865" spans="1:100">
      <c r="A18865" s="374"/>
      <c r="C18865" s="374"/>
      <c r="CV18865" s="376"/>
    </row>
    <row r="18866" spans="1:100">
      <c r="A18866" s="374"/>
      <c r="C18866" s="374"/>
      <c r="CV18866" s="376"/>
    </row>
    <row r="18867" spans="1:100">
      <c r="A18867" s="374"/>
      <c r="C18867" s="374"/>
      <c r="CV18867" s="376"/>
    </row>
    <row r="18868" spans="1:100">
      <c r="A18868" s="374"/>
      <c r="C18868" s="374"/>
      <c r="CV18868" s="376"/>
    </row>
    <row r="18869" spans="1:100">
      <c r="A18869" s="374"/>
      <c r="C18869" s="374"/>
      <c r="CV18869" s="376"/>
    </row>
    <row r="18870" spans="1:100">
      <c r="A18870" s="374"/>
      <c r="C18870" s="374"/>
      <c r="CV18870" s="376"/>
    </row>
    <row r="18871" spans="1:100">
      <c r="A18871" s="374"/>
      <c r="C18871" s="374"/>
      <c r="CV18871" s="376"/>
    </row>
    <row r="18872" spans="1:100">
      <c r="A18872" s="374"/>
      <c r="C18872" s="374"/>
      <c r="CV18872" s="376"/>
    </row>
    <row r="18873" spans="1:100">
      <c r="A18873" s="374"/>
      <c r="C18873" s="374"/>
      <c r="CV18873" s="376"/>
    </row>
    <row r="18874" spans="1:100">
      <c r="A18874" s="374"/>
      <c r="C18874" s="374"/>
      <c r="CV18874" s="376"/>
    </row>
    <row r="18875" spans="1:100">
      <c r="A18875" s="374"/>
      <c r="C18875" s="374"/>
      <c r="CV18875" s="376"/>
    </row>
    <row r="18876" spans="1:100">
      <c r="A18876" s="374"/>
      <c r="C18876" s="374"/>
      <c r="CV18876" s="376"/>
    </row>
    <row r="18877" spans="1:100">
      <c r="A18877" s="374"/>
      <c r="C18877" s="374"/>
      <c r="CV18877" s="376"/>
    </row>
    <row r="18878" spans="1:100">
      <c r="A18878" s="374"/>
      <c r="C18878" s="374"/>
      <c r="CV18878" s="376"/>
    </row>
    <row r="18879" spans="1:100">
      <c r="A18879" s="374"/>
      <c r="C18879" s="374"/>
      <c r="CV18879" s="376"/>
    </row>
    <row r="18880" spans="1:100">
      <c r="A18880" s="374"/>
      <c r="C18880" s="374"/>
      <c r="CV18880" s="376"/>
    </row>
    <row r="18881" spans="1:100">
      <c r="A18881" s="374"/>
      <c r="C18881" s="374"/>
      <c r="CV18881" s="376"/>
    </row>
    <row r="18882" spans="1:100">
      <c r="A18882" s="374"/>
      <c r="C18882" s="374"/>
      <c r="CV18882" s="376"/>
    </row>
    <row r="18883" spans="1:100">
      <c r="A18883" s="374"/>
      <c r="C18883" s="374"/>
      <c r="CV18883" s="376"/>
    </row>
    <row r="18884" spans="1:100">
      <c r="A18884" s="374"/>
      <c r="C18884" s="374"/>
      <c r="CV18884" s="376"/>
    </row>
    <row r="18885" spans="1:100">
      <c r="A18885" s="374"/>
      <c r="C18885" s="374"/>
      <c r="CV18885" s="376"/>
    </row>
    <row r="18886" spans="1:100">
      <c r="A18886" s="374"/>
      <c r="C18886" s="374"/>
      <c r="CV18886" s="376"/>
    </row>
    <row r="18887" spans="1:100">
      <c r="A18887" s="374"/>
      <c r="C18887" s="374"/>
      <c r="CV18887" s="376"/>
    </row>
    <row r="18888" spans="1:100">
      <c r="A18888" s="374"/>
      <c r="C18888" s="374"/>
      <c r="CV18888" s="376"/>
    </row>
    <row r="18889" spans="1:100">
      <c r="A18889" s="374"/>
      <c r="C18889" s="374"/>
      <c r="CV18889" s="376"/>
    </row>
    <row r="18890" spans="1:100">
      <c r="A18890" s="374"/>
      <c r="C18890" s="374"/>
      <c r="CV18890" s="376"/>
    </row>
    <row r="18891" spans="1:100">
      <c r="A18891" s="374"/>
      <c r="C18891" s="374"/>
      <c r="CV18891" s="376"/>
    </row>
    <row r="18892" spans="1:100">
      <c r="A18892" s="374"/>
      <c r="C18892" s="374"/>
      <c r="CV18892" s="376"/>
    </row>
    <row r="18893" spans="1:100">
      <c r="A18893" s="374"/>
      <c r="C18893" s="374"/>
      <c r="CV18893" s="376"/>
    </row>
    <row r="18894" spans="1:100">
      <c r="A18894" s="374"/>
      <c r="C18894" s="374"/>
      <c r="CV18894" s="376"/>
    </row>
    <row r="18895" spans="1:100">
      <c r="A18895" s="374"/>
      <c r="C18895" s="374"/>
      <c r="CV18895" s="376"/>
    </row>
    <row r="18896" spans="1:100">
      <c r="A18896" s="374"/>
      <c r="C18896" s="374"/>
      <c r="CV18896" s="376"/>
    </row>
    <row r="18897" spans="1:100">
      <c r="A18897" s="374"/>
      <c r="C18897" s="374"/>
      <c r="CV18897" s="376"/>
    </row>
    <row r="18898" spans="1:100">
      <c r="A18898" s="374"/>
      <c r="C18898" s="374"/>
      <c r="CV18898" s="376"/>
    </row>
    <row r="18899" spans="1:100">
      <c r="A18899" s="374"/>
      <c r="C18899" s="374"/>
      <c r="CV18899" s="376"/>
    </row>
    <row r="18900" spans="1:100">
      <c r="A18900" s="374"/>
      <c r="C18900" s="374"/>
      <c r="CV18900" s="376"/>
    </row>
    <row r="18901" spans="1:100">
      <c r="A18901" s="374"/>
      <c r="C18901" s="374"/>
      <c r="CV18901" s="376"/>
    </row>
    <row r="18902" spans="1:100">
      <c r="A18902" s="374"/>
      <c r="C18902" s="374"/>
      <c r="CV18902" s="376"/>
    </row>
    <row r="18903" spans="1:100">
      <c r="A18903" s="374"/>
      <c r="C18903" s="374"/>
      <c r="CV18903" s="376"/>
    </row>
    <row r="18904" spans="1:100">
      <c r="A18904" s="374"/>
      <c r="C18904" s="374"/>
      <c r="CV18904" s="376"/>
    </row>
    <row r="18905" spans="1:100">
      <c r="A18905" s="374"/>
      <c r="C18905" s="374"/>
      <c r="CV18905" s="376"/>
    </row>
    <row r="18906" spans="1:100">
      <c r="A18906" s="374"/>
      <c r="C18906" s="374"/>
      <c r="CV18906" s="376"/>
    </row>
    <row r="18907" spans="1:100">
      <c r="A18907" s="374"/>
      <c r="C18907" s="374"/>
      <c r="CV18907" s="376"/>
    </row>
    <row r="18908" spans="1:100">
      <c r="A18908" s="374"/>
      <c r="C18908" s="374"/>
      <c r="CV18908" s="376"/>
    </row>
    <row r="18909" spans="1:100">
      <c r="A18909" s="374"/>
      <c r="C18909" s="374"/>
      <c r="CV18909" s="376"/>
    </row>
    <row r="18910" spans="1:100">
      <c r="A18910" s="374"/>
      <c r="C18910" s="374"/>
      <c r="CV18910" s="376"/>
    </row>
    <row r="18911" spans="1:100">
      <c r="A18911" s="374"/>
      <c r="C18911" s="374"/>
      <c r="CV18911" s="376"/>
    </row>
    <row r="18912" spans="1:100">
      <c r="A18912" s="374"/>
      <c r="C18912" s="374"/>
      <c r="CV18912" s="376"/>
    </row>
    <row r="18913" spans="1:100">
      <c r="A18913" s="374"/>
      <c r="C18913" s="374"/>
      <c r="CV18913" s="376"/>
    </row>
    <row r="18914" spans="1:100">
      <c r="A18914" s="374"/>
      <c r="C18914" s="374"/>
      <c r="CV18914" s="376"/>
    </row>
    <row r="18915" spans="1:100">
      <c r="A18915" s="374"/>
      <c r="C18915" s="374"/>
      <c r="CV18915" s="376"/>
    </row>
    <row r="18916" spans="1:100">
      <c r="A18916" s="374"/>
      <c r="C18916" s="374"/>
      <c r="CV18916" s="376"/>
    </row>
    <row r="18917" spans="1:100">
      <c r="A18917" s="374"/>
      <c r="C18917" s="374"/>
      <c r="CV18917" s="376"/>
    </row>
    <row r="18918" spans="1:100">
      <c r="A18918" s="374"/>
      <c r="C18918" s="374"/>
      <c r="CV18918" s="376"/>
    </row>
    <row r="18919" spans="1:100">
      <c r="A18919" s="374"/>
      <c r="C18919" s="374"/>
      <c r="CV18919" s="376"/>
    </row>
    <row r="18920" spans="1:100">
      <c r="A18920" s="374"/>
      <c r="C18920" s="374"/>
      <c r="CV18920" s="376"/>
    </row>
    <row r="18921" spans="1:100">
      <c r="A18921" s="374"/>
      <c r="C18921" s="374"/>
      <c r="CV18921" s="376"/>
    </row>
    <row r="18922" spans="1:100">
      <c r="A18922" s="374"/>
      <c r="C18922" s="374"/>
      <c r="CV18922" s="376"/>
    </row>
    <row r="18923" spans="1:100">
      <c r="A18923" s="374"/>
      <c r="C18923" s="374"/>
      <c r="CV18923" s="376"/>
    </row>
    <row r="18924" spans="1:100">
      <c r="A18924" s="374"/>
      <c r="C18924" s="374"/>
      <c r="CV18924" s="376"/>
    </row>
    <row r="18925" spans="1:100">
      <c r="A18925" s="374"/>
      <c r="C18925" s="374"/>
      <c r="CV18925" s="376"/>
    </row>
    <row r="18926" spans="1:100">
      <c r="A18926" s="374"/>
      <c r="C18926" s="374"/>
      <c r="CV18926" s="376"/>
    </row>
    <row r="18927" spans="1:100">
      <c r="A18927" s="374"/>
      <c r="C18927" s="374"/>
      <c r="CV18927" s="376"/>
    </row>
    <row r="18928" spans="1:100">
      <c r="A18928" s="374"/>
      <c r="C18928" s="374"/>
      <c r="CV18928" s="376"/>
    </row>
    <row r="18929" spans="1:100">
      <c r="A18929" s="374"/>
      <c r="C18929" s="374"/>
      <c r="CV18929" s="376"/>
    </row>
    <row r="18930" spans="1:100">
      <c r="A18930" s="374"/>
      <c r="C18930" s="374"/>
      <c r="CV18930" s="376"/>
    </row>
    <row r="18931" spans="1:100">
      <c r="A18931" s="374"/>
      <c r="C18931" s="374"/>
      <c r="CV18931" s="376"/>
    </row>
    <row r="18932" spans="1:100">
      <c r="A18932" s="374"/>
      <c r="C18932" s="374"/>
      <c r="CV18932" s="376"/>
    </row>
    <row r="18933" spans="1:100">
      <c r="A18933" s="374"/>
      <c r="C18933" s="374"/>
      <c r="CV18933" s="376"/>
    </row>
    <row r="18934" spans="1:100">
      <c r="A18934" s="374"/>
      <c r="C18934" s="374"/>
      <c r="CV18934" s="376"/>
    </row>
    <row r="18935" spans="1:100">
      <c r="A18935" s="374"/>
      <c r="C18935" s="374"/>
      <c r="CV18935" s="376"/>
    </row>
    <row r="18936" spans="1:100">
      <c r="A18936" s="374"/>
      <c r="C18936" s="374"/>
      <c r="CV18936" s="376"/>
    </row>
    <row r="18937" spans="1:100">
      <c r="A18937" s="374"/>
      <c r="C18937" s="374"/>
      <c r="CV18937" s="376"/>
    </row>
    <row r="18938" spans="1:100">
      <c r="A18938" s="374"/>
      <c r="C18938" s="374"/>
      <c r="CV18938" s="376"/>
    </row>
    <row r="18939" spans="1:100">
      <c r="A18939" s="374"/>
      <c r="C18939" s="374"/>
      <c r="CV18939" s="376"/>
    </row>
    <row r="18940" spans="1:100">
      <c r="A18940" s="374"/>
      <c r="C18940" s="374"/>
      <c r="CV18940" s="376"/>
    </row>
    <row r="18941" spans="1:100">
      <c r="A18941" s="374"/>
      <c r="C18941" s="374"/>
      <c r="CV18941" s="376"/>
    </row>
    <row r="18942" spans="1:100">
      <c r="A18942" s="374"/>
      <c r="C18942" s="374"/>
      <c r="CV18942" s="376"/>
    </row>
    <row r="18943" spans="1:100">
      <c r="A18943" s="374"/>
      <c r="C18943" s="374"/>
      <c r="CV18943" s="376"/>
    </row>
    <row r="18944" spans="1:100">
      <c r="A18944" s="374"/>
      <c r="C18944" s="374"/>
      <c r="CV18944" s="376"/>
    </row>
    <row r="18945" spans="1:100">
      <c r="A18945" s="374"/>
      <c r="C18945" s="374"/>
      <c r="CV18945" s="376"/>
    </row>
    <row r="18946" spans="1:100">
      <c r="A18946" s="374"/>
      <c r="C18946" s="374"/>
      <c r="CV18946" s="376"/>
    </row>
    <row r="18947" spans="1:100">
      <c r="A18947" s="374"/>
      <c r="C18947" s="374"/>
      <c r="CV18947" s="376"/>
    </row>
    <row r="18948" spans="1:100">
      <c r="A18948" s="374"/>
      <c r="C18948" s="374"/>
      <c r="CV18948" s="376"/>
    </row>
    <row r="18949" spans="1:100">
      <c r="A18949" s="374"/>
      <c r="C18949" s="374"/>
      <c r="CV18949" s="376"/>
    </row>
    <row r="18950" spans="1:100">
      <c r="A18950" s="374"/>
      <c r="C18950" s="374"/>
      <c r="CV18950" s="376"/>
    </row>
    <row r="18951" spans="1:100">
      <c r="A18951" s="374"/>
      <c r="C18951" s="374"/>
      <c r="CV18951" s="376"/>
    </row>
    <row r="18952" spans="1:100">
      <c r="A18952" s="374"/>
      <c r="C18952" s="374"/>
      <c r="CV18952" s="376"/>
    </row>
    <row r="18953" spans="1:100">
      <c r="A18953" s="374"/>
      <c r="C18953" s="374"/>
      <c r="CV18953" s="376"/>
    </row>
    <row r="18954" spans="1:100">
      <c r="A18954" s="374"/>
      <c r="C18954" s="374"/>
      <c r="CV18954" s="376"/>
    </row>
    <row r="18955" spans="1:100">
      <c r="A18955" s="374"/>
      <c r="C18955" s="374"/>
      <c r="CV18955" s="376"/>
    </row>
    <row r="18956" spans="1:100">
      <c r="A18956" s="374"/>
      <c r="C18956" s="374"/>
      <c r="CV18956" s="376"/>
    </row>
    <row r="18957" spans="1:100">
      <c r="A18957" s="374"/>
      <c r="C18957" s="374"/>
      <c r="CV18957" s="376"/>
    </row>
    <row r="18958" spans="1:100">
      <c r="A18958" s="374"/>
      <c r="C18958" s="374"/>
      <c r="CV18958" s="376"/>
    </row>
    <row r="18959" spans="1:100">
      <c r="A18959" s="374"/>
      <c r="C18959" s="374"/>
      <c r="CV18959" s="376"/>
    </row>
    <row r="18960" spans="1:100">
      <c r="A18960" s="374"/>
      <c r="C18960" s="374"/>
      <c r="CV18960" s="376"/>
    </row>
    <row r="18961" spans="1:100">
      <c r="A18961" s="374"/>
      <c r="C18961" s="374"/>
      <c r="CV18961" s="376"/>
    </row>
    <row r="18962" spans="1:100">
      <c r="A18962" s="374"/>
      <c r="C18962" s="374"/>
      <c r="CV18962" s="376"/>
    </row>
    <row r="18963" spans="1:100">
      <c r="A18963" s="374"/>
      <c r="C18963" s="374"/>
      <c r="CV18963" s="376"/>
    </row>
    <row r="18964" spans="1:100">
      <c r="A18964" s="374"/>
      <c r="C18964" s="374"/>
      <c r="CV18964" s="376"/>
    </row>
    <row r="18965" spans="1:100">
      <c r="A18965" s="374"/>
      <c r="C18965" s="374"/>
      <c r="CV18965" s="376"/>
    </row>
    <row r="18966" spans="1:100">
      <c r="A18966" s="374"/>
      <c r="C18966" s="374"/>
      <c r="CV18966" s="376"/>
    </row>
    <row r="18967" spans="1:100">
      <c r="A18967" s="374"/>
      <c r="C18967" s="374"/>
      <c r="CV18967" s="376"/>
    </row>
    <row r="18968" spans="1:100">
      <c r="A18968" s="374"/>
      <c r="C18968" s="374"/>
      <c r="CV18968" s="376"/>
    </row>
    <row r="18969" spans="1:100">
      <c r="A18969" s="374"/>
      <c r="C18969" s="374"/>
      <c r="CV18969" s="376"/>
    </row>
    <row r="18970" spans="1:100">
      <c r="A18970" s="374"/>
      <c r="C18970" s="374"/>
      <c r="CV18970" s="376"/>
    </row>
    <row r="18971" spans="1:100">
      <c r="A18971" s="374"/>
      <c r="C18971" s="374"/>
      <c r="CV18971" s="376"/>
    </row>
    <row r="18972" spans="1:100">
      <c r="A18972" s="374"/>
      <c r="C18972" s="374"/>
      <c r="CV18972" s="376"/>
    </row>
    <row r="18973" spans="1:100">
      <c r="A18973" s="374"/>
      <c r="C18973" s="374"/>
      <c r="CV18973" s="376"/>
    </row>
    <row r="18974" spans="1:100">
      <c r="A18974" s="374"/>
      <c r="C18974" s="374"/>
      <c r="CV18974" s="376"/>
    </row>
    <row r="18975" spans="1:100">
      <c r="A18975" s="374"/>
      <c r="C18975" s="374"/>
      <c r="CV18975" s="376"/>
    </row>
    <row r="18976" spans="1:100">
      <c r="A18976" s="374"/>
      <c r="C18976" s="374"/>
      <c r="CV18976" s="376"/>
    </row>
    <row r="18977" spans="1:100">
      <c r="A18977" s="374"/>
      <c r="C18977" s="374"/>
      <c r="CV18977" s="376"/>
    </row>
    <row r="18978" spans="1:100">
      <c r="A18978" s="374"/>
      <c r="C18978" s="374"/>
      <c r="CV18978" s="376"/>
    </row>
    <row r="18979" spans="1:100">
      <c r="A18979" s="374"/>
      <c r="C18979" s="374"/>
      <c r="CV18979" s="376"/>
    </row>
    <row r="18980" spans="1:100">
      <c r="A18980" s="374"/>
      <c r="C18980" s="374"/>
      <c r="CV18980" s="376"/>
    </row>
    <row r="18981" spans="1:100">
      <c r="A18981" s="374"/>
      <c r="C18981" s="374"/>
      <c r="CV18981" s="376"/>
    </row>
    <row r="18982" spans="1:100">
      <c r="A18982" s="374"/>
      <c r="C18982" s="374"/>
      <c r="CV18982" s="376"/>
    </row>
    <row r="18983" spans="1:100">
      <c r="A18983" s="374"/>
      <c r="C18983" s="374"/>
      <c r="CV18983" s="376"/>
    </row>
    <row r="18984" spans="1:100">
      <c r="A18984" s="374"/>
      <c r="C18984" s="374"/>
      <c r="CV18984" s="376"/>
    </row>
    <row r="18985" spans="1:100">
      <c r="A18985" s="374"/>
      <c r="C18985" s="374"/>
      <c r="CV18985" s="376"/>
    </row>
    <row r="18986" spans="1:100">
      <c r="A18986" s="374"/>
      <c r="C18986" s="374"/>
      <c r="CV18986" s="376"/>
    </row>
    <row r="18987" spans="1:100">
      <c r="A18987" s="374"/>
      <c r="C18987" s="374"/>
      <c r="CV18987" s="376"/>
    </row>
    <row r="18988" spans="1:100">
      <c r="A18988" s="374"/>
      <c r="C18988" s="374"/>
      <c r="CV18988" s="376"/>
    </row>
    <row r="18989" spans="1:100">
      <c r="A18989" s="374"/>
      <c r="C18989" s="374"/>
      <c r="CV18989" s="376"/>
    </row>
    <row r="18990" spans="1:100">
      <c r="A18990" s="374"/>
      <c r="C18990" s="374"/>
      <c r="CV18990" s="376"/>
    </row>
    <row r="18991" spans="1:100">
      <c r="A18991" s="374"/>
      <c r="C18991" s="374"/>
      <c r="CV18991" s="376"/>
    </row>
    <row r="18992" spans="1:100">
      <c r="A18992" s="374"/>
      <c r="C18992" s="374"/>
      <c r="CV18992" s="376"/>
    </row>
    <row r="18993" spans="1:100">
      <c r="A18993" s="374"/>
      <c r="C18993" s="374"/>
      <c r="CV18993" s="376"/>
    </row>
    <row r="18994" spans="1:100">
      <c r="A18994" s="374"/>
      <c r="C18994" s="374"/>
      <c r="CV18994" s="376"/>
    </row>
    <row r="18995" spans="1:100">
      <c r="A18995" s="374"/>
      <c r="C18995" s="374"/>
      <c r="CV18995" s="376"/>
    </row>
    <row r="18996" spans="1:100">
      <c r="A18996" s="374"/>
      <c r="C18996" s="374"/>
      <c r="CV18996" s="376"/>
    </row>
    <row r="18997" spans="1:100">
      <c r="A18997" s="374"/>
      <c r="C18997" s="374"/>
      <c r="CV18997" s="376"/>
    </row>
    <row r="18998" spans="1:100">
      <c r="A18998" s="374"/>
      <c r="C18998" s="374"/>
      <c r="CV18998" s="376"/>
    </row>
    <row r="18999" spans="1:100">
      <c r="A18999" s="374"/>
      <c r="C18999" s="374"/>
      <c r="CV18999" s="376"/>
    </row>
    <row r="19000" spans="1:100">
      <c r="A19000" s="374"/>
      <c r="C19000" s="374"/>
      <c r="CV19000" s="376"/>
    </row>
    <row r="19001" spans="1:100">
      <c r="A19001" s="374"/>
      <c r="C19001" s="374"/>
      <c r="CV19001" s="376"/>
    </row>
    <row r="19002" spans="1:100">
      <c r="A19002" s="374"/>
      <c r="C19002" s="374"/>
      <c r="CV19002" s="376"/>
    </row>
    <row r="19003" spans="1:100">
      <c r="A19003" s="374"/>
      <c r="C19003" s="374"/>
      <c r="CV19003" s="376"/>
    </row>
    <row r="19004" spans="1:100">
      <c r="A19004" s="374"/>
      <c r="C19004" s="374"/>
      <c r="CV19004" s="376"/>
    </row>
    <row r="19005" spans="1:100">
      <c r="A19005" s="374"/>
      <c r="C19005" s="374"/>
      <c r="CV19005" s="376"/>
    </row>
    <row r="19006" spans="1:100">
      <c r="A19006" s="374"/>
      <c r="C19006" s="374"/>
      <c r="CV19006" s="376"/>
    </row>
    <row r="19007" spans="1:100">
      <c r="A19007" s="374"/>
      <c r="C19007" s="374"/>
      <c r="CV19007" s="376"/>
    </row>
    <row r="19008" spans="1:100">
      <c r="A19008" s="374"/>
      <c r="C19008" s="374"/>
      <c r="CV19008" s="376"/>
    </row>
    <row r="19009" spans="1:100">
      <c r="A19009" s="374"/>
      <c r="C19009" s="374"/>
      <c r="CV19009" s="376"/>
    </row>
    <row r="19010" spans="1:100">
      <c r="A19010" s="374"/>
      <c r="C19010" s="374"/>
      <c r="CV19010" s="376"/>
    </row>
    <row r="19011" spans="1:100">
      <c r="A19011" s="374"/>
      <c r="C19011" s="374"/>
      <c r="CV19011" s="376"/>
    </row>
    <row r="19012" spans="1:100">
      <c r="A19012" s="374"/>
      <c r="C19012" s="374"/>
      <c r="CV19012" s="376"/>
    </row>
    <row r="19013" spans="1:100">
      <c r="A19013" s="374"/>
      <c r="C19013" s="374"/>
      <c r="CV19013" s="376"/>
    </row>
    <row r="19014" spans="1:100">
      <c r="A19014" s="374"/>
      <c r="C19014" s="374"/>
      <c r="CV19014" s="376"/>
    </row>
    <row r="19015" spans="1:100">
      <c r="A19015" s="374"/>
      <c r="C19015" s="374"/>
      <c r="CV19015" s="376"/>
    </row>
    <row r="19016" spans="1:100">
      <c r="A19016" s="374"/>
      <c r="C19016" s="374"/>
      <c r="CV19016" s="376"/>
    </row>
    <row r="19017" spans="1:100">
      <c r="A19017" s="374"/>
      <c r="C19017" s="374"/>
      <c r="CV19017" s="376"/>
    </row>
    <row r="19018" spans="1:100">
      <c r="A19018" s="374"/>
      <c r="C19018" s="374"/>
      <c r="CV19018" s="376"/>
    </row>
    <row r="19019" spans="1:100">
      <c r="A19019" s="374"/>
      <c r="C19019" s="374"/>
      <c r="CV19019" s="376"/>
    </row>
    <row r="19020" spans="1:100">
      <c r="A19020" s="374"/>
      <c r="C19020" s="374"/>
      <c r="CV19020" s="376"/>
    </row>
    <row r="19021" spans="1:100">
      <c r="A19021" s="374"/>
      <c r="C19021" s="374"/>
      <c r="CV19021" s="376"/>
    </row>
    <row r="19022" spans="1:100">
      <c r="A19022" s="374"/>
      <c r="C19022" s="374"/>
      <c r="CV19022" s="376"/>
    </row>
    <row r="19023" spans="1:100">
      <c r="A19023" s="374"/>
      <c r="C19023" s="374"/>
      <c r="CV19023" s="376"/>
    </row>
    <row r="19024" spans="1:100">
      <c r="A19024" s="374"/>
      <c r="C19024" s="374"/>
      <c r="CV19024" s="376"/>
    </row>
    <row r="19025" spans="1:100">
      <c r="A19025" s="374"/>
      <c r="C19025" s="374"/>
      <c r="CV19025" s="376"/>
    </row>
    <row r="19026" spans="1:100">
      <c r="A19026" s="374"/>
      <c r="C19026" s="374"/>
      <c r="CV19026" s="376"/>
    </row>
    <row r="19027" spans="1:100">
      <c r="A19027" s="374"/>
      <c r="C19027" s="374"/>
      <c r="CV19027" s="376"/>
    </row>
    <row r="19028" spans="1:100">
      <c r="A19028" s="374"/>
      <c r="C19028" s="374"/>
      <c r="CV19028" s="376"/>
    </row>
    <row r="19029" spans="1:100">
      <c r="A19029" s="374"/>
      <c r="C19029" s="374"/>
      <c r="CV19029" s="376"/>
    </row>
    <row r="19030" spans="1:100">
      <c r="A19030" s="374"/>
      <c r="C19030" s="374"/>
      <c r="CV19030" s="376"/>
    </row>
    <row r="19031" spans="1:100">
      <c r="A19031" s="374"/>
      <c r="C19031" s="374"/>
      <c r="CV19031" s="376"/>
    </row>
    <row r="19032" spans="1:100">
      <c r="A19032" s="374"/>
      <c r="C19032" s="374"/>
      <c r="CV19032" s="376"/>
    </row>
    <row r="19033" spans="1:100">
      <c r="A19033" s="374"/>
      <c r="C19033" s="374"/>
      <c r="CV19033" s="376"/>
    </row>
    <row r="19034" spans="1:100">
      <c r="A19034" s="374"/>
      <c r="C19034" s="374"/>
      <c r="CV19034" s="376"/>
    </row>
    <row r="19035" spans="1:100">
      <c r="A19035" s="374"/>
      <c r="C19035" s="374"/>
      <c r="CV19035" s="376"/>
    </row>
    <row r="19036" spans="1:100">
      <c r="A19036" s="374"/>
      <c r="C19036" s="374"/>
      <c r="CV19036" s="376"/>
    </row>
    <row r="19037" spans="1:100">
      <c r="A19037" s="374"/>
      <c r="C19037" s="374"/>
      <c r="CV19037" s="376"/>
    </row>
    <row r="19038" spans="1:100">
      <c r="A19038" s="374"/>
      <c r="C19038" s="374"/>
      <c r="CV19038" s="376"/>
    </row>
    <row r="19039" spans="1:100">
      <c r="A19039" s="374"/>
      <c r="C19039" s="374"/>
      <c r="CV19039" s="376"/>
    </row>
    <row r="19040" spans="1:100">
      <c r="A19040" s="374"/>
      <c r="C19040" s="374"/>
      <c r="CV19040" s="376"/>
    </row>
    <row r="19041" spans="1:100">
      <c r="A19041" s="374"/>
      <c r="C19041" s="374"/>
      <c r="CV19041" s="376"/>
    </row>
    <row r="19042" spans="1:100">
      <c r="A19042" s="374"/>
      <c r="C19042" s="374"/>
      <c r="CV19042" s="376"/>
    </row>
    <row r="19043" spans="1:100">
      <c r="A19043" s="374"/>
      <c r="C19043" s="374"/>
      <c r="CV19043" s="376"/>
    </row>
    <row r="19044" spans="1:100">
      <c r="A19044" s="374"/>
      <c r="C19044" s="374"/>
      <c r="CV19044" s="376"/>
    </row>
    <row r="19045" spans="1:100">
      <c r="A19045" s="374"/>
      <c r="C19045" s="374"/>
      <c r="CV19045" s="376"/>
    </row>
    <row r="19046" spans="1:100">
      <c r="A19046" s="374"/>
      <c r="C19046" s="374"/>
      <c r="CV19046" s="376"/>
    </row>
    <row r="19047" spans="1:100">
      <c r="A19047" s="374"/>
      <c r="C19047" s="374"/>
      <c r="CV19047" s="376"/>
    </row>
    <row r="19048" spans="1:100">
      <c r="A19048" s="374"/>
      <c r="C19048" s="374"/>
      <c r="CV19048" s="376"/>
    </row>
    <row r="19049" spans="1:100">
      <c r="A19049" s="374"/>
      <c r="C19049" s="374"/>
      <c r="CV19049" s="376"/>
    </row>
    <row r="19050" spans="1:100">
      <c r="A19050" s="374"/>
      <c r="C19050" s="374"/>
      <c r="CV19050" s="376"/>
    </row>
    <row r="19051" spans="1:100">
      <c r="A19051" s="374"/>
      <c r="C19051" s="374"/>
      <c r="CV19051" s="376"/>
    </row>
    <row r="19052" spans="1:100">
      <c r="A19052" s="374"/>
      <c r="C19052" s="374"/>
      <c r="CV19052" s="376"/>
    </row>
    <row r="19053" spans="1:100">
      <c r="A19053" s="374"/>
      <c r="C19053" s="374"/>
      <c r="CV19053" s="376"/>
    </row>
    <row r="19054" spans="1:100">
      <c r="A19054" s="374"/>
      <c r="C19054" s="374"/>
      <c r="CV19054" s="376"/>
    </row>
    <row r="19055" spans="1:100">
      <c r="A19055" s="374"/>
      <c r="C19055" s="374"/>
      <c r="CV19055" s="376"/>
    </row>
    <row r="19056" spans="1:100">
      <c r="A19056" s="374"/>
      <c r="C19056" s="374"/>
      <c r="CV19056" s="376"/>
    </row>
    <row r="19057" spans="1:100">
      <c r="A19057" s="374"/>
      <c r="C19057" s="374"/>
      <c r="CV19057" s="376"/>
    </row>
    <row r="19058" spans="1:100">
      <c r="A19058" s="374"/>
      <c r="C19058" s="374"/>
      <c r="CV19058" s="376"/>
    </row>
    <row r="19059" spans="1:100">
      <c r="A19059" s="374"/>
      <c r="C19059" s="374"/>
      <c r="CV19059" s="376"/>
    </row>
    <row r="19060" spans="1:100">
      <c r="A19060" s="374"/>
      <c r="C19060" s="374"/>
      <c r="CV19060" s="376"/>
    </row>
    <row r="19061" spans="1:100">
      <c r="A19061" s="374"/>
      <c r="C19061" s="374"/>
      <c r="CV19061" s="376"/>
    </row>
    <row r="19062" spans="1:100">
      <c r="A19062" s="374"/>
      <c r="C19062" s="374"/>
      <c r="CV19062" s="376"/>
    </row>
    <row r="19063" spans="1:100">
      <c r="A19063" s="374"/>
      <c r="C19063" s="374"/>
      <c r="CV19063" s="376"/>
    </row>
    <row r="19064" spans="1:100">
      <c r="A19064" s="374"/>
      <c r="C19064" s="374"/>
      <c r="CV19064" s="376"/>
    </row>
    <row r="19065" spans="1:100">
      <c r="A19065" s="374"/>
      <c r="C19065" s="374"/>
      <c r="CV19065" s="376"/>
    </row>
    <row r="19066" spans="1:100">
      <c r="A19066" s="374"/>
      <c r="C19066" s="374"/>
      <c r="CV19066" s="376"/>
    </row>
    <row r="19067" spans="1:100">
      <c r="A19067" s="374"/>
      <c r="C19067" s="374"/>
      <c r="CV19067" s="376"/>
    </row>
    <row r="19068" spans="1:100">
      <c r="A19068" s="374"/>
      <c r="C19068" s="374"/>
      <c r="CV19068" s="376"/>
    </row>
    <row r="19069" spans="1:100">
      <c r="A19069" s="374"/>
      <c r="C19069" s="374"/>
      <c r="CV19069" s="376"/>
    </row>
    <row r="19070" spans="1:100">
      <c r="A19070" s="374"/>
      <c r="C19070" s="374"/>
      <c r="CV19070" s="376"/>
    </row>
    <row r="19071" spans="1:100">
      <c r="A19071" s="374"/>
      <c r="C19071" s="374"/>
      <c r="CV19071" s="376"/>
    </row>
    <row r="19072" spans="1:100">
      <c r="A19072" s="374"/>
      <c r="C19072" s="374"/>
      <c r="CV19072" s="376"/>
    </row>
    <row r="19073" spans="1:100">
      <c r="A19073" s="374"/>
      <c r="C19073" s="374"/>
      <c r="CV19073" s="376"/>
    </row>
    <row r="19074" spans="1:100">
      <c r="A19074" s="374"/>
      <c r="C19074" s="374"/>
      <c r="CV19074" s="376"/>
    </row>
    <row r="19075" spans="1:100">
      <c r="A19075" s="374"/>
      <c r="C19075" s="374"/>
      <c r="CV19075" s="376"/>
    </row>
    <row r="19076" spans="1:100">
      <c r="A19076" s="374"/>
      <c r="C19076" s="374"/>
      <c r="CV19076" s="376"/>
    </row>
    <row r="19077" spans="1:100">
      <c r="A19077" s="374"/>
      <c r="C19077" s="374"/>
      <c r="CV19077" s="376"/>
    </row>
    <row r="19078" spans="1:100">
      <c r="A19078" s="374"/>
      <c r="C19078" s="374"/>
      <c r="CV19078" s="376"/>
    </row>
    <row r="19079" spans="1:100">
      <c r="A19079" s="374"/>
      <c r="C19079" s="374"/>
      <c r="CV19079" s="376"/>
    </row>
    <row r="19080" spans="1:100">
      <c r="A19080" s="374"/>
      <c r="C19080" s="374"/>
      <c r="CV19080" s="376"/>
    </row>
    <row r="19081" spans="1:100">
      <c r="A19081" s="374"/>
      <c r="C19081" s="374"/>
      <c r="CV19081" s="376"/>
    </row>
    <row r="19082" spans="1:100">
      <c r="A19082" s="374"/>
      <c r="C19082" s="374"/>
      <c r="CV19082" s="376"/>
    </row>
    <row r="19083" spans="1:100">
      <c r="A19083" s="374"/>
      <c r="C19083" s="374"/>
      <c r="CV19083" s="376"/>
    </row>
    <row r="19084" spans="1:100">
      <c r="A19084" s="374"/>
      <c r="C19084" s="374"/>
      <c r="CV19084" s="376"/>
    </row>
    <row r="19085" spans="1:100">
      <c r="A19085" s="374"/>
      <c r="C19085" s="374"/>
      <c r="CV19085" s="376"/>
    </row>
    <row r="19086" spans="1:100">
      <c r="A19086" s="374"/>
      <c r="C19086" s="374"/>
      <c r="CV19086" s="376"/>
    </row>
    <row r="19087" spans="1:100">
      <c r="A19087" s="374"/>
      <c r="C19087" s="374"/>
      <c r="CV19087" s="376"/>
    </row>
    <row r="19088" spans="1:100">
      <c r="A19088" s="374"/>
      <c r="C19088" s="374"/>
      <c r="CV19088" s="376"/>
    </row>
    <row r="19089" spans="1:100">
      <c r="A19089" s="374"/>
      <c r="C19089" s="374"/>
      <c r="CV19089" s="376"/>
    </row>
    <row r="19090" spans="1:100">
      <c r="A19090" s="374"/>
      <c r="C19090" s="374"/>
      <c r="CV19090" s="376"/>
    </row>
    <row r="19091" spans="1:100">
      <c r="A19091" s="374"/>
      <c r="C19091" s="374"/>
      <c r="CV19091" s="376"/>
    </row>
    <row r="19092" spans="1:100">
      <c r="A19092" s="374"/>
      <c r="C19092" s="374"/>
      <c r="CV19092" s="376"/>
    </row>
    <row r="19093" spans="1:100">
      <c r="A19093" s="374"/>
      <c r="C19093" s="374"/>
      <c r="CV19093" s="376"/>
    </row>
    <row r="19094" spans="1:100">
      <c r="A19094" s="374"/>
      <c r="C19094" s="374"/>
      <c r="CV19094" s="376"/>
    </row>
    <row r="19095" spans="1:100">
      <c r="A19095" s="374"/>
      <c r="C19095" s="374"/>
      <c r="CV19095" s="376"/>
    </row>
    <row r="19096" spans="1:100">
      <c r="A19096" s="374"/>
      <c r="C19096" s="374"/>
      <c r="CV19096" s="376"/>
    </row>
    <row r="19097" spans="1:100">
      <c r="A19097" s="374"/>
      <c r="C19097" s="374"/>
      <c r="CV19097" s="376"/>
    </row>
    <row r="19098" spans="1:100">
      <c r="A19098" s="374"/>
      <c r="C19098" s="374"/>
      <c r="CV19098" s="376"/>
    </row>
    <row r="19099" spans="1:100">
      <c r="A19099" s="374"/>
      <c r="C19099" s="374"/>
      <c r="CV19099" s="376"/>
    </row>
    <row r="19100" spans="1:100">
      <c r="A19100" s="374"/>
      <c r="C19100" s="374"/>
      <c r="CV19100" s="376"/>
    </row>
    <row r="19101" spans="1:100">
      <c r="A19101" s="374"/>
      <c r="C19101" s="374"/>
      <c r="CV19101" s="376"/>
    </row>
    <row r="19102" spans="1:100">
      <c r="A19102" s="374"/>
      <c r="C19102" s="374"/>
      <c r="CV19102" s="376"/>
    </row>
    <row r="19103" spans="1:100">
      <c r="A19103" s="374"/>
      <c r="C19103" s="374"/>
      <c r="CV19103" s="376"/>
    </row>
    <row r="19104" spans="1:100">
      <c r="A19104" s="374"/>
      <c r="C19104" s="374"/>
      <c r="CV19104" s="376"/>
    </row>
    <row r="19105" spans="1:100">
      <c r="A19105" s="374"/>
      <c r="C19105" s="374"/>
      <c r="CV19105" s="376"/>
    </row>
    <row r="19106" spans="1:100">
      <c r="A19106" s="374"/>
      <c r="C19106" s="374"/>
      <c r="CV19106" s="376"/>
    </row>
    <row r="19107" spans="1:100">
      <c r="A19107" s="374"/>
      <c r="C19107" s="374"/>
      <c r="CV19107" s="376"/>
    </row>
    <row r="19108" spans="1:100">
      <c r="A19108" s="374"/>
      <c r="C19108" s="374"/>
      <c r="CV19108" s="376"/>
    </row>
    <row r="19109" spans="1:100">
      <c r="A19109" s="374"/>
      <c r="C19109" s="374"/>
      <c r="CV19109" s="376"/>
    </row>
    <row r="19110" spans="1:100">
      <c r="A19110" s="374"/>
      <c r="C19110" s="374"/>
      <c r="CV19110" s="376"/>
    </row>
    <row r="19111" spans="1:100">
      <c r="A19111" s="374"/>
      <c r="C19111" s="374"/>
      <c r="CV19111" s="376"/>
    </row>
    <row r="19112" spans="1:100">
      <c r="A19112" s="374"/>
      <c r="C19112" s="374"/>
      <c r="CV19112" s="376"/>
    </row>
    <row r="19113" spans="1:100">
      <c r="A19113" s="374"/>
      <c r="C19113" s="374"/>
      <c r="CV19113" s="376"/>
    </row>
    <row r="19114" spans="1:100">
      <c r="A19114" s="374"/>
      <c r="C19114" s="374"/>
      <c r="CV19114" s="376"/>
    </row>
    <row r="19115" spans="1:100">
      <c r="A19115" s="374"/>
      <c r="C19115" s="374"/>
      <c r="CV19115" s="376"/>
    </row>
    <row r="19116" spans="1:100">
      <c r="A19116" s="374"/>
      <c r="C19116" s="374"/>
      <c r="CV19116" s="376"/>
    </row>
    <row r="19117" spans="1:100">
      <c r="A19117" s="374"/>
      <c r="C19117" s="374"/>
      <c r="CV19117" s="376"/>
    </row>
    <row r="19118" spans="1:100">
      <c r="A19118" s="374"/>
      <c r="C19118" s="374"/>
      <c r="CV19118" s="376"/>
    </row>
    <row r="19119" spans="1:100">
      <c r="A19119" s="374"/>
      <c r="C19119" s="374"/>
      <c r="CV19119" s="376"/>
    </row>
    <row r="19120" spans="1:100">
      <c r="A19120" s="374"/>
      <c r="C19120" s="374"/>
      <c r="CV19120" s="376"/>
    </row>
    <row r="19121" spans="1:100">
      <c r="A19121" s="374"/>
      <c r="C19121" s="374"/>
      <c r="CV19121" s="376"/>
    </row>
    <row r="19122" spans="1:100">
      <c r="A19122" s="374"/>
      <c r="C19122" s="374"/>
      <c r="CV19122" s="376"/>
    </row>
    <row r="19123" spans="1:100">
      <c r="A19123" s="374"/>
      <c r="C19123" s="374"/>
      <c r="CV19123" s="376"/>
    </row>
    <row r="19124" spans="1:100">
      <c r="A19124" s="374"/>
      <c r="C19124" s="374"/>
      <c r="CV19124" s="376"/>
    </row>
    <row r="19125" spans="1:100">
      <c r="A19125" s="374"/>
      <c r="C19125" s="374"/>
      <c r="CV19125" s="376"/>
    </row>
    <row r="19126" spans="1:100">
      <c r="A19126" s="374"/>
      <c r="C19126" s="374"/>
      <c r="CV19126" s="376"/>
    </row>
    <row r="19127" spans="1:100">
      <c r="A19127" s="374"/>
      <c r="C19127" s="374"/>
      <c r="CV19127" s="376"/>
    </row>
    <row r="19128" spans="1:100">
      <c r="A19128" s="374"/>
      <c r="C19128" s="374"/>
      <c r="CV19128" s="376"/>
    </row>
    <row r="19129" spans="1:100">
      <c r="A19129" s="374"/>
      <c r="C19129" s="374"/>
      <c r="CV19129" s="376"/>
    </row>
    <row r="19130" spans="1:100">
      <c r="A19130" s="374"/>
      <c r="C19130" s="374"/>
      <c r="CV19130" s="376"/>
    </row>
    <row r="19131" spans="1:100">
      <c r="A19131" s="374"/>
      <c r="C19131" s="374"/>
      <c r="CV19131" s="376"/>
    </row>
    <row r="19132" spans="1:100">
      <c r="A19132" s="374"/>
      <c r="C19132" s="374"/>
      <c r="CV19132" s="376"/>
    </row>
    <row r="19133" spans="1:100">
      <c r="A19133" s="374"/>
      <c r="C19133" s="374"/>
      <c r="CV19133" s="376"/>
    </row>
    <row r="19134" spans="1:100">
      <c r="A19134" s="374"/>
      <c r="C19134" s="374"/>
      <c r="CV19134" s="376"/>
    </row>
    <row r="19135" spans="1:100">
      <c r="A19135" s="374"/>
      <c r="C19135" s="374"/>
      <c r="CV19135" s="376"/>
    </row>
    <row r="19136" spans="1:100">
      <c r="A19136" s="374"/>
      <c r="C19136" s="374"/>
      <c r="CV19136" s="376"/>
    </row>
    <row r="19137" spans="1:100">
      <c r="A19137" s="374"/>
      <c r="C19137" s="374"/>
      <c r="CV19137" s="376"/>
    </row>
    <row r="19138" spans="1:100">
      <c r="A19138" s="374"/>
      <c r="C19138" s="374"/>
      <c r="CV19138" s="376"/>
    </row>
    <row r="19139" spans="1:100">
      <c r="A19139" s="374"/>
      <c r="C19139" s="374"/>
      <c r="CV19139" s="376"/>
    </row>
    <row r="19140" spans="1:100">
      <c r="A19140" s="374"/>
      <c r="C19140" s="374"/>
      <c r="CV19140" s="376"/>
    </row>
    <row r="19141" spans="1:100">
      <c r="A19141" s="374"/>
      <c r="C19141" s="374"/>
      <c r="CV19141" s="376"/>
    </row>
    <row r="19142" spans="1:100">
      <c r="A19142" s="374"/>
      <c r="C19142" s="374"/>
      <c r="CV19142" s="376"/>
    </row>
    <row r="19143" spans="1:100">
      <c r="A19143" s="374"/>
      <c r="C19143" s="374"/>
      <c r="CV19143" s="376"/>
    </row>
    <row r="19144" spans="1:100">
      <c r="A19144" s="374"/>
      <c r="C19144" s="374"/>
      <c r="CV19144" s="376"/>
    </row>
    <row r="19145" spans="1:100">
      <c r="A19145" s="374"/>
      <c r="C19145" s="374"/>
      <c r="CV19145" s="376"/>
    </row>
    <row r="19146" spans="1:100">
      <c r="A19146" s="374"/>
      <c r="C19146" s="374"/>
      <c r="CV19146" s="376"/>
    </row>
    <row r="19147" spans="1:100">
      <c r="A19147" s="374"/>
      <c r="C19147" s="374"/>
      <c r="CV19147" s="376"/>
    </row>
    <row r="19148" spans="1:100">
      <c r="A19148" s="374"/>
      <c r="C19148" s="374"/>
      <c r="CV19148" s="376"/>
    </row>
    <row r="19149" spans="1:100">
      <c r="A19149" s="374"/>
      <c r="C19149" s="374"/>
      <c r="CV19149" s="376"/>
    </row>
    <row r="19150" spans="1:100">
      <c r="A19150" s="374"/>
      <c r="C19150" s="374"/>
      <c r="CV19150" s="376"/>
    </row>
    <row r="19151" spans="1:100">
      <c r="A19151" s="374"/>
      <c r="C19151" s="374"/>
      <c r="CV19151" s="376"/>
    </row>
    <row r="19152" spans="1:100">
      <c r="A19152" s="374"/>
      <c r="C19152" s="374"/>
      <c r="CV19152" s="376"/>
    </row>
    <row r="19153" spans="1:100">
      <c r="A19153" s="374"/>
      <c r="C19153" s="374"/>
      <c r="CV19153" s="376"/>
    </row>
    <row r="19154" spans="1:100">
      <c r="A19154" s="374"/>
      <c r="C19154" s="374"/>
      <c r="CV19154" s="376"/>
    </row>
    <row r="19155" spans="1:100">
      <c r="A19155" s="374"/>
      <c r="C19155" s="374"/>
      <c r="CV19155" s="376"/>
    </row>
    <row r="19156" spans="1:100">
      <c r="A19156" s="374"/>
      <c r="C19156" s="374"/>
      <c r="CV19156" s="376"/>
    </row>
    <row r="19157" spans="1:100">
      <c r="A19157" s="374"/>
      <c r="C19157" s="374"/>
      <c r="CV19157" s="376"/>
    </row>
    <row r="19158" spans="1:100">
      <c r="A19158" s="374"/>
      <c r="C19158" s="374"/>
      <c r="CV19158" s="376"/>
    </row>
    <row r="19159" spans="1:100">
      <c r="A19159" s="374"/>
      <c r="C19159" s="374"/>
      <c r="CV19159" s="376"/>
    </row>
    <row r="19160" spans="1:100">
      <c r="A19160" s="374"/>
      <c r="C19160" s="374"/>
      <c r="CV19160" s="376"/>
    </row>
    <row r="19161" spans="1:100">
      <c r="A19161" s="374"/>
      <c r="C19161" s="374"/>
      <c r="CV19161" s="376"/>
    </row>
    <row r="19162" spans="1:100">
      <c r="A19162" s="374"/>
      <c r="C19162" s="374"/>
      <c r="CV19162" s="376"/>
    </row>
    <row r="19163" spans="1:100">
      <c r="A19163" s="374"/>
      <c r="C19163" s="374"/>
      <c r="CV19163" s="376"/>
    </row>
    <row r="19164" spans="1:100">
      <c r="A19164" s="374"/>
      <c r="C19164" s="374"/>
      <c r="CV19164" s="376"/>
    </row>
    <row r="19165" spans="1:100">
      <c r="A19165" s="374"/>
      <c r="C19165" s="374"/>
      <c r="CV19165" s="376"/>
    </row>
    <row r="19166" spans="1:100">
      <c r="A19166" s="374"/>
      <c r="C19166" s="374"/>
      <c r="CV19166" s="376"/>
    </row>
    <row r="19167" spans="1:100">
      <c r="A19167" s="374"/>
      <c r="C19167" s="374"/>
      <c r="CV19167" s="376"/>
    </row>
    <row r="19168" spans="1:100">
      <c r="A19168" s="374"/>
      <c r="C19168" s="374"/>
      <c r="CV19168" s="376"/>
    </row>
    <row r="19169" spans="1:100">
      <c r="A19169" s="374"/>
      <c r="C19169" s="374"/>
      <c r="CV19169" s="376"/>
    </row>
    <row r="19170" spans="1:100">
      <c r="A19170" s="374"/>
      <c r="C19170" s="374"/>
      <c r="CV19170" s="376"/>
    </row>
    <row r="19171" spans="1:100">
      <c r="A19171" s="374"/>
      <c r="C19171" s="374"/>
      <c r="CV19171" s="376"/>
    </row>
    <row r="19172" spans="1:100">
      <c r="A19172" s="374"/>
      <c r="C19172" s="374"/>
      <c r="CV19172" s="376"/>
    </row>
    <row r="19173" spans="1:100">
      <c r="A19173" s="374"/>
      <c r="C19173" s="374"/>
      <c r="CV19173" s="376"/>
    </row>
    <row r="19174" spans="1:100">
      <c r="A19174" s="374"/>
      <c r="C19174" s="374"/>
      <c r="CV19174" s="376"/>
    </row>
    <row r="19175" spans="1:100">
      <c r="A19175" s="374"/>
      <c r="C19175" s="374"/>
      <c r="CV19175" s="376"/>
    </row>
    <row r="19176" spans="1:100">
      <c r="A19176" s="374"/>
      <c r="C19176" s="374"/>
      <c r="CV19176" s="376"/>
    </row>
    <row r="19177" spans="1:100">
      <c r="A19177" s="374"/>
      <c r="C19177" s="374"/>
      <c r="CV19177" s="376"/>
    </row>
    <row r="19178" spans="1:100">
      <c r="A19178" s="374"/>
      <c r="C19178" s="374"/>
      <c r="CV19178" s="376"/>
    </row>
    <row r="19179" spans="1:100">
      <c r="A19179" s="374"/>
      <c r="C19179" s="374"/>
      <c r="CV19179" s="376"/>
    </row>
    <row r="19180" spans="1:100">
      <c r="A19180" s="374"/>
      <c r="C19180" s="374"/>
      <c r="CV19180" s="376"/>
    </row>
    <row r="19181" spans="1:100">
      <c r="A19181" s="374"/>
      <c r="C19181" s="374"/>
      <c r="CV19181" s="376"/>
    </row>
    <row r="19182" spans="1:100">
      <c r="A19182" s="374"/>
      <c r="C19182" s="374"/>
      <c r="CV19182" s="376"/>
    </row>
    <row r="19183" spans="1:100">
      <c r="A19183" s="374"/>
      <c r="C19183" s="374"/>
      <c r="CV19183" s="376"/>
    </row>
    <row r="19184" spans="1:100">
      <c r="A19184" s="374"/>
      <c r="C19184" s="374"/>
      <c r="CV19184" s="376"/>
    </row>
    <row r="19185" spans="1:100">
      <c r="A19185" s="374"/>
      <c r="C19185" s="374"/>
      <c r="CV19185" s="376"/>
    </row>
    <row r="19186" spans="1:100">
      <c r="A19186" s="374"/>
      <c r="C19186" s="374"/>
      <c r="CV19186" s="376"/>
    </row>
    <row r="19187" spans="1:100">
      <c r="A19187" s="374"/>
      <c r="C19187" s="374"/>
      <c r="CV19187" s="376"/>
    </row>
    <row r="19188" spans="1:100">
      <c r="A19188" s="374"/>
      <c r="C19188" s="374"/>
      <c r="CV19188" s="376"/>
    </row>
    <row r="19189" spans="1:100">
      <c r="A19189" s="374"/>
      <c r="C19189" s="374"/>
      <c r="CV19189" s="376"/>
    </row>
    <row r="19190" spans="1:100">
      <c r="A19190" s="374"/>
      <c r="C19190" s="374"/>
      <c r="CV19190" s="376"/>
    </row>
    <row r="19191" spans="1:100">
      <c r="A19191" s="374"/>
      <c r="C19191" s="374"/>
      <c r="CV19191" s="376"/>
    </row>
    <row r="19192" spans="1:100">
      <c r="A19192" s="374"/>
      <c r="C19192" s="374"/>
      <c r="CV19192" s="376"/>
    </row>
    <row r="19193" spans="1:100">
      <c r="A19193" s="374"/>
      <c r="C19193" s="374"/>
      <c r="CV19193" s="376"/>
    </row>
    <row r="19194" spans="1:100">
      <c r="A19194" s="374"/>
      <c r="C19194" s="374"/>
      <c r="CV19194" s="376"/>
    </row>
    <row r="19195" spans="1:100">
      <c r="A19195" s="374"/>
      <c r="C19195" s="374"/>
      <c r="CV19195" s="376"/>
    </row>
    <row r="19196" spans="1:100">
      <c r="A19196" s="374"/>
      <c r="C19196" s="374"/>
      <c r="CV19196" s="376"/>
    </row>
    <row r="19197" spans="1:100">
      <c r="A19197" s="374"/>
      <c r="C19197" s="374"/>
      <c r="CV19197" s="376"/>
    </row>
    <row r="19198" spans="1:100">
      <c r="A19198" s="374"/>
      <c r="C19198" s="374"/>
      <c r="CV19198" s="376"/>
    </row>
    <row r="19199" spans="1:100">
      <c r="A19199" s="374"/>
      <c r="C19199" s="374"/>
      <c r="CV19199" s="376"/>
    </row>
    <row r="19200" spans="1:100">
      <c r="A19200" s="374"/>
      <c r="C19200" s="374"/>
      <c r="CV19200" s="376"/>
    </row>
    <row r="19201" spans="1:100">
      <c r="A19201" s="374"/>
      <c r="C19201" s="374"/>
      <c r="CV19201" s="376"/>
    </row>
    <row r="19202" spans="1:100">
      <c r="A19202" s="374"/>
      <c r="C19202" s="374"/>
      <c r="CV19202" s="376"/>
    </row>
    <row r="19203" spans="1:100">
      <c r="A19203" s="374"/>
      <c r="C19203" s="374"/>
      <c r="CV19203" s="376"/>
    </row>
    <row r="19204" spans="1:100">
      <c r="A19204" s="374"/>
      <c r="C19204" s="374"/>
      <c r="CV19204" s="376"/>
    </row>
    <row r="19205" spans="1:100">
      <c r="A19205" s="374"/>
      <c r="C19205" s="374"/>
      <c r="CV19205" s="376"/>
    </row>
    <row r="19206" spans="1:100">
      <c r="A19206" s="374"/>
      <c r="C19206" s="374"/>
      <c r="CV19206" s="376"/>
    </row>
    <row r="19207" spans="1:100">
      <c r="A19207" s="374"/>
      <c r="C19207" s="374"/>
      <c r="CV19207" s="376"/>
    </row>
    <row r="19208" spans="1:100">
      <c r="A19208" s="374"/>
      <c r="C19208" s="374"/>
      <c r="CV19208" s="376"/>
    </row>
    <row r="19209" spans="1:100">
      <c r="A19209" s="374"/>
      <c r="C19209" s="374"/>
      <c r="CV19209" s="376"/>
    </row>
    <row r="19210" spans="1:100">
      <c r="A19210" s="374"/>
      <c r="C19210" s="374"/>
      <c r="CV19210" s="376"/>
    </row>
    <row r="19211" spans="1:100">
      <c r="A19211" s="374"/>
      <c r="C19211" s="374"/>
      <c r="CV19211" s="376"/>
    </row>
    <row r="19212" spans="1:100">
      <c r="A19212" s="374"/>
      <c r="C19212" s="374"/>
      <c r="CV19212" s="376"/>
    </row>
    <row r="19213" spans="1:100">
      <c r="A19213" s="374"/>
      <c r="C19213" s="374"/>
      <c r="CV19213" s="376"/>
    </row>
    <row r="19214" spans="1:100">
      <c r="A19214" s="374"/>
      <c r="C19214" s="374"/>
      <c r="CV19214" s="376"/>
    </row>
    <row r="19215" spans="1:100">
      <c r="A19215" s="374"/>
      <c r="C19215" s="374"/>
      <c r="CV19215" s="376"/>
    </row>
    <row r="19216" spans="1:100">
      <c r="A19216" s="374"/>
      <c r="C19216" s="374"/>
      <c r="CV19216" s="376"/>
    </row>
    <row r="19217" spans="1:100">
      <c r="A19217" s="374"/>
      <c r="C19217" s="374"/>
      <c r="CV19217" s="376"/>
    </row>
    <row r="19218" spans="1:100">
      <c r="A19218" s="374"/>
      <c r="C19218" s="374"/>
      <c r="CV19218" s="376"/>
    </row>
    <row r="19219" spans="1:100">
      <c r="A19219" s="374"/>
      <c r="C19219" s="374"/>
      <c r="CV19219" s="376"/>
    </row>
    <row r="19220" spans="1:100">
      <c r="A19220" s="374"/>
      <c r="C19220" s="374"/>
      <c r="CV19220" s="376"/>
    </row>
    <row r="19221" spans="1:100">
      <c r="A19221" s="374"/>
      <c r="C19221" s="374"/>
      <c r="CV19221" s="376"/>
    </row>
    <row r="19222" spans="1:100">
      <c r="A19222" s="374"/>
      <c r="C19222" s="374"/>
      <c r="CV19222" s="376"/>
    </row>
    <row r="19223" spans="1:100">
      <c r="A19223" s="374"/>
      <c r="C19223" s="374"/>
      <c r="CV19223" s="376"/>
    </row>
    <row r="19224" spans="1:100">
      <c r="A19224" s="374"/>
      <c r="C19224" s="374"/>
      <c r="CV19224" s="376"/>
    </row>
    <row r="19225" spans="1:100">
      <c r="A19225" s="374"/>
      <c r="C19225" s="374"/>
      <c r="CV19225" s="376"/>
    </row>
    <row r="19226" spans="1:100">
      <c r="A19226" s="374"/>
      <c r="C19226" s="374"/>
      <c r="CV19226" s="376"/>
    </row>
    <row r="19227" spans="1:100">
      <c r="A19227" s="374"/>
      <c r="C19227" s="374"/>
      <c r="CV19227" s="376"/>
    </row>
    <row r="19228" spans="1:100">
      <c r="A19228" s="374"/>
      <c r="C19228" s="374"/>
      <c r="CV19228" s="376"/>
    </row>
    <row r="19229" spans="1:100">
      <c r="A19229" s="374"/>
      <c r="C19229" s="374"/>
      <c r="CV19229" s="376"/>
    </row>
    <row r="19230" spans="1:100">
      <c r="A19230" s="374"/>
      <c r="C19230" s="374"/>
      <c r="CV19230" s="376"/>
    </row>
    <row r="19231" spans="1:100">
      <c r="A19231" s="374"/>
      <c r="C19231" s="374"/>
      <c r="CV19231" s="376"/>
    </row>
    <row r="19232" spans="1:100">
      <c r="A19232" s="374"/>
      <c r="C19232" s="374"/>
      <c r="CV19232" s="376"/>
    </row>
    <row r="19233" spans="1:100">
      <c r="A19233" s="374"/>
      <c r="C19233" s="374"/>
      <c r="CV19233" s="376"/>
    </row>
    <row r="19234" spans="1:100">
      <c r="A19234" s="374"/>
      <c r="C19234" s="374"/>
      <c r="CV19234" s="376"/>
    </row>
    <row r="19235" spans="1:100">
      <c r="A19235" s="374"/>
      <c r="C19235" s="374"/>
      <c r="CV19235" s="376"/>
    </row>
    <row r="19236" spans="1:100">
      <c r="A19236" s="374"/>
      <c r="C19236" s="374"/>
      <c r="CV19236" s="376"/>
    </row>
    <row r="19237" spans="1:100">
      <c r="A19237" s="374"/>
      <c r="C19237" s="374"/>
      <c r="CV19237" s="376"/>
    </row>
    <row r="19238" spans="1:100">
      <c r="A19238" s="374"/>
      <c r="C19238" s="374"/>
      <c r="CV19238" s="376"/>
    </row>
    <row r="19239" spans="1:100">
      <c r="A19239" s="374"/>
      <c r="C19239" s="374"/>
      <c r="CV19239" s="376"/>
    </row>
    <row r="19240" spans="1:100">
      <c r="A19240" s="374"/>
      <c r="C19240" s="374"/>
      <c r="CV19240" s="376"/>
    </row>
    <row r="19241" spans="1:100">
      <c r="A19241" s="374"/>
      <c r="C19241" s="374"/>
      <c r="CV19241" s="376"/>
    </row>
    <row r="19242" spans="1:100">
      <c r="A19242" s="374"/>
      <c r="C19242" s="374"/>
      <c r="CV19242" s="376"/>
    </row>
    <row r="19243" spans="1:100">
      <c r="A19243" s="374"/>
      <c r="C19243" s="374"/>
      <c r="CV19243" s="376"/>
    </row>
    <row r="19244" spans="1:100">
      <c r="A19244" s="374"/>
      <c r="C19244" s="374"/>
      <c r="CV19244" s="376"/>
    </row>
    <row r="19245" spans="1:100">
      <c r="A19245" s="374"/>
      <c r="C19245" s="374"/>
      <c r="CV19245" s="376"/>
    </row>
    <row r="19246" spans="1:100">
      <c r="A19246" s="374"/>
      <c r="C19246" s="374"/>
      <c r="CV19246" s="376"/>
    </row>
    <row r="19247" spans="1:100">
      <c r="A19247" s="374"/>
      <c r="C19247" s="374"/>
      <c r="CV19247" s="376"/>
    </row>
    <row r="19248" spans="1:100">
      <c r="A19248" s="374"/>
      <c r="C19248" s="374"/>
      <c r="CV19248" s="376"/>
    </row>
    <row r="19249" spans="1:100">
      <c r="A19249" s="374"/>
      <c r="C19249" s="374"/>
      <c r="CV19249" s="376"/>
    </row>
    <row r="19250" spans="1:100">
      <c r="A19250" s="374"/>
      <c r="C19250" s="374"/>
      <c r="CV19250" s="376"/>
    </row>
    <row r="19251" spans="1:100">
      <c r="A19251" s="374"/>
      <c r="C19251" s="374"/>
      <c r="CV19251" s="376"/>
    </row>
    <row r="19252" spans="1:100">
      <c r="A19252" s="374"/>
      <c r="C19252" s="374"/>
      <c r="CV19252" s="376"/>
    </row>
    <row r="19253" spans="1:100">
      <c r="A19253" s="374"/>
      <c r="C19253" s="374"/>
      <c r="CV19253" s="376"/>
    </row>
    <row r="19254" spans="1:100">
      <c r="A19254" s="374"/>
      <c r="C19254" s="374"/>
      <c r="CV19254" s="376"/>
    </row>
    <row r="19255" spans="1:100">
      <c r="A19255" s="374"/>
      <c r="C19255" s="374"/>
      <c r="CV19255" s="376"/>
    </row>
    <row r="19256" spans="1:100">
      <c r="A19256" s="374"/>
      <c r="C19256" s="374"/>
      <c r="CV19256" s="376"/>
    </row>
    <row r="19257" spans="1:100">
      <c r="A19257" s="374"/>
      <c r="C19257" s="374"/>
      <c r="CV19257" s="376"/>
    </row>
    <row r="19258" spans="1:100">
      <c r="A19258" s="374"/>
      <c r="C19258" s="374"/>
      <c r="CV19258" s="376"/>
    </row>
    <row r="19259" spans="1:100">
      <c r="A19259" s="374"/>
      <c r="C19259" s="374"/>
      <c r="CV19259" s="376"/>
    </row>
    <row r="19260" spans="1:100">
      <c r="A19260" s="374"/>
      <c r="C19260" s="374"/>
      <c r="CV19260" s="376"/>
    </row>
    <row r="19261" spans="1:100">
      <c r="A19261" s="374"/>
      <c r="C19261" s="374"/>
      <c r="CV19261" s="376"/>
    </row>
    <row r="19262" spans="1:100">
      <c r="A19262" s="374"/>
      <c r="C19262" s="374"/>
      <c r="CV19262" s="376"/>
    </row>
    <row r="19263" spans="1:100">
      <c r="A19263" s="374"/>
      <c r="C19263" s="374"/>
      <c r="CV19263" s="376"/>
    </row>
    <row r="19264" spans="1:100">
      <c r="A19264" s="374"/>
      <c r="C19264" s="374"/>
      <c r="CV19264" s="376"/>
    </row>
    <row r="19265" spans="1:100">
      <c r="A19265" s="374"/>
      <c r="C19265" s="374"/>
      <c r="CV19265" s="376"/>
    </row>
    <row r="19266" spans="1:100">
      <c r="A19266" s="374"/>
      <c r="C19266" s="374"/>
      <c r="CV19266" s="376"/>
    </row>
    <row r="19267" spans="1:100">
      <c r="A19267" s="374"/>
      <c r="C19267" s="374"/>
      <c r="CV19267" s="376"/>
    </row>
    <row r="19268" spans="1:100">
      <c r="A19268" s="374"/>
      <c r="C19268" s="374"/>
      <c r="CV19268" s="376"/>
    </row>
    <row r="19269" spans="1:100">
      <c r="A19269" s="374"/>
      <c r="C19269" s="374"/>
      <c r="CV19269" s="376"/>
    </row>
    <row r="19270" spans="1:100">
      <c r="A19270" s="374"/>
      <c r="C19270" s="374"/>
      <c r="CV19270" s="376"/>
    </row>
    <row r="19271" spans="1:100">
      <c r="A19271" s="374"/>
      <c r="C19271" s="374"/>
      <c r="CV19271" s="376"/>
    </row>
    <row r="19272" spans="1:100">
      <c r="A19272" s="374"/>
      <c r="C19272" s="374"/>
      <c r="CV19272" s="376"/>
    </row>
    <row r="19273" spans="1:100">
      <c r="A19273" s="374"/>
      <c r="C19273" s="374"/>
      <c r="CV19273" s="376"/>
    </row>
    <row r="19274" spans="1:100">
      <c r="A19274" s="374"/>
      <c r="C19274" s="374"/>
      <c r="CV19274" s="376"/>
    </row>
    <row r="19275" spans="1:100">
      <c r="A19275" s="374"/>
      <c r="C19275" s="374"/>
      <c r="CV19275" s="376"/>
    </row>
    <row r="19276" spans="1:100">
      <c r="A19276" s="374"/>
      <c r="C19276" s="374"/>
      <c r="CV19276" s="376"/>
    </row>
    <row r="19277" spans="1:100">
      <c r="A19277" s="374"/>
      <c r="C19277" s="374"/>
      <c r="CV19277" s="376"/>
    </row>
    <row r="19278" spans="1:100">
      <c r="A19278" s="374"/>
      <c r="C19278" s="374"/>
      <c r="CV19278" s="376"/>
    </row>
    <row r="19279" spans="1:100">
      <c r="A19279" s="374"/>
      <c r="C19279" s="374"/>
      <c r="CV19279" s="376"/>
    </row>
    <row r="19280" spans="1:100">
      <c r="A19280" s="374"/>
      <c r="C19280" s="374"/>
      <c r="CV19280" s="376"/>
    </row>
    <row r="19281" spans="1:100">
      <c r="A19281" s="374"/>
      <c r="C19281" s="374"/>
      <c r="CV19281" s="376"/>
    </row>
    <row r="19282" spans="1:100">
      <c r="A19282" s="374"/>
      <c r="C19282" s="374"/>
      <c r="CV19282" s="376"/>
    </row>
    <row r="19283" spans="1:100">
      <c r="A19283" s="374"/>
      <c r="C19283" s="374"/>
      <c r="CV19283" s="376"/>
    </row>
    <row r="19284" spans="1:100">
      <c r="A19284" s="374"/>
      <c r="C19284" s="374"/>
      <c r="CV19284" s="376"/>
    </row>
    <row r="19285" spans="1:100">
      <c r="A19285" s="374"/>
      <c r="C19285" s="374"/>
      <c r="CV19285" s="376"/>
    </row>
    <row r="19286" spans="1:100">
      <c r="A19286" s="374"/>
      <c r="C19286" s="374"/>
      <c r="CV19286" s="376"/>
    </row>
    <row r="19287" spans="1:100">
      <c r="A19287" s="374"/>
      <c r="C19287" s="374"/>
      <c r="CV19287" s="376"/>
    </row>
    <row r="19288" spans="1:100">
      <c r="A19288" s="374"/>
      <c r="C19288" s="374"/>
      <c r="CV19288" s="376"/>
    </row>
    <row r="19289" spans="1:100">
      <c r="A19289" s="374"/>
      <c r="C19289" s="374"/>
      <c r="CV19289" s="376"/>
    </row>
    <row r="19290" spans="1:100">
      <c r="A19290" s="374"/>
      <c r="C19290" s="374"/>
      <c r="CV19290" s="376"/>
    </row>
    <row r="19291" spans="1:100">
      <c r="A19291" s="374"/>
      <c r="C19291" s="374"/>
      <c r="CV19291" s="376"/>
    </row>
    <row r="19292" spans="1:100">
      <c r="A19292" s="374"/>
      <c r="C19292" s="374"/>
      <c r="CV19292" s="376"/>
    </row>
    <row r="19293" spans="1:100">
      <c r="A19293" s="374"/>
      <c r="C19293" s="374"/>
      <c r="CV19293" s="376"/>
    </row>
    <row r="19294" spans="1:100">
      <c r="A19294" s="374"/>
      <c r="C19294" s="374"/>
      <c r="CV19294" s="376"/>
    </row>
    <row r="19295" spans="1:100">
      <c r="A19295" s="374"/>
      <c r="C19295" s="374"/>
      <c r="CV19295" s="376"/>
    </row>
    <row r="19296" spans="1:100">
      <c r="A19296" s="374"/>
      <c r="C19296" s="374"/>
      <c r="CV19296" s="376"/>
    </row>
    <row r="19297" spans="1:100">
      <c r="A19297" s="374"/>
      <c r="C19297" s="374"/>
      <c r="CV19297" s="376"/>
    </row>
    <row r="19298" spans="1:100">
      <c r="A19298" s="374"/>
      <c r="C19298" s="374"/>
      <c r="CV19298" s="376"/>
    </row>
    <row r="19299" spans="1:100">
      <c r="A19299" s="374"/>
      <c r="C19299" s="374"/>
      <c r="CV19299" s="376"/>
    </row>
    <row r="19300" spans="1:100">
      <c r="A19300" s="374"/>
      <c r="C19300" s="374"/>
      <c r="CV19300" s="376"/>
    </row>
    <row r="19301" spans="1:100">
      <c r="A19301" s="374"/>
      <c r="C19301" s="374"/>
      <c r="CV19301" s="376"/>
    </row>
    <row r="19302" spans="1:100">
      <c r="A19302" s="374"/>
      <c r="C19302" s="374"/>
      <c r="CV19302" s="376"/>
    </row>
    <row r="19303" spans="1:100">
      <c r="A19303" s="374"/>
      <c r="C19303" s="374"/>
      <c r="CV19303" s="376"/>
    </row>
    <row r="19304" spans="1:100">
      <c r="A19304" s="374"/>
      <c r="C19304" s="374"/>
      <c r="CV19304" s="376"/>
    </row>
    <row r="19305" spans="1:100">
      <c r="A19305" s="374"/>
      <c r="C19305" s="374"/>
      <c r="CV19305" s="376"/>
    </row>
    <row r="19306" spans="1:100">
      <c r="A19306" s="374"/>
      <c r="C19306" s="374"/>
      <c r="CV19306" s="376"/>
    </row>
    <row r="19307" spans="1:100">
      <c r="A19307" s="374"/>
      <c r="C19307" s="374"/>
      <c r="CV19307" s="376"/>
    </row>
    <row r="19308" spans="1:100">
      <c r="A19308" s="374"/>
      <c r="C19308" s="374"/>
      <c r="CV19308" s="376"/>
    </row>
    <row r="19309" spans="1:100">
      <c r="A19309" s="374"/>
      <c r="C19309" s="374"/>
      <c r="CV19309" s="376"/>
    </row>
    <row r="19310" spans="1:100">
      <c r="A19310" s="374"/>
      <c r="C19310" s="374"/>
      <c r="CV19310" s="376"/>
    </row>
    <row r="19311" spans="1:100">
      <c r="A19311" s="374"/>
      <c r="C19311" s="374"/>
      <c r="CV19311" s="376"/>
    </row>
    <row r="19312" spans="1:100">
      <c r="A19312" s="374"/>
      <c r="C19312" s="374"/>
      <c r="CV19312" s="376"/>
    </row>
    <row r="19313" spans="1:100">
      <c r="A19313" s="374"/>
      <c r="C19313" s="374"/>
      <c r="CV19313" s="376"/>
    </row>
    <row r="19314" spans="1:100">
      <c r="A19314" s="374"/>
      <c r="C19314" s="374"/>
      <c r="CV19314" s="376"/>
    </row>
    <row r="19315" spans="1:100">
      <c r="A19315" s="374"/>
      <c r="C19315" s="374"/>
      <c r="CV19315" s="376"/>
    </row>
    <row r="19316" spans="1:100">
      <c r="A19316" s="374"/>
      <c r="C19316" s="374"/>
      <c r="CV19316" s="376"/>
    </row>
    <row r="19317" spans="1:100">
      <c r="A19317" s="374"/>
      <c r="C19317" s="374"/>
      <c r="CV19317" s="376"/>
    </row>
    <row r="19318" spans="1:100">
      <c r="A19318" s="374"/>
      <c r="C19318" s="374"/>
      <c r="CV19318" s="376"/>
    </row>
    <row r="19319" spans="1:100">
      <c r="A19319" s="374"/>
      <c r="C19319" s="374"/>
      <c r="CV19319" s="376"/>
    </row>
    <row r="19320" spans="1:100">
      <c r="A19320" s="374"/>
      <c r="C19320" s="374"/>
      <c r="CV19320" s="376"/>
    </row>
    <row r="19321" spans="1:100">
      <c r="A19321" s="374"/>
      <c r="C19321" s="374"/>
      <c r="CV19321" s="376"/>
    </row>
    <row r="19322" spans="1:100">
      <c r="A19322" s="374"/>
      <c r="C19322" s="374"/>
      <c r="CV19322" s="376"/>
    </row>
    <row r="19323" spans="1:100">
      <c r="A19323" s="374"/>
      <c r="C19323" s="374"/>
      <c r="CV19323" s="376"/>
    </row>
    <row r="19324" spans="1:100">
      <c r="A19324" s="374"/>
      <c r="C19324" s="374"/>
      <c r="CV19324" s="376"/>
    </row>
    <row r="19325" spans="1:100">
      <c r="A19325" s="374"/>
      <c r="C19325" s="374"/>
      <c r="CV19325" s="376"/>
    </row>
    <row r="19326" spans="1:100">
      <c r="A19326" s="374"/>
      <c r="C19326" s="374"/>
      <c r="CV19326" s="376"/>
    </row>
    <row r="19327" spans="1:100">
      <c r="A19327" s="374"/>
      <c r="C19327" s="374"/>
      <c r="CV19327" s="376"/>
    </row>
    <row r="19328" spans="1:100">
      <c r="A19328" s="374"/>
      <c r="C19328" s="374"/>
      <c r="CV19328" s="376"/>
    </row>
    <row r="19329" spans="1:100">
      <c r="A19329" s="374"/>
      <c r="C19329" s="374"/>
      <c r="CV19329" s="376"/>
    </row>
    <row r="19330" spans="1:100">
      <c r="A19330" s="374"/>
      <c r="C19330" s="374"/>
      <c r="CV19330" s="376"/>
    </row>
    <row r="19331" spans="1:100">
      <c r="A19331" s="374"/>
      <c r="C19331" s="374"/>
      <c r="CV19331" s="376"/>
    </row>
    <row r="19332" spans="1:100">
      <c r="A19332" s="374"/>
      <c r="C19332" s="374"/>
      <c r="CV19332" s="376"/>
    </row>
    <row r="19333" spans="1:100">
      <c r="A19333" s="374"/>
      <c r="C19333" s="374"/>
      <c r="CV19333" s="376"/>
    </row>
    <row r="19334" spans="1:100">
      <c r="A19334" s="374"/>
      <c r="C19334" s="374"/>
      <c r="CV19334" s="376"/>
    </row>
    <row r="19335" spans="1:100">
      <c r="A19335" s="374"/>
      <c r="C19335" s="374"/>
      <c r="CV19335" s="376"/>
    </row>
    <row r="19336" spans="1:100">
      <c r="A19336" s="374"/>
      <c r="C19336" s="374"/>
      <c r="CV19336" s="376"/>
    </row>
    <row r="19337" spans="1:100">
      <c r="A19337" s="374"/>
      <c r="C19337" s="374"/>
      <c r="CV19337" s="376"/>
    </row>
    <row r="19338" spans="1:100">
      <c r="A19338" s="374"/>
      <c r="C19338" s="374"/>
      <c r="CV19338" s="376"/>
    </row>
    <row r="19339" spans="1:100">
      <c r="A19339" s="374"/>
      <c r="C19339" s="374"/>
      <c r="CV19339" s="376"/>
    </row>
    <row r="19340" spans="1:100">
      <c r="A19340" s="374"/>
      <c r="C19340" s="374"/>
      <c r="CV19340" s="376"/>
    </row>
    <row r="19341" spans="1:100">
      <c r="A19341" s="374"/>
      <c r="C19341" s="374"/>
      <c r="CV19341" s="376"/>
    </row>
    <row r="19342" spans="1:100">
      <c r="A19342" s="374"/>
      <c r="C19342" s="374"/>
      <c r="CV19342" s="376"/>
    </row>
    <row r="19343" spans="1:100">
      <c r="A19343" s="374"/>
      <c r="C19343" s="374"/>
      <c r="CV19343" s="376"/>
    </row>
    <row r="19344" spans="1:100">
      <c r="A19344" s="374"/>
      <c r="C19344" s="374"/>
      <c r="CV19344" s="376"/>
    </row>
    <row r="19345" spans="1:100">
      <c r="A19345" s="374"/>
      <c r="C19345" s="374"/>
      <c r="CV19345" s="376"/>
    </row>
    <row r="19346" spans="1:100">
      <c r="A19346" s="374"/>
      <c r="C19346" s="374"/>
      <c r="CV19346" s="376"/>
    </row>
    <row r="19347" spans="1:100">
      <c r="A19347" s="374"/>
      <c r="C19347" s="374"/>
      <c r="CV19347" s="376"/>
    </row>
    <row r="19348" spans="1:100">
      <c r="A19348" s="374"/>
      <c r="C19348" s="374"/>
      <c r="CV19348" s="376"/>
    </row>
    <row r="19349" spans="1:100">
      <c r="A19349" s="374"/>
      <c r="C19349" s="374"/>
      <c r="CV19349" s="376"/>
    </row>
    <row r="19350" spans="1:100">
      <c r="A19350" s="374"/>
      <c r="C19350" s="374"/>
      <c r="CV19350" s="376"/>
    </row>
    <row r="19351" spans="1:100">
      <c r="A19351" s="374"/>
      <c r="C19351" s="374"/>
      <c r="CV19351" s="376"/>
    </row>
    <row r="19352" spans="1:100">
      <c r="A19352" s="374"/>
      <c r="C19352" s="374"/>
      <c r="CV19352" s="376"/>
    </row>
    <row r="19353" spans="1:100">
      <c r="A19353" s="374"/>
      <c r="C19353" s="374"/>
      <c r="CV19353" s="376"/>
    </row>
    <row r="19354" spans="1:100">
      <c r="A19354" s="374"/>
      <c r="C19354" s="374"/>
      <c r="CV19354" s="376"/>
    </row>
    <row r="19355" spans="1:100">
      <c r="A19355" s="374"/>
      <c r="C19355" s="374"/>
      <c r="CV19355" s="376"/>
    </row>
    <row r="19356" spans="1:100">
      <c r="A19356" s="374"/>
      <c r="C19356" s="374"/>
      <c r="CV19356" s="376"/>
    </row>
    <row r="19357" spans="1:100">
      <c r="A19357" s="374"/>
      <c r="C19357" s="374"/>
      <c r="CV19357" s="376"/>
    </row>
    <row r="19358" spans="1:100">
      <c r="A19358" s="374"/>
      <c r="C19358" s="374"/>
      <c r="CV19358" s="376"/>
    </row>
    <row r="19359" spans="1:100">
      <c r="A19359" s="374"/>
      <c r="C19359" s="374"/>
      <c r="CV19359" s="376"/>
    </row>
    <row r="19360" spans="1:100">
      <c r="A19360" s="374"/>
      <c r="C19360" s="374"/>
      <c r="CV19360" s="376"/>
    </row>
    <row r="19361" spans="1:100">
      <c r="A19361" s="374"/>
      <c r="C19361" s="374"/>
      <c r="CV19361" s="376"/>
    </row>
    <row r="19362" spans="1:100">
      <c r="A19362" s="374"/>
      <c r="C19362" s="374"/>
      <c r="CV19362" s="376"/>
    </row>
    <row r="19363" spans="1:100">
      <c r="A19363" s="374"/>
      <c r="C19363" s="374"/>
      <c r="CV19363" s="376"/>
    </row>
    <row r="19364" spans="1:100">
      <c r="A19364" s="374"/>
      <c r="C19364" s="374"/>
      <c r="CV19364" s="376"/>
    </row>
    <row r="19365" spans="1:100">
      <c r="A19365" s="374"/>
      <c r="C19365" s="374"/>
      <c r="CV19365" s="376"/>
    </row>
    <row r="19366" spans="1:100">
      <c r="A19366" s="374"/>
      <c r="C19366" s="374"/>
      <c r="CV19366" s="376"/>
    </row>
    <row r="19367" spans="1:100">
      <c r="A19367" s="374"/>
      <c r="C19367" s="374"/>
      <c r="CV19367" s="376"/>
    </row>
    <row r="19368" spans="1:100">
      <c r="A19368" s="374"/>
      <c r="C19368" s="374"/>
      <c r="CV19368" s="376"/>
    </row>
    <row r="19369" spans="1:100">
      <c r="A19369" s="374"/>
      <c r="C19369" s="374"/>
      <c r="CV19369" s="376"/>
    </row>
    <row r="19370" spans="1:100">
      <c r="A19370" s="374"/>
      <c r="C19370" s="374"/>
      <c r="CV19370" s="376"/>
    </row>
    <row r="19371" spans="1:100">
      <c r="A19371" s="374"/>
      <c r="C19371" s="374"/>
      <c r="CV19371" s="376"/>
    </row>
    <row r="19372" spans="1:100">
      <c r="A19372" s="374"/>
      <c r="C19372" s="374"/>
      <c r="CV19372" s="376"/>
    </row>
    <row r="19373" spans="1:100">
      <c r="A19373" s="374"/>
      <c r="C19373" s="374"/>
      <c r="CV19373" s="376"/>
    </row>
    <row r="19374" spans="1:100">
      <c r="A19374" s="374"/>
      <c r="C19374" s="374"/>
      <c r="CV19374" s="376"/>
    </row>
    <row r="19375" spans="1:100">
      <c r="A19375" s="374"/>
      <c r="C19375" s="374"/>
      <c r="CV19375" s="376"/>
    </row>
    <row r="19376" spans="1:100">
      <c r="A19376" s="374"/>
      <c r="C19376" s="374"/>
      <c r="CV19376" s="376"/>
    </row>
    <row r="19377" spans="1:100">
      <c r="A19377" s="374"/>
      <c r="C19377" s="374"/>
      <c r="CV19377" s="376"/>
    </row>
    <row r="19378" spans="1:100">
      <c r="A19378" s="374"/>
      <c r="C19378" s="374"/>
      <c r="CV19378" s="376"/>
    </row>
    <row r="19379" spans="1:100">
      <c r="A19379" s="374"/>
      <c r="C19379" s="374"/>
      <c r="CV19379" s="376"/>
    </row>
    <row r="19380" spans="1:100">
      <c r="A19380" s="374"/>
      <c r="C19380" s="374"/>
      <c r="CV19380" s="376"/>
    </row>
    <row r="19381" spans="1:100">
      <c r="A19381" s="374"/>
      <c r="C19381" s="374"/>
      <c r="CV19381" s="376"/>
    </row>
    <row r="19382" spans="1:100">
      <c r="A19382" s="374"/>
      <c r="C19382" s="374"/>
      <c r="CV19382" s="376"/>
    </row>
    <row r="19383" spans="1:100">
      <c r="A19383" s="374"/>
      <c r="C19383" s="374"/>
      <c r="CV19383" s="376"/>
    </row>
    <row r="19384" spans="1:100">
      <c r="A19384" s="374"/>
      <c r="C19384" s="374"/>
      <c r="CV19384" s="376"/>
    </row>
    <row r="19385" spans="1:100">
      <c r="A19385" s="374"/>
      <c r="C19385" s="374"/>
      <c r="CV19385" s="376"/>
    </row>
    <row r="19386" spans="1:100">
      <c r="A19386" s="374"/>
      <c r="C19386" s="374"/>
      <c r="CV19386" s="376"/>
    </row>
    <row r="19387" spans="1:100">
      <c r="A19387" s="374"/>
      <c r="C19387" s="374"/>
      <c r="CV19387" s="376"/>
    </row>
    <row r="19388" spans="1:100">
      <c r="A19388" s="374"/>
      <c r="C19388" s="374"/>
      <c r="CV19388" s="376"/>
    </row>
    <row r="19389" spans="1:100">
      <c r="A19389" s="374"/>
      <c r="C19389" s="374"/>
      <c r="CV19389" s="376"/>
    </row>
    <row r="19390" spans="1:100">
      <c r="A19390" s="374"/>
      <c r="C19390" s="374"/>
      <c r="CV19390" s="376"/>
    </row>
    <row r="19391" spans="1:100">
      <c r="A19391" s="374"/>
      <c r="C19391" s="374"/>
      <c r="CV19391" s="376"/>
    </row>
    <row r="19392" spans="1:100">
      <c r="A19392" s="374"/>
      <c r="C19392" s="374"/>
      <c r="CV19392" s="376"/>
    </row>
    <row r="19393" spans="1:100">
      <c r="A19393" s="374"/>
      <c r="C19393" s="374"/>
      <c r="CV19393" s="376"/>
    </row>
    <row r="19394" spans="1:100">
      <c r="A19394" s="374"/>
      <c r="C19394" s="374"/>
      <c r="CV19394" s="376"/>
    </row>
    <row r="19395" spans="1:100">
      <c r="A19395" s="374"/>
      <c r="C19395" s="374"/>
      <c r="CV19395" s="376"/>
    </row>
    <row r="19396" spans="1:100">
      <c r="A19396" s="374"/>
      <c r="C19396" s="374"/>
      <c r="CV19396" s="376"/>
    </row>
    <row r="19397" spans="1:100">
      <c r="A19397" s="374"/>
      <c r="C19397" s="374"/>
      <c r="CV19397" s="376"/>
    </row>
    <row r="19398" spans="1:100">
      <c r="A19398" s="374"/>
      <c r="C19398" s="374"/>
      <c r="CV19398" s="376"/>
    </row>
    <row r="19399" spans="1:100">
      <c r="A19399" s="374"/>
      <c r="C19399" s="374"/>
      <c r="CV19399" s="376"/>
    </row>
    <row r="19400" spans="1:100">
      <c r="A19400" s="374"/>
      <c r="C19400" s="374"/>
      <c r="CV19400" s="376"/>
    </row>
    <row r="19401" spans="1:100">
      <c r="A19401" s="374"/>
      <c r="C19401" s="374"/>
      <c r="CV19401" s="376"/>
    </row>
    <row r="19402" spans="1:100">
      <c r="A19402" s="374"/>
      <c r="C19402" s="374"/>
      <c r="CV19402" s="376"/>
    </row>
    <row r="19403" spans="1:100">
      <c r="A19403" s="374"/>
      <c r="C19403" s="374"/>
      <c r="CV19403" s="376"/>
    </row>
    <row r="19404" spans="1:100">
      <c r="A19404" s="374"/>
      <c r="C19404" s="374"/>
      <c r="CV19404" s="376"/>
    </row>
    <row r="19405" spans="1:100">
      <c r="A19405" s="374"/>
      <c r="C19405" s="374"/>
      <c r="CV19405" s="376"/>
    </row>
    <row r="19406" spans="1:100">
      <c r="A19406" s="374"/>
      <c r="C19406" s="374"/>
      <c r="CV19406" s="376"/>
    </row>
    <row r="19407" spans="1:100">
      <c r="A19407" s="374"/>
      <c r="C19407" s="374"/>
      <c r="CV19407" s="376"/>
    </row>
    <row r="19408" spans="1:100">
      <c r="A19408" s="374"/>
      <c r="C19408" s="374"/>
      <c r="CV19408" s="376"/>
    </row>
    <row r="19409" spans="1:100">
      <c r="A19409" s="374"/>
      <c r="C19409" s="374"/>
      <c r="CV19409" s="376"/>
    </row>
    <row r="19410" spans="1:100">
      <c r="A19410" s="374"/>
      <c r="C19410" s="374"/>
      <c r="CV19410" s="376"/>
    </row>
    <row r="19411" spans="1:100">
      <c r="A19411" s="374"/>
      <c r="C19411" s="374"/>
      <c r="CV19411" s="376"/>
    </row>
    <row r="19412" spans="1:100">
      <c r="A19412" s="374"/>
      <c r="C19412" s="374"/>
      <c r="CV19412" s="376"/>
    </row>
    <row r="19413" spans="1:100">
      <c r="A19413" s="374"/>
      <c r="C19413" s="374"/>
      <c r="CV19413" s="376"/>
    </row>
    <row r="19414" spans="1:100">
      <c r="A19414" s="374"/>
      <c r="C19414" s="374"/>
      <c r="CV19414" s="376"/>
    </row>
    <row r="19415" spans="1:100">
      <c r="A19415" s="374"/>
      <c r="C19415" s="374"/>
      <c r="CV19415" s="376"/>
    </row>
    <row r="19416" spans="1:100">
      <c r="A19416" s="374"/>
      <c r="C19416" s="374"/>
      <c r="CV19416" s="376"/>
    </row>
    <row r="19417" spans="1:100">
      <c r="A19417" s="374"/>
      <c r="C19417" s="374"/>
      <c r="CV19417" s="376"/>
    </row>
    <row r="19418" spans="1:100">
      <c r="A19418" s="374"/>
      <c r="C19418" s="374"/>
      <c r="CV19418" s="376"/>
    </row>
    <row r="19419" spans="1:100">
      <c r="A19419" s="374"/>
      <c r="C19419" s="374"/>
      <c r="CV19419" s="376"/>
    </row>
    <row r="19420" spans="1:100">
      <c r="A19420" s="374"/>
      <c r="C19420" s="374"/>
      <c r="CV19420" s="376"/>
    </row>
    <row r="19421" spans="1:100">
      <c r="A19421" s="374"/>
      <c r="C19421" s="374"/>
      <c r="CV19421" s="376"/>
    </row>
    <row r="19422" spans="1:100">
      <c r="A19422" s="374"/>
      <c r="C19422" s="374"/>
      <c r="CV19422" s="376"/>
    </row>
    <row r="19423" spans="1:100">
      <c r="A19423" s="374"/>
      <c r="C19423" s="374"/>
      <c r="CV19423" s="376"/>
    </row>
    <row r="19424" spans="1:100">
      <c r="A19424" s="374"/>
      <c r="C19424" s="374"/>
      <c r="CV19424" s="376"/>
    </row>
    <row r="19425" spans="1:100">
      <c r="A19425" s="374"/>
      <c r="C19425" s="374"/>
      <c r="CV19425" s="376"/>
    </row>
    <row r="19426" spans="1:100">
      <c r="A19426" s="374"/>
      <c r="C19426" s="374"/>
      <c r="CV19426" s="376"/>
    </row>
    <row r="19427" spans="1:100">
      <c r="A19427" s="374"/>
      <c r="C19427" s="374"/>
      <c r="CV19427" s="376"/>
    </row>
    <row r="19428" spans="1:100">
      <c r="A19428" s="374"/>
      <c r="C19428" s="374"/>
      <c r="CV19428" s="376"/>
    </row>
    <row r="19429" spans="1:100">
      <c r="A19429" s="374"/>
      <c r="C19429" s="374"/>
      <c r="CV19429" s="376"/>
    </row>
    <row r="19430" spans="1:100">
      <c r="A19430" s="374"/>
      <c r="C19430" s="374"/>
      <c r="CV19430" s="376"/>
    </row>
    <row r="19431" spans="1:100">
      <c r="A19431" s="374"/>
      <c r="C19431" s="374"/>
      <c r="CV19431" s="376"/>
    </row>
    <row r="19432" spans="1:100">
      <c r="A19432" s="374"/>
      <c r="C19432" s="374"/>
      <c r="CV19432" s="376"/>
    </row>
    <row r="19433" spans="1:100">
      <c r="A19433" s="374"/>
      <c r="C19433" s="374"/>
      <c r="CV19433" s="376"/>
    </row>
    <row r="19434" spans="1:100">
      <c r="A19434" s="374"/>
      <c r="C19434" s="374"/>
      <c r="CV19434" s="376"/>
    </row>
    <row r="19435" spans="1:100">
      <c r="A19435" s="374"/>
      <c r="C19435" s="374"/>
      <c r="CV19435" s="376"/>
    </row>
    <row r="19436" spans="1:100">
      <c r="A19436" s="374"/>
      <c r="C19436" s="374"/>
      <c r="CV19436" s="376"/>
    </row>
    <row r="19437" spans="1:100">
      <c r="A19437" s="374"/>
      <c r="C19437" s="374"/>
      <c r="CV19437" s="376"/>
    </row>
    <row r="19438" spans="1:100">
      <c r="A19438" s="374"/>
      <c r="C19438" s="374"/>
      <c r="CV19438" s="376"/>
    </row>
    <row r="19439" spans="1:100">
      <c r="A19439" s="374"/>
      <c r="C19439" s="374"/>
      <c r="CV19439" s="376"/>
    </row>
    <row r="19440" spans="1:100">
      <c r="A19440" s="374"/>
      <c r="C19440" s="374"/>
      <c r="CV19440" s="376"/>
    </row>
    <row r="19441" spans="1:100">
      <c r="A19441" s="374"/>
      <c r="C19441" s="374"/>
      <c r="CV19441" s="376"/>
    </row>
    <row r="19442" spans="1:100">
      <c r="A19442" s="374"/>
      <c r="C19442" s="374"/>
      <c r="CV19442" s="376"/>
    </row>
    <row r="19443" spans="1:100">
      <c r="A19443" s="374"/>
      <c r="C19443" s="374"/>
      <c r="CV19443" s="376"/>
    </row>
    <row r="19444" spans="1:100">
      <c r="A19444" s="374"/>
      <c r="C19444" s="374"/>
      <c r="CV19444" s="376"/>
    </row>
    <row r="19445" spans="1:100">
      <c r="A19445" s="374"/>
      <c r="C19445" s="374"/>
      <c r="CV19445" s="376"/>
    </row>
    <row r="19446" spans="1:100">
      <c r="A19446" s="374"/>
      <c r="C19446" s="374"/>
      <c r="CV19446" s="376"/>
    </row>
    <row r="19447" spans="1:100">
      <c r="A19447" s="374"/>
      <c r="C19447" s="374"/>
      <c r="CV19447" s="376"/>
    </row>
    <row r="19448" spans="1:100">
      <c r="A19448" s="374"/>
      <c r="C19448" s="374"/>
      <c r="CV19448" s="376"/>
    </row>
    <row r="19449" spans="1:100">
      <c r="A19449" s="374"/>
      <c r="C19449" s="374"/>
      <c r="CV19449" s="376"/>
    </row>
    <row r="19450" spans="1:100">
      <c r="A19450" s="374"/>
      <c r="C19450" s="374"/>
      <c r="CV19450" s="376"/>
    </row>
    <row r="19451" spans="1:100">
      <c r="A19451" s="374"/>
      <c r="C19451" s="374"/>
      <c r="CV19451" s="376"/>
    </row>
    <row r="19452" spans="1:100">
      <c r="A19452" s="374"/>
      <c r="C19452" s="374"/>
      <c r="CV19452" s="376"/>
    </row>
    <row r="19453" spans="1:100">
      <c r="A19453" s="374"/>
      <c r="C19453" s="374"/>
      <c r="CV19453" s="376"/>
    </row>
    <row r="19454" spans="1:100">
      <c r="A19454" s="374"/>
      <c r="C19454" s="374"/>
      <c r="CV19454" s="376"/>
    </row>
    <row r="19455" spans="1:100">
      <c r="A19455" s="374"/>
      <c r="C19455" s="374"/>
      <c r="CV19455" s="376"/>
    </row>
    <row r="19456" spans="1:100">
      <c r="A19456" s="374"/>
      <c r="C19456" s="374"/>
      <c r="CV19456" s="376"/>
    </row>
    <row r="19457" spans="1:100">
      <c r="A19457" s="374"/>
      <c r="C19457" s="374"/>
      <c r="CV19457" s="376"/>
    </row>
    <row r="19458" spans="1:100">
      <c r="A19458" s="374"/>
      <c r="C19458" s="374"/>
      <c r="CV19458" s="376"/>
    </row>
    <row r="19459" spans="1:100">
      <c r="A19459" s="374"/>
      <c r="C19459" s="374"/>
      <c r="CV19459" s="376"/>
    </row>
    <row r="19460" spans="1:100">
      <c r="A19460" s="374"/>
      <c r="C19460" s="374"/>
      <c r="CV19460" s="376"/>
    </row>
    <row r="19461" spans="1:100">
      <c r="A19461" s="374"/>
      <c r="C19461" s="374"/>
      <c r="CV19461" s="376"/>
    </row>
    <row r="19462" spans="1:100">
      <c r="A19462" s="374"/>
      <c r="C19462" s="374"/>
      <c r="CV19462" s="376"/>
    </row>
    <row r="19463" spans="1:100">
      <c r="A19463" s="374"/>
      <c r="C19463" s="374"/>
      <c r="CV19463" s="376"/>
    </row>
    <row r="19464" spans="1:100">
      <c r="A19464" s="374"/>
      <c r="C19464" s="374"/>
      <c r="CV19464" s="376"/>
    </row>
    <row r="19465" spans="1:100">
      <c r="A19465" s="374"/>
      <c r="C19465" s="374"/>
      <c r="CV19465" s="376"/>
    </row>
    <row r="19466" spans="1:100">
      <c r="A19466" s="374"/>
      <c r="C19466" s="374"/>
      <c r="CV19466" s="376"/>
    </row>
    <row r="19467" spans="1:100">
      <c r="A19467" s="374"/>
      <c r="C19467" s="374"/>
      <c r="CV19467" s="376"/>
    </row>
    <row r="19468" spans="1:100">
      <c r="A19468" s="374"/>
      <c r="C19468" s="374"/>
      <c r="CV19468" s="376"/>
    </row>
    <row r="19469" spans="1:100">
      <c r="A19469" s="374"/>
      <c r="C19469" s="374"/>
      <c r="CV19469" s="376"/>
    </row>
    <row r="19470" spans="1:100">
      <c r="A19470" s="374"/>
      <c r="C19470" s="374"/>
      <c r="CV19470" s="376"/>
    </row>
    <row r="19471" spans="1:100">
      <c r="A19471" s="374"/>
      <c r="C19471" s="374"/>
      <c r="CV19471" s="376"/>
    </row>
    <row r="19472" spans="1:100">
      <c r="A19472" s="374"/>
      <c r="C19472" s="374"/>
      <c r="CV19472" s="376"/>
    </row>
    <row r="19473" spans="1:100">
      <c r="A19473" s="374"/>
      <c r="C19473" s="374"/>
      <c r="CV19473" s="376"/>
    </row>
    <row r="19474" spans="1:100">
      <c r="A19474" s="374"/>
      <c r="C19474" s="374"/>
      <c r="CV19474" s="376"/>
    </row>
    <row r="19475" spans="1:100">
      <c r="A19475" s="374"/>
      <c r="C19475" s="374"/>
      <c r="CV19475" s="376"/>
    </row>
    <row r="19476" spans="1:100">
      <c r="A19476" s="374"/>
      <c r="C19476" s="374"/>
      <c r="CV19476" s="376"/>
    </row>
    <row r="19477" spans="1:100">
      <c r="A19477" s="374"/>
      <c r="C19477" s="374"/>
      <c r="CV19477" s="376"/>
    </row>
    <row r="19478" spans="1:100">
      <c r="A19478" s="374"/>
      <c r="C19478" s="374"/>
      <c r="CV19478" s="376"/>
    </row>
    <row r="19479" spans="1:100">
      <c r="A19479" s="374"/>
      <c r="C19479" s="374"/>
      <c r="CV19479" s="376"/>
    </row>
    <row r="19480" spans="1:100">
      <c r="A19480" s="374"/>
      <c r="C19480" s="374"/>
      <c r="CV19480" s="376"/>
    </row>
    <row r="19481" spans="1:100">
      <c r="A19481" s="374"/>
      <c r="C19481" s="374"/>
      <c r="CV19481" s="376"/>
    </row>
    <row r="19482" spans="1:100">
      <c r="A19482" s="374"/>
      <c r="C19482" s="374"/>
      <c r="CV19482" s="376"/>
    </row>
    <row r="19483" spans="1:100">
      <c r="A19483" s="374"/>
      <c r="C19483" s="374"/>
      <c r="CV19483" s="376"/>
    </row>
    <row r="19484" spans="1:100">
      <c r="A19484" s="374"/>
      <c r="C19484" s="374"/>
      <c r="CV19484" s="376"/>
    </row>
    <row r="19485" spans="1:100">
      <c r="A19485" s="374"/>
      <c r="C19485" s="374"/>
      <c r="CV19485" s="376"/>
    </row>
    <row r="19486" spans="1:100">
      <c r="A19486" s="374"/>
      <c r="C19486" s="374"/>
      <c r="CV19486" s="376"/>
    </row>
    <row r="19487" spans="1:100">
      <c r="A19487" s="374"/>
      <c r="C19487" s="374"/>
      <c r="CV19487" s="376"/>
    </row>
    <row r="19488" spans="1:100">
      <c r="A19488" s="374"/>
      <c r="C19488" s="374"/>
      <c r="CV19488" s="376"/>
    </row>
    <row r="19489" spans="1:100">
      <c r="A19489" s="374"/>
      <c r="C19489" s="374"/>
      <c r="CV19489" s="376"/>
    </row>
    <row r="19490" spans="1:100">
      <c r="A19490" s="374"/>
      <c r="C19490" s="374"/>
      <c r="CV19490" s="376"/>
    </row>
    <row r="19491" spans="1:100">
      <c r="A19491" s="374"/>
      <c r="C19491" s="374"/>
      <c r="CV19491" s="376"/>
    </row>
    <row r="19492" spans="1:100">
      <c r="A19492" s="374"/>
      <c r="C19492" s="374"/>
      <c r="CV19492" s="376"/>
    </row>
    <row r="19493" spans="1:100">
      <c r="A19493" s="374"/>
      <c r="C19493" s="374"/>
      <c r="CV19493" s="376"/>
    </row>
    <row r="19494" spans="1:100">
      <c r="A19494" s="374"/>
      <c r="C19494" s="374"/>
      <c r="CV19494" s="376"/>
    </row>
    <row r="19495" spans="1:100">
      <c r="A19495" s="374"/>
      <c r="C19495" s="374"/>
      <c r="CV19495" s="376"/>
    </row>
    <row r="19496" spans="1:100">
      <c r="A19496" s="374"/>
      <c r="C19496" s="374"/>
      <c r="CV19496" s="376"/>
    </row>
    <row r="19497" spans="1:100">
      <c r="A19497" s="374"/>
      <c r="C19497" s="374"/>
      <c r="CV19497" s="376"/>
    </row>
    <row r="19498" spans="1:100">
      <c r="A19498" s="374"/>
      <c r="C19498" s="374"/>
      <c r="CV19498" s="376"/>
    </row>
    <row r="19499" spans="1:100">
      <c r="A19499" s="374"/>
      <c r="C19499" s="374"/>
      <c r="CV19499" s="376"/>
    </row>
    <row r="19500" spans="1:100">
      <c r="A19500" s="374"/>
      <c r="C19500" s="374"/>
      <c r="CV19500" s="376"/>
    </row>
    <row r="19501" spans="1:100">
      <c r="A19501" s="374"/>
      <c r="C19501" s="374"/>
      <c r="CV19501" s="376"/>
    </row>
    <row r="19502" spans="1:100">
      <c r="A19502" s="374"/>
      <c r="C19502" s="374"/>
      <c r="CV19502" s="376"/>
    </row>
    <row r="19503" spans="1:100">
      <c r="A19503" s="374"/>
      <c r="C19503" s="374"/>
      <c r="CV19503" s="376"/>
    </row>
    <row r="19504" spans="1:100">
      <c r="A19504" s="374"/>
      <c r="C19504" s="374"/>
      <c r="CV19504" s="376"/>
    </row>
    <row r="19505" spans="1:100">
      <c r="A19505" s="374"/>
      <c r="C19505" s="374"/>
      <c r="CV19505" s="376"/>
    </row>
    <row r="19506" spans="1:100">
      <c r="A19506" s="374"/>
      <c r="C19506" s="374"/>
      <c r="CV19506" s="376"/>
    </row>
    <row r="19507" spans="1:100">
      <c r="A19507" s="374"/>
      <c r="C19507" s="374"/>
      <c r="CV19507" s="376"/>
    </row>
    <row r="19508" spans="1:100">
      <c r="A19508" s="374"/>
      <c r="C19508" s="374"/>
      <c r="CV19508" s="376"/>
    </row>
    <row r="19509" spans="1:100">
      <c r="A19509" s="374"/>
      <c r="C19509" s="374"/>
      <c r="CV19509" s="376"/>
    </row>
    <row r="19510" spans="1:100">
      <c r="A19510" s="374"/>
      <c r="C19510" s="374"/>
      <c r="CV19510" s="376"/>
    </row>
    <row r="19511" spans="1:100">
      <c r="A19511" s="374"/>
      <c r="C19511" s="374"/>
      <c r="CV19511" s="376"/>
    </row>
    <row r="19512" spans="1:100">
      <c r="A19512" s="374"/>
      <c r="C19512" s="374"/>
      <c r="CV19512" s="376"/>
    </row>
    <row r="19513" spans="1:100">
      <c r="A19513" s="374"/>
      <c r="C19513" s="374"/>
      <c r="CV19513" s="376"/>
    </row>
    <row r="19514" spans="1:100">
      <c r="A19514" s="374"/>
      <c r="C19514" s="374"/>
      <c r="CV19514" s="376"/>
    </row>
    <row r="19515" spans="1:100">
      <c r="A19515" s="374"/>
      <c r="C19515" s="374"/>
      <c r="CV19515" s="376"/>
    </row>
    <row r="19516" spans="1:100">
      <c r="A19516" s="374"/>
      <c r="C19516" s="374"/>
      <c r="CV19516" s="376"/>
    </row>
    <row r="19517" spans="1:100">
      <c r="A19517" s="374"/>
      <c r="C19517" s="374"/>
      <c r="CV19517" s="376"/>
    </row>
    <row r="19518" spans="1:100">
      <c r="A19518" s="374"/>
      <c r="C19518" s="374"/>
      <c r="CV19518" s="376"/>
    </row>
    <row r="19519" spans="1:100">
      <c r="A19519" s="374"/>
      <c r="C19519" s="374"/>
      <c r="CV19519" s="376"/>
    </row>
    <row r="19520" spans="1:100">
      <c r="A19520" s="374"/>
      <c r="C19520" s="374"/>
      <c r="CV19520" s="376"/>
    </row>
    <row r="19521" spans="1:100">
      <c r="A19521" s="374"/>
      <c r="C19521" s="374"/>
      <c r="CV19521" s="376"/>
    </row>
    <row r="19522" spans="1:100">
      <c r="A19522" s="374"/>
      <c r="C19522" s="374"/>
      <c r="CV19522" s="376"/>
    </row>
    <row r="19523" spans="1:100">
      <c r="A19523" s="374"/>
      <c r="C19523" s="374"/>
      <c r="CV19523" s="376"/>
    </row>
    <row r="19524" spans="1:100">
      <c r="A19524" s="374"/>
      <c r="C19524" s="374"/>
      <c r="CV19524" s="376"/>
    </row>
    <row r="19525" spans="1:100">
      <c r="A19525" s="374"/>
      <c r="C19525" s="374"/>
      <c r="CV19525" s="376"/>
    </row>
    <row r="19526" spans="1:100">
      <c r="A19526" s="374"/>
      <c r="C19526" s="374"/>
      <c r="CV19526" s="376"/>
    </row>
    <row r="19527" spans="1:100">
      <c r="A19527" s="374"/>
      <c r="C19527" s="374"/>
      <c r="CV19527" s="376"/>
    </row>
    <row r="19528" spans="1:100">
      <c r="A19528" s="374"/>
      <c r="C19528" s="374"/>
      <c r="CV19528" s="376"/>
    </row>
    <row r="19529" spans="1:100">
      <c r="A19529" s="374"/>
      <c r="C19529" s="374"/>
      <c r="CV19529" s="376"/>
    </row>
    <row r="19530" spans="1:100">
      <c r="A19530" s="374"/>
      <c r="C19530" s="374"/>
      <c r="CV19530" s="376"/>
    </row>
    <row r="19531" spans="1:100">
      <c r="A19531" s="374"/>
      <c r="C19531" s="374"/>
      <c r="CV19531" s="376"/>
    </row>
    <row r="19532" spans="1:100">
      <c r="A19532" s="374"/>
      <c r="C19532" s="374"/>
      <c r="CV19532" s="376"/>
    </row>
    <row r="19533" spans="1:100">
      <c r="A19533" s="374"/>
      <c r="C19533" s="374"/>
      <c r="CV19533" s="376"/>
    </row>
    <row r="19534" spans="1:100">
      <c r="A19534" s="374"/>
      <c r="C19534" s="374"/>
      <c r="CV19534" s="376"/>
    </row>
    <row r="19535" spans="1:100">
      <c r="A19535" s="374"/>
      <c r="C19535" s="374"/>
      <c r="CV19535" s="376"/>
    </row>
    <row r="19536" spans="1:100">
      <c r="A19536" s="374"/>
      <c r="C19536" s="374"/>
      <c r="CV19536" s="376"/>
    </row>
    <row r="19537" spans="1:100">
      <c r="A19537" s="374"/>
      <c r="C19537" s="374"/>
      <c r="CV19537" s="376"/>
    </row>
    <row r="19538" spans="1:100">
      <c r="A19538" s="374"/>
      <c r="C19538" s="374"/>
      <c r="CV19538" s="376"/>
    </row>
    <row r="19539" spans="1:100">
      <c r="A19539" s="374"/>
      <c r="C19539" s="374"/>
      <c r="CV19539" s="376"/>
    </row>
    <row r="19540" spans="1:100">
      <c r="A19540" s="374"/>
      <c r="C19540" s="374"/>
      <c r="CV19540" s="376"/>
    </row>
    <row r="19541" spans="1:100">
      <c r="A19541" s="374"/>
      <c r="C19541" s="374"/>
      <c r="CV19541" s="376"/>
    </row>
    <row r="19542" spans="1:100">
      <c r="A19542" s="374"/>
      <c r="C19542" s="374"/>
      <c r="CV19542" s="376"/>
    </row>
    <row r="19543" spans="1:100">
      <c r="A19543" s="374"/>
      <c r="C19543" s="374"/>
      <c r="CV19543" s="376"/>
    </row>
    <row r="19544" spans="1:100">
      <c r="A19544" s="374"/>
      <c r="C19544" s="374"/>
      <c r="CV19544" s="376"/>
    </row>
    <row r="19545" spans="1:100">
      <c r="A19545" s="374"/>
      <c r="C19545" s="374"/>
      <c r="CV19545" s="376"/>
    </row>
    <row r="19546" spans="1:100">
      <c r="A19546" s="374"/>
      <c r="C19546" s="374"/>
      <c r="CV19546" s="376"/>
    </row>
    <row r="19547" spans="1:100">
      <c r="A19547" s="374"/>
      <c r="C19547" s="374"/>
      <c r="CV19547" s="376"/>
    </row>
    <row r="19548" spans="1:100">
      <c r="A19548" s="374"/>
      <c r="C19548" s="374"/>
      <c r="CV19548" s="376"/>
    </row>
    <row r="19549" spans="1:100">
      <c r="A19549" s="374"/>
      <c r="C19549" s="374"/>
      <c r="CV19549" s="376"/>
    </row>
    <row r="19550" spans="1:100">
      <c r="A19550" s="374"/>
      <c r="C19550" s="374"/>
      <c r="CV19550" s="376"/>
    </row>
    <row r="19551" spans="1:100">
      <c r="A19551" s="374"/>
      <c r="C19551" s="374"/>
      <c r="CV19551" s="376"/>
    </row>
    <row r="19552" spans="1:100">
      <c r="A19552" s="374"/>
      <c r="C19552" s="374"/>
      <c r="CV19552" s="376"/>
    </row>
    <row r="19553" spans="1:100">
      <c r="A19553" s="374"/>
      <c r="C19553" s="374"/>
      <c r="CV19553" s="376"/>
    </row>
    <row r="19554" spans="1:100">
      <c r="A19554" s="374"/>
      <c r="C19554" s="374"/>
      <c r="CV19554" s="376"/>
    </row>
    <row r="19555" spans="1:100">
      <c r="A19555" s="374"/>
      <c r="C19555" s="374"/>
      <c r="CV19555" s="376"/>
    </row>
    <row r="19556" spans="1:100">
      <c r="A19556" s="374"/>
      <c r="C19556" s="374"/>
      <c r="CV19556" s="376"/>
    </row>
    <row r="19557" spans="1:100">
      <c r="A19557" s="374"/>
      <c r="C19557" s="374"/>
      <c r="CV19557" s="376"/>
    </row>
    <row r="19558" spans="1:100">
      <c r="A19558" s="374"/>
      <c r="C19558" s="374"/>
      <c r="CV19558" s="376"/>
    </row>
    <row r="19559" spans="1:100">
      <c r="A19559" s="374"/>
      <c r="C19559" s="374"/>
      <c r="CV19559" s="376"/>
    </row>
    <row r="19560" spans="1:100">
      <c r="A19560" s="374"/>
      <c r="C19560" s="374"/>
      <c r="CV19560" s="376"/>
    </row>
    <row r="19561" spans="1:100">
      <c r="A19561" s="374"/>
      <c r="C19561" s="374"/>
      <c r="CV19561" s="376"/>
    </row>
    <row r="19562" spans="1:100">
      <c r="A19562" s="374"/>
      <c r="C19562" s="374"/>
      <c r="CV19562" s="376"/>
    </row>
    <row r="19563" spans="1:100">
      <c r="A19563" s="374"/>
      <c r="C19563" s="374"/>
      <c r="CV19563" s="376"/>
    </row>
    <row r="19564" spans="1:100">
      <c r="A19564" s="374"/>
      <c r="C19564" s="374"/>
      <c r="CV19564" s="376"/>
    </row>
    <row r="19565" spans="1:100">
      <c r="A19565" s="374"/>
      <c r="C19565" s="374"/>
      <c r="CV19565" s="376"/>
    </row>
    <row r="19566" spans="1:100">
      <c r="A19566" s="374"/>
      <c r="C19566" s="374"/>
      <c r="CV19566" s="376"/>
    </row>
    <row r="19567" spans="1:100">
      <c r="A19567" s="374"/>
      <c r="C19567" s="374"/>
      <c r="CV19567" s="376"/>
    </row>
    <row r="19568" spans="1:100">
      <c r="A19568" s="374"/>
      <c r="C19568" s="374"/>
      <c r="CV19568" s="376"/>
    </row>
    <row r="19569" spans="1:100">
      <c r="A19569" s="374"/>
      <c r="C19569" s="374"/>
      <c r="CV19569" s="376"/>
    </row>
    <row r="19570" spans="1:100">
      <c r="A19570" s="374"/>
      <c r="C19570" s="374"/>
      <c r="CV19570" s="376"/>
    </row>
    <row r="19571" spans="1:100">
      <c r="A19571" s="374"/>
      <c r="C19571" s="374"/>
      <c r="CV19571" s="376"/>
    </row>
    <row r="19572" spans="1:100">
      <c r="A19572" s="374"/>
      <c r="C19572" s="374"/>
      <c r="CV19572" s="376"/>
    </row>
    <row r="19573" spans="1:100">
      <c r="A19573" s="374"/>
      <c r="C19573" s="374"/>
      <c r="CV19573" s="376"/>
    </row>
    <row r="19574" spans="1:100">
      <c r="A19574" s="374"/>
      <c r="C19574" s="374"/>
      <c r="CV19574" s="376"/>
    </row>
    <row r="19575" spans="1:100">
      <c r="A19575" s="374"/>
      <c r="C19575" s="374"/>
      <c r="CV19575" s="376"/>
    </row>
    <row r="19576" spans="1:100">
      <c r="A19576" s="374"/>
      <c r="C19576" s="374"/>
      <c r="CV19576" s="376"/>
    </row>
    <row r="19577" spans="1:100">
      <c r="A19577" s="374"/>
      <c r="C19577" s="374"/>
      <c r="CV19577" s="376"/>
    </row>
    <row r="19578" spans="1:100">
      <c r="A19578" s="374"/>
      <c r="C19578" s="374"/>
      <c r="CV19578" s="376"/>
    </row>
    <row r="19579" spans="1:100">
      <c r="A19579" s="374"/>
      <c r="C19579" s="374"/>
      <c r="CV19579" s="376"/>
    </row>
    <row r="19580" spans="1:100">
      <c r="A19580" s="374"/>
      <c r="C19580" s="374"/>
      <c r="CV19580" s="376"/>
    </row>
    <row r="19581" spans="1:100">
      <c r="A19581" s="374"/>
      <c r="C19581" s="374"/>
      <c r="CV19581" s="376"/>
    </row>
    <row r="19582" spans="1:100">
      <c r="A19582" s="374"/>
      <c r="C19582" s="374"/>
      <c r="CV19582" s="376"/>
    </row>
    <row r="19583" spans="1:100">
      <c r="A19583" s="374"/>
      <c r="C19583" s="374"/>
      <c r="CV19583" s="376"/>
    </row>
    <row r="19584" spans="1:100">
      <c r="A19584" s="374"/>
      <c r="C19584" s="374"/>
      <c r="CV19584" s="376"/>
    </row>
    <row r="19585" spans="1:100">
      <c r="A19585" s="374"/>
      <c r="C19585" s="374"/>
      <c r="CV19585" s="376"/>
    </row>
    <row r="19586" spans="1:100">
      <c r="A19586" s="374"/>
      <c r="C19586" s="374"/>
      <c r="CV19586" s="376"/>
    </row>
    <row r="19587" spans="1:100">
      <c r="A19587" s="374"/>
      <c r="C19587" s="374"/>
      <c r="CV19587" s="376"/>
    </row>
    <row r="19588" spans="1:100">
      <c r="A19588" s="374"/>
      <c r="C19588" s="374"/>
      <c r="CV19588" s="376"/>
    </row>
    <row r="19589" spans="1:100">
      <c r="A19589" s="374"/>
      <c r="C19589" s="374"/>
      <c r="CV19589" s="376"/>
    </row>
    <row r="19590" spans="1:100">
      <c r="A19590" s="374"/>
      <c r="C19590" s="374"/>
      <c r="CV19590" s="376"/>
    </row>
    <row r="19591" spans="1:100">
      <c r="A19591" s="374"/>
      <c r="C19591" s="374"/>
      <c r="CV19591" s="376"/>
    </row>
    <row r="19592" spans="1:100">
      <c r="A19592" s="374"/>
      <c r="C19592" s="374"/>
      <c r="CV19592" s="376"/>
    </row>
    <row r="19593" spans="1:100">
      <c r="A19593" s="374"/>
      <c r="C19593" s="374"/>
      <c r="CV19593" s="376"/>
    </row>
    <row r="19594" spans="1:100">
      <c r="A19594" s="374"/>
      <c r="C19594" s="374"/>
      <c r="CV19594" s="376"/>
    </row>
    <row r="19595" spans="1:100">
      <c r="A19595" s="374"/>
      <c r="C19595" s="374"/>
      <c r="CV19595" s="376"/>
    </row>
    <row r="19596" spans="1:100">
      <c r="A19596" s="374"/>
      <c r="C19596" s="374"/>
      <c r="CV19596" s="376"/>
    </row>
    <row r="19597" spans="1:100">
      <c r="A19597" s="374"/>
      <c r="C19597" s="374"/>
      <c r="CV19597" s="376"/>
    </row>
    <row r="19598" spans="1:100">
      <c r="A19598" s="374"/>
      <c r="C19598" s="374"/>
      <c r="CV19598" s="376"/>
    </row>
    <row r="19599" spans="1:100">
      <c r="A19599" s="374"/>
      <c r="C19599" s="374"/>
      <c r="CV19599" s="376"/>
    </row>
    <row r="19600" spans="1:100">
      <c r="A19600" s="374"/>
      <c r="C19600" s="374"/>
      <c r="CV19600" s="376"/>
    </row>
    <row r="19601" spans="1:100">
      <c r="A19601" s="374"/>
      <c r="C19601" s="374"/>
      <c r="CV19601" s="376"/>
    </row>
    <row r="19602" spans="1:100">
      <c r="A19602" s="374"/>
      <c r="C19602" s="374"/>
      <c r="CV19602" s="376"/>
    </row>
    <row r="19603" spans="1:100">
      <c r="A19603" s="374"/>
      <c r="C19603" s="374"/>
      <c r="CV19603" s="376"/>
    </row>
    <row r="19604" spans="1:100">
      <c r="A19604" s="374"/>
      <c r="C19604" s="374"/>
      <c r="CV19604" s="376"/>
    </row>
    <row r="19605" spans="1:100">
      <c r="A19605" s="374"/>
      <c r="C19605" s="374"/>
      <c r="CV19605" s="376"/>
    </row>
    <row r="19606" spans="1:100">
      <c r="A19606" s="374"/>
      <c r="C19606" s="374"/>
      <c r="CV19606" s="376"/>
    </row>
    <row r="19607" spans="1:100">
      <c r="A19607" s="374"/>
      <c r="C19607" s="374"/>
      <c r="CV19607" s="376"/>
    </row>
    <row r="19608" spans="1:100">
      <c r="A19608" s="374"/>
      <c r="C19608" s="374"/>
      <c r="CV19608" s="376"/>
    </row>
    <row r="19609" spans="1:100">
      <c r="A19609" s="374"/>
      <c r="C19609" s="374"/>
      <c r="CV19609" s="376"/>
    </row>
    <row r="19610" spans="1:100">
      <c r="A19610" s="374"/>
      <c r="C19610" s="374"/>
      <c r="CV19610" s="376"/>
    </row>
    <row r="19611" spans="1:100">
      <c r="A19611" s="374"/>
      <c r="C19611" s="374"/>
      <c r="CV19611" s="376"/>
    </row>
    <row r="19612" spans="1:100">
      <c r="A19612" s="374"/>
      <c r="C19612" s="374"/>
      <c r="CV19612" s="376"/>
    </row>
    <row r="19613" spans="1:100">
      <c r="A19613" s="374"/>
      <c r="C19613" s="374"/>
      <c r="CV19613" s="376"/>
    </row>
    <row r="19614" spans="1:100">
      <c r="A19614" s="374"/>
      <c r="C19614" s="374"/>
      <c r="CV19614" s="376"/>
    </row>
    <row r="19615" spans="1:100">
      <c r="A19615" s="374"/>
      <c r="C19615" s="374"/>
      <c r="CV19615" s="376"/>
    </row>
    <row r="19616" spans="1:100">
      <c r="A19616" s="374"/>
      <c r="C19616" s="374"/>
      <c r="CV19616" s="376"/>
    </row>
    <row r="19617" spans="1:100">
      <c r="A19617" s="374"/>
      <c r="C19617" s="374"/>
      <c r="CV19617" s="376"/>
    </row>
    <row r="19618" spans="1:100">
      <c r="A19618" s="374"/>
      <c r="C19618" s="374"/>
      <c r="CV19618" s="376"/>
    </row>
    <row r="19619" spans="1:100">
      <c r="A19619" s="374"/>
      <c r="C19619" s="374"/>
      <c r="CV19619" s="376"/>
    </row>
    <row r="19620" spans="1:100">
      <c r="A19620" s="374"/>
      <c r="C19620" s="374"/>
      <c r="CV19620" s="376"/>
    </row>
    <row r="19621" spans="1:100">
      <c r="A19621" s="374"/>
      <c r="C19621" s="374"/>
      <c r="CV19621" s="376"/>
    </row>
    <row r="19622" spans="1:100">
      <c r="A19622" s="374"/>
      <c r="C19622" s="374"/>
      <c r="CV19622" s="376"/>
    </row>
    <row r="19623" spans="1:100">
      <c r="A19623" s="374"/>
      <c r="C19623" s="374"/>
      <c r="CV19623" s="376"/>
    </row>
    <row r="19624" spans="1:100">
      <c r="A19624" s="374"/>
      <c r="C19624" s="374"/>
      <c r="CV19624" s="376"/>
    </row>
    <row r="19625" spans="1:100">
      <c r="A19625" s="374"/>
      <c r="C19625" s="374"/>
      <c r="CV19625" s="376"/>
    </row>
    <row r="19626" spans="1:100">
      <c r="A19626" s="374"/>
      <c r="C19626" s="374"/>
      <c r="CV19626" s="376"/>
    </row>
    <row r="19627" spans="1:100">
      <c r="A19627" s="374"/>
      <c r="C19627" s="374"/>
      <c r="CV19627" s="376"/>
    </row>
    <row r="19628" spans="1:100">
      <c r="A19628" s="374"/>
      <c r="C19628" s="374"/>
      <c r="CV19628" s="376"/>
    </row>
    <row r="19629" spans="1:100">
      <c r="A19629" s="374"/>
      <c r="C19629" s="374"/>
      <c r="CV19629" s="376"/>
    </row>
    <row r="19630" spans="1:100">
      <c r="A19630" s="374"/>
      <c r="C19630" s="374"/>
      <c r="CV19630" s="376"/>
    </row>
    <row r="19631" spans="1:100">
      <c r="A19631" s="374"/>
      <c r="C19631" s="374"/>
      <c r="CV19631" s="376"/>
    </row>
    <row r="19632" spans="1:100">
      <c r="A19632" s="374"/>
      <c r="C19632" s="374"/>
      <c r="CV19632" s="376"/>
    </row>
    <row r="19633" spans="1:100">
      <c r="A19633" s="374"/>
      <c r="C19633" s="374"/>
      <c r="CV19633" s="376"/>
    </row>
    <row r="19634" spans="1:100">
      <c r="A19634" s="374"/>
      <c r="C19634" s="374"/>
      <c r="CV19634" s="376"/>
    </row>
    <row r="19635" spans="1:100">
      <c r="A19635" s="374"/>
      <c r="C19635" s="374"/>
      <c r="CV19635" s="376"/>
    </row>
    <row r="19636" spans="1:100">
      <c r="A19636" s="374"/>
      <c r="C19636" s="374"/>
      <c r="CV19636" s="376"/>
    </row>
    <row r="19637" spans="1:100">
      <c r="A19637" s="374"/>
      <c r="C19637" s="374"/>
      <c r="CV19637" s="376"/>
    </row>
    <row r="19638" spans="1:100">
      <c r="A19638" s="374"/>
      <c r="C19638" s="374"/>
      <c r="CV19638" s="376"/>
    </row>
    <row r="19639" spans="1:100">
      <c r="A19639" s="374"/>
      <c r="C19639" s="374"/>
      <c r="CV19639" s="376"/>
    </row>
    <row r="19640" spans="1:100">
      <c r="A19640" s="374"/>
      <c r="C19640" s="374"/>
      <c r="CV19640" s="376"/>
    </row>
    <row r="19641" spans="1:100">
      <c r="A19641" s="374"/>
      <c r="C19641" s="374"/>
      <c r="CV19641" s="376"/>
    </row>
    <row r="19642" spans="1:100">
      <c r="A19642" s="374"/>
      <c r="C19642" s="374"/>
      <c r="CV19642" s="376"/>
    </row>
    <row r="19643" spans="1:100">
      <c r="A19643" s="374"/>
      <c r="C19643" s="374"/>
      <c r="CV19643" s="376"/>
    </row>
    <row r="19644" spans="1:100">
      <c r="A19644" s="374"/>
      <c r="C19644" s="374"/>
      <c r="CV19644" s="376"/>
    </row>
    <row r="19645" spans="1:100">
      <c r="A19645" s="374"/>
      <c r="C19645" s="374"/>
      <c r="CV19645" s="376"/>
    </row>
    <row r="19646" spans="1:100">
      <c r="A19646" s="374"/>
      <c r="C19646" s="374"/>
      <c r="CV19646" s="376"/>
    </row>
    <row r="19647" spans="1:100">
      <c r="A19647" s="374"/>
      <c r="C19647" s="374"/>
      <c r="CV19647" s="376"/>
    </row>
    <row r="19648" spans="1:100">
      <c r="A19648" s="374"/>
      <c r="C19648" s="374"/>
      <c r="CV19648" s="376"/>
    </row>
    <row r="19649" spans="1:100">
      <c r="A19649" s="374"/>
      <c r="C19649" s="374"/>
      <c r="CV19649" s="376"/>
    </row>
    <row r="19650" spans="1:100">
      <c r="A19650" s="374"/>
      <c r="C19650" s="374"/>
      <c r="CV19650" s="376"/>
    </row>
    <row r="19651" spans="1:100">
      <c r="A19651" s="374"/>
      <c r="C19651" s="374"/>
      <c r="CV19651" s="376"/>
    </row>
    <row r="19652" spans="1:100">
      <c r="A19652" s="374"/>
      <c r="C19652" s="374"/>
      <c r="CV19652" s="376"/>
    </row>
    <row r="19653" spans="1:100">
      <c r="A19653" s="374"/>
      <c r="C19653" s="374"/>
      <c r="CV19653" s="376"/>
    </row>
    <row r="19654" spans="1:100">
      <c r="A19654" s="374"/>
      <c r="C19654" s="374"/>
      <c r="CV19654" s="376"/>
    </row>
    <row r="19655" spans="1:100">
      <c r="A19655" s="374"/>
      <c r="C19655" s="374"/>
      <c r="CV19655" s="376"/>
    </row>
    <row r="19656" spans="1:100">
      <c r="A19656" s="374"/>
      <c r="C19656" s="374"/>
      <c r="CV19656" s="376"/>
    </row>
    <row r="19657" spans="1:100">
      <c r="A19657" s="374"/>
      <c r="C19657" s="374"/>
      <c r="CV19657" s="376"/>
    </row>
    <row r="19658" spans="1:100">
      <c r="A19658" s="374"/>
      <c r="C19658" s="374"/>
      <c r="CV19658" s="376"/>
    </row>
    <row r="19659" spans="1:100">
      <c r="A19659" s="374"/>
      <c r="C19659" s="374"/>
      <c r="CV19659" s="376"/>
    </row>
    <row r="19660" spans="1:100">
      <c r="A19660" s="374"/>
      <c r="C19660" s="374"/>
      <c r="CV19660" s="376"/>
    </row>
    <row r="19661" spans="1:100">
      <c r="A19661" s="374"/>
      <c r="C19661" s="374"/>
      <c r="CV19661" s="376"/>
    </row>
    <row r="19662" spans="1:100">
      <c r="A19662" s="374"/>
      <c r="C19662" s="374"/>
      <c r="CV19662" s="376"/>
    </row>
    <row r="19663" spans="1:100">
      <c r="A19663" s="374"/>
      <c r="C19663" s="374"/>
      <c r="CV19663" s="376"/>
    </row>
    <row r="19664" spans="1:100">
      <c r="A19664" s="374"/>
      <c r="C19664" s="374"/>
      <c r="CV19664" s="376"/>
    </row>
    <row r="19665" spans="1:100">
      <c r="A19665" s="374"/>
      <c r="C19665" s="374"/>
      <c r="CV19665" s="376"/>
    </row>
    <row r="19666" spans="1:100">
      <c r="A19666" s="374"/>
      <c r="C19666" s="374"/>
      <c r="CV19666" s="376"/>
    </row>
    <row r="19667" spans="1:100">
      <c r="A19667" s="374"/>
      <c r="C19667" s="374"/>
      <c r="CV19667" s="376"/>
    </row>
    <row r="19668" spans="1:100">
      <c r="A19668" s="374"/>
      <c r="C19668" s="374"/>
      <c r="CV19668" s="376"/>
    </row>
    <row r="19669" spans="1:100">
      <c r="A19669" s="374"/>
      <c r="C19669" s="374"/>
      <c r="CV19669" s="376"/>
    </row>
    <row r="19670" spans="1:100">
      <c r="A19670" s="374"/>
      <c r="C19670" s="374"/>
      <c r="CV19670" s="376"/>
    </row>
    <row r="19671" spans="1:100">
      <c r="A19671" s="374"/>
      <c r="C19671" s="374"/>
      <c r="CV19671" s="376"/>
    </row>
    <row r="19672" spans="1:100">
      <c r="A19672" s="374"/>
      <c r="C19672" s="374"/>
      <c r="CV19672" s="376"/>
    </row>
    <row r="19673" spans="1:100">
      <c r="A19673" s="374"/>
      <c r="C19673" s="374"/>
      <c r="CV19673" s="376"/>
    </row>
    <row r="19674" spans="1:100">
      <c r="A19674" s="374"/>
      <c r="C19674" s="374"/>
      <c r="CV19674" s="376"/>
    </row>
    <row r="19675" spans="1:100">
      <c r="A19675" s="374"/>
      <c r="C19675" s="374"/>
      <c r="CV19675" s="376"/>
    </row>
    <row r="19676" spans="1:100">
      <c r="A19676" s="374"/>
      <c r="C19676" s="374"/>
      <c r="CV19676" s="376"/>
    </row>
    <row r="19677" spans="1:100">
      <c r="A19677" s="374"/>
      <c r="C19677" s="374"/>
      <c r="CV19677" s="376"/>
    </row>
    <row r="19678" spans="1:100">
      <c r="A19678" s="374"/>
      <c r="C19678" s="374"/>
      <c r="CV19678" s="376"/>
    </row>
    <row r="19679" spans="1:100">
      <c r="A19679" s="374"/>
      <c r="C19679" s="374"/>
      <c r="CV19679" s="376"/>
    </row>
    <row r="19680" spans="1:100">
      <c r="A19680" s="374"/>
      <c r="C19680" s="374"/>
      <c r="CV19680" s="376"/>
    </row>
    <row r="19681" spans="1:100">
      <c r="A19681" s="374"/>
      <c r="C19681" s="374"/>
      <c r="CV19681" s="376"/>
    </row>
    <row r="19682" spans="1:100">
      <c r="A19682" s="374"/>
      <c r="C19682" s="374"/>
      <c r="CV19682" s="376"/>
    </row>
    <row r="19683" spans="1:100">
      <c r="A19683" s="374"/>
      <c r="C19683" s="374"/>
      <c r="CV19683" s="376"/>
    </row>
    <row r="19684" spans="1:100">
      <c r="A19684" s="374"/>
      <c r="C19684" s="374"/>
      <c r="CV19684" s="376"/>
    </row>
    <row r="19685" spans="1:100">
      <c r="A19685" s="374"/>
      <c r="C19685" s="374"/>
      <c r="CV19685" s="376"/>
    </row>
    <row r="19686" spans="1:100">
      <c r="A19686" s="374"/>
      <c r="C19686" s="374"/>
      <c r="CV19686" s="376"/>
    </row>
    <row r="19687" spans="1:100">
      <c r="A19687" s="374"/>
      <c r="C19687" s="374"/>
      <c r="CV19687" s="376"/>
    </row>
    <row r="19688" spans="1:100">
      <c r="A19688" s="374"/>
      <c r="C19688" s="374"/>
      <c r="CV19688" s="376"/>
    </row>
    <row r="19689" spans="1:100">
      <c r="A19689" s="374"/>
      <c r="C19689" s="374"/>
      <c r="CV19689" s="376"/>
    </row>
    <row r="19690" spans="1:100">
      <c r="A19690" s="374"/>
      <c r="C19690" s="374"/>
      <c r="CV19690" s="376"/>
    </row>
    <row r="19691" spans="1:100">
      <c r="A19691" s="374"/>
      <c r="C19691" s="374"/>
      <c r="CV19691" s="376"/>
    </row>
    <row r="19692" spans="1:100">
      <c r="A19692" s="374"/>
      <c r="C19692" s="374"/>
      <c r="CV19692" s="376"/>
    </row>
    <row r="19693" spans="1:100">
      <c r="A19693" s="374"/>
      <c r="C19693" s="374"/>
      <c r="CV19693" s="376"/>
    </row>
    <row r="19694" spans="1:100">
      <c r="A19694" s="374"/>
      <c r="C19694" s="374"/>
      <c r="CV19694" s="376"/>
    </row>
    <row r="19695" spans="1:100">
      <c r="A19695" s="374"/>
      <c r="C19695" s="374"/>
      <c r="CV19695" s="376"/>
    </row>
    <row r="19696" spans="1:100">
      <c r="A19696" s="374"/>
      <c r="C19696" s="374"/>
      <c r="CV19696" s="376"/>
    </row>
    <row r="19697" spans="1:100">
      <c r="A19697" s="374"/>
      <c r="C19697" s="374"/>
      <c r="CV19697" s="376"/>
    </row>
    <row r="19698" spans="1:100">
      <c r="A19698" s="374"/>
      <c r="C19698" s="374"/>
      <c r="CV19698" s="376"/>
    </row>
    <row r="19699" spans="1:100">
      <c r="A19699" s="374"/>
      <c r="C19699" s="374"/>
      <c r="CV19699" s="376"/>
    </row>
    <row r="19700" spans="1:100">
      <c r="A19700" s="374"/>
      <c r="C19700" s="374"/>
      <c r="CV19700" s="376"/>
    </row>
    <row r="19701" spans="1:100">
      <c r="A19701" s="374"/>
      <c r="C19701" s="374"/>
      <c r="CV19701" s="376"/>
    </row>
    <row r="19702" spans="1:100">
      <c r="A19702" s="374"/>
      <c r="C19702" s="374"/>
      <c r="CV19702" s="376"/>
    </row>
    <row r="19703" spans="1:100">
      <c r="A19703" s="374"/>
      <c r="C19703" s="374"/>
      <c r="CV19703" s="376"/>
    </row>
    <row r="19704" spans="1:100">
      <c r="A19704" s="374"/>
      <c r="C19704" s="374"/>
      <c r="CV19704" s="376"/>
    </row>
    <row r="19705" spans="1:100">
      <c r="A19705" s="374"/>
      <c r="C19705" s="374"/>
      <c r="CV19705" s="376"/>
    </row>
    <row r="19706" spans="1:100">
      <c r="A19706" s="374"/>
      <c r="C19706" s="374"/>
      <c r="CV19706" s="376"/>
    </row>
    <row r="19707" spans="1:100">
      <c r="A19707" s="374"/>
      <c r="C19707" s="374"/>
      <c r="CV19707" s="376"/>
    </row>
    <row r="19708" spans="1:100">
      <c r="A19708" s="374"/>
      <c r="C19708" s="374"/>
      <c r="CV19708" s="376"/>
    </row>
    <row r="19709" spans="1:100">
      <c r="A19709" s="374"/>
      <c r="C19709" s="374"/>
      <c r="CV19709" s="376"/>
    </row>
    <row r="19710" spans="1:100">
      <c r="A19710" s="374"/>
      <c r="C19710" s="374"/>
      <c r="CV19710" s="376"/>
    </row>
    <row r="19711" spans="1:100">
      <c r="A19711" s="374"/>
      <c r="C19711" s="374"/>
      <c r="CV19711" s="376"/>
    </row>
    <row r="19712" spans="1:100">
      <c r="A19712" s="374"/>
      <c r="C19712" s="374"/>
      <c r="CV19712" s="376"/>
    </row>
    <row r="19713" spans="1:100">
      <c r="A19713" s="374"/>
      <c r="C19713" s="374"/>
      <c r="CV19713" s="376"/>
    </row>
    <row r="19714" spans="1:100">
      <c r="A19714" s="374"/>
      <c r="C19714" s="374"/>
      <c r="CV19714" s="376"/>
    </row>
    <row r="19715" spans="1:100">
      <c r="A19715" s="374"/>
      <c r="C19715" s="374"/>
      <c r="CV19715" s="376"/>
    </row>
    <row r="19716" spans="1:100">
      <c r="A19716" s="374"/>
      <c r="C19716" s="374"/>
      <c r="CV19716" s="376"/>
    </row>
    <row r="19717" spans="1:100">
      <c r="A19717" s="374"/>
      <c r="C19717" s="374"/>
      <c r="CV19717" s="376"/>
    </row>
    <row r="19718" spans="1:100">
      <c r="A19718" s="374"/>
      <c r="C19718" s="374"/>
      <c r="CV19718" s="376"/>
    </row>
    <row r="19719" spans="1:100">
      <c r="A19719" s="374"/>
      <c r="C19719" s="374"/>
      <c r="CV19719" s="376"/>
    </row>
    <row r="19720" spans="1:100">
      <c r="A19720" s="374"/>
      <c r="C19720" s="374"/>
      <c r="CV19720" s="376"/>
    </row>
    <row r="19721" spans="1:100">
      <c r="A19721" s="374"/>
      <c r="C19721" s="374"/>
      <c r="CV19721" s="376"/>
    </row>
    <row r="19722" spans="1:100">
      <c r="A19722" s="374"/>
      <c r="C19722" s="374"/>
      <c r="CV19722" s="376"/>
    </row>
    <row r="19723" spans="1:100">
      <c r="A19723" s="374"/>
      <c r="C19723" s="374"/>
      <c r="CV19723" s="376"/>
    </row>
    <row r="19724" spans="1:100">
      <c r="A19724" s="374"/>
      <c r="C19724" s="374"/>
      <c r="CV19724" s="376"/>
    </row>
    <row r="19725" spans="1:100">
      <c r="A19725" s="374"/>
      <c r="C19725" s="374"/>
      <c r="CV19725" s="376"/>
    </row>
    <row r="19726" spans="1:100">
      <c r="A19726" s="374"/>
      <c r="C19726" s="374"/>
      <c r="CV19726" s="376"/>
    </row>
    <row r="19727" spans="1:100">
      <c r="A19727" s="374"/>
      <c r="C19727" s="374"/>
      <c r="CV19727" s="376"/>
    </row>
    <row r="19728" spans="1:100">
      <c r="A19728" s="374"/>
      <c r="C19728" s="374"/>
      <c r="CV19728" s="376"/>
    </row>
    <row r="19729" spans="1:100">
      <c r="A19729" s="374"/>
      <c r="C19729" s="374"/>
      <c r="CV19729" s="376"/>
    </row>
    <row r="19730" spans="1:100">
      <c r="A19730" s="374"/>
      <c r="C19730" s="374"/>
      <c r="CV19730" s="376"/>
    </row>
    <row r="19731" spans="1:100">
      <c r="A19731" s="374"/>
      <c r="C19731" s="374"/>
      <c r="CV19731" s="376"/>
    </row>
    <row r="19732" spans="1:100">
      <c r="A19732" s="374"/>
      <c r="C19732" s="374"/>
      <c r="CV19732" s="376"/>
    </row>
    <row r="19733" spans="1:100">
      <c r="A19733" s="374"/>
      <c r="C19733" s="374"/>
      <c r="CV19733" s="376"/>
    </row>
    <row r="19734" spans="1:100">
      <c r="A19734" s="374"/>
      <c r="C19734" s="374"/>
      <c r="CV19734" s="376"/>
    </row>
    <row r="19735" spans="1:100">
      <c r="A19735" s="374"/>
      <c r="C19735" s="374"/>
      <c r="CV19735" s="376"/>
    </row>
    <row r="19736" spans="1:100">
      <c r="A19736" s="374"/>
      <c r="C19736" s="374"/>
      <c r="CV19736" s="376"/>
    </row>
    <row r="19737" spans="1:100">
      <c r="A19737" s="374"/>
      <c r="C19737" s="374"/>
      <c r="CV19737" s="376"/>
    </row>
    <row r="19738" spans="1:100">
      <c r="A19738" s="374"/>
      <c r="C19738" s="374"/>
      <c r="CV19738" s="376"/>
    </row>
    <row r="19739" spans="1:100">
      <c r="A19739" s="374"/>
      <c r="C19739" s="374"/>
      <c r="CV19739" s="376"/>
    </row>
    <row r="19740" spans="1:100">
      <c r="A19740" s="374"/>
      <c r="C19740" s="374"/>
      <c r="CV19740" s="376"/>
    </row>
    <row r="19741" spans="1:100">
      <c r="A19741" s="374"/>
      <c r="C19741" s="374"/>
      <c r="CV19741" s="376"/>
    </row>
    <row r="19742" spans="1:100">
      <c r="A19742" s="374"/>
      <c r="C19742" s="374"/>
      <c r="CV19742" s="376"/>
    </row>
    <row r="19743" spans="1:100">
      <c r="A19743" s="374"/>
      <c r="C19743" s="374"/>
      <c r="CV19743" s="376"/>
    </row>
    <row r="19744" spans="1:100">
      <c r="A19744" s="374"/>
      <c r="C19744" s="374"/>
      <c r="CV19744" s="376"/>
    </row>
    <row r="19745" spans="1:100">
      <c r="A19745" s="374"/>
      <c r="C19745" s="374"/>
      <c r="CV19745" s="376"/>
    </row>
    <row r="19746" spans="1:100">
      <c r="A19746" s="374"/>
      <c r="C19746" s="374"/>
      <c r="CV19746" s="376"/>
    </row>
    <row r="19747" spans="1:100">
      <c r="A19747" s="374"/>
      <c r="C19747" s="374"/>
      <c r="CV19747" s="376"/>
    </row>
    <row r="19748" spans="1:100">
      <c r="A19748" s="374"/>
      <c r="C19748" s="374"/>
      <c r="CV19748" s="376"/>
    </row>
    <row r="19749" spans="1:100">
      <c r="A19749" s="374"/>
      <c r="C19749" s="374"/>
      <c r="CV19749" s="376"/>
    </row>
    <row r="19750" spans="1:100">
      <c r="A19750" s="374"/>
      <c r="C19750" s="374"/>
      <c r="CV19750" s="376"/>
    </row>
    <row r="19751" spans="1:100">
      <c r="A19751" s="374"/>
      <c r="C19751" s="374"/>
      <c r="CV19751" s="376"/>
    </row>
    <row r="19752" spans="1:100">
      <c r="A19752" s="374"/>
      <c r="C19752" s="374"/>
      <c r="CV19752" s="376"/>
    </row>
    <row r="19753" spans="1:100">
      <c r="A19753" s="374"/>
      <c r="C19753" s="374"/>
      <c r="CV19753" s="376"/>
    </row>
    <row r="19754" spans="1:100">
      <c r="A19754" s="374"/>
      <c r="C19754" s="374"/>
      <c r="CV19754" s="376"/>
    </row>
    <row r="19755" spans="1:100">
      <c r="A19755" s="374"/>
      <c r="C19755" s="374"/>
      <c r="CV19755" s="376"/>
    </row>
    <row r="19756" spans="1:100">
      <c r="A19756" s="374"/>
      <c r="C19756" s="374"/>
      <c r="CV19756" s="376"/>
    </row>
    <row r="19757" spans="1:100">
      <c r="A19757" s="374"/>
      <c r="C19757" s="374"/>
      <c r="CV19757" s="376"/>
    </row>
    <row r="19758" spans="1:100">
      <c r="A19758" s="374"/>
      <c r="C19758" s="374"/>
      <c r="CV19758" s="376"/>
    </row>
    <row r="19759" spans="1:100">
      <c r="A19759" s="374"/>
      <c r="C19759" s="374"/>
      <c r="CV19759" s="376"/>
    </row>
    <row r="19760" spans="1:100">
      <c r="A19760" s="374"/>
      <c r="C19760" s="374"/>
      <c r="CV19760" s="376"/>
    </row>
    <row r="19761" spans="1:100">
      <c r="A19761" s="374"/>
      <c r="C19761" s="374"/>
      <c r="CV19761" s="376"/>
    </row>
    <row r="19762" spans="1:100">
      <c r="A19762" s="374"/>
      <c r="C19762" s="374"/>
      <c r="CV19762" s="376"/>
    </row>
    <row r="19763" spans="1:100">
      <c r="A19763" s="374"/>
      <c r="C19763" s="374"/>
      <c r="CV19763" s="376"/>
    </row>
    <row r="19764" spans="1:100">
      <c r="A19764" s="374"/>
      <c r="C19764" s="374"/>
      <c r="CV19764" s="376"/>
    </row>
    <row r="19765" spans="1:100">
      <c r="A19765" s="374"/>
      <c r="C19765" s="374"/>
      <c r="CV19765" s="376"/>
    </row>
    <row r="19766" spans="1:100">
      <c r="A19766" s="374"/>
      <c r="C19766" s="374"/>
      <c r="CV19766" s="376"/>
    </row>
    <row r="19767" spans="1:100">
      <c r="A19767" s="374"/>
      <c r="C19767" s="374"/>
      <c r="CV19767" s="376"/>
    </row>
    <row r="19768" spans="1:100">
      <c r="A19768" s="374"/>
      <c r="C19768" s="374"/>
      <c r="CV19768" s="376"/>
    </row>
    <row r="19769" spans="1:100">
      <c r="A19769" s="374"/>
      <c r="C19769" s="374"/>
      <c r="CV19769" s="376"/>
    </row>
    <row r="19770" spans="1:100">
      <c r="A19770" s="374"/>
      <c r="C19770" s="374"/>
      <c r="CV19770" s="376"/>
    </row>
    <row r="19771" spans="1:100">
      <c r="A19771" s="374"/>
      <c r="C19771" s="374"/>
      <c r="CV19771" s="376"/>
    </row>
    <row r="19772" spans="1:100">
      <c r="A19772" s="374"/>
      <c r="C19772" s="374"/>
      <c r="CV19772" s="376"/>
    </row>
    <row r="19773" spans="1:100">
      <c r="A19773" s="374"/>
      <c r="C19773" s="374"/>
      <c r="CV19773" s="376"/>
    </row>
    <row r="19774" spans="1:100">
      <c r="A19774" s="374"/>
      <c r="C19774" s="374"/>
      <c r="CV19774" s="376"/>
    </row>
    <row r="19775" spans="1:100">
      <c r="A19775" s="374"/>
      <c r="C19775" s="374"/>
      <c r="CV19775" s="376"/>
    </row>
    <row r="19776" spans="1:100">
      <c r="A19776" s="374"/>
      <c r="C19776" s="374"/>
      <c r="CV19776" s="376"/>
    </row>
    <row r="19777" spans="1:100">
      <c r="A19777" s="374"/>
      <c r="C19777" s="374"/>
      <c r="CV19777" s="376"/>
    </row>
    <row r="19778" spans="1:100">
      <c r="A19778" s="374"/>
      <c r="C19778" s="374"/>
      <c r="CV19778" s="376"/>
    </row>
    <row r="19779" spans="1:100">
      <c r="A19779" s="374"/>
      <c r="C19779" s="374"/>
      <c r="CV19779" s="376"/>
    </row>
    <row r="19780" spans="1:100">
      <c r="A19780" s="374"/>
      <c r="C19780" s="374"/>
      <c r="CV19780" s="376"/>
    </row>
    <row r="19781" spans="1:100">
      <c r="A19781" s="374"/>
      <c r="C19781" s="374"/>
      <c r="CV19781" s="376"/>
    </row>
    <row r="19782" spans="1:100">
      <c r="A19782" s="374"/>
      <c r="C19782" s="374"/>
      <c r="CV19782" s="376"/>
    </row>
    <row r="19783" spans="1:100">
      <c r="A19783" s="374"/>
      <c r="C19783" s="374"/>
      <c r="CV19783" s="376"/>
    </row>
    <row r="19784" spans="1:100">
      <c r="A19784" s="374"/>
      <c r="C19784" s="374"/>
      <c r="CV19784" s="376"/>
    </row>
    <row r="19785" spans="1:100">
      <c r="A19785" s="374"/>
      <c r="C19785" s="374"/>
      <c r="CV19785" s="376"/>
    </row>
    <row r="19786" spans="1:100">
      <c r="A19786" s="374"/>
      <c r="C19786" s="374"/>
      <c r="CV19786" s="376"/>
    </row>
    <row r="19787" spans="1:100">
      <c r="A19787" s="374"/>
      <c r="C19787" s="374"/>
      <c r="CV19787" s="376"/>
    </row>
    <row r="19788" spans="1:100">
      <c r="A19788" s="374"/>
      <c r="C19788" s="374"/>
      <c r="CV19788" s="376"/>
    </row>
    <row r="19789" spans="1:100">
      <c r="A19789" s="374"/>
      <c r="C19789" s="374"/>
      <c r="CV19789" s="376"/>
    </row>
    <row r="19790" spans="1:100">
      <c r="A19790" s="374"/>
      <c r="C19790" s="374"/>
      <c r="CV19790" s="376"/>
    </row>
    <row r="19791" spans="1:100">
      <c r="A19791" s="374"/>
      <c r="C19791" s="374"/>
      <c r="CV19791" s="376"/>
    </row>
    <row r="19792" spans="1:100">
      <c r="A19792" s="374"/>
      <c r="C19792" s="374"/>
      <c r="CV19792" s="376"/>
    </row>
    <row r="19793" spans="1:100">
      <c r="A19793" s="374"/>
      <c r="C19793" s="374"/>
      <c r="CV19793" s="376"/>
    </row>
    <row r="19794" spans="1:100">
      <c r="A19794" s="374"/>
      <c r="C19794" s="374"/>
      <c r="CV19794" s="376"/>
    </row>
    <row r="19795" spans="1:100">
      <c r="A19795" s="374"/>
      <c r="C19795" s="374"/>
      <c r="CV19795" s="376"/>
    </row>
    <row r="19796" spans="1:100">
      <c r="A19796" s="374"/>
      <c r="C19796" s="374"/>
      <c r="CV19796" s="376"/>
    </row>
    <row r="19797" spans="1:100">
      <c r="A19797" s="374"/>
      <c r="C19797" s="374"/>
      <c r="CV19797" s="376"/>
    </row>
    <row r="19798" spans="1:100">
      <c r="A19798" s="374"/>
      <c r="C19798" s="374"/>
      <c r="CV19798" s="376"/>
    </row>
    <row r="19799" spans="1:100">
      <c r="A19799" s="374"/>
      <c r="C19799" s="374"/>
      <c r="CV19799" s="376"/>
    </row>
    <row r="19800" spans="1:100">
      <c r="A19800" s="374"/>
      <c r="C19800" s="374"/>
      <c r="CV19800" s="376"/>
    </row>
    <row r="19801" spans="1:100">
      <c r="A19801" s="374"/>
      <c r="C19801" s="374"/>
      <c r="CV19801" s="376"/>
    </row>
    <row r="19802" spans="1:100">
      <c r="A19802" s="374"/>
      <c r="C19802" s="374"/>
      <c r="CV19802" s="376"/>
    </row>
    <row r="19803" spans="1:100">
      <c r="A19803" s="374"/>
      <c r="C19803" s="374"/>
      <c r="CV19803" s="376"/>
    </row>
    <row r="19804" spans="1:100">
      <c r="A19804" s="374"/>
      <c r="C19804" s="374"/>
      <c r="CV19804" s="376"/>
    </row>
    <row r="19805" spans="1:100">
      <c r="A19805" s="374"/>
      <c r="C19805" s="374"/>
      <c r="CV19805" s="376"/>
    </row>
    <row r="19806" spans="1:100">
      <c r="A19806" s="374"/>
      <c r="C19806" s="374"/>
      <c r="CV19806" s="376"/>
    </row>
    <row r="19807" spans="1:100">
      <c r="A19807" s="374"/>
      <c r="C19807" s="374"/>
      <c r="CV19807" s="376"/>
    </row>
    <row r="19808" spans="1:100">
      <c r="A19808" s="374"/>
      <c r="C19808" s="374"/>
      <c r="CV19808" s="376"/>
    </row>
    <row r="19809" spans="1:100">
      <c r="A19809" s="374"/>
      <c r="C19809" s="374"/>
      <c r="CV19809" s="376"/>
    </row>
    <row r="19810" spans="1:100">
      <c r="A19810" s="374"/>
      <c r="C19810" s="374"/>
      <c r="CV19810" s="376"/>
    </row>
    <row r="19811" spans="1:100">
      <c r="A19811" s="374"/>
      <c r="C19811" s="374"/>
      <c r="CV19811" s="376"/>
    </row>
    <row r="19812" spans="1:100">
      <c r="A19812" s="374"/>
      <c r="C19812" s="374"/>
      <c r="CV19812" s="376"/>
    </row>
    <row r="19813" spans="1:100">
      <c r="A19813" s="374"/>
      <c r="C19813" s="374"/>
      <c r="CV19813" s="376"/>
    </row>
    <row r="19814" spans="1:100">
      <c r="A19814" s="374"/>
      <c r="C19814" s="374"/>
      <c r="CV19814" s="376"/>
    </row>
    <row r="19815" spans="1:100">
      <c r="A19815" s="374"/>
      <c r="C19815" s="374"/>
      <c r="CV19815" s="376"/>
    </row>
    <row r="19816" spans="1:100">
      <c r="A19816" s="374"/>
      <c r="C19816" s="374"/>
      <c r="CV19816" s="376"/>
    </row>
    <row r="19817" spans="1:100">
      <c r="A19817" s="374"/>
      <c r="C19817" s="374"/>
      <c r="CV19817" s="376"/>
    </row>
    <row r="19818" spans="1:100">
      <c r="A19818" s="374"/>
      <c r="C19818" s="374"/>
      <c r="CV19818" s="376"/>
    </row>
    <row r="19819" spans="1:100">
      <c r="A19819" s="374"/>
      <c r="C19819" s="374"/>
      <c r="CV19819" s="376"/>
    </row>
    <row r="19820" spans="1:100">
      <c r="A19820" s="374"/>
      <c r="C19820" s="374"/>
      <c r="CV19820" s="376"/>
    </row>
    <row r="19821" spans="1:100">
      <c r="A19821" s="374"/>
      <c r="C19821" s="374"/>
      <c r="CV19821" s="376"/>
    </row>
    <row r="19822" spans="1:100">
      <c r="A19822" s="374"/>
      <c r="C19822" s="374"/>
      <c r="CV19822" s="376"/>
    </row>
    <row r="19823" spans="1:100">
      <c r="A19823" s="374"/>
      <c r="C19823" s="374"/>
      <c r="CV19823" s="376"/>
    </row>
    <row r="19824" spans="1:100">
      <c r="A19824" s="374"/>
      <c r="C19824" s="374"/>
      <c r="CV19824" s="376"/>
    </row>
    <row r="19825" spans="1:100">
      <c r="A19825" s="374"/>
      <c r="C19825" s="374"/>
      <c r="CV19825" s="376"/>
    </row>
    <row r="19826" spans="1:100">
      <c r="A19826" s="374"/>
      <c r="C19826" s="374"/>
      <c r="CV19826" s="376"/>
    </row>
    <row r="19827" spans="1:100">
      <c r="A19827" s="374"/>
      <c r="C19827" s="374"/>
      <c r="CV19827" s="376"/>
    </row>
    <row r="19828" spans="1:100">
      <c r="A19828" s="374"/>
      <c r="C19828" s="374"/>
      <c r="CV19828" s="376"/>
    </row>
    <row r="19829" spans="1:100">
      <c r="A19829" s="374"/>
      <c r="C19829" s="374"/>
      <c r="CV19829" s="376"/>
    </row>
    <row r="19830" spans="1:100">
      <c r="A19830" s="374"/>
      <c r="C19830" s="374"/>
      <c r="CV19830" s="376"/>
    </row>
    <row r="19831" spans="1:100">
      <c r="A19831" s="374"/>
      <c r="C19831" s="374"/>
      <c r="CV19831" s="376"/>
    </row>
    <row r="19832" spans="1:100">
      <c r="A19832" s="374"/>
      <c r="C19832" s="374"/>
      <c r="CV19832" s="376"/>
    </row>
    <row r="19833" spans="1:100">
      <c r="A19833" s="374"/>
      <c r="C19833" s="374"/>
      <c r="CV19833" s="376"/>
    </row>
    <row r="19834" spans="1:100">
      <c r="A19834" s="374"/>
      <c r="C19834" s="374"/>
      <c r="CV19834" s="376"/>
    </row>
    <row r="19835" spans="1:100">
      <c r="A19835" s="374"/>
      <c r="C19835" s="374"/>
      <c r="CV19835" s="376"/>
    </row>
    <row r="19836" spans="1:100">
      <c r="A19836" s="374"/>
      <c r="C19836" s="374"/>
      <c r="CV19836" s="376"/>
    </row>
    <row r="19837" spans="1:100">
      <c r="A19837" s="374"/>
      <c r="C19837" s="374"/>
      <c r="CV19837" s="376"/>
    </row>
    <row r="19838" spans="1:100">
      <c r="A19838" s="374"/>
      <c r="C19838" s="374"/>
      <c r="CV19838" s="376"/>
    </row>
    <row r="19839" spans="1:100">
      <c r="A19839" s="374"/>
      <c r="C19839" s="374"/>
      <c r="CV19839" s="376"/>
    </row>
    <row r="19840" spans="1:100">
      <c r="A19840" s="374"/>
      <c r="C19840" s="374"/>
      <c r="CV19840" s="376"/>
    </row>
    <row r="19841" spans="1:100">
      <c r="A19841" s="374"/>
      <c r="C19841" s="374"/>
      <c r="CV19841" s="376"/>
    </row>
    <row r="19842" spans="1:100">
      <c r="A19842" s="374"/>
      <c r="C19842" s="374"/>
      <c r="CV19842" s="376"/>
    </row>
    <row r="19843" spans="1:100">
      <c r="A19843" s="374"/>
      <c r="C19843" s="374"/>
      <c r="CV19843" s="376"/>
    </row>
    <row r="19844" spans="1:100">
      <c r="A19844" s="374"/>
      <c r="C19844" s="374"/>
      <c r="CV19844" s="376"/>
    </row>
    <row r="19845" spans="1:100">
      <c r="A19845" s="374"/>
      <c r="C19845" s="374"/>
      <c r="CV19845" s="376"/>
    </row>
    <row r="19846" spans="1:100">
      <c r="A19846" s="374"/>
      <c r="C19846" s="374"/>
      <c r="CV19846" s="376"/>
    </row>
    <row r="19847" spans="1:100">
      <c r="A19847" s="374"/>
      <c r="C19847" s="374"/>
      <c r="CV19847" s="376"/>
    </row>
    <row r="19848" spans="1:100">
      <c r="A19848" s="374"/>
      <c r="C19848" s="374"/>
      <c r="CV19848" s="376"/>
    </row>
    <row r="19849" spans="1:100">
      <c r="A19849" s="374"/>
      <c r="C19849" s="374"/>
      <c r="CV19849" s="376"/>
    </row>
    <row r="19850" spans="1:100">
      <c r="A19850" s="374"/>
      <c r="C19850" s="374"/>
      <c r="CV19850" s="376"/>
    </row>
    <row r="19851" spans="1:100">
      <c r="A19851" s="374"/>
      <c r="C19851" s="374"/>
      <c r="CV19851" s="376"/>
    </row>
    <row r="19852" spans="1:100">
      <c r="A19852" s="374"/>
      <c r="C19852" s="374"/>
      <c r="CV19852" s="376"/>
    </row>
    <row r="19853" spans="1:100">
      <c r="A19853" s="374"/>
      <c r="C19853" s="374"/>
      <c r="CV19853" s="376"/>
    </row>
    <row r="19854" spans="1:100">
      <c r="A19854" s="374"/>
      <c r="C19854" s="374"/>
      <c r="CV19854" s="376"/>
    </row>
    <row r="19855" spans="1:100">
      <c r="A19855" s="374"/>
      <c r="C19855" s="374"/>
      <c r="CV19855" s="376"/>
    </row>
    <row r="19856" spans="1:100">
      <c r="A19856" s="374"/>
      <c r="C19856" s="374"/>
      <c r="CV19856" s="376"/>
    </row>
    <row r="19857" spans="1:100">
      <c r="A19857" s="374"/>
      <c r="C19857" s="374"/>
      <c r="CV19857" s="376"/>
    </row>
    <row r="19858" spans="1:100">
      <c r="A19858" s="374"/>
      <c r="C19858" s="374"/>
      <c r="CV19858" s="376"/>
    </row>
    <row r="19859" spans="1:100">
      <c r="A19859" s="374"/>
      <c r="C19859" s="374"/>
      <c r="CV19859" s="376"/>
    </row>
    <row r="19860" spans="1:100">
      <c r="A19860" s="374"/>
      <c r="C19860" s="374"/>
      <c r="CV19860" s="376"/>
    </row>
    <row r="19861" spans="1:100">
      <c r="A19861" s="374"/>
      <c r="C19861" s="374"/>
      <c r="CV19861" s="376"/>
    </row>
    <row r="19862" spans="1:100">
      <c r="A19862" s="374"/>
      <c r="C19862" s="374"/>
      <c r="CV19862" s="376"/>
    </row>
    <row r="19863" spans="1:100">
      <c r="A19863" s="374"/>
      <c r="C19863" s="374"/>
      <c r="CV19863" s="376"/>
    </row>
    <row r="19864" spans="1:100">
      <c r="A19864" s="374"/>
      <c r="C19864" s="374"/>
      <c r="CV19864" s="376"/>
    </row>
    <row r="19865" spans="1:100">
      <c r="A19865" s="374"/>
      <c r="C19865" s="374"/>
      <c r="CV19865" s="376"/>
    </row>
    <row r="19866" spans="1:100">
      <c r="A19866" s="374"/>
      <c r="C19866" s="374"/>
      <c r="CV19866" s="376"/>
    </row>
    <row r="19867" spans="1:100">
      <c r="A19867" s="374"/>
      <c r="C19867" s="374"/>
      <c r="CV19867" s="376"/>
    </row>
    <row r="19868" spans="1:100">
      <c r="A19868" s="374"/>
      <c r="C19868" s="374"/>
      <c r="CV19868" s="376"/>
    </row>
    <row r="19869" spans="1:100">
      <c r="A19869" s="374"/>
      <c r="C19869" s="374"/>
      <c r="CV19869" s="376"/>
    </row>
    <row r="19870" spans="1:100">
      <c r="A19870" s="374"/>
      <c r="C19870" s="374"/>
      <c r="CV19870" s="376"/>
    </row>
    <row r="19871" spans="1:100">
      <c r="A19871" s="374"/>
      <c r="C19871" s="374"/>
      <c r="CV19871" s="376"/>
    </row>
    <row r="19872" spans="1:100">
      <c r="A19872" s="374"/>
      <c r="C19872" s="374"/>
      <c r="CV19872" s="376"/>
    </row>
    <row r="19873" spans="1:100">
      <c r="A19873" s="374"/>
      <c r="C19873" s="374"/>
      <c r="CV19873" s="376"/>
    </row>
    <row r="19874" spans="1:100">
      <c r="A19874" s="374"/>
      <c r="C19874" s="374"/>
      <c r="CV19874" s="376"/>
    </row>
    <row r="19875" spans="1:100">
      <c r="A19875" s="374"/>
      <c r="C19875" s="374"/>
      <c r="CV19875" s="376"/>
    </row>
    <row r="19876" spans="1:100">
      <c r="A19876" s="374"/>
      <c r="C19876" s="374"/>
      <c r="CV19876" s="376"/>
    </row>
    <row r="19877" spans="1:100">
      <c r="A19877" s="374"/>
      <c r="C19877" s="374"/>
      <c r="CV19877" s="376"/>
    </row>
    <row r="19878" spans="1:100">
      <c r="A19878" s="374"/>
      <c r="C19878" s="374"/>
      <c r="CV19878" s="376"/>
    </row>
    <row r="19879" spans="1:100">
      <c r="A19879" s="374"/>
      <c r="C19879" s="374"/>
      <c r="CV19879" s="376"/>
    </row>
    <row r="19880" spans="1:100">
      <c r="A19880" s="374"/>
      <c r="C19880" s="374"/>
      <c r="CV19880" s="376"/>
    </row>
    <row r="19881" spans="1:100">
      <c r="A19881" s="374"/>
      <c r="C19881" s="374"/>
      <c r="CV19881" s="376"/>
    </row>
    <row r="19882" spans="1:100">
      <c r="A19882" s="374"/>
      <c r="C19882" s="374"/>
      <c r="CV19882" s="376"/>
    </row>
    <row r="19883" spans="1:100">
      <c r="A19883" s="374"/>
      <c r="C19883" s="374"/>
      <c r="CV19883" s="376"/>
    </row>
    <row r="19884" spans="1:100">
      <c r="A19884" s="374"/>
      <c r="C19884" s="374"/>
      <c r="CV19884" s="376"/>
    </row>
    <row r="19885" spans="1:100">
      <c r="A19885" s="374"/>
      <c r="C19885" s="374"/>
      <c r="CV19885" s="376"/>
    </row>
    <row r="19886" spans="1:100">
      <c r="A19886" s="374"/>
      <c r="C19886" s="374"/>
      <c r="CV19886" s="376"/>
    </row>
    <row r="19887" spans="1:100">
      <c r="A19887" s="374"/>
      <c r="C19887" s="374"/>
      <c r="CV19887" s="376"/>
    </row>
    <row r="19888" spans="1:100">
      <c r="A19888" s="374"/>
      <c r="C19888" s="374"/>
      <c r="CV19888" s="376"/>
    </row>
    <row r="19889" spans="1:100">
      <c r="A19889" s="374"/>
      <c r="C19889" s="374"/>
      <c r="CV19889" s="376"/>
    </row>
    <row r="19890" spans="1:100">
      <c r="A19890" s="374"/>
      <c r="C19890" s="374"/>
      <c r="CV19890" s="376"/>
    </row>
    <row r="19891" spans="1:100">
      <c r="A19891" s="374"/>
      <c r="C19891" s="374"/>
      <c r="CV19891" s="376"/>
    </row>
    <row r="19892" spans="1:100">
      <c r="A19892" s="374"/>
      <c r="C19892" s="374"/>
      <c r="CV19892" s="376"/>
    </row>
    <row r="19893" spans="1:100">
      <c r="A19893" s="374"/>
      <c r="C19893" s="374"/>
      <c r="CV19893" s="376"/>
    </row>
    <row r="19894" spans="1:100">
      <c r="A19894" s="374"/>
      <c r="C19894" s="374"/>
      <c r="CV19894" s="376"/>
    </row>
    <row r="19895" spans="1:100">
      <c r="A19895" s="374"/>
      <c r="C19895" s="374"/>
      <c r="CV19895" s="376"/>
    </row>
    <row r="19896" spans="1:100">
      <c r="A19896" s="374"/>
      <c r="C19896" s="374"/>
      <c r="CV19896" s="376"/>
    </row>
    <row r="19897" spans="1:100">
      <c r="A19897" s="374"/>
      <c r="C19897" s="374"/>
      <c r="CV19897" s="376"/>
    </row>
    <row r="19898" spans="1:100">
      <c r="A19898" s="374"/>
      <c r="C19898" s="374"/>
      <c r="CV19898" s="376"/>
    </row>
    <row r="19899" spans="1:100">
      <c r="A19899" s="374"/>
      <c r="C19899" s="374"/>
      <c r="CV19899" s="376"/>
    </row>
    <row r="19900" spans="1:100">
      <c r="A19900" s="374"/>
      <c r="C19900" s="374"/>
      <c r="CV19900" s="376"/>
    </row>
    <row r="19901" spans="1:100">
      <c r="A19901" s="374"/>
      <c r="C19901" s="374"/>
      <c r="CV19901" s="376"/>
    </row>
    <row r="19902" spans="1:100">
      <c r="A19902" s="374"/>
      <c r="C19902" s="374"/>
      <c r="CV19902" s="376"/>
    </row>
    <row r="19903" spans="1:100">
      <c r="A19903" s="374"/>
      <c r="C19903" s="374"/>
      <c r="CV19903" s="376"/>
    </row>
    <row r="19904" spans="1:100">
      <c r="A19904" s="374"/>
      <c r="C19904" s="374"/>
      <c r="CV19904" s="376"/>
    </row>
    <row r="19905" spans="1:100">
      <c r="A19905" s="374"/>
      <c r="C19905" s="374"/>
      <c r="CV19905" s="376"/>
    </row>
    <row r="19906" spans="1:100">
      <c r="A19906" s="374"/>
      <c r="C19906" s="374"/>
      <c r="CV19906" s="376"/>
    </row>
    <row r="19907" spans="1:100">
      <c r="A19907" s="374"/>
      <c r="C19907" s="374"/>
      <c r="CV19907" s="376"/>
    </row>
    <row r="19908" spans="1:100">
      <c r="A19908" s="374"/>
      <c r="C19908" s="374"/>
      <c r="CV19908" s="376"/>
    </row>
    <row r="19909" spans="1:100">
      <c r="A19909" s="374"/>
      <c r="C19909" s="374"/>
      <c r="CV19909" s="376"/>
    </row>
    <row r="19910" spans="1:100">
      <c r="A19910" s="374"/>
      <c r="C19910" s="374"/>
      <c r="CV19910" s="376"/>
    </row>
    <row r="19911" spans="1:100">
      <c r="A19911" s="374"/>
      <c r="C19911" s="374"/>
      <c r="CV19911" s="376"/>
    </row>
    <row r="19912" spans="1:100">
      <c r="A19912" s="374"/>
      <c r="C19912" s="374"/>
      <c r="CV19912" s="376"/>
    </row>
    <row r="19913" spans="1:100">
      <c r="A19913" s="374"/>
      <c r="C19913" s="374"/>
      <c r="CV19913" s="376"/>
    </row>
    <row r="19914" spans="1:100">
      <c r="A19914" s="374"/>
      <c r="C19914" s="374"/>
      <c r="CV19914" s="376"/>
    </row>
    <row r="19915" spans="1:100">
      <c r="A19915" s="374"/>
      <c r="C19915" s="374"/>
      <c r="CV19915" s="376"/>
    </row>
    <row r="19916" spans="1:100">
      <c r="A19916" s="374"/>
      <c r="C19916" s="374"/>
      <c r="CV19916" s="376"/>
    </row>
    <row r="19917" spans="1:100">
      <c r="A19917" s="374"/>
      <c r="C19917" s="374"/>
      <c r="CV19917" s="376"/>
    </row>
    <row r="19918" spans="1:100">
      <c r="A19918" s="374"/>
      <c r="C19918" s="374"/>
      <c r="CV19918" s="376"/>
    </row>
    <row r="19919" spans="1:100">
      <c r="A19919" s="374"/>
      <c r="C19919" s="374"/>
      <c r="CV19919" s="376"/>
    </row>
    <row r="19920" spans="1:100">
      <c r="A19920" s="374"/>
      <c r="C19920" s="374"/>
      <c r="CV19920" s="376"/>
    </row>
    <row r="19921" spans="1:100">
      <c r="A19921" s="374"/>
      <c r="C19921" s="374"/>
      <c r="CV19921" s="376"/>
    </row>
    <row r="19922" spans="1:100">
      <c r="A19922" s="374"/>
      <c r="C19922" s="374"/>
      <c r="CV19922" s="376"/>
    </row>
    <row r="19923" spans="1:100">
      <c r="A19923" s="374"/>
      <c r="C19923" s="374"/>
      <c r="CV19923" s="376"/>
    </row>
    <row r="19924" spans="1:100">
      <c r="A19924" s="374"/>
      <c r="C19924" s="374"/>
      <c r="CV19924" s="376"/>
    </row>
    <row r="19925" spans="1:100">
      <c r="A19925" s="374"/>
      <c r="C19925" s="374"/>
      <c r="CV19925" s="376"/>
    </row>
    <row r="19926" spans="1:100">
      <c r="A19926" s="374"/>
      <c r="C19926" s="374"/>
      <c r="CV19926" s="376"/>
    </row>
    <row r="19927" spans="1:100">
      <c r="A19927" s="374"/>
      <c r="C19927" s="374"/>
      <c r="CV19927" s="376"/>
    </row>
    <row r="19928" spans="1:100">
      <c r="A19928" s="374"/>
      <c r="C19928" s="374"/>
      <c r="CV19928" s="376"/>
    </row>
    <row r="19929" spans="1:100">
      <c r="A19929" s="374"/>
      <c r="C19929" s="374"/>
      <c r="CV19929" s="376"/>
    </row>
    <row r="19930" spans="1:100">
      <c r="A19930" s="374"/>
      <c r="C19930" s="374"/>
      <c r="CV19930" s="376"/>
    </row>
    <row r="19931" spans="1:100">
      <c r="A19931" s="374"/>
      <c r="C19931" s="374"/>
      <c r="CV19931" s="376"/>
    </row>
    <row r="19932" spans="1:100">
      <c r="A19932" s="374"/>
      <c r="C19932" s="374"/>
      <c r="CV19932" s="376"/>
    </row>
    <row r="19933" spans="1:100">
      <c r="A19933" s="374"/>
      <c r="C19933" s="374"/>
      <c r="CV19933" s="376"/>
    </row>
    <row r="19934" spans="1:100">
      <c r="A19934" s="374"/>
      <c r="C19934" s="374"/>
      <c r="CV19934" s="376"/>
    </row>
    <row r="19935" spans="1:100">
      <c r="A19935" s="374"/>
      <c r="C19935" s="374"/>
      <c r="CV19935" s="376"/>
    </row>
    <row r="19936" spans="1:100">
      <c r="A19936" s="374"/>
      <c r="C19936" s="374"/>
      <c r="CV19936" s="376"/>
    </row>
    <row r="19937" spans="1:100">
      <c r="A19937" s="374"/>
      <c r="C19937" s="374"/>
      <c r="CV19937" s="376"/>
    </row>
    <row r="19938" spans="1:100">
      <c r="A19938" s="374"/>
      <c r="C19938" s="374"/>
      <c r="CV19938" s="376"/>
    </row>
    <row r="19939" spans="1:100">
      <c r="A19939" s="374"/>
      <c r="C19939" s="374"/>
      <c r="CV19939" s="376"/>
    </row>
    <row r="19940" spans="1:100">
      <c r="A19940" s="374"/>
      <c r="C19940" s="374"/>
      <c r="CV19940" s="376"/>
    </row>
    <row r="19941" spans="1:100">
      <c r="A19941" s="374"/>
      <c r="C19941" s="374"/>
      <c r="CV19941" s="376"/>
    </row>
    <row r="19942" spans="1:100">
      <c r="A19942" s="374"/>
      <c r="C19942" s="374"/>
      <c r="CV19942" s="376"/>
    </row>
    <row r="19943" spans="1:100">
      <c r="A19943" s="374"/>
      <c r="C19943" s="374"/>
      <c r="CV19943" s="376"/>
    </row>
    <row r="19944" spans="1:100">
      <c r="A19944" s="374"/>
      <c r="C19944" s="374"/>
      <c r="CV19944" s="376"/>
    </row>
    <row r="19945" spans="1:100">
      <c r="A19945" s="374"/>
      <c r="C19945" s="374"/>
      <c r="CV19945" s="376"/>
    </row>
    <row r="19946" spans="1:100">
      <c r="A19946" s="374"/>
      <c r="C19946" s="374"/>
      <c r="CV19946" s="376"/>
    </row>
    <row r="19947" spans="1:100">
      <c r="A19947" s="374"/>
      <c r="C19947" s="374"/>
      <c r="CV19947" s="376"/>
    </row>
    <row r="19948" spans="1:100">
      <c r="A19948" s="374"/>
      <c r="C19948" s="374"/>
      <c r="CV19948" s="376"/>
    </row>
    <row r="19949" spans="1:100">
      <c r="A19949" s="374"/>
      <c r="C19949" s="374"/>
      <c r="CV19949" s="376"/>
    </row>
    <row r="19950" spans="1:100">
      <c r="A19950" s="374"/>
      <c r="C19950" s="374"/>
      <c r="CV19950" s="376"/>
    </row>
    <row r="19951" spans="1:100">
      <c r="A19951" s="374"/>
      <c r="C19951" s="374"/>
      <c r="CV19951" s="376"/>
    </row>
    <row r="19952" spans="1:100">
      <c r="A19952" s="374"/>
      <c r="C19952" s="374"/>
      <c r="CV19952" s="376"/>
    </row>
    <row r="19953" spans="1:100">
      <c r="A19953" s="374"/>
      <c r="C19953" s="374"/>
      <c r="CV19953" s="376"/>
    </row>
    <row r="19954" spans="1:100">
      <c r="A19954" s="374"/>
      <c r="C19954" s="374"/>
      <c r="CV19954" s="376"/>
    </row>
    <row r="19955" spans="1:100">
      <c r="A19955" s="374"/>
      <c r="C19955" s="374"/>
      <c r="CV19955" s="376"/>
    </row>
    <row r="19956" spans="1:100">
      <c r="A19956" s="374"/>
      <c r="C19956" s="374"/>
      <c r="CV19956" s="376"/>
    </row>
    <row r="19957" spans="1:100">
      <c r="A19957" s="374"/>
      <c r="C19957" s="374"/>
      <c r="CV19957" s="376"/>
    </row>
    <row r="19958" spans="1:100">
      <c r="A19958" s="374"/>
      <c r="C19958" s="374"/>
      <c r="CV19958" s="376"/>
    </row>
    <row r="19959" spans="1:100">
      <c r="A19959" s="374"/>
      <c r="C19959" s="374"/>
      <c r="CV19959" s="376"/>
    </row>
    <row r="19960" spans="1:100">
      <c r="A19960" s="374"/>
      <c r="C19960" s="374"/>
      <c r="CV19960" s="376"/>
    </row>
    <row r="19961" spans="1:100">
      <c r="A19961" s="374"/>
      <c r="C19961" s="374"/>
      <c r="CV19961" s="376"/>
    </row>
    <row r="19962" spans="1:100">
      <c r="A19962" s="374"/>
      <c r="C19962" s="374"/>
      <c r="CV19962" s="376"/>
    </row>
    <row r="19963" spans="1:100">
      <c r="A19963" s="374"/>
      <c r="C19963" s="374"/>
      <c r="CV19963" s="376"/>
    </row>
    <row r="19964" spans="1:100">
      <c r="A19964" s="374"/>
      <c r="C19964" s="374"/>
      <c r="CV19964" s="376"/>
    </row>
    <row r="19965" spans="1:100">
      <c r="A19965" s="374"/>
      <c r="C19965" s="374"/>
      <c r="CV19965" s="376"/>
    </row>
    <row r="19966" spans="1:100">
      <c r="A19966" s="374"/>
      <c r="C19966" s="374"/>
      <c r="CV19966" s="376"/>
    </row>
    <row r="19967" spans="1:100">
      <c r="A19967" s="374"/>
      <c r="C19967" s="374"/>
      <c r="CV19967" s="376"/>
    </row>
    <row r="19968" spans="1:100">
      <c r="A19968" s="374"/>
      <c r="C19968" s="374"/>
      <c r="CV19968" s="376"/>
    </row>
    <row r="19969" spans="1:100">
      <c r="A19969" s="374"/>
      <c r="C19969" s="374"/>
      <c r="CV19969" s="376"/>
    </row>
    <row r="19970" spans="1:100">
      <c r="A19970" s="374"/>
      <c r="C19970" s="374"/>
      <c r="CV19970" s="376"/>
    </row>
    <row r="19971" spans="1:100">
      <c r="A19971" s="374"/>
      <c r="C19971" s="374"/>
      <c r="CV19971" s="376"/>
    </row>
    <row r="19972" spans="1:100">
      <c r="A19972" s="374"/>
      <c r="C19972" s="374"/>
      <c r="CV19972" s="376"/>
    </row>
    <row r="19973" spans="1:100">
      <c r="A19973" s="374"/>
      <c r="C19973" s="374"/>
      <c r="CV19973" s="376"/>
    </row>
    <row r="19974" spans="1:100">
      <c r="A19974" s="374"/>
      <c r="C19974" s="374"/>
      <c r="CV19974" s="376"/>
    </row>
    <row r="19975" spans="1:100">
      <c r="A19975" s="374"/>
      <c r="C19975" s="374"/>
      <c r="CV19975" s="376"/>
    </row>
    <row r="19976" spans="1:100">
      <c r="A19976" s="374"/>
      <c r="C19976" s="374"/>
      <c r="CV19976" s="376"/>
    </row>
    <row r="19977" spans="1:100">
      <c r="A19977" s="374"/>
      <c r="C19977" s="374"/>
      <c r="CV19977" s="376"/>
    </row>
    <row r="19978" spans="1:100">
      <c r="A19978" s="374"/>
      <c r="C19978" s="374"/>
      <c r="CV19978" s="376"/>
    </row>
    <row r="19979" spans="1:100">
      <c r="A19979" s="374"/>
      <c r="C19979" s="374"/>
      <c r="CV19979" s="376"/>
    </row>
    <row r="19980" spans="1:100">
      <c r="A19980" s="374"/>
      <c r="C19980" s="374"/>
      <c r="CV19980" s="376"/>
    </row>
    <row r="19981" spans="1:100">
      <c r="A19981" s="374"/>
      <c r="C19981" s="374"/>
      <c r="CV19981" s="376"/>
    </row>
    <row r="19982" spans="1:100">
      <c r="A19982" s="374"/>
      <c r="C19982" s="374"/>
      <c r="CV19982" s="376"/>
    </row>
    <row r="19983" spans="1:100">
      <c r="A19983" s="374"/>
      <c r="C19983" s="374"/>
      <c r="CV19983" s="376"/>
    </row>
    <row r="19984" spans="1:100">
      <c r="A19984" s="374"/>
      <c r="C19984" s="374"/>
      <c r="CV19984" s="376"/>
    </row>
    <row r="19985" spans="1:100">
      <c r="A19985" s="374"/>
      <c r="C19985" s="374"/>
      <c r="CV19985" s="376"/>
    </row>
    <row r="19986" spans="1:100">
      <c r="A19986" s="374"/>
      <c r="C19986" s="374"/>
      <c r="CV19986" s="376"/>
    </row>
    <row r="19987" spans="1:100">
      <c r="A19987" s="374"/>
      <c r="C19987" s="374"/>
      <c r="CV19987" s="376"/>
    </row>
    <row r="19988" spans="1:100">
      <c r="A19988" s="374"/>
      <c r="C19988" s="374"/>
      <c r="CV19988" s="376"/>
    </row>
    <row r="19989" spans="1:100">
      <c r="A19989" s="374"/>
      <c r="C19989" s="374"/>
      <c r="CV19989" s="376"/>
    </row>
    <row r="19990" spans="1:100">
      <c r="A19990" s="374"/>
      <c r="C19990" s="374"/>
      <c r="CV19990" s="376"/>
    </row>
    <row r="19991" spans="1:100">
      <c r="A19991" s="374"/>
      <c r="C19991" s="374"/>
      <c r="CV19991" s="376"/>
    </row>
    <row r="19992" spans="1:100">
      <c r="A19992" s="374"/>
      <c r="C19992" s="374"/>
      <c r="CV19992" s="376"/>
    </row>
    <row r="19993" spans="1:100">
      <c r="A19993" s="374"/>
      <c r="C19993" s="374"/>
      <c r="CV19993" s="376"/>
    </row>
    <row r="19994" spans="1:100">
      <c r="A19994" s="374"/>
      <c r="C19994" s="374"/>
      <c r="CV19994" s="376"/>
    </row>
    <row r="19995" spans="1:100">
      <c r="A19995" s="374"/>
      <c r="C19995" s="374"/>
      <c r="CV19995" s="376"/>
    </row>
    <row r="19996" spans="1:100">
      <c r="A19996" s="374"/>
      <c r="C19996" s="374"/>
      <c r="CV19996" s="376"/>
    </row>
    <row r="19997" spans="1:100">
      <c r="A19997" s="374"/>
      <c r="C19997" s="374"/>
      <c r="CV19997" s="376"/>
    </row>
    <row r="19998" spans="1:100">
      <c r="A19998" s="374"/>
      <c r="C19998" s="374"/>
      <c r="CV19998" s="376"/>
    </row>
    <row r="19999" spans="1:100">
      <c r="A19999" s="374"/>
      <c r="C19999" s="374"/>
      <c r="CV19999" s="376"/>
    </row>
    <row r="20000" spans="1:100">
      <c r="A20000" s="374"/>
      <c r="C20000" s="374"/>
      <c r="CV20000" s="376"/>
    </row>
    <row r="20001" spans="1:100">
      <c r="A20001" s="374"/>
      <c r="C20001" s="374"/>
      <c r="CV20001" s="376"/>
    </row>
    <row r="20002" spans="1:100">
      <c r="A20002" s="374"/>
      <c r="C20002" s="374"/>
      <c r="CV20002" s="376"/>
    </row>
    <row r="20003" spans="1:100">
      <c r="A20003" s="374"/>
      <c r="C20003" s="374"/>
      <c r="CV20003" s="376"/>
    </row>
    <row r="20004" spans="1:100">
      <c r="A20004" s="374"/>
      <c r="C20004" s="374"/>
      <c r="CV20004" s="376"/>
    </row>
    <row r="20005" spans="1:100">
      <c r="A20005" s="374"/>
      <c r="C20005" s="374"/>
      <c r="CV20005" s="376"/>
    </row>
    <row r="20006" spans="1:100">
      <c r="A20006" s="374"/>
      <c r="C20006" s="374"/>
      <c r="CV20006" s="376"/>
    </row>
    <row r="20007" spans="1:100">
      <c r="A20007" s="374"/>
      <c r="C20007" s="374"/>
      <c r="CV20007" s="376"/>
    </row>
    <row r="20008" spans="1:100">
      <c r="A20008" s="374"/>
      <c r="C20008" s="374"/>
      <c r="CV20008" s="376"/>
    </row>
    <row r="20009" spans="1:100">
      <c r="A20009" s="374"/>
      <c r="C20009" s="374"/>
      <c r="CV20009" s="376"/>
    </row>
    <row r="20010" spans="1:100">
      <c r="A20010" s="374"/>
      <c r="C20010" s="374"/>
      <c r="CV20010" s="376"/>
    </row>
    <row r="20011" spans="1:100">
      <c r="A20011" s="374"/>
      <c r="C20011" s="374"/>
      <c r="CV20011" s="376"/>
    </row>
    <row r="20012" spans="1:100">
      <c r="A20012" s="374"/>
      <c r="C20012" s="374"/>
      <c r="CV20012" s="376"/>
    </row>
    <row r="20013" spans="1:100">
      <c r="A20013" s="374"/>
      <c r="C20013" s="374"/>
      <c r="CV20013" s="376"/>
    </row>
    <row r="20014" spans="1:100">
      <c r="A20014" s="374"/>
      <c r="C20014" s="374"/>
      <c r="CV20014" s="376"/>
    </row>
    <row r="20015" spans="1:100">
      <c r="A20015" s="374"/>
      <c r="C20015" s="374"/>
      <c r="CV20015" s="376"/>
    </row>
    <row r="20016" spans="1:100">
      <c r="A20016" s="374"/>
      <c r="C20016" s="374"/>
      <c r="CV20016" s="376"/>
    </row>
    <row r="20017" spans="1:100">
      <c r="A20017" s="374"/>
      <c r="C20017" s="374"/>
      <c r="CV20017" s="376"/>
    </row>
    <row r="20018" spans="1:100">
      <c r="A20018" s="374"/>
      <c r="C20018" s="374"/>
      <c r="CV20018" s="376"/>
    </row>
    <row r="20019" spans="1:100">
      <c r="A20019" s="374"/>
      <c r="C20019" s="374"/>
      <c r="CV20019" s="376"/>
    </row>
    <row r="20020" spans="1:100">
      <c r="A20020" s="374"/>
      <c r="C20020" s="374"/>
      <c r="CV20020" s="376"/>
    </row>
    <row r="20021" spans="1:100">
      <c r="A20021" s="374"/>
      <c r="C20021" s="374"/>
      <c r="CV20021" s="376"/>
    </row>
    <row r="20022" spans="1:100">
      <c r="A20022" s="374"/>
      <c r="C20022" s="374"/>
      <c r="CV20022" s="376"/>
    </row>
    <row r="20023" spans="1:100">
      <c r="A20023" s="374"/>
      <c r="C20023" s="374"/>
      <c r="CV20023" s="376"/>
    </row>
    <row r="20024" spans="1:100">
      <c r="A20024" s="374"/>
      <c r="C20024" s="374"/>
      <c r="CV20024" s="376"/>
    </row>
    <row r="20025" spans="1:100">
      <c r="A20025" s="374"/>
      <c r="C20025" s="374"/>
      <c r="CV20025" s="376"/>
    </row>
    <row r="20026" spans="1:100">
      <c r="A20026" s="374"/>
      <c r="C20026" s="374"/>
      <c r="CV20026" s="376"/>
    </row>
    <row r="20027" spans="1:100">
      <c r="A20027" s="374"/>
      <c r="C20027" s="374"/>
      <c r="CV20027" s="376"/>
    </row>
    <row r="20028" spans="1:100">
      <c r="A20028" s="374"/>
      <c r="C20028" s="374"/>
      <c r="CV20028" s="376"/>
    </row>
    <row r="20029" spans="1:100">
      <c r="A20029" s="374"/>
      <c r="C20029" s="374"/>
      <c r="CV20029" s="376"/>
    </row>
    <row r="20030" spans="1:100">
      <c r="A20030" s="374"/>
      <c r="C20030" s="374"/>
      <c r="CV20030" s="376"/>
    </row>
    <row r="20031" spans="1:100">
      <c r="A20031" s="374"/>
      <c r="C20031" s="374"/>
      <c r="CV20031" s="376"/>
    </row>
    <row r="20032" spans="1:100">
      <c r="A20032" s="374"/>
      <c r="C20032" s="374"/>
      <c r="CV20032" s="376"/>
    </row>
    <row r="20033" spans="1:100">
      <c r="A20033" s="374"/>
      <c r="C20033" s="374"/>
      <c r="CV20033" s="376"/>
    </row>
    <row r="20034" spans="1:100">
      <c r="A20034" s="374"/>
      <c r="C20034" s="374"/>
      <c r="CV20034" s="376"/>
    </row>
    <row r="20035" spans="1:100">
      <c r="A20035" s="374"/>
      <c r="C20035" s="374"/>
      <c r="CV20035" s="376"/>
    </row>
    <row r="20036" spans="1:100">
      <c r="A20036" s="374"/>
      <c r="C20036" s="374"/>
      <c r="CV20036" s="376"/>
    </row>
    <row r="20037" spans="1:100">
      <c r="A20037" s="374"/>
      <c r="C20037" s="374"/>
      <c r="CV20037" s="376"/>
    </row>
    <row r="20038" spans="1:100">
      <c r="A20038" s="374"/>
      <c r="C20038" s="374"/>
      <c r="CV20038" s="376"/>
    </row>
    <row r="20039" spans="1:100">
      <c r="A20039" s="374"/>
      <c r="C20039" s="374"/>
      <c r="CV20039" s="376"/>
    </row>
    <row r="20040" spans="1:100">
      <c r="A20040" s="374"/>
      <c r="C20040" s="374"/>
      <c r="CV20040" s="376"/>
    </row>
    <row r="20041" spans="1:100">
      <c r="A20041" s="374"/>
      <c r="C20041" s="374"/>
      <c r="CV20041" s="376"/>
    </row>
    <row r="20042" spans="1:100">
      <c r="A20042" s="374"/>
      <c r="C20042" s="374"/>
      <c r="CV20042" s="376"/>
    </row>
    <row r="20043" spans="1:100">
      <c r="A20043" s="374"/>
      <c r="C20043" s="374"/>
      <c r="CV20043" s="376"/>
    </row>
    <row r="20044" spans="1:100">
      <c r="A20044" s="374"/>
      <c r="C20044" s="374"/>
      <c r="CV20044" s="376"/>
    </row>
    <row r="20045" spans="1:100">
      <c r="A20045" s="374"/>
      <c r="C20045" s="374"/>
      <c r="CV20045" s="376"/>
    </row>
    <row r="20046" spans="1:100">
      <c r="A20046" s="374"/>
      <c r="C20046" s="374"/>
      <c r="CV20046" s="376"/>
    </row>
    <row r="20047" spans="1:100">
      <c r="A20047" s="374"/>
      <c r="C20047" s="374"/>
      <c r="CV20047" s="376"/>
    </row>
    <row r="20048" spans="1:100">
      <c r="A20048" s="374"/>
      <c r="C20048" s="374"/>
      <c r="CV20048" s="376"/>
    </row>
    <row r="20049" spans="1:100">
      <c r="A20049" s="374"/>
      <c r="C20049" s="374"/>
      <c r="CV20049" s="376"/>
    </row>
    <row r="20050" spans="1:100">
      <c r="A20050" s="374"/>
      <c r="C20050" s="374"/>
      <c r="CV20050" s="376"/>
    </row>
    <row r="20051" spans="1:100">
      <c r="A20051" s="374"/>
      <c r="C20051" s="374"/>
      <c r="CV20051" s="376"/>
    </row>
    <row r="20052" spans="1:100">
      <c r="A20052" s="374"/>
      <c r="C20052" s="374"/>
      <c r="CV20052" s="376"/>
    </row>
    <row r="20053" spans="1:100">
      <c r="A20053" s="374"/>
      <c r="C20053" s="374"/>
      <c r="CV20053" s="376"/>
    </row>
    <row r="20054" spans="1:100">
      <c r="A20054" s="374"/>
      <c r="C20054" s="374"/>
      <c r="CV20054" s="376"/>
    </row>
    <row r="20055" spans="1:100">
      <c r="A20055" s="374"/>
      <c r="C20055" s="374"/>
      <c r="CV20055" s="376"/>
    </row>
    <row r="20056" spans="1:100">
      <c r="A20056" s="374"/>
      <c r="C20056" s="374"/>
      <c r="CV20056" s="376"/>
    </row>
    <row r="20057" spans="1:100">
      <c r="A20057" s="374"/>
      <c r="C20057" s="374"/>
      <c r="CV20057" s="376"/>
    </row>
    <row r="20058" spans="1:100">
      <c r="A20058" s="374"/>
      <c r="C20058" s="374"/>
      <c r="CV20058" s="376"/>
    </row>
    <row r="20059" spans="1:100">
      <c r="A20059" s="374"/>
      <c r="C20059" s="374"/>
      <c r="CV20059" s="376"/>
    </row>
    <row r="20060" spans="1:100">
      <c r="A20060" s="374"/>
      <c r="C20060" s="374"/>
      <c r="CV20060" s="376"/>
    </row>
    <row r="20061" spans="1:100">
      <c r="A20061" s="374"/>
      <c r="C20061" s="374"/>
      <c r="CV20061" s="376"/>
    </row>
    <row r="20062" spans="1:100">
      <c r="A20062" s="374"/>
      <c r="C20062" s="374"/>
      <c r="CV20062" s="376"/>
    </row>
    <row r="20063" spans="1:100">
      <c r="A20063" s="374"/>
      <c r="C20063" s="374"/>
      <c r="CV20063" s="376"/>
    </row>
    <row r="20064" spans="1:100">
      <c r="A20064" s="374"/>
      <c r="C20064" s="374"/>
      <c r="CV20064" s="376"/>
    </row>
    <row r="20065" spans="1:100">
      <c r="A20065" s="374"/>
      <c r="C20065" s="374"/>
      <c r="CV20065" s="376"/>
    </row>
    <row r="20066" spans="1:100">
      <c r="A20066" s="374"/>
      <c r="C20066" s="374"/>
      <c r="CV20066" s="376"/>
    </row>
    <row r="20067" spans="1:100">
      <c r="A20067" s="374"/>
      <c r="C20067" s="374"/>
      <c r="CV20067" s="376"/>
    </row>
    <row r="20068" spans="1:100">
      <c r="A20068" s="374"/>
      <c r="C20068" s="374"/>
      <c r="CV20068" s="376"/>
    </row>
    <row r="20069" spans="1:100">
      <c r="A20069" s="374"/>
      <c r="C20069" s="374"/>
      <c r="CV20069" s="376"/>
    </row>
    <row r="20070" spans="1:100">
      <c r="A20070" s="374"/>
      <c r="C20070" s="374"/>
      <c r="CV20070" s="376"/>
    </row>
    <row r="20071" spans="1:100">
      <c r="A20071" s="374"/>
      <c r="C20071" s="374"/>
      <c r="CV20071" s="376"/>
    </row>
    <row r="20072" spans="1:100">
      <c r="A20072" s="374"/>
      <c r="C20072" s="374"/>
      <c r="CV20072" s="376"/>
    </row>
    <row r="20073" spans="1:100">
      <c r="A20073" s="374"/>
      <c r="C20073" s="374"/>
      <c r="CV20073" s="376"/>
    </row>
    <row r="20074" spans="1:100">
      <c r="A20074" s="374"/>
      <c r="C20074" s="374"/>
      <c r="CV20074" s="376"/>
    </row>
    <row r="20075" spans="1:100">
      <c r="A20075" s="374"/>
      <c r="C20075" s="374"/>
      <c r="CV20075" s="376"/>
    </row>
    <row r="20076" spans="1:100">
      <c r="A20076" s="374"/>
      <c r="C20076" s="374"/>
      <c r="CV20076" s="376"/>
    </row>
    <row r="20077" spans="1:100">
      <c r="A20077" s="374"/>
      <c r="C20077" s="374"/>
      <c r="CV20077" s="376"/>
    </row>
    <row r="20078" spans="1:100">
      <c r="A20078" s="374"/>
      <c r="C20078" s="374"/>
      <c r="CV20078" s="376"/>
    </row>
    <row r="20079" spans="1:100">
      <c r="A20079" s="374"/>
      <c r="C20079" s="374"/>
      <c r="CV20079" s="376"/>
    </row>
    <row r="20080" spans="1:100">
      <c r="A20080" s="374"/>
      <c r="C20080" s="374"/>
      <c r="CV20080" s="376"/>
    </row>
    <row r="20081" spans="1:100">
      <c r="A20081" s="374"/>
      <c r="C20081" s="374"/>
      <c r="CV20081" s="376"/>
    </row>
    <row r="20082" spans="1:100">
      <c r="A20082" s="374"/>
      <c r="C20082" s="374"/>
      <c r="CV20082" s="376"/>
    </row>
    <row r="20083" spans="1:100">
      <c r="A20083" s="374"/>
      <c r="C20083" s="374"/>
      <c r="CV20083" s="376"/>
    </row>
    <row r="20084" spans="1:100">
      <c r="A20084" s="374"/>
      <c r="C20084" s="374"/>
      <c r="CV20084" s="376"/>
    </row>
    <row r="20085" spans="1:100">
      <c r="A20085" s="374"/>
      <c r="C20085" s="374"/>
      <c r="CV20085" s="376"/>
    </row>
    <row r="20086" spans="1:100">
      <c r="A20086" s="374"/>
      <c r="C20086" s="374"/>
      <c r="CV20086" s="376"/>
    </row>
    <row r="20087" spans="1:100">
      <c r="A20087" s="374"/>
      <c r="C20087" s="374"/>
      <c r="CV20087" s="376"/>
    </row>
    <row r="20088" spans="1:100">
      <c r="A20088" s="374"/>
      <c r="C20088" s="374"/>
      <c r="CV20088" s="376"/>
    </row>
    <row r="20089" spans="1:100">
      <c r="A20089" s="374"/>
      <c r="C20089" s="374"/>
      <c r="CV20089" s="376"/>
    </row>
    <row r="20090" spans="1:100">
      <c r="A20090" s="374"/>
      <c r="C20090" s="374"/>
      <c r="CV20090" s="376"/>
    </row>
    <row r="20091" spans="1:100">
      <c r="A20091" s="374"/>
      <c r="C20091" s="374"/>
      <c r="CV20091" s="376"/>
    </row>
    <row r="20092" spans="1:100">
      <c r="A20092" s="374"/>
      <c r="C20092" s="374"/>
      <c r="CV20092" s="376"/>
    </row>
    <row r="20093" spans="1:100">
      <c r="A20093" s="374"/>
      <c r="C20093" s="374"/>
      <c r="CV20093" s="376"/>
    </row>
    <row r="20094" spans="1:100">
      <c r="A20094" s="374"/>
      <c r="C20094" s="374"/>
      <c r="CV20094" s="376"/>
    </row>
    <row r="20095" spans="1:100">
      <c r="A20095" s="374"/>
      <c r="C20095" s="374"/>
      <c r="CV20095" s="376"/>
    </row>
    <row r="20096" spans="1:100">
      <c r="A20096" s="374"/>
      <c r="C20096" s="374"/>
      <c r="CV20096" s="376"/>
    </row>
    <row r="20097" spans="1:100">
      <c r="A20097" s="374"/>
      <c r="C20097" s="374"/>
      <c r="CV20097" s="376"/>
    </row>
    <row r="20098" spans="1:100">
      <c r="A20098" s="374"/>
      <c r="C20098" s="374"/>
      <c r="CV20098" s="376"/>
    </row>
    <row r="20099" spans="1:100">
      <c r="A20099" s="374"/>
      <c r="C20099" s="374"/>
      <c r="CV20099" s="376"/>
    </row>
    <row r="20100" spans="1:100">
      <c r="A20100" s="374"/>
      <c r="C20100" s="374"/>
      <c r="CV20100" s="376"/>
    </row>
    <row r="20101" spans="1:100">
      <c r="A20101" s="374"/>
      <c r="C20101" s="374"/>
      <c r="CV20101" s="376"/>
    </row>
    <row r="20102" spans="1:100">
      <c r="A20102" s="374"/>
      <c r="C20102" s="374"/>
      <c r="CV20102" s="376"/>
    </row>
    <row r="20103" spans="1:100">
      <c r="A20103" s="374"/>
      <c r="C20103" s="374"/>
      <c r="CV20103" s="376"/>
    </row>
    <row r="20104" spans="1:100">
      <c r="A20104" s="374"/>
      <c r="C20104" s="374"/>
      <c r="CV20104" s="376"/>
    </row>
    <row r="20105" spans="1:100">
      <c r="A20105" s="374"/>
      <c r="C20105" s="374"/>
      <c r="CV20105" s="376"/>
    </row>
    <row r="20106" spans="1:100">
      <c r="A20106" s="374"/>
      <c r="C20106" s="374"/>
      <c r="CV20106" s="376"/>
    </row>
    <row r="20107" spans="1:100">
      <c r="A20107" s="374"/>
      <c r="C20107" s="374"/>
      <c r="CV20107" s="376"/>
    </row>
    <row r="20108" spans="1:100">
      <c r="A20108" s="374"/>
      <c r="C20108" s="374"/>
      <c r="CV20108" s="376"/>
    </row>
    <row r="20109" spans="1:100">
      <c r="A20109" s="374"/>
      <c r="C20109" s="374"/>
      <c r="CV20109" s="376"/>
    </row>
    <row r="20110" spans="1:100">
      <c r="A20110" s="374"/>
      <c r="C20110" s="374"/>
      <c r="CV20110" s="376"/>
    </row>
    <row r="20111" spans="1:100">
      <c r="A20111" s="374"/>
      <c r="C20111" s="374"/>
      <c r="CV20111" s="376"/>
    </row>
    <row r="20112" spans="1:100">
      <c r="A20112" s="374"/>
      <c r="C20112" s="374"/>
      <c r="CV20112" s="376"/>
    </row>
    <row r="20113" spans="1:100">
      <c r="A20113" s="374"/>
      <c r="C20113" s="374"/>
      <c r="CV20113" s="376"/>
    </row>
    <row r="20114" spans="1:100">
      <c r="A20114" s="374"/>
      <c r="C20114" s="374"/>
      <c r="CV20114" s="376"/>
    </row>
    <row r="20115" spans="1:100">
      <c r="A20115" s="374"/>
      <c r="C20115" s="374"/>
      <c r="CV20115" s="376"/>
    </row>
    <row r="20116" spans="1:100">
      <c r="A20116" s="374"/>
      <c r="C20116" s="374"/>
      <c r="CV20116" s="376"/>
    </row>
    <row r="20117" spans="1:100">
      <c r="A20117" s="374"/>
      <c r="C20117" s="374"/>
      <c r="CV20117" s="376"/>
    </row>
    <row r="20118" spans="1:100">
      <c r="A20118" s="374"/>
      <c r="C20118" s="374"/>
      <c r="CV20118" s="376"/>
    </row>
    <row r="20119" spans="1:100">
      <c r="A20119" s="374"/>
      <c r="C20119" s="374"/>
      <c r="CV20119" s="376"/>
    </row>
    <row r="20120" spans="1:100">
      <c r="A20120" s="374"/>
      <c r="C20120" s="374"/>
      <c r="CV20120" s="376"/>
    </row>
    <row r="20121" spans="1:100">
      <c r="A20121" s="374"/>
      <c r="C20121" s="374"/>
      <c r="CV20121" s="376"/>
    </row>
    <row r="20122" spans="1:100">
      <c r="A20122" s="374"/>
      <c r="C20122" s="374"/>
      <c r="CV20122" s="376"/>
    </row>
    <row r="20123" spans="1:100">
      <c r="A20123" s="374"/>
      <c r="C20123" s="374"/>
      <c r="CV20123" s="376"/>
    </row>
    <row r="20124" spans="1:100">
      <c r="A20124" s="374"/>
      <c r="C20124" s="374"/>
      <c r="CV20124" s="376"/>
    </row>
    <row r="20125" spans="1:100">
      <c r="A20125" s="374"/>
      <c r="C20125" s="374"/>
      <c r="CV20125" s="376"/>
    </row>
    <row r="20126" spans="1:100">
      <c r="A20126" s="374"/>
      <c r="C20126" s="374"/>
      <c r="CV20126" s="376"/>
    </row>
    <row r="20127" spans="1:100">
      <c r="A20127" s="374"/>
      <c r="C20127" s="374"/>
      <c r="CV20127" s="376"/>
    </row>
    <row r="20128" spans="1:100">
      <c r="A20128" s="374"/>
      <c r="C20128" s="374"/>
      <c r="CV20128" s="376"/>
    </row>
    <row r="20129" spans="1:100">
      <c r="A20129" s="374"/>
      <c r="C20129" s="374"/>
      <c r="CV20129" s="376"/>
    </row>
    <row r="20130" spans="1:100">
      <c r="A20130" s="374"/>
      <c r="C20130" s="374"/>
      <c r="CV20130" s="376"/>
    </row>
    <row r="20131" spans="1:100">
      <c r="A20131" s="374"/>
      <c r="C20131" s="374"/>
      <c r="CV20131" s="376"/>
    </row>
    <row r="20132" spans="1:100">
      <c r="A20132" s="374"/>
      <c r="C20132" s="374"/>
      <c r="CV20132" s="376"/>
    </row>
    <row r="20133" spans="1:100">
      <c r="A20133" s="374"/>
      <c r="C20133" s="374"/>
      <c r="CV20133" s="376"/>
    </row>
    <row r="20134" spans="1:100">
      <c r="A20134" s="374"/>
      <c r="C20134" s="374"/>
      <c r="CV20134" s="376"/>
    </row>
    <row r="20135" spans="1:100">
      <c r="A20135" s="374"/>
      <c r="C20135" s="374"/>
      <c r="CV20135" s="376"/>
    </row>
    <row r="20136" spans="1:100">
      <c r="A20136" s="374"/>
      <c r="C20136" s="374"/>
      <c r="CV20136" s="376"/>
    </row>
    <row r="20137" spans="1:100">
      <c r="A20137" s="374"/>
      <c r="C20137" s="374"/>
      <c r="CV20137" s="376"/>
    </row>
    <row r="20138" spans="1:100">
      <c r="A20138" s="374"/>
      <c r="C20138" s="374"/>
      <c r="CV20138" s="376"/>
    </row>
    <row r="20139" spans="1:100">
      <c r="A20139" s="374"/>
      <c r="C20139" s="374"/>
      <c r="CV20139" s="376"/>
    </row>
    <row r="20140" spans="1:100">
      <c r="A20140" s="374"/>
      <c r="C20140" s="374"/>
      <c r="CV20140" s="376"/>
    </row>
    <row r="20141" spans="1:100">
      <c r="A20141" s="374"/>
      <c r="C20141" s="374"/>
      <c r="CV20141" s="376"/>
    </row>
    <row r="20142" spans="1:100">
      <c r="A20142" s="374"/>
      <c r="C20142" s="374"/>
      <c r="CV20142" s="376"/>
    </row>
    <row r="20143" spans="1:100">
      <c r="A20143" s="374"/>
      <c r="C20143" s="374"/>
      <c r="CV20143" s="376"/>
    </row>
    <row r="20144" spans="1:100">
      <c r="A20144" s="374"/>
      <c r="C20144" s="374"/>
      <c r="CV20144" s="376"/>
    </row>
    <row r="20145" spans="1:100">
      <c r="A20145" s="374"/>
      <c r="C20145" s="374"/>
      <c r="CV20145" s="376"/>
    </row>
    <row r="20146" spans="1:100">
      <c r="A20146" s="374"/>
      <c r="C20146" s="374"/>
      <c r="CV20146" s="376"/>
    </row>
    <row r="20147" spans="1:100">
      <c r="A20147" s="374"/>
      <c r="C20147" s="374"/>
      <c r="CV20147" s="376"/>
    </row>
    <row r="20148" spans="1:100">
      <c r="A20148" s="374"/>
      <c r="C20148" s="374"/>
      <c r="CV20148" s="376"/>
    </row>
    <row r="20149" spans="1:100">
      <c r="A20149" s="374"/>
      <c r="C20149" s="374"/>
      <c r="CV20149" s="376"/>
    </row>
    <row r="20150" spans="1:100">
      <c r="A20150" s="374"/>
      <c r="C20150" s="374"/>
      <c r="CV20150" s="376"/>
    </row>
    <row r="20151" spans="1:100">
      <c r="A20151" s="374"/>
      <c r="C20151" s="374"/>
      <c r="CV20151" s="376"/>
    </row>
    <row r="20152" spans="1:100">
      <c r="A20152" s="374"/>
      <c r="C20152" s="374"/>
      <c r="CV20152" s="376"/>
    </row>
    <row r="20153" spans="1:100">
      <c r="A20153" s="374"/>
      <c r="C20153" s="374"/>
      <c r="CV20153" s="376"/>
    </row>
    <row r="20154" spans="1:100">
      <c r="A20154" s="374"/>
      <c r="C20154" s="374"/>
      <c r="CV20154" s="376"/>
    </row>
    <row r="20155" spans="1:100">
      <c r="A20155" s="374"/>
      <c r="C20155" s="374"/>
      <c r="CV20155" s="376"/>
    </row>
    <row r="20156" spans="1:100">
      <c r="A20156" s="374"/>
      <c r="C20156" s="374"/>
      <c r="CV20156" s="376"/>
    </row>
    <row r="20157" spans="1:100">
      <c r="A20157" s="374"/>
      <c r="C20157" s="374"/>
      <c r="CV20157" s="376"/>
    </row>
    <row r="20158" spans="1:100">
      <c r="A20158" s="374"/>
      <c r="C20158" s="374"/>
      <c r="CV20158" s="376"/>
    </row>
    <row r="20159" spans="1:100">
      <c r="A20159" s="374"/>
      <c r="C20159" s="374"/>
      <c r="CV20159" s="376"/>
    </row>
    <row r="20160" spans="1:100">
      <c r="A20160" s="374"/>
      <c r="C20160" s="374"/>
      <c r="CV20160" s="376"/>
    </row>
    <row r="20161" spans="1:100">
      <c r="A20161" s="374"/>
      <c r="C20161" s="374"/>
      <c r="CV20161" s="376"/>
    </row>
    <row r="20162" spans="1:100">
      <c r="A20162" s="374"/>
      <c r="C20162" s="374"/>
      <c r="CV20162" s="376"/>
    </row>
    <row r="20163" spans="1:100">
      <c r="A20163" s="374"/>
      <c r="C20163" s="374"/>
      <c r="CV20163" s="376"/>
    </row>
    <row r="20164" spans="1:100">
      <c r="A20164" s="374"/>
      <c r="C20164" s="374"/>
      <c r="CV20164" s="376"/>
    </row>
    <row r="20165" spans="1:100">
      <c r="A20165" s="374"/>
      <c r="C20165" s="374"/>
      <c r="CV20165" s="376"/>
    </row>
    <row r="20166" spans="1:100">
      <c r="A20166" s="374"/>
      <c r="C20166" s="374"/>
      <c r="CV20166" s="376"/>
    </row>
    <row r="20167" spans="1:100">
      <c r="A20167" s="374"/>
      <c r="C20167" s="374"/>
      <c r="CV20167" s="376"/>
    </row>
    <row r="20168" spans="1:100">
      <c r="A20168" s="374"/>
      <c r="C20168" s="374"/>
      <c r="CV20168" s="376"/>
    </row>
    <row r="20169" spans="1:100">
      <c r="A20169" s="374"/>
      <c r="C20169" s="374"/>
      <c r="CV20169" s="376"/>
    </row>
    <row r="20170" spans="1:100">
      <c r="A20170" s="374"/>
      <c r="C20170" s="374"/>
      <c r="CV20170" s="376"/>
    </row>
    <row r="20171" spans="1:100">
      <c r="A20171" s="374"/>
      <c r="C20171" s="374"/>
      <c r="CV20171" s="376"/>
    </row>
    <row r="20172" spans="1:100">
      <c r="A20172" s="374"/>
      <c r="C20172" s="374"/>
      <c r="CV20172" s="376"/>
    </row>
    <row r="20173" spans="1:100">
      <c r="A20173" s="374"/>
      <c r="C20173" s="374"/>
      <c r="CV20173" s="376"/>
    </row>
    <row r="20174" spans="1:100">
      <c r="A20174" s="374"/>
      <c r="C20174" s="374"/>
      <c r="CV20174" s="376"/>
    </row>
    <row r="20175" spans="1:100">
      <c r="A20175" s="374"/>
      <c r="C20175" s="374"/>
      <c r="CV20175" s="376"/>
    </row>
    <row r="20176" spans="1:100">
      <c r="A20176" s="374"/>
      <c r="C20176" s="374"/>
      <c r="CV20176" s="376"/>
    </row>
    <row r="20177" spans="1:100">
      <c r="A20177" s="374"/>
      <c r="C20177" s="374"/>
      <c r="CV20177" s="376"/>
    </row>
    <row r="20178" spans="1:100">
      <c r="A20178" s="374"/>
      <c r="C20178" s="374"/>
      <c r="CV20178" s="376"/>
    </row>
    <row r="20179" spans="1:100">
      <c r="A20179" s="374"/>
      <c r="C20179" s="374"/>
      <c r="CV20179" s="376"/>
    </row>
    <row r="20180" spans="1:100">
      <c r="A20180" s="374"/>
      <c r="C20180" s="374"/>
      <c r="CV20180" s="376"/>
    </row>
    <row r="20181" spans="1:100">
      <c r="A20181" s="374"/>
      <c r="C20181" s="374"/>
      <c r="CV20181" s="376"/>
    </row>
    <row r="20182" spans="1:100">
      <c r="A20182" s="374"/>
      <c r="C20182" s="374"/>
      <c r="CV20182" s="376"/>
    </row>
    <row r="20183" spans="1:100">
      <c r="A20183" s="374"/>
      <c r="C20183" s="374"/>
      <c r="CV20183" s="376"/>
    </row>
    <row r="20184" spans="1:100">
      <c r="A20184" s="374"/>
      <c r="C20184" s="374"/>
      <c r="CV20184" s="376"/>
    </row>
    <row r="20185" spans="1:100">
      <c r="A20185" s="374"/>
      <c r="C20185" s="374"/>
      <c r="CV20185" s="376"/>
    </row>
    <row r="20186" spans="1:100">
      <c r="A20186" s="374"/>
      <c r="C20186" s="374"/>
      <c r="CV20186" s="376"/>
    </row>
    <row r="20187" spans="1:100">
      <c r="A20187" s="374"/>
      <c r="C20187" s="374"/>
      <c r="CV20187" s="376"/>
    </row>
    <row r="20188" spans="1:100">
      <c r="A20188" s="374"/>
      <c r="C20188" s="374"/>
      <c r="CV20188" s="376"/>
    </row>
    <row r="20189" spans="1:100">
      <c r="A20189" s="374"/>
      <c r="C20189" s="374"/>
      <c r="CV20189" s="376"/>
    </row>
    <row r="20190" spans="1:100">
      <c r="A20190" s="374"/>
      <c r="C20190" s="374"/>
      <c r="CV20190" s="376"/>
    </row>
    <row r="20191" spans="1:100">
      <c r="A20191" s="374"/>
      <c r="C20191" s="374"/>
      <c r="CV20191" s="376"/>
    </row>
    <row r="20192" spans="1:100">
      <c r="A20192" s="374"/>
      <c r="C20192" s="374"/>
      <c r="CV20192" s="376"/>
    </row>
    <row r="20193" spans="1:100">
      <c r="A20193" s="374"/>
      <c r="C20193" s="374"/>
      <c r="CV20193" s="376"/>
    </row>
    <row r="20194" spans="1:100">
      <c r="A20194" s="374"/>
      <c r="C20194" s="374"/>
      <c r="CV20194" s="376"/>
    </row>
    <row r="20195" spans="1:100">
      <c r="A20195" s="374"/>
      <c r="C20195" s="374"/>
      <c r="CV20195" s="376"/>
    </row>
    <row r="20196" spans="1:100">
      <c r="A20196" s="374"/>
      <c r="C20196" s="374"/>
      <c r="CV20196" s="376"/>
    </row>
    <row r="20197" spans="1:100">
      <c r="A20197" s="374"/>
      <c r="C20197" s="374"/>
      <c r="CV20197" s="376"/>
    </row>
    <row r="20198" spans="1:100">
      <c r="A20198" s="374"/>
      <c r="C20198" s="374"/>
      <c r="CV20198" s="376"/>
    </row>
    <row r="20199" spans="1:100">
      <c r="A20199" s="374"/>
      <c r="C20199" s="374"/>
      <c r="CV20199" s="376"/>
    </row>
    <row r="20200" spans="1:100">
      <c r="A20200" s="374"/>
      <c r="C20200" s="374"/>
      <c r="CV20200" s="376"/>
    </row>
    <row r="20201" spans="1:100">
      <c r="A20201" s="374"/>
      <c r="C20201" s="374"/>
      <c r="CV20201" s="376"/>
    </row>
    <row r="20202" spans="1:100">
      <c r="A20202" s="374"/>
      <c r="C20202" s="374"/>
      <c r="CV20202" s="376"/>
    </row>
    <row r="20203" spans="1:100">
      <c r="A20203" s="374"/>
      <c r="C20203" s="374"/>
      <c r="CV20203" s="376"/>
    </row>
    <row r="20204" spans="1:100">
      <c r="A20204" s="374"/>
      <c r="C20204" s="374"/>
      <c r="CV20204" s="376"/>
    </row>
    <row r="20205" spans="1:100">
      <c r="A20205" s="374"/>
      <c r="C20205" s="374"/>
      <c r="CV20205" s="376"/>
    </row>
    <row r="20206" spans="1:100">
      <c r="A20206" s="374"/>
      <c r="C20206" s="374"/>
      <c r="CV20206" s="376"/>
    </row>
    <row r="20207" spans="1:100">
      <c r="A20207" s="374"/>
      <c r="C20207" s="374"/>
      <c r="CV20207" s="376"/>
    </row>
    <row r="20208" spans="1:100">
      <c r="A20208" s="374"/>
      <c r="C20208" s="374"/>
      <c r="CV20208" s="376"/>
    </row>
    <row r="20209" spans="1:100">
      <c r="A20209" s="374"/>
      <c r="C20209" s="374"/>
      <c r="CV20209" s="376"/>
    </row>
    <row r="20210" spans="1:100">
      <c r="A20210" s="374"/>
      <c r="C20210" s="374"/>
      <c r="CV20210" s="376"/>
    </row>
    <row r="20211" spans="1:100">
      <c r="A20211" s="374"/>
      <c r="C20211" s="374"/>
      <c r="CV20211" s="376"/>
    </row>
    <row r="20212" spans="1:100">
      <c r="A20212" s="374"/>
      <c r="C20212" s="374"/>
      <c r="CV20212" s="376"/>
    </row>
    <row r="20213" spans="1:100">
      <c r="A20213" s="374"/>
      <c r="C20213" s="374"/>
      <c r="CV20213" s="376"/>
    </row>
    <row r="20214" spans="1:100">
      <c r="A20214" s="374"/>
      <c r="C20214" s="374"/>
      <c r="CV20214" s="376"/>
    </row>
    <row r="20215" spans="1:100">
      <c r="A20215" s="374"/>
      <c r="C20215" s="374"/>
      <c r="CV20215" s="376"/>
    </row>
    <row r="20216" spans="1:100">
      <c r="A20216" s="374"/>
      <c r="C20216" s="374"/>
      <c r="CV20216" s="376"/>
    </row>
    <row r="20217" spans="1:100">
      <c r="A20217" s="374"/>
      <c r="C20217" s="374"/>
      <c r="CV20217" s="376"/>
    </row>
    <row r="20218" spans="1:100">
      <c r="A20218" s="374"/>
      <c r="C20218" s="374"/>
      <c r="CV20218" s="376"/>
    </row>
    <row r="20219" spans="1:100">
      <c r="A20219" s="374"/>
      <c r="C20219" s="374"/>
      <c r="CV20219" s="376"/>
    </row>
    <row r="20220" spans="1:100">
      <c r="A20220" s="374"/>
      <c r="C20220" s="374"/>
      <c r="CV20220" s="376"/>
    </row>
    <row r="20221" spans="1:100">
      <c r="A20221" s="374"/>
      <c r="C20221" s="374"/>
      <c r="CV20221" s="376"/>
    </row>
    <row r="20222" spans="1:100">
      <c r="A20222" s="374"/>
      <c r="C20222" s="374"/>
      <c r="CV20222" s="376"/>
    </row>
    <row r="20223" spans="1:100">
      <c r="A20223" s="374"/>
      <c r="C20223" s="374"/>
      <c r="CV20223" s="376"/>
    </row>
    <row r="20224" spans="1:100">
      <c r="A20224" s="374"/>
      <c r="C20224" s="374"/>
      <c r="CV20224" s="376"/>
    </row>
    <row r="20225" spans="1:100">
      <c r="A20225" s="374"/>
      <c r="C20225" s="374"/>
      <c r="CV20225" s="376"/>
    </row>
    <row r="20226" spans="1:100">
      <c r="A20226" s="374"/>
      <c r="C20226" s="374"/>
      <c r="CV20226" s="376"/>
    </row>
    <row r="20227" spans="1:100">
      <c r="A20227" s="374"/>
      <c r="C20227" s="374"/>
      <c r="CV20227" s="376"/>
    </row>
    <row r="20228" spans="1:100">
      <c r="A20228" s="374"/>
      <c r="C20228" s="374"/>
      <c r="CV20228" s="376"/>
    </row>
    <row r="20229" spans="1:100">
      <c r="A20229" s="374"/>
      <c r="C20229" s="374"/>
      <c r="CV20229" s="376"/>
    </row>
    <row r="20230" spans="1:100">
      <c r="A20230" s="374"/>
      <c r="C20230" s="374"/>
      <c r="CV20230" s="376"/>
    </row>
    <row r="20231" spans="1:100">
      <c r="A20231" s="374"/>
      <c r="C20231" s="374"/>
      <c r="CV20231" s="376"/>
    </row>
    <row r="20232" spans="1:100">
      <c r="A20232" s="374"/>
      <c r="C20232" s="374"/>
      <c r="CV20232" s="376"/>
    </row>
    <row r="20233" spans="1:100">
      <c r="A20233" s="374"/>
      <c r="C20233" s="374"/>
      <c r="CV20233" s="376"/>
    </row>
    <row r="20234" spans="1:100">
      <c r="A20234" s="374"/>
      <c r="C20234" s="374"/>
      <c r="CV20234" s="376"/>
    </row>
    <row r="20235" spans="1:100">
      <c r="A20235" s="374"/>
      <c r="C20235" s="374"/>
      <c r="CV20235" s="376"/>
    </row>
    <row r="20236" spans="1:100">
      <c r="A20236" s="374"/>
      <c r="C20236" s="374"/>
      <c r="CV20236" s="376"/>
    </row>
    <row r="20237" spans="1:100">
      <c r="A20237" s="374"/>
      <c r="C20237" s="374"/>
      <c r="CV20237" s="376"/>
    </row>
    <row r="20238" spans="1:100">
      <c r="A20238" s="374"/>
      <c r="C20238" s="374"/>
      <c r="CV20238" s="376"/>
    </row>
    <row r="20239" spans="1:100">
      <c r="A20239" s="374"/>
      <c r="C20239" s="374"/>
      <c r="CV20239" s="376"/>
    </row>
    <row r="20240" spans="1:100">
      <c r="A20240" s="374"/>
      <c r="C20240" s="374"/>
      <c r="CV20240" s="376"/>
    </row>
    <row r="20241" spans="1:100">
      <c r="A20241" s="374"/>
      <c r="C20241" s="374"/>
      <c r="CV20241" s="376"/>
    </row>
    <row r="20242" spans="1:100">
      <c r="A20242" s="374"/>
      <c r="C20242" s="374"/>
      <c r="CV20242" s="376"/>
    </row>
    <row r="20243" spans="1:100">
      <c r="A20243" s="374"/>
      <c r="C20243" s="374"/>
      <c r="CV20243" s="376"/>
    </row>
    <row r="20244" spans="1:100">
      <c r="A20244" s="374"/>
      <c r="C20244" s="374"/>
      <c r="CV20244" s="376"/>
    </row>
    <row r="20245" spans="1:100">
      <c r="A20245" s="374"/>
      <c r="C20245" s="374"/>
      <c r="CV20245" s="376"/>
    </row>
    <row r="20246" spans="1:100">
      <c r="A20246" s="374"/>
      <c r="C20246" s="374"/>
      <c r="CV20246" s="376"/>
    </row>
    <row r="20247" spans="1:100">
      <c r="A20247" s="374"/>
      <c r="C20247" s="374"/>
      <c r="CV20247" s="376"/>
    </row>
    <row r="20248" spans="1:100">
      <c r="A20248" s="374"/>
      <c r="C20248" s="374"/>
      <c r="CV20248" s="376"/>
    </row>
    <row r="20249" spans="1:100">
      <c r="A20249" s="374"/>
      <c r="C20249" s="374"/>
      <c r="CV20249" s="376"/>
    </row>
    <row r="20250" spans="1:100">
      <c r="A20250" s="374"/>
      <c r="C20250" s="374"/>
      <c r="CV20250" s="376"/>
    </row>
    <row r="20251" spans="1:100">
      <c r="A20251" s="374"/>
      <c r="C20251" s="374"/>
      <c r="CV20251" s="376"/>
    </row>
    <row r="20252" spans="1:100">
      <c r="A20252" s="374"/>
      <c r="C20252" s="374"/>
      <c r="CV20252" s="376"/>
    </row>
    <row r="20253" spans="1:100">
      <c r="A20253" s="374"/>
      <c r="C20253" s="374"/>
      <c r="CV20253" s="376"/>
    </row>
    <row r="20254" spans="1:100">
      <c r="A20254" s="374"/>
      <c r="C20254" s="374"/>
      <c r="CV20254" s="376"/>
    </row>
    <row r="20255" spans="1:100">
      <c r="A20255" s="374"/>
      <c r="C20255" s="374"/>
      <c r="CV20255" s="376"/>
    </row>
    <row r="20256" spans="1:100">
      <c r="A20256" s="374"/>
      <c r="C20256" s="374"/>
      <c r="CV20256" s="376"/>
    </row>
    <row r="20257" spans="1:100">
      <c r="A20257" s="374"/>
      <c r="C20257" s="374"/>
      <c r="CV20257" s="376"/>
    </row>
    <row r="20258" spans="1:100">
      <c r="A20258" s="374"/>
      <c r="C20258" s="374"/>
      <c r="CV20258" s="376"/>
    </row>
    <row r="20259" spans="1:100">
      <c r="A20259" s="374"/>
      <c r="C20259" s="374"/>
      <c r="CV20259" s="376"/>
    </row>
    <row r="20260" spans="1:100">
      <c r="A20260" s="374"/>
      <c r="C20260" s="374"/>
      <c r="CV20260" s="376"/>
    </row>
    <row r="20261" spans="1:100">
      <c r="A20261" s="374"/>
      <c r="C20261" s="374"/>
      <c r="CV20261" s="376"/>
    </row>
    <row r="20262" spans="1:100">
      <c r="A20262" s="374"/>
      <c r="C20262" s="374"/>
      <c r="CV20262" s="376"/>
    </row>
    <row r="20263" spans="1:100">
      <c r="A20263" s="374"/>
      <c r="C20263" s="374"/>
      <c r="CV20263" s="376"/>
    </row>
    <row r="20264" spans="1:100">
      <c r="A20264" s="374"/>
      <c r="C20264" s="374"/>
      <c r="CV20264" s="376"/>
    </row>
    <row r="20265" spans="1:100">
      <c r="A20265" s="374"/>
      <c r="C20265" s="374"/>
      <c r="CV20265" s="376"/>
    </row>
    <row r="20266" spans="1:100">
      <c r="A20266" s="374"/>
      <c r="C20266" s="374"/>
      <c r="CV20266" s="376"/>
    </row>
    <row r="20267" spans="1:100">
      <c r="A20267" s="374"/>
      <c r="C20267" s="374"/>
      <c r="CV20267" s="376"/>
    </row>
    <row r="20268" spans="1:100">
      <c r="A20268" s="374"/>
      <c r="C20268" s="374"/>
      <c r="CV20268" s="376"/>
    </row>
    <row r="20269" spans="1:100">
      <c r="A20269" s="374"/>
      <c r="C20269" s="374"/>
      <c r="CV20269" s="376"/>
    </row>
    <row r="20270" spans="1:100">
      <c r="A20270" s="374"/>
      <c r="C20270" s="374"/>
      <c r="CV20270" s="376"/>
    </row>
    <row r="20271" spans="1:100">
      <c r="A20271" s="374"/>
      <c r="C20271" s="374"/>
      <c r="CV20271" s="376"/>
    </row>
    <row r="20272" spans="1:100">
      <c r="A20272" s="374"/>
      <c r="C20272" s="374"/>
      <c r="CV20272" s="376"/>
    </row>
    <row r="20273" spans="1:100">
      <c r="A20273" s="374"/>
      <c r="C20273" s="374"/>
      <c r="CV20273" s="376"/>
    </row>
    <row r="20274" spans="1:100">
      <c r="A20274" s="374"/>
      <c r="C20274" s="374"/>
      <c r="CV20274" s="376"/>
    </row>
    <row r="20275" spans="1:100">
      <c r="A20275" s="374"/>
      <c r="C20275" s="374"/>
      <c r="CV20275" s="376"/>
    </row>
    <row r="20276" spans="1:100">
      <c r="A20276" s="374"/>
      <c r="C20276" s="374"/>
      <c r="CV20276" s="376"/>
    </row>
    <row r="20277" spans="1:100">
      <c r="A20277" s="374"/>
      <c r="C20277" s="374"/>
      <c r="CV20277" s="376"/>
    </row>
    <row r="20278" spans="1:100">
      <c r="A20278" s="374"/>
      <c r="C20278" s="374"/>
      <c r="CV20278" s="376"/>
    </row>
    <row r="20279" spans="1:100">
      <c r="A20279" s="374"/>
      <c r="C20279" s="374"/>
      <c r="CV20279" s="376"/>
    </row>
    <row r="20280" spans="1:100">
      <c r="A20280" s="374"/>
      <c r="C20280" s="374"/>
      <c r="CV20280" s="376"/>
    </row>
    <row r="20281" spans="1:100">
      <c r="A20281" s="374"/>
      <c r="C20281" s="374"/>
      <c r="CV20281" s="376"/>
    </row>
    <row r="20282" spans="1:100">
      <c r="A20282" s="374"/>
      <c r="C20282" s="374"/>
      <c r="CV20282" s="376"/>
    </row>
    <row r="20283" spans="1:100">
      <c r="A20283" s="374"/>
      <c r="C20283" s="374"/>
      <c r="CV20283" s="376"/>
    </row>
    <row r="20284" spans="1:100">
      <c r="A20284" s="374"/>
      <c r="C20284" s="374"/>
      <c r="CV20284" s="376"/>
    </row>
    <row r="20285" spans="1:100">
      <c r="A20285" s="374"/>
      <c r="C20285" s="374"/>
      <c r="CV20285" s="376"/>
    </row>
    <row r="20286" spans="1:100">
      <c r="A20286" s="374"/>
      <c r="C20286" s="374"/>
      <c r="CV20286" s="376"/>
    </row>
    <row r="20287" spans="1:100">
      <c r="A20287" s="374"/>
      <c r="C20287" s="374"/>
      <c r="CV20287" s="376"/>
    </row>
    <row r="20288" spans="1:100">
      <c r="A20288" s="374"/>
      <c r="C20288" s="374"/>
      <c r="CV20288" s="376"/>
    </row>
    <row r="20289" spans="1:100">
      <c r="A20289" s="374"/>
      <c r="C20289" s="374"/>
      <c r="CV20289" s="376"/>
    </row>
    <row r="20290" spans="1:100">
      <c r="A20290" s="374"/>
      <c r="C20290" s="374"/>
      <c r="CV20290" s="376"/>
    </row>
    <row r="20291" spans="1:100">
      <c r="A20291" s="374"/>
      <c r="C20291" s="374"/>
      <c r="CV20291" s="376"/>
    </row>
    <row r="20292" spans="1:100">
      <c r="A20292" s="374"/>
      <c r="C20292" s="374"/>
      <c r="CV20292" s="376"/>
    </row>
    <row r="20293" spans="1:100">
      <c r="A20293" s="374"/>
      <c r="C20293" s="374"/>
      <c r="CV20293" s="376"/>
    </row>
    <row r="20294" spans="1:100">
      <c r="A20294" s="374"/>
      <c r="C20294" s="374"/>
      <c r="CV20294" s="376"/>
    </row>
    <row r="20295" spans="1:100">
      <c r="A20295" s="374"/>
      <c r="C20295" s="374"/>
      <c r="CV20295" s="376"/>
    </row>
    <row r="20296" spans="1:100">
      <c r="A20296" s="374"/>
      <c r="C20296" s="374"/>
      <c r="CV20296" s="376"/>
    </row>
    <row r="20297" spans="1:100">
      <c r="A20297" s="374"/>
      <c r="C20297" s="374"/>
      <c r="CV20297" s="376"/>
    </row>
    <row r="20298" spans="1:100">
      <c r="A20298" s="374"/>
      <c r="C20298" s="374"/>
      <c r="CV20298" s="376"/>
    </row>
    <row r="20299" spans="1:100">
      <c r="A20299" s="374"/>
      <c r="C20299" s="374"/>
      <c r="CV20299" s="376"/>
    </row>
    <row r="20300" spans="1:100">
      <c r="A20300" s="374"/>
      <c r="C20300" s="374"/>
      <c r="CV20300" s="376"/>
    </row>
    <row r="20301" spans="1:100">
      <c r="A20301" s="374"/>
      <c r="C20301" s="374"/>
      <c r="CV20301" s="376"/>
    </row>
    <row r="20302" spans="1:100">
      <c r="A20302" s="374"/>
      <c r="C20302" s="374"/>
      <c r="CV20302" s="376"/>
    </row>
    <row r="20303" spans="1:100">
      <c r="A20303" s="374"/>
      <c r="C20303" s="374"/>
      <c r="CV20303" s="376"/>
    </row>
    <row r="20304" spans="1:100">
      <c r="A20304" s="374"/>
      <c r="C20304" s="374"/>
      <c r="CV20304" s="376"/>
    </row>
    <row r="20305" spans="1:100">
      <c r="A20305" s="374"/>
      <c r="C20305" s="374"/>
      <c r="CV20305" s="376"/>
    </row>
    <row r="20306" spans="1:100">
      <c r="A20306" s="374"/>
      <c r="C20306" s="374"/>
      <c r="CV20306" s="376"/>
    </row>
    <row r="20307" spans="1:100">
      <c r="A20307" s="374"/>
      <c r="C20307" s="374"/>
      <c r="CV20307" s="376"/>
    </row>
    <row r="20308" spans="1:100">
      <c r="A20308" s="374"/>
      <c r="C20308" s="374"/>
      <c r="CV20308" s="376"/>
    </row>
    <row r="20309" spans="1:100">
      <c r="A20309" s="374"/>
      <c r="C20309" s="374"/>
      <c r="CV20309" s="376"/>
    </row>
    <row r="20310" spans="1:100">
      <c r="A20310" s="374"/>
      <c r="C20310" s="374"/>
      <c r="CV20310" s="376"/>
    </row>
    <row r="20311" spans="1:100">
      <c r="A20311" s="374"/>
      <c r="C20311" s="374"/>
      <c r="CV20311" s="376"/>
    </row>
    <row r="20312" spans="1:100">
      <c r="A20312" s="374"/>
      <c r="C20312" s="374"/>
      <c r="CV20312" s="376"/>
    </row>
    <row r="20313" spans="1:100">
      <c r="A20313" s="374"/>
      <c r="C20313" s="374"/>
      <c r="CV20313" s="376"/>
    </row>
    <row r="20314" spans="1:100">
      <c r="A20314" s="374"/>
      <c r="C20314" s="374"/>
      <c r="CV20314" s="376"/>
    </row>
    <row r="20315" spans="1:100">
      <c r="A20315" s="374"/>
      <c r="C20315" s="374"/>
      <c r="CV20315" s="376"/>
    </row>
    <row r="20316" spans="1:100">
      <c r="A20316" s="374"/>
      <c r="C20316" s="374"/>
      <c r="CV20316" s="376"/>
    </row>
    <row r="20317" spans="1:100">
      <c r="A20317" s="374"/>
      <c r="C20317" s="374"/>
      <c r="CV20317" s="376"/>
    </row>
    <row r="20318" spans="1:100">
      <c r="A20318" s="374"/>
      <c r="C20318" s="374"/>
      <c r="CV20318" s="376"/>
    </row>
    <row r="20319" spans="1:100">
      <c r="A20319" s="374"/>
      <c r="C20319" s="374"/>
      <c r="CV20319" s="376"/>
    </row>
    <row r="20320" spans="1:100">
      <c r="A20320" s="374"/>
      <c r="C20320" s="374"/>
      <c r="CV20320" s="376"/>
    </row>
    <row r="20321" spans="1:100">
      <c r="A20321" s="374"/>
      <c r="C20321" s="374"/>
      <c r="CV20321" s="376"/>
    </row>
    <row r="20322" spans="1:100">
      <c r="A20322" s="374"/>
      <c r="C20322" s="374"/>
      <c r="CV20322" s="376"/>
    </row>
    <row r="20323" spans="1:100">
      <c r="A20323" s="374"/>
      <c r="C20323" s="374"/>
      <c r="CV20323" s="376"/>
    </row>
    <row r="20324" spans="1:100">
      <c r="A20324" s="374"/>
      <c r="C20324" s="374"/>
      <c r="CV20324" s="376"/>
    </row>
    <row r="20325" spans="1:100">
      <c r="A20325" s="374"/>
      <c r="C20325" s="374"/>
      <c r="CV20325" s="376"/>
    </row>
    <row r="20326" spans="1:100">
      <c r="A20326" s="374"/>
      <c r="C20326" s="374"/>
      <c r="CV20326" s="376"/>
    </row>
    <row r="20327" spans="1:100">
      <c r="A20327" s="374"/>
      <c r="C20327" s="374"/>
      <c r="CV20327" s="376"/>
    </row>
    <row r="20328" spans="1:100">
      <c r="A20328" s="374"/>
      <c r="C20328" s="374"/>
      <c r="CV20328" s="376"/>
    </row>
    <row r="20329" spans="1:100">
      <c r="A20329" s="374"/>
      <c r="C20329" s="374"/>
      <c r="CV20329" s="376"/>
    </row>
    <row r="20330" spans="1:100">
      <c r="A20330" s="374"/>
      <c r="C20330" s="374"/>
      <c r="CV20330" s="376"/>
    </row>
    <row r="20331" spans="1:100">
      <c r="A20331" s="374"/>
      <c r="C20331" s="374"/>
      <c r="CV20331" s="376"/>
    </row>
    <row r="20332" spans="1:100">
      <c r="A20332" s="374"/>
      <c r="C20332" s="374"/>
      <c r="CV20332" s="376"/>
    </row>
    <row r="20333" spans="1:100">
      <c r="A20333" s="374"/>
      <c r="C20333" s="374"/>
      <c r="CV20333" s="376"/>
    </row>
    <row r="20334" spans="1:100">
      <c r="A20334" s="374"/>
      <c r="C20334" s="374"/>
      <c r="CV20334" s="376"/>
    </row>
    <row r="20335" spans="1:100">
      <c r="A20335" s="374"/>
      <c r="C20335" s="374"/>
      <c r="CV20335" s="376"/>
    </row>
    <row r="20336" spans="1:100">
      <c r="A20336" s="374"/>
      <c r="C20336" s="374"/>
      <c r="CV20336" s="376"/>
    </row>
    <row r="20337" spans="1:100">
      <c r="A20337" s="374"/>
      <c r="C20337" s="374"/>
      <c r="CV20337" s="376"/>
    </row>
    <row r="20338" spans="1:100">
      <c r="A20338" s="374"/>
      <c r="C20338" s="374"/>
      <c r="CV20338" s="376"/>
    </row>
    <row r="20339" spans="1:100">
      <c r="A20339" s="374"/>
      <c r="C20339" s="374"/>
      <c r="CV20339" s="376"/>
    </row>
    <row r="20340" spans="1:100">
      <c r="A20340" s="374"/>
      <c r="C20340" s="374"/>
      <c r="CV20340" s="376"/>
    </row>
    <row r="20341" spans="1:100">
      <c r="A20341" s="374"/>
      <c r="C20341" s="374"/>
      <c r="CV20341" s="376"/>
    </row>
    <row r="20342" spans="1:100">
      <c r="A20342" s="374"/>
      <c r="C20342" s="374"/>
      <c r="CV20342" s="376"/>
    </row>
    <row r="20343" spans="1:100">
      <c r="A20343" s="374"/>
      <c r="C20343" s="374"/>
      <c r="CV20343" s="376"/>
    </row>
    <row r="20344" spans="1:100">
      <c r="A20344" s="374"/>
      <c r="C20344" s="374"/>
      <c r="CV20344" s="376"/>
    </row>
    <row r="20345" spans="1:100">
      <c r="A20345" s="374"/>
      <c r="C20345" s="374"/>
      <c r="CV20345" s="376"/>
    </row>
    <row r="20346" spans="1:100">
      <c r="A20346" s="374"/>
      <c r="C20346" s="374"/>
      <c r="CV20346" s="376"/>
    </row>
    <row r="20347" spans="1:100">
      <c r="A20347" s="374"/>
      <c r="C20347" s="374"/>
      <c r="CV20347" s="376"/>
    </row>
    <row r="20348" spans="1:100">
      <c r="A20348" s="374"/>
      <c r="C20348" s="374"/>
      <c r="CV20348" s="376"/>
    </row>
    <row r="20349" spans="1:100">
      <c r="A20349" s="374"/>
      <c r="C20349" s="374"/>
      <c r="CV20349" s="376"/>
    </row>
    <row r="20350" spans="1:100">
      <c r="A20350" s="374"/>
      <c r="C20350" s="374"/>
      <c r="CV20350" s="376"/>
    </row>
    <row r="20351" spans="1:100">
      <c r="A20351" s="374"/>
      <c r="C20351" s="374"/>
      <c r="CV20351" s="376"/>
    </row>
    <row r="20352" spans="1:100">
      <c r="A20352" s="374"/>
      <c r="C20352" s="374"/>
      <c r="CV20352" s="376"/>
    </row>
    <row r="20353" spans="1:100">
      <c r="A20353" s="374"/>
      <c r="C20353" s="374"/>
      <c r="CV20353" s="376"/>
    </row>
    <row r="20354" spans="1:100">
      <c r="A20354" s="374"/>
      <c r="C20354" s="374"/>
      <c r="CV20354" s="376"/>
    </row>
    <row r="20355" spans="1:100">
      <c r="A20355" s="374"/>
      <c r="C20355" s="374"/>
      <c r="CV20355" s="376"/>
    </row>
    <row r="20356" spans="1:100">
      <c r="A20356" s="374"/>
      <c r="C20356" s="374"/>
      <c r="CV20356" s="376"/>
    </row>
    <row r="20357" spans="1:100">
      <c r="A20357" s="374"/>
      <c r="C20357" s="374"/>
      <c r="CV20357" s="376"/>
    </row>
    <row r="20358" spans="1:100">
      <c r="A20358" s="374"/>
      <c r="C20358" s="374"/>
      <c r="CV20358" s="376"/>
    </row>
    <row r="20359" spans="1:100">
      <c r="A20359" s="374"/>
      <c r="C20359" s="374"/>
      <c r="CV20359" s="376"/>
    </row>
    <row r="20360" spans="1:100">
      <c r="A20360" s="374"/>
      <c r="C20360" s="374"/>
      <c r="CV20360" s="376"/>
    </row>
    <row r="20361" spans="1:100">
      <c r="A20361" s="374"/>
      <c r="C20361" s="374"/>
      <c r="CV20361" s="376"/>
    </row>
    <row r="20362" spans="1:100">
      <c r="A20362" s="374"/>
      <c r="C20362" s="374"/>
      <c r="CV20362" s="376"/>
    </row>
    <row r="20363" spans="1:100">
      <c r="A20363" s="374"/>
      <c r="C20363" s="374"/>
      <c r="CV20363" s="376"/>
    </row>
    <row r="20364" spans="1:100">
      <c r="A20364" s="374"/>
      <c r="C20364" s="374"/>
      <c r="CV20364" s="376"/>
    </row>
    <row r="20365" spans="1:100">
      <c r="A20365" s="374"/>
      <c r="C20365" s="374"/>
      <c r="CV20365" s="376"/>
    </row>
    <row r="20366" spans="1:100">
      <c r="A20366" s="374"/>
      <c r="C20366" s="374"/>
      <c r="CV20366" s="376"/>
    </row>
    <row r="20367" spans="1:100">
      <c r="A20367" s="374"/>
      <c r="C20367" s="374"/>
      <c r="CV20367" s="376"/>
    </row>
    <row r="20368" spans="1:100">
      <c r="A20368" s="374"/>
      <c r="C20368" s="374"/>
      <c r="CV20368" s="376"/>
    </row>
    <row r="20369" spans="1:100">
      <c r="A20369" s="374"/>
      <c r="C20369" s="374"/>
      <c r="CV20369" s="376"/>
    </row>
    <row r="20370" spans="1:100">
      <c r="A20370" s="374"/>
      <c r="C20370" s="374"/>
      <c r="CV20370" s="376"/>
    </row>
    <row r="20371" spans="1:100">
      <c r="A20371" s="374"/>
      <c r="C20371" s="374"/>
      <c r="CV20371" s="376"/>
    </row>
    <row r="20372" spans="1:100">
      <c r="A20372" s="374"/>
      <c r="C20372" s="374"/>
      <c r="CV20372" s="376"/>
    </row>
    <row r="20373" spans="1:100">
      <c r="A20373" s="374"/>
      <c r="C20373" s="374"/>
      <c r="CV20373" s="376"/>
    </row>
    <row r="20374" spans="1:100">
      <c r="A20374" s="374"/>
      <c r="C20374" s="374"/>
      <c r="CV20374" s="376"/>
    </row>
    <row r="20375" spans="1:100">
      <c r="A20375" s="374"/>
      <c r="C20375" s="374"/>
      <c r="CV20375" s="376"/>
    </row>
    <row r="20376" spans="1:100">
      <c r="A20376" s="374"/>
      <c r="C20376" s="374"/>
      <c r="CV20376" s="376"/>
    </row>
    <row r="20377" spans="1:100">
      <c r="A20377" s="374"/>
      <c r="C20377" s="374"/>
      <c r="CV20377" s="376"/>
    </row>
    <row r="20378" spans="1:100">
      <c r="A20378" s="374"/>
      <c r="C20378" s="374"/>
      <c r="CV20378" s="376"/>
    </row>
    <row r="20379" spans="1:100">
      <c r="A20379" s="374"/>
      <c r="C20379" s="374"/>
      <c r="CV20379" s="376"/>
    </row>
    <row r="20380" spans="1:100">
      <c r="A20380" s="374"/>
      <c r="C20380" s="374"/>
      <c r="CV20380" s="376"/>
    </row>
    <row r="20381" spans="1:100">
      <c r="A20381" s="374"/>
      <c r="C20381" s="374"/>
      <c r="CV20381" s="376"/>
    </row>
    <row r="20382" spans="1:100">
      <c r="A20382" s="374"/>
      <c r="C20382" s="374"/>
      <c r="CV20382" s="376"/>
    </row>
    <row r="20383" spans="1:100">
      <c r="A20383" s="374"/>
      <c r="C20383" s="374"/>
      <c r="CV20383" s="376"/>
    </row>
    <row r="20384" spans="1:100">
      <c r="A20384" s="374"/>
      <c r="C20384" s="374"/>
      <c r="CV20384" s="376"/>
    </row>
    <row r="20385" spans="1:100">
      <c r="A20385" s="374"/>
      <c r="C20385" s="374"/>
      <c r="CV20385" s="376"/>
    </row>
    <row r="20386" spans="1:100">
      <c r="A20386" s="374"/>
      <c r="C20386" s="374"/>
      <c r="CV20386" s="376"/>
    </row>
    <row r="20387" spans="1:100">
      <c r="A20387" s="374"/>
      <c r="C20387" s="374"/>
      <c r="CV20387" s="376"/>
    </row>
    <row r="20388" spans="1:100">
      <c r="A20388" s="374"/>
      <c r="C20388" s="374"/>
      <c r="CV20388" s="376"/>
    </row>
    <row r="20389" spans="1:100">
      <c r="A20389" s="374"/>
      <c r="C20389" s="374"/>
      <c r="CV20389" s="376"/>
    </row>
    <row r="20390" spans="1:100">
      <c r="A20390" s="374"/>
      <c r="C20390" s="374"/>
      <c r="CV20390" s="376"/>
    </row>
    <row r="20391" spans="1:100">
      <c r="A20391" s="374"/>
      <c r="C20391" s="374"/>
      <c r="CV20391" s="376"/>
    </row>
    <row r="20392" spans="1:100">
      <c r="A20392" s="374"/>
      <c r="C20392" s="374"/>
      <c r="CV20392" s="376"/>
    </row>
    <row r="20393" spans="1:100">
      <c r="A20393" s="374"/>
      <c r="C20393" s="374"/>
      <c r="CV20393" s="376"/>
    </row>
    <row r="20394" spans="1:100">
      <c r="A20394" s="374"/>
      <c r="C20394" s="374"/>
      <c r="CV20394" s="376"/>
    </row>
    <row r="20395" spans="1:100">
      <c r="A20395" s="374"/>
      <c r="C20395" s="374"/>
      <c r="CV20395" s="376"/>
    </row>
    <row r="20396" spans="1:100">
      <c r="A20396" s="374"/>
      <c r="C20396" s="374"/>
      <c r="CV20396" s="376"/>
    </row>
    <row r="20397" spans="1:100">
      <c r="A20397" s="374"/>
      <c r="C20397" s="374"/>
      <c r="CV20397" s="376"/>
    </row>
    <row r="20398" spans="1:100">
      <c r="A20398" s="374"/>
      <c r="C20398" s="374"/>
      <c r="CV20398" s="376"/>
    </row>
    <row r="20399" spans="1:100">
      <c r="A20399" s="374"/>
      <c r="C20399" s="374"/>
      <c r="CV20399" s="376"/>
    </row>
    <row r="20400" spans="1:100">
      <c r="A20400" s="374"/>
      <c r="C20400" s="374"/>
      <c r="CV20400" s="376"/>
    </row>
    <row r="20401" spans="1:100">
      <c r="A20401" s="374"/>
      <c r="C20401" s="374"/>
      <c r="CV20401" s="376"/>
    </row>
    <row r="20402" spans="1:100">
      <c r="A20402" s="374"/>
      <c r="C20402" s="374"/>
      <c r="CV20402" s="376"/>
    </row>
    <row r="20403" spans="1:100">
      <c r="A20403" s="374"/>
      <c r="C20403" s="374"/>
      <c r="CV20403" s="376"/>
    </row>
    <row r="20404" spans="1:100">
      <c r="A20404" s="374"/>
      <c r="C20404" s="374"/>
      <c r="CV20404" s="376"/>
    </row>
    <row r="20405" spans="1:100">
      <c r="A20405" s="374"/>
      <c r="C20405" s="374"/>
      <c r="CV20405" s="376"/>
    </row>
    <row r="20406" spans="1:100">
      <c r="A20406" s="374"/>
      <c r="C20406" s="374"/>
      <c r="CV20406" s="376"/>
    </row>
    <row r="20407" spans="1:100">
      <c r="A20407" s="374"/>
      <c r="C20407" s="374"/>
      <c r="CV20407" s="376"/>
    </row>
    <row r="20408" spans="1:100">
      <c r="A20408" s="374"/>
      <c r="C20408" s="374"/>
      <c r="CV20408" s="376"/>
    </row>
    <row r="20409" spans="1:100">
      <c r="A20409" s="374"/>
      <c r="C20409" s="374"/>
      <c r="CV20409" s="376"/>
    </row>
    <row r="20410" spans="1:100">
      <c r="A20410" s="374"/>
      <c r="C20410" s="374"/>
      <c r="CV20410" s="376"/>
    </row>
    <row r="20411" spans="1:100">
      <c r="A20411" s="374"/>
      <c r="C20411" s="374"/>
      <c r="CV20411" s="376"/>
    </row>
    <row r="20412" spans="1:100">
      <c r="A20412" s="374"/>
      <c r="C20412" s="374"/>
      <c r="CV20412" s="376"/>
    </row>
    <row r="20413" spans="1:100">
      <c r="A20413" s="374"/>
      <c r="C20413" s="374"/>
      <c r="CV20413" s="376"/>
    </row>
    <row r="20414" spans="1:100">
      <c r="A20414" s="374"/>
      <c r="C20414" s="374"/>
      <c r="CV20414" s="376"/>
    </row>
    <row r="20415" spans="1:100">
      <c r="A20415" s="374"/>
      <c r="C20415" s="374"/>
      <c r="CV20415" s="376"/>
    </row>
    <row r="20416" spans="1:100">
      <c r="A20416" s="374"/>
      <c r="C20416" s="374"/>
      <c r="CV20416" s="376"/>
    </row>
    <row r="20417" spans="1:100">
      <c r="A20417" s="374"/>
      <c r="C20417" s="374"/>
      <c r="CV20417" s="376"/>
    </row>
    <row r="20418" spans="1:100">
      <c r="A20418" s="374"/>
      <c r="C20418" s="374"/>
      <c r="CV20418" s="376"/>
    </row>
    <row r="20419" spans="1:100">
      <c r="A20419" s="374"/>
      <c r="C20419" s="374"/>
      <c r="CV20419" s="376"/>
    </row>
    <row r="20420" spans="1:100">
      <c r="A20420" s="374"/>
      <c r="C20420" s="374"/>
      <c r="CV20420" s="376"/>
    </row>
    <row r="20421" spans="1:100">
      <c r="A20421" s="374"/>
      <c r="C20421" s="374"/>
      <c r="CV20421" s="376"/>
    </row>
    <row r="20422" spans="1:100">
      <c r="A20422" s="374"/>
      <c r="C20422" s="374"/>
      <c r="CV20422" s="376"/>
    </row>
    <row r="20423" spans="1:100">
      <c r="A20423" s="374"/>
      <c r="C20423" s="374"/>
      <c r="CV20423" s="376"/>
    </row>
    <row r="20424" spans="1:100">
      <c r="A20424" s="374"/>
      <c r="C20424" s="374"/>
      <c r="CV20424" s="376"/>
    </row>
    <row r="20425" spans="1:100">
      <c r="A20425" s="374"/>
      <c r="C20425" s="374"/>
      <c r="CV20425" s="376"/>
    </row>
    <row r="20426" spans="1:100">
      <c r="A20426" s="374"/>
      <c r="C20426" s="374"/>
      <c r="CV20426" s="376"/>
    </row>
    <row r="20427" spans="1:100">
      <c r="A20427" s="374"/>
      <c r="C20427" s="374"/>
      <c r="CV20427" s="376"/>
    </row>
    <row r="20428" spans="1:100">
      <c r="A20428" s="374"/>
      <c r="C20428" s="374"/>
      <c r="CV20428" s="376"/>
    </row>
    <row r="20429" spans="1:100">
      <c r="A20429" s="374"/>
      <c r="C20429" s="374"/>
      <c r="CV20429" s="376"/>
    </row>
    <row r="20430" spans="1:100">
      <c r="A20430" s="374"/>
      <c r="C20430" s="374"/>
      <c r="CV20430" s="376"/>
    </row>
    <row r="20431" spans="1:100">
      <c r="A20431" s="374"/>
      <c r="C20431" s="374"/>
      <c r="CV20431" s="376"/>
    </row>
    <row r="20432" spans="1:100">
      <c r="A20432" s="374"/>
      <c r="C20432" s="374"/>
      <c r="CV20432" s="376"/>
    </row>
    <row r="20433" spans="1:100">
      <c r="A20433" s="374"/>
      <c r="C20433" s="374"/>
      <c r="CV20433" s="376"/>
    </row>
    <row r="20434" spans="1:100">
      <c r="A20434" s="374"/>
      <c r="C20434" s="374"/>
      <c r="CV20434" s="376"/>
    </row>
    <row r="20435" spans="1:100">
      <c r="A20435" s="374"/>
      <c r="C20435" s="374"/>
      <c r="CV20435" s="376"/>
    </row>
    <row r="20436" spans="1:100">
      <c r="A20436" s="374"/>
      <c r="C20436" s="374"/>
      <c r="CV20436" s="376"/>
    </row>
    <row r="20437" spans="1:100">
      <c r="A20437" s="374"/>
      <c r="C20437" s="374"/>
      <c r="CV20437" s="376"/>
    </row>
    <row r="20438" spans="1:100">
      <c r="A20438" s="374"/>
      <c r="C20438" s="374"/>
      <c r="CV20438" s="376"/>
    </row>
    <row r="20439" spans="1:100">
      <c r="A20439" s="374"/>
      <c r="C20439" s="374"/>
      <c r="CV20439" s="376"/>
    </row>
    <row r="20440" spans="1:100">
      <c r="A20440" s="374"/>
      <c r="C20440" s="374"/>
      <c r="CV20440" s="376"/>
    </row>
    <row r="20441" spans="1:100">
      <c r="A20441" s="374"/>
      <c r="C20441" s="374"/>
      <c r="CV20441" s="376"/>
    </row>
    <row r="20442" spans="1:100">
      <c r="A20442" s="374"/>
      <c r="C20442" s="374"/>
      <c r="CV20442" s="376"/>
    </row>
    <row r="20443" spans="1:100">
      <c r="A20443" s="374"/>
      <c r="C20443" s="374"/>
      <c r="CV20443" s="376"/>
    </row>
    <row r="20444" spans="1:100">
      <c r="A20444" s="374"/>
      <c r="C20444" s="374"/>
      <c r="CV20444" s="376"/>
    </row>
    <row r="20445" spans="1:100">
      <c r="A20445" s="374"/>
      <c r="C20445" s="374"/>
      <c r="CV20445" s="376"/>
    </row>
    <row r="20446" spans="1:100">
      <c r="A20446" s="374"/>
      <c r="C20446" s="374"/>
      <c r="CV20446" s="376"/>
    </row>
    <row r="20447" spans="1:100">
      <c r="A20447" s="374"/>
      <c r="C20447" s="374"/>
      <c r="CV20447" s="376"/>
    </row>
    <row r="20448" spans="1:100">
      <c r="A20448" s="374"/>
      <c r="C20448" s="374"/>
      <c r="CV20448" s="376"/>
    </row>
    <row r="20449" spans="1:100">
      <c r="A20449" s="374"/>
      <c r="C20449" s="374"/>
      <c r="CV20449" s="376"/>
    </row>
    <row r="20450" spans="1:100">
      <c r="A20450" s="374"/>
      <c r="C20450" s="374"/>
      <c r="CV20450" s="376"/>
    </row>
    <row r="20451" spans="1:100">
      <c r="A20451" s="374"/>
      <c r="C20451" s="374"/>
      <c r="CV20451" s="376"/>
    </row>
    <row r="20452" spans="1:100">
      <c r="A20452" s="374"/>
      <c r="C20452" s="374"/>
      <c r="CV20452" s="376"/>
    </row>
    <row r="20453" spans="1:100">
      <c r="A20453" s="374"/>
      <c r="C20453" s="374"/>
      <c r="CV20453" s="376"/>
    </row>
    <row r="20454" spans="1:100">
      <c r="A20454" s="374"/>
      <c r="C20454" s="374"/>
      <c r="CV20454" s="376"/>
    </row>
    <row r="20455" spans="1:100">
      <c r="A20455" s="374"/>
      <c r="C20455" s="374"/>
      <c r="CV20455" s="376"/>
    </row>
    <row r="20456" spans="1:100">
      <c r="A20456" s="374"/>
      <c r="C20456" s="374"/>
      <c r="CV20456" s="376"/>
    </row>
    <row r="20457" spans="1:100">
      <c r="A20457" s="374"/>
      <c r="C20457" s="374"/>
      <c r="CV20457" s="376"/>
    </row>
    <row r="20458" spans="1:100">
      <c r="A20458" s="374"/>
      <c r="C20458" s="374"/>
      <c r="CV20458" s="376"/>
    </row>
    <row r="20459" spans="1:100">
      <c r="A20459" s="374"/>
      <c r="C20459" s="374"/>
      <c r="CV20459" s="376"/>
    </row>
    <row r="20460" spans="1:100">
      <c r="A20460" s="374"/>
      <c r="C20460" s="374"/>
      <c r="CV20460" s="376"/>
    </row>
    <row r="20461" spans="1:100">
      <c r="A20461" s="374"/>
      <c r="C20461" s="374"/>
      <c r="CV20461" s="376"/>
    </row>
    <row r="20462" spans="1:100">
      <c r="A20462" s="374"/>
      <c r="C20462" s="374"/>
      <c r="CV20462" s="376"/>
    </row>
    <row r="20463" spans="1:100">
      <c r="A20463" s="374"/>
      <c r="C20463" s="374"/>
      <c r="CV20463" s="376"/>
    </row>
    <row r="20464" spans="1:100">
      <c r="A20464" s="374"/>
      <c r="C20464" s="374"/>
      <c r="CV20464" s="376"/>
    </row>
    <row r="20465" spans="1:100">
      <c r="A20465" s="374"/>
      <c r="C20465" s="374"/>
      <c r="CV20465" s="376"/>
    </row>
    <row r="20466" spans="1:100">
      <c r="A20466" s="374"/>
      <c r="C20466" s="374"/>
      <c r="CV20466" s="376"/>
    </row>
    <row r="20467" spans="1:100">
      <c r="A20467" s="374"/>
      <c r="C20467" s="374"/>
      <c r="CV20467" s="376"/>
    </row>
    <row r="20468" spans="1:100">
      <c r="A20468" s="374"/>
      <c r="C20468" s="374"/>
      <c r="CV20468" s="376"/>
    </row>
    <row r="20469" spans="1:100">
      <c r="A20469" s="374"/>
      <c r="C20469" s="374"/>
      <c r="CV20469" s="376"/>
    </row>
    <row r="20470" spans="1:100">
      <c r="A20470" s="374"/>
      <c r="C20470" s="374"/>
      <c r="CV20470" s="376"/>
    </row>
    <row r="20471" spans="1:100">
      <c r="A20471" s="374"/>
      <c r="C20471" s="374"/>
      <c r="CV20471" s="376"/>
    </row>
    <row r="20472" spans="1:100">
      <c r="A20472" s="374"/>
      <c r="C20472" s="374"/>
      <c r="CV20472" s="376"/>
    </row>
    <row r="20473" spans="1:100">
      <c r="A20473" s="374"/>
      <c r="C20473" s="374"/>
      <c r="CV20473" s="376"/>
    </row>
    <row r="20474" spans="1:100">
      <c r="A20474" s="374"/>
      <c r="C20474" s="374"/>
      <c r="CV20474" s="376"/>
    </row>
    <row r="20475" spans="1:100">
      <c r="A20475" s="374"/>
      <c r="C20475" s="374"/>
      <c r="CV20475" s="376"/>
    </row>
    <row r="20476" spans="1:100">
      <c r="A20476" s="374"/>
      <c r="C20476" s="374"/>
      <c r="CV20476" s="376"/>
    </row>
    <row r="20477" spans="1:100">
      <c r="A20477" s="374"/>
      <c r="C20477" s="374"/>
      <c r="CV20477" s="376"/>
    </row>
    <row r="20478" spans="1:100">
      <c r="A20478" s="374"/>
      <c r="C20478" s="374"/>
      <c r="CV20478" s="376"/>
    </row>
    <row r="20479" spans="1:100">
      <c r="A20479" s="374"/>
      <c r="C20479" s="374"/>
      <c r="CV20479" s="376"/>
    </row>
    <row r="20480" spans="1:100">
      <c r="A20480" s="374"/>
      <c r="C20480" s="374"/>
      <c r="CV20480" s="376"/>
    </row>
    <row r="20481" spans="1:100">
      <c r="A20481" s="374"/>
      <c r="C20481" s="374"/>
      <c r="CV20481" s="376"/>
    </row>
    <row r="20482" spans="1:100">
      <c r="A20482" s="374"/>
      <c r="C20482" s="374"/>
      <c r="CV20482" s="376"/>
    </row>
    <row r="20483" spans="1:100">
      <c r="A20483" s="374"/>
      <c r="C20483" s="374"/>
      <c r="CV20483" s="376"/>
    </row>
    <row r="20484" spans="1:100">
      <c r="A20484" s="374"/>
      <c r="C20484" s="374"/>
      <c r="CV20484" s="376"/>
    </row>
    <row r="20485" spans="1:100">
      <c r="A20485" s="374"/>
      <c r="C20485" s="374"/>
      <c r="CV20485" s="376"/>
    </row>
    <row r="20486" spans="1:100">
      <c r="A20486" s="374"/>
      <c r="C20486" s="374"/>
      <c r="CV20486" s="376"/>
    </row>
    <row r="20487" spans="1:100">
      <c r="A20487" s="374"/>
      <c r="C20487" s="374"/>
      <c r="CV20487" s="376"/>
    </row>
    <row r="20488" spans="1:100">
      <c r="A20488" s="374"/>
      <c r="C20488" s="374"/>
      <c r="CV20488" s="376"/>
    </row>
    <row r="20489" spans="1:100">
      <c r="A20489" s="374"/>
      <c r="C20489" s="374"/>
      <c r="CV20489" s="376"/>
    </row>
    <row r="20490" spans="1:100">
      <c r="A20490" s="374"/>
      <c r="C20490" s="374"/>
      <c r="CV20490" s="376"/>
    </row>
    <row r="20491" spans="1:100">
      <c r="A20491" s="374"/>
      <c r="C20491" s="374"/>
      <c r="CV20491" s="376"/>
    </row>
    <row r="20492" spans="1:100">
      <c r="A20492" s="374"/>
      <c r="C20492" s="374"/>
      <c r="CV20492" s="376"/>
    </row>
    <row r="20493" spans="1:100">
      <c r="A20493" s="374"/>
      <c r="C20493" s="374"/>
      <c r="CV20493" s="376"/>
    </row>
    <row r="20494" spans="1:100">
      <c r="A20494" s="374"/>
      <c r="C20494" s="374"/>
      <c r="CV20494" s="376"/>
    </row>
    <row r="20495" spans="1:100">
      <c r="A20495" s="374"/>
      <c r="C20495" s="374"/>
      <c r="CV20495" s="376"/>
    </row>
    <row r="20496" spans="1:100">
      <c r="A20496" s="374"/>
      <c r="C20496" s="374"/>
      <c r="CV20496" s="376"/>
    </row>
    <row r="20497" spans="1:100">
      <c r="A20497" s="374"/>
      <c r="C20497" s="374"/>
      <c r="CV20497" s="376"/>
    </row>
    <row r="20498" spans="1:100">
      <c r="A20498" s="374"/>
      <c r="C20498" s="374"/>
      <c r="CV20498" s="376"/>
    </row>
    <row r="20499" spans="1:100">
      <c r="A20499" s="374"/>
      <c r="C20499" s="374"/>
      <c r="CV20499" s="376"/>
    </row>
    <row r="20500" spans="1:100">
      <c r="A20500" s="374"/>
      <c r="C20500" s="374"/>
      <c r="CV20500" s="376"/>
    </row>
    <row r="20501" spans="1:100">
      <c r="A20501" s="374"/>
      <c r="C20501" s="374"/>
      <c r="CV20501" s="376"/>
    </row>
    <row r="20502" spans="1:100">
      <c r="A20502" s="374"/>
      <c r="C20502" s="374"/>
      <c r="CV20502" s="376"/>
    </row>
    <row r="20503" spans="1:100">
      <c r="A20503" s="374"/>
      <c r="C20503" s="374"/>
      <c r="CV20503" s="376"/>
    </row>
    <row r="20504" spans="1:100">
      <c r="A20504" s="374"/>
      <c r="C20504" s="374"/>
      <c r="CV20504" s="376"/>
    </row>
    <row r="20505" spans="1:100">
      <c r="A20505" s="374"/>
      <c r="C20505" s="374"/>
      <c r="CV20505" s="376"/>
    </row>
    <row r="20506" spans="1:100">
      <c r="A20506" s="374"/>
      <c r="C20506" s="374"/>
      <c r="CV20506" s="376"/>
    </row>
    <row r="20507" spans="1:100">
      <c r="A20507" s="374"/>
      <c r="C20507" s="374"/>
      <c r="CV20507" s="376"/>
    </row>
    <row r="20508" spans="1:100">
      <c r="A20508" s="374"/>
      <c r="C20508" s="374"/>
      <c r="CV20508" s="376"/>
    </row>
    <row r="20509" spans="1:100">
      <c r="A20509" s="374"/>
      <c r="C20509" s="374"/>
      <c r="CV20509" s="376"/>
    </row>
    <row r="20510" spans="1:100">
      <c r="A20510" s="374"/>
      <c r="C20510" s="374"/>
      <c r="CV20510" s="376"/>
    </row>
    <row r="20511" spans="1:100">
      <c r="A20511" s="374"/>
      <c r="C20511" s="374"/>
      <c r="CV20511" s="376"/>
    </row>
    <row r="20512" spans="1:100">
      <c r="A20512" s="374"/>
      <c r="C20512" s="374"/>
      <c r="CV20512" s="376"/>
    </row>
    <row r="20513" spans="1:100">
      <c r="A20513" s="374"/>
      <c r="C20513" s="374"/>
      <c r="CV20513" s="376"/>
    </row>
    <row r="20514" spans="1:100">
      <c r="A20514" s="374"/>
      <c r="C20514" s="374"/>
      <c r="CV20514" s="376"/>
    </row>
    <row r="20515" spans="1:100">
      <c r="A20515" s="374"/>
      <c r="C20515" s="374"/>
      <c r="CV20515" s="376"/>
    </row>
    <row r="20516" spans="1:100">
      <c r="A20516" s="374"/>
      <c r="C20516" s="374"/>
      <c r="CV20516" s="376"/>
    </row>
    <row r="20517" spans="1:100">
      <c r="A20517" s="374"/>
      <c r="C20517" s="374"/>
      <c r="CV20517" s="376"/>
    </row>
    <row r="20518" spans="1:100">
      <c r="A20518" s="374"/>
      <c r="C20518" s="374"/>
      <c r="CV20518" s="376"/>
    </row>
    <row r="20519" spans="1:100">
      <c r="A20519" s="374"/>
      <c r="C20519" s="374"/>
      <c r="CV20519" s="376"/>
    </row>
    <row r="20520" spans="1:100">
      <c r="A20520" s="374"/>
      <c r="C20520" s="374"/>
      <c r="CV20520" s="376"/>
    </row>
    <row r="20521" spans="1:100">
      <c r="A20521" s="374"/>
      <c r="C20521" s="374"/>
      <c r="CV20521" s="376"/>
    </row>
    <row r="20522" spans="1:100">
      <c r="A20522" s="374"/>
      <c r="C20522" s="374"/>
      <c r="CV20522" s="376"/>
    </row>
    <row r="20523" spans="1:100">
      <c r="A20523" s="374"/>
      <c r="C20523" s="374"/>
      <c r="CV20523" s="376"/>
    </row>
    <row r="20524" spans="1:100">
      <c r="A20524" s="374"/>
      <c r="C20524" s="374"/>
      <c r="CV20524" s="376"/>
    </row>
    <row r="20525" spans="1:100">
      <c r="A20525" s="374"/>
      <c r="C20525" s="374"/>
      <c r="CV20525" s="376"/>
    </row>
    <row r="20526" spans="1:100">
      <c r="A20526" s="374"/>
      <c r="C20526" s="374"/>
      <c r="CV20526" s="376"/>
    </row>
    <row r="20527" spans="1:100">
      <c r="A20527" s="374"/>
      <c r="C20527" s="374"/>
      <c r="CV20527" s="376"/>
    </row>
    <row r="20528" spans="1:100">
      <c r="A20528" s="374"/>
      <c r="C20528" s="374"/>
      <c r="CV20528" s="376"/>
    </row>
    <row r="20529" spans="1:100">
      <c r="A20529" s="374"/>
      <c r="C20529" s="374"/>
      <c r="CV20529" s="376"/>
    </row>
    <row r="20530" spans="1:100">
      <c r="A20530" s="374"/>
      <c r="C20530" s="374"/>
      <c r="CV20530" s="376"/>
    </row>
    <row r="20531" spans="1:100">
      <c r="A20531" s="374"/>
      <c r="C20531" s="374"/>
      <c r="CV20531" s="376"/>
    </row>
    <row r="20532" spans="1:100">
      <c r="A20532" s="374"/>
      <c r="C20532" s="374"/>
      <c r="CV20532" s="376"/>
    </row>
    <row r="20533" spans="1:100">
      <c r="A20533" s="374"/>
      <c r="C20533" s="374"/>
      <c r="CV20533" s="376"/>
    </row>
    <row r="20534" spans="1:100">
      <c r="A20534" s="374"/>
      <c r="C20534" s="374"/>
      <c r="CV20534" s="376"/>
    </row>
    <row r="20535" spans="1:100">
      <c r="A20535" s="374"/>
      <c r="C20535" s="374"/>
      <c r="CV20535" s="376"/>
    </row>
    <row r="20536" spans="1:100">
      <c r="A20536" s="374"/>
      <c r="C20536" s="374"/>
      <c r="CV20536" s="376"/>
    </row>
    <row r="20537" spans="1:100">
      <c r="A20537" s="374"/>
      <c r="C20537" s="374"/>
      <c r="CV20537" s="376"/>
    </row>
    <row r="20538" spans="1:100">
      <c r="A20538" s="374"/>
      <c r="C20538" s="374"/>
      <c r="CV20538" s="376"/>
    </row>
    <row r="20539" spans="1:100">
      <c r="A20539" s="374"/>
      <c r="C20539" s="374"/>
      <c r="CV20539" s="376"/>
    </row>
    <row r="20540" spans="1:100">
      <c r="A20540" s="374"/>
      <c r="C20540" s="374"/>
      <c r="CV20540" s="376"/>
    </row>
    <row r="20541" spans="1:100">
      <c r="A20541" s="374"/>
      <c r="C20541" s="374"/>
      <c r="CV20541" s="376"/>
    </row>
    <row r="20542" spans="1:100">
      <c r="A20542" s="374"/>
      <c r="C20542" s="374"/>
      <c r="CV20542" s="376"/>
    </row>
    <row r="20543" spans="1:100">
      <c r="A20543" s="374"/>
      <c r="C20543" s="374"/>
      <c r="CV20543" s="376"/>
    </row>
    <row r="20544" spans="1:100">
      <c r="A20544" s="374"/>
      <c r="C20544" s="374"/>
      <c r="CV20544" s="376"/>
    </row>
    <row r="20545" spans="1:100">
      <c r="A20545" s="374"/>
      <c r="C20545" s="374"/>
      <c r="CV20545" s="376"/>
    </row>
    <row r="20546" spans="1:100">
      <c r="A20546" s="374"/>
      <c r="C20546" s="374"/>
      <c r="CV20546" s="376"/>
    </row>
    <row r="20547" spans="1:100">
      <c r="A20547" s="374"/>
      <c r="C20547" s="374"/>
      <c r="CV20547" s="376"/>
    </row>
    <row r="20548" spans="1:100">
      <c r="A20548" s="374"/>
      <c r="C20548" s="374"/>
      <c r="CV20548" s="376"/>
    </row>
    <row r="20549" spans="1:100">
      <c r="A20549" s="374"/>
      <c r="C20549" s="374"/>
      <c r="CV20549" s="376"/>
    </row>
    <row r="20550" spans="1:100">
      <c r="A20550" s="374"/>
      <c r="C20550" s="374"/>
      <c r="CV20550" s="376"/>
    </row>
    <row r="20551" spans="1:100">
      <c r="A20551" s="374"/>
      <c r="C20551" s="374"/>
      <c r="CV20551" s="376"/>
    </row>
    <row r="20552" spans="1:100">
      <c r="A20552" s="374"/>
      <c r="C20552" s="374"/>
      <c r="CV20552" s="376"/>
    </row>
    <row r="20553" spans="1:100">
      <c r="A20553" s="374"/>
      <c r="C20553" s="374"/>
      <c r="CV20553" s="376"/>
    </row>
    <row r="20554" spans="1:100">
      <c r="A20554" s="374"/>
      <c r="C20554" s="374"/>
      <c r="CV20554" s="376"/>
    </row>
    <row r="20555" spans="1:100">
      <c r="A20555" s="374"/>
      <c r="C20555" s="374"/>
      <c r="CV20555" s="376"/>
    </row>
    <row r="20556" spans="1:100">
      <c r="A20556" s="374"/>
      <c r="C20556" s="374"/>
      <c r="CV20556" s="376"/>
    </row>
    <row r="20557" spans="1:100">
      <c r="A20557" s="374"/>
      <c r="C20557" s="374"/>
      <c r="CV20557" s="376"/>
    </row>
    <row r="20558" spans="1:100">
      <c r="A20558" s="374"/>
      <c r="C20558" s="374"/>
      <c r="CV20558" s="376"/>
    </row>
    <row r="20559" spans="1:100">
      <c r="A20559" s="374"/>
      <c r="C20559" s="374"/>
      <c r="CV20559" s="376"/>
    </row>
    <row r="20560" spans="1:100">
      <c r="A20560" s="374"/>
      <c r="C20560" s="374"/>
      <c r="CV20560" s="376"/>
    </row>
    <row r="20561" spans="1:100">
      <c r="A20561" s="374"/>
      <c r="C20561" s="374"/>
      <c r="CV20561" s="376"/>
    </row>
    <row r="20562" spans="1:100">
      <c r="A20562" s="374"/>
      <c r="C20562" s="374"/>
      <c r="CV20562" s="376"/>
    </row>
    <row r="20563" spans="1:100">
      <c r="A20563" s="374"/>
      <c r="C20563" s="374"/>
      <c r="CV20563" s="376"/>
    </row>
    <row r="20564" spans="1:100">
      <c r="A20564" s="374"/>
      <c r="C20564" s="374"/>
      <c r="CV20564" s="376"/>
    </row>
    <row r="20565" spans="1:100">
      <c r="A20565" s="374"/>
      <c r="C20565" s="374"/>
      <c r="CV20565" s="376"/>
    </row>
    <row r="20566" spans="1:100">
      <c r="A20566" s="374"/>
      <c r="C20566" s="374"/>
      <c r="CV20566" s="376"/>
    </row>
    <row r="20567" spans="1:100">
      <c r="A20567" s="374"/>
      <c r="C20567" s="374"/>
      <c r="CV20567" s="376"/>
    </row>
    <row r="20568" spans="1:100">
      <c r="A20568" s="374"/>
      <c r="C20568" s="374"/>
      <c r="CV20568" s="376"/>
    </row>
    <row r="20569" spans="1:100">
      <c r="A20569" s="374"/>
      <c r="C20569" s="374"/>
      <c r="CV20569" s="376"/>
    </row>
    <row r="20570" spans="1:100">
      <c r="A20570" s="374"/>
      <c r="C20570" s="374"/>
      <c r="CV20570" s="376"/>
    </row>
    <row r="20571" spans="1:100">
      <c r="A20571" s="374"/>
      <c r="C20571" s="374"/>
      <c r="CV20571" s="376"/>
    </row>
    <row r="20572" spans="1:100">
      <c r="A20572" s="374"/>
      <c r="C20572" s="374"/>
      <c r="CV20572" s="376"/>
    </row>
    <row r="20573" spans="1:100">
      <c r="A20573" s="374"/>
      <c r="C20573" s="374"/>
      <c r="CV20573" s="376"/>
    </row>
    <row r="20574" spans="1:100">
      <c r="A20574" s="374"/>
      <c r="C20574" s="374"/>
      <c r="CV20574" s="376"/>
    </row>
    <row r="20575" spans="1:100">
      <c r="A20575" s="374"/>
      <c r="C20575" s="374"/>
      <c r="CV20575" s="376"/>
    </row>
    <row r="20576" spans="1:100">
      <c r="A20576" s="374"/>
      <c r="C20576" s="374"/>
      <c r="CV20576" s="376"/>
    </row>
    <row r="20577" spans="1:100">
      <c r="A20577" s="374"/>
      <c r="C20577" s="374"/>
      <c r="CV20577" s="376"/>
    </row>
    <row r="20578" spans="1:100">
      <c r="A20578" s="374"/>
      <c r="C20578" s="374"/>
      <c r="CV20578" s="376"/>
    </row>
    <row r="20579" spans="1:100">
      <c r="A20579" s="374"/>
      <c r="C20579" s="374"/>
      <c r="CV20579" s="376"/>
    </row>
    <row r="20580" spans="1:100">
      <c r="A20580" s="374"/>
      <c r="C20580" s="374"/>
      <c r="CV20580" s="376"/>
    </row>
    <row r="20581" spans="1:100">
      <c r="A20581" s="374"/>
      <c r="C20581" s="374"/>
      <c r="CV20581" s="376"/>
    </row>
    <row r="20582" spans="1:100">
      <c r="A20582" s="374"/>
      <c r="C20582" s="374"/>
      <c r="CV20582" s="376"/>
    </row>
    <row r="20583" spans="1:100">
      <c r="A20583" s="374"/>
      <c r="C20583" s="374"/>
      <c r="CV20583" s="376"/>
    </row>
    <row r="20584" spans="1:100">
      <c r="A20584" s="374"/>
      <c r="C20584" s="374"/>
      <c r="CV20584" s="376"/>
    </row>
    <row r="20585" spans="1:100">
      <c r="A20585" s="374"/>
      <c r="C20585" s="374"/>
      <c r="CV20585" s="376"/>
    </row>
    <row r="20586" spans="1:100">
      <c r="A20586" s="374"/>
      <c r="C20586" s="374"/>
      <c r="CV20586" s="376"/>
    </row>
    <row r="20587" spans="1:100">
      <c r="A20587" s="374"/>
      <c r="C20587" s="374"/>
      <c r="CV20587" s="376"/>
    </row>
    <row r="20588" spans="1:100">
      <c r="A20588" s="374"/>
      <c r="C20588" s="374"/>
      <c r="CV20588" s="376"/>
    </row>
    <row r="20589" spans="1:100">
      <c r="A20589" s="374"/>
      <c r="C20589" s="374"/>
      <c r="CV20589" s="376"/>
    </row>
    <row r="20590" spans="1:100">
      <c r="A20590" s="374"/>
      <c r="C20590" s="374"/>
      <c r="CV20590" s="376"/>
    </row>
    <row r="20591" spans="1:100">
      <c r="A20591" s="374"/>
      <c r="C20591" s="374"/>
      <c r="CV20591" s="376"/>
    </row>
    <row r="20592" spans="1:100">
      <c r="A20592" s="374"/>
      <c r="C20592" s="374"/>
      <c r="CV20592" s="376"/>
    </row>
    <row r="20593" spans="1:100">
      <c r="A20593" s="374"/>
      <c r="C20593" s="374"/>
      <c r="CV20593" s="376"/>
    </row>
    <row r="20594" spans="1:100">
      <c r="A20594" s="374"/>
      <c r="C20594" s="374"/>
      <c r="CV20594" s="376"/>
    </row>
    <row r="20595" spans="1:100">
      <c r="A20595" s="374"/>
      <c r="C20595" s="374"/>
      <c r="CV20595" s="376"/>
    </row>
    <row r="20596" spans="1:100">
      <c r="A20596" s="374"/>
      <c r="C20596" s="374"/>
      <c r="CV20596" s="376"/>
    </row>
    <row r="20597" spans="1:100">
      <c r="A20597" s="374"/>
      <c r="C20597" s="374"/>
      <c r="CV20597" s="376"/>
    </row>
    <row r="20598" spans="1:100">
      <c r="A20598" s="374"/>
      <c r="C20598" s="374"/>
      <c r="CV20598" s="376"/>
    </row>
    <row r="20599" spans="1:100">
      <c r="A20599" s="374"/>
      <c r="C20599" s="374"/>
      <c r="CV20599" s="376"/>
    </row>
    <row r="20600" spans="1:100">
      <c r="A20600" s="374"/>
      <c r="C20600" s="374"/>
      <c r="CV20600" s="376"/>
    </row>
    <row r="20601" spans="1:100">
      <c r="A20601" s="374"/>
      <c r="C20601" s="374"/>
      <c r="CV20601" s="376"/>
    </row>
    <row r="20602" spans="1:100">
      <c r="A20602" s="374"/>
      <c r="C20602" s="374"/>
      <c r="CV20602" s="376"/>
    </row>
    <row r="20603" spans="1:100">
      <c r="A20603" s="374"/>
      <c r="C20603" s="374"/>
      <c r="CV20603" s="376"/>
    </row>
    <row r="20604" spans="1:100">
      <c r="A20604" s="374"/>
      <c r="C20604" s="374"/>
      <c r="CV20604" s="376"/>
    </row>
    <row r="20605" spans="1:100">
      <c r="A20605" s="374"/>
      <c r="C20605" s="374"/>
      <c r="CV20605" s="376"/>
    </row>
    <row r="20606" spans="1:100">
      <c r="A20606" s="374"/>
      <c r="C20606" s="374"/>
      <c r="CV20606" s="376"/>
    </row>
    <row r="20607" spans="1:100">
      <c r="A20607" s="374"/>
      <c r="C20607" s="374"/>
      <c r="CV20607" s="376"/>
    </row>
    <row r="20608" spans="1:100">
      <c r="A20608" s="374"/>
      <c r="C20608" s="374"/>
      <c r="CV20608" s="376"/>
    </row>
    <row r="20609" spans="1:100">
      <c r="A20609" s="374"/>
      <c r="C20609" s="374"/>
      <c r="CV20609" s="376"/>
    </row>
    <row r="20610" spans="1:100">
      <c r="A20610" s="374"/>
      <c r="C20610" s="374"/>
      <c r="CV20610" s="376"/>
    </row>
    <row r="20611" spans="1:100">
      <c r="A20611" s="374"/>
      <c r="C20611" s="374"/>
      <c r="CV20611" s="376"/>
    </row>
    <row r="20612" spans="1:100">
      <c r="A20612" s="374"/>
      <c r="C20612" s="374"/>
      <c r="CV20612" s="376"/>
    </row>
    <row r="20613" spans="1:100">
      <c r="A20613" s="374"/>
      <c r="C20613" s="374"/>
      <c r="CV20613" s="376"/>
    </row>
    <row r="20614" spans="1:100">
      <c r="A20614" s="374"/>
      <c r="C20614" s="374"/>
      <c r="CV20614" s="376"/>
    </row>
    <row r="20615" spans="1:100">
      <c r="A20615" s="374"/>
      <c r="C20615" s="374"/>
      <c r="CV20615" s="376"/>
    </row>
    <row r="20616" spans="1:100">
      <c r="A20616" s="374"/>
      <c r="C20616" s="374"/>
      <c r="CV20616" s="376"/>
    </row>
    <row r="20617" spans="1:100">
      <c r="A20617" s="374"/>
      <c r="C20617" s="374"/>
      <c r="CV20617" s="376"/>
    </row>
    <row r="20618" spans="1:100">
      <c r="A20618" s="374"/>
      <c r="C20618" s="374"/>
      <c r="CV20618" s="376"/>
    </row>
    <row r="20619" spans="1:100">
      <c r="A20619" s="374"/>
      <c r="C20619" s="374"/>
      <c r="CV20619" s="376"/>
    </row>
    <row r="20620" spans="1:100">
      <c r="A20620" s="374"/>
      <c r="C20620" s="374"/>
      <c r="CV20620" s="376"/>
    </row>
    <row r="20621" spans="1:100">
      <c r="A20621" s="374"/>
      <c r="C20621" s="374"/>
      <c r="CV20621" s="376"/>
    </row>
    <row r="20622" spans="1:100">
      <c r="A20622" s="374"/>
      <c r="C20622" s="374"/>
      <c r="CV20622" s="376"/>
    </row>
    <row r="20623" spans="1:100">
      <c r="A20623" s="374"/>
      <c r="C20623" s="374"/>
      <c r="CV20623" s="376"/>
    </row>
    <row r="20624" spans="1:100">
      <c r="A20624" s="374"/>
      <c r="C20624" s="374"/>
      <c r="CV20624" s="376"/>
    </row>
    <row r="20625" spans="1:100">
      <c r="A20625" s="374"/>
      <c r="C20625" s="374"/>
      <c r="CV20625" s="376"/>
    </row>
    <row r="20626" spans="1:100">
      <c r="A20626" s="374"/>
      <c r="C20626" s="374"/>
      <c r="CV20626" s="376"/>
    </row>
    <row r="20627" spans="1:100">
      <c r="A20627" s="374"/>
      <c r="C20627" s="374"/>
      <c r="CV20627" s="376"/>
    </row>
    <row r="20628" spans="1:100">
      <c r="A20628" s="374"/>
      <c r="C20628" s="374"/>
      <c r="CV20628" s="376"/>
    </row>
    <row r="20629" spans="1:100">
      <c r="A20629" s="374"/>
      <c r="C20629" s="374"/>
      <c r="CV20629" s="376"/>
    </row>
    <row r="20630" spans="1:100">
      <c r="A20630" s="374"/>
      <c r="C20630" s="374"/>
      <c r="CV20630" s="376"/>
    </row>
    <row r="20631" spans="1:100">
      <c r="A20631" s="374"/>
      <c r="C20631" s="374"/>
      <c r="CV20631" s="376"/>
    </row>
    <row r="20632" spans="1:100">
      <c r="A20632" s="374"/>
      <c r="C20632" s="374"/>
      <c r="CV20632" s="376"/>
    </row>
    <row r="20633" spans="1:100">
      <c r="A20633" s="374"/>
      <c r="C20633" s="374"/>
      <c r="CV20633" s="376"/>
    </row>
    <row r="20634" spans="1:100">
      <c r="A20634" s="374"/>
      <c r="C20634" s="374"/>
      <c r="CV20634" s="376"/>
    </row>
    <row r="20635" spans="1:100">
      <c r="A20635" s="374"/>
      <c r="C20635" s="374"/>
      <c r="CV20635" s="376"/>
    </row>
    <row r="20636" spans="1:100">
      <c r="A20636" s="374"/>
      <c r="C20636" s="374"/>
      <c r="CV20636" s="376"/>
    </row>
    <row r="20637" spans="1:100">
      <c r="A20637" s="374"/>
      <c r="C20637" s="374"/>
      <c r="CV20637" s="376"/>
    </row>
    <row r="20638" spans="1:100">
      <c r="A20638" s="374"/>
      <c r="C20638" s="374"/>
      <c r="CV20638" s="376"/>
    </row>
    <row r="20639" spans="1:100">
      <c r="A20639" s="374"/>
      <c r="C20639" s="374"/>
      <c r="CV20639" s="376"/>
    </row>
    <row r="20640" spans="1:100">
      <c r="A20640" s="374"/>
      <c r="C20640" s="374"/>
      <c r="CV20640" s="376"/>
    </row>
    <row r="20641" spans="1:100">
      <c r="A20641" s="374"/>
      <c r="C20641" s="374"/>
      <c r="CV20641" s="376"/>
    </row>
    <row r="20642" spans="1:100">
      <c r="A20642" s="374"/>
      <c r="C20642" s="374"/>
      <c r="CV20642" s="376"/>
    </row>
    <row r="20643" spans="1:100">
      <c r="A20643" s="374"/>
      <c r="C20643" s="374"/>
      <c r="CV20643" s="376"/>
    </row>
    <row r="20644" spans="1:100">
      <c r="A20644" s="374"/>
      <c r="C20644" s="374"/>
      <c r="CV20644" s="376"/>
    </row>
    <row r="20645" spans="1:100">
      <c r="A20645" s="374"/>
      <c r="C20645" s="374"/>
      <c r="CV20645" s="376"/>
    </row>
    <row r="20646" spans="1:100">
      <c r="A20646" s="374"/>
      <c r="C20646" s="374"/>
      <c r="CV20646" s="376"/>
    </row>
    <row r="20647" spans="1:100">
      <c r="A20647" s="374"/>
      <c r="C20647" s="374"/>
      <c r="CV20647" s="376"/>
    </row>
    <row r="20648" spans="1:100">
      <c r="A20648" s="374"/>
      <c r="C20648" s="374"/>
      <c r="CV20648" s="376"/>
    </row>
    <row r="20649" spans="1:100">
      <c r="A20649" s="374"/>
      <c r="C20649" s="374"/>
      <c r="CV20649" s="376"/>
    </row>
    <row r="20650" spans="1:100">
      <c r="A20650" s="374"/>
      <c r="C20650" s="374"/>
      <c r="CV20650" s="376"/>
    </row>
    <row r="20651" spans="1:100">
      <c r="A20651" s="374"/>
      <c r="C20651" s="374"/>
      <c r="CV20651" s="376"/>
    </row>
    <row r="20652" spans="1:100">
      <c r="A20652" s="374"/>
      <c r="C20652" s="374"/>
      <c r="CV20652" s="376"/>
    </row>
    <row r="20653" spans="1:100">
      <c r="A20653" s="374"/>
      <c r="C20653" s="374"/>
      <c r="CV20653" s="376"/>
    </row>
    <row r="20654" spans="1:100">
      <c r="A20654" s="374"/>
      <c r="C20654" s="374"/>
      <c r="CV20654" s="376"/>
    </row>
    <row r="20655" spans="1:100">
      <c r="A20655" s="374"/>
      <c r="C20655" s="374"/>
      <c r="CV20655" s="376"/>
    </row>
    <row r="20656" spans="1:100">
      <c r="A20656" s="374"/>
      <c r="C20656" s="374"/>
      <c r="CV20656" s="376"/>
    </row>
    <row r="20657" spans="1:100">
      <c r="A20657" s="374"/>
      <c r="C20657" s="374"/>
      <c r="CV20657" s="376"/>
    </row>
    <row r="20658" spans="1:100">
      <c r="A20658" s="374"/>
      <c r="C20658" s="374"/>
      <c r="CV20658" s="376"/>
    </row>
    <row r="20659" spans="1:100">
      <c r="A20659" s="374"/>
      <c r="C20659" s="374"/>
      <c r="CV20659" s="376"/>
    </row>
    <row r="20660" spans="1:100">
      <c r="A20660" s="374"/>
      <c r="C20660" s="374"/>
      <c r="CV20660" s="376"/>
    </row>
    <row r="20661" spans="1:100">
      <c r="A20661" s="374"/>
      <c r="C20661" s="374"/>
      <c r="CV20661" s="376"/>
    </row>
    <row r="20662" spans="1:100">
      <c r="A20662" s="374"/>
      <c r="C20662" s="374"/>
      <c r="CV20662" s="376"/>
    </row>
    <row r="20663" spans="1:100">
      <c r="A20663" s="374"/>
      <c r="C20663" s="374"/>
      <c r="CV20663" s="376"/>
    </row>
    <row r="20664" spans="1:100">
      <c r="A20664" s="374"/>
      <c r="C20664" s="374"/>
      <c r="CV20664" s="376"/>
    </row>
    <row r="20665" spans="1:100">
      <c r="A20665" s="374"/>
      <c r="C20665" s="374"/>
      <c r="CV20665" s="376"/>
    </row>
    <row r="20666" spans="1:100">
      <c r="A20666" s="374"/>
      <c r="C20666" s="374"/>
      <c r="CV20666" s="376"/>
    </row>
    <row r="20667" spans="1:100">
      <c r="A20667" s="374"/>
      <c r="C20667" s="374"/>
      <c r="CV20667" s="376"/>
    </row>
    <row r="20668" spans="1:100">
      <c r="A20668" s="374"/>
      <c r="C20668" s="374"/>
      <c r="CV20668" s="376"/>
    </row>
    <row r="20669" spans="1:100">
      <c r="A20669" s="374"/>
      <c r="C20669" s="374"/>
      <c r="CV20669" s="376"/>
    </row>
    <row r="20670" spans="1:100">
      <c r="A20670" s="374"/>
      <c r="C20670" s="374"/>
      <c r="CV20670" s="376"/>
    </row>
    <row r="20671" spans="1:100">
      <c r="A20671" s="374"/>
      <c r="C20671" s="374"/>
      <c r="CV20671" s="376"/>
    </row>
    <row r="20672" spans="1:100">
      <c r="A20672" s="374"/>
      <c r="C20672" s="374"/>
      <c r="CV20672" s="376"/>
    </row>
    <row r="20673" spans="1:100">
      <c r="A20673" s="374"/>
      <c r="C20673" s="374"/>
      <c r="CV20673" s="376"/>
    </row>
    <row r="20674" spans="1:100">
      <c r="A20674" s="374"/>
      <c r="C20674" s="374"/>
      <c r="CV20674" s="376"/>
    </row>
    <row r="20675" spans="1:100">
      <c r="A20675" s="374"/>
      <c r="C20675" s="374"/>
      <c r="CV20675" s="376"/>
    </row>
    <row r="20676" spans="1:100">
      <c r="A20676" s="374"/>
      <c r="C20676" s="374"/>
      <c r="CV20676" s="376"/>
    </row>
    <row r="20677" spans="1:100">
      <c r="A20677" s="374"/>
      <c r="C20677" s="374"/>
      <c r="CV20677" s="376"/>
    </row>
    <row r="20678" spans="1:100">
      <c r="A20678" s="374"/>
      <c r="C20678" s="374"/>
      <c r="CV20678" s="376"/>
    </row>
    <row r="20679" spans="1:100">
      <c r="A20679" s="374"/>
      <c r="C20679" s="374"/>
      <c r="CV20679" s="376"/>
    </row>
    <row r="20680" spans="1:100">
      <c r="A20680" s="374"/>
      <c r="C20680" s="374"/>
      <c r="CV20680" s="376"/>
    </row>
    <row r="20681" spans="1:100">
      <c r="A20681" s="374"/>
      <c r="C20681" s="374"/>
      <c r="CV20681" s="376"/>
    </row>
    <row r="20682" spans="1:100">
      <c r="A20682" s="374"/>
      <c r="C20682" s="374"/>
      <c r="CV20682" s="376"/>
    </row>
    <row r="20683" spans="1:100">
      <c r="A20683" s="374"/>
      <c r="C20683" s="374"/>
      <c r="CV20683" s="376"/>
    </row>
    <row r="20684" spans="1:100">
      <c r="A20684" s="374"/>
      <c r="C20684" s="374"/>
      <c r="CV20684" s="376"/>
    </row>
    <row r="20685" spans="1:100">
      <c r="A20685" s="374"/>
      <c r="C20685" s="374"/>
      <c r="CV20685" s="376"/>
    </row>
    <row r="20686" spans="1:100">
      <c r="A20686" s="374"/>
      <c r="C20686" s="374"/>
      <c r="CV20686" s="376"/>
    </row>
    <row r="20687" spans="1:100">
      <c r="A20687" s="374"/>
      <c r="C20687" s="374"/>
      <c r="CV20687" s="376"/>
    </row>
    <row r="20688" spans="1:100">
      <c r="A20688" s="374"/>
      <c r="C20688" s="374"/>
      <c r="CV20688" s="376"/>
    </row>
    <row r="20689" spans="1:100">
      <c r="A20689" s="374"/>
      <c r="C20689" s="374"/>
      <c r="CV20689" s="376"/>
    </row>
    <row r="20690" spans="1:100">
      <c r="A20690" s="374"/>
      <c r="C20690" s="374"/>
      <c r="CV20690" s="376"/>
    </row>
    <row r="20691" spans="1:100">
      <c r="A20691" s="374"/>
      <c r="C20691" s="374"/>
      <c r="CV20691" s="376"/>
    </row>
    <row r="20692" spans="1:100">
      <c r="A20692" s="374"/>
      <c r="C20692" s="374"/>
      <c r="CV20692" s="376"/>
    </row>
    <row r="20693" spans="1:100">
      <c r="A20693" s="374"/>
      <c r="C20693" s="374"/>
      <c r="CV20693" s="376"/>
    </row>
    <row r="20694" spans="1:100">
      <c r="A20694" s="374"/>
      <c r="C20694" s="374"/>
      <c r="CV20694" s="376"/>
    </row>
    <row r="20695" spans="1:100">
      <c r="A20695" s="374"/>
      <c r="C20695" s="374"/>
      <c r="CV20695" s="376"/>
    </row>
    <row r="20696" spans="1:100">
      <c r="A20696" s="374"/>
      <c r="C20696" s="374"/>
      <c r="CV20696" s="376"/>
    </row>
    <row r="20697" spans="1:100">
      <c r="A20697" s="374"/>
      <c r="C20697" s="374"/>
      <c r="CV20697" s="376"/>
    </row>
    <row r="20698" spans="1:100">
      <c r="A20698" s="374"/>
      <c r="C20698" s="374"/>
      <c r="CV20698" s="376"/>
    </row>
    <row r="20699" spans="1:100">
      <c r="A20699" s="374"/>
      <c r="C20699" s="374"/>
      <c r="CV20699" s="376"/>
    </row>
    <row r="20700" spans="1:100">
      <c r="A20700" s="374"/>
      <c r="C20700" s="374"/>
      <c r="CV20700" s="376"/>
    </row>
    <row r="20701" spans="1:100">
      <c r="A20701" s="374"/>
      <c r="C20701" s="374"/>
      <c r="CV20701" s="376"/>
    </row>
    <row r="20702" spans="1:100">
      <c r="A20702" s="374"/>
      <c r="C20702" s="374"/>
      <c r="CV20702" s="376"/>
    </row>
    <row r="20703" spans="1:100">
      <c r="A20703" s="374"/>
      <c r="C20703" s="374"/>
      <c r="CV20703" s="376"/>
    </row>
    <row r="20704" spans="1:100">
      <c r="A20704" s="374"/>
      <c r="C20704" s="374"/>
      <c r="CV20704" s="376"/>
    </row>
    <row r="20705" spans="1:100">
      <c r="A20705" s="374"/>
      <c r="C20705" s="374"/>
      <c r="CV20705" s="376"/>
    </row>
    <row r="20706" spans="1:100">
      <c r="A20706" s="374"/>
      <c r="C20706" s="374"/>
      <c r="CV20706" s="376"/>
    </row>
    <row r="20707" spans="1:100">
      <c r="A20707" s="374"/>
      <c r="C20707" s="374"/>
      <c r="CV20707" s="376"/>
    </row>
    <row r="20708" spans="1:100">
      <c r="A20708" s="374"/>
      <c r="C20708" s="374"/>
      <c r="CV20708" s="376"/>
    </row>
    <row r="20709" spans="1:100">
      <c r="A20709" s="374"/>
      <c r="C20709" s="374"/>
      <c r="CV20709" s="376"/>
    </row>
    <row r="20710" spans="1:100">
      <c r="A20710" s="374"/>
      <c r="C20710" s="374"/>
      <c r="CV20710" s="376"/>
    </row>
    <row r="20711" spans="1:100">
      <c r="A20711" s="374"/>
      <c r="C20711" s="374"/>
      <c r="CV20711" s="376"/>
    </row>
    <row r="20712" spans="1:100">
      <c r="A20712" s="374"/>
      <c r="C20712" s="374"/>
      <c r="CV20712" s="376"/>
    </row>
    <row r="20713" spans="1:100">
      <c r="A20713" s="374"/>
      <c r="C20713" s="374"/>
      <c r="CV20713" s="376"/>
    </row>
    <row r="20714" spans="1:100">
      <c r="A20714" s="374"/>
      <c r="C20714" s="374"/>
      <c r="CV20714" s="376"/>
    </row>
    <row r="20715" spans="1:100">
      <c r="A20715" s="374"/>
      <c r="C20715" s="374"/>
      <c r="CV20715" s="376"/>
    </row>
    <row r="20716" spans="1:100">
      <c r="A20716" s="374"/>
      <c r="C20716" s="374"/>
      <c r="CV20716" s="376"/>
    </row>
    <row r="20717" spans="1:100">
      <c r="A20717" s="374"/>
      <c r="C20717" s="374"/>
      <c r="CV20717" s="376"/>
    </row>
    <row r="20718" spans="1:100">
      <c r="A20718" s="374"/>
      <c r="C20718" s="374"/>
      <c r="CV20718" s="376"/>
    </row>
    <row r="20719" spans="1:100">
      <c r="A20719" s="374"/>
      <c r="C20719" s="374"/>
      <c r="CV20719" s="376"/>
    </row>
    <row r="20720" spans="1:100">
      <c r="A20720" s="374"/>
      <c r="C20720" s="374"/>
      <c r="CV20720" s="376"/>
    </row>
    <row r="20721" spans="1:100">
      <c r="A20721" s="374"/>
      <c r="C20721" s="374"/>
      <c r="CV20721" s="376"/>
    </row>
    <row r="20722" spans="1:100">
      <c r="A20722" s="374"/>
      <c r="C20722" s="374"/>
      <c r="CV20722" s="376"/>
    </row>
    <row r="20723" spans="1:100">
      <c r="A20723" s="374"/>
      <c r="C20723" s="374"/>
      <c r="CV20723" s="376"/>
    </row>
    <row r="20724" spans="1:100">
      <c r="A20724" s="374"/>
      <c r="C20724" s="374"/>
      <c r="CV20724" s="376"/>
    </row>
    <row r="20725" spans="1:100">
      <c r="A20725" s="374"/>
      <c r="C20725" s="374"/>
      <c r="CV20725" s="376"/>
    </row>
    <row r="20726" spans="1:100">
      <c r="A20726" s="374"/>
      <c r="C20726" s="374"/>
      <c r="CV20726" s="376"/>
    </row>
    <row r="20727" spans="1:100">
      <c r="A20727" s="374"/>
      <c r="C20727" s="374"/>
      <c r="CV20727" s="376"/>
    </row>
    <row r="20728" spans="1:100">
      <c r="A20728" s="374"/>
      <c r="C20728" s="374"/>
      <c r="CV20728" s="376"/>
    </row>
    <row r="20729" spans="1:100">
      <c r="A20729" s="374"/>
      <c r="C20729" s="374"/>
      <c r="CV20729" s="376"/>
    </row>
    <row r="20730" spans="1:100">
      <c r="A20730" s="374"/>
      <c r="C20730" s="374"/>
      <c r="CV20730" s="376"/>
    </row>
    <row r="20731" spans="1:100">
      <c r="A20731" s="374"/>
      <c r="C20731" s="374"/>
      <c r="CV20731" s="376"/>
    </row>
    <row r="20732" spans="1:100">
      <c r="A20732" s="374"/>
      <c r="C20732" s="374"/>
      <c r="CV20732" s="376"/>
    </row>
    <row r="20733" spans="1:100">
      <c r="A20733" s="374"/>
      <c r="C20733" s="374"/>
      <c r="CV20733" s="376"/>
    </row>
    <row r="20734" spans="1:100">
      <c r="A20734" s="374"/>
      <c r="C20734" s="374"/>
      <c r="CV20734" s="376"/>
    </row>
    <row r="20735" spans="1:100">
      <c r="A20735" s="374"/>
      <c r="C20735" s="374"/>
      <c r="CV20735" s="376"/>
    </row>
    <row r="20736" spans="1:100">
      <c r="A20736" s="374"/>
      <c r="C20736" s="374"/>
      <c r="CV20736" s="376"/>
    </row>
    <row r="20737" spans="1:100">
      <c r="A20737" s="374"/>
      <c r="C20737" s="374"/>
      <c r="CV20737" s="376"/>
    </row>
    <row r="20738" spans="1:100">
      <c r="A20738" s="374"/>
      <c r="C20738" s="374"/>
      <c r="CV20738" s="376"/>
    </row>
    <row r="20739" spans="1:100">
      <c r="A20739" s="374"/>
      <c r="C20739" s="374"/>
      <c r="CV20739" s="376"/>
    </row>
    <row r="20740" spans="1:100">
      <c r="A20740" s="374"/>
      <c r="C20740" s="374"/>
      <c r="CV20740" s="376"/>
    </row>
    <row r="20741" spans="1:100">
      <c r="A20741" s="374"/>
      <c r="C20741" s="374"/>
      <c r="CV20741" s="376"/>
    </row>
    <row r="20742" spans="1:100">
      <c r="A20742" s="374"/>
      <c r="C20742" s="374"/>
      <c r="CV20742" s="376"/>
    </row>
    <row r="20743" spans="1:100">
      <c r="A20743" s="374"/>
      <c r="C20743" s="374"/>
      <c r="CV20743" s="376"/>
    </row>
    <row r="20744" spans="1:100">
      <c r="A20744" s="374"/>
      <c r="C20744" s="374"/>
      <c r="CV20744" s="376"/>
    </row>
    <row r="20745" spans="1:100">
      <c r="A20745" s="374"/>
      <c r="C20745" s="374"/>
      <c r="CV20745" s="376"/>
    </row>
    <row r="20746" spans="1:100">
      <c r="A20746" s="374"/>
      <c r="C20746" s="374"/>
      <c r="CV20746" s="376"/>
    </row>
    <row r="20747" spans="1:100">
      <c r="A20747" s="374"/>
      <c r="C20747" s="374"/>
      <c r="CV20747" s="376"/>
    </row>
    <row r="20748" spans="1:100">
      <c r="A20748" s="374"/>
      <c r="C20748" s="374"/>
      <c r="CV20748" s="376"/>
    </row>
    <row r="20749" spans="1:100">
      <c r="A20749" s="374"/>
      <c r="C20749" s="374"/>
      <c r="CV20749" s="376"/>
    </row>
    <row r="20750" spans="1:100">
      <c r="A20750" s="374"/>
      <c r="C20750" s="374"/>
      <c r="CV20750" s="376"/>
    </row>
    <row r="20751" spans="1:100">
      <c r="A20751" s="374"/>
      <c r="C20751" s="374"/>
      <c r="CV20751" s="376"/>
    </row>
    <row r="20752" spans="1:100">
      <c r="A20752" s="374"/>
      <c r="C20752" s="374"/>
      <c r="CV20752" s="376"/>
    </row>
    <row r="20753" spans="1:100">
      <c r="A20753" s="374"/>
      <c r="C20753" s="374"/>
      <c r="CV20753" s="376"/>
    </row>
    <row r="20754" spans="1:100">
      <c r="A20754" s="374"/>
      <c r="C20754" s="374"/>
      <c r="CV20754" s="376"/>
    </row>
    <row r="20755" spans="1:100">
      <c r="A20755" s="374"/>
      <c r="C20755" s="374"/>
      <c r="CV20755" s="376"/>
    </row>
    <row r="20756" spans="1:100">
      <c r="A20756" s="374"/>
      <c r="C20756" s="374"/>
      <c r="CV20756" s="376"/>
    </row>
    <row r="20757" spans="1:100">
      <c r="A20757" s="374"/>
      <c r="C20757" s="374"/>
      <c r="CV20757" s="376"/>
    </row>
    <row r="20758" spans="1:100">
      <c r="A20758" s="374"/>
      <c r="C20758" s="374"/>
      <c r="CV20758" s="376"/>
    </row>
    <row r="20759" spans="1:100">
      <c r="A20759" s="374"/>
      <c r="C20759" s="374"/>
      <c r="CV20759" s="376"/>
    </row>
    <row r="20760" spans="1:100">
      <c r="A20760" s="374"/>
      <c r="C20760" s="374"/>
      <c r="CV20760" s="376"/>
    </row>
    <row r="20761" spans="1:100">
      <c r="A20761" s="374"/>
      <c r="C20761" s="374"/>
      <c r="CV20761" s="376"/>
    </row>
    <row r="20762" spans="1:100">
      <c r="A20762" s="374"/>
      <c r="C20762" s="374"/>
      <c r="CV20762" s="376"/>
    </row>
    <row r="20763" spans="1:100">
      <c r="A20763" s="374"/>
      <c r="C20763" s="374"/>
      <c r="CV20763" s="376"/>
    </row>
    <row r="20764" spans="1:100">
      <c r="A20764" s="374"/>
      <c r="C20764" s="374"/>
      <c r="CV20764" s="376"/>
    </row>
    <row r="20765" spans="1:100">
      <c r="A20765" s="374"/>
      <c r="C20765" s="374"/>
      <c r="CV20765" s="376"/>
    </row>
    <row r="20766" spans="1:100">
      <c r="A20766" s="374"/>
      <c r="C20766" s="374"/>
      <c r="CV20766" s="376"/>
    </row>
    <row r="20767" spans="1:100">
      <c r="A20767" s="374"/>
      <c r="C20767" s="374"/>
      <c r="CV20767" s="376"/>
    </row>
    <row r="20768" spans="1:100">
      <c r="A20768" s="374"/>
      <c r="C20768" s="374"/>
      <c r="CV20768" s="376"/>
    </row>
    <row r="20769" spans="1:100">
      <c r="A20769" s="374"/>
      <c r="C20769" s="374"/>
      <c r="CV20769" s="376"/>
    </row>
    <row r="20770" spans="1:100">
      <c r="A20770" s="374"/>
      <c r="C20770" s="374"/>
      <c r="CV20770" s="376"/>
    </row>
    <row r="20771" spans="1:100">
      <c r="A20771" s="374"/>
      <c r="C20771" s="374"/>
      <c r="CV20771" s="376"/>
    </row>
    <row r="20772" spans="1:100">
      <c r="A20772" s="374"/>
      <c r="C20772" s="374"/>
      <c r="CV20772" s="376"/>
    </row>
    <row r="20773" spans="1:100">
      <c r="A20773" s="374"/>
      <c r="C20773" s="374"/>
      <c r="CV20773" s="376"/>
    </row>
    <row r="20774" spans="1:100">
      <c r="A20774" s="374"/>
      <c r="C20774" s="374"/>
      <c r="CV20774" s="376"/>
    </row>
    <row r="20775" spans="1:100">
      <c r="A20775" s="374"/>
      <c r="C20775" s="374"/>
      <c r="CV20775" s="376"/>
    </row>
    <row r="20776" spans="1:100">
      <c r="A20776" s="374"/>
      <c r="C20776" s="374"/>
      <c r="CV20776" s="376"/>
    </row>
    <row r="20777" spans="1:100">
      <c r="A20777" s="374"/>
      <c r="C20777" s="374"/>
      <c r="CV20777" s="376"/>
    </row>
    <row r="20778" spans="1:100">
      <c r="A20778" s="374"/>
      <c r="C20778" s="374"/>
      <c r="CV20778" s="376"/>
    </row>
    <row r="20779" spans="1:100">
      <c r="A20779" s="374"/>
      <c r="C20779" s="374"/>
      <c r="CV20779" s="376"/>
    </row>
    <row r="20780" spans="1:100">
      <c r="A20780" s="374"/>
      <c r="C20780" s="374"/>
      <c r="CV20780" s="376"/>
    </row>
    <row r="20781" spans="1:100">
      <c r="A20781" s="374"/>
      <c r="C20781" s="374"/>
      <c r="CV20781" s="376"/>
    </row>
    <row r="20782" spans="1:100">
      <c r="A20782" s="374"/>
      <c r="C20782" s="374"/>
      <c r="CV20782" s="376"/>
    </row>
    <row r="20783" spans="1:100">
      <c r="A20783" s="374"/>
      <c r="C20783" s="374"/>
      <c r="CV20783" s="376"/>
    </row>
    <row r="20784" spans="1:100">
      <c r="A20784" s="374"/>
      <c r="C20784" s="374"/>
      <c r="CV20784" s="376"/>
    </row>
    <row r="20785" spans="1:100">
      <c r="A20785" s="374"/>
      <c r="C20785" s="374"/>
      <c r="CV20785" s="376"/>
    </row>
    <row r="20786" spans="1:100">
      <c r="A20786" s="374"/>
      <c r="C20786" s="374"/>
      <c r="CV20786" s="376"/>
    </row>
    <row r="20787" spans="1:100">
      <c r="A20787" s="374"/>
      <c r="C20787" s="374"/>
      <c r="CV20787" s="376"/>
    </row>
    <row r="20788" spans="1:100">
      <c r="A20788" s="374"/>
      <c r="C20788" s="374"/>
      <c r="CV20788" s="376"/>
    </row>
    <row r="20789" spans="1:100">
      <c r="A20789" s="374"/>
      <c r="C20789" s="374"/>
      <c r="CV20789" s="376"/>
    </row>
    <row r="20790" spans="1:100">
      <c r="A20790" s="374"/>
      <c r="C20790" s="374"/>
      <c r="CV20790" s="376"/>
    </row>
    <row r="20791" spans="1:100">
      <c r="A20791" s="374"/>
      <c r="C20791" s="374"/>
      <c r="CV20791" s="376"/>
    </row>
    <row r="20792" spans="1:100">
      <c r="A20792" s="374"/>
      <c r="C20792" s="374"/>
      <c r="CV20792" s="376"/>
    </row>
    <row r="20793" spans="1:100">
      <c r="A20793" s="374"/>
      <c r="C20793" s="374"/>
      <c r="CV20793" s="376"/>
    </row>
    <row r="20794" spans="1:100">
      <c r="A20794" s="374"/>
      <c r="C20794" s="374"/>
      <c r="CV20794" s="376"/>
    </row>
    <row r="20795" spans="1:100">
      <c r="A20795" s="374"/>
      <c r="C20795" s="374"/>
      <c r="CV20795" s="376"/>
    </row>
    <row r="20796" spans="1:100">
      <c r="A20796" s="374"/>
      <c r="C20796" s="374"/>
      <c r="CV20796" s="376"/>
    </row>
    <row r="20797" spans="1:100">
      <c r="A20797" s="374"/>
      <c r="C20797" s="374"/>
      <c r="CV20797" s="376"/>
    </row>
    <row r="20798" spans="1:100">
      <c r="A20798" s="374"/>
      <c r="C20798" s="374"/>
      <c r="CV20798" s="376"/>
    </row>
    <row r="20799" spans="1:100">
      <c r="A20799" s="374"/>
      <c r="C20799" s="374"/>
      <c r="CV20799" s="376"/>
    </row>
    <row r="20800" spans="1:100">
      <c r="A20800" s="374"/>
      <c r="C20800" s="374"/>
      <c r="CV20800" s="376"/>
    </row>
    <row r="20801" spans="1:100">
      <c r="A20801" s="374"/>
      <c r="C20801" s="374"/>
      <c r="CV20801" s="376"/>
    </row>
    <row r="20802" spans="1:100">
      <c r="A20802" s="374"/>
      <c r="C20802" s="374"/>
      <c r="CV20802" s="376"/>
    </row>
    <row r="20803" spans="1:100">
      <c r="A20803" s="374"/>
      <c r="C20803" s="374"/>
      <c r="CV20803" s="376"/>
    </row>
    <row r="20804" spans="1:100">
      <c r="A20804" s="374"/>
      <c r="C20804" s="374"/>
      <c r="CV20804" s="376"/>
    </row>
    <row r="20805" spans="1:100">
      <c r="A20805" s="374"/>
      <c r="C20805" s="374"/>
      <c r="CV20805" s="376"/>
    </row>
    <row r="20806" spans="1:100">
      <c r="A20806" s="374"/>
      <c r="C20806" s="374"/>
      <c r="CV20806" s="376"/>
    </row>
    <row r="20807" spans="1:100">
      <c r="A20807" s="374"/>
      <c r="C20807" s="374"/>
      <c r="CV20807" s="376"/>
    </row>
    <row r="20808" spans="1:100">
      <c r="A20808" s="374"/>
      <c r="C20808" s="374"/>
      <c r="CV20808" s="376"/>
    </row>
    <row r="20809" spans="1:100">
      <c r="A20809" s="374"/>
      <c r="C20809" s="374"/>
      <c r="CV20809" s="376"/>
    </row>
    <row r="20810" spans="1:100">
      <c r="A20810" s="374"/>
      <c r="C20810" s="374"/>
      <c r="CV20810" s="376"/>
    </row>
    <row r="20811" spans="1:100">
      <c r="A20811" s="374"/>
      <c r="C20811" s="374"/>
      <c r="CV20811" s="376"/>
    </row>
    <row r="20812" spans="1:100">
      <c r="A20812" s="374"/>
      <c r="C20812" s="374"/>
      <c r="CV20812" s="376"/>
    </row>
    <row r="20813" spans="1:100">
      <c r="A20813" s="374"/>
      <c r="C20813" s="374"/>
      <c r="CV20813" s="376"/>
    </row>
    <row r="20814" spans="1:100">
      <c r="A20814" s="374"/>
      <c r="C20814" s="374"/>
      <c r="CV20814" s="376"/>
    </row>
    <row r="20815" spans="1:100">
      <c r="A20815" s="374"/>
      <c r="C20815" s="374"/>
      <c r="CV20815" s="376"/>
    </row>
    <row r="20816" spans="1:100">
      <c r="A20816" s="374"/>
      <c r="C20816" s="374"/>
      <c r="CV20816" s="376"/>
    </row>
    <row r="20817" spans="1:100">
      <c r="A20817" s="374"/>
      <c r="C20817" s="374"/>
      <c r="CV20817" s="376"/>
    </row>
    <row r="20818" spans="1:100">
      <c r="A20818" s="374"/>
      <c r="C20818" s="374"/>
      <c r="CV20818" s="376"/>
    </row>
    <row r="20819" spans="1:100">
      <c r="A20819" s="374"/>
      <c r="C20819" s="374"/>
      <c r="CV20819" s="376"/>
    </row>
    <row r="20820" spans="1:100">
      <c r="A20820" s="374"/>
      <c r="C20820" s="374"/>
      <c r="CV20820" s="376"/>
    </row>
    <row r="20821" spans="1:100">
      <c r="A20821" s="374"/>
      <c r="C20821" s="374"/>
      <c r="CV20821" s="376"/>
    </row>
    <row r="20822" spans="1:100">
      <c r="A20822" s="374"/>
      <c r="C20822" s="374"/>
      <c r="CV20822" s="376"/>
    </row>
    <row r="20823" spans="1:100">
      <c r="A20823" s="374"/>
      <c r="C20823" s="374"/>
      <c r="CV20823" s="376"/>
    </row>
    <row r="20824" spans="1:100">
      <c r="A20824" s="374"/>
      <c r="C20824" s="374"/>
      <c r="CV20824" s="376"/>
    </row>
    <row r="20825" spans="1:100">
      <c r="A20825" s="374"/>
      <c r="C20825" s="374"/>
      <c r="CV20825" s="376"/>
    </row>
    <row r="20826" spans="1:100">
      <c r="A20826" s="374"/>
      <c r="C20826" s="374"/>
      <c r="CV20826" s="376"/>
    </row>
    <row r="20827" spans="1:100">
      <c r="A20827" s="374"/>
      <c r="C20827" s="374"/>
      <c r="CV20827" s="376"/>
    </row>
    <row r="20828" spans="1:100">
      <c r="A20828" s="374"/>
      <c r="C20828" s="374"/>
      <c r="CV20828" s="376"/>
    </row>
    <row r="20829" spans="1:100">
      <c r="A20829" s="374"/>
      <c r="C20829" s="374"/>
      <c r="CV20829" s="376"/>
    </row>
    <row r="20830" spans="1:100">
      <c r="A20830" s="374"/>
      <c r="C20830" s="374"/>
      <c r="CV20830" s="376"/>
    </row>
    <row r="20831" spans="1:100">
      <c r="A20831" s="374"/>
      <c r="C20831" s="374"/>
      <c r="CV20831" s="376"/>
    </row>
    <row r="20832" spans="1:100">
      <c r="A20832" s="374"/>
      <c r="C20832" s="374"/>
      <c r="CV20832" s="376"/>
    </row>
    <row r="20833" spans="1:100">
      <c r="A20833" s="374"/>
      <c r="C20833" s="374"/>
      <c r="CV20833" s="376"/>
    </row>
    <row r="20834" spans="1:100">
      <c r="A20834" s="374"/>
      <c r="C20834" s="374"/>
      <c r="CV20834" s="376"/>
    </row>
    <row r="20835" spans="1:100">
      <c r="A20835" s="374"/>
      <c r="C20835" s="374"/>
      <c r="CV20835" s="376"/>
    </row>
    <row r="20836" spans="1:100">
      <c r="A20836" s="374"/>
      <c r="C20836" s="374"/>
      <c r="CV20836" s="376"/>
    </row>
    <row r="20837" spans="1:100">
      <c r="A20837" s="374"/>
      <c r="C20837" s="374"/>
      <c r="CV20837" s="376"/>
    </row>
    <row r="20838" spans="1:100">
      <c r="A20838" s="374"/>
      <c r="C20838" s="374"/>
      <c r="CV20838" s="376"/>
    </row>
    <row r="20839" spans="1:100">
      <c r="A20839" s="374"/>
      <c r="C20839" s="374"/>
      <c r="CV20839" s="376"/>
    </row>
    <row r="20840" spans="1:100">
      <c r="A20840" s="374"/>
      <c r="C20840" s="374"/>
      <c r="CV20840" s="376"/>
    </row>
    <row r="20841" spans="1:100">
      <c r="A20841" s="374"/>
      <c r="C20841" s="374"/>
      <c r="CV20841" s="376"/>
    </row>
    <row r="20842" spans="1:100">
      <c r="A20842" s="374"/>
      <c r="C20842" s="374"/>
      <c r="CV20842" s="376"/>
    </row>
    <row r="20843" spans="1:100">
      <c r="A20843" s="374"/>
      <c r="C20843" s="374"/>
      <c r="CV20843" s="376"/>
    </row>
    <row r="20844" spans="1:100">
      <c r="A20844" s="374"/>
      <c r="C20844" s="374"/>
      <c r="CV20844" s="376"/>
    </row>
    <row r="20845" spans="1:100">
      <c r="A20845" s="374"/>
      <c r="C20845" s="374"/>
      <c r="CV20845" s="376"/>
    </row>
    <row r="20846" spans="1:100">
      <c r="A20846" s="374"/>
      <c r="C20846" s="374"/>
      <c r="CV20846" s="376"/>
    </row>
    <row r="20847" spans="1:100">
      <c r="A20847" s="374"/>
      <c r="C20847" s="374"/>
      <c r="CV20847" s="376"/>
    </row>
    <row r="20848" spans="1:100">
      <c r="A20848" s="374"/>
      <c r="C20848" s="374"/>
      <c r="CV20848" s="376"/>
    </row>
    <row r="20849" spans="1:100">
      <c r="A20849" s="374"/>
      <c r="C20849" s="374"/>
      <c r="CV20849" s="376"/>
    </row>
    <row r="20850" spans="1:100">
      <c r="A20850" s="374"/>
      <c r="C20850" s="374"/>
      <c r="CV20850" s="376"/>
    </row>
    <row r="20851" spans="1:100">
      <c r="A20851" s="374"/>
      <c r="C20851" s="374"/>
      <c r="CV20851" s="376"/>
    </row>
    <row r="20852" spans="1:100">
      <c r="A20852" s="374"/>
      <c r="C20852" s="374"/>
      <c r="CV20852" s="376"/>
    </row>
    <row r="20853" spans="1:100">
      <c r="A20853" s="374"/>
      <c r="C20853" s="374"/>
      <c r="CV20853" s="376"/>
    </row>
    <row r="20854" spans="1:100">
      <c r="A20854" s="374"/>
      <c r="C20854" s="374"/>
      <c r="CV20854" s="376"/>
    </row>
    <row r="20855" spans="1:100">
      <c r="A20855" s="374"/>
      <c r="C20855" s="374"/>
      <c r="CV20855" s="376"/>
    </row>
    <row r="20856" spans="1:100">
      <c r="A20856" s="374"/>
      <c r="C20856" s="374"/>
      <c r="CV20856" s="376"/>
    </row>
    <row r="20857" spans="1:100">
      <c r="A20857" s="374"/>
      <c r="C20857" s="374"/>
      <c r="CV20857" s="376"/>
    </row>
    <row r="20858" spans="1:100">
      <c r="A20858" s="374"/>
      <c r="C20858" s="374"/>
      <c r="CV20858" s="376"/>
    </row>
    <row r="20859" spans="1:100">
      <c r="A20859" s="374"/>
      <c r="C20859" s="374"/>
      <c r="CV20859" s="376"/>
    </row>
    <row r="20860" spans="1:100">
      <c r="A20860" s="374"/>
      <c r="C20860" s="374"/>
      <c r="CV20860" s="376"/>
    </row>
    <row r="20861" spans="1:100">
      <c r="A20861" s="374"/>
      <c r="C20861" s="374"/>
      <c r="CV20861" s="376"/>
    </row>
    <row r="20862" spans="1:100">
      <c r="A20862" s="374"/>
      <c r="C20862" s="374"/>
      <c r="CV20862" s="376"/>
    </row>
    <row r="20863" spans="1:100">
      <c r="A20863" s="374"/>
      <c r="C20863" s="374"/>
      <c r="CV20863" s="376"/>
    </row>
    <row r="20864" spans="1:100">
      <c r="A20864" s="374"/>
      <c r="C20864" s="374"/>
      <c r="CV20864" s="376"/>
    </row>
    <row r="20865" spans="1:100">
      <c r="A20865" s="374"/>
      <c r="C20865" s="374"/>
      <c r="CV20865" s="376"/>
    </row>
    <row r="20866" spans="1:100">
      <c r="A20866" s="374"/>
      <c r="C20866" s="374"/>
      <c r="CV20866" s="376"/>
    </row>
    <row r="20867" spans="1:100">
      <c r="A20867" s="374"/>
      <c r="C20867" s="374"/>
      <c r="CV20867" s="376"/>
    </row>
    <row r="20868" spans="1:100">
      <c r="A20868" s="374"/>
      <c r="C20868" s="374"/>
      <c r="CV20868" s="376"/>
    </row>
    <row r="20869" spans="1:100">
      <c r="A20869" s="374"/>
      <c r="C20869" s="374"/>
      <c r="CV20869" s="376"/>
    </row>
    <row r="20870" spans="1:100">
      <c r="A20870" s="374"/>
      <c r="C20870" s="374"/>
      <c r="CV20870" s="376"/>
    </row>
    <row r="20871" spans="1:100">
      <c r="A20871" s="374"/>
      <c r="C20871" s="374"/>
      <c r="CV20871" s="376"/>
    </row>
    <row r="20872" spans="1:100">
      <c r="A20872" s="374"/>
      <c r="C20872" s="374"/>
      <c r="CV20872" s="376"/>
    </row>
    <row r="20873" spans="1:100">
      <c r="A20873" s="374"/>
      <c r="C20873" s="374"/>
      <c r="CV20873" s="376"/>
    </row>
    <row r="20874" spans="1:100">
      <c r="A20874" s="374"/>
      <c r="C20874" s="374"/>
      <c r="CV20874" s="376"/>
    </row>
    <row r="20875" spans="1:100">
      <c r="A20875" s="374"/>
      <c r="C20875" s="374"/>
      <c r="CV20875" s="376"/>
    </row>
    <row r="20876" spans="1:100">
      <c r="A20876" s="374"/>
      <c r="C20876" s="374"/>
      <c r="CV20876" s="376"/>
    </row>
    <row r="20877" spans="1:100">
      <c r="A20877" s="374"/>
      <c r="C20877" s="374"/>
      <c r="CV20877" s="376"/>
    </row>
    <row r="20878" spans="1:100">
      <c r="A20878" s="374"/>
      <c r="C20878" s="374"/>
      <c r="CV20878" s="376"/>
    </row>
    <row r="20879" spans="1:100">
      <c r="A20879" s="374"/>
      <c r="C20879" s="374"/>
      <c r="CV20879" s="376"/>
    </row>
    <row r="20880" spans="1:100">
      <c r="A20880" s="374"/>
      <c r="C20880" s="374"/>
      <c r="CV20880" s="376"/>
    </row>
    <row r="20881" spans="1:100">
      <c r="A20881" s="374"/>
      <c r="C20881" s="374"/>
      <c r="CV20881" s="376"/>
    </row>
    <row r="20882" spans="1:100">
      <c r="A20882" s="374"/>
      <c r="C20882" s="374"/>
      <c r="CV20882" s="376"/>
    </row>
    <row r="20883" spans="1:100">
      <c r="A20883" s="374"/>
      <c r="C20883" s="374"/>
      <c r="CV20883" s="376"/>
    </row>
    <row r="20884" spans="1:100">
      <c r="A20884" s="374"/>
      <c r="C20884" s="374"/>
      <c r="CV20884" s="376"/>
    </row>
    <row r="20885" spans="1:100">
      <c r="A20885" s="374"/>
      <c r="C20885" s="374"/>
      <c r="CV20885" s="376"/>
    </row>
    <row r="20886" spans="1:100">
      <c r="A20886" s="374"/>
      <c r="C20886" s="374"/>
      <c r="CV20886" s="376"/>
    </row>
    <row r="20887" spans="1:100">
      <c r="A20887" s="374"/>
      <c r="C20887" s="374"/>
      <c r="CV20887" s="376"/>
    </row>
    <row r="20888" spans="1:100">
      <c r="A20888" s="374"/>
      <c r="C20888" s="374"/>
      <c r="CV20888" s="376"/>
    </row>
    <row r="20889" spans="1:100">
      <c r="A20889" s="374"/>
      <c r="C20889" s="374"/>
      <c r="CV20889" s="376"/>
    </row>
    <row r="20890" spans="1:100">
      <c r="A20890" s="374"/>
      <c r="C20890" s="374"/>
      <c r="CV20890" s="376"/>
    </row>
    <row r="20891" spans="1:100">
      <c r="A20891" s="374"/>
      <c r="C20891" s="374"/>
      <c r="CV20891" s="376"/>
    </row>
    <row r="20892" spans="1:100">
      <c r="A20892" s="374"/>
      <c r="C20892" s="374"/>
      <c r="CV20892" s="376"/>
    </row>
    <row r="20893" spans="1:100">
      <c r="A20893" s="374"/>
      <c r="C20893" s="374"/>
      <c r="CV20893" s="376"/>
    </row>
    <row r="20894" spans="1:100">
      <c r="A20894" s="374"/>
      <c r="C20894" s="374"/>
      <c r="CV20894" s="376"/>
    </row>
    <row r="20895" spans="1:100">
      <c r="A20895" s="374"/>
      <c r="C20895" s="374"/>
      <c r="CV20895" s="376"/>
    </row>
    <row r="20896" spans="1:100">
      <c r="A20896" s="374"/>
      <c r="C20896" s="374"/>
      <c r="CV20896" s="376"/>
    </row>
    <row r="20897" spans="1:100">
      <c r="A20897" s="374"/>
      <c r="C20897" s="374"/>
      <c r="CV20897" s="376"/>
    </row>
    <row r="20898" spans="1:100">
      <c r="A20898" s="374"/>
      <c r="C20898" s="374"/>
      <c r="CV20898" s="376"/>
    </row>
    <row r="20899" spans="1:100">
      <c r="A20899" s="374"/>
      <c r="C20899" s="374"/>
      <c r="CV20899" s="376"/>
    </row>
    <row r="20900" spans="1:100">
      <c r="A20900" s="374"/>
      <c r="C20900" s="374"/>
      <c r="CV20900" s="376"/>
    </row>
    <row r="20901" spans="1:100">
      <c r="A20901" s="374"/>
      <c r="C20901" s="374"/>
      <c r="CV20901" s="376"/>
    </row>
    <row r="20902" spans="1:100">
      <c r="A20902" s="374"/>
      <c r="C20902" s="374"/>
      <c r="CV20902" s="376"/>
    </row>
    <row r="20903" spans="1:100">
      <c r="A20903" s="374"/>
      <c r="C20903" s="374"/>
      <c r="CV20903" s="376"/>
    </row>
    <row r="20904" spans="1:100">
      <c r="A20904" s="374"/>
      <c r="C20904" s="374"/>
      <c r="CV20904" s="376"/>
    </row>
    <row r="20905" spans="1:100">
      <c r="A20905" s="374"/>
      <c r="C20905" s="374"/>
      <c r="CV20905" s="376"/>
    </row>
    <row r="20906" spans="1:100">
      <c r="A20906" s="374"/>
      <c r="C20906" s="374"/>
      <c r="CV20906" s="376"/>
    </row>
    <row r="20907" spans="1:100">
      <c r="A20907" s="374"/>
      <c r="C20907" s="374"/>
      <c r="CV20907" s="376"/>
    </row>
    <row r="20908" spans="1:100">
      <c r="A20908" s="374"/>
      <c r="C20908" s="374"/>
      <c r="CV20908" s="376"/>
    </row>
    <row r="20909" spans="1:100">
      <c r="A20909" s="374"/>
      <c r="C20909" s="374"/>
      <c r="CV20909" s="376"/>
    </row>
    <row r="20910" spans="1:100">
      <c r="A20910" s="374"/>
      <c r="C20910" s="374"/>
      <c r="CV20910" s="376"/>
    </row>
    <row r="20911" spans="1:100">
      <c r="A20911" s="374"/>
      <c r="C20911" s="374"/>
      <c r="CV20911" s="376"/>
    </row>
    <row r="20912" spans="1:100">
      <c r="A20912" s="374"/>
      <c r="C20912" s="374"/>
      <c r="CV20912" s="376"/>
    </row>
    <row r="20913" spans="1:100">
      <c r="A20913" s="374"/>
      <c r="C20913" s="374"/>
      <c r="CV20913" s="376"/>
    </row>
    <row r="20914" spans="1:100">
      <c r="A20914" s="374"/>
      <c r="C20914" s="374"/>
      <c r="CV20914" s="376"/>
    </row>
    <row r="20915" spans="1:100">
      <c r="A20915" s="374"/>
      <c r="C20915" s="374"/>
      <c r="CV20915" s="376"/>
    </row>
    <row r="20916" spans="1:100">
      <c r="A20916" s="374"/>
      <c r="C20916" s="374"/>
      <c r="CV20916" s="376"/>
    </row>
    <row r="20917" spans="1:100">
      <c r="A20917" s="374"/>
      <c r="C20917" s="374"/>
      <c r="CV20917" s="376"/>
    </row>
    <row r="20918" spans="1:100">
      <c r="A20918" s="374"/>
      <c r="C20918" s="374"/>
      <c r="CV20918" s="376"/>
    </row>
    <row r="20919" spans="1:100">
      <c r="A20919" s="374"/>
      <c r="C20919" s="374"/>
      <c r="CV20919" s="376"/>
    </row>
    <row r="20920" spans="1:100">
      <c r="A20920" s="374"/>
      <c r="C20920" s="374"/>
      <c r="CV20920" s="376"/>
    </row>
    <row r="20921" spans="1:100">
      <c r="A20921" s="374"/>
      <c r="C20921" s="374"/>
      <c r="CV20921" s="376"/>
    </row>
    <row r="20922" spans="1:100">
      <c r="A20922" s="374"/>
      <c r="C20922" s="374"/>
      <c r="CV20922" s="376"/>
    </row>
    <row r="20923" spans="1:100">
      <c r="A20923" s="374"/>
      <c r="C20923" s="374"/>
      <c r="CV20923" s="376"/>
    </row>
    <row r="20924" spans="1:100">
      <c r="A20924" s="374"/>
      <c r="C20924" s="374"/>
      <c r="CV20924" s="376"/>
    </row>
    <row r="20925" spans="1:100">
      <c r="A20925" s="374"/>
      <c r="C20925" s="374"/>
      <c r="CV20925" s="376"/>
    </row>
    <row r="20926" spans="1:100">
      <c r="A20926" s="374"/>
      <c r="C20926" s="374"/>
      <c r="CV20926" s="376"/>
    </row>
    <row r="20927" spans="1:100">
      <c r="A20927" s="374"/>
      <c r="C20927" s="374"/>
      <c r="CV20927" s="376"/>
    </row>
    <row r="20928" spans="1:100">
      <c r="A20928" s="374"/>
      <c r="C20928" s="374"/>
      <c r="CV20928" s="376"/>
    </row>
    <row r="20929" spans="1:100">
      <c r="A20929" s="374"/>
      <c r="C20929" s="374"/>
      <c r="CV20929" s="376"/>
    </row>
    <row r="20930" spans="1:100">
      <c r="A20930" s="374"/>
      <c r="C20930" s="374"/>
      <c r="CV20930" s="376"/>
    </row>
    <row r="20931" spans="1:100">
      <c r="A20931" s="374"/>
      <c r="C20931" s="374"/>
      <c r="CV20931" s="376"/>
    </row>
    <row r="20932" spans="1:100">
      <c r="A20932" s="374"/>
      <c r="C20932" s="374"/>
      <c r="CV20932" s="376"/>
    </row>
    <row r="20933" spans="1:100">
      <c r="A20933" s="374"/>
      <c r="C20933" s="374"/>
      <c r="CV20933" s="376"/>
    </row>
    <row r="20934" spans="1:100">
      <c r="A20934" s="374"/>
      <c r="C20934" s="374"/>
      <c r="CV20934" s="376"/>
    </row>
    <row r="20935" spans="1:100">
      <c r="A20935" s="374"/>
      <c r="C20935" s="374"/>
      <c r="CV20935" s="376"/>
    </row>
    <row r="20936" spans="1:100">
      <c r="A20936" s="374"/>
      <c r="C20936" s="374"/>
      <c r="CV20936" s="376"/>
    </row>
    <row r="20937" spans="1:100">
      <c r="A20937" s="374"/>
      <c r="C20937" s="374"/>
      <c r="CV20937" s="376"/>
    </row>
    <row r="20938" spans="1:100">
      <c r="A20938" s="374"/>
      <c r="C20938" s="374"/>
      <c r="CV20938" s="376"/>
    </row>
    <row r="20939" spans="1:100">
      <c r="A20939" s="374"/>
      <c r="C20939" s="374"/>
      <c r="CV20939" s="376"/>
    </row>
    <row r="20940" spans="1:100">
      <c r="A20940" s="374"/>
      <c r="C20940" s="374"/>
      <c r="CV20940" s="376"/>
    </row>
    <row r="20941" spans="1:100">
      <c r="A20941" s="374"/>
      <c r="C20941" s="374"/>
      <c r="CV20941" s="376"/>
    </row>
    <row r="20942" spans="1:100">
      <c r="A20942" s="374"/>
      <c r="C20942" s="374"/>
      <c r="CV20942" s="376"/>
    </row>
    <row r="20943" spans="1:100">
      <c r="A20943" s="374"/>
      <c r="C20943" s="374"/>
      <c r="CV20943" s="376"/>
    </row>
    <row r="20944" spans="1:100">
      <c r="A20944" s="374"/>
      <c r="C20944" s="374"/>
      <c r="CV20944" s="376"/>
    </row>
    <row r="20945" spans="1:100">
      <c r="A20945" s="374"/>
      <c r="C20945" s="374"/>
      <c r="CV20945" s="376"/>
    </row>
    <row r="20946" spans="1:100">
      <c r="A20946" s="374"/>
      <c r="C20946" s="374"/>
      <c r="CV20946" s="376"/>
    </row>
    <row r="20947" spans="1:100">
      <c r="A20947" s="374"/>
      <c r="C20947" s="374"/>
      <c r="CV20947" s="376"/>
    </row>
    <row r="20948" spans="1:100">
      <c r="A20948" s="374"/>
      <c r="C20948" s="374"/>
      <c r="CV20948" s="376"/>
    </row>
    <row r="20949" spans="1:100">
      <c r="A20949" s="374"/>
      <c r="C20949" s="374"/>
      <c r="CV20949" s="376"/>
    </row>
    <row r="20950" spans="1:100">
      <c r="A20950" s="374"/>
      <c r="C20950" s="374"/>
      <c r="CV20950" s="376"/>
    </row>
    <row r="20951" spans="1:100">
      <c r="A20951" s="374"/>
      <c r="C20951" s="374"/>
      <c r="CV20951" s="376"/>
    </row>
    <row r="20952" spans="1:100">
      <c r="A20952" s="374"/>
      <c r="C20952" s="374"/>
      <c r="CV20952" s="376"/>
    </row>
    <row r="20953" spans="1:100">
      <c r="A20953" s="374"/>
      <c r="C20953" s="374"/>
      <c r="CV20953" s="376"/>
    </row>
    <row r="20954" spans="1:100">
      <c r="A20954" s="374"/>
      <c r="C20954" s="374"/>
      <c r="CV20954" s="376"/>
    </row>
    <row r="20955" spans="1:100">
      <c r="A20955" s="374"/>
      <c r="C20955" s="374"/>
      <c r="CV20955" s="376"/>
    </row>
    <row r="20956" spans="1:100">
      <c r="A20956" s="374"/>
      <c r="C20956" s="374"/>
      <c r="CV20956" s="376"/>
    </row>
    <row r="20957" spans="1:100">
      <c r="A20957" s="374"/>
      <c r="C20957" s="374"/>
      <c r="CV20957" s="376"/>
    </row>
    <row r="20958" spans="1:100">
      <c r="A20958" s="374"/>
      <c r="C20958" s="374"/>
      <c r="CV20958" s="376"/>
    </row>
    <row r="20959" spans="1:100">
      <c r="A20959" s="374"/>
      <c r="C20959" s="374"/>
      <c r="CV20959" s="376"/>
    </row>
    <row r="20960" spans="1:100">
      <c r="A20960" s="374"/>
      <c r="C20960" s="374"/>
      <c r="CV20960" s="376"/>
    </row>
    <row r="20961" spans="1:100">
      <c r="A20961" s="374"/>
      <c r="C20961" s="374"/>
      <c r="CV20961" s="376"/>
    </row>
    <row r="20962" spans="1:100">
      <c r="A20962" s="374"/>
      <c r="C20962" s="374"/>
      <c r="CV20962" s="376"/>
    </row>
    <row r="20963" spans="1:100">
      <c r="A20963" s="374"/>
      <c r="C20963" s="374"/>
      <c r="CV20963" s="376"/>
    </row>
    <row r="20964" spans="1:100">
      <c r="A20964" s="374"/>
      <c r="C20964" s="374"/>
      <c r="CV20964" s="376"/>
    </row>
    <row r="20965" spans="1:100">
      <c r="A20965" s="374"/>
      <c r="C20965" s="374"/>
      <c r="CV20965" s="376"/>
    </row>
    <row r="20966" spans="1:100">
      <c r="A20966" s="374"/>
      <c r="C20966" s="374"/>
      <c r="CV20966" s="376"/>
    </row>
    <row r="20967" spans="1:100">
      <c r="A20967" s="374"/>
      <c r="C20967" s="374"/>
      <c r="CV20967" s="376"/>
    </row>
    <row r="20968" spans="1:100">
      <c r="A20968" s="374"/>
      <c r="C20968" s="374"/>
      <c r="CV20968" s="376"/>
    </row>
    <row r="20969" spans="1:100">
      <c r="A20969" s="374"/>
      <c r="C20969" s="374"/>
      <c r="CV20969" s="376"/>
    </row>
    <row r="20970" spans="1:100">
      <c r="A20970" s="374"/>
      <c r="C20970" s="374"/>
      <c r="CV20970" s="376"/>
    </row>
    <row r="20971" spans="1:100">
      <c r="A20971" s="374"/>
      <c r="C20971" s="374"/>
      <c r="CV20971" s="376"/>
    </row>
    <row r="20972" spans="1:100">
      <c r="A20972" s="374"/>
      <c r="C20972" s="374"/>
      <c r="CV20972" s="376"/>
    </row>
    <row r="20973" spans="1:100">
      <c r="A20973" s="374"/>
      <c r="C20973" s="374"/>
      <c r="CV20973" s="376"/>
    </row>
    <row r="20974" spans="1:100">
      <c r="A20974" s="374"/>
      <c r="C20974" s="374"/>
      <c r="CV20974" s="376"/>
    </row>
    <row r="20975" spans="1:100">
      <c r="A20975" s="374"/>
      <c r="C20975" s="374"/>
      <c r="CV20975" s="376"/>
    </row>
    <row r="20976" spans="1:100">
      <c r="A20976" s="374"/>
      <c r="C20976" s="374"/>
      <c r="CV20976" s="376"/>
    </row>
    <row r="20977" spans="1:100">
      <c r="A20977" s="374"/>
      <c r="C20977" s="374"/>
      <c r="CV20977" s="376"/>
    </row>
    <row r="20978" spans="1:100">
      <c r="A20978" s="374"/>
      <c r="C20978" s="374"/>
      <c r="CV20978" s="376"/>
    </row>
    <row r="20979" spans="1:100">
      <c r="A20979" s="374"/>
      <c r="C20979" s="374"/>
      <c r="CV20979" s="376"/>
    </row>
    <row r="20980" spans="1:100">
      <c r="A20980" s="374"/>
      <c r="C20980" s="374"/>
      <c r="CV20980" s="376"/>
    </row>
    <row r="20981" spans="1:100">
      <c r="A20981" s="374"/>
      <c r="C20981" s="374"/>
      <c r="CV20981" s="376"/>
    </row>
    <row r="20982" spans="1:100">
      <c r="A20982" s="374"/>
      <c r="C20982" s="374"/>
      <c r="CV20982" s="376"/>
    </row>
    <row r="20983" spans="1:100">
      <c r="A20983" s="374"/>
      <c r="C20983" s="374"/>
      <c r="CV20983" s="376"/>
    </row>
    <row r="20984" spans="1:100">
      <c r="A20984" s="374"/>
      <c r="C20984" s="374"/>
      <c r="CV20984" s="376"/>
    </row>
    <row r="20985" spans="1:100">
      <c r="A20985" s="374"/>
      <c r="C20985" s="374"/>
      <c r="CV20985" s="376"/>
    </row>
    <row r="20986" spans="1:100">
      <c r="A20986" s="374"/>
      <c r="C20986" s="374"/>
      <c r="CV20986" s="376"/>
    </row>
    <row r="20987" spans="1:100">
      <c r="A20987" s="374"/>
      <c r="C20987" s="374"/>
      <c r="CV20987" s="376"/>
    </row>
    <row r="20988" spans="1:100">
      <c r="A20988" s="374"/>
      <c r="C20988" s="374"/>
      <c r="CV20988" s="376"/>
    </row>
    <row r="20989" spans="1:100">
      <c r="A20989" s="374"/>
      <c r="C20989" s="374"/>
      <c r="CV20989" s="376"/>
    </row>
    <row r="20990" spans="1:100">
      <c r="A20990" s="374"/>
      <c r="C20990" s="374"/>
      <c r="CV20990" s="376"/>
    </row>
    <row r="20991" spans="1:100">
      <c r="A20991" s="374"/>
      <c r="C20991" s="374"/>
      <c r="CV20991" s="376"/>
    </row>
    <row r="20992" spans="1:100">
      <c r="A20992" s="374"/>
      <c r="C20992" s="374"/>
      <c r="CV20992" s="376"/>
    </row>
    <row r="20993" spans="1:100">
      <c r="A20993" s="374"/>
      <c r="C20993" s="374"/>
      <c r="CV20993" s="376"/>
    </row>
    <row r="20994" spans="1:100">
      <c r="A20994" s="374"/>
      <c r="C20994" s="374"/>
      <c r="CV20994" s="376"/>
    </row>
    <row r="20995" spans="1:100">
      <c r="A20995" s="374"/>
      <c r="C20995" s="374"/>
      <c r="CV20995" s="376"/>
    </row>
    <row r="20996" spans="1:100">
      <c r="A20996" s="374"/>
      <c r="C20996" s="374"/>
      <c r="CV20996" s="376"/>
    </row>
    <row r="20997" spans="1:100">
      <c r="A20997" s="374"/>
      <c r="C20997" s="374"/>
      <c r="CV20997" s="376"/>
    </row>
    <row r="20998" spans="1:100">
      <c r="A20998" s="374"/>
      <c r="C20998" s="374"/>
      <c r="CV20998" s="376"/>
    </row>
    <row r="20999" spans="1:100">
      <c r="A20999" s="374"/>
      <c r="C20999" s="374"/>
      <c r="CV20999" s="376"/>
    </row>
    <row r="21000" spans="1:100">
      <c r="A21000" s="374"/>
      <c r="C21000" s="374"/>
      <c r="CV21000" s="376"/>
    </row>
    <row r="21001" spans="1:100">
      <c r="A21001" s="374"/>
      <c r="C21001" s="374"/>
      <c r="CV21001" s="376"/>
    </row>
    <row r="21002" spans="1:100">
      <c r="A21002" s="374"/>
      <c r="C21002" s="374"/>
      <c r="CV21002" s="376"/>
    </row>
    <row r="21003" spans="1:100">
      <c r="A21003" s="374"/>
      <c r="C21003" s="374"/>
      <c r="CV21003" s="376"/>
    </row>
    <row r="21004" spans="1:100">
      <c r="A21004" s="374"/>
      <c r="C21004" s="374"/>
      <c r="CV21004" s="376"/>
    </row>
    <row r="21005" spans="1:100">
      <c r="A21005" s="374"/>
      <c r="C21005" s="374"/>
      <c r="CV21005" s="376"/>
    </row>
    <row r="21006" spans="1:100">
      <c r="A21006" s="374"/>
      <c r="C21006" s="374"/>
      <c r="CV21006" s="376"/>
    </row>
    <row r="21007" spans="1:100">
      <c r="A21007" s="374"/>
      <c r="C21007" s="374"/>
      <c r="CV21007" s="376"/>
    </row>
    <row r="21008" spans="1:100">
      <c r="A21008" s="374"/>
      <c r="C21008" s="374"/>
      <c r="CV21008" s="376"/>
    </row>
    <row r="21009" spans="1:100">
      <c r="A21009" s="374"/>
      <c r="C21009" s="374"/>
      <c r="CV21009" s="376"/>
    </row>
    <row r="21010" spans="1:100">
      <c r="A21010" s="374"/>
      <c r="C21010" s="374"/>
      <c r="CV21010" s="376"/>
    </row>
    <row r="21011" spans="1:100">
      <c r="A21011" s="374"/>
      <c r="C21011" s="374"/>
      <c r="CV21011" s="376"/>
    </row>
    <row r="21012" spans="1:100">
      <c r="A21012" s="374"/>
      <c r="C21012" s="374"/>
      <c r="CV21012" s="376"/>
    </row>
    <row r="21013" spans="1:100">
      <c r="A21013" s="374"/>
      <c r="C21013" s="374"/>
      <c r="CV21013" s="376"/>
    </row>
    <row r="21014" spans="1:100">
      <c r="A21014" s="374"/>
      <c r="C21014" s="374"/>
      <c r="CV21014" s="376"/>
    </row>
    <row r="21015" spans="1:100">
      <c r="A21015" s="374"/>
      <c r="C21015" s="374"/>
      <c r="CV21015" s="376"/>
    </row>
    <row r="21016" spans="1:100">
      <c r="A21016" s="374"/>
      <c r="C21016" s="374"/>
      <c r="CV21016" s="376"/>
    </row>
    <row r="21017" spans="1:100">
      <c r="A21017" s="374"/>
      <c r="C21017" s="374"/>
      <c r="CV21017" s="376"/>
    </row>
    <row r="21018" spans="1:100">
      <c r="A21018" s="374"/>
      <c r="C21018" s="374"/>
      <c r="CV21018" s="376"/>
    </row>
    <row r="21019" spans="1:100">
      <c r="A21019" s="374"/>
      <c r="C21019" s="374"/>
      <c r="CV21019" s="376"/>
    </row>
    <row r="21020" spans="1:100">
      <c r="A21020" s="374"/>
      <c r="C21020" s="374"/>
      <c r="CV21020" s="376"/>
    </row>
    <row r="21021" spans="1:100">
      <c r="A21021" s="374"/>
      <c r="C21021" s="374"/>
      <c r="CV21021" s="376"/>
    </row>
    <row r="21022" spans="1:100">
      <c r="A21022" s="374"/>
      <c r="C21022" s="374"/>
      <c r="CV21022" s="376"/>
    </row>
    <row r="21023" spans="1:100">
      <c r="A21023" s="374"/>
      <c r="C21023" s="374"/>
      <c r="CV21023" s="376"/>
    </row>
    <row r="21024" spans="1:100">
      <c r="A21024" s="374"/>
      <c r="C21024" s="374"/>
      <c r="CV21024" s="376"/>
    </row>
    <row r="21025" spans="1:100">
      <c r="A21025" s="374"/>
      <c r="C21025" s="374"/>
      <c r="CV21025" s="376"/>
    </row>
    <row r="21026" spans="1:100">
      <c r="A21026" s="374"/>
      <c r="C21026" s="374"/>
      <c r="CV21026" s="376"/>
    </row>
    <row r="21027" spans="1:100">
      <c r="A21027" s="374"/>
      <c r="C21027" s="374"/>
      <c r="CV21027" s="376"/>
    </row>
    <row r="21028" spans="1:100">
      <c r="A21028" s="374"/>
      <c r="C21028" s="374"/>
      <c r="CV21028" s="376"/>
    </row>
    <row r="21029" spans="1:100">
      <c r="A21029" s="374"/>
      <c r="C21029" s="374"/>
      <c r="CV21029" s="376"/>
    </row>
    <row r="21030" spans="1:100">
      <c r="A21030" s="374"/>
      <c r="C21030" s="374"/>
      <c r="CV21030" s="376"/>
    </row>
    <row r="21031" spans="1:100">
      <c r="A21031" s="374"/>
      <c r="C21031" s="374"/>
      <c r="CV21031" s="376"/>
    </row>
    <row r="21032" spans="1:100">
      <c r="A21032" s="374"/>
      <c r="C21032" s="374"/>
      <c r="CV21032" s="376"/>
    </row>
    <row r="21033" spans="1:100">
      <c r="A21033" s="374"/>
      <c r="C21033" s="374"/>
      <c r="CV21033" s="376"/>
    </row>
    <row r="21034" spans="1:100">
      <c r="A21034" s="374"/>
      <c r="C21034" s="374"/>
      <c r="CV21034" s="376"/>
    </row>
    <row r="21035" spans="1:100">
      <c r="A21035" s="374"/>
      <c r="C21035" s="374"/>
      <c r="CV21035" s="376"/>
    </row>
    <row r="21036" spans="1:100">
      <c r="A21036" s="374"/>
      <c r="C21036" s="374"/>
      <c r="CV21036" s="376"/>
    </row>
    <row r="21037" spans="1:100">
      <c r="A21037" s="374"/>
      <c r="C21037" s="374"/>
      <c r="CV21037" s="376"/>
    </row>
    <row r="21038" spans="1:100">
      <c r="A21038" s="374"/>
      <c r="C21038" s="374"/>
      <c r="CV21038" s="376"/>
    </row>
    <row r="21039" spans="1:100">
      <c r="A21039" s="374"/>
      <c r="C21039" s="374"/>
      <c r="CV21039" s="376"/>
    </row>
    <row r="21040" spans="1:100">
      <c r="A21040" s="374"/>
      <c r="C21040" s="374"/>
      <c r="CV21040" s="376"/>
    </row>
    <row r="21041" spans="1:100">
      <c r="A21041" s="374"/>
      <c r="C21041" s="374"/>
      <c r="CV21041" s="376"/>
    </row>
    <row r="21042" spans="1:100">
      <c r="A21042" s="374"/>
      <c r="C21042" s="374"/>
      <c r="CV21042" s="376"/>
    </row>
    <row r="21043" spans="1:100">
      <c r="A21043" s="374"/>
      <c r="C21043" s="374"/>
      <c r="CV21043" s="376"/>
    </row>
    <row r="21044" spans="1:100">
      <c r="A21044" s="374"/>
      <c r="C21044" s="374"/>
      <c r="CV21044" s="376"/>
    </row>
    <row r="21045" spans="1:100">
      <c r="A21045" s="374"/>
      <c r="C21045" s="374"/>
      <c r="CV21045" s="376"/>
    </row>
    <row r="21046" spans="1:100">
      <c r="A21046" s="374"/>
      <c r="C21046" s="374"/>
      <c r="CV21046" s="376"/>
    </row>
    <row r="21047" spans="1:100">
      <c r="A21047" s="374"/>
      <c r="C21047" s="374"/>
      <c r="CV21047" s="376"/>
    </row>
    <row r="21048" spans="1:100">
      <c r="A21048" s="374"/>
      <c r="C21048" s="374"/>
      <c r="CV21048" s="376"/>
    </row>
    <row r="21049" spans="1:100">
      <c r="A21049" s="374"/>
      <c r="C21049" s="374"/>
      <c r="CV21049" s="376"/>
    </row>
    <row r="21050" spans="1:100">
      <c r="A21050" s="374"/>
      <c r="C21050" s="374"/>
      <c r="CV21050" s="376"/>
    </row>
    <row r="21051" spans="1:100">
      <c r="A21051" s="374"/>
      <c r="C21051" s="374"/>
      <c r="CV21051" s="376"/>
    </row>
    <row r="21052" spans="1:100">
      <c r="A21052" s="374"/>
      <c r="C21052" s="374"/>
      <c r="CV21052" s="376"/>
    </row>
    <row r="21053" spans="1:100">
      <c r="A21053" s="374"/>
      <c r="C21053" s="374"/>
      <c r="CV21053" s="376"/>
    </row>
    <row r="21054" spans="1:100">
      <c r="A21054" s="374"/>
      <c r="C21054" s="374"/>
      <c r="CV21054" s="376"/>
    </row>
    <row r="21055" spans="1:100">
      <c r="A21055" s="374"/>
      <c r="C21055" s="374"/>
      <c r="CV21055" s="376"/>
    </row>
    <row r="21056" spans="1:100">
      <c r="A21056" s="374"/>
      <c r="C21056" s="374"/>
      <c r="CV21056" s="376"/>
    </row>
    <row r="21057" spans="1:100">
      <c r="A21057" s="374"/>
      <c r="C21057" s="374"/>
      <c r="CV21057" s="376"/>
    </row>
    <row r="21058" spans="1:100">
      <c r="A21058" s="374"/>
      <c r="C21058" s="374"/>
      <c r="CV21058" s="376"/>
    </row>
    <row r="21059" spans="1:100">
      <c r="A21059" s="374"/>
      <c r="C21059" s="374"/>
      <c r="CV21059" s="376"/>
    </row>
    <row r="21060" spans="1:100">
      <c r="A21060" s="374"/>
      <c r="C21060" s="374"/>
      <c r="CV21060" s="376"/>
    </row>
    <row r="21061" spans="1:100">
      <c r="A21061" s="374"/>
      <c r="C21061" s="374"/>
      <c r="CV21061" s="376"/>
    </row>
    <row r="21062" spans="1:100">
      <c r="A21062" s="374"/>
      <c r="C21062" s="374"/>
      <c r="CV21062" s="376"/>
    </row>
    <row r="21063" spans="1:100">
      <c r="A21063" s="374"/>
      <c r="C21063" s="374"/>
      <c r="CV21063" s="376"/>
    </row>
    <row r="21064" spans="1:100">
      <c r="A21064" s="374"/>
      <c r="C21064" s="374"/>
      <c r="CV21064" s="376"/>
    </row>
    <row r="21065" spans="1:100">
      <c r="A21065" s="374"/>
      <c r="C21065" s="374"/>
      <c r="CV21065" s="376"/>
    </row>
    <row r="21066" spans="1:100">
      <c r="A21066" s="374"/>
      <c r="C21066" s="374"/>
      <c r="CV21066" s="376"/>
    </row>
    <row r="21067" spans="1:100">
      <c r="A21067" s="374"/>
      <c r="C21067" s="374"/>
      <c r="CV21067" s="376"/>
    </row>
    <row r="21068" spans="1:100">
      <c r="A21068" s="374"/>
      <c r="C21068" s="374"/>
      <c r="CV21068" s="376"/>
    </row>
    <row r="21069" spans="1:100">
      <c r="A21069" s="374"/>
      <c r="C21069" s="374"/>
      <c r="CV21069" s="376"/>
    </row>
    <row r="21070" spans="1:100">
      <c r="A21070" s="374"/>
      <c r="C21070" s="374"/>
      <c r="CV21070" s="376"/>
    </row>
    <row r="21071" spans="1:100">
      <c r="A21071" s="374"/>
      <c r="C21071" s="374"/>
      <c r="CV21071" s="376"/>
    </row>
    <row r="21072" spans="1:100">
      <c r="A21072" s="374"/>
      <c r="C21072" s="374"/>
      <c r="CV21072" s="376"/>
    </row>
    <row r="21073" spans="1:100">
      <c r="A21073" s="374"/>
      <c r="C21073" s="374"/>
      <c r="CV21073" s="376"/>
    </row>
    <row r="21074" spans="1:100">
      <c r="A21074" s="374"/>
      <c r="C21074" s="374"/>
      <c r="CV21074" s="376"/>
    </row>
    <row r="21075" spans="1:100">
      <c r="A21075" s="374"/>
      <c r="C21075" s="374"/>
      <c r="CV21075" s="376"/>
    </row>
    <row r="21076" spans="1:100">
      <c r="A21076" s="374"/>
      <c r="C21076" s="374"/>
      <c r="CV21076" s="376"/>
    </row>
    <row r="21077" spans="1:100">
      <c r="A21077" s="374"/>
      <c r="C21077" s="374"/>
      <c r="CV21077" s="376"/>
    </row>
    <row r="21078" spans="1:100">
      <c r="A21078" s="374"/>
      <c r="C21078" s="374"/>
      <c r="CV21078" s="376"/>
    </row>
    <row r="21079" spans="1:100">
      <c r="A21079" s="374"/>
      <c r="C21079" s="374"/>
      <c r="CV21079" s="376"/>
    </row>
    <row r="21080" spans="1:100">
      <c r="A21080" s="374"/>
      <c r="C21080" s="374"/>
      <c r="CV21080" s="376"/>
    </row>
    <row r="21081" spans="1:100">
      <c r="A21081" s="374"/>
      <c r="C21081" s="374"/>
      <c r="CV21081" s="376"/>
    </row>
    <row r="21082" spans="1:100">
      <c r="A21082" s="374"/>
      <c r="C21082" s="374"/>
      <c r="CV21082" s="376"/>
    </row>
    <row r="21083" spans="1:100">
      <c r="A21083" s="374"/>
      <c r="C21083" s="374"/>
      <c r="CV21083" s="376"/>
    </row>
    <row r="21084" spans="1:100">
      <c r="A21084" s="374"/>
      <c r="C21084" s="374"/>
      <c r="CV21084" s="376"/>
    </row>
    <row r="21085" spans="1:100">
      <c r="A21085" s="374"/>
      <c r="C21085" s="374"/>
      <c r="CV21085" s="376"/>
    </row>
    <row r="21086" spans="1:100">
      <c r="A21086" s="374"/>
      <c r="C21086" s="374"/>
      <c r="CV21086" s="376"/>
    </row>
    <row r="21087" spans="1:100">
      <c r="A21087" s="374"/>
      <c r="C21087" s="374"/>
      <c r="CV21087" s="376"/>
    </row>
    <row r="21088" spans="1:100">
      <c r="A21088" s="374"/>
      <c r="C21088" s="374"/>
      <c r="CV21088" s="376"/>
    </row>
    <row r="21089" spans="1:100">
      <c r="A21089" s="374"/>
      <c r="C21089" s="374"/>
      <c r="CV21089" s="376"/>
    </row>
    <row r="21090" spans="1:100">
      <c r="A21090" s="374"/>
      <c r="C21090" s="374"/>
      <c r="CV21090" s="376"/>
    </row>
    <row r="21091" spans="1:100">
      <c r="A21091" s="374"/>
      <c r="C21091" s="374"/>
      <c r="CV21091" s="376"/>
    </row>
    <row r="21092" spans="1:100">
      <c r="A21092" s="374"/>
      <c r="C21092" s="374"/>
      <c r="CV21092" s="376"/>
    </row>
    <row r="21093" spans="1:100">
      <c r="A21093" s="374"/>
      <c r="C21093" s="374"/>
      <c r="CV21093" s="376"/>
    </row>
    <row r="21094" spans="1:100">
      <c r="A21094" s="374"/>
      <c r="C21094" s="374"/>
      <c r="CV21094" s="376"/>
    </row>
    <row r="21095" spans="1:100">
      <c r="A21095" s="374"/>
      <c r="C21095" s="374"/>
      <c r="CV21095" s="376"/>
    </row>
    <row r="21096" spans="1:100">
      <c r="A21096" s="374"/>
      <c r="C21096" s="374"/>
      <c r="CV21096" s="376"/>
    </row>
    <row r="21097" spans="1:100">
      <c r="A21097" s="374"/>
      <c r="C21097" s="374"/>
      <c r="CV21097" s="376"/>
    </row>
    <row r="21098" spans="1:100">
      <c r="A21098" s="374"/>
      <c r="C21098" s="374"/>
      <c r="CV21098" s="376"/>
    </row>
    <row r="21099" spans="1:100">
      <c r="A21099" s="374"/>
      <c r="C21099" s="374"/>
      <c r="CV21099" s="376"/>
    </row>
    <row r="21100" spans="1:100">
      <c r="A21100" s="374"/>
      <c r="C21100" s="374"/>
      <c r="CV21100" s="376"/>
    </row>
    <row r="21101" spans="1:100">
      <c r="A21101" s="374"/>
      <c r="C21101" s="374"/>
      <c r="CV21101" s="376"/>
    </row>
    <row r="21102" spans="1:100">
      <c r="A21102" s="374"/>
      <c r="C21102" s="374"/>
      <c r="CV21102" s="376"/>
    </row>
    <row r="21103" spans="1:100">
      <c r="A21103" s="374"/>
      <c r="C21103" s="374"/>
      <c r="CV21103" s="376"/>
    </row>
    <row r="21104" spans="1:100">
      <c r="A21104" s="374"/>
      <c r="C21104" s="374"/>
      <c r="CV21104" s="376"/>
    </row>
    <row r="21105" spans="1:100">
      <c r="A21105" s="374"/>
      <c r="C21105" s="374"/>
      <c r="CV21105" s="376"/>
    </row>
    <row r="21106" spans="1:100">
      <c r="A21106" s="374"/>
      <c r="C21106" s="374"/>
      <c r="CV21106" s="376"/>
    </row>
    <row r="21107" spans="1:100">
      <c r="A21107" s="374"/>
      <c r="C21107" s="374"/>
      <c r="CV21107" s="376"/>
    </row>
    <row r="21108" spans="1:100">
      <c r="A21108" s="374"/>
      <c r="C21108" s="374"/>
      <c r="CV21108" s="376"/>
    </row>
    <row r="21109" spans="1:100">
      <c r="A21109" s="374"/>
      <c r="C21109" s="374"/>
      <c r="CV21109" s="376"/>
    </row>
    <row r="21110" spans="1:100">
      <c r="A21110" s="374"/>
      <c r="C21110" s="374"/>
      <c r="CV21110" s="376"/>
    </row>
    <row r="21111" spans="1:100">
      <c r="A21111" s="374"/>
      <c r="C21111" s="374"/>
      <c r="CV21111" s="376"/>
    </row>
    <row r="21112" spans="1:100">
      <c r="A21112" s="374"/>
      <c r="C21112" s="374"/>
      <c r="CV21112" s="376"/>
    </row>
    <row r="21113" spans="1:100">
      <c r="A21113" s="374"/>
      <c r="C21113" s="374"/>
      <c r="CV21113" s="376"/>
    </row>
    <row r="21114" spans="1:100">
      <c r="A21114" s="374"/>
      <c r="C21114" s="374"/>
      <c r="CV21114" s="376"/>
    </row>
    <row r="21115" spans="1:100">
      <c r="A21115" s="374"/>
      <c r="C21115" s="374"/>
      <c r="CV21115" s="376"/>
    </row>
    <row r="21116" spans="1:100">
      <c r="A21116" s="374"/>
      <c r="C21116" s="374"/>
      <c r="CV21116" s="376"/>
    </row>
    <row r="21117" spans="1:100">
      <c r="A21117" s="374"/>
      <c r="C21117" s="374"/>
      <c r="CV21117" s="376"/>
    </row>
    <row r="21118" spans="1:100">
      <c r="A21118" s="374"/>
      <c r="C21118" s="374"/>
      <c r="CV21118" s="376"/>
    </row>
    <row r="21119" spans="1:100">
      <c r="A21119" s="374"/>
      <c r="C21119" s="374"/>
      <c r="CV21119" s="376"/>
    </row>
    <row r="21120" spans="1:100">
      <c r="A21120" s="374"/>
      <c r="C21120" s="374"/>
      <c r="CV21120" s="376"/>
    </row>
    <row r="21121" spans="1:100">
      <c r="A21121" s="374"/>
      <c r="C21121" s="374"/>
      <c r="CV21121" s="376"/>
    </row>
    <row r="21122" spans="1:100">
      <c r="A21122" s="374"/>
      <c r="C21122" s="374"/>
      <c r="CV21122" s="376"/>
    </row>
    <row r="21123" spans="1:100">
      <c r="A21123" s="374"/>
      <c r="C21123" s="374"/>
      <c r="CV21123" s="376"/>
    </row>
    <row r="21124" spans="1:100">
      <c r="A21124" s="374"/>
      <c r="C21124" s="374"/>
      <c r="CV21124" s="376"/>
    </row>
    <row r="21125" spans="1:100">
      <c r="A21125" s="374"/>
      <c r="C21125" s="374"/>
      <c r="CV21125" s="376"/>
    </row>
    <row r="21126" spans="1:100">
      <c r="A21126" s="374"/>
      <c r="C21126" s="374"/>
      <c r="CV21126" s="376"/>
    </row>
    <row r="21127" spans="1:100">
      <c r="A21127" s="374"/>
      <c r="C21127" s="374"/>
      <c r="CV21127" s="376"/>
    </row>
    <row r="21128" spans="1:100">
      <c r="A21128" s="374"/>
      <c r="C21128" s="374"/>
      <c r="CV21128" s="376"/>
    </row>
    <row r="21129" spans="1:100">
      <c r="A21129" s="374"/>
      <c r="C21129" s="374"/>
      <c r="CV21129" s="376"/>
    </row>
    <row r="21130" spans="1:100">
      <c r="A21130" s="374"/>
      <c r="C21130" s="374"/>
      <c r="CV21130" s="376"/>
    </row>
    <row r="21131" spans="1:100">
      <c r="A21131" s="374"/>
      <c r="C21131" s="374"/>
      <c r="CV21131" s="376"/>
    </row>
    <row r="21132" spans="1:100">
      <c r="A21132" s="374"/>
      <c r="C21132" s="374"/>
      <c r="CV21132" s="376"/>
    </row>
    <row r="21133" spans="1:100">
      <c r="A21133" s="374"/>
      <c r="C21133" s="374"/>
      <c r="CV21133" s="376"/>
    </row>
    <row r="21134" spans="1:100">
      <c r="A21134" s="374"/>
      <c r="C21134" s="374"/>
      <c r="CV21134" s="376"/>
    </row>
    <row r="21135" spans="1:100">
      <c r="A21135" s="374"/>
      <c r="C21135" s="374"/>
      <c r="CV21135" s="376"/>
    </row>
    <row r="21136" spans="1:100">
      <c r="A21136" s="374"/>
      <c r="C21136" s="374"/>
      <c r="CV21136" s="376"/>
    </row>
    <row r="21137" spans="1:100">
      <c r="A21137" s="374"/>
      <c r="C21137" s="374"/>
      <c r="CV21137" s="376"/>
    </row>
    <row r="21138" spans="1:100">
      <c r="A21138" s="374"/>
      <c r="C21138" s="374"/>
      <c r="CV21138" s="376"/>
    </row>
    <row r="21139" spans="1:100">
      <c r="A21139" s="374"/>
      <c r="C21139" s="374"/>
      <c r="CV21139" s="376"/>
    </row>
    <row r="21140" spans="1:100">
      <c r="A21140" s="374"/>
      <c r="C21140" s="374"/>
      <c r="CV21140" s="376"/>
    </row>
    <row r="21141" spans="1:100">
      <c r="A21141" s="374"/>
      <c r="C21141" s="374"/>
      <c r="CV21141" s="376"/>
    </row>
    <row r="21142" spans="1:100">
      <c r="A21142" s="374"/>
      <c r="C21142" s="374"/>
      <c r="CV21142" s="376"/>
    </row>
    <row r="21143" spans="1:100">
      <c r="A21143" s="374"/>
      <c r="C21143" s="374"/>
      <c r="CV21143" s="376"/>
    </row>
    <row r="21144" spans="1:100">
      <c r="A21144" s="374"/>
      <c r="C21144" s="374"/>
      <c r="CV21144" s="376"/>
    </row>
    <row r="21145" spans="1:100">
      <c r="A21145" s="374"/>
      <c r="C21145" s="374"/>
      <c r="CV21145" s="376"/>
    </row>
    <row r="21146" spans="1:100">
      <c r="A21146" s="374"/>
      <c r="C21146" s="374"/>
      <c r="CV21146" s="376"/>
    </row>
    <row r="21147" spans="1:100">
      <c r="A21147" s="374"/>
      <c r="C21147" s="374"/>
      <c r="CV21147" s="376"/>
    </row>
    <row r="21148" spans="1:100">
      <c r="A21148" s="374"/>
      <c r="C21148" s="374"/>
      <c r="CV21148" s="376"/>
    </row>
    <row r="21149" spans="1:100">
      <c r="A21149" s="374"/>
      <c r="C21149" s="374"/>
      <c r="CV21149" s="376"/>
    </row>
    <row r="21150" spans="1:100">
      <c r="A21150" s="374"/>
      <c r="C21150" s="374"/>
      <c r="CV21150" s="376"/>
    </row>
    <row r="21151" spans="1:100">
      <c r="A21151" s="374"/>
      <c r="C21151" s="374"/>
      <c r="CV21151" s="376"/>
    </row>
    <row r="21152" spans="1:100">
      <c r="A21152" s="374"/>
      <c r="C21152" s="374"/>
      <c r="CV21152" s="376"/>
    </row>
    <row r="21153" spans="1:100">
      <c r="A21153" s="374"/>
      <c r="C21153" s="374"/>
      <c r="CV21153" s="376"/>
    </row>
    <row r="21154" spans="1:100">
      <c r="A21154" s="374"/>
      <c r="C21154" s="374"/>
      <c r="CV21154" s="376"/>
    </row>
    <row r="21155" spans="1:100">
      <c r="A21155" s="374"/>
      <c r="C21155" s="374"/>
      <c r="CV21155" s="376"/>
    </row>
    <row r="21156" spans="1:100">
      <c r="A21156" s="374"/>
      <c r="C21156" s="374"/>
      <c r="CV21156" s="376"/>
    </row>
    <row r="21157" spans="1:100">
      <c r="A21157" s="374"/>
      <c r="C21157" s="374"/>
      <c r="CV21157" s="376"/>
    </row>
    <row r="21158" spans="1:100">
      <c r="A21158" s="374"/>
      <c r="C21158" s="374"/>
      <c r="CV21158" s="376"/>
    </row>
    <row r="21159" spans="1:100">
      <c r="A21159" s="374"/>
      <c r="C21159" s="374"/>
      <c r="CV21159" s="376"/>
    </row>
    <row r="21160" spans="1:100">
      <c r="A21160" s="374"/>
      <c r="C21160" s="374"/>
      <c r="CV21160" s="376"/>
    </row>
    <row r="21161" spans="1:100">
      <c r="A21161" s="374"/>
      <c r="C21161" s="374"/>
      <c r="CV21161" s="376"/>
    </row>
    <row r="21162" spans="1:100">
      <c r="A21162" s="374"/>
      <c r="C21162" s="374"/>
      <c r="CV21162" s="376"/>
    </row>
    <row r="21163" spans="1:100">
      <c r="A21163" s="374"/>
      <c r="C21163" s="374"/>
      <c r="CV21163" s="376"/>
    </row>
    <row r="21164" spans="1:100">
      <c r="A21164" s="374"/>
      <c r="C21164" s="374"/>
      <c r="CV21164" s="376"/>
    </row>
    <row r="21165" spans="1:100">
      <c r="A21165" s="374"/>
      <c r="C21165" s="374"/>
      <c r="CV21165" s="376"/>
    </row>
    <row r="21166" spans="1:100">
      <c r="A21166" s="374"/>
      <c r="C21166" s="374"/>
      <c r="CV21166" s="376"/>
    </row>
    <row r="21167" spans="1:100">
      <c r="A21167" s="374"/>
      <c r="C21167" s="374"/>
      <c r="CV21167" s="376"/>
    </row>
    <row r="21168" spans="1:100">
      <c r="A21168" s="374"/>
      <c r="C21168" s="374"/>
      <c r="CV21168" s="376"/>
    </row>
    <row r="21169" spans="1:100">
      <c r="A21169" s="374"/>
      <c r="C21169" s="374"/>
      <c r="CV21169" s="376"/>
    </row>
    <row r="21170" spans="1:100">
      <c r="A21170" s="374"/>
      <c r="C21170" s="374"/>
      <c r="CV21170" s="376"/>
    </row>
    <row r="21171" spans="1:100">
      <c r="A21171" s="374"/>
      <c r="C21171" s="374"/>
      <c r="CV21171" s="376"/>
    </row>
    <row r="21172" spans="1:100">
      <c r="A21172" s="374"/>
      <c r="C21172" s="374"/>
      <c r="CV21172" s="376"/>
    </row>
    <row r="21173" spans="1:100">
      <c r="A21173" s="374"/>
      <c r="C21173" s="374"/>
      <c r="CV21173" s="376"/>
    </row>
    <row r="21174" spans="1:100">
      <c r="A21174" s="374"/>
      <c r="C21174" s="374"/>
      <c r="CV21174" s="376"/>
    </row>
    <row r="21175" spans="1:100">
      <c r="A21175" s="374"/>
      <c r="C21175" s="374"/>
      <c r="CV21175" s="376"/>
    </row>
    <row r="21176" spans="1:100">
      <c r="A21176" s="374"/>
      <c r="C21176" s="374"/>
      <c r="CV21176" s="376"/>
    </row>
    <row r="21177" spans="1:100">
      <c r="A21177" s="374"/>
      <c r="C21177" s="374"/>
      <c r="CV21177" s="376"/>
    </row>
    <row r="21178" spans="1:100">
      <c r="A21178" s="374"/>
      <c r="C21178" s="374"/>
      <c r="CV21178" s="376"/>
    </row>
    <row r="21179" spans="1:100">
      <c r="A21179" s="374"/>
      <c r="C21179" s="374"/>
      <c r="CV21179" s="376"/>
    </row>
    <row r="21180" spans="1:100">
      <c r="A21180" s="374"/>
      <c r="C21180" s="374"/>
      <c r="CV21180" s="376"/>
    </row>
    <row r="21181" spans="1:100">
      <c r="A21181" s="374"/>
      <c r="C21181" s="374"/>
      <c r="CV21181" s="376"/>
    </row>
    <row r="21182" spans="1:100">
      <c r="A21182" s="374"/>
      <c r="C21182" s="374"/>
      <c r="CV21182" s="376"/>
    </row>
    <row r="21183" spans="1:100">
      <c r="A21183" s="374"/>
      <c r="C21183" s="374"/>
      <c r="CV21183" s="376"/>
    </row>
    <row r="21184" spans="1:100">
      <c r="A21184" s="374"/>
      <c r="C21184" s="374"/>
      <c r="CV21184" s="376"/>
    </row>
    <row r="21185" spans="1:100">
      <c r="A21185" s="374"/>
      <c r="C21185" s="374"/>
      <c r="CV21185" s="376"/>
    </row>
    <row r="21186" spans="1:100">
      <c r="A21186" s="374"/>
      <c r="C21186" s="374"/>
      <c r="CV21186" s="376"/>
    </row>
    <row r="21187" spans="1:100">
      <c r="A21187" s="374"/>
      <c r="C21187" s="374"/>
      <c r="CV21187" s="376"/>
    </row>
    <row r="21188" spans="1:100">
      <c r="A21188" s="374"/>
      <c r="C21188" s="374"/>
      <c r="CV21188" s="376"/>
    </row>
    <row r="21189" spans="1:100">
      <c r="A21189" s="374"/>
      <c r="C21189" s="374"/>
      <c r="CV21189" s="376"/>
    </row>
    <row r="21190" spans="1:100">
      <c r="A21190" s="374"/>
      <c r="C21190" s="374"/>
      <c r="CV21190" s="376"/>
    </row>
    <row r="21191" spans="1:100">
      <c r="A21191" s="374"/>
      <c r="C21191" s="374"/>
      <c r="CV21191" s="376"/>
    </row>
    <row r="21192" spans="1:100">
      <c r="A21192" s="374"/>
      <c r="C21192" s="374"/>
      <c r="CV21192" s="376"/>
    </row>
    <row r="21193" spans="1:100">
      <c r="A21193" s="374"/>
      <c r="C21193" s="374"/>
      <c r="CV21193" s="376"/>
    </row>
    <row r="21194" spans="1:100">
      <c r="A21194" s="374"/>
      <c r="C21194" s="374"/>
      <c r="CV21194" s="376"/>
    </row>
    <row r="21195" spans="1:100">
      <c r="A21195" s="374"/>
      <c r="C21195" s="374"/>
      <c r="CV21195" s="376"/>
    </row>
    <row r="21196" spans="1:100">
      <c r="A21196" s="374"/>
      <c r="C21196" s="374"/>
      <c r="CV21196" s="376"/>
    </row>
    <row r="21197" spans="1:100">
      <c r="A21197" s="374"/>
      <c r="C21197" s="374"/>
      <c r="CV21197" s="376"/>
    </row>
    <row r="21198" spans="1:100">
      <c r="A21198" s="374"/>
      <c r="C21198" s="374"/>
      <c r="CV21198" s="376"/>
    </row>
    <row r="21199" spans="1:100">
      <c r="A21199" s="374"/>
      <c r="C21199" s="374"/>
      <c r="CV21199" s="376"/>
    </row>
    <row r="21200" spans="1:100">
      <c r="A21200" s="374"/>
      <c r="C21200" s="374"/>
      <c r="CV21200" s="376"/>
    </row>
    <row r="21201" spans="1:100">
      <c r="A21201" s="374"/>
      <c r="C21201" s="374"/>
      <c r="CV21201" s="376"/>
    </row>
    <row r="21202" spans="1:100">
      <c r="A21202" s="374"/>
      <c r="C21202" s="374"/>
      <c r="CV21202" s="376"/>
    </row>
    <row r="21203" spans="1:100">
      <c r="A21203" s="374"/>
      <c r="C21203" s="374"/>
      <c r="CV21203" s="376"/>
    </row>
    <row r="21204" spans="1:100">
      <c r="A21204" s="374"/>
      <c r="C21204" s="374"/>
      <c r="CV21204" s="376"/>
    </row>
    <row r="21205" spans="1:100">
      <c r="A21205" s="374"/>
      <c r="C21205" s="374"/>
      <c r="CV21205" s="376"/>
    </row>
    <row r="21206" spans="1:100">
      <c r="A21206" s="374"/>
      <c r="C21206" s="374"/>
      <c r="CV21206" s="376"/>
    </row>
    <row r="21207" spans="1:100">
      <c r="A21207" s="374"/>
      <c r="C21207" s="374"/>
      <c r="CV21207" s="376"/>
    </row>
    <row r="21208" spans="1:100">
      <c r="A21208" s="374"/>
      <c r="C21208" s="374"/>
      <c r="CV21208" s="376"/>
    </row>
    <row r="21209" spans="1:100">
      <c r="A21209" s="374"/>
      <c r="C21209" s="374"/>
      <c r="CV21209" s="376"/>
    </row>
    <row r="21210" spans="1:100">
      <c r="A21210" s="374"/>
      <c r="C21210" s="374"/>
      <c r="CV21210" s="376"/>
    </row>
    <row r="21211" spans="1:100">
      <c r="A21211" s="374"/>
      <c r="C21211" s="374"/>
      <c r="CV21211" s="376"/>
    </row>
    <row r="21212" spans="1:100">
      <c r="A21212" s="374"/>
      <c r="C21212" s="374"/>
      <c r="CV21212" s="376"/>
    </row>
    <row r="21213" spans="1:100">
      <c r="A21213" s="374"/>
      <c r="C21213" s="374"/>
      <c r="CV21213" s="376"/>
    </row>
    <row r="21214" spans="1:100">
      <c r="A21214" s="374"/>
      <c r="C21214" s="374"/>
      <c r="CV21214" s="376"/>
    </row>
    <row r="21215" spans="1:100">
      <c r="A21215" s="374"/>
      <c r="C21215" s="374"/>
      <c r="CV21215" s="376"/>
    </row>
    <row r="21216" spans="1:100">
      <c r="A21216" s="374"/>
      <c r="C21216" s="374"/>
      <c r="CV21216" s="376"/>
    </row>
    <row r="21217" spans="1:100">
      <c r="A21217" s="374"/>
      <c r="C21217" s="374"/>
      <c r="CV21217" s="376"/>
    </row>
    <row r="21218" spans="1:100">
      <c r="A21218" s="374"/>
      <c r="C21218" s="374"/>
      <c r="CV21218" s="376"/>
    </row>
    <row r="21219" spans="1:100">
      <c r="A21219" s="374"/>
      <c r="C21219" s="374"/>
      <c r="CV21219" s="376"/>
    </row>
    <row r="21220" spans="1:100">
      <c r="A21220" s="374"/>
      <c r="C21220" s="374"/>
      <c r="CV21220" s="376"/>
    </row>
    <row r="21221" spans="1:100">
      <c r="A21221" s="374"/>
      <c r="C21221" s="374"/>
      <c r="CV21221" s="376"/>
    </row>
    <row r="21222" spans="1:100">
      <c r="A21222" s="374"/>
      <c r="C21222" s="374"/>
      <c r="CV21222" s="376"/>
    </row>
    <row r="21223" spans="1:100">
      <c r="A21223" s="374"/>
      <c r="C21223" s="374"/>
      <c r="CV21223" s="376"/>
    </row>
    <row r="21224" spans="1:100">
      <c r="A21224" s="374"/>
      <c r="C21224" s="374"/>
      <c r="CV21224" s="376"/>
    </row>
    <row r="21225" spans="1:100">
      <c r="A21225" s="374"/>
      <c r="C21225" s="374"/>
      <c r="CV21225" s="376"/>
    </row>
    <row r="21226" spans="1:100">
      <c r="A21226" s="374"/>
      <c r="C21226" s="374"/>
      <c r="CV21226" s="376"/>
    </row>
    <row r="21227" spans="1:100">
      <c r="A21227" s="374"/>
      <c r="C21227" s="374"/>
      <c r="CV21227" s="376"/>
    </row>
    <row r="21228" spans="1:100">
      <c r="A21228" s="374"/>
      <c r="C21228" s="374"/>
      <c r="CV21228" s="376"/>
    </row>
    <row r="21229" spans="1:100">
      <c r="A21229" s="374"/>
      <c r="C21229" s="374"/>
      <c r="CV21229" s="376"/>
    </row>
    <row r="21230" spans="1:100">
      <c r="A21230" s="374"/>
      <c r="C21230" s="374"/>
      <c r="CV21230" s="376"/>
    </row>
    <row r="21231" spans="1:100">
      <c r="A21231" s="374"/>
      <c r="C21231" s="374"/>
      <c r="CV21231" s="376"/>
    </row>
    <row r="21232" spans="1:100">
      <c r="A21232" s="374"/>
      <c r="C21232" s="374"/>
      <c r="CV21232" s="376"/>
    </row>
    <row r="21233" spans="1:100">
      <c r="A21233" s="374"/>
      <c r="C21233" s="374"/>
      <c r="CV21233" s="376"/>
    </row>
    <row r="21234" spans="1:100">
      <c r="A21234" s="374"/>
      <c r="C21234" s="374"/>
      <c r="CV21234" s="376"/>
    </row>
    <row r="21235" spans="1:100">
      <c r="A21235" s="374"/>
      <c r="C21235" s="374"/>
      <c r="CV21235" s="376"/>
    </row>
    <row r="21236" spans="1:100">
      <c r="A21236" s="374"/>
      <c r="C21236" s="374"/>
      <c r="CV21236" s="376"/>
    </row>
    <row r="21237" spans="1:100">
      <c r="A21237" s="374"/>
      <c r="C21237" s="374"/>
      <c r="CV21237" s="376"/>
    </row>
    <row r="21238" spans="1:100">
      <c r="A21238" s="374"/>
      <c r="C21238" s="374"/>
      <c r="CV21238" s="376"/>
    </row>
    <row r="21239" spans="1:100">
      <c r="A21239" s="374"/>
      <c r="C21239" s="374"/>
      <c r="CV21239" s="376"/>
    </row>
    <row r="21240" spans="1:100">
      <c r="A21240" s="374"/>
      <c r="C21240" s="374"/>
      <c r="CV21240" s="376"/>
    </row>
    <row r="21241" spans="1:100">
      <c r="A21241" s="374"/>
      <c r="C21241" s="374"/>
      <c r="CV21241" s="376"/>
    </row>
    <row r="21242" spans="1:100">
      <c r="A21242" s="374"/>
      <c r="C21242" s="374"/>
      <c r="CV21242" s="376"/>
    </row>
    <row r="21243" spans="1:100">
      <c r="A21243" s="374"/>
      <c r="C21243" s="374"/>
      <c r="CV21243" s="376"/>
    </row>
    <row r="21244" spans="1:100">
      <c r="A21244" s="374"/>
      <c r="C21244" s="374"/>
      <c r="CV21244" s="376"/>
    </row>
    <row r="21245" spans="1:100">
      <c r="A21245" s="374"/>
      <c r="C21245" s="374"/>
      <c r="CV21245" s="376"/>
    </row>
    <row r="21246" spans="1:100">
      <c r="A21246" s="374"/>
      <c r="C21246" s="374"/>
      <c r="CV21246" s="376"/>
    </row>
    <row r="21247" spans="1:100">
      <c r="A21247" s="374"/>
      <c r="C21247" s="374"/>
      <c r="CV21247" s="376"/>
    </row>
    <row r="21248" spans="1:100">
      <c r="A21248" s="374"/>
      <c r="C21248" s="374"/>
      <c r="CV21248" s="376"/>
    </row>
    <row r="21249" spans="1:100">
      <c r="A21249" s="374"/>
      <c r="C21249" s="374"/>
      <c r="CV21249" s="376"/>
    </row>
    <row r="21250" spans="1:100">
      <c r="A21250" s="374"/>
      <c r="C21250" s="374"/>
      <c r="CV21250" s="376"/>
    </row>
    <row r="21251" spans="1:100">
      <c r="A21251" s="374"/>
      <c r="C21251" s="374"/>
      <c r="CV21251" s="376"/>
    </row>
    <row r="21252" spans="1:100">
      <c r="A21252" s="374"/>
      <c r="C21252" s="374"/>
      <c r="CV21252" s="376"/>
    </row>
    <row r="21253" spans="1:100">
      <c r="A21253" s="374"/>
      <c r="C21253" s="374"/>
      <c r="CV21253" s="376"/>
    </row>
    <row r="21254" spans="1:100">
      <c r="A21254" s="374"/>
      <c r="C21254" s="374"/>
      <c r="CV21254" s="376"/>
    </row>
    <row r="21255" spans="1:100">
      <c r="A21255" s="374"/>
      <c r="C21255" s="374"/>
      <c r="CV21255" s="376"/>
    </row>
    <row r="21256" spans="1:100">
      <c r="A21256" s="374"/>
      <c r="C21256" s="374"/>
      <c r="CV21256" s="376"/>
    </row>
    <row r="21257" spans="1:100">
      <c r="A21257" s="374"/>
      <c r="C21257" s="374"/>
      <c r="CV21257" s="376"/>
    </row>
    <row r="21258" spans="1:100">
      <c r="A21258" s="374"/>
      <c r="C21258" s="374"/>
      <c r="CV21258" s="376"/>
    </row>
    <row r="21259" spans="1:100">
      <c r="A21259" s="374"/>
      <c r="C21259" s="374"/>
      <c r="CV21259" s="376"/>
    </row>
    <row r="21260" spans="1:100">
      <c r="A21260" s="374"/>
      <c r="C21260" s="374"/>
      <c r="CV21260" s="376"/>
    </row>
    <row r="21261" spans="1:100">
      <c r="A21261" s="374"/>
      <c r="C21261" s="374"/>
      <c r="CV21261" s="376"/>
    </row>
    <row r="21262" spans="1:100">
      <c r="A21262" s="374"/>
      <c r="C21262" s="374"/>
      <c r="CV21262" s="376"/>
    </row>
    <row r="21263" spans="1:100">
      <c r="A21263" s="374"/>
      <c r="C21263" s="374"/>
      <c r="CV21263" s="376"/>
    </row>
    <row r="21264" spans="1:100">
      <c r="A21264" s="374"/>
      <c r="C21264" s="374"/>
      <c r="CV21264" s="376"/>
    </row>
    <row r="21265" spans="1:100">
      <c r="A21265" s="374"/>
      <c r="C21265" s="374"/>
      <c r="CV21265" s="376"/>
    </row>
    <row r="21266" spans="1:100">
      <c r="A21266" s="374"/>
      <c r="C21266" s="374"/>
      <c r="CV21266" s="376"/>
    </row>
    <row r="21267" spans="1:100">
      <c r="A21267" s="374"/>
      <c r="C21267" s="374"/>
      <c r="CV21267" s="376"/>
    </row>
    <row r="21268" spans="1:100">
      <c r="A21268" s="374"/>
      <c r="C21268" s="374"/>
      <c r="CV21268" s="376"/>
    </row>
    <row r="21269" spans="1:100">
      <c r="A21269" s="374"/>
      <c r="C21269" s="374"/>
      <c r="CV21269" s="376"/>
    </row>
    <row r="21270" spans="1:100">
      <c r="A21270" s="374"/>
      <c r="C21270" s="374"/>
      <c r="CV21270" s="376"/>
    </row>
    <row r="21271" spans="1:100">
      <c r="A21271" s="374"/>
      <c r="C21271" s="374"/>
      <c r="CV21271" s="376"/>
    </row>
    <row r="21272" spans="1:100">
      <c r="A21272" s="374"/>
      <c r="C21272" s="374"/>
      <c r="CV21272" s="376"/>
    </row>
    <row r="21273" spans="1:100">
      <c r="A21273" s="374"/>
      <c r="C21273" s="374"/>
      <c r="CV21273" s="376"/>
    </row>
    <row r="21274" spans="1:100">
      <c r="A21274" s="374"/>
      <c r="C21274" s="374"/>
      <c r="CV21274" s="376"/>
    </row>
    <row r="21275" spans="1:100">
      <c r="A21275" s="374"/>
      <c r="C21275" s="374"/>
      <c r="CV21275" s="376"/>
    </row>
    <row r="21276" spans="1:100">
      <c r="A21276" s="374"/>
      <c r="C21276" s="374"/>
      <c r="CV21276" s="376"/>
    </row>
    <row r="21277" spans="1:100">
      <c r="A21277" s="374"/>
      <c r="C21277" s="374"/>
      <c r="CV21277" s="376"/>
    </row>
    <row r="21278" spans="1:100">
      <c r="A21278" s="374"/>
      <c r="C21278" s="374"/>
      <c r="CV21278" s="376"/>
    </row>
    <row r="21279" spans="1:100">
      <c r="A21279" s="374"/>
      <c r="C21279" s="374"/>
      <c r="CV21279" s="376"/>
    </row>
    <row r="21280" spans="1:100">
      <c r="A21280" s="374"/>
      <c r="C21280" s="374"/>
      <c r="CV21280" s="376"/>
    </row>
    <row r="21281" spans="1:100">
      <c r="A21281" s="374"/>
      <c r="C21281" s="374"/>
      <c r="CV21281" s="376"/>
    </row>
    <row r="21282" spans="1:100">
      <c r="A21282" s="374"/>
      <c r="C21282" s="374"/>
      <c r="CV21282" s="376"/>
    </row>
    <row r="21283" spans="1:100">
      <c r="A21283" s="374"/>
      <c r="C21283" s="374"/>
      <c r="CV21283" s="376"/>
    </row>
    <row r="21284" spans="1:100">
      <c r="A21284" s="374"/>
      <c r="C21284" s="374"/>
      <c r="CV21284" s="376"/>
    </row>
    <row r="21285" spans="1:100">
      <c r="A21285" s="374"/>
      <c r="C21285" s="374"/>
      <c r="CV21285" s="376"/>
    </row>
    <row r="21286" spans="1:100">
      <c r="A21286" s="374"/>
      <c r="C21286" s="374"/>
      <c r="CV21286" s="376"/>
    </row>
    <row r="21287" spans="1:100">
      <c r="A21287" s="374"/>
      <c r="C21287" s="374"/>
      <c r="CV21287" s="376"/>
    </row>
    <row r="21288" spans="1:100">
      <c r="A21288" s="374"/>
      <c r="C21288" s="374"/>
      <c r="CV21288" s="376"/>
    </row>
    <row r="21289" spans="1:100">
      <c r="A21289" s="374"/>
      <c r="C21289" s="374"/>
      <c r="CV21289" s="376"/>
    </row>
    <row r="21290" spans="1:100">
      <c r="A21290" s="374"/>
      <c r="C21290" s="374"/>
      <c r="CV21290" s="376"/>
    </row>
    <row r="21291" spans="1:100">
      <c r="A21291" s="374"/>
      <c r="C21291" s="374"/>
      <c r="CV21291" s="376"/>
    </row>
    <row r="21292" spans="1:100">
      <c r="A21292" s="374"/>
      <c r="C21292" s="374"/>
      <c r="CV21292" s="376"/>
    </row>
    <row r="21293" spans="1:100">
      <c r="A21293" s="374"/>
      <c r="C21293" s="374"/>
      <c r="CV21293" s="376"/>
    </row>
    <row r="21294" spans="1:100">
      <c r="A21294" s="374"/>
      <c r="C21294" s="374"/>
      <c r="CV21294" s="376"/>
    </row>
    <row r="21295" spans="1:100">
      <c r="A21295" s="374"/>
      <c r="C21295" s="374"/>
      <c r="CV21295" s="376"/>
    </row>
    <row r="21296" spans="1:100">
      <c r="A21296" s="374"/>
      <c r="C21296" s="374"/>
      <c r="CV21296" s="376"/>
    </row>
    <row r="21297" spans="1:100">
      <c r="A21297" s="374"/>
      <c r="C21297" s="374"/>
      <c r="CV21297" s="376"/>
    </row>
    <row r="21298" spans="1:100">
      <c r="A21298" s="374"/>
      <c r="C21298" s="374"/>
      <c r="CV21298" s="376"/>
    </row>
    <row r="21299" spans="1:100">
      <c r="A21299" s="374"/>
      <c r="C21299" s="374"/>
      <c r="CV21299" s="376"/>
    </row>
    <row r="21300" spans="1:100">
      <c r="A21300" s="374"/>
      <c r="C21300" s="374"/>
      <c r="CV21300" s="376"/>
    </row>
    <row r="21301" spans="1:100">
      <c r="A21301" s="374"/>
      <c r="C21301" s="374"/>
      <c r="CV21301" s="376"/>
    </row>
    <row r="21302" spans="1:100">
      <c r="A21302" s="374"/>
      <c r="C21302" s="374"/>
      <c r="CV21302" s="376"/>
    </row>
    <row r="21303" spans="1:100">
      <c r="A21303" s="374"/>
      <c r="C21303" s="374"/>
      <c r="CV21303" s="376"/>
    </row>
    <row r="21304" spans="1:100">
      <c r="A21304" s="374"/>
      <c r="C21304" s="374"/>
      <c r="CV21304" s="376"/>
    </row>
    <row r="21305" spans="1:100">
      <c r="A21305" s="374"/>
      <c r="C21305" s="374"/>
      <c r="CV21305" s="376"/>
    </row>
    <row r="21306" spans="1:100">
      <c r="A21306" s="374"/>
      <c r="C21306" s="374"/>
      <c r="CV21306" s="376"/>
    </row>
    <row r="21307" spans="1:100">
      <c r="A21307" s="374"/>
      <c r="C21307" s="374"/>
      <c r="CV21307" s="376"/>
    </row>
    <row r="21308" spans="1:100">
      <c r="A21308" s="374"/>
      <c r="C21308" s="374"/>
      <c r="CV21308" s="376"/>
    </row>
    <row r="21309" spans="1:100">
      <c r="A21309" s="374"/>
      <c r="C21309" s="374"/>
      <c r="CV21309" s="376"/>
    </row>
    <row r="21310" spans="1:100">
      <c r="A21310" s="374"/>
      <c r="C21310" s="374"/>
      <c r="CV21310" s="376"/>
    </row>
    <row r="21311" spans="1:100">
      <c r="A21311" s="374"/>
      <c r="C21311" s="374"/>
      <c r="CV21311" s="376"/>
    </row>
    <row r="21312" spans="1:100">
      <c r="A21312" s="374"/>
      <c r="C21312" s="374"/>
      <c r="CV21312" s="376"/>
    </row>
    <row r="21313" spans="1:100">
      <c r="A21313" s="374"/>
      <c r="C21313" s="374"/>
      <c r="CV21313" s="376"/>
    </row>
    <row r="21314" spans="1:100">
      <c r="A21314" s="374"/>
      <c r="C21314" s="374"/>
      <c r="CV21314" s="376"/>
    </row>
    <row r="21315" spans="1:100">
      <c r="A21315" s="374"/>
      <c r="C21315" s="374"/>
      <c r="CV21315" s="376"/>
    </row>
    <row r="21316" spans="1:100">
      <c r="A21316" s="374"/>
      <c r="C21316" s="374"/>
      <c r="CV21316" s="376"/>
    </row>
    <row r="21317" spans="1:100">
      <c r="A21317" s="374"/>
      <c r="C21317" s="374"/>
      <c r="CV21317" s="376"/>
    </row>
    <row r="21318" spans="1:100">
      <c r="A21318" s="374"/>
      <c r="C21318" s="374"/>
      <c r="CV21318" s="376"/>
    </row>
    <row r="21319" spans="1:100">
      <c r="A21319" s="374"/>
      <c r="C21319" s="374"/>
      <c r="CV21319" s="376"/>
    </row>
    <row r="21320" spans="1:100">
      <c r="A21320" s="374"/>
      <c r="C21320" s="374"/>
      <c r="CV21320" s="376"/>
    </row>
    <row r="21321" spans="1:100">
      <c r="A21321" s="374"/>
      <c r="C21321" s="374"/>
      <c r="CV21321" s="376"/>
    </row>
    <row r="21322" spans="1:100">
      <c r="A21322" s="374"/>
      <c r="C21322" s="374"/>
      <c r="CV21322" s="376"/>
    </row>
    <row r="21323" spans="1:100">
      <c r="A21323" s="374"/>
      <c r="C21323" s="374"/>
      <c r="CV21323" s="376"/>
    </row>
    <row r="21324" spans="1:100">
      <c r="A21324" s="374"/>
      <c r="C21324" s="374"/>
      <c r="CV21324" s="376"/>
    </row>
    <row r="21325" spans="1:100">
      <c r="A21325" s="374"/>
      <c r="C21325" s="374"/>
      <c r="CV21325" s="376"/>
    </row>
    <row r="21326" spans="1:100">
      <c r="A21326" s="374"/>
      <c r="C21326" s="374"/>
      <c r="CV21326" s="376"/>
    </row>
    <row r="21327" spans="1:100">
      <c r="A21327" s="374"/>
      <c r="C21327" s="374"/>
      <c r="CV21327" s="376"/>
    </row>
    <row r="21328" spans="1:100">
      <c r="A21328" s="374"/>
      <c r="C21328" s="374"/>
      <c r="CV21328" s="376"/>
    </row>
    <row r="21329" spans="1:100">
      <c r="A21329" s="374"/>
      <c r="C21329" s="374"/>
      <c r="CV21329" s="376"/>
    </row>
    <row r="21330" spans="1:100">
      <c r="A21330" s="374"/>
      <c r="C21330" s="374"/>
      <c r="CV21330" s="376"/>
    </row>
    <row r="21331" spans="1:100">
      <c r="A21331" s="374"/>
      <c r="C21331" s="374"/>
      <c r="CV21331" s="376"/>
    </row>
    <row r="21332" spans="1:100">
      <c r="A21332" s="374"/>
      <c r="C21332" s="374"/>
      <c r="CV21332" s="376"/>
    </row>
    <row r="21333" spans="1:100">
      <c r="A21333" s="374"/>
      <c r="C21333" s="374"/>
      <c r="CV21333" s="376"/>
    </row>
    <row r="21334" spans="1:100">
      <c r="A21334" s="374"/>
      <c r="C21334" s="374"/>
      <c r="CV21334" s="376"/>
    </row>
    <row r="21335" spans="1:100">
      <c r="A21335" s="374"/>
      <c r="C21335" s="374"/>
      <c r="CV21335" s="376"/>
    </row>
    <row r="21336" spans="1:100">
      <c r="A21336" s="374"/>
      <c r="C21336" s="374"/>
      <c r="CV21336" s="376"/>
    </row>
    <row r="21337" spans="1:100">
      <c r="A21337" s="374"/>
      <c r="C21337" s="374"/>
      <c r="CV21337" s="376"/>
    </row>
    <row r="21338" spans="1:100">
      <c r="A21338" s="374"/>
      <c r="C21338" s="374"/>
      <c r="CV21338" s="376"/>
    </row>
    <row r="21339" spans="1:100">
      <c r="A21339" s="374"/>
      <c r="C21339" s="374"/>
      <c r="CV21339" s="376"/>
    </row>
    <row r="21340" spans="1:100">
      <c r="A21340" s="374"/>
      <c r="C21340" s="374"/>
      <c r="CV21340" s="376"/>
    </row>
    <row r="21341" spans="1:100">
      <c r="A21341" s="374"/>
      <c r="C21341" s="374"/>
      <c r="CV21341" s="376"/>
    </row>
    <row r="21342" spans="1:100">
      <c r="A21342" s="374"/>
      <c r="C21342" s="374"/>
      <c r="CV21342" s="376"/>
    </row>
    <row r="21343" spans="1:100">
      <c r="A21343" s="374"/>
      <c r="C21343" s="374"/>
      <c r="CV21343" s="376"/>
    </row>
    <row r="21344" spans="1:100">
      <c r="A21344" s="374"/>
      <c r="C21344" s="374"/>
      <c r="CV21344" s="376"/>
    </row>
    <row r="21345" spans="1:100">
      <c r="A21345" s="374"/>
      <c r="C21345" s="374"/>
      <c r="CV21345" s="376"/>
    </row>
    <row r="21346" spans="1:100">
      <c r="A21346" s="374"/>
      <c r="C21346" s="374"/>
      <c r="CV21346" s="376"/>
    </row>
    <row r="21347" spans="1:100">
      <c r="A21347" s="374"/>
      <c r="C21347" s="374"/>
      <c r="CV21347" s="376"/>
    </row>
    <row r="21348" spans="1:100">
      <c r="A21348" s="374"/>
      <c r="C21348" s="374"/>
      <c r="CV21348" s="376"/>
    </row>
    <row r="21349" spans="1:100">
      <c r="A21349" s="374"/>
      <c r="C21349" s="374"/>
      <c r="CV21349" s="376"/>
    </row>
    <row r="21350" spans="1:100">
      <c r="A21350" s="374"/>
      <c r="C21350" s="374"/>
      <c r="CV21350" s="376"/>
    </row>
    <row r="21351" spans="1:100">
      <c r="A21351" s="374"/>
      <c r="C21351" s="374"/>
      <c r="CV21351" s="376"/>
    </row>
    <row r="21352" spans="1:100">
      <c r="A21352" s="374"/>
      <c r="C21352" s="374"/>
      <c r="CV21352" s="376"/>
    </row>
    <row r="21353" spans="1:100">
      <c r="A21353" s="374"/>
      <c r="C21353" s="374"/>
      <c r="CV21353" s="376"/>
    </row>
    <row r="21354" spans="1:100">
      <c r="A21354" s="374"/>
      <c r="C21354" s="374"/>
      <c r="CV21354" s="376"/>
    </row>
    <row r="21355" spans="1:100">
      <c r="A21355" s="374"/>
      <c r="C21355" s="374"/>
      <c r="CV21355" s="376"/>
    </row>
    <row r="21356" spans="1:100">
      <c r="A21356" s="374"/>
      <c r="C21356" s="374"/>
      <c r="CV21356" s="376"/>
    </row>
    <row r="21357" spans="1:100">
      <c r="A21357" s="374"/>
      <c r="C21357" s="374"/>
      <c r="CV21357" s="376"/>
    </row>
    <row r="21358" spans="1:100">
      <c r="A21358" s="374"/>
      <c r="C21358" s="374"/>
      <c r="CV21358" s="376"/>
    </row>
    <row r="21359" spans="1:100">
      <c r="A21359" s="374"/>
      <c r="C21359" s="374"/>
      <c r="CV21359" s="376"/>
    </row>
    <row r="21360" spans="1:100">
      <c r="A21360" s="374"/>
      <c r="C21360" s="374"/>
      <c r="CV21360" s="376"/>
    </row>
    <row r="21361" spans="1:100">
      <c r="A21361" s="374"/>
      <c r="C21361" s="374"/>
      <c r="CV21361" s="376"/>
    </row>
    <row r="21362" spans="1:100">
      <c r="A21362" s="374"/>
      <c r="C21362" s="374"/>
      <c r="CV21362" s="376"/>
    </row>
    <row r="21363" spans="1:100">
      <c r="A21363" s="374"/>
      <c r="C21363" s="374"/>
      <c r="CV21363" s="376"/>
    </row>
    <row r="21364" spans="1:100">
      <c r="A21364" s="374"/>
      <c r="C21364" s="374"/>
      <c r="CV21364" s="376"/>
    </row>
    <row r="21365" spans="1:100">
      <c r="A21365" s="374"/>
      <c r="C21365" s="374"/>
      <c r="CV21365" s="376"/>
    </row>
    <row r="21366" spans="1:100">
      <c r="A21366" s="374"/>
      <c r="C21366" s="374"/>
      <c r="CV21366" s="376"/>
    </row>
    <row r="21367" spans="1:100">
      <c r="A21367" s="374"/>
      <c r="C21367" s="374"/>
      <c r="CV21367" s="376"/>
    </row>
    <row r="21368" spans="1:100">
      <c r="A21368" s="374"/>
      <c r="C21368" s="374"/>
      <c r="CV21368" s="376"/>
    </row>
    <row r="21369" spans="1:100">
      <c r="A21369" s="374"/>
      <c r="C21369" s="374"/>
      <c r="CV21369" s="376"/>
    </row>
    <row r="21370" spans="1:100">
      <c r="A21370" s="374"/>
      <c r="C21370" s="374"/>
      <c r="CV21370" s="376"/>
    </row>
    <row r="21371" spans="1:100">
      <c r="A21371" s="374"/>
      <c r="C21371" s="374"/>
      <c r="CV21371" s="376"/>
    </row>
    <row r="21372" spans="1:100">
      <c r="A21372" s="374"/>
      <c r="C21372" s="374"/>
      <c r="CV21372" s="376"/>
    </row>
    <row r="21373" spans="1:100">
      <c r="A21373" s="374"/>
      <c r="C21373" s="374"/>
      <c r="CV21373" s="376"/>
    </row>
    <row r="21374" spans="1:100">
      <c r="A21374" s="374"/>
      <c r="C21374" s="374"/>
      <c r="CV21374" s="376"/>
    </row>
    <row r="21375" spans="1:100">
      <c r="A21375" s="374"/>
      <c r="C21375" s="374"/>
      <c r="CV21375" s="376"/>
    </row>
    <row r="21376" spans="1:100">
      <c r="A21376" s="374"/>
      <c r="C21376" s="374"/>
      <c r="CV21376" s="376"/>
    </row>
    <row r="21377" spans="1:100">
      <c r="A21377" s="374"/>
      <c r="C21377" s="374"/>
      <c r="CV21377" s="376"/>
    </row>
    <row r="21378" spans="1:100">
      <c r="A21378" s="374"/>
      <c r="C21378" s="374"/>
      <c r="CV21378" s="376"/>
    </row>
    <row r="21379" spans="1:100">
      <c r="A21379" s="374"/>
      <c r="C21379" s="374"/>
      <c r="CV21379" s="376"/>
    </row>
    <row r="21380" spans="1:100">
      <c r="A21380" s="374"/>
      <c r="C21380" s="374"/>
      <c r="CV21380" s="376"/>
    </row>
    <row r="21381" spans="1:100">
      <c r="A21381" s="374"/>
      <c r="C21381" s="374"/>
      <c r="CV21381" s="376"/>
    </row>
    <row r="21382" spans="1:100">
      <c r="A21382" s="374"/>
      <c r="C21382" s="374"/>
      <c r="CV21382" s="376"/>
    </row>
    <row r="21383" spans="1:100">
      <c r="A21383" s="374"/>
      <c r="C21383" s="374"/>
      <c r="CV21383" s="376"/>
    </row>
    <row r="21384" spans="1:100">
      <c r="A21384" s="374"/>
      <c r="C21384" s="374"/>
      <c r="CV21384" s="376"/>
    </row>
    <row r="21385" spans="1:100">
      <c r="A21385" s="374"/>
      <c r="C21385" s="374"/>
      <c r="CV21385" s="376"/>
    </row>
    <row r="21386" spans="1:100">
      <c r="A21386" s="374"/>
      <c r="C21386" s="374"/>
      <c r="CV21386" s="376"/>
    </row>
    <row r="21387" spans="1:100">
      <c r="A21387" s="374"/>
      <c r="C21387" s="374"/>
      <c r="CV21387" s="376"/>
    </row>
    <row r="21388" spans="1:100">
      <c r="A21388" s="374"/>
      <c r="C21388" s="374"/>
      <c r="CV21388" s="376"/>
    </row>
    <row r="21389" spans="1:100">
      <c r="A21389" s="374"/>
      <c r="C21389" s="374"/>
      <c r="CV21389" s="376"/>
    </row>
    <row r="21390" spans="1:100">
      <c r="A21390" s="374"/>
      <c r="C21390" s="374"/>
      <c r="CV21390" s="376"/>
    </row>
    <row r="21391" spans="1:100">
      <c r="A21391" s="374"/>
      <c r="C21391" s="374"/>
      <c r="CV21391" s="376"/>
    </row>
    <row r="21392" spans="1:100">
      <c r="A21392" s="374"/>
      <c r="C21392" s="374"/>
      <c r="CV21392" s="376"/>
    </row>
    <row r="21393" spans="1:100">
      <c r="A21393" s="374"/>
      <c r="C21393" s="374"/>
      <c r="CV21393" s="376"/>
    </row>
    <row r="21394" spans="1:100">
      <c r="A21394" s="374"/>
      <c r="C21394" s="374"/>
      <c r="CV21394" s="376"/>
    </row>
    <row r="21395" spans="1:100">
      <c r="A21395" s="374"/>
      <c r="C21395" s="374"/>
      <c r="CV21395" s="376"/>
    </row>
    <row r="21396" spans="1:100">
      <c r="A21396" s="374"/>
      <c r="C21396" s="374"/>
      <c r="CV21396" s="376"/>
    </row>
    <row r="21397" spans="1:100">
      <c r="A21397" s="374"/>
      <c r="C21397" s="374"/>
      <c r="CV21397" s="376"/>
    </row>
    <row r="21398" spans="1:100">
      <c r="A21398" s="374"/>
      <c r="C21398" s="374"/>
      <c r="CV21398" s="376"/>
    </row>
    <row r="21399" spans="1:100">
      <c r="A21399" s="374"/>
      <c r="C21399" s="374"/>
      <c r="CV21399" s="376"/>
    </row>
    <row r="21400" spans="1:100">
      <c r="A21400" s="374"/>
      <c r="C21400" s="374"/>
      <c r="CV21400" s="376"/>
    </row>
    <row r="21401" spans="1:100">
      <c r="A21401" s="374"/>
      <c r="C21401" s="374"/>
      <c r="CV21401" s="376"/>
    </row>
    <row r="21402" spans="1:100">
      <c r="A21402" s="374"/>
      <c r="C21402" s="374"/>
      <c r="CV21402" s="376"/>
    </row>
    <row r="21403" spans="1:100">
      <c r="A21403" s="374"/>
      <c r="C21403" s="374"/>
      <c r="CV21403" s="376"/>
    </row>
    <row r="21404" spans="1:100">
      <c r="A21404" s="374"/>
      <c r="C21404" s="374"/>
      <c r="CV21404" s="376"/>
    </row>
    <row r="21405" spans="1:100">
      <c r="A21405" s="374"/>
      <c r="C21405" s="374"/>
      <c r="CV21405" s="376"/>
    </row>
    <row r="21406" spans="1:100">
      <c r="A21406" s="374"/>
      <c r="C21406" s="374"/>
      <c r="CV21406" s="376"/>
    </row>
    <row r="21407" spans="1:100">
      <c r="A21407" s="374"/>
      <c r="C21407" s="374"/>
      <c r="CV21407" s="376"/>
    </row>
    <row r="21408" spans="1:100">
      <c r="A21408" s="374"/>
      <c r="C21408" s="374"/>
      <c r="CV21408" s="376"/>
    </row>
    <row r="21409" spans="1:100">
      <c r="A21409" s="374"/>
      <c r="C21409" s="374"/>
      <c r="CV21409" s="376"/>
    </row>
    <row r="21410" spans="1:100">
      <c r="A21410" s="374"/>
      <c r="C21410" s="374"/>
      <c r="CV21410" s="376"/>
    </row>
    <row r="21411" spans="1:100">
      <c r="A21411" s="374"/>
      <c r="C21411" s="374"/>
      <c r="CV21411" s="376"/>
    </row>
    <row r="21412" spans="1:100">
      <c r="A21412" s="374"/>
      <c r="C21412" s="374"/>
      <c r="CV21412" s="376"/>
    </row>
    <row r="21413" spans="1:100">
      <c r="A21413" s="374"/>
      <c r="C21413" s="374"/>
      <c r="CV21413" s="376"/>
    </row>
    <row r="21414" spans="1:100">
      <c r="A21414" s="374"/>
      <c r="C21414" s="374"/>
      <c r="CV21414" s="376"/>
    </row>
    <row r="21415" spans="1:100">
      <c r="A21415" s="374"/>
      <c r="C21415" s="374"/>
      <c r="CV21415" s="376"/>
    </row>
    <row r="21416" spans="1:100">
      <c r="A21416" s="374"/>
      <c r="C21416" s="374"/>
      <c r="CV21416" s="376"/>
    </row>
    <row r="21417" spans="1:100">
      <c r="A21417" s="374"/>
      <c r="C21417" s="374"/>
      <c r="CV21417" s="376"/>
    </row>
    <row r="21418" spans="1:100">
      <c r="A21418" s="374"/>
      <c r="C21418" s="374"/>
      <c r="CV21418" s="376"/>
    </row>
    <row r="21419" spans="1:100">
      <c r="A21419" s="374"/>
      <c r="C21419" s="374"/>
      <c r="CV21419" s="376"/>
    </row>
    <row r="21420" spans="1:100">
      <c r="A21420" s="374"/>
      <c r="C21420" s="374"/>
      <c r="CV21420" s="376"/>
    </row>
    <row r="21421" spans="1:100">
      <c r="A21421" s="374"/>
      <c r="C21421" s="374"/>
      <c r="CV21421" s="376"/>
    </row>
    <row r="21422" spans="1:100">
      <c r="A21422" s="374"/>
      <c r="C21422" s="374"/>
      <c r="CV21422" s="376"/>
    </row>
    <row r="21423" spans="1:100">
      <c r="A21423" s="374"/>
      <c r="C21423" s="374"/>
      <c r="CV21423" s="376"/>
    </row>
    <row r="21424" spans="1:100">
      <c r="A21424" s="374"/>
      <c r="C21424" s="374"/>
      <c r="CV21424" s="376"/>
    </row>
    <row r="21425" spans="1:100">
      <c r="A21425" s="374"/>
      <c r="C21425" s="374"/>
      <c r="CV21425" s="376"/>
    </row>
    <row r="21426" spans="1:100">
      <c r="A21426" s="374"/>
      <c r="C21426" s="374"/>
      <c r="CV21426" s="376"/>
    </row>
    <row r="21427" spans="1:100">
      <c r="A21427" s="374"/>
      <c r="C21427" s="374"/>
      <c r="CV21427" s="376"/>
    </row>
    <row r="21428" spans="1:100">
      <c r="A21428" s="374"/>
      <c r="C21428" s="374"/>
      <c r="CV21428" s="376"/>
    </row>
    <row r="21429" spans="1:100">
      <c r="A21429" s="374"/>
      <c r="C21429" s="374"/>
      <c r="CV21429" s="376"/>
    </row>
    <row r="21430" spans="1:100">
      <c r="A21430" s="374"/>
      <c r="C21430" s="374"/>
      <c r="CV21430" s="376"/>
    </row>
    <row r="21431" spans="1:100">
      <c r="A21431" s="374"/>
      <c r="C21431" s="374"/>
      <c r="CV21431" s="376"/>
    </row>
    <row r="21432" spans="1:100">
      <c r="A21432" s="374"/>
      <c r="C21432" s="374"/>
      <c r="CV21432" s="376"/>
    </row>
    <row r="21433" spans="1:100">
      <c r="A21433" s="374"/>
      <c r="C21433" s="374"/>
      <c r="CV21433" s="376"/>
    </row>
    <row r="21434" spans="1:100">
      <c r="A21434" s="374"/>
      <c r="C21434" s="374"/>
      <c r="CV21434" s="376"/>
    </row>
    <row r="21435" spans="1:100">
      <c r="A21435" s="374"/>
      <c r="C21435" s="374"/>
      <c r="CV21435" s="376"/>
    </row>
    <row r="21436" spans="1:100">
      <c r="A21436" s="374"/>
      <c r="C21436" s="374"/>
      <c r="CV21436" s="376"/>
    </row>
    <row r="21437" spans="1:100">
      <c r="A21437" s="374"/>
      <c r="C21437" s="374"/>
      <c r="CV21437" s="376"/>
    </row>
    <row r="21438" spans="1:100">
      <c r="A21438" s="374"/>
      <c r="C21438" s="374"/>
      <c r="CV21438" s="376"/>
    </row>
    <row r="21439" spans="1:100">
      <c r="A21439" s="374"/>
      <c r="C21439" s="374"/>
      <c r="CV21439" s="376"/>
    </row>
    <row r="21440" spans="1:100">
      <c r="A21440" s="374"/>
      <c r="C21440" s="374"/>
      <c r="CV21440" s="376"/>
    </row>
    <row r="21441" spans="1:100">
      <c r="A21441" s="374"/>
      <c r="C21441" s="374"/>
      <c r="CV21441" s="376"/>
    </row>
    <row r="21442" spans="1:100">
      <c r="A21442" s="374"/>
      <c r="C21442" s="374"/>
      <c r="CV21442" s="376"/>
    </row>
    <row r="21443" spans="1:100">
      <c r="A21443" s="374"/>
      <c r="C21443" s="374"/>
      <c r="CV21443" s="376"/>
    </row>
    <row r="21444" spans="1:100">
      <c r="A21444" s="374"/>
      <c r="C21444" s="374"/>
      <c r="CV21444" s="376"/>
    </row>
    <row r="21445" spans="1:100">
      <c r="A21445" s="374"/>
      <c r="C21445" s="374"/>
      <c r="CV21445" s="376"/>
    </row>
    <row r="21446" spans="1:100">
      <c r="A21446" s="374"/>
      <c r="C21446" s="374"/>
      <c r="CV21446" s="376"/>
    </row>
    <row r="21447" spans="1:100">
      <c r="A21447" s="374"/>
      <c r="C21447" s="374"/>
      <c r="CV21447" s="376"/>
    </row>
    <row r="21448" spans="1:100">
      <c r="A21448" s="374"/>
      <c r="C21448" s="374"/>
      <c r="CV21448" s="376"/>
    </row>
    <row r="21449" spans="1:100">
      <c r="A21449" s="374"/>
      <c r="C21449" s="374"/>
      <c r="CV21449" s="376"/>
    </row>
    <row r="21450" spans="1:100">
      <c r="A21450" s="374"/>
      <c r="C21450" s="374"/>
      <c r="CV21450" s="376"/>
    </row>
    <row r="21451" spans="1:100">
      <c r="A21451" s="374"/>
      <c r="C21451" s="374"/>
      <c r="CV21451" s="376"/>
    </row>
    <row r="21452" spans="1:100">
      <c r="A21452" s="374"/>
      <c r="C21452" s="374"/>
      <c r="CV21452" s="376"/>
    </row>
    <row r="21453" spans="1:100">
      <c r="A21453" s="374"/>
      <c r="C21453" s="374"/>
      <c r="CV21453" s="376"/>
    </row>
    <row r="21454" spans="1:100">
      <c r="A21454" s="374"/>
      <c r="C21454" s="374"/>
      <c r="CV21454" s="376"/>
    </row>
    <row r="21455" spans="1:100">
      <c r="A21455" s="374"/>
      <c r="C21455" s="374"/>
      <c r="CV21455" s="376"/>
    </row>
    <row r="21456" spans="1:100">
      <c r="A21456" s="374"/>
      <c r="C21456" s="374"/>
      <c r="CV21456" s="376"/>
    </row>
    <row r="21457" spans="1:100">
      <c r="A21457" s="374"/>
      <c r="C21457" s="374"/>
      <c r="CV21457" s="376"/>
    </row>
    <row r="21458" spans="1:100">
      <c r="A21458" s="374"/>
      <c r="C21458" s="374"/>
      <c r="CV21458" s="376"/>
    </row>
    <row r="21459" spans="1:100">
      <c r="A21459" s="374"/>
      <c r="C21459" s="374"/>
      <c r="CV21459" s="376"/>
    </row>
    <row r="21460" spans="1:100">
      <c r="A21460" s="374"/>
      <c r="C21460" s="374"/>
      <c r="CV21460" s="376"/>
    </row>
    <row r="21461" spans="1:100">
      <c r="A21461" s="374"/>
      <c r="C21461" s="374"/>
      <c r="CV21461" s="376"/>
    </row>
    <row r="21462" spans="1:100">
      <c r="A21462" s="374"/>
      <c r="C21462" s="374"/>
      <c r="CV21462" s="376"/>
    </row>
    <row r="21463" spans="1:100">
      <c r="A21463" s="374"/>
      <c r="C21463" s="374"/>
      <c r="CV21463" s="376"/>
    </row>
    <row r="21464" spans="1:100">
      <c r="A21464" s="374"/>
      <c r="C21464" s="374"/>
      <c r="CV21464" s="376"/>
    </row>
    <row r="21465" spans="1:100">
      <c r="A21465" s="374"/>
      <c r="C21465" s="374"/>
      <c r="CV21465" s="376"/>
    </row>
    <row r="21466" spans="1:100">
      <c r="A21466" s="374"/>
      <c r="C21466" s="374"/>
      <c r="CV21466" s="376"/>
    </row>
    <row r="21467" spans="1:100">
      <c r="A21467" s="374"/>
      <c r="C21467" s="374"/>
      <c r="CV21467" s="376"/>
    </row>
    <row r="21468" spans="1:100">
      <c r="A21468" s="374"/>
      <c r="C21468" s="374"/>
      <c r="CV21468" s="376"/>
    </row>
    <row r="21469" spans="1:100">
      <c r="A21469" s="374"/>
      <c r="C21469" s="374"/>
      <c r="CV21469" s="376"/>
    </row>
    <row r="21470" spans="1:100">
      <c r="A21470" s="374"/>
      <c r="C21470" s="374"/>
      <c r="CV21470" s="376"/>
    </row>
    <row r="21471" spans="1:100">
      <c r="A21471" s="374"/>
      <c r="C21471" s="374"/>
      <c r="CV21471" s="376"/>
    </row>
    <row r="21472" spans="1:100">
      <c r="A21472" s="374"/>
      <c r="C21472" s="374"/>
      <c r="CV21472" s="376"/>
    </row>
    <row r="21473" spans="1:100">
      <c r="A21473" s="374"/>
      <c r="C21473" s="374"/>
      <c r="CV21473" s="376"/>
    </row>
    <row r="21474" spans="1:100">
      <c r="A21474" s="374"/>
      <c r="C21474" s="374"/>
      <c r="CV21474" s="376"/>
    </row>
    <row r="21475" spans="1:100">
      <c r="A21475" s="374"/>
      <c r="C21475" s="374"/>
      <c r="CV21475" s="376"/>
    </row>
    <row r="21476" spans="1:100">
      <c r="A21476" s="374"/>
      <c r="C21476" s="374"/>
      <c r="CV21476" s="376"/>
    </row>
    <row r="21477" spans="1:100">
      <c r="A21477" s="374"/>
      <c r="C21477" s="374"/>
      <c r="CV21477" s="376"/>
    </row>
    <row r="21478" spans="1:100">
      <c r="A21478" s="374"/>
      <c r="C21478" s="374"/>
      <c r="CV21478" s="376"/>
    </row>
    <row r="21479" spans="1:100">
      <c r="A21479" s="374"/>
      <c r="C21479" s="374"/>
      <c r="CV21479" s="376"/>
    </row>
    <row r="21480" spans="1:100">
      <c r="A21480" s="374"/>
      <c r="C21480" s="374"/>
      <c r="CV21480" s="376"/>
    </row>
    <row r="21481" spans="1:100">
      <c r="A21481" s="374"/>
      <c r="C21481" s="374"/>
      <c r="CV21481" s="376"/>
    </row>
    <row r="21482" spans="1:100">
      <c r="A21482" s="374"/>
      <c r="C21482" s="374"/>
      <c r="CV21482" s="376"/>
    </row>
    <row r="21483" spans="1:100">
      <c r="A21483" s="374"/>
      <c r="C21483" s="374"/>
      <c r="CV21483" s="376"/>
    </row>
    <row r="21484" spans="1:100">
      <c r="A21484" s="374"/>
      <c r="C21484" s="374"/>
      <c r="CV21484" s="376"/>
    </row>
    <row r="21485" spans="1:100">
      <c r="A21485" s="374"/>
      <c r="C21485" s="374"/>
      <c r="CV21485" s="376"/>
    </row>
    <row r="21486" spans="1:100">
      <c r="A21486" s="374"/>
      <c r="C21486" s="374"/>
      <c r="CV21486" s="376"/>
    </row>
    <row r="21487" spans="1:100">
      <c r="A21487" s="374"/>
      <c r="C21487" s="374"/>
      <c r="CV21487" s="376"/>
    </row>
    <row r="21488" spans="1:100">
      <c r="A21488" s="374"/>
      <c r="C21488" s="374"/>
      <c r="CV21488" s="376"/>
    </row>
    <row r="21489" spans="1:100">
      <c r="A21489" s="374"/>
      <c r="C21489" s="374"/>
      <c r="CV21489" s="376"/>
    </row>
    <row r="21490" spans="1:100">
      <c r="A21490" s="374"/>
      <c r="C21490" s="374"/>
      <c r="CV21490" s="376"/>
    </row>
    <row r="21491" spans="1:100">
      <c r="A21491" s="374"/>
      <c r="C21491" s="374"/>
      <c r="CV21491" s="376"/>
    </row>
    <row r="21492" spans="1:100">
      <c r="A21492" s="374"/>
      <c r="C21492" s="374"/>
      <c r="CV21492" s="376"/>
    </row>
    <row r="21493" spans="1:100">
      <c r="A21493" s="374"/>
      <c r="C21493" s="374"/>
      <c r="CV21493" s="376"/>
    </row>
    <row r="21494" spans="1:100">
      <c r="A21494" s="374"/>
      <c r="C21494" s="374"/>
      <c r="CV21494" s="376"/>
    </row>
    <row r="21495" spans="1:100">
      <c r="A21495" s="374"/>
      <c r="C21495" s="374"/>
      <c r="CV21495" s="376"/>
    </row>
    <row r="21496" spans="1:100">
      <c r="A21496" s="374"/>
      <c r="C21496" s="374"/>
      <c r="CV21496" s="376"/>
    </row>
    <row r="21497" spans="1:100">
      <c r="A21497" s="374"/>
      <c r="C21497" s="374"/>
      <c r="CV21497" s="376"/>
    </row>
    <row r="21498" spans="1:100">
      <c r="A21498" s="374"/>
      <c r="C21498" s="374"/>
      <c r="CV21498" s="376"/>
    </row>
    <row r="21499" spans="1:100">
      <c r="A21499" s="374"/>
      <c r="C21499" s="374"/>
      <c r="CV21499" s="376"/>
    </row>
    <row r="21500" spans="1:100">
      <c r="A21500" s="374"/>
      <c r="C21500" s="374"/>
      <c r="CV21500" s="376"/>
    </row>
    <row r="21501" spans="1:100">
      <c r="A21501" s="374"/>
      <c r="C21501" s="374"/>
      <c r="CV21501" s="376"/>
    </row>
    <row r="21502" spans="1:100">
      <c r="A21502" s="374"/>
      <c r="C21502" s="374"/>
      <c r="CV21502" s="376"/>
    </row>
    <row r="21503" spans="1:100">
      <c r="A21503" s="374"/>
      <c r="C21503" s="374"/>
      <c r="CV21503" s="376"/>
    </row>
    <row r="21504" spans="1:100">
      <c r="A21504" s="374"/>
      <c r="C21504" s="374"/>
      <c r="CV21504" s="376"/>
    </row>
    <row r="21505" spans="1:100">
      <c r="A21505" s="374"/>
      <c r="C21505" s="374"/>
      <c r="CV21505" s="376"/>
    </row>
    <row r="21506" spans="1:100">
      <c r="A21506" s="374"/>
      <c r="C21506" s="374"/>
      <c r="CV21506" s="376"/>
    </row>
    <row r="21507" spans="1:100">
      <c r="A21507" s="374"/>
      <c r="C21507" s="374"/>
      <c r="CV21507" s="376"/>
    </row>
    <row r="21508" spans="1:100">
      <c r="A21508" s="374"/>
      <c r="C21508" s="374"/>
      <c r="CV21508" s="376"/>
    </row>
    <row r="21509" spans="1:100">
      <c r="A21509" s="374"/>
      <c r="C21509" s="374"/>
      <c r="CV21509" s="376"/>
    </row>
    <row r="21510" spans="1:100">
      <c r="A21510" s="374"/>
      <c r="C21510" s="374"/>
      <c r="CV21510" s="376"/>
    </row>
    <row r="21511" spans="1:100">
      <c r="A21511" s="374"/>
      <c r="C21511" s="374"/>
      <c r="CV21511" s="376"/>
    </row>
    <row r="21512" spans="1:100">
      <c r="A21512" s="374"/>
      <c r="C21512" s="374"/>
      <c r="CV21512" s="376"/>
    </row>
    <row r="21513" spans="1:100">
      <c r="A21513" s="374"/>
      <c r="C21513" s="374"/>
      <c r="CV21513" s="376"/>
    </row>
    <row r="21514" spans="1:100">
      <c r="A21514" s="374"/>
      <c r="C21514" s="374"/>
      <c r="CV21514" s="376"/>
    </row>
    <row r="21515" spans="1:100">
      <c r="A21515" s="374"/>
      <c r="C21515" s="374"/>
      <c r="CV21515" s="376"/>
    </row>
    <row r="21516" spans="1:100">
      <c r="A21516" s="374"/>
      <c r="C21516" s="374"/>
      <c r="CV21516" s="376"/>
    </row>
    <row r="21517" spans="1:100">
      <c r="A21517" s="374"/>
      <c r="C21517" s="374"/>
      <c r="CV21517" s="376"/>
    </row>
    <row r="21518" spans="1:100">
      <c r="A21518" s="374"/>
      <c r="C21518" s="374"/>
      <c r="CV21518" s="376"/>
    </row>
    <row r="21519" spans="1:100">
      <c r="A21519" s="374"/>
      <c r="C21519" s="374"/>
      <c r="CV21519" s="376"/>
    </row>
    <row r="21520" spans="1:100">
      <c r="A21520" s="374"/>
      <c r="C21520" s="374"/>
      <c r="CV21520" s="376"/>
    </row>
    <row r="21521" spans="1:100">
      <c r="A21521" s="374"/>
      <c r="C21521" s="374"/>
      <c r="CV21521" s="376"/>
    </row>
    <row r="21522" spans="1:100">
      <c r="A21522" s="374"/>
      <c r="C21522" s="374"/>
      <c r="CV21522" s="376"/>
    </row>
    <row r="21523" spans="1:100">
      <c r="A21523" s="374"/>
      <c r="C21523" s="374"/>
      <c r="CV21523" s="376"/>
    </row>
    <row r="21524" spans="1:100">
      <c r="A21524" s="374"/>
      <c r="C21524" s="374"/>
      <c r="CV21524" s="376"/>
    </row>
    <row r="21525" spans="1:100">
      <c r="A21525" s="374"/>
      <c r="C21525" s="374"/>
      <c r="CV21525" s="376"/>
    </row>
    <row r="21526" spans="1:100">
      <c r="A21526" s="374"/>
      <c r="C21526" s="374"/>
      <c r="CV21526" s="376"/>
    </row>
    <row r="21527" spans="1:100">
      <c r="A21527" s="374"/>
      <c r="C21527" s="374"/>
      <c r="CV21527" s="376"/>
    </row>
    <row r="21528" spans="1:100">
      <c r="A21528" s="374"/>
      <c r="C21528" s="374"/>
      <c r="CV21528" s="376"/>
    </row>
    <row r="21529" spans="1:100">
      <c r="A21529" s="374"/>
      <c r="C21529" s="374"/>
      <c r="CV21529" s="376"/>
    </row>
    <row r="21530" spans="1:100">
      <c r="A21530" s="374"/>
      <c r="C21530" s="374"/>
      <c r="CV21530" s="376"/>
    </row>
    <row r="21531" spans="1:100">
      <c r="A21531" s="374"/>
      <c r="C21531" s="374"/>
      <c r="CV21531" s="376"/>
    </row>
    <row r="21532" spans="1:100">
      <c r="A21532" s="374"/>
      <c r="C21532" s="374"/>
      <c r="CV21532" s="376"/>
    </row>
    <row r="21533" spans="1:100">
      <c r="A21533" s="374"/>
      <c r="C21533" s="374"/>
      <c r="CV21533" s="376"/>
    </row>
    <row r="21534" spans="1:100">
      <c r="A21534" s="374"/>
      <c r="C21534" s="374"/>
      <c r="CV21534" s="376"/>
    </row>
    <row r="21535" spans="1:100">
      <c r="A21535" s="374"/>
      <c r="C21535" s="374"/>
      <c r="CV21535" s="376"/>
    </row>
    <row r="21536" spans="1:100">
      <c r="A21536" s="374"/>
      <c r="C21536" s="374"/>
      <c r="CV21536" s="376"/>
    </row>
    <row r="21537" spans="1:100">
      <c r="A21537" s="374"/>
      <c r="C21537" s="374"/>
      <c r="CV21537" s="376"/>
    </row>
    <row r="21538" spans="1:100">
      <c r="A21538" s="374"/>
      <c r="C21538" s="374"/>
      <c r="CV21538" s="376"/>
    </row>
    <row r="21539" spans="1:100">
      <c r="A21539" s="374"/>
      <c r="C21539" s="374"/>
      <c r="CV21539" s="376"/>
    </row>
    <row r="21540" spans="1:100">
      <c r="A21540" s="374"/>
      <c r="C21540" s="374"/>
      <c r="CV21540" s="376"/>
    </row>
    <row r="21541" spans="1:100">
      <c r="A21541" s="374"/>
      <c r="C21541" s="374"/>
      <c r="CV21541" s="376"/>
    </row>
    <row r="21542" spans="1:100">
      <c r="A21542" s="374"/>
      <c r="C21542" s="374"/>
      <c r="CV21542" s="376"/>
    </row>
    <row r="21543" spans="1:100">
      <c r="A21543" s="374"/>
      <c r="C21543" s="374"/>
      <c r="CV21543" s="376"/>
    </row>
    <row r="21544" spans="1:100">
      <c r="A21544" s="374"/>
      <c r="C21544" s="374"/>
      <c r="CV21544" s="376"/>
    </row>
    <row r="21545" spans="1:100">
      <c r="A21545" s="374"/>
      <c r="C21545" s="374"/>
      <c r="CV21545" s="376"/>
    </row>
    <row r="21546" spans="1:100">
      <c r="A21546" s="374"/>
      <c r="C21546" s="374"/>
      <c r="CV21546" s="376"/>
    </row>
    <row r="21547" spans="1:100">
      <c r="A21547" s="374"/>
      <c r="C21547" s="374"/>
      <c r="CV21547" s="376"/>
    </row>
    <row r="21548" spans="1:100">
      <c r="A21548" s="374"/>
      <c r="C21548" s="374"/>
      <c r="CV21548" s="376"/>
    </row>
    <row r="21549" spans="1:100">
      <c r="A21549" s="374"/>
      <c r="C21549" s="374"/>
      <c r="CV21549" s="376"/>
    </row>
    <row r="21550" spans="1:100">
      <c r="A21550" s="374"/>
      <c r="C21550" s="374"/>
      <c r="CV21550" s="376"/>
    </row>
    <row r="21551" spans="1:100">
      <c r="A21551" s="374"/>
      <c r="C21551" s="374"/>
      <c r="CV21551" s="376"/>
    </row>
    <row r="21552" spans="1:100">
      <c r="A21552" s="374"/>
      <c r="C21552" s="374"/>
      <c r="CV21552" s="376"/>
    </row>
    <row r="21553" spans="1:100">
      <c r="A21553" s="374"/>
      <c r="C21553" s="374"/>
      <c r="CV21553" s="376"/>
    </row>
    <row r="21554" spans="1:100">
      <c r="A21554" s="374"/>
      <c r="C21554" s="374"/>
      <c r="CV21554" s="376"/>
    </row>
    <row r="21555" spans="1:100">
      <c r="A21555" s="374"/>
      <c r="C21555" s="374"/>
      <c r="CV21555" s="376"/>
    </row>
    <row r="21556" spans="1:100">
      <c r="A21556" s="374"/>
      <c r="C21556" s="374"/>
      <c r="CV21556" s="376"/>
    </row>
    <row r="21557" spans="1:100">
      <c r="A21557" s="374"/>
      <c r="C21557" s="374"/>
      <c r="CV21557" s="376"/>
    </row>
    <row r="21558" spans="1:100">
      <c r="A21558" s="374"/>
      <c r="C21558" s="374"/>
      <c r="CV21558" s="376"/>
    </row>
    <row r="21559" spans="1:100">
      <c r="A21559" s="374"/>
      <c r="C21559" s="374"/>
      <c r="CV21559" s="376"/>
    </row>
    <row r="21560" spans="1:100">
      <c r="A21560" s="374"/>
      <c r="C21560" s="374"/>
      <c r="CV21560" s="376"/>
    </row>
    <row r="21561" spans="1:100">
      <c r="A21561" s="374"/>
      <c r="C21561" s="374"/>
      <c r="CV21561" s="376"/>
    </row>
    <row r="21562" spans="1:100">
      <c r="A21562" s="374"/>
      <c r="C21562" s="374"/>
      <c r="CV21562" s="376"/>
    </row>
    <row r="21563" spans="1:100">
      <c r="A21563" s="374"/>
      <c r="C21563" s="374"/>
      <c r="CV21563" s="376"/>
    </row>
    <row r="21564" spans="1:100">
      <c r="A21564" s="374"/>
      <c r="C21564" s="374"/>
      <c r="CV21564" s="376"/>
    </row>
    <row r="21565" spans="1:100">
      <c r="A21565" s="374"/>
      <c r="C21565" s="374"/>
      <c r="CV21565" s="376"/>
    </row>
    <row r="21566" spans="1:100">
      <c r="A21566" s="374"/>
      <c r="C21566" s="374"/>
      <c r="CV21566" s="376"/>
    </row>
    <row r="21567" spans="1:100">
      <c r="A21567" s="374"/>
      <c r="C21567" s="374"/>
      <c r="CV21567" s="376"/>
    </row>
    <row r="21568" spans="1:100">
      <c r="A21568" s="374"/>
      <c r="C21568" s="374"/>
      <c r="CV21568" s="376"/>
    </row>
    <row r="21569" spans="1:100">
      <c r="A21569" s="374"/>
      <c r="C21569" s="374"/>
      <c r="CV21569" s="376"/>
    </row>
    <row r="21570" spans="1:100">
      <c r="A21570" s="374"/>
      <c r="C21570" s="374"/>
      <c r="CV21570" s="376"/>
    </row>
    <row r="21571" spans="1:100">
      <c r="A21571" s="374"/>
      <c r="C21571" s="374"/>
      <c r="CV21571" s="376"/>
    </row>
    <row r="21572" spans="1:100">
      <c r="A21572" s="374"/>
      <c r="C21572" s="374"/>
      <c r="CV21572" s="376"/>
    </row>
    <row r="21573" spans="1:100">
      <c r="A21573" s="374"/>
      <c r="C21573" s="374"/>
      <c r="CV21573" s="376"/>
    </row>
    <row r="21574" spans="1:100">
      <c r="A21574" s="374"/>
      <c r="C21574" s="374"/>
      <c r="CV21574" s="376"/>
    </row>
    <row r="21575" spans="1:100">
      <c r="A21575" s="374"/>
      <c r="C21575" s="374"/>
      <c r="CV21575" s="376"/>
    </row>
    <row r="21576" spans="1:100">
      <c r="A21576" s="374"/>
      <c r="C21576" s="374"/>
      <c r="CV21576" s="376"/>
    </row>
    <row r="21577" spans="1:100">
      <c r="A21577" s="374"/>
      <c r="C21577" s="374"/>
      <c r="CV21577" s="376"/>
    </row>
    <row r="21578" spans="1:100">
      <c r="A21578" s="374"/>
      <c r="C21578" s="374"/>
      <c r="CV21578" s="376"/>
    </row>
    <row r="21579" spans="1:100">
      <c r="A21579" s="374"/>
      <c r="C21579" s="374"/>
      <c r="CV21579" s="376"/>
    </row>
    <row r="21580" spans="1:100">
      <c r="A21580" s="374"/>
      <c r="C21580" s="374"/>
      <c r="CV21580" s="376"/>
    </row>
    <row r="21581" spans="1:100">
      <c r="A21581" s="374"/>
      <c r="C21581" s="374"/>
      <c r="CV21581" s="376"/>
    </row>
    <row r="21582" spans="1:100">
      <c r="A21582" s="374"/>
      <c r="C21582" s="374"/>
      <c r="CV21582" s="376"/>
    </row>
    <row r="21583" spans="1:100">
      <c r="A21583" s="374"/>
      <c r="C21583" s="374"/>
      <c r="CV21583" s="376"/>
    </row>
    <row r="21584" spans="1:100">
      <c r="A21584" s="374"/>
      <c r="C21584" s="374"/>
      <c r="CV21584" s="376"/>
    </row>
    <row r="21585" spans="1:100">
      <c r="A21585" s="374"/>
      <c r="C21585" s="374"/>
      <c r="CV21585" s="376"/>
    </row>
    <row r="21586" spans="1:100">
      <c r="A21586" s="374"/>
      <c r="C21586" s="374"/>
      <c r="CV21586" s="376"/>
    </row>
    <row r="21587" spans="1:100">
      <c r="A21587" s="374"/>
      <c r="C21587" s="374"/>
      <c r="CV21587" s="376"/>
    </row>
    <row r="21588" spans="1:100">
      <c r="A21588" s="374"/>
      <c r="C21588" s="374"/>
      <c r="CV21588" s="376"/>
    </row>
    <row r="21589" spans="1:100">
      <c r="A21589" s="374"/>
      <c r="C21589" s="374"/>
      <c r="CV21589" s="376"/>
    </row>
    <row r="21590" spans="1:100">
      <c r="A21590" s="374"/>
      <c r="C21590" s="374"/>
      <c r="CV21590" s="376"/>
    </row>
    <row r="21591" spans="1:100">
      <c r="A21591" s="374"/>
      <c r="C21591" s="374"/>
      <c r="CV21591" s="376"/>
    </row>
    <row r="21592" spans="1:100">
      <c r="A21592" s="374"/>
      <c r="C21592" s="374"/>
      <c r="CV21592" s="376"/>
    </row>
    <row r="21593" spans="1:100">
      <c r="A21593" s="374"/>
      <c r="C21593" s="374"/>
      <c r="CV21593" s="376"/>
    </row>
    <row r="21594" spans="1:100">
      <c r="A21594" s="374"/>
      <c r="C21594" s="374"/>
      <c r="CV21594" s="376"/>
    </row>
    <row r="21595" spans="1:100">
      <c r="A21595" s="374"/>
      <c r="C21595" s="374"/>
      <c r="CV21595" s="376"/>
    </row>
    <row r="21596" spans="1:100">
      <c r="A21596" s="374"/>
      <c r="C21596" s="374"/>
      <c r="CV21596" s="376"/>
    </row>
    <row r="21597" spans="1:100">
      <c r="A21597" s="374"/>
      <c r="C21597" s="374"/>
      <c r="CV21597" s="376"/>
    </row>
    <row r="21598" spans="1:100">
      <c r="A21598" s="374"/>
      <c r="C21598" s="374"/>
      <c r="CV21598" s="376"/>
    </row>
    <row r="21599" spans="1:100">
      <c r="A21599" s="374"/>
      <c r="C21599" s="374"/>
      <c r="CV21599" s="376"/>
    </row>
    <row r="21600" spans="1:100">
      <c r="A21600" s="374"/>
      <c r="C21600" s="374"/>
      <c r="CV21600" s="376"/>
    </row>
    <row r="21601" spans="1:100">
      <c r="A21601" s="374"/>
      <c r="C21601" s="374"/>
      <c r="CV21601" s="376"/>
    </row>
    <row r="21602" spans="1:100">
      <c r="A21602" s="374"/>
      <c r="C21602" s="374"/>
      <c r="CV21602" s="376"/>
    </row>
    <row r="21603" spans="1:100">
      <c r="A21603" s="374"/>
      <c r="C21603" s="374"/>
      <c r="CV21603" s="376"/>
    </row>
    <row r="21604" spans="1:100">
      <c r="A21604" s="374"/>
      <c r="C21604" s="374"/>
      <c r="CV21604" s="376"/>
    </row>
    <row r="21605" spans="1:100">
      <c r="A21605" s="374"/>
      <c r="C21605" s="374"/>
      <c r="CV21605" s="376"/>
    </row>
    <row r="21606" spans="1:100">
      <c r="A21606" s="374"/>
      <c r="C21606" s="374"/>
      <c r="CV21606" s="376"/>
    </row>
    <row r="21607" spans="1:100">
      <c r="A21607" s="374"/>
      <c r="C21607" s="374"/>
      <c r="CV21607" s="376"/>
    </row>
    <row r="21608" spans="1:100">
      <c r="A21608" s="374"/>
      <c r="C21608" s="374"/>
      <c r="CV21608" s="376"/>
    </row>
    <row r="21609" spans="1:100">
      <c r="A21609" s="374"/>
      <c r="C21609" s="374"/>
      <c r="CV21609" s="376"/>
    </row>
    <row r="21610" spans="1:100">
      <c r="A21610" s="374"/>
      <c r="C21610" s="374"/>
      <c r="CV21610" s="376"/>
    </row>
    <row r="21611" spans="1:100">
      <c r="A21611" s="374"/>
      <c r="C21611" s="374"/>
      <c r="CV21611" s="376"/>
    </row>
    <row r="21612" spans="1:100">
      <c r="A21612" s="374"/>
      <c r="C21612" s="374"/>
      <c r="CV21612" s="376"/>
    </row>
    <row r="21613" spans="1:100">
      <c r="A21613" s="374"/>
      <c r="C21613" s="374"/>
      <c r="CV21613" s="376"/>
    </row>
    <row r="21614" spans="1:100">
      <c r="A21614" s="374"/>
      <c r="C21614" s="374"/>
      <c r="CV21614" s="376"/>
    </row>
    <row r="21615" spans="1:100">
      <c r="A21615" s="374"/>
      <c r="C21615" s="374"/>
      <c r="CV21615" s="376"/>
    </row>
    <row r="21616" spans="1:100">
      <c r="A21616" s="374"/>
      <c r="C21616" s="374"/>
      <c r="CV21616" s="376"/>
    </row>
    <row r="21617" spans="1:100">
      <c r="A21617" s="374"/>
      <c r="C21617" s="374"/>
      <c r="CV21617" s="376"/>
    </row>
    <row r="21618" spans="1:100">
      <c r="A21618" s="374"/>
      <c r="C21618" s="374"/>
      <c r="CV21618" s="376"/>
    </row>
    <row r="21619" spans="1:100">
      <c r="A21619" s="374"/>
      <c r="C21619" s="374"/>
      <c r="CV21619" s="376"/>
    </row>
    <row r="21620" spans="1:100">
      <c r="A21620" s="374"/>
      <c r="C21620" s="374"/>
      <c r="CV21620" s="376"/>
    </row>
    <row r="21621" spans="1:100">
      <c r="A21621" s="374"/>
      <c r="C21621" s="374"/>
      <c r="CV21621" s="376"/>
    </row>
    <row r="21622" spans="1:100">
      <c r="A21622" s="374"/>
      <c r="C21622" s="374"/>
      <c r="CV21622" s="376"/>
    </row>
    <row r="21623" spans="1:100">
      <c r="A21623" s="374"/>
      <c r="C21623" s="374"/>
      <c r="CV21623" s="376"/>
    </row>
    <row r="21624" spans="1:100">
      <c r="A21624" s="374"/>
      <c r="C21624" s="374"/>
      <c r="CV21624" s="376"/>
    </row>
    <row r="21625" spans="1:100">
      <c r="A21625" s="374"/>
      <c r="C21625" s="374"/>
      <c r="CV21625" s="376"/>
    </row>
    <row r="21626" spans="1:100">
      <c r="A21626" s="374"/>
      <c r="C21626" s="374"/>
      <c r="CV21626" s="376"/>
    </row>
    <row r="21627" spans="1:100">
      <c r="A21627" s="374"/>
      <c r="C21627" s="374"/>
      <c r="CV21627" s="376"/>
    </row>
    <row r="21628" spans="1:100">
      <c r="A21628" s="374"/>
      <c r="C21628" s="374"/>
      <c r="CV21628" s="376"/>
    </row>
    <row r="21629" spans="1:100">
      <c r="A21629" s="374"/>
      <c r="C21629" s="374"/>
      <c r="CV21629" s="376"/>
    </row>
    <row r="21630" spans="1:100">
      <c r="A21630" s="374"/>
      <c r="C21630" s="374"/>
      <c r="CV21630" s="376"/>
    </row>
    <row r="21631" spans="1:100">
      <c r="A21631" s="374"/>
      <c r="C21631" s="374"/>
      <c r="CV21631" s="376"/>
    </row>
    <row r="21632" spans="1:100">
      <c r="A21632" s="374"/>
      <c r="C21632" s="374"/>
      <c r="CV21632" s="376"/>
    </row>
    <row r="21633" spans="1:100">
      <c r="A21633" s="374"/>
      <c r="C21633" s="374"/>
      <c r="CV21633" s="376"/>
    </row>
    <row r="21634" spans="1:100">
      <c r="A21634" s="374"/>
      <c r="C21634" s="374"/>
      <c r="CV21634" s="376"/>
    </row>
    <row r="21635" spans="1:100">
      <c r="A21635" s="374"/>
      <c r="C21635" s="374"/>
      <c r="CV21635" s="376"/>
    </row>
    <row r="21636" spans="1:100">
      <c r="A21636" s="374"/>
      <c r="C21636" s="374"/>
      <c r="CV21636" s="376"/>
    </row>
    <row r="21637" spans="1:100">
      <c r="A21637" s="374"/>
      <c r="C21637" s="374"/>
      <c r="CV21637" s="376"/>
    </row>
    <row r="21638" spans="1:100">
      <c r="A21638" s="374"/>
      <c r="C21638" s="374"/>
      <c r="CV21638" s="376"/>
    </row>
    <row r="21639" spans="1:100">
      <c r="A21639" s="374"/>
      <c r="C21639" s="374"/>
      <c r="CV21639" s="376"/>
    </row>
    <row r="21640" spans="1:100">
      <c r="A21640" s="374"/>
      <c r="C21640" s="374"/>
      <c r="CV21640" s="376"/>
    </row>
    <row r="21641" spans="1:100">
      <c r="A21641" s="374"/>
      <c r="C21641" s="374"/>
      <c r="CV21641" s="376"/>
    </row>
    <row r="21642" spans="1:100">
      <c r="A21642" s="374"/>
      <c r="C21642" s="374"/>
      <c r="CV21642" s="376"/>
    </row>
    <row r="21643" spans="1:100">
      <c r="A21643" s="374"/>
      <c r="C21643" s="374"/>
      <c r="CV21643" s="376"/>
    </row>
    <row r="21644" spans="1:100">
      <c r="A21644" s="374"/>
      <c r="C21644" s="374"/>
      <c r="CV21644" s="376"/>
    </row>
    <row r="21645" spans="1:100">
      <c r="A21645" s="374"/>
      <c r="C21645" s="374"/>
      <c r="CV21645" s="376"/>
    </row>
    <row r="21646" spans="1:100">
      <c r="A21646" s="374"/>
      <c r="C21646" s="374"/>
      <c r="CV21646" s="376"/>
    </row>
    <row r="21647" spans="1:100">
      <c r="A21647" s="374"/>
      <c r="C21647" s="374"/>
      <c r="CV21647" s="376"/>
    </row>
    <row r="21648" spans="1:100">
      <c r="A21648" s="374"/>
      <c r="C21648" s="374"/>
      <c r="CV21648" s="376"/>
    </row>
    <row r="21649" spans="1:100">
      <c r="A21649" s="374"/>
      <c r="C21649" s="374"/>
      <c r="CV21649" s="376"/>
    </row>
    <row r="21650" spans="1:100">
      <c r="A21650" s="374"/>
      <c r="C21650" s="374"/>
      <c r="CV21650" s="376"/>
    </row>
    <row r="21651" spans="1:100">
      <c r="A21651" s="374"/>
      <c r="C21651" s="374"/>
      <c r="CV21651" s="376"/>
    </row>
    <row r="21652" spans="1:100">
      <c r="A21652" s="374"/>
      <c r="C21652" s="374"/>
      <c r="CV21652" s="376"/>
    </row>
    <row r="21653" spans="1:100">
      <c r="A21653" s="374"/>
      <c r="C21653" s="374"/>
      <c r="CV21653" s="376"/>
    </row>
    <row r="21654" spans="1:100">
      <c r="A21654" s="374"/>
      <c r="C21654" s="374"/>
      <c r="CV21654" s="376"/>
    </row>
    <row r="21655" spans="1:100">
      <c r="A21655" s="374"/>
      <c r="C21655" s="374"/>
      <c r="CV21655" s="376"/>
    </row>
    <row r="21656" spans="1:100">
      <c r="A21656" s="374"/>
      <c r="C21656" s="374"/>
      <c r="CV21656" s="376"/>
    </row>
    <row r="21657" spans="1:100">
      <c r="A21657" s="374"/>
      <c r="C21657" s="374"/>
      <c r="CV21657" s="376"/>
    </row>
    <row r="21658" spans="1:100">
      <c r="A21658" s="374"/>
      <c r="C21658" s="374"/>
      <c r="CV21658" s="376"/>
    </row>
    <row r="21659" spans="1:100">
      <c r="A21659" s="374"/>
      <c r="C21659" s="374"/>
      <c r="CV21659" s="376"/>
    </row>
    <row r="21660" spans="1:100">
      <c r="A21660" s="374"/>
      <c r="C21660" s="374"/>
      <c r="CV21660" s="376"/>
    </row>
    <row r="21661" spans="1:100">
      <c r="A21661" s="374"/>
      <c r="C21661" s="374"/>
      <c r="CV21661" s="376"/>
    </row>
    <row r="21662" spans="1:100">
      <c r="A21662" s="374"/>
      <c r="C21662" s="374"/>
      <c r="CV21662" s="376"/>
    </row>
    <row r="21663" spans="1:100">
      <c r="A21663" s="374"/>
      <c r="C21663" s="374"/>
      <c r="CV21663" s="376"/>
    </row>
    <row r="21664" spans="1:100">
      <c r="A21664" s="374"/>
      <c r="C21664" s="374"/>
      <c r="CV21664" s="376"/>
    </row>
    <row r="21665" spans="1:100">
      <c r="A21665" s="374"/>
      <c r="C21665" s="374"/>
      <c r="CV21665" s="376"/>
    </row>
    <row r="21666" spans="1:100">
      <c r="A21666" s="374"/>
      <c r="C21666" s="374"/>
      <c r="CV21666" s="376"/>
    </row>
    <row r="21667" spans="1:100">
      <c r="A21667" s="374"/>
      <c r="C21667" s="374"/>
      <c r="CV21667" s="376"/>
    </row>
    <row r="21668" spans="1:100">
      <c r="A21668" s="374"/>
      <c r="C21668" s="374"/>
      <c r="CV21668" s="376"/>
    </row>
    <row r="21669" spans="1:100">
      <c r="A21669" s="374"/>
      <c r="C21669" s="374"/>
      <c r="CV21669" s="376"/>
    </row>
    <row r="21670" spans="1:100">
      <c r="A21670" s="374"/>
      <c r="C21670" s="374"/>
      <c r="CV21670" s="376"/>
    </row>
    <row r="21671" spans="1:100">
      <c r="A21671" s="374"/>
      <c r="C21671" s="374"/>
      <c r="CV21671" s="376"/>
    </row>
    <row r="21672" spans="1:100">
      <c r="A21672" s="374"/>
      <c r="C21672" s="374"/>
      <c r="CV21672" s="376"/>
    </row>
    <row r="21673" spans="1:100">
      <c r="A21673" s="374"/>
      <c r="C21673" s="374"/>
      <c r="CV21673" s="376"/>
    </row>
    <row r="21674" spans="1:100">
      <c r="A21674" s="374"/>
      <c r="C21674" s="374"/>
      <c r="CV21674" s="376"/>
    </row>
    <row r="21675" spans="1:100">
      <c r="A21675" s="374"/>
      <c r="C21675" s="374"/>
      <c r="CV21675" s="376"/>
    </row>
    <row r="21676" spans="1:100">
      <c r="A21676" s="374"/>
      <c r="C21676" s="374"/>
      <c r="CV21676" s="376"/>
    </row>
    <row r="21677" spans="1:100">
      <c r="A21677" s="374"/>
      <c r="C21677" s="374"/>
      <c r="CV21677" s="376"/>
    </row>
    <row r="21678" spans="1:100">
      <c r="A21678" s="374"/>
      <c r="C21678" s="374"/>
      <c r="CV21678" s="376"/>
    </row>
    <row r="21679" spans="1:100">
      <c r="A21679" s="374"/>
      <c r="C21679" s="374"/>
      <c r="CV21679" s="376"/>
    </row>
    <row r="21680" spans="1:100">
      <c r="A21680" s="374"/>
      <c r="C21680" s="374"/>
      <c r="CV21680" s="376"/>
    </row>
    <row r="21681" spans="1:100">
      <c r="A21681" s="374"/>
      <c r="C21681" s="374"/>
      <c r="CV21681" s="376"/>
    </row>
    <row r="21682" spans="1:100">
      <c r="A21682" s="374"/>
      <c r="C21682" s="374"/>
      <c r="CV21682" s="376"/>
    </row>
    <row r="21683" spans="1:100">
      <c r="A21683" s="374"/>
      <c r="C21683" s="374"/>
      <c r="CV21683" s="376"/>
    </row>
    <row r="21684" spans="1:100">
      <c r="A21684" s="374"/>
      <c r="C21684" s="374"/>
      <c r="CV21684" s="376"/>
    </row>
    <row r="21685" spans="1:100">
      <c r="A21685" s="374"/>
      <c r="C21685" s="374"/>
      <c r="CV21685" s="376"/>
    </row>
    <row r="21686" spans="1:100">
      <c r="A21686" s="374"/>
      <c r="C21686" s="374"/>
      <c r="CV21686" s="376"/>
    </row>
    <row r="21687" spans="1:100">
      <c r="A21687" s="374"/>
      <c r="C21687" s="374"/>
      <c r="CV21687" s="376"/>
    </row>
    <row r="21688" spans="1:100">
      <c r="A21688" s="374"/>
      <c r="C21688" s="374"/>
      <c r="CV21688" s="376"/>
    </row>
    <row r="21689" spans="1:100">
      <c r="A21689" s="374"/>
      <c r="C21689" s="374"/>
      <c r="CV21689" s="376"/>
    </row>
    <row r="21690" spans="1:100">
      <c r="A21690" s="374"/>
      <c r="C21690" s="374"/>
      <c r="CV21690" s="376"/>
    </row>
    <row r="21691" spans="1:100">
      <c r="A21691" s="374"/>
      <c r="C21691" s="374"/>
      <c r="CV21691" s="376"/>
    </row>
    <row r="21692" spans="1:100">
      <c r="A21692" s="374"/>
      <c r="C21692" s="374"/>
      <c r="CV21692" s="376"/>
    </row>
    <row r="21693" spans="1:100">
      <c r="A21693" s="374"/>
      <c r="C21693" s="374"/>
      <c r="CV21693" s="376"/>
    </row>
    <row r="21694" spans="1:100">
      <c r="A21694" s="374"/>
      <c r="C21694" s="374"/>
      <c r="CV21694" s="376"/>
    </row>
    <row r="21695" spans="1:100">
      <c r="A21695" s="374"/>
      <c r="C21695" s="374"/>
      <c r="CV21695" s="376"/>
    </row>
    <row r="21696" spans="1:100">
      <c r="A21696" s="374"/>
      <c r="C21696" s="374"/>
      <c r="CV21696" s="376"/>
    </row>
    <row r="21697" spans="1:100">
      <c r="A21697" s="374"/>
      <c r="C21697" s="374"/>
      <c r="CV21697" s="376"/>
    </row>
    <row r="21698" spans="1:100">
      <c r="A21698" s="374"/>
      <c r="C21698" s="374"/>
      <c r="CV21698" s="376"/>
    </row>
    <row r="21699" spans="1:100">
      <c r="A21699" s="374"/>
      <c r="C21699" s="374"/>
      <c r="CV21699" s="376"/>
    </row>
    <row r="21700" spans="1:100">
      <c r="A21700" s="374"/>
      <c r="C21700" s="374"/>
      <c r="CV21700" s="376"/>
    </row>
    <row r="21701" spans="1:100">
      <c r="A21701" s="374"/>
      <c r="C21701" s="374"/>
      <c r="CV21701" s="376"/>
    </row>
    <row r="21702" spans="1:100">
      <c r="A21702" s="374"/>
      <c r="C21702" s="374"/>
      <c r="CV21702" s="376"/>
    </row>
    <row r="21703" spans="1:100">
      <c r="A21703" s="374"/>
      <c r="C21703" s="374"/>
      <c r="CV21703" s="376"/>
    </row>
    <row r="21704" spans="1:100">
      <c r="A21704" s="374"/>
      <c r="C21704" s="374"/>
      <c r="CV21704" s="376"/>
    </row>
    <row r="21705" spans="1:100">
      <c r="A21705" s="374"/>
      <c r="C21705" s="374"/>
      <c r="CV21705" s="376"/>
    </row>
    <row r="21706" spans="1:100">
      <c r="A21706" s="374"/>
      <c r="C21706" s="374"/>
      <c r="CV21706" s="376"/>
    </row>
    <row r="21707" spans="1:100">
      <c r="A21707" s="374"/>
      <c r="C21707" s="374"/>
      <c r="CV21707" s="376"/>
    </row>
    <row r="21708" spans="1:100">
      <c r="A21708" s="374"/>
      <c r="C21708" s="374"/>
      <c r="CV21708" s="376"/>
    </row>
    <row r="21709" spans="1:100">
      <c r="A21709" s="374"/>
      <c r="C21709" s="374"/>
      <c r="CV21709" s="376"/>
    </row>
    <row r="21710" spans="1:100">
      <c r="A21710" s="374"/>
      <c r="C21710" s="374"/>
      <c r="CV21710" s="376"/>
    </row>
    <row r="21711" spans="1:100">
      <c r="A21711" s="374"/>
      <c r="C21711" s="374"/>
      <c r="CV21711" s="376"/>
    </row>
    <row r="21712" spans="1:100">
      <c r="A21712" s="374"/>
      <c r="C21712" s="374"/>
      <c r="CV21712" s="376"/>
    </row>
    <row r="21713" spans="1:100">
      <c r="A21713" s="374"/>
      <c r="C21713" s="374"/>
      <c r="CV21713" s="376"/>
    </row>
    <row r="21714" spans="1:100">
      <c r="A21714" s="374"/>
      <c r="C21714" s="374"/>
      <c r="CV21714" s="376"/>
    </row>
    <row r="21715" spans="1:100">
      <c r="A21715" s="374"/>
      <c r="C21715" s="374"/>
      <c r="CV21715" s="376"/>
    </row>
    <row r="21716" spans="1:100">
      <c r="A21716" s="374"/>
      <c r="C21716" s="374"/>
      <c r="CV21716" s="376"/>
    </row>
    <row r="21717" spans="1:100">
      <c r="A21717" s="374"/>
      <c r="C21717" s="374"/>
      <c r="CV21717" s="376"/>
    </row>
    <row r="21718" spans="1:100">
      <c r="A21718" s="374"/>
      <c r="C21718" s="374"/>
      <c r="CV21718" s="376"/>
    </row>
    <row r="21719" spans="1:100">
      <c r="A21719" s="374"/>
      <c r="C21719" s="374"/>
      <c r="CV21719" s="376"/>
    </row>
    <row r="21720" spans="1:100">
      <c r="A21720" s="374"/>
      <c r="C21720" s="374"/>
      <c r="CV21720" s="376"/>
    </row>
    <row r="21721" spans="1:100">
      <c r="A21721" s="374"/>
      <c r="C21721" s="374"/>
      <c r="CV21721" s="376"/>
    </row>
    <row r="21722" spans="1:100">
      <c r="A21722" s="374"/>
      <c r="C21722" s="374"/>
      <c r="CV21722" s="376"/>
    </row>
    <row r="21723" spans="1:100">
      <c r="A21723" s="374"/>
      <c r="C21723" s="374"/>
      <c r="CV21723" s="376"/>
    </row>
    <row r="21724" spans="1:100">
      <c r="A21724" s="374"/>
      <c r="C21724" s="374"/>
      <c r="CV21724" s="376"/>
    </row>
    <row r="21725" spans="1:100">
      <c r="A21725" s="374"/>
      <c r="C21725" s="374"/>
      <c r="CV21725" s="376"/>
    </row>
    <row r="21726" spans="1:100">
      <c r="A21726" s="374"/>
      <c r="C21726" s="374"/>
      <c r="CV21726" s="376"/>
    </row>
    <row r="21727" spans="1:100">
      <c r="A21727" s="374"/>
      <c r="C21727" s="374"/>
      <c r="CV21727" s="376"/>
    </row>
    <row r="21728" spans="1:100">
      <c r="A21728" s="374"/>
      <c r="C21728" s="374"/>
      <c r="CV21728" s="376"/>
    </row>
    <row r="21729" spans="1:100">
      <c r="A21729" s="374"/>
      <c r="C21729" s="374"/>
      <c r="CV21729" s="376"/>
    </row>
    <row r="21730" spans="1:100">
      <c r="A21730" s="374"/>
      <c r="C21730" s="374"/>
      <c r="CV21730" s="376"/>
    </row>
    <row r="21731" spans="1:100">
      <c r="A21731" s="374"/>
      <c r="C21731" s="374"/>
      <c r="CV21731" s="376"/>
    </row>
    <row r="21732" spans="1:100">
      <c r="A21732" s="374"/>
      <c r="C21732" s="374"/>
      <c r="CV21732" s="376"/>
    </row>
    <row r="21733" spans="1:100">
      <c r="A21733" s="374"/>
      <c r="C21733" s="374"/>
      <c r="CV21733" s="376"/>
    </row>
    <row r="21734" spans="1:100">
      <c r="A21734" s="374"/>
      <c r="C21734" s="374"/>
      <c r="CV21734" s="376"/>
    </row>
    <row r="21735" spans="1:100">
      <c r="A21735" s="374"/>
      <c r="C21735" s="374"/>
      <c r="CV21735" s="376"/>
    </row>
    <row r="21736" spans="1:100">
      <c r="A21736" s="374"/>
      <c r="C21736" s="374"/>
      <c r="CV21736" s="376"/>
    </row>
    <row r="21737" spans="1:100">
      <c r="A21737" s="374"/>
      <c r="C21737" s="374"/>
      <c r="CV21737" s="376"/>
    </row>
    <row r="21738" spans="1:100">
      <c r="A21738" s="374"/>
      <c r="C21738" s="374"/>
      <c r="CV21738" s="376"/>
    </row>
    <row r="21739" spans="1:100">
      <c r="A21739" s="374"/>
      <c r="C21739" s="374"/>
      <c r="CV21739" s="376"/>
    </row>
    <row r="21740" spans="1:100">
      <c r="A21740" s="374"/>
      <c r="C21740" s="374"/>
      <c r="CV21740" s="376"/>
    </row>
    <row r="21741" spans="1:100">
      <c r="A21741" s="374"/>
      <c r="C21741" s="374"/>
      <c r="CV21741" s="376"/>
    </row>
    <row r="21742" spans="1:100">
      <c r="A21742" s="374"/>
      <c r="C21742" s="374"/>
      <c r="CV21742" s="376"/>
    </row>
    <row r="21743" spans="1:100">
      <c r="A21743" s="374"/>
      <c r="C21743" s="374"/>
      <c r="CV21743" s="376"/>
    </row>
    <row r="21744" spans="1:100">
      <c r="A21744" s="374"/>
      <c r="C21744" s="374"/>
      <c r="CV21744" s="376"/>
    </row>
    <row r="21745" spans="1:100">
      <c r="A21745" s="374"/>
      <c r="C21745" s="374"/>
      <c r="CV21745" s="376"/>
    </row>
    <row r="21746" spans="1:100">
      <c r="A21746" s="374"/>
      <c r="C21746" s="374"/>
      <c r="CV21746" s="376"/>
    </row>
    <row r="21747" spans="1:100">
      <c r="A21747" s="374"/>
      <c r="C21747" s="374"/>
      <c r="CV21747" s="376"/>
    </row>
    <row r="21748" spans="1:100">
      <c r="A21748" s="374"/>
      <c r="C21748" s="374"/>
      <c r="CV21748" s="376"/>
    </row>
    <row r="21749" spans="1:100">
      <c r="A21749" s="374"/>
      <c r="C21749" s="374"/>
      <c r="CV21749" s="376"/>
    </row>
    <row r="21750" spans="1:100">
      <c r="A21750" s="374"/>
      <c r="C21750" s="374"/>
      <c r="CV21750" s="376"/>
    </row>
    <row r="21751" spans="1:100">
      <c r="A21751" s="374"/>
      <c r="C21751" s="374"/>
      <c r="CV21751" s="376"/>
    </row>
    <row r="21752" spans="1:100">
      <c r="A21752" s="374"/>
      <c r="C21752" s="374"/>
      <c r="CV21752" s="376"/>
    </row>
    <row r="21753" spans="1:100">
      <c r="A21753" s="374"/>
      <c r="C21753" s="374"/>
      <c r="CV21753" s="376"/>
    </row>
    <row r="21754" spans="1:100">
      <c r="A21754" s="374"/>
      <c r="C21754" s="374"/>
      <c r="CV21754" s="376"/>
    </row>
    <row r="21755" spans="1:100">
      <c r="A21755" s="374"/>
      <c r="C21755" s="374"/>
      <c r="CV21755" s="376"/>
    </row>
    <row r="21756" spans="1:100">
      <c r="A21756" s="374"/>
      <c r="C21756" s="374"/>
      <c r="CV21756" s="376"/>
    </row>
    <row r="21757" spans="1:100">
      <c r="A21757" s="374"/>
      <c r="C21757" s="374"/>
      <c r="CV21757" s="376"/>
    </row>
    <row r="21758" spans="1:100">
      <c r="A21758" s="374"/>
      <c r="C21758" s="374"/>
      <c r="CV21758" s="376"/>
    </row>
    <row r="21759" spans="1:100">
      <c r="A21759" s="374"/>
      <c r="C21759" s="374"/>
      <c r="CV21759" s="376"/>
    </row>
    <row r="21760" spans="1:100">
      <c r="A21760" s="374"/>
      <c r="C21760" s="374"/>
      <c r="CV21760" s="376"/>
    </row>
    <row r="21761" spans="1:100">
      <c r="A21761" s="374"/>
      <c r="C21761" s="374"/>
      <c r="CV21761" s="376"/>
    </row>
    <row r="21762" spans="1:100">
      <c r="A21762" s="374"/>
      <c r="C21762" s="374"/>
      <c r="CV21762" s="376"/>
    </row>
    <row r="21763" spans="1:100">
      <c r="A21763" s="374"/>
      <c r="C21763" s="374"/>
      <c r="CV21763" s="376"/>
    </row>
    <row r="21764" spans="1:100">
      <c r="A21764" s="374"/>
      <c r="C21764" s="374"/>
      <c r="CV21764" s="376"/>
    </row>
    <row r="21765" spans="1:100">
      <c r="A21765" s="374"/>
      <c r="C21765" s="374"/>
      <c r="CV21765" s="376"/>
    </row>
    <row r="21766" spans="1:100">
      <c r="A21766" s="374"/>
      <c r="C21766" s="374"/>
      <c r="CV21766" s="376"/>
    </row>
    <row r="21767" spans="1:100">
      <c r="A21767" s="374"/>
      <c r="C21767" s="374"/>
      <c r="CV21767" s="376"/>
    </row>
    <row r="21768" spans="1:100">
      <c r="A21768" s="374"/>
      <c r="C21768" s="374"/>
      <c r="CV21768" s="376"/>
    </row>
    <row r="21769" spans="1:100">
      <c r="A21769" s="374"/>
      <c r="C21769" s="374"/>
      <c r="CV21769" s="376"/>
    </row>
    <row r="21770" spans="1:100">
      <c r="A21770" s="374"/>
      <c r="C21770" s="374"/>
      <c r="CV21770" s="376"/>
    </row>
    <row r="21771" spans="1:100">
      <c r="A21771" s="374"/>
      <c r="C21771" s="374"/>
      <c r="CV21771" s="376"/>
    </row>
    <row r="21772" spans="1:100">
      <c r="A21772" s="374"/>
      <c r="C21772" s="374"/>
      <c r="CV21772" s="376"/>
    </row>
    <row r="21773" spans="1:100">
      <c r="A21773" s="374"/>
      <c r="C21773" s="374"/>
      <c r="CV21773" s="376"/>
    </row>
    <row r="21774" spans="1:100">
      <c r="A21774" s="374"/>
      <c r="C21774" s="374"/>
      <c r="CV21774" s="376"/>
    </row>
    <row r="21775" spans="1:100">
      <c r="A21775" s="374"/>
      <c r="C21775" s="374"/>
      <c r="CV21775" s="376"/>
    </row>
    <row r="21776" spans="1:100">
      <c r="A21776" s="374"/>
      <c r="C21776" s="374"/>
      <c r="CV21776" s="376"/>
    </row>
    <row r="21777" spans="1:100">
      <c r="A21777" s="374"/>
      <c r="C21777" s="374"/>
      <c r="CV21777" s="376"/>
    </row>
    <row r="21778" spans="1:100">
      <c r="A21778" s="374"/>
      <c r="C21778" s="374"/>
      <c r="CV21778" s="376"/>
    </row>
    <row r="21779" spans="1:100">
      <c r="A21779" s="374"/>
      <c r="C21779" s="374"/>
      <c r="CV21779" s="376"/>
    </row>
    <row r="21780" spans="1:100">
      <c r="A21780" s="374"/>
      <c r="C21780" s="374"/>
      <c r="CV21780" s="376"/>
    </row>
    <row r="21781" spans="1:100">
      <c r="A21781" s="374"/>
      <c r="C21781" s="374"/>
      <c r="CV21781" s="376"/>
    </row>
    <row r="21782" spans="1:100">
      <c r="A21782" s="374"/>
      <c r="C21782" s="374"/>
      <c r="CV21782" s="376"/>
    </row>
    <row r="21783" spans="1:100">
      <c r="A21783" s="374"/>
      <c r="C21783" s="374"/>
      <c r="CV21783" s="376"/>
    </row>
    <row r="21784" spans="1:100">
      <c r="A21784" s="374"/>
      <c r="C21784" s="374"/>
      <c r="CV21784" s="376"/>
    </row>
    <row r="21785" spans="1:100">
      <c r="A21785" s="374"/>
      <c r="C21785" s="374"/>
      <c r="CV21785" s="376"/>
    </row>
    <row r="21786" spans="1:100">
      <c r="A21786" s="374"/>
      <c r="C21786" s="374"/>
      <c r="CV21786" s="376"/>
    </row>
    <row r="21787" spans="1:100">
      <c r="A21787" s="374"/>
      <c r="C21787" s="374"/>
      <c r="CV21787" s="376"/>
    </row>
    <row r="21788" spans="1:100">
      <c r="A21788" s="374"/>
      <c r="C21788" s="374"/>
      <c r="CV21788" s="376"/>
    </row>
    <row r="21789" spans="1:100">
      <c r="A21789" s="374"/>
      <c r="C21789" s="374"/>
      <c r="CV21789" s="376"/>
    </row>
    <row r="21790" spans="1:100">
      <c r="A21790" s="374"/>
      <c r="C21790" s="374"/>
      <c r="CV21790" s="376"/>
    </row>
    <row r="21791" spans="1:100">
      <c r="A21791" s="374"/>
      <c r="C21791" s="374"/>
      <c r="CV21791" s="376"/>
    </row>
    <row r="21792" spans="1:100">
      <c r="A21792" s="374"/>
      <c r="C21792" s="374"/>
      <c r="CV21792" s="376"/>
    </row>
    <row r="21793" spans="1:100">
      <c r="A21793" s="374"/>
      <c r="C21793" s="374"/>
      <c r="CV21793" s="376"/>
    </row>
    <row r="21794" spans="1:100">
      <c r="A21794" s="374"/>
      <c r="C21794" s="374"/>
      <c r="CV21794" s="376"/>
    </row>
    <row r="21795" spans="1:100">
      <c r="A21795" s="374"/>
      <c r="C21795" s="374"/>
      <c r="CV21795" s="376"/>
    </row>
    <row r="21796" spans="1:100">
      <c r="A21796" s="374"/>
      <c r="C21796" s="374"/>
      <c r="CV21796" s="376"/>
    </row>
    <row r="21797" spans="1:100">
      <c r="A21797" s="374"/>
      <c r="C21797" s="374"/>
      <c r="CV21797" s="376"/>
    </row>
    <row r="21798" spans="1:100">
      <c r="A21798" s="374"/>
      <c r="C21798" s="374"/>
      <c r="CV21798" s="376"/>
    </row>
    <row r="21799" spans="1:100">
      <c r="A21799" s="374"/>
      <c r="C21799" s="374"/>
      <c r="CV21799" s="376"/>
    </row>
    <row r="21800" spans="1:100">
      <c r="A21800" s="374"/>
      <c r="C21800" s="374"/>
      <c r="CV21800" s="376"/>
    </row>
    <row r="21801" spans="1:100">
      <c r="A21801" s="374"/>
      <c r="C21801" s="374"/>
      <c r="CV21801" s="376"/>
    </row>
    <row r="21802" spans="1:100">
      <c r="A21802" s="374"/>
      <c r="C21802" s="374"/>
      <c r="CV21802" s="376"/>
    </row>
    <row r="21803" spans="1:100">
      <c r="A21803" s="374"/>
      <c r="C21803" s="374"/>
      <c r="CV21803" s="376"/>
    </row>
    <row r="21804" spans="1:100">
      <c r="A21804" s="374"/>
      <c r="C21804" s="374"/>
      <c r="CV21804" s="376"/>
    </row>
    <row r="21805" spans="1:100">
      <c r="A21805" s="374"/>
      <c r="C21805" s="374"/>
      <c r="CV21805" s="376"/>
    </row>
    <row r="21806" spans="1:100">
      <c r="A21806" s="374"/>
      <c r="C21806" s="374"/>
      <c r="CV21806" s="376"/>
    </row>
    <row r="21807" spans="1:100">
      <c r="A21807" s="374"/>
      <c r="C21807" s="374"/>
      <c r="CV21807" s="376"/>
    </row>
    <row r="21808" spans="1:100">
      <c r="A21808" s="374"/>
      <c r="C21808" s="374"/>
      <c r="CV21808" s="376"/>
    </row>
    <row r="21809" spans="1:100">
      <c r="A21809" s="374"/>
      <c r="C21809" s="374"/>
      <c r="CV21809" s="376"/>
    </row>
    <row r="21810" spans="1:100">
      <c r="A21810" s="374"/>
      <c r="C21810" s="374"/>
      <c r="CV21810" s="376"/>
    </row>
    <row r="21811" spans="1:100">
      <c r="A21811" s="374"/>
      <c r="C21811" s="374"/>
      <c r="CV21811" s="376"/>
    </row>
    <row r="21812" spans="1:100">
      <c r="A21812" s="374"/>
      <c r="C21812" s="374"/>
      <c r="CV21812" s="376"/>
    </row>
    <row r="21813" spans="1:100">
      <c r="A21813" s="374"/>
      <c r="C21813" s="374"/>
      <c r="CV21813" s="376"/>
    </row>
    <row r="21814" spans="1:100">
      <c r="A21814" s="374"/>
      <c r="C21814" s="374"/>
      <c r="CV21814" s="376"/>
    </row>
    <row r="21815" spans="1:100">
      <c r="A21815" s="374"/>
      <c r="C21815" s="374"/>
      <c r="CV21815" s="376"/>
    </row>
    <row r="21816" spans="1:100">
      <c r="A21816" s="374"/>
      <c r="C21816" s="374"/>
      <c r="CV21816" s="376"/>
    </row>
    <row r="21817" spans="1:100">
      <c r="A21817" s="374"/>
      <c r="C21817" s="374"/>
      <c r="CV21817" s="376"/>
    </row>
    <row r="21818" spans="1:100">
      <c r="A21818" s="374"/>
      <c r="C21818" s="374"/>
      <c r="CV21818" s="376"/>
    </row>
    <row r="21819" spans="1:100">
      <c r="A21819" s="374"/>
      <c r="C21819" s="374"/>
      <c r="CV21819" s="376"/>
    </row>
    <row r="21820" spans="1:100">
      <c r="A21820" s="374"/>
      <c r="C21820" s="374"/>
      <c r="CV21820" s="376"/>
    </row>
    <row r="21821" spans="1:100">
      <c r="A21821" s="374"/>
      <c r="C21821" s="374"/>
      <c r="CV21821" s="376"/>
    </row>
    <row r="21822" spans="1:100">
      <c r="A21822" s="374"/>
      <c r="C21822" s="374"/>
      <c r="CV21822" s="376"/>
    </row>
    <row r="21823" spans="1:100">
      <c r="A21823" s="374"/>
      <c r="C21823" s="374"/>
      <c r="CV21823" s="376"/>
    </row>
    <row r="21824" spans="1:100">
      <c r="A21824" s="374"/>
      <c r="C21824" s="374"/>
      <c r="CV21824" s="376"/>
    </row>
    <row r="21825" spans="1:100">
      <c r="A21825" s="374"/>
      <c r="C21825" s="374"/>
      <c r="CV21825" s="376"/>
    </row>
    <row r="21826" spans="1:100">
      <c r="A21826" s="374"/>
      <c r="C21826" s="374"/>
      <c r="CV21826" s="376"/>
    </row>
    <row r="21827" spans="1:100">
      <c r="A21827" s="374"/>
      <c r="C21827" s="374"/>
      <c r="CV21827" s="376"/>
    </row>
    <row r="21828" spans="1:100">
      <c r="A21828" s="374"/>
      <c r="C21828" s="374"/>
      <c r="CV21828" s="376"/>
    </row>
    <row r="21829" spans="1:100">
      <c r="A21829" s="374"/>
      <c r="C21829" s="374"/>
      <c r="CV21829" s="376"/>
    </row>
    <row r="21830" spans="1:100">
      <c r="A21830" s="374"/>
      <c r="C21830" s="374"/>
      <c r="CV21830" s="376"/>
    </row>
    <row r="21831" spans="1:100">
      <c r="A21831" s="374"/>
      <c r="C21831" s="374"/>
      <c r="CV21831" s="376"/>
    </row>
    <row r="21832" spans="1:100">
      <c r="A21832" s="374"/>
      <c r="C21832" s="374"/>
      <c r="CV21832" s="376"/>
    </row>
    <row r="21833" spans="1:100">
      <c r="A21833" s="374"/>
      <c r="C21833" s="374"/>
      <c r="CV21833" s="376"/>
    </row>
    <row r="21834" spans="1:100">
      <c r="A21834" s="374"/>
      <c r="C21834" s="374"/>
      <c r="CV21834" s="376"/>
    </row>
    <row r="21835" spans="1:100">
      <c r="A21835" s="374"/>
      <c r="C21835" s="374"/>
      <c r="CV21835" s="376"/>
    </row>
    <row r="21836" spans="1:100">
      <c r="A21836" s="374"/>
      <c r="C21836" s="374"/>
      <c r="CV21836" s="376"/>
    </row>
    <row r="21837" spans="1:100">
      <c r="A21837" s="374"/>
      <c r="C21837" s="374"/>
      <c r="CV21837" s="376"/>
    </row>
    <row r="21838" spans="1:100">
      <c r="A21838" s="374"/>
      <c r="C21838" s="374"/>
      <c r="CV21838" s="376"/>
    </row>
    <row r="21839" spans="1:100">
      <c r="A21839" s="374"/>
      <c r="C21839" s="374"/>
      <c r="CV21839" s="376"/>
    </row>
    <row r="21840" spans="1:100">
      <c r="A21840" s="374"/>
      <c r="C21840" s="374"/>
      <c r="CV21840" s="376"/>
    </row>
    <row r="21841" spans="1:100">
      <c r="A21841" s="374"/>
      <c r="C21841" s="374"/>
      <c r="CV21841" s="376"/>
    </row>
    <row r="21842" spans="1:100">
      <c r="A21842" s="374"/>
      <c r="C21842" s="374"/>
      <c r="CV21842" s="376"/>
    </row>
    <row r="21843" spans="1:100">
      <c r="A21843" s="374"/>
      <c r="C21843" s="374"/>
      <c r="CV21843" s="376"/>
    </row>
    <row r="21844" spans="1:100">
      <c r="A21844" s="374"/>
      <c r="C21844" s="374"/>
      <c r="CV21844" s="376"/>
    </row>
    <row r="21845" spans="1:100">
      <c r="A21845" s="374"/>
      <c r="C21845" s="374"/>
      <c r="CV21845" s="376"/>
    </row>
    <row r="21846" spans="1:100">
      <c r="A21846" s="374"/>
      <c r="C21846" s="374"/>
      <c r="CV21846" s="376"/>
    </row>
    <row r="21847" spans="1:100">
      <c r="A21847" s="374"/>
      <c r="C21847" s="374"/>
      <c r="CV21847" s="376"/>
    </row>
    <row r="21848" spans="1:100">
      <c r="A21848" s="374"/>
      <c r="C21848" s="374"/>
      <c r="CV21848" s="376"/>
    </row>
    <row r="21849" spans="1:100">
      <c r="A21849" s="374"/>
      <c r="C21849" s="374"/>
      <c r="CV21849" s="376"/>
    </row>
    <row r="21850" spans="1:100">
      <c r="A21850" s="374"/>
      <c r="C21850" s="374"/>
      <c r="CV21850" s="376"/>
    </row>
    <row r="21851" spans="1:100">
      <c r="A21851" s="374"/>
      <c r="C21851" s="374"/>
      <c r="CV21851" s="376"/>
    </row>
    <row r="21852" spans="1:100">
      <c r="A21852" s="374"/>
      <c r="C21852" s="374"/>
      <c r="CV21852" s="376"/>
    </row>
    <row r="21853" spans="1:100">
      <c r="A21853" s="374"/>
      <c r="C21853" s="374"/>
      <c r="CV21853" s="376"/>
    </row>
    <row r="21854" spans="1:100">
      <c r="A21854" s="374"/>
      <c r="C21854" s="374"/>
      <c r="CV21854" s="376"/>
    </row>
    <row r="21855" spans="1:100">
      <c r="A21855" s="374"/>
      <c r="C21855" s="374"/>
      <c r="CV21855" s="376"/>
    </row>
    <row r="21856" spans="1:100">
      <c r="A21856" s="374"/>
      <c r="C21856" s="374"/>
      <c r="CV21856" s="376"/>
    </row>
    <row r="21857" spans="1:100">
      <c r="A21857" s="374"/>
      <c r="C21857" s="374"/>
      <c r="CV21857" s="376"/>
    </row>
    <row r="21858" spans="1:100">
      <c r="A21858" s="374"/>
      <c r="C21858" s="374"/>
      <c r="CV21858" s="376"/>
    </row>
    <row r="21859" spans="1:100">
      <c r="A21859" s="374"/>
      <c r="C21859" s="374"/>
      <c r="CV21859" s="376"/>
    </row>
    <row r="21860" spans="1:100">
      <c r="A21860" s="374"/>
      <c r="C21860" s="374"/>
      <c r="CV21860" s="376"/>
    </row>
    <row r="21861" spans="1:100">
      <c r="A21861" s="374"/>
      <c r="C21861" s="374"/>
      <c r="CV21861" s="376"/>
    </row>
    <row r="21862" spans="1:100">
      <c r="A21862" s="374"/>
      <c r="C21862" s="374"/>
      <c r="CV21862" s="376"/>
    </row>
    <row r="21863" spans="1:100">
      <c r="A21863" s="374"/>
      <c r="C21863" s="374"/>
      <c r="CV21863" s="376"/>
    </row>
    <row r="21864" spans="1:100">
      <c r="A21864" s="374"/>
      <c r="C21864" s="374"/>
      <c r="CV21864" s="376"/>
    </row>
    <row r="21865" spans="1:100">
      <c r="A21865" s="374"/>
      <c r="C21865" s="374"/>
      <c r="CV21865" s="376"/>
    </row>
    <row r="21866" spans="1:100">
      <c r="A21866" s="374"/>
      <c r="C21866" s="374"/>
      <c r="CV21866" s="376"/>
    </row>
    <row r="21867" spans="1:100">
      <c r="A21867" s="374"/>
      <c r="C21867" s="374"/>
      <c r="CV21867" s="376"/>
    </row>
    <row r="21868" spans="1:100">
      <c r="A21868" s="374"/>
      <c r="C21868" s="374"/>
      <c r="CV21868" s="376"/>
    </row>
    <row r="21869" spans="1:100">
      <c r="A21869" s="374"/>
      <c r="C21869" s="374"/>
      <c r="CV21869" s="376"/>
    </row>
    <row r="21870" spans="1:100">
      <c r="A21870" s="374"/>
      <c r="C21870" s="374"/>
      <c r="CV21870" s="376"/>
    </row>
    <row r="21871" spans="1:100">
      <c r="A21871" s="374"/>
      <c r="C21871" s="374"/>
      <c r="CV21871" s="376"/>
    </row>
    <row r="21872" spans="1:100">
      <c r="A21872" s="374"/>
      <c r="C21872" s="374"/>
      <c r="CV21872" s="376"/>
    </row>
    <row r="21873" spans="1:100">
      <c r="A21873" s="374"/>
      <c r="C21873" s="374"/>
      <c r="CV21873" s="376"/>
    </row>
    <row r="21874" spans="1:100">
      <c r="A21874" s="374"/>
      <c r="C21874" s="374"/>
      <c r="CV21874" s="376"/>
    </row>
    <row r="21875" spans="1:100">
      <c r="A21875" s="374"/>
      <c r="C21875" s="374"/>
      <c r="CV21875" s="376"/>
    </row>
    <row r="21876" spans="1:100">
      <c r="A21876" s="374"/>
      <c r="C21876" s="374"/>
      <c r="CV21876" s="376"/>
    </row>
    <row r="21877" spans="1:100">
      <c r="A21877" s="374"/>
      <c r="C21877" s="374"/>
      <c r="CV21877" s="376"/>
    </row>
    <row r="21878" spans="1:100">
      <c r="A21878" s="374"/>
      <c r="C21878" s="374"/>
      <c r="CV21878" s="376"/>
    </row>
    <row r="21879" spans="1:100">
      <c r="A21879" s="374"/>
      <c r="C21879" s="374"/>
      <c r="CV21879" s="376"/>
    </row>
    <row r="21880" spans="1:100">
      <c r="A21880" s="374"/>
      <c r="C21880" s="374"/>
      <c r="CV21880" s="376"/>
    </row>
    <row r="21881" spans="1:100">
      <c r="A21881" s="374"/>
      <c r="C21881" s="374"/>
      <c r="CV21881" s="376"/>
    </row>
    <row r="21882" spans="1:100">
      <c r="A21882" s="374"/>
      <c r="C21882" s="374"/>
      <c r="CV21882" s="376"/>
    </row>
    <row r="21883" spans="1:100">
      <c r="A21883" s="374"/>
      <c r="C21883" s="374"/>
      <c r="CV21883" s="376"/>
    </row>
    <row r="21884" spans="1:100">
      <c r="A21884" s="374"/>
      <c r="C21884" s="374"/>
      <c r="CV21884" s="376"/>
    </row>
    <row r="21885" spans="1:100">
      <c r="A21885" s="374"/>
      <c r="C21885" s="374"/>
      <c r="CV21885" s="376"/>
    </row>
    <row r="21886" spans="1:100">
      <c r="A21886" s="374"/>
      <c r="C21886" s="374"/>
      <c r="CV21886" s="376"/>
    </row>
    <row r="21887" spans="1:100">
      <c r="A21887" s="374"/>
      <c r="C21887" s="374"/>
      <c r="CV21887" s="376"/>
    </row>
    <row r="21888" spans="1:100">
      <c r="A21888" s="374"/>
      <c r="C21888" s="374"/>
      <c r="CV21888" s="376"/>
    </row>
    <row r="21889" spans="1:100">
      <c r="A21889" s="374"/>
      <c r="C21889" s="374"/>
      <c r="CV21889" s="376"/>
    </row>
    <row r="21890" spans="1:100">
      <c r="A21890" s="374"/>
      <c r="C21890" s="374"/>
      <c r="CV21890" s="376"/>
    </row>
    <row r="21891" spans="1:100">
      <c r="A21891" s="374"/>
      <c r="C21891" s="374"/>
      <c r="CV21891" s="376"/>
    </row>
    <row r="21892" spans="1:100">
      <c r="A21892" s="374"/>
      <c r="C21892" s="374"/>
      <c r="CV21892" s="376"/>
    </row>
    <row r="21893" spans="1:100">
      <c r="A21893" s="374"/>
      <c r="C21893" s="374"/>
      <c r="CV21893" s="376"/>
    </row>
    <row r="21894" spans="1:100">
      <c r="A21894" s="374"/>
      <c r="C21894" s="374"/>
      <c r="CV21894" s="376"/>
    </row>
    <row r="21895" spans="1:100">
      <c r="A21895" s="374"/>
      <c r="C21895" s="374"/>
      <c r="CV21895" s="376"/>
    </row>
    <row r="21896" spans="1:100">
      <c r="A21896" s="374"/>
      <c r="C21896" s="374"/>
      <c r="CV21896" s="376"/>
    </row>
    <row r="21897" spans="1:100">
      <c r="A21897" s="374"/>
      <c r="C21897" s="374"/>
      <c r="CV21897" s="376"/>
    </row>
    <row r="21898" spans="1:100">
      <c r="A21898" s="374"/>
      <c r="C21898" s="374"/>
      <c r="CV21898" s="376"/>
    </row>
    <row r="21899" spans="1:100">
      <c r="A21899" s="374"/>
      <c r="C21899" s="374"/>
      <c r="CV21899" s="376"/>
    </row>
    <row r="21900" spans="1:100">
      <c r="A21900" s="374"/>
      <c r="C21900" s="374"/>
      <c r="CV21900" s="376"/>
    </row>
    <row r="21901" spans="1:100">
      <c r="A21901" s="374"/>
      <c r="C21901" s="374"/>
      <c r="CV21901" s="376"/>
    </row>
    <row r="21902" spans="1:100">
      <c r="A21902" s="374"/>
      <c r="C21902" s="374"/>
      <c r="CV21902" s="376"/>
    </row>
    <row r="21903" spans="1:100">
      <c r="A21903" s="374"/>
      <c r="C21903" s="374"/>
      <c r="CV21903" s="376"/>
    </row>
    <row r="21904" spans="1:100">
      <c r="A21904" s="374"/>
      <c r="C21904" s="374"/>
      <c r="CV21904" s="376"/>
    </row>
    <row r="21905" spans="1:100">
      <c r="A21905" s="374"/>
      <c r="C21905" s="374"/>
      <c r="CV21905" s="376"/>
    </row>
    <row r="21906" spans="1:100">
      <c r="A21906" s="374"/>
      <c r="C21906" s="374"/>
      <c r="CV21906" s="376"/>
    </row>
    <row r="21907" spans="1:100">
      <c r="A21907" s="374"/>
      <c r="C21907" s="374"/>
      <c r="CV21907" s="376"/>
    </row>
    <row r="21908" spans="1:100">
      <c r="A21908" s="374"/>
      <c r="C21908" s="374"/>
      <c r="CV21908" s="376"/>
    </row>
    <row r="21909" spans="1:100">
      <c r="A21909" s="374"/>
      <c r="C21909" s="374"/>
      <c r="CV21909" s="376"/>
    </row>
    <row r="21910" spans="1:100">
      <c r="A21910" s="374"/>
      <c r="C21910" s="374"/>
      <c r="CV21910" s="376"/>
    </row>
    <row r="21911" spans="1:100">
      <c r="A21911" s="374"/>
      <c r="C21911" s="374"/>
      <c r="CV21911" s="376"/>
    </row>
    <row r="21912" spans="1:100">
      <c r="A21912" s="374"/>
      <c r="C21912" s="374"/>
      <c r="CV21912" s="376"/>
    </row>
    <row r="21913" spans="1:100">
      <c r="A21913" s="374"/>
      <c r="C21913" s="374"/>
      <c r="CV21913" s="376"/>
    </row>
    <row r="21914" spans="1:100">
      <c r="A21914" s="374"/>
      <c r="C21914" s="374"/>
      <c r="CV21914" s="376"/>
    </row>
    <row r="21915" spans="1:100">
      <c r="A21915" s="374"/>
      <c r="C21915" s="374"/>
      <c r="CV21915" s="376"/>
    </row>
    <row r="21916" spans="1:100">
      <c r="A21916" s="374"/>
      <c r="C21916" s="374"/>
      <c r="CV21916" s="376"/>
    </row>
    <row r="21917" spans="1:100">
      <c r="A21917" s="374"/>
      <c r="C21917" s="374"/>
      <c r="CV21917" s="376"/>
    </row>
    <row r="21918" spans="1:100">
      <c r="A21918" s="374"/>
      <c r="C21918" s="374"/>
      <c r="CV21918" s="376"/>
    </row>
    <row r="21919" spans="1:100">
      <c r="A21919" s="374"/>
      <c r="C21919" s="374"/>
      <c r="CV21919" s="376"/>
    </row>
    <row r="21920" spans="1:100">
      <c r="A21920" s="374"/>
      <c r="C21920" s="374"/>
      <c r="CV21920" s="376"/>
    </row>
    <row r="21921" spans="1:100">
      <c r="A21921" s="374"/>
      <c r="C21921" s="374"/>
      <c r="CV21921" s="376"/>
    </row>
    <row r="21922" spans="1:100">
      <c r="A21922" s="374"/>
      <c r="C21922" s="374"/>
      <c r="CV21922" s="376"/>
    </row>
    <row r="21923" spans="1:100">
      <c r="A21923" s="374"/>
      <c r="C21923" s="374"/>
      <c r="CV21923" s="376"/>
    </row>
    <row r="21924" spans="1:100">
      <c r="A21924" s="374"/>
      <c r="C21924" s="374"/>
      <c r="CV21924" s="376"/>
    </row>
    <row r="21925" spans="1:100">
      <c r="A21925" s="374"/>
      <c r="C21925" s="374"/>
      <c r="CV21925" s="376"/>
    </row>
    <row r="21926" spans="1:100">
      <c r="A21926" s="374"/>
      <c r="C21926" s="374"/>
      <c r="CV21926" s="376"/>
    </row>
    <row r="21927" spans="1:100">
      <c r="A21927" s="374"/>
      <c r="C21927" s="374"/>
      <c r="CV21927" s="376"/>
    </row>
    <row r="21928" spans="1:100">
      <c r="A21928" s="374"/>
      <c r="C21928" s="374"/>
      <c r="CV21928" s="376"/>
    </row>
    <row r="21929" spans="1:100">
      <c r="A21929" s="374"/>
      <c r="C21929" s="374"/>
      <c r="CV21929" s="376"/>
    </row>
    <row r="21930" spans="1:100">
      <c r="A21930" s="374"/>
      <c r="C21930" s="374"/>
      <c r="CV21930" s="376"/>
    </row>
    <row r="21931" spans="1:100">
      <c r="A21931" s="374"/>
      <c r="C21931" s="374"/>
      <c r="CV21931" s="376"/>
    </row>
    <row r="21932" spans="1:100">
      <c r="A21932" s="374"/>
      <c r="C21932" s="374"/>
      <c r="CV21932" s="376"/>
    </row>
    <row r="21933" spans="1:100">
      <c r="A21933" s="374"/>
      <c r="C21933" s="374"/>
      <c r="CV21933" s="376"/>
    </row>
    <row r="21934" spans="1:100">
      <c r="A21934" s="374"/>
      <c r="C21934" s="374"/>
      <c r="CV21934" s="376"/>
    </row>
    <row r="21935" spans="1:100">
      <c r="A21935" s="374"/>
      <c r="C21935" s="374"/>
      <c r="CV21935" s="376"/>
    </row>
    <row r="21936" spans="1:100">
      <c r="A21936" s="374"/>
      <c r="C21936" s="374"/>
      <c r="CV21936" s="376"/>
    </row>
    <row r="21937" spans="1:100">
      <c r="A21937" s="374"/>
      <c r="C21937" s="374"/>
      <c r="CV21937" s="376"/>
    </row>
    <row r="21938" spans="1:100">
      <c r="A21938" s="374"/>
      <c r="C21938" s="374"/>
      <c r="CV21938" s="376"/>
    </row>
    <row r="21939" spans="1:100">
      <c r="A21939" s="374"/>
      <c r="C21939" s="374"/>
      <c r="CV21939" s="376"/>
    </row>
    <row r="21940" spans="1:100">
      <c r="A21940" s="374"/>
      <c r="C21940" s="374"/>
      <c r="CV21940" s="376"/>
    </row>
    <row r="21941" spans="1:100">
      <c r="A21941" s="374"/>
      <c r="C21941" s="374"/>
      <c r="CV21941" s="376"/>
    </row>
    <row r="21942" spans="1:100">
      <c r="A21942" s="374"/>
      <c r="C21942" s="374"/>
      <c r="CV21942" s="376"/>
    </row>
    <row r="21943" spans="1:100">
      <c r="A21943" s="374"/>
      <c r="C21943" s="374"/>
      <c r="CV21943" s="376"/>
    </row>
    <row r="21944" spans="1:100">
      <c r="A21944" s="374"/>
      <c r="C21944" s="374"/>
      <c r="CV21944" s="376"/>
    </row>
    <row r="21945" spans="1:100">
      <c r="A21945" s="374"/>
      <c r="C21945" s="374"/>
      <c r="CV21945" s="376"/>
    </row>
    <row r="21946" spans="1:100">
      <c r="A21946" s="374"/>
      <c r="C21946" s="374"/>
      <c r="CV21946" s="376"/>
    </row>
    <row r="21947" spans="1:100">
      <c r="A21947" s="374"/>
      <c r="C21947" s="374"/>
      <c r="CV21947" s="376"/>
    </row>
    <row r="21948" spans="1:100">
      <c r="A21948" s="374"/>
      <c r="C21948" s="374"/>
      <c r="CV21948" s="376"/>
    </row>
    <row r="21949" spans="1:100">
      <c r="A21949" s="374"/>
      <c r="C21949" s="374"/>
      <c r="CV21949" s="376"/>
    </row>
    <row r="21950" spans="1:100">
      <c r="A21950" s="374"/>
      <c r="C21950" s="374"/>
      <c r="CV21950" s="376"/>
    </row>
    <row r="21951" spans="1:100">
      <c r="A21951" s="374"/>
      <c r="C21951" s="374"/>
      <c r="CV21951" s="376"/>
    </row>
    <row r="21952" spans="1:100">
      <c r="A21952" s="374"/>
      <c r="C21952" s="374"/>
      <c r="CV21952" s="376"/>
    </row>
    <row r="21953" spans="1:100">
      <c r="A21953" s="374"/>
      <c r="C21953" s="374"/>
      <c r="CV21953" s="376"/>
    </row>
    <row r="21954" spans="1:100">
      <c r="A21954" s="374"/>
      <c r="C21954" s="374"/>
      <c r="CV21954" s="376"/>
    </row>
    <row r="21955" spans="1:100">
      <c r="A21955" s="374"/>
      <c r="C21955" s="374"/>
      <c r="CV21955" s="376"/>
    </row>
    <row r="21956" spans="1:100">
      <c r="A21956" s="374"/>
      <c r="C21956" s="374"/>
      <c r="CV21956" s="376"/>
    </row>
    <row r="21957" spans="1:100">
      <c r="A21957" s="374"/>
      <c r="C21957" s="374"/>
      <c r="CV21957" s="376"/>
    </row>
    <row r="21958" spans="1:100">
      <c r="A21958" s="374"/>
      <c r="C21958" s="374"/>
      <c r="CV21958" s="376"/>
    </row>
    <row r="21959" spans="1:100">
      <c r="A21959" s="374"/>
      <c r="C21959" s="374"/>
      <c r="CV21959" s="376"/>
    </row>
    <row r="21960" spans="1:100">
      <c r="A21960" s="374"/>
      <c r="C21960" s="374"/>
      <c r="CV21960" s="376"/>
    </row>
    <row r="21961" spans="1:100">
      <c r="A21961" s="374"/>
      <c r="C21961" s="374"/>
      <c r="CV21961" s="376"/>
    </row>
    <row r="21962" spans="1:100">
      <c r="A21962" s="374"/>
      <c r="C21962" s="374"/>
      <c r="CV21962" s="376"/>
    </row>
    <row r="21963" spans="1:100">
      <c r="A21963" s="374"/>
      <c r="C21963" s="374"/>
      <c r="CV21963" s="376"/>
    </row>
    <row r="21964" spans="1:100">
      <c r="A21964" s="374"/>
      <c r="C21964" s="374"/>
      <c r="CV21964" s="376"/>
    </row>
    <row r="21965" spans="1:100">
      <c r="A21965" s="374"/>
      <c r="C21965" s="374"/>
      <c r="CV21965" s="376"/>
    </row>
    <row r="21966" spans="1:100">
      <c r="A21966" s="374"/>
      <c r="C21966" s="374"/>
      <c r="CV21966" s="376"/>
    </row>
    <row r="21967" spans="1:100">
      <c r="A21967" s="374"/>
      <c r="C21967" s="374"/>
      <c r="CV21967" s="376"/>
    </row>
    <row r="21968" spans="1:100">
      <c r="A21968" s="374"/>
      <c r="C21968" s="374"/>
      <c r="CV21968" s="376"/>
    </row>
    <row r="21969" spans="1:100">
      <c r="A21969" s="374"/>
      <c r="C21969" s="374"/>
      <c r="CV21969" s="376"/>
    </row>
    <row r="21970" spans="1:100">
      <c r="A21970" s="374"/>
      <c r="C21970" s="374"/>
      <c r="CV21970" s="376"/>
    </row>
    <row r="21971" spans="1:100">
      <c r="A21971" s="374"/>
      <c r="C21971" s="374"/>
      <c r="CV21971" s="376"/>
    </row>
    <row r="21972" spans="1:100">
      <c r="A21972" s="374"/>
      <c r="C21972" s="374"/>
      <c r="CV21972" s="376"/>
    </row>
    <row r="21973" spans="1:100">
      <c r="A21973" s="374"/>
      <c r="C21973" s="374"/>
      <c r="CV21973" s="376"/>
    </row>
    <row r="21974" spans="1:100">
      <c r="A21974" s="374"/>
      <c r="C21974" s="374"/>
      <c r="CV21974" s="376"/>
    </row>
    <row r="21975" spans="1:100">
      <c r="A21975" s="374"/>
      <c r="C21975" s="374"/>
      <c r="CV21975" s="376"/>
    </row>
    <row r="21976" spans="1:100">
      <c r="A21976" s="374"/>
      <c r="C21976" s="374"/>
      <c r="CV21976" s="376"/>
    </row>
    <row r="21977" spans="1:100">
      <c r="A21977" s="374"/>
      <c r="C21977" s="374"/>
      <c r="CV21977" s="376"/>
    </row>
    <row r="21978" spans="1:100">
      <c r="A21978" s="374"/>
      <c r="C21978" s="374"/>
      <c r="CV21978" s="376"/>
    </row>
    <row r="21979" spans="1:100">
      <c r="A21979" s="374"/>
      <c r="C21979" s="374"/>
      <c r="CV21979" s="376"/>
    </row>
    <row r="21980" spans="1:100">
      <c r="A21980" s="374"/>
      <c r="C21980" s="374"/>
      <c r="CV21980" s="376"/>
    </row>
    <row r="21981" spans="1:100">
      <c r="A21981" s="374"/>
      <c r="C21981" s="374"/>
      <c r="CV21981" s="376"/>
    </row>
    <row r="21982" spans="1:100">
      <c r="A21982" s="374"/>
      <c r="C21982" s="374"/>
      <c r="CV21982" s="376"/>
    </row>
    <row r="21983" spans="1:100">
      <c r="A21983" s="374"/>
      <c r="C21983" s="374"/>
      <c r="CV21983" s="376"/>
    </row>
    <row r="21984" spans="1:100">
      <c r="A21984" s="374"/>
      <c r="C21984" s="374"/>
      <c r="CV21984" s="376"/>
    </row>
    <row r="21985" spans="1:100">
      <c r="A21985" s="374"/>
      <c r="C21985" s="374"/>
      <c r="CV21985" s="376"/>
    </row>
    <row r="21986" spans="1:100">
      <c r="A21986" s="374"/>
      <c r="C21986" s="374"/>
      <c r="CV21986" s="376"/>
    </row>
    <row r="21987" spans="1:100">
      <c r="A21987" s="374"/>
      <c r="C21987" s="374"/>
      <c r="CV21987" s="376"/>
    </row>
    <row r="21988" spans="1:100">
      <c r="A21988" s="374"/>
      <c r="C21988" s="374"/>
      <c r="CV21988" s="376"/>
    </row>
    <row r="21989" spans="1:100">
      <c r="A21989" s="374"/>
      <c r="C21989" s="374"/>
      <c r="CV21989" s="376"/>
    </row>
    <row r="21990" spans="1:100">
      <c r="A21990" s="374"/>
      <c r="C21990" s="374"/>
      <c r="CV21990" s="376"/>
    </row>
    <row r="21991" spans="1:100">
      <c r="A21991" s="374"/>
      <c r="C21991" s="374"/>
      <c r="CV21991" s="376"/>
    </row>
    <row r="21992" spans="1:100">
      <c r="A21992" s="374"/>
      <c r="C21992" s="374"/>
      <c r="CV21992" s="376"/>
    </row>
    <row r="21993" spans="1:100">
      <c r="A21993" s="374"/>
      <c r="C21993" s="374"/>
      <c r="CV21993" s="376"/>
    </row>
    <row r="21994" spans="1:100">
      <c r="A21994" s="374"/>
      <c r="C21994" s="374"/>
      <c r="CV21994" s="376"/>
    </row>
    <row r="21995" spans="1:100">
      <c r="A21995" s="374"/>
      <c r="C21995" s="374"/>
      <c r="CV21995" s="376"/>
    </row>
    <row r="21996" spans="1:100">
      <c r="A21996" s="374"/>
      <c r="C21996" s="374"/>
      <c r="CV21996" s="376"/>
    </row>
    <row r="21997" spans="1:100">
      <c r="A21997" s="374"/>
      <c r="C21997" s="374"/>
      <c r="CV21997" s="376"/>
    </row>
    <row r="21998" spans="1:100">
      <c r="A21998" s="374"/>
      <c r="C21998" s="374"/>
      <c r="CV21998" s="376"/>
    </row>
    <row r="21999" spans="1:100">
      <c r="A21999" s="374"/>
      <c r="C21999" s="374"/>
      <c r="CV21999" s="376"/>
    </row>
    <row r="22000" spans="1:100">
      <c r="A22000" s="374"/>
      <c r="C22000" s="374"/>
      <c r="CV22000" s="376"/>
    </row>
    <row r="22001" spans="1:100">
      <c r="A22001" s="374"/>
      <c r="C22001" s="374"/>
      <c r="CV22001" s="376"/>
    </row>
    <row r="22002" spans="1:100">
      <c r="A22002" s="374"/>
      <c r="C22002" s="374"/>
      <c r="CV22002" s="376"/>
    </row>
    <row r="22003" spans="1:100">
      <c r="A22003" s="374"/>
      <c r="C22003" s="374"/>
      <c r="CV22003" s="376"/>
    </row>
    <row r="22004" spans="1:100">
      <c r="A22004" s="374"/>
      <c r="C22004" s="374"/>
      <c r="CV22004" s="376"/>
    </row>
    <row r="22005" spans="1:100">
      <c r="A22005" s="374"/>
      <c r="C22005" s="374"/>
      <c r="CV22005" s="376"/>
    </row>
    <row r="22006" spans="1:100">
      <c r="A22006" s="374"/>
      <c r="C22006" s="374"/>
      <c r="CV22006" s="376"/>
    </row>
    <row r="22007" spans="1:100">
      <c r="A22007" s="374"/>
      <c r="C22007" s="374"/>
      <c r="CV22007" s="376"/>
    </row>
    <row r="22008" spans="1:100">
      <c r="A22008" s="374"/>
      <c r="C22008" s="374"/>
      <c r="CV22008" s="376"/>
    </row>
    <row r="22009" spans="1:100">
      <c r="A22009" s="374"/>
      <c r="C22009" s="374"/>
      <c r="CV22009" s="376"/>
    </row>
    <row r="22010" spans="1:100">
      <c r="A22010" s="374"/>
      <c r="C22010" s="374"/>
      <c r="CV22010" s="376"/>
    </row>
    <row r="22011" spans="1:100">
      <c r="A22011" s="374"/>
      <c r="C22011" s="374"/>
      <c r="CV22011" s="376"/>
    </row>
    <row r="22012" spans="1:100">
      <c r="A22012" s="374"/>
      <c r="C22012" s="374"/>
      <c r="CV22012" s="376"/>
    </row>
    <row r="22013" spans="1:100">
      <c r="A22013" s="374"/>
      <c r="C22013" s="374"/>
      <c r="CV22013" s="376"/>
    </row>
    <row r="22014" spans="1:100">
      <c r="A22014" s="374"/>
      <c r="C22014" s="374"/>
      <c r="CV22014" s="376"/>
    </row>
    <row r="22015" spans="1:100">
      <c r="A22015" s="374"/>
      <c r="C22015" s="374"/>
      <c r="CV22015" s="376"/>
    </row>
    <row r="22016" spans="1:100">
      <c r="A22016" s="374"/>
      <c r="C22016" s="374"/>
      <c r="CV22016" s="376"/>
    </row>
    <row r="22017" spans="1:100">
      <c r="A22017" s="374"/>
      <c r="C22017" s="374"/>
      <c r="CV22017" s="376"/>
    </row>
    <row r="22018" spans="1:100">
      <c r="A22018" s="374"/>
      <c r="C22018" s="374"/>
      <c r="CV22018" s="376"/>
    </row>
    <row r="22019" spans="1:100">
      <c r="A22019" s="374"/>
      <c r="C22019" s="374"/>
      <c r="CV22019" s="376"/>
    </row>
    <row r="22020" spans="1:100">
      <c r="A22020" s="374"/>
      <c r="C22020" s="374"/>
      <c r="CV22020" s="376"/>
    </row>
    <row r="22021" spans="1:100">
      <c r="A22021" s="374"/>
      <c r="C22021" s="374"/>
      <c r="CV22021" s="376"/>
    </row>
    <row r="22022" spans="1:100">
      <c r="A22022" s="374"/>
      <c r="C22022" s="374"/>
      <c r="CV22022" s="376"/>
    </row>
    <row r="22023" spans="1:100">
      <c r="A22023" s="374"/>
      <c r="C22023" s="374"/>
      <c r="CV22023" s="376"/>
    </row>
    <row r="22024" spans="1:100">
      <c r="A22024" s="374"/>
      <c r="C22024" s="374"/>
      <c r="CV22024" s="376"/>
    </row>
    <row r="22025" spans="1:100">
      <c r="A22025" s="374"/>
      <c r="C22025" s="374"/>
      <c r="CV22025" s="376"/>
    </row>
    <row r="22026" spans="1:100">
      <c r="A22026" s="374"/>
      <c r="C22026" s="374"/>
      <c r="CV22026" s="376"/>
    </row>
    <row r="22027" spans="1:100">
      <c r="A22027" s="374"/>
      <c r="C22027" s="374"/>
      <c r="CV22027" s="376"/>
    </row>
    <row r="22028" spans="1:100">
      <c r="A22028" s="374"/>
      <c r="C22028" s="374"/>
      <c r="CV22028" s="376"/>
    </row>
    <row r="22029" spans="1:100">
      <c r="A22029" s="374"/>
      <c r="C22029" s="374"/>
      <c r="CV22029" s="376"/>
    </row>
    <row r="22030" spans="1:100">
      <c r="A22030" s="374"/>
      <c r="C22030" s="374"/>
      <c r="CV22030" s="376"/>
    </row>
    <row r="22031" spans="1:100">
      <c r="A22031" s="374"/>
      <c r="C22031" s="374"/>
      <c r="CV22031" s="376"/>
    </row>
    <row r="22032" spans="1:100">
      <c r="A22032" s="374"/>
      <c r="C22032" s="374"/>
      <c r="CV22032" s="376"/>
    </row>
    <row r="22033" spans="1:100">
      <c r="A22033" s="374"/>
      <c r="C22033" s="374"/>
      <c r="CV22033" s="376"/>
    </row>
    <row r="22034" spans="1:100">
      <c r="A22034" s="374"/>
      <c r="C22034" s="374"/>
      <c r="CV22034" s="376"/>
    </row>
    <row r="22035" spans="1:100">
      <c r="A22035" s="374"/>
      <c r="C22035" s="374"/>
      <c r="CV22035" s="376"/>
    </row>
    <row r="22036" spans="1:100">
      <c r="A22036" s="374"/>
      <c r="C22036" s="374"/>
      <c r="CV22036" s="376"/>
    </row>
    <row r="22037" spans="1:100">
      <c r="A22037" s="374"/>
      <c r="C22037" s="374"/>
      <c r="CV22037" s="376"/>
    </row>
    <row r="22038" spans="1:100">
      <c r="A22038" s="374"/>
      <c r="C22038" s="374"/>
      <c r="CV22038" s="376"/>
    </row>
    <row r="22039" spans="1:100">
      <c r="A22039" s="374"/>
      <c r="C22039" s="374"/>
      <c r="CV22039" s="376"/>
    </row>
    <row r="22040" spans="1:100">
      <c r="A22040" s="374"/>
      <c r="C22040" s="374"/>
      <c r="CV22040" s="376"/>
    </row>
    <row r="22041" spans="1:100">
      <c r="A22041" s="374"/>
      <c r="C22041" s="374"/>
      <c r="CV22041" s="376"/>
    </row>
    <row r="22042" spans="1:100">
      <c r="A22042" s="374"/>
      <c r="C22042" s="374"/>
      <c r="CV22042" s="376"/>
    </row>
    <row r="22043" spans="1:100">
      <c r="A22043" s="374"/>
      <c r="C22043" s="374"/>
      <c r="CV22043" s="376"/>
    </row>
    <row r="22044" spans="1:100">
      <c r="A22044" s="374"/>
      <c r="C22044" s="374"/>
      <c r="CV22044" s="376"/>
    </row>
    <row r="22045" spans="1:100">
      <c r="A22045" s="374"/>
      <c r="C22045" s="374"/>
      <c r="CV22045" s="376"/>
    </row>
    <row r="22046" spans="1:100">
      <c r="A22046" s="374"/>
      <c r="C22046" s="374"/>
      <c r="CV22046" s="376"/>
    </row>
    <row r="22047" spans="1:100">
      <c r="A22047" s="374"/>
      <c r="C22047" s="374"/>
      <c r="CV22047" s="376"/>
    </row>
    <row r="22048" spans="1:100">
      <c r="A22048" s="374"/>
      <c r="C22048" s="374"/>
      <c r="CV22048" s="376"/>
    </row>
    <row r="22049" spans="1:100">
      <c r="A22049" s="374"/>
      <c r="C22049" s="374"/>
      <c r="CV22049" s="376"/>
    </row>
    <row r="22050" spans="1:100">
      <c r="A22050" s="374"/>
      <c r="C22050" s="374"/>
      <c r="CV22050" s="376"/>
    </row>
    <row r="22051" spans="1:100">
      <c r="A22051" s="374"/>
      <c r="C22051" s="374"/>
      <c r="CV22051" s="376"/>
    </row>
    <row r="22052" spans="1:100">
      <c r="A22052" s="374"/>
      <c r="C22052" s="374"/>
      <c r="CV22052" s="376"/>
    </row>
    <row r="22053" spans="1:100">
      <c r="A22053" s="374"/>
      <c r="C22053" s="374"/>
      <c r="CV22053" s="376"/>
    </row>
    <row r="22054" spans="1:100">
      <c r="A22054" s="374"/>
      <c r="C22054" s="374"/>
      <c r="CV22054" s="376"/>
    </row>
    <row r="22055" spans="1:100">
      <c r="A22055" s="374"/>
      <c r="C22055" s="374"/>
      <c r="CV22055" s="376"/>
    </row>
    <row r="22056" spans="1:100">
      <c r="A22056" s="374"/>
      <c r="C22056" s="374"/>
      <c r="CV22056" s="376"/>
    </row>
    <row r="22057" spans="1:100">
      <c r="A22057" s="374"/>
      <c r="C22057" s="374"/>
      <c r="CV22057" s="376"/>
    </row>
    <row r="22058" spans="1:100">
      <c r="A22058" s="374"/>
      <c r="C22058" s="374"/>
      <c r="CV22058" s="376"/>
    </row>
    <row r="22059" spans="1:100">
      <c r="A22059" s="374"/>
      <c r="C22059" s="374"/>
      <c r="CV22059" s="376"/>
    </row>
    <row r="22060" spans="1:100">
      <c r="A22060" s="374"/>
      <c r="C22060" s="374"/>
      <c r="CV22060" s="376"/>
    </row>
    <row r="22061" spans="1:100">
      <c r="A22061" s="374"/>
      <c r="C22061" s="374"/>
      <c r="CV22061" s="376"/>
    </row>
    <row r="22062" spans="1:100">
      <c r="A22062" s="374"/>
      <c r="C22062" s="374"/>
      <c r="CV22062" s="376"/>
    </row>
    <row r="22063" spans="1:100">
      <c r="A22063" s="374"/>
      <c r="C22063" s="374"/>
      <c r="CV22063" s="376"/>
    </row>
    <row r="22064" spans="1:100">
      <c r="A22064" s="374"/>
      <c r="C22064" s="374"/>
      <c r="CV22064" s="376"/>
    </row>
    <row r="22065" spans="1:100">
      <c r="A22065" s="374"/>
      <c r="C22065" s="374"/>
      <c r="CV22065" s="376"/>
    </row>
    <row r="22066" spans="1:100">
      <c r="A22066" s="374"/>
      <c r="C22066" s="374"/>
      <c r="CV22066" s="376"/>
    </row>
    <row r="22067" spans="1:100">
      <c r="A22067" s="374"/>
      <c r="C22067" s="374"/>
      <c r="CV22067" s="376"/>
    </row>
    <row r="22068" spans="1:100">
      <c r="A22068" s="374"/>
      <c r="C22068" s="374"/>
      <c r="CV22068" s="376"/>
    </row>
    <row r="22069" spans="1:100">
      <c r="A22069" s="374"/>
      <c r="C22069" s="374"/>
      <c r="CV22069" s="376"/>
    </row>
    <row r="22070" spans="1:100">
      <c r="A22070" s="374"/>
      <c r="C22070" s="374"/>
      <c r="CV22070" s="376"/>
    </row>
    <row r="22071" spans="1:100">
      <c r="A22071" s="374"/>
      <c r="C22071" s="374"/>
      <c r="CV22071" s="376"/>
    </row>
    <row r="22072" spans="1:100">
      <c r="A22072" s="374"/>
      <c r="C22072" s="374"/>
      <c r="CV22072" s="376"/>
    </row>
    <row r="22073" spans="1:100">
      <c r="A22073" s="374"/>
      <c r="C22073" s="374"/>
      <c r="CV22073" s="376"/>
    </row>
    <row r="22074" spans="1:100">
      <c r="A22074" s="374"/>
      <c r="C22074" s="374"/>
      <c r="CV22074" s="376"/>
    </row>
    <row r="22075" spans="1:100">
      <c r="A22075" s="374"/>
      <c r="C22075" s="374"/>
      <c r="CV22075" s="376"/>
    </row>
    <row r="22076" spans="1:100">
      <c r="A22076" s="374"/>
      <c r="C22076" s="374"/>
      <c r="CV22076" s="376"/>
    </row>
    <row r="22077" spans="1:100">
      <c r="A22077" s="374"/>
      <c r="C22077" s="374"/>
      <c r="CV22077" s="376"/>
    </row>
    <row r="22078" spans="1:100">
      <c r="A22078" s="374"/>
      <c r="C22078" s="374"/>
      <c r="CV22078" s="376"/>
    </row>
    <row r="22079" spans="1:100">
      <c r="A22079" s="374"/>
      <c r="C22079" s="374"/>
      <c r="CV22079" s="376"/>
    </row>
    <row r="22080" spans="1:100">
      <c r="A22080" s="374"/>
      <c r="C22080" s="374"/>
      <c r="CV22080" s="376"/>
    </row>
    <row r="22081" spans="1:100">
      <c r="A22081" s="374"/>
      <c r="C22081" s="374"/>
      <c r="CV22081" s="376"/>
    </row>
    <row r="22082" spans="1:100">
      <c r="A22082" s="374"/>
      <c r="C22082" s="374"/>
      <c r="CV22082" s="376"/>
    </row>
    <row r="22083" spans="1:100">
      <c r="A22083" s="374"/>
      <c r="C22083" s="374"/>
      <c r="CV22083" s="376"/>
    </row>
    <row r="22084" spans="1:100">
      <c r="A22084" s="374"/>
      <c r="C22084" s="374"/>
      <c r="CV22084" s="376"/>
    </row>
    <row r="22085" spans="1:100">
      <c r="A22085" s="374"/>
      <c r="C22085" s="374"/>
      <c r="CV22085" s="376"/>
    </row>
    <row r="22086" spans="1:100">
      <c r="A22086" s="374"/>
      <c r="C22086" s="374"/>
      <c r="CV22086" s="376"/>
    </row>
    <row r="22087" spans="1:100">
      <c r="A22087" s="374"/>
      <c r="C22087" s="374"/>
      <c r="CV22087" s="376"/>
    </row>
    <row r="22088" spans="1:100">
      <c r="A22088" s="374"/>
      <c r="C22088" s="374"/>
      <c r="CV22088" s="376"/>
    </row>
    <row r="22089" spans="1:100">
      <c r="A22089" s="374"/>
      <c r="C22089" s="374"/>
      <c r="CV22089" s="376"/>
    </row>
    <row r="22090" spans="1:100">
      <c r="A22090" s="374"/>
      <c r="C22090" s="374"/>
      <c r="CV22090" s="376"/>
    </row>
    <row r="22091" spans="1:100">
      <c r="A22091" s="374"/>
      <c r="C22091" s="374"/>
      <c r="CV22091" s="376"/>
    </row>
    <row r="22092" spans="1:100">
      <c r="A22092" s="374"/>
      <c r="C22092" s="374"/>
      <c r="CV22092" s="376"/>
    </row>
    <row r="22093" spans="1:100">
      <c r="A22093" s="374"/>
      <c r="C22093" s="374"/>
      <c r="CV22093" s="376"/>
    </row>
    <row r="22094" spans="1:100">
      <c r="A22094" s="374"/>
      <c r="C22094" s="374"/>
      <c r="CV22094" s="376"/>
    </row>
    <row r="22095" spans="1:100">
      <c r="A22095" s="374"/>
      <c r="C22095" s="374"/>
      <c r="CV22095" s="376"/>
    </row>
    <row r="22096" spans="1:100">
      <c r="A22096" s="374"/>
      <c r="C22096" s="374"/>
      <c r="CV22096" s="376"/>
    </row>
    <row r="22097" spans="1:100">
      <c r="A22097" s="374"/>
      <c r="C22097" s="374"/>
      <c r="CV22097" s="376"/>
    </row>
    <row r="22098" spans="1:100">
      <c r="A22098" s="374"/>
      <c r="C22098" s="374"/>
      <c r="CV22098" s="376"/>
    </row>
    <row r="22099" spans="1:100">
      <c r="A22099" s="374"/>
      <c r="C22099" s="374"/>
      <c r="CV22099" s="376"/>
    </row>
    <row r="22100" spans="1:100">
      <c r="A22100" s="374"/>
      <c r="C22100" s="374"/>
      <c r="CV22100" s="376"/>
    </row>
    <row r="22101" spans="1:100">
      <c r="A22101" s="374"/>
      <c r="C22101" s="374"/>
      <c r="CV22101" s="376"/>
    </row>
    <row r="22102" spans="1:100">
      <c r="A22102" s="374"/>
      <c r="C22102" s="374"/>
      <c r="CV22102" s="376"/>
    </row>
    <row r="22103" spans="1:100">
      <c r="A22103" s="374"/>
      <c r="C22103" s="374"/>
      <c r="CV22103" s="376"/>
    </row>
    <row r="22104" spans="1:100">
      <c r="A22104" s="374"/>
      <c r="C22104" s="374"/>
      <c r="CV22104" s="376"/>
    </row>
    <row r="22105" spans="1:100">
      <c r="A22105" s="374"/>
      <c r="C22105" s="374"/>
      <c r="CV22105" s="376"/>
    </row>
    <row r="22106" spans="1:100">
      <c r="A22106" s="374"/>
      <c r="C22106" s="374"/>
      <c r="CV22106" s="376"/>
    </row>
    <row r="22107" spans="1:100">
      <c r="A22107" s="374"/>
      <c r="C22107" s="374"/>
      <c r="CV22107" s="376"/>
    </row>
    <row r="22108" spans="1:100">
      <c r="A22108" s="374"/>
      <c r="C22108" s="374"/>
      <c r="CV22108" s="376"/>
    </row>
    <row r="22109" spans="1:100">
      <c r="A22109" s="374"/>
      <c r="C22109" s="374"/>
      <c r="CV22109" s="376"/>
    </row>
    <row r="22110" spans="1:100">
      <c r="A22110" s="374"/>
      <c r="C22110" s="374"/>
      <c r="CV22110" s="376"/>
    </row>
    <row r="22111" spans="1:100">
      <c r="A22111" s="374"/>
      <c r="C22111" s="374"/>
      <c r="CV22111" s="376"/>
    </row>
    <row r="22112" spans="1:100">
      <c r="A22112" s="374"/>
      <c r="C22112" s="374"/>
      <c r="CV22112" s="376"/>
    </row>
    <row r="22113" spans="1:100">
      <c r="A22113" s="374"/>
      <c r="C22113" s="374"/>
      <c r="CV22113" s="376"/>
    </row>
    <row r="22114" spans="1:100">
      <c r="A22114" s="374"/>
      <c r="C22114" s="374"/>
      <c r="CV22114" s="376"/>
    </row>
    <row r="22115" spans="1:100">
      <c r="A22115" s="374"/>
      <c r="C22115" s="374"/>
      <c r="CV22115" s="376"/>
    </row>
    <row r="22116" spans="1:100">
      <c r="A22116" s="374"/>
      <c r="C22116" s="374"/>
      <c r="CV22116" s="376"/>
    </row>
    <row r="22117" spans="1:100">
      <c r="A22117" s="374"/>
      <c r="C22117" s="374"/>
      <c r="CV22117" s="376"/>
    </row>
    <row r="22118" spans="1:100">
      <c r="A22118" s="374"/>
      <c r="C22118" s="374"/>
      <c r="CV22118" s="376"/>
    </row>
    <row r="22119" spans="1:100">
      <c r="A22119" s="374"/>
      <c r="C22119" s="374"/>
      <c r="CV22119" s="376"/>
    </row>
    <row r="22120" spans="1:100">
      <c r="A22120" s="374"/>
      <c r="C22120" s="374"/>
      <c r="CV22120" s="376"/>
    </row>
    <row r="22121" spans="1:100">
      <c r="A22121" s="374"/>
      <c r="C22121" s="374"/>
      <c r="CV22121" s="376"/>
    </row>
    <row r="22122" spans="1:100">
      <c r="A22122" s="374"/>
      <c r="C22122" s="374"/>
      <c r="CV22122" s="376"/>
    </row>
    <row r="22123" spans="1:100">
      <c r="A22123" s="374"/>
      <c r="C22123" s="374"/>
      <c r="CV22123" s="376"/>
    </row>
    <row r="22124" spans="1:100">
      <c r="A22124" s="374"/>
      <c r="C22124" s="374"/>
      <c r="CV22124" s="376"/>
    </row>
    <row r="22125" spans="1:100">
      <c r="A22125" s="374"/>
      <c r="C22125" s="374"/>
      <c r="CV22125" s="376"/>
    </row>
    <row r="22126" spans="1:100">
      <c r="A22126" s="374"/>
      <c r="C22126" s="374"/>
      <c r="CV22126" s="376"/>
    </row>
    <row r="22127" spans="1:100">
      <c r="A22127" s="374"/>
      <c r="C22127" s="374"/>
      <c r="CV22127" s="376"/>
    </row>
    <row r="22128" spans="1:100">
      <c r="A22128" s="374"/>
      <c r="C22128" s="374"/>
      <c r="CV22128" s="376"/>
    </row>
    <row r="22129" spans="1:100">
      <c r="A22129" s="374"/>
      <c r="C22129" s="374"/>
      <c r="CV22129" s="376"/>
    </row>
    <row r="22130" spans="1:100">
      <c r="A22130" s="374"/>
      <c r="C22130" s="374"/>
      <c r="CV22130" s="376"/>
    </row>
    <row r="22131" spans="1:100">
      <c r="A22131" s="374"/>
      <c r="C22131" s="374"/>
      <c r="CV22131" s="376"/>
    </row>
    <row r="22132" spans="1:100">
      <c r="A22132" s="374"/>
      <c r="C22132" s="374"/>
      <c r="CV22132" s="376"/>
    </row>
    <row r="22133" spans="1:100">
      <c r="A22133" s="374"/>
      <c r="C22133" s="374"/>
      <c r="CV22133" s="376"/>
    </row>
    <row r="22134" spans="1:100">
      <c r="A22134" s="374"/>
      <c r="C22134" s="374"/>
      <c r="CV22134" s="376"/>
    </row>
    <row r="22135" spans="1:100">
      <c r="A22135" s="374"/>
      <c r="C22135" s="374"/>
      <c r="CV22135" s="376"/>
    </row>
    <row r="22136" spans="1:100">
      <c r="A22136" s="374"/>
      <c r="C22136" s="374"/>
      <c r="CV22136" s="376"/>
    </row>
    <row r="22137" spans="1:100">
      <c r="A22137" s="374"/>
      <c r="C22137" s="374"/>
      <c r="CV22137" s="376"/>
    </row>
    <row r="22138" spans="1:100">
      <c r="A22138" s="374"/>
      <c r="C22138" s="374"/>
      <c r="CV22138" s="376"/>
    </row>
    <row r="22139" spans="1:100">
      <c r="A22139" s="374"/>
      <c r="C22139" s="374"/>
      <c r="CV22139" s="376"/>
    </row>
    <row r="22140" spans="1:100">
      <c r="A22140" s="374"/>
      <c r="C22140" s="374"/>
      <c r="CV22140" s="376"/>
    </row>
    <row r="22141" spans="1:100">
      <c r="A22141" s="374"/>
      <c r="C22141" s="374"/>
      <c r="CV22141" s="376"/>
    </row>
    <row r="22142" spans="1:100">
      <c r="A22142" s="374"/>
      <c r="C22142" s="374"/>
      <c r="CV22142" s="376"/>
    </row>
    <row r="22143" spans="1:100">
      <c r="A22143" s="374"/>
      <c r="C22143" s="374"/>
      <c r="CV22143" s="376"/>
    </row>
    <row r="22144" spans="1:100">
      <c r="A22144" s="374"/>
      <c r="C22144" s="374"/>
      <c r="CV22144" s="376"/>
    </row>
    <row r="22145" spans="1:100">
      <c r="A22145" s="374"/>
      <c r="C22145" s="374"/>
      <c r="CV22145" s="376"/>
    </row>
    <row r="22146" spans="1:100">
      <c r="A22146" s="374"/>
      <c r="C22146" s="374"/>
      <c r="CV22146" s="376"/>
    </row>
    <row r="22147" spans="1:100">
      <c r="A22147" s="374"/>
      <c r="C22147" s="374"/>
      <c r="CV22147" s="376"/>
    </row>
    <row r="22148" spans="1:100">
      <c r="A22148" s="374"/>
      <c r="C22148" s="374"/>
      <c r="CV22148" s="376"/>
    </row>
    <row r="22149" spans="1:100">
      <c r="A22149" s="374"/>
      <c r="C22149" s="374"/>
      <c r="CV22149" s="376"/>
    </row>
    <row r="22150" spans="1:100">
      <c r="A22150" s="374"/>
      <c r="C22150" s="374"/>
      <c r="CV22150" s="376"/>
    </row>
    <row r="22151" spans="1:100">
      <c r="A22151" s="374"/>
      <c r="C22151" s="374"/>
      <c r="CV22151" s="376"/>
    </row>
    <row r="22152" spans="1:100">
      <c r="A22152" s="374"/>
      <c r="C22152" s="374"/>
      <c r="CV22152" s="376"/>
    </row>
    <row r="22153" spans="1:100">
      <c r="A22153" s="374"/>
      <c r="C22153" s="374"/>
      <c r="CV22153" s="376"/>
    </row>
    <row r="22154" spans="1:100">
      <c r="A22154" s="374"/>
      <c r="C22154" s="374"/>
      <c r="CV22154" s="376"/>
    </row>
    <row r="22155" spans="1:100">
      <c r="A22155" s="374"/>
      <c r="C22155" s="374"/>
      <c r="CV22155" s="376"/>
    </row>
    <row r="22156" spans="1:100">
      <c r="A22156" s="374"/>
      <c r="C22156" s="374"/>
      <c r="CV22156" s="376"/>
    </row>
    <row r="22157" spans="1:100">
      <c r="A22157" s="374"/>
      <c r="C22157" s="374"/>
      <c r="CV22157" s="376"/>
    </row>
    <row r="22158" spans="1:100">
      <c r="A22158" s="374"/>
      <c r="C22158" s="374"/>
      <c r="CV22158" s="376"/>
    </row>
    <row r="22159" spans="1:100">
      <c r="A22159" s="374"/>
      <c r="C22159" s="374"/>
      <c r="CV22159" s="376"/>
    </row>
    <row r="22160" spans="1:100">
      <c r="A22160" s="374"/>
      <c r="C22160" s="374"/>
      <c r="CV22160" s="376"/>
    </row>
    <row r="22161" spans="1:100">
      <c r="A22161" s="374"/>
      <c r="C22161" s="374"/>
      <c r="CV22161" s="376"/>
    </row>
    <row r="22162" spans="1:100">
      <c r="A22162" s="374"/>
      <c r="C22162" s="374"/>
      <c r="CV22162" s="376"/>
    </row>
    <row r="22163" spans="1:100">
      <c r="A22163" s="374"/>
      <c r="C22163" s="374"/>
      <c r="CV22163" s="376"/>
    </row>
    <row r="22164" spans="1:100">
      <c r="A22164" s="374"/>
      <c r="C22164" s="374"/>
      <c r="CV22164" s="376"/>
    </row>
    <row r="22165" spans="1:100">
      <c r="A22165" s="374"/>
      <c r="C22165" s="374"/>
      <c r="CV22165" s="376"/>
    </row>
    <row r="22166" spans="1:100">
      <c r="A22166" s="374"/>
      <c r="C22166" s="374"/>
      <c r="CV22166" s="376"/>
    </row>
    <row r="22167" spans="1:100">
      <c r="A22167" s="374"/>
      <c r="C22167" s="374"/>
      <c r="CV22167" s="376"/>
    </row>
    <row r="22168" spans="1:100">
      <c r="A22168" s="374"/>
      <c r="C22168" s="374"/>
      <c r="CV22168" s="376"/>
    </row>
    <row r="22169" spans="1:100">
      <c r="A22169" s="374"/>
      <c r="C22169" s="374"/>
      <c r="CV22169" s="376"/>
    </row>
    <row r="22170" spans="1:100">
      <c r="A22170" s="374"/>
      <c r="C22170" s="374"/>
      <c r="CV22170" s="376"/>
    </row>
    <row r="22171" spans="1:100">
      <c r="A22171" s="374"/>
      <c r="C22171" s="374"/>
      <c r="CV22171" s="376"/>
    </row>
    <row r="22172" spans="1:100">
      <c r="A22172" s="374"/>
      <c r="C22172" s="374"/>
      <c r="CV22172" s="376"/>
    </row>
    <row r="22173" spans="1:100">
      <c r="A22173" s="374"/>
      <c r="C22173" s="374"/>
      <c r="CV22173" s="376"/>
    </row>
    <row r="22174" spans="1:100">
      <c r="A22174" s="374"/>
      <c r="C22174" s="374"/>
      <c r="CV22174" s="376"/>
    </row>
    <row r="22175" spans="1:100">
      <c r="A22175" s="374"/>
      <c r="C22175" s="374"/>
      <c r="CV22175" s="376"/>
    </row>
    <row r="22176" spans="1:100">
      <c r="A22176" s="374"/>
      <c r="C22176" s="374"/>
      <c r="CV22176" s="376"/>
    </row>
    <row r="22177" spans="1:100">
      <c r="A22177" s="374"/>
      <c r="C22177" s="374"/>
      <c r="CV22177" s="376"/>
    </row>
    <row r="22178" spans="1:100">
      <c r="A22178" s="374"/>
      <c r="C22178" s="374"/>
      <c r="CV22178" s="376"/>
    </row>
    <row r="22179" spans="1:100">
      <c r="A22179" s="374"/>
      <c r="C22179" s="374"/>
      <c r="CV22179" s="376"/>
    </row>
    <row r="22180" spans="1:100">
      <c r="A22180" s="374"/>
      <c r="C22180" s="374"/>
      <c r="CV22180" s="376"/>
    </row>
    <row r="22181" spans="1:100">
      <c r="A22181" s="374"/>
      <c r="C22181" s="374"/>
      <c r="CV22181" s="376"/>
    </row>
    <row r="22182" spans="1:100">
      <c r="A22182" s="374"/>
      <c r="C22182" s="374"/>
      <c r="CV22182" s="376"/>
    </row>
    <row r="22183" spans="1:100">
      <c r="A22183" s="374"/>
      <c r="C22183" s="374"/>
      <c r="CV22183" s="376"/>
    </row>
    <row r="22184" spans="1:100">
      <c r="A22184" s="374"/>
      <c r="C22184" s="374"/>
      <c r="CV22184" s="376"/>
    </row>
    <row r="22185" spans="1:100">
      <c r="A22185" s="374"/>
      <c r="C22185" s="374"/>
      <c r="CV22185" s="376"/>
    </row>
    <row r="22186" spans="1:100">
      <c r="A22186" s="374"/>
      <c r="C22186" s="374"/>
      <c r="CV22186" s="376"/>
    </row>
    <row r="22187" spans="1:100">
      <c r="A22187" s="374"/>
      <c r="C22187" s="374"/>
      <c r="CV22187" s="376"/>
    </row>
    <row r="22188" spans="1:100">
      <c r="A22188" s="374"/>
      <c r="C22188" s="374"/>
      <c r="CV22188" s="376"/>
    </row>
    <row r="22189" spans="1:100">
      <c r="A22189" s="374"/>
      <c r="C22189" s="374"/>
      <c r="CV22189" s="376"/>
    </row>
    <row r="22190" spans="1:100">
      <c r="A22190" s="374"/>
      <c r="C22190" s="374"/>
      <c r="CV22190" s="376"/>
    </row>
    <row r="22191" spans="1:100">
      <c r="A22191" s="374"/>
      <c r="C22191" s="374"/>
      <c r="CV22191" s="376"/>
    </row>
    <row r="22192" spans="1:100">
      <c r="A22192" s="374"/>
      <c r="C22192" s="374"/>
      <c r="CV22192" s="376"/>
    </row>
    <row r="22193" spans="1:100">
      <c r="A22193" s="374"/>
      <c r="C22193" s="374"/>
      <c r="CV22193" s="376"/>
    </row>
    <row r="22194" spans="1:100">
      <c r="A22194" s="374"/>
      <c r="C22194" s="374"/>
      <c r="CV22194" s="376"/>
    </row>
    <row r="22195" spans="1:100">
      <c r="A22195" s="374"/>
      <c r="C22195" s="374"/>
      <c r="CV22195" s="376"/>
    </row>
    <row r="22196" spans="1:100">
      <c r="A22196" s="374"/>
      <c r="C22196" s="374"/>
      <c r="CV22196" s="376"/>
    </row>
    <row r="22197" spans="1:100">
      <c r="A22197" s="374"/>
      <c r="C22197" s="374"/>
      <c r="CV22197" s="376"/>
    </row>
    <row r="22198" spans="1:100">
      <c r="A22198" s="374"/>
      <c r="C22198" s="374"/>
      <c r="CV22198" s="376"/>
    </row>
    <row r="22199" spans="1:100">
      <c r="A22199" s="374"/>
      <c r="C22199" s="374"/>
      <c r="CV22199" s="376"/>
    </row>
    <row r="22200" spans="1:100">
      <c r="A22200" s="374"/>
      <c r="C22200" s="374"/>
      <c r="CV22200" s="376"/>
    </row>
    <row r="22201" spans="1:100">
      <c r="A22201" s="374"/>
      <c r="C22201" s="374"/>
      <c r="CV22201" s="376"/>
    </row>
    <row r="22202" spans="1:100">
      <c r="A22202" s="374"/>
      <c r="C22202" s="374"/>
      <c r="CV22202" s="376"/>
    </row>
    <row r="22203" spans="1:100">
      <c r="A22203" s="374"/>
      <c r="C22203" s="374"/>
      <c r="CV22203" s="376"/>
    </row>
    <row r="22204" spans="1:100">
      <c r="A22204" s="374"/>
      <c r="C22204" s="374"/>
      <c r="CV22204" s="376"/>
    </row>
    <row r="22205" spans="1:100">
      <c r="A22205" s="374"/>
      <c r="C22205" s="374"/>
      <c r="CV22205" s="376"/>
    </row>
    <row r="22206" spans="1:100">
      <c r="A22206" s="374"/>
      <c r="C22206" s="374"/>
      <c r="CV22206" s="376"/>
    </row>
    <row r="22207" spans="1:100">
      <c r="A22207" s="374"/>
      <c r="C22207" s="374"/>
      <c r="CV22207" s="376"/>
    </row>
    <row r="22208" spans="1:100">
      <c r="A22208" s="374"/>
      <c r="C22208" s="374"/>
      <c r="CV22208" s="376"/>
    </row>
    <row r="22209" spans="1:100">
      <c r="A22209" s="374"/>
      <c r="C22209" s="374"/>
      <c r="CV22209" s="376"/>
    </row>
    <row r="22210" spans="1:100">
      <c r="A22210" s="374"/>
      <c r="C22210" s="374"/>
      <c r="CV22210" s="376"/>
    </row>
    <row r="22211" spans="1:100">
      <c r="A22211" s="374"/>
      <c r="C22211" s="374"/>
      <c r="CV22211" s="376"/>
    </row>
    <row r="22212" spans="1:100">
      <c r="A22212" s="374"/>
      <c r="C22212" s="374"/>
      <c r="CV22212" s="376"/>
    </row>
    <row r="22213" spans="1:100">
      <c r="A22213" s="374"/>
      <c r="C22213" s="374"/>
      <c r="CV22213" s="376"/>
    </row>
    <row r="22214" spans="1:100">
      <c r="A22214" s="374"/>
      <c r="C22214" s="374"/>
      <c r="CV22214" s="376"/>
    </row>
    <row r="22215" spans="1:100">
      <c r="A22215" s="374"/>
      <c r="C22215" s="374"/>
      <c r="CV22215" s="376"/>
    </row>
    <row r="22216" spans="1:100">
      <c r="A22216" s="374"/>
      <c r="C22216" s="374"/>
      <c r="CV22216" s="376"/>
    </row>
    <row r="22217" spans="1:100">
      <c r="A22217" s="374"/>
      <c r="C22217" s="374"/>
      <c r="CV22217" s="376"/>
    </row>
    <row r="22218" spans="1:100">
      <c r="A22218" s="374"/>
      <c r="C22218" s="374"/>
      <c r="CV22218" s="376"/>
    </row>
    <row r="22219" spans="1:100">
      <c r="A22219" s="374"/>
      <c r="C22219" s="374"/>
      <c r="CV22219" s="376"/>
    </row>
    <row r="22220" spans="1:100">
      <c r="A22220" s="374"/>
      <c r="C22220" s="374"/>
      <c r="CV22220" s="376"/>
    </row>
    <row r="22221" spans="1:100">
      <c r="A22221" s="374"/>
      <c r="C22221" s="374"/>
      <c r="CV22221" s="376"/>
    </row>
    <row r="22222" spans="1:100">
      <c r="A22222" s="374"/>
      <c r="C22222" s="374"/>
      <c r="CV22222" s="376"/>
    </row>
    <row r="22223" spans="1:100">
      <c r="A22223" s="374"/>
      <c r="C22223" s="374"/>
      <c r="CV22223" s="376"/>
    </row>
    <row r="22224" spans="1:100">
      <c r="A22224" s="374"/>
      <c r="C22224" s="374"/>
      <c r="CV22224" s="376"/>
    </row>
    <row r="22225" spans="1:100">
      <c r="A22225" s="374"/>
      <c r="C22225" s="374"/>
      <c r="CV22225" s="376"/>
    </row>
    <row r="22226" spans="1:100">
      <c r="A22226" s="374"/>
      <c r="C22226" s="374"/>
      <c r="CV22226" s="376"/>
    </row>
    <row r="22227" spans="1:100">
      <c r="A22227" s="374"/>
      <c r="C22227" s="374"/>
      <c r="CV22227" s="376"/>
    </row>
    <row r="22228" spans="1:100">
      <c r="A22228" s="374"/>
      <c r="C22228" s="374"/>
      <c r="CV22228" s="376"/>
    </row>
    <row r="22229" spans="1:100">
      <c r="A22229" s="374"/>
      <c r="C22229" s="374"/>
      <c r="CV22229" s="376"/>
    </row>
    <row r="22230" spans="1:100">
      <c r="A22230" s="374"/>
      <c r="C22230" s="374"/>
      <c r="CV22230" s="376"/>
    </row>
    <row r="22231" spans="1:100">
      <c r="A22231" s="374"/>
      <c r="C22231" s="374"/>
      <c r="CV22231" s="376"/>
    </row>
    <row r="22232" spans="1:100">
      <c r="A22232" s="374"/>
      <c r="C22232" s="374"/>
      <c r="CV22232" s="376"/>
    </row>
    <row r="22233" spans="1:100">
      <c r="A22233" s="374"/>
      <c r="C22233" s="374"/>
      <c r="CV22233" s="376"/>
    </row>
    <row r="22234" spans="1:100">
      <c r="A22234" s="374"/>
      <c r="C22234" s="374"/>
      <c r="CV22234" s="376"/>
    </row>
    <row r="22235" spans="1:100">
      <c r="A22235" s="374"/>
      <c r="C22235" s="374"/>
      <c r="CV22235" s="376"/>
    </row>
    <row r="22236" spans="1:100">
      <c r="A22236" s="374"/>
      <c r="C22236" s="374"/>
      <c r="CV22236" s="376"/>
    </row>
    <row r="22237" spans="1:100">
      <c r="A22237" s="374"/>
      <c r="C22237" s="374"/>
      <c r="CV22237" s="376"/>
    </row>
    <row r="22238" spans="1:100">
      <c r="A22238" s="374"/>
      <c r="C22238" s="374"/>
      <c r="CV22238" s="376"/>
    </row>
    <row r="22239" spans="1:100">
      <c r="A22239" s="374"/>
      <c r="C22239" s="374"/>
      <c r="CV22239" s="376"/>
    </row>
    <row r="22240" spans="1:100">
      <c r="A22240" s="374"/>
      <c r="C22240" s="374"/>
      <c r="CV22240" s="376"/>
    </row>
    <row r="22241" spans="1:100">
      <c r="A22241" s="374"/>
      <c r="C22241" s="374"/>
      <c r="CV22241" s="376"/>
    </row>
    <row r="22242" spans="1:100">
      <c r="A22242" s="374"/>
      <c r="C22242" s="374"/>
      <c r="CV22242" s="376"/>
    </row>
    <row r="22243" spans="1:100">
      <c r="A22243" s="374"/>
      <c r="C22243" s="374"/>
      <c r="CV22243" s="376"/>
    </row>
    <row r="22244" spans="1:100">
      <c r="A22244" s="374"/>
      <c r="C22244" s="374"/>
      <c r="CV22244" s="376"/>
    </row>
    <row r="22245" spans="1:100">
      <c r="A22245" s="374"/>
      <c r="C22245" s="374"/>
      <c r="CV22245" s="376"/>
    </row>
    <row r="22246" spans="1:100">
      <c r="A22246" s="374"/>
      <c r="C22246" s="374"/>
      <c r="CV22246" s="376"/>
    </row>
    <row r="22247" spans="1:100">
      <c r="A22247" s="374"/>
      <c r="C22247" s="374"/>
      <c r="CV22247" s="376"/>
    </row>
    <row r="22248" spans="1:100">
      <c r="A22248" s="374"/>
      <c r="C22248" s="374"/>
      <c r="CV22248" s="376"/>
    </row>
    <row r="22249" spans="1:100">
      <c r="A22249" s="374"/>
      <c r="C22249" s="374"/>
      <c r="CV22249" s="376"/>
    </row>
    <row r="22250" spans="1:100">
      <c r="A22250" s="374"/>
      <c r="C22250" s="374"/>
      <c r="CV22250" s="376"/>
    </row>
    <row r="22251" spans="1:100">
      <c r="A22251" s="374"/>
      <c r="C22251" s="374"/>
      <c r="CV22251" s="376"/>
    </row>
    <row r="22252" spans="1:100">
      <c r="A22252" s="374"/>
      <c r="C22252" s="374"/>
      <c r="CV22252" s="376"/>
    </row>
    <row r="22253" spans="1:100">
      <c r="A22253" s="374"/>
      <c r="C22253" s="374"/>
      <c r="CV22253" s="376"/>
    </row>
    <row r="22254" spans="1:100">
      <c r="A22254" s="374"/>
      <c r="C22254" s="374"/>
      <c r="CV22254" s="376"/>
    </row>
    <row r="22255" spans="1:100">
      <c r="A22255" s="374"/>
      <c r="C22255" s="374"/>
      <c r="CV22255" s="376"/>
    </row>
    <row r="22256" spans="1:100">
      <c r="A22256" s="374"/>
      <c r="C22256" s="374"/>
      <c r="CV22256" s="376"/>
    </row>
    <row r="22257" spans="1:100">
      <c r="A22257" s="374"/>
      <c r="C22257" s="374"/>
      <c r="CV22257" s="376"/>
    </row>
    <row r="22258" spans="1:100">
      <c r="A22258" s="374"/>
      <c r="C22258" s="374"/>
      <c r="CV22258" s="376"/>
    </row>
    <row r="22259" spans="1:100">
      <c r="A22259" s="374"/>
      <c r="C22259" s="374"/>
      <c r="CV22259" s="376"/>
    </row>
    <row r="22260" spans="1:100">
      <c r="A22260" s="374"/>
      <c r="C22260" s="374"/>
      <c r="CV22260" s="376"/>
    </row>
    <row r="22261" spans="1:100">
      <c r="A22261" s="374"/>
      <c r="C22261" s="374"/>
      <c r="CV22261" s="376"/>
    </row>
    <row r="22262" spans="1:100">
      <c r="A22262" s="374"/>
      <c r="C22262" s="374"/>
      <c r="CV22262" s="376"/>
    </row>
    <row r="22263" spans="1:100">
      <c r="A22263" s="374"/>
      <c r="C22263" s="374"/>
      <c r="CV22263" s="376"/>
    </row>
    <row r="22264" spans="1:100">
      <c r="A22264" s="374"/>
      <c r="C22264" s="374"/>
      <c r="CV22264" s="376"/>
    </row>
    <row r="22265" spans="1:100">
      <c r="A22265" s="374"/>
      <c r="C22265" s="374"/>
      <c r="CV22265" s="376"/>
    </row>
    <row r="22266" spans="1:100">
      <c r="A22266" s="374"/>
      <c r="C22266" s="374"/>
      <c r="CV22266" s="376"/>
    </row>
    <row r="22267" spans="1:100">
      <c r="A22267" s="374"/>
      <c r="C22267" s="374"/>
      <c r="CV22267" s="376"/>
    </row>
    <row r="22268" spans="1:100">
      <c r="A22268" s="374"/>
      <c r="C22268" s="374"/>
      <c r="CV22268" s="376"/>
    </row>
    <row r="22269" spans="1:100">
      <c r="A22269" s="374"/>
      <c r="C22269" s="374"/>
      <c r="CV22269" s="376"/>
    </row>
    <row r="22270" spans="1:100">
      <c r="A22270" s="374"/>
      <c r="C22270" s="374"/>
      <c r="CV22270" s="376"/>
    </row>
    <row r="22271" spans="1:100">
      <c r="A22271" s="374"/>
      <c r="C22271" s="374"/>
      <c r="CV22271" s="376"/>
    </row>
    <row r="22272" spans="1:100">
      <c r="A22272" s="374"/>
      <c r="C22272" s="374"/>
      <c r="CV22272" s="376"/>
    </row>
    <row r="22273" spans="1:100">
      <c r="A22273" s="374"/>
      <c r="C22273" s="374"/>
      <c r="CV22273" s="376"/>
    </row>
    <row r="22274" spans="1:100">
      <c r="A22274" s="374"/>
      <c r="C22274" s="374"/>
      <c r="CV22274" s="376"/>
    </row>
    <row r="22275" spans="1:100">
      <c r="A22275" s="374"/>
      <c r="C22275" s="374"/>
      <c r="CV22275" s="376"/>
    </row>
    <row r="22276" spans="1:100">
      <c r="A22276" s="374"/>
      <c r="C22276" s="374"/>
      <c r="CV22276" s="376"/>
    </row>
    <row r="22277" spans="1:100">
      <c r="A22277" s="374"/>
      <c r="C22277" s="374"/>
      <c r="CV22277" s="376"/>
    </row>
    <row r="22278" spans="1:100">
      <c r="A22278" s="374"/>
      <c r="C22278" s="374"/>
      <c r="CV22278" s="376"/>
    </row>
    <row r="22279" spans="1:100">
      <c r="A22279" s="374"/>
      <c r="C22279" s="374"/>
      <c r="CV22279" s="376"/>
    </row>
    <row r="22280" spans="1:100">
      <c r="A22280" s="374"/>
      <c r="C22280" s="374"/>
      <c r="CV22280" s="376"/>
    </row>
    <row r="22281" spans="1:100">
      <c r="A22281" s="374"/>
      <c r="C22281" s="374"/>
      <c r="CV22281" s="376"/>
    </row>
    <row r="22282" spans="1:100">
      <c r="A22282" s="374"/>
      <c r="C22282" s="374"/>
      <c r="CV22282" s="376"/>
    </row>
    <row r="22283" spans="1:100">
      <c r="A22283" s="374"/>
      <c r="C22283" s="374"/>
      <c r="CV22283" s="376"/>
    </row>
    <row r="22284" spans="1:100">
      <c r="A22284" s="374"/>
      <c r="C22284" s="374"/>
      <c r="CV22284" s="376"/>
    </row>
    <row r="22285" spans="1:100">
      <c r="A22285" s="374"/>
      <c r="C22285" s="374"/>
      <c r="CV22285" s="376"/>
    </row>
    <row r="22286" spans="1:100">
      <c r="A22286" s="374"/>
      <c r="C22286" s="374"/>
      <c r="CV22286" s="376"/>
    </row>
    <row r="22287" spans="1:100">
      <c r="A22287" s="374"/>
      <c r="C22287" s="374"/>
      <c r="CV22287" s="376"/>
    </row>
    <row r="22288" spans="1:100">
      <c r="A22288" s="374"/>
      <c r="C22288" s="374"/>
      <c r="CV22288" s="376"/>
    </row>
    <row r="22289" spans="1:100">
      <c r="A22289" s="374"/>
      <c r="C22289" s="374"/>
      <c r="CV22289" s="376"/>
    </row>
    <row r="22290" spans="1:100">
      <c r="A22290" s="374"/>
      <c r="C22290" s="374"/>
      <c r="CV22290" s="376"/>
    </row>
    <row r="22291" spans="1:100">
      <c r="A22291" s="374"/>
      <c r="C22291" s="374"/>
      <c r="CV22291" s="376"/>
    </row>
    <row r="22292" spans="1:100">
      <c r="A22292" s="374"/>
      <c r="C22292" s="374"/>
      <c r="CV22292" s="376"/>
    </row>
    <row r="22293" spans="1:100">
      <c r="A22293" s="374"/>
      <c r="C22293" s="374"/>
      <c r="CV22293" s="376"/>
    </row>
    <row r="22294" spans="1:100">
      <c r="A22294" s="374"/>
      <c r="C22294" s="374"/>
      <c r="CV22294" s="376"/>
    </row>
    <row r="22295" spans="1:100">
      <c r="A22295" s="374"/>
      <c r="C22295" s="374"/>
      <c r="CV22295" s="376"/>
    </row>
    <row r="22296" spans="1:100">
      <c r="A22296" s="374"/>
      <c r="C22296" s="374"/>
      <c r="CV22296" s="376"/>
    </row>
    <row r="22297" spans="1:100">
      <c r="A22297" s="374"/>
      <c r="C22297" s="374"/>
      <c r="CV22297" s="376"/>
    </row>
    <row r="22298" spans="1:100">
      <c r="A22298" s="374"/>
      <c r="C22298" s="374"/>
      <c r="CV22298" s="376"/>
    </row>
    <row r="22299" spans="1:100">
      <c r="A22299" s="374"/>
      <c r="C22299" s="374"/>
      <c r="CV22299" s="376"/>
    </row>
    <row r="22300" spans="1:100">
      <c r="A22300" s="374"/>
      <c r="C22300" s="374"/>
      <c r="CV22300" s="376"/>
    </row>
    <row r="22301" spans="1:100">
      <c r="A22301" s="374"/>
      <c r="C22301" s="374"/>
      <c r="CV22301" s="376"/>
    </row>
    <row r="22302" spans="1:100">
      <c r="A22302" s="374"/>
      <c r="C22302" s="374"/>
      <c r="CV22302" s="376"/>
    </row>
    <row r="22303" spans="1:100">
      <c r="A22303" s="374"/>
      <c r="C22303" s="374"/>
      <c r="CV22303" s="376"/>
    </row>
    <row r="22304" spans="1:100">
      <c r="A22304" s="374"/>
      <c r="C22304" s="374"/>
      <c r="CV22304" s="376"/>
    </row>
    <row r="22305" spans="1:100">
      <c r="A22305" s="374"/>
      <c r="C22305" s="374"/>
      <c r="CV22305" s="376"/>
    </row>
    <row r="22306" spans="1:100">
      <c r="A22306" s="374"/>
      <c r="C22306" s="374"/>
      <c r="CV22306" s="376"/>
    </row>
    <row r="22307" spans="1:100">
      <c r="A22307" s="374"/>
      <c r="C22307" s="374"/>
      <c r="CV22307" s="376"/>
    </row>
    <row r="22308" spans="1:100">
      <c r="A22308" s="374"/>
      <c r="C22308" s="374"/>
      <c r="CV22308" s="376"/>
    </row>
    <row r="22309" spans="1:100">
      <c r="A22309" s="374"/>
      <c r="C22309" s="374"/>
      <c r="CV22309" s="376"/>
    </row>
    <row r="22310" spans="1:100">
      <c r="A22310" s="374"/>
      <c r="C22310" s="374"/>
      <c r="CV22310" s="376"/>
    </row>
    <row r="22311" spans="1:100">
      <c r="A22311" s="374"/>
      <c r="C22311" s="374"/>
      <c r="CV22311" s="376"/>
    </row>
    <row r="22312" spans="1:100">
      <c r="A22312" s="374"/>
      <c r="C22312" s="374"/>
      <c r="CV22312" s="376"/>
    </row>
    <row r="22313" spans="1:100">
      <c r="A22313" s="374"/>
      <c r="C22313" s="374"/>
      <c r="CV22313" s="376"/>
    </row>
    <row r="22314" spans="1:100">
      <c r="A22314" s="374"/>
      <c r="C22314" s="374"/>
      <c r="CV22314" s="376"/>
    </row>
    <row r="22315" spans="1:100">
      <c r="A22315" s="374"/>
      <c r="C22315" s="374"/>
      <c r="CV22315" s="376"/>
    </row>
    <row r="22316" spans="1:100">
      <c r="A22316" s="374"/>
      <c r="C22316" s="374"/>
      <c r="CV22316" s="376"/>
    </row>
    <row r="22317" spans="1:100">
      <c r="A22317" s="374"/>
      <c r="C22317" s="374"/>
      <c r="CV22317" s="376"/>
    </row>
    <row r="22318" spans="1:100">
      <c r="A22318" s="374"/>
      <c r="C22318" s="374"/>
      <c r="CV22318" s="376"/>
    </row>
    <row r="22319" spans="1:100">
      <c r="A22319" s="374"/>
      <c r="C22319" s="374"/>
      <c r="CV22319" s="376"/>
    </row>
    <row r="22320" spans="1:100">
      <c r="A22320" s="374"/>
      <c r="C22320" s="374"/>
      <c r="CV22320" s="376"/>
    </row>
    <row r="22321" spans="1:100">
      <c r="A22321" s="374"/>
      <c r="C22321" s="374"/>
      <c r="CV22321" s="376"/>
    </row>
    <row r="22322" spans="1:100">
      <c r="A22322" s="374"/>
      <c r="C22322" s="374"/>
      <c r="CV22322" s="376"/>
    </row>
    <row r="22323" spans="1:100">
      <c r="A22323" s="374"/>
      <c r="C22323" s="374"/>
      <c r="CV22323" s="376"/>
    </row>
    <row r="22324" spans="1:100">
      <c r="A22324" s="374"/>
      <c r="C22324" s="374"/>
      <c r="CV22324" s="376"/>
    </row>
    <row r="22325" spans="1:100">
      <c r="A22325" s="374"/>
      <c r="C22325" s="374"/>
      <c r="CV22325" s="376"/>
    </row>
    <row r="22326" spans="1:100">
      <c r="A22326" s="374"/>
      <c r="C22326" s="374"/>
      <c r="CV22326" s="376"/>
    </row>
    <row r="22327" spans="1:100">
      <c r="A22327" s="374"/>
      <c r="C22327" s="374"/>
      <c r="CV22327" s="376"/>
    </row>
    <row r="22328" spans="1:100">
      <c r="A22328" s="374"/>
      <c r="C22328" s="374"/>
      <c r="CV22328" s="376"/>
    </row>
    <row r="22329" spans="1:100">
      <c r="A22329" s="374"/>
      <c r="C22329" s="374"/>
      <c r="CV22329" s="376"/>
    </row>
    <row r="22330" spans="1:100">
      <c r="A22330" s="374"/>
      <c r="C22330" s="374"/>
      <c r="CV22330" s="376"/>
    </row>
    <row r="22331" spans="1:100">
      <c r="A22331" s="374"/>
      <c r="C22331" s="374"/>
      <c r="CV22331" s="376"/>
    </row>
    <row r="22332" spans="1:100">
      <c r="A22332" s="374"/>
      <c r="C22332" s="374"/>
      <c r="CV22332" s="376"/>
    </row>
    <row r="22333" spans="1:100">
      <c r="A22333" s="374"/>
      <c r="C22333" s="374"/>
      <c r="CV22333" s="376"/>
    </row>
    <row r="22334" spans="1:100">
      <c r="A22334" s="374"/>
      <c r="C22334" s="374"/>
      <c r="CV22334" s="376"/>
    </row>
    <row r="22335" spans="1:100">
      <c r="A22335" s="374"/>
      <c r="C22335" s="374"/>
      <c r="CV22335" s="376"/>
    </row>
    <row r="22336" spans="1:100">
      <c r="A22336" s="374"/>
      <c r="C22336" s="374"/>
      <c r="CV22336" s="376"/>
    </row>
    <row r="22337" spans="1:100">
      <c r="A22337" s="374"/>
      <c r="C22337" s="374"/>
      <c r="CV22337" s="376"/>
    </row>
    <row r="22338" spans="1:100">
      <c r="A22338" s="374"/>
      <c r="C22338" s="374"/>
      <c r="CV22338" s="376"/>
    </row>
    <row r="22339" spans="1:100">
      <c r="A22339" s="374"/>
      <c r="C22339" s="374"/>
      <c r="CV22339" s="376"/>
    </row>
    <row r="22340" spans="1:100">
      <c r="A22340" s="374"/>
      <c r="C22340" s="374"/>
      <c r="CV22340" s="376"/>
    </row>
    <row r="22341" spans="1:100">
      <c r="A22341" s="374"/>
      <c r="C22341" s="374"/>
      <c r="CV22341" s="376"/>
    </row>
    <row r="22342" spans="1:100">
      <c r="A22342" s="374"/>
      <c r="C22342" s="374"/>
      <c r="CV22342" s="376"/>
    </row>
    <row r="22343" spans="1:100">
      <c r="A22343" s="374"/>
      <c r="C22343" s="374"/>
      <c r="CV22343" s="376"/>
    </row>
    <row r="22344" spans="1:100">
      <c r="A22344" s="374"/>
      <c r="C22344" s="374"/>
      <c r="CV22344" s="376"/>
    </row>
    <row r="22345" spans="1:100">
      <c r="A22345" s="374"/>
      <c r="C22345" s="374"/>
      <c r="CV22345" s="376"/>
    </row>
    <row r="22346" spans="1:100">
      <c r="A22346" s="374"/>
      <c r="C22346" s="374"/>
      <c r="CV22346" s="376"/>
    </row>
    <row r="22347" spans="1:100">
      <c r="A22347" s="374"/>
      <c r="C22347" s="374"/>
      <c r="CV22347" s="376"/>
    </row>
    <row r="22348" spans="1:100">
      <c r="A22348" s="374"/>
      <c r="C22348" s="374"/>
      <c r="CV22348" s="376"/>
    </row>
    <row r="22349" spans="1:100">
      <c r="A22349" s="374"/>
      <c r="C22349" s="374"/>
      <c r="CV22349" s="376"/>
    </row>
    <row r="22350" spans="1:100">
      <c r="A22350" s="374"/>
      <c r="C22350" s="374"/>
      <c r="CV22350" s="376"/>
    </row>
    <row r="22351" spans="1:100">
      <c r="A22351" s="374"/>
      <c r="C22351" s="374"/>
      <c r="CV22351" s="376"/>
    </row>
    <row r="22352" spans="1:100">
      <c r="A22352" s="374"/>
      <c r="C22352" s="374"/>
      <c r="CV22352" s="376"/>
    </row>
    <row r="22353" spans="1:100">
      <c r="A22353" s="374"/>
      <c r="C22353" s="374"/>
      <c r="CV22353" s="376"/>
    </row>
    <row r="22354" spans="1:100">
      <c r="A22354" s="374"/>
      <c r="C22354" s="374"/>
      <c r="CV22354" s="376"/>
    </row>
    <row r="22355" spans="1:100">
      <c r="A22355" s="374"/>
      <c r="C22355" s="374"/>
      <c r="CV22355" s="376"/>
    </row>
    <row r="22356" spans="1:100">
      <c r="A22356" s="374"/>
      <c r="C22356" s="374"/>
      <c r="CV22356" s="376"/>
    </row>
    <row r="22357" spans="1:100">
      <c r="A22357" s="374"/>
      <c r="C22357" s="374"/>
      <c r="CV22357" s="376"/>
    </row>
    <row r="22358" spans="1:100">
      <c r="A22358" s="374"/>
      <c r="C22358" s="374"/>
      <c r="CV22358" s="376"/>
    </row>
    <row r="22359" spans="1:100">
      <c r="A22359" s="374"/>
      <c r="C22359" s="374"/>
      <c r="CV22359" s="376"/>
    </row>
    <row r="22360" spans="1:100">
      <c r="A22360" s="374"/>
      <c r="C22360" s="374"/>
      <c r="CV22360" s="376"/>
    </row>
    <row r="22361" spans="1:100">
      <c r="A22361" s="374"/>
      <c r="C22361" s="374"/>
      <c r="CV22361" s="376"/>
    </row>
    <row r="22362" spans="1:100">
      <c r="A22362" s="374"/>
      <c r="C22362" s="374"/>
      <c r="CV22362" s="376"/>
    </row>
    <row r="22363" spans="1:100">
      <c r="A22363" s="374"/>
      <c r="C22363" s="374"/>
      <c r="CV22363" s="376"/>
    </row>
    <row r="22364" spans="1:100">
      <c r="A22364" s="374"/>
      <c r="C22364" s="374"/>
      <c r="CV22364" s="376"/>
    </row>
    <row r="22365" spans="1:100">
      <c r="A22365" s="374"/>
      <c r="C22365" s="374"/>
      <c r="CV22365" s="376"/>
    </row>
    <row r="22366" spans="1:100">
      <c r="A22366" s="374"/>
      <c r="C22366" s="374"/>
      <c r="CV22366" s="376"/>
    </row>
    <row r="22367" spans="1:100">
      <c r="A22367" s="374"/>
      <c r="C22367" s="374"/>
      <c r="CV22367" s="376"/>
    </row>
    <row r="22368" spans="1:100">
      <c r="A22368" s="374"/>
      <c r="C22368" s="374"/>
      <c r="CV22368" s="376"/>
    </row>
    <row r="22369" spans="1:100">
      <c r="A22369" s="374"/>
      <c r="C22369" s="374"/>
      <c r="CV22369" s="376"/>
    </row>
    <row r="22370" spans="1:100">
      <c r="A22370" s="374"/>
      <c r="C22370" s="374"/>
      <c r="CV22370" s="376"/>
    </row>
    <row r="22371" spans="1:100">
      <c r="A22371" s="374"/>
      <c r="C22371" s="374"/>
      <c r="CV22371" s="376"/>
    </row>
    <row r="22372" spans="1:100">
      <c r="A22372" s="374"/>
      <c r="C22372" s="374"/>
      <c r="CV22372" s="376"/>
    </row>
    <row r="22373" spans="1:100">
      <c r="A22373" s="374"/>
      <c r="C22373" s="374"/>
      <c r="CV22373" s="376"/>
    </row>
    <row r="22374" spans="1:100">
      <c r="A22374" s="374"/>
      <c r="C22374" s="374"/>
      <c r="CV22374" s="376"/>
    </row>
    <row r="22375" spans="1:100">
      <c r="A22375" s="374"/>
      <c r="C22375" s="374"/>
      <c r="CV22375" s="376"/>
    </row>
    <row r="22376" spans="1:100">
      <c r="A22376" s="374"/>
      <c r="C22376" s="374"/>
      <c r="CV22376" s="376"/>
    </row>
    <row r="22377" spans="1:100">
      <c r="A22377" s="374"/>
      <c r="C22377" s="374"/>
      <c r="CV22377" s="376"/>
    </row>
    <row r="22378" spans="1:100">
      <c r="A22378" s="374"/>
      <c r="C22378" s="374"/>
      <c r="CV22378" s="376"/>
    </row>
    <row r="22379" spans="1:100">
      <c r="A22379" s="374"/>
      <c r="C22379" s="374"/>
      <c r="CV22379" s="376"/>
    </row>
    <row r="22380" spans="1:100">
      <c r="A22380" s="374"/>
      <c r="C22380" s="374"/>
      <c r="CV22380" s="376"/>
    </row>
    <row r="22381" spans="1:100">
      <c r="A22381" s="374"/>
      <c r="C22381" s="374"/>
      <c r="CV22381" s="376"/>
    </row>
    <row r="22382" spans="1:100">
      <c r="A22382" s="374"/>
      <c r="C22382" s="374"/>
      <c r="CV22382" s="376"/>
    </row>
    <row r="22383" spans="1:100">
      <c r="A22383" s="374"/>
      <c r="C22383" s="374"/>
      <c r="CV22383" s="376"/>
    </row>
    <row r="22384" spans="1:100">
      <c r="A22384" s="374"/>
      <c r="C22384" s="374"/>
      <c r="CV22384" s="376"/>
    </row>
    <row r="22385" spans="1:100">
      <c r="A22385" s="374"/>
      <c r="C22385" s="374"/>
      <c r="CV22385" s="376"/>
    </row>
    <row r="22386" spans="1:100">
      <c r="A22386" s="374"/>
      <c r="C22386" s="374"/>
      <c r="CV22386" s="376"/>
    </row>
    <row r="22387" spans="1:100">
      <c r="A22387" s="374"/>
      <c r="C22387" s="374"/>
      <c r="CV22387" s="376"/>
    </row>
    <row r="22388" spans="1:100">
      <c r="A22388" s="374"/>
      <c r="C22388" s="374"/>
      <c r="CV22388" s="376"/>
    </row>
    <row r="22389" spans="1:100">
      <c r="A22389" s="374"/>
      <c r="C22389" s="374"/>
      <c r="CV22389" s="376"/>
    </row>
    <row r="22390" spans="1:100">
      <c r="A22390" s="374"/>
      <c r="C22390" s="374"/>
      <c r="CV22390" s="376"/>
    </row>
    <row r="22391" spans="1:100">
      <c r="A22391" s="374"/>
      <c r="C22391" s="374"/>
      <c r="CV22391" s="376"/>
    </row>
    <row r="22392" spans="1:100">
      <c r="A22392" s="374"/>
      <c r="C22392" s="374"/>
      <c r="CV22392" s="376"/>
    </row>
    <row r="22393" spans="1:100">
      <c r="A22393" s="374"/>
      <c r="C22393" s="374"/>
      <c r="CV22393" s="376"/>
    </row>
    <row r="22394" spans="1:100">
      <c r="A22394" s="374"/>
      <c r="C22394" s="374"/>
      <c r="CV22394" s="376"/>
    </row>
    <row r="22395" spans="1:100">
      <c r="A22395" s="374"/>
      <c r="C22395" s="374"/>
      <c r="CV22395" s="376"/>
    </row>
    <row r="22396" spans="1:100">
      <c r="A22396" s="374"/>
      <c r="C22396" s="374"/>
      <c r="CV22396" s="376"/>
    </row>
    <row r="22397" spans="1:100">
      <c r="A22397" s="374"/>
      <c r="C22397" s="374"/>
      <c r="CV22397" s="376"/>
    </row>
    <row r="22398" spans="1:100">
      <c r="A22398" s="374"/>
      <c r="C22398" s="374"/>
      <c r="CV22398" s="376"/>
    </row>
    <row r="22399" spans="1:100">
      <c r="A22399" s="374"/>
      <c r="C22399" s="374"/>
      <c r="CV22399" s="376"/>
    </row>
    <row r="22400" spans="1:100">
      <c r="A22400" s="374"/>
      <c r="C22400" s="374"/>
      <c r="CV22400" s="376"/>
    </row>
    <row r="22401" spans="1:100">
      <c r="A22401" s="374"/>
      <c r="C22401" s="374"/>
      <c r="CV22401" s="376"/>
    </row>
    <row r="22402" spans="1:100">
      <c r="A22402" s="374"/>
      <c r="C22402" s="374"/>
      <c r="CV22402" s="376"/>
    </row>
    <row r="22403" spans="1:100">
      <c r="A22403" s="374"/>
      <c r="C22403" s="374"/>
      <c r="CV22403" s="376"/>
    </row>
    <row r="22404" spans="1:100">
      <c r="A22404" s="374"/>
      <c r="C22404" s="374"/>
      <c r="CV22404" s="376"/>
    </row>
    <row r="22405" spans="1:100">
      <c r="A22405" s="374"/>
      <c r="C22405" s="374"/>
      <c r="CV22405" s="376"/>
    </row>
    <row r="22406" spans="1:100">
      <c r="A22406" s="374"/>
      <c r="C22406" s="374"/>
      <c r="CV22406" s="376"/>
    </row>
    <row r="22407" spans="1:100">
      <c r="A22407" s="374"/>
      <c r="C22407" s="374"/>
      <c r="CV22407" s="376"/>
    </row>
    <row r="22408" spans="1:100">
      <c r="A22408" s="374"/>
      <c r="C22408" s="374"/>
      <c r="CV22408" s="376"/>
    </row>
    <row r="22409" spans="1:100">
      <c r="A22409" s="374"/>
      <c r="C22409" s="374"/>
      <c r="CV22409" s="376"/>
    </row>
    <row r="22410" spans="1:100">
      <c r="A22410" s="374"/>
      <c r="C22410" s="374"/>
      <c r="CV22410" s="376"/>
    </row>
    <row r="22411" spans="1:100">
      <c r="A22411" s="374"/>
      <c r="C22411" s="374"/>
      <c r="CV22411" s="376"/>
    </row>
    <row r="22412" spans="1:100">
      <c r="A22412" s="374"/>
      <c r="C22412" s="374"/>
      <c r="CV22412" s="376"/>
    </row>
    <row r="22413" spans="1:100">
      <c r="A22413" s="374"/>
      <c r="C22413" s="374"/>
      <c r="CV22413" s="376"/>
    </row>
    <row r="22414" spans="1:100">
      <c r="A22414" s="374"/>
      <c r="C22414" s="374"/>
      <c r="CV22414" s="376"/>
    </row>
    <row r="22415" spans="1:100">
      <c r="A22415" s="374"/>
      <c r="C22415" s="374"/>
      <c r="CV22415" s="376"/>
    </row>
    <row r="22416" spans="1:100">
      <c r="A22416" s="374"/>
      <c r="C22416" s="374"/>
      <c r="CV22416" s="376"/>
    </row>
    <row r="22417" spans="1:100">
      <c r="A22417" s="374"/>
      <c r="C22417" s="374"/>
      <c r="CV22417" s="376"/>
    </row>
    <row r="22418" spans="1:100">
      <c r="A22418" s="374"/>
      <c r="C22418" s="374"/>
      <c r="CV22418" s="376"/>
    </row>
    <row r="22419" spans="1:100">
      <c r="A22419" s="374"/>
      <c r="C22419" s="374"/>
      <c r="CV22419" s="376"/>
    </row>
    <row r="22420" spans="1:100">
      <c r="A22420" s="374"/>
      <c r="C22420" s="374"/>
      <c r="CV22420" s="376"/>
    </row>
    <row r="22421" spans="1:100">
      <c r="A22421" s="374"/>
      <c r="C22421" s="374"/>
      <c r="CV22421" s="376"/>
    </row>
    <row r="22422" spans="1:100">
      <c r="A22422" s="374"/>
      <c r="C22422" s="374"/>
      <c r="CV22422" s="376"/>
    </row>
    <row r="22423" spans="1:100">
      <c r="A22423" s="374"/>
      <c r="C22423" s="374"/>
      <c r="CV22423" s="376"/>
    </row>
    <row r="22424" spans="1:100">
      <c r="A22424" s="374"/>
      <c r="C22424" s="374"/>
      <c r="CV22424" s="376"/>
    </row>
    <row r="22425" spans="1:100">
      <c r="A22425" s="374"/>
      <c r="C22425" s="374"/>
      <c r="CV22425" s="376"/>
    </row>
    <row r="22426" spans="1:100">
      <c r="A22426" s="374"/>
      <c r="C22426" s="374"/>
      <c r="CV22426" s="376"/>
    </row>
    <row r="22427" spans="1:100">
      <c r="A22427" s="374"/>
      <c r="C22427" s="374"/>
      <c r="CV22427" s="376"/>
    </row>
    <row r="22428" spans="1:100">
      <c r="A22428" s="374"/>
      <c r="C22428" s="374"/>
      <c r="CV22428" s="376"/>
    </row>
    <row r="22429" spans="1:100">
      <c r="A22429" s="374"/>
      <c r="C22429" s="374"/>
      <c r="CV22429" s="376"/>
    </row>
    <row r="22430" spans="1:100">
      <c r="A22430" s="374"/>
      <c r="C22430" s="374"/>
      <c r="CV22430" s="376"/>
    </row>
    <row r="22431" spans="1:100">
      <c r="A22431" s="374"/>
      <c r="C22431" s="374"/>
      <c r="CV22431" s="376"/>
    </row>
    <row r="22432" spans="1:100">
      <c r="A22432" s="374"/>
      <c r="C22432" s="374"/>
      <c r="CV22432" s="376"/>
    </row>
    <row r="22433" spans="1:100">
      <c r="A22433" s="374"/>
      <c r="C22433" s="374"/>
      <c r="CV22433" s="376"/>
    </row>
    <row r="22434" spans="1:100">
      <c r="A22434" s="374"/>
      <c r="C22434" s="374"/>
      <c r="CV22434" s="376"/>
    </row>
    <row r="22435" spans="1:100">
      <c r="A22435" s="374"/>
      <c r="C22435" s="374"/>
      <c r="CV22435" s="376"/>
    </row>
    <row r="22436" spans="1:100">
      <c r="A22436" s="374"/>
      <c r="C22436" s="374"/>
      <c r="CV22436" s="376"/>
    </row>
    <row r="22437" spans="1:100">
      <c r="A22437" s="374"/>
      <c r="C22437" s="374"/>
      <c r="CV22437" s="376"/>
    </row>
    <row r="22438" spans="1:100">
      <c r="A22438" s="374"/>
      <c r="C22438" s="374"/>
      <c r="CV22438" s="376"/>
    </row>
    <row r="22439" spans="1:100">
      <c r="A22439" s="374"/>
      <c r="C22439" s="374"/>
      <c r="CV22439" s="376"/>
    </row>
    <row r="22440" spans="1:100">
      <c r="A22440" s="374"/>
      <c r="C22440" s="374"/>
      <c r="CV22440" s="376"/>
    </row>
    <row r="22441" spans="1:100">
      <c r="A22441" s="374"/>
      <c r="C22441" s="374"/>
      <c r="CV22441" s="376"/>
    </row>
    <row r="22442" spans="1:100">
      <c r="A22442" s="374"/>
      <c r="C22442" s="374"/>
      <c r="CV22442" s="376"/>
    </row>
    <row r="22443" spans="1:100">
      <c r="A22443" s="374"/>
      <c r="C22443" s="374"/>
      <c r="CV22443" s="376"/>
    </row>
    <row r="22444" spans="1:100">
      <c r="A22444" s="374"/>
      <c r="C22444" s="374"/>
      <c r="CV22444" s="376"/>
    </row>
    <row r="22445" spans="1:100">
      <c r="A22445" s="374"/>
      <c r="C22445" s="374"/>
      <c r="CV22445" s="376"/>
    </row>
    <row r="22446" spans="1:100">
      <c r="A22446" s="374"/>
      <c r="C22446" s="374"/>
      <c r="CV22446" s="376"/>
    </row>
    <row r="22447" spans="1:100">
      <c r="A22447" s="374"/>
      <c r="C22447" s="374"/>
      <c r="CV22447" s="376"/>
    </row>
    <row r="22448" spans="1:100">
      <c r="A22448" s="374"/>
      <c r="C22448" s="374"/>
      <c r="CV22448" s="376"/>
    </row>
    <row r="22449" spans="1:100">
      <c r="A22449" s="374"/>
      <c r="C22449" s="374"/>
      <c r="CV22449" s="376"/>
    </row>
    <row r="22450" spans="1:100">
      <c r="A22450" s="374"/>
      <c r="C22450" s="374"/>
      <c r="CV22450" s="376"/>
    </row>
    <row r="22451" spans="1:100">
      <c r="A22451" s="374"/>
      <c r="C22451" s="374"/>
      <c r="CV22451" s="376"/>
    </row>
    <row r="22452" spans="1:100">
      <c r="A22452" s="374"/>
      <c r="C22452" s="374"/>
      <c r="CV22452" s="376"/>
    </row>
    <row r="22453" spans="1:100">
      <c r="A22453" s="374"/>
      <c r="C22453" s="374"/>
      <c r="CV22453" s="376"/>
    </row>
    <row r="22454" spans="1:100">
      <c r="A22454" s="374"/>
      <c r="C22454" s="374"/>
      <c r="CV22454" s="376"/>
    </row>
    <row r="22455" spans="1:100">
      <c r="A22455" s="374"/>
      <c r="C22455" s="374"/>
      <c r="CV22455" s="376"/>
    </row>
    <row r="22456" spans="1:100">
      <c r="A22456" s="374"/>
      <c r="C22456" s="374"/>
      <c r="CV22456" s="376"/>
    </row>
    <row r="22457" spans="1:100">
      <c r="A22457" s="374"/>
      <c r="C22457" s="374"/>
      <c r="CV22457" s="376"/>
    </row>
    <row r="22458" spans="1:100">
      <c r="A22458" s="374"/>
      <c r="C22458" s="374"/>
      <c r="CV22458" s="376"/>
    </row>
    <row r="22459" spans="1:100">
      <c r="A22459" s="374"/>
      <c r="C22459" s="374"/>
      <c r="CV22459" s="376"/>
    </row>
    <row r="22460" spans="1:100">
      <c r="A22460" s="374"/>
      <c r="C22460" s="374"/>
      <c r="CV22460" s="376"/>
    </row>
    <row r="22461" spans="1:100">
      <c r="A22461" s="374"/>
      <c r="C22461" s="374"/>
      <c r="CV22461" s="376"/>
    </row>
    <row r="22462" spans="1:100">
      <c r="A22462" s="374"/>
      <c r="C22462" s="374"/>
      <c r="CV22462" s="376"/>
    </row>
    <row r="22463" spans="1:100">
      <c r="A22463" s="374"/>
      <c r="C22463" s="374"/>
      <c r="CV22463" s="376"/>
    </row>
    <row r="22464" spans="1:100">
      <c r="A22464" s="374"/>
      <c r="C22464" s="374"/>
      <c r="CV22464" s="376"/>
    </row>
    <row r="22465" spans="1:100">
      <c r="A22465" s="374"/>
      <c r="C22465" s="374"/>
      <c r="CV22465" s="376"/>
    </row>
    <row r="22466" spans="1:100">
      <c r="A22466" s="374"/>
      <c r="C22466" s="374"/>
      <c r="CV22466" s="376"/>
    </row>
    <row r="22467" spans="1:100">
      <c r="A22467" s="374"/>
      <c r="C22467" s="374"/>
      <c r="CV22467" s="376"/>
    </row>
    <row r="22468" spans="1:100">
      <c r="A22468" s="374"/>
      <c r="C22468" s="374"/>
      <c r="CV22468" s="376"/>
    </row>
    <row r="22469" spans="1:100">
      <c r="A22469" s="374"/>
      <c r="C22469" s="374"/>
      <c r="CV22469" s="376"/>
    </row>
    <row r="22470" spans="1:100">
      <c r="A22470" s="374"/>
      <c r="C22470" s="374"/>
      <c r="CV22470" s="376"/>
    </row>
    <row r="22471" spans="1:100">
      <c r="A22471" s="374"/>
      <c r="C22471" s="374"/>
      <c r="CV22471" s="376"/>
    </row>
    <row r="22472" spans="1:100">
      <c r="A22472" s="374"/>
      <c r="C22472" s="374"/>
      <c r="CV22472" s="376"/>
    </row>
    <row r="22473" spans="1:100">
      <c r="A22473" s="374"/>
      <c r="C22473" s="374"/>
      <c r="CV22473" s="376"/>
    </row>
    <row r="22474" spans="1:100">
      <c r="A22474" s="374"/>
      <c r="C22474" s="374"/>
      <c r="CV22474" s="376"/>
    </row>
    <row r="22475" spans="1:100">
      <c r="A22475" s="374"/>
      <c r="C22475" s="374"/>
      <c r="CV22475" s="376"/>
    </row>
    <row r="22476" spans="1:100">
      <c r="A22476" s="374"/>
      <c r="C22476" s="374"/>
      <c r="CV22476" s="376"/>
    </row>
    <row r="22477" spans="1:100">
      <c r="A22477" s="374"/>
      <c r="C22477" s="374"/>
      <c r="CV22477" s="376"/>
    </row>
    <row r="22478" spans="1:100">
      <c r="A22478" s="374"/>
      <c r="C22478" s="374"/>
      <c r="CV22478" s="376"/>
    </row>
    <row r="22479" spans="1:100">
      <c r="A22479" s="374"/>
      <c r="C22479" s="374"/>
      <c r="CV22479" s="376"/>
    </row>
    <row r="22480" spans="1:100">
      <c r="A22480" s="374"/>
      <c r="C22480" s="374"/>
      <c r="CV22480" s="376"/>
    </row>
    <row r="22481" spans="1:100">
      <c r="A22481" s="374"/>
      <c r="C22481" s="374"/>
      <c r="CV22481" s="376"/>
    </row>
    <row r="22482" spans="1:100">
      <c r="A22482" s="374"/>
      <c r="C22482" s="374"/>
      <c r="CV22482" s="376"/>
    </row>
    <row r="22483" spans="1:100">
      <c r="A22483" s="374"/>
      <c r="C22483" s="374"/>
      <c r="CV22483" s="376"/>
    </row>
    <row r="22484" spans="1:100">
      <c r="A22484" s="374"/>
      <c r="C22484" s="374"/>
      <c r="CV22484" s="376"/>
    </row>
    <row r="22485" spans="1:100">
      <c r="A22485" s="374"/>
      <c r="C22485" s="374"/>
      <c r="CV22485" s="376"/>
    </row>
    <row r="22486" spans="1:100">
      <c r="A22486" s="374"/>
      <c r="C22486" s="374"/>
      <c r="CV22486" s="376"/>
    </row>
    <row r="22487" spans="1:100">
      <c r="A22487" s="374"/>
      <c r="C22487" s="374"/>
      <c r="CV22487" s="376"/>
    </row>
    <row r="22488" spans="1:100">
      <c r="A22488" s="374"/>
      <c r="C22488" s="374"/>
      <c r="CV22488" s="376"/>
    </row>
    <row r="22489" spans="1:100">
      <c r="A22489" s="374"/>
      <c r="C22489" s="374"/>
      <c r="CV22489" s="376"/>
    </row>
    <row r="22490" spans="1:100">
      <c r="A22490" s="374"/>
      <c r="C22490" s="374"/>
      <c r="CV22490" s="376"/>
    </row>
    <row r="22491" spans="1:100">
      <c r="A22491" s="374"/>
      <c r="C22491" s="374"/>
      <c r="CV22491" s="376"/>
    </row>
    <row r="22492" spans="1:100">
      <c r="A22492" s="374"/>
      <c r="C22492" s="374"/>
      <c r="CV22492" s="376"/>
    </row>
    <row r="22493" spans="1:100">
      <c r="A22493" s="374"/>
      <c r="C22493" s="374"/>
      <c r="CV22493" s="376"/>
    </row>
    <row r="22494" spans="1:100">
      <c r="A22494" s="374"/>
      <c r="C22494" s="374"/>
      <c r="CV22494" s="376"/>
    </row>
    <row r="22495" spans="1:100">
      <c r="A22495" s="374"/>
      <c r="C22495" s="374"/>
      <c r="CV22495" s="376"/>
    </row>
    <row r="22496" spans="1:100">
      <c r="A22496" s="374"/>
      <c r="C22496" s="374"/>
      <c r="CV22496" s="376"/>
    </row>
    <row r="22497" spans="1:100">
      <c r="A22497" s="374"/>
      <c r="C22497" s="374"/>
      <c r="CV22497" s="376"/>
    </row>
    <row r="22498" spans="1:100">
      <c r="A22498" s="374"/>
      <c r="C22498" s="374"/>
      <c r="CV22498" s="376"/>
    </row>
    <row r="22499" spans="1:100">
      <c r="A22499" s="374"/>
      <c r="C22499" s="374"/>
      <c r="CV22499" s="376"/>
    </row>
    <row r="22500" spans="1:100">
      <c r="A22500" s="374"/>
      <c r="C22500" s="374"/>
      <c r="CV22500" s="376"/>
    </row>
    <row r="22501" spans="1:100">
      <c r="A22501" s="374"/>
      <c r="C22501" s="374"/>
      <c r="CV22501" s="376"/>
    </row>
    <row r="22502" spans="1:100">
      <c r="A22502" s="374"/>
      <c r="C22502" s="374"/>
      <c r="CV22502" s="376"/>
    </row>
    <row r="22503" spans="1:100">
      <c r="A22503" s="374"/>
      <c r="C22503" s="374"/>
      <c r="CV22503" s="376"/>
    </row>
    <row r="22504" spans="1:100">
      <c r="A22504" s="374"/>
      <c r="C22504" s="374"/>
      <c r="CV22504" s="376"/>
    </row>
    <row r="22505" spans="1:100">
      <c r="A22505" s="374"/>
      <c r="C22505" s="374"/>
      <c r="CV22505" s="376"/>
    </row>
    <row r="22506" spans="1:100">
      <c r="A22506" s="374"/>
      <c r="C22506" s="374"/>
      <c r="CV22506" s="376"/>
    </row>
    <row r="22507" spans="1:100">
      <c r="A22507" s="374"/>
      <c r="C22507" s="374"/>
      <c r="CV22507" s="376"/>
    </row>
    <row r="22508" spans="1:100">
      <c r="A22508" s="374"/>
      <c r="C22508" s="374"/>
      <c r="CV22508" s="376"/>
    </row>
    <row r="22509" spans="1:100">
      <c r="A22509" s="374"/>
      <c r="C22509" s="374"/>
      <c r="CV22509" s="376"/>
    </row>
    <row r="22510" spans="1:100">
      <c r="A22510" s="374"/>
      <c r="C22510" s="374"/>
      <c r="CV22510" s="376"/>
    </row>
    <row r="22511" spans="1:100">
      <c r="A22511" s="374"/>
      <c r="C22511" s="374"/>
      <c r="CV22511" s="376"/>
    </row>
    <row r="22512" spans="1:100">
      <c r="A22512" s="374"/>
      <c r="C22512" s="374"/>
      <c r="CV22512" s="376"/>
    </row>
    <row r="22513" spans="1:100">
      <c r="A22513" s="374"/>
      <c r="C22513" s="374"/>
      <c r="CV22513" s="376"/>
    </row>
    <row r="22514" spans="1:100">
      <c r="A22514" s="374"/>
      <c r="C22514" s="374"/>
      <c r="CV22514" s="376"/>
    </row>
    <row r="22515" spans="1:100">
      <c r="A22515" s="374"/>
      <c r="C22515" s="374"/>
      <c r="CV22515" s="376"/>
    </row>
    <row r="22516" spans="1:100">
      <c r="A22516" s="374"/>
      <c r="C22516" s="374"/>
      <c r="CV22516" s="376"/>
    </row>
    <row r="22517" spans="1:100">
      <c r="A22517" s="374"/>
      <c r="C22517" s="374"/>
      <c r="CV22517" s="376"/>
    </row>
    <row r="22518" spans="1:100">
      <c r="A22518" s="374"/>
      <c r="C22518" s="374"/>
      <c r="CV22518" s="376"/>
    </row>
    <row r="22519" spans="1:100">
      <c r="A22519" s="374"/>
      <c r="C22519" s="374"/>
      <c r="CV22519" s="376"/>
    </row>
    <row r="22520" spans="1:100">
      <c r="A22520" s="374"/>
      <c r="C22520" s="374"/>
      <c r="CV22520" s="376"/>
    </row>
    <row r="22521" spans="1:100">
      <c r="A22521" s="374"/>
      <c r="C22521" s="374"/>
      <c r="CV22521" s="376"/>
    </row>
    <row r="22522" spans="1:100">
      <c r="A22522" s="374"/>
      <c r="C22522" s="374"/>
      <c r="CV22522" s="376"/>
    </row>
    <row r="22523" spans="1:100">
      <c r="A22523" s="374"/>
      <c r="C22523" s="374"/>
      <c r="CV22523" s="376"/>
    </row>
    <row r="22524" spans="1:100">
      <c r="A22524" s="374"/>
      <c r="C22524" s="374"/>
      <c r="CV22524" s="376"/>
    </row>
    <row r="22525" spans="1:100">
      <c r="A22525" s="374"/>
      <c r="C22525" s="374"/>
      <c r="CV22525" s="376"/>
    </row>
    <row r="22526" spans="1:100">
      <c r="A22526" s="374"/>
      <c r="C22526" s="374"/>
      <c r="CV22526" s="376"/>
    </row>
    <row r="22527" spans="1:100">
      <c r="A22527" s="374"/>
      <c r="C22527" s="374"/>
      <c r="CV22527" s="376"/>
    </row>
    <row r="22528" spans="1:100">
      <c r="A22528" s="374"/>
      <c r="C22528" s="374"/>
      <c r="CV22528" s="376"/>
    </row>
    <row r="22529" spans="1:100">
      <c r="A22529" s="374"/>
      <c r="C22529" s="374"/>
      <c r="CV22529" s="376"/>
    </row>
    <row r="22530" spans="1:100">
      <c r="A22530" s="374"/>
      <c r="C22530" s="374"/>
      <c r="CV22530" s="376"/>
    </row>
    <row r="22531" spans="1:100">
      <c r="A22531" s="374"/>
      <c r="C22531" s="374"/>
      <c r="CV22531" s="376"/>
    </row>
    <row r="22532" spans="1:100">
      <c r="A22532" s="374"/>
      <c r="C22532" s="374"/>
      <c r="CV22532" s="376"/>
    </row>
    <row r="22533" spans="1:100">
      <c r="A22533" s="374"/>
      <c r="C22533" s="374"/>
      <c r="CV22533" s="376"/>
    </row>
    <row r="22534" spans="1:100">
      <c r="A22534" s="374"/>
      <c r="C22534" s="374"/>
      <c r="CV22534" s="376"/>
    </row>
    <row r="22535" spans="1:100">
      <c r="A22535" s="374"/>
      <c r="C22535" s="374"/>
      <c r="CV22535" s="376"/>
    </row>
    <row r="22536" spans="1:100">
      <c r="A22536" s="374"/>
      <c r="C22536" s="374"/>
      <c r="CV22536" s="376"/>
    </row>
    <row r="22537" spans="1:100">
      <c r="A22537" s="374"/>
      <c r="C22537" s="374"/>
      <c r="CV22537" s="376"/>
    </row>
    <row r="22538" spans="1:100">
      <c r="A22538" s="374"/>
      <c r="C22538" s="374"/>
      <c r="CV22538" s="376"/>
    </row>
    <row r="22539" spans="1:100">
      <c r="A22539" s="374"/>
      <c r="C22539" s="374"/>
      <c r="CV22539" s="376"/>
    </row>
    <row r="22540" spans="1:100">
      <c r="A22540" s="374"/>
      <c r="C22540" s="374"/>
      <c r="CV22540" s="376"/>
    </row>
    <row r="22541" spans="1:100">
      <c r="A22541" s="374"/>
      <c r="C22541" s="374"/>
      <c r="CV22541" s="376"/>
    </row>
    <row r="22542" spans="1:100">
      <c r="A22542" s="374"/>
      <c r="C22542" s="374"/>
      <c r="CV22542" s="376"/>
    </row>
    <row r="22543" spans="1:100">
      <c r="A22543" s="374"/>
      <c r="C22543" s="374"/>
      <c r="CV22543" s="376"/>
    </row>
    <row r="22544" spans="1:100">
      <c r="A22544" s="374"/>
      <c r="C22544" s="374"/>
      <c r="CV22544" s="376"/>
    </row>
    <row r="22545" spans="1:100">
      <c r="A22545" s="374"/>
      <c r="C22545" s="374"/>
      <c r="CV22545" s="376"/>
    </row>
    <row r="22546" spans="1:100">
      <c r="A22546" s="374"/>
      <c r="C22546" s="374"/>
      <c r="CV22546" s="376"/>
    </row>
    <row r="22547" spans="1:100">
      <c r="A22547" s="374"/>
      <c r="C22547" s="374"/>
      <c r="CV22547" s="376"/>
    </row>
    <row r="22548" spans="1:100">
      <c r="A22548" s="374"/>
      <c r="C22548" s="374"/>
      <c r="CV22548" s="376"/>
    </row>
    <row r="22549" spans="1:100">
      <c r="A22549" s="374"/>
      <c r="C22549" s="374"/>
      <c r="CV22549" s="376"/>
    </row>
    <row r="22550" spans="1:100">
      <c r="A22550" s="374"/>
      <c r="C22550" s="374"/>
      <c r="CV22550" s="376"/>
    </row>
    <row r="22551" spans="1:100">
      <c r="A22551" s="374"/>
      <c r="C22551" s="374"/>
      <c r="CV22551" s="376"/>
    </row>
    <row r="22552" spans="1:100">
      <c r="A22552" s="374"/>
      <c r="C22552" s="374"/>
      <c r="CV22552" s="376"/>
    </row>
    <row r="22553" spans="1:100">
      <c r="A22553" s="374"/>
      <c r="C22553" s="374"/>
      <c r="CV22553" s="376"/>
    </row>
    <row r="22554" spans="1:100">
      <c r="A22554" s="374"/>
      <c r="C22554" s="374"/>
      <c r="CV22554" s="376"/>
    </row>
    <row r="22555" spans="1:100">
      <c r="A22555" s="374"/>
      <c r="C22555" s="374"/>
      <c r="CV22555" s="376"/>
    </row>
    <row r="22556" spans="1:100">
      <c r="A22556" s="374"/>
      <c r="C22556" s="374"/>
      <c r="CV22556" s="376"/>
    </row>
    <row r="22557" spans="1:100">
      <c r="A22557" s="374"/>
      <c r="C22557" s="374"/>
      <c r="CV22557" s="376"/>
    </row>
    <row r="22558" spans="1:100">
      <c r="A22558" s="374"/>
      <c r="C22558" s="374"/>
      <c r="CV22558" s="376"/>
    </row>
    <row r="22559" spans="1:100">
      <c r="A22559" s="374"/>
      <c r="C22559" s="374"/>
      <c r="CV22559" s="376"/>
    </row>
    <row r="22560" spans="1:100">
      <c r="A22560" s="374"/>
      <c r="C22560" s="374"/>
      <c r="CV22560" s="376"/>
    </row>
    <row r="22561" spans="1:100">
      <c r="A22561" s="374"/>
      <c r="C22561" s="374"/>
      <c r="CV22561" s="376"/>
    </row>
    <row r="22562" spans="1:100">
      <c r="A22562" s="374"/>
      <c r="C22562" s="374"/>
      <c r="CV22562" s="376"/>
    </row>
    <row r="22563" spans="1:100">
      <c r="A22563" s="374"/>
      <c r="C22563" s="374"/>
      <c r="CV22563" s="376"/>
    </row>
    <row r="22564" spans="1:100">
      <c r="A22564" s="374"/>
      <c r="C22564" s="374"/>
      <c r="CV22564" s="376"/>
    </row>
    <row r="22565" spans="1:100">
      <c r="A22565" s="374"/>
      <c r="C22565" s="374"/>
      <c r="CV22565" s="376"/>
    </row>
    <row r="22566" spans="1:100">
      <c r="A22566" s="374"/>
      <c r="C22566" s="374"/>
      <c r="CV22566" s="376"/>
    </row>
    <row r="22567" spans="1:100">
      <c r="A22567" s="374"/>
      <c r="C22567" s="374"/>
      <c r="CV22567" s="376"/>
    </row>
    <row r="22568" spans="1:100">
      <c r="A22568" s="374"/>
      <c r="C22568" s="374"/>
      <c r="CV22568" s="376"/>
    </row>
    <row r="22569" spans="1:100">
      <c r="A22569" s="374"/>
      <c r="C22569" s="374"/>
      <c r="CV22569" s="376"/>
    </row>
    <row r="22570" spans="1:100">
      <c r="A22570" s="374"/>
      <c r="C22570" s="374"/>
      <c r="CV22570" s="376"/>
    </row>
    <row r="22571" spans="1:100">
      <c r="A22571" s="374"/>
      <c r="C22571" s="374"/>
      <c r="CV22571" s="376"/>
    </row>
    <row r="22572" spans="1:100">
      <c r="A22572" s="374"/>
      <c r="C22572" s="374"/>
      <c r="CV22572" s="376"/>
    </row>
    <row r="22573" spans="1:100">
      <c r="A22573" s="374"/>
      <c r="C22573" s="374"/>
      <c r="CV22573" s="376"/>
    </row>
    <row r="22574" spans="1:100">
      <c r="A22574" s="374"/>
      <c r="C22574" s="374"/>
      <c r="CV22574" s="376"/>
    </row>
    <row r="22575" spans="1:100">
      <c r="A22575" s="374"/>
      <c r="C22575" s="374"/>
      <c r="CV22575" s="376"/>
    </row>
    <row r="22576" spans="1:100">
      <c r="A22576" s="374"/>
      <c r="C22576" s="374"/>
      <c r="CV22576" s="376"/>
    </row>
    <row r="22577" spans="1:100">
      <c r="A22577" s="374"/>
      <c r="C22577" s="374"/>
      <c r="CV22577" s="376"/>
    </row>
    <row r="22578" spans="1:100">
      <c r="A22578" s="374"/>
      <c r="C22578" s="374"/>
      <c r="CV22578" s="376"/>
    </row>
    <row r="22579" spans="1:100">
      <c r="A22579" s="374"/>
      <c r="C22579" s="374"/>
      <c r="CV22579" s="376"/>
    </row>
    <row r="22580" spans="1:100">
      <c r="A22580" s="374"/>
      <c r="C22580" s="374"/>
      <c r="CV22580" s="376"/>
    </row>
    <row r="22581" spans="1:100">
      <c r="A22581" s="374"/>
      <c r="C22581" s="374"/>
      <c r="CV22581" s="376"/>
    </row>
    <row r="22582" spans="1:100">
      <c r="A22582" s="374"/>
      <c r="C22582" s="374"/>
      <c r="CV22582" s="376"/>
    </row>
    <row r="22583" spans="1:100">
      <c r="A22583" s="374"/>
      <c r="C22583" s="374"/>
      <c r="CV22583" s="376"/>
    </row>
    <row r="22584" spans="1:100">
      <c r="A22584" s="374"/>
      <c r="C22584" s="374"/>
      <c r="CV22584" s="376"/>
    </row>
    <row r="22585" spans="1:100">
      <c r="A22585" s="374"/>
      <c r="C22585" s="374"/>
      <c r="CV22585" s="376"/>
    </row>
    <row r="22586" spans="1:100">
      <c r="A22586" s="374"/>
      <c r="C22586" s="374"/>
      <c r="CV22586" s="376"/>
    </row>
    <row r="22587" spans="1:100">
      <c r="A22587" s="374"/>
      <c r="C22587" s="374"/>
      <c r="CV22587" s="376"/>
    </row>
    <row r="22588" spans="1:100">
      <c r="A22588" s="374"/>
      <c r="C22588" s="374"/>
      <c r="CV22588" s="376"/>
    </row>
    <row r="22589" spans="1:100">
      <c r="A22589" s="374"/>
      <c r="C22589" s="374"/>
      <c r="CV22589" s="376"/>
    </row>
    <row r="22590" spans="1:100">
      <c r="A22590" s="374"/>
      <c r="C22590" s="374"/>
      <c r="CV22590" s="376"/>
    </row>
    <row r="22591" spans="1:100">
      <c r="A22591" s="374"/>
      <c r="C22591" s="374"/>
      <c r="CV22591" s="376"/>
    </row>
    <row r="22592" spans="1:100">
      <c r="A22592" s="374"/>
      <c r="C22592" s="374"/>
      <c r="CV22592" s="376"/>
    </row>
    <row r="22593" spans="1:100">
      <c r="A22593" s="374"/>
      <c r="C22593" s="374"/>
      <c r="CV22593" s="376"/>
    </row>
    <row r="22594" spans="1:100">
      <c r="A22594" s="374"/>
      <c r="C22594" s="374"/>
      <c r="CV22594" s="376"/>
    </row>
    <row r="22595" spans="1:100">
      <c r="A22595" s="374"/>
      <c r="C22595" s="374"/>
      <c r="CV22595" s="376"/>
    </row>
    <row r="22596" spans="1:100">
      <c r="A22596" s="374"/>
      <c r="C22596" s="374"/>
      <c r="CV22596" s="376"/>
    </row>
    <row r="22597" spans="1:100">
      <c r="A22597" s="374"/>
      <c r="C22597" s="374"/>
      <c r="CV22597" s="376"/>
    </row>
    <row r="22598" spans="1:100">
      <c r="A22598" s="374"/>
      <c r="C22598" s="374"/>
      <c r="CV22598" s="376"/>
    </row>
    <row r="22599" spans="1:100">
      <c r="A22599" s="374"/>
      <c r="C22599" s="374"/>
      <c r="CV22599" s="376"/>
    </row>
    <row r="22600" spans="1:100">
      <c r="A22600" s="374"/>
      <c r="C22600" s="374"/>
      <c r="CV22600" s="376"/>
    </row>
    <row r="22601" spans="1:100">
      <c r="A22601" s="374"/>
      <c r="C22601" s="374"/>
      <c r="CV22601" s="376"/>
    </row>
    <row r="22602" spans="1:100">
      <c r="A22602" s="374"/>
      <c r="C22602" s="374"/>
      <c r="CV22602" s="376"/>
    </row>
    <row r="22603" spans="1:100">
      <c r="A22603" s="374"/>
      <c r="C22603" s="374"/>
      <c r="CV22603" s="376"/>
    </row>
    <row r="22604" spans="1:100">
      <c r="A22604" s="374"/>
      <c r="C22604" s="374"/>
      <c r="CV22604" s="376"/>
    </row>
    <row r="22605" spans="1:100">
      <c r="A22605" s="374"/>
      <c r="C22605" s="374"/>
      <c r="CV22605" s="376"/>
    </row>
    <row r="22606" spans="1:100">
      <c r="A22606" s="374"/>
      <c r="C22606" s="374"/>
      <c r="CV22606" s="376"/>
    </row>
    <row r="22607" spans="1:100">
      <c r="A22607" s="374"/>
      <c r="C22607" s="374"/>
      <c r="CV22607" s="376"/>
    </row>
    <row r="22608" spans="1:100">
      <c r="A22608" s="374"/>
      <c r="C22608" s="374"/>
      <c r="CV22608" s="376"/>
    </row>
    <row r="22609" spans="1:100">
      <c r="A22609" s="374"/>
      <c r="C22609" s="374"/>
      <c r="CV22609" s="376"/>
    </row>
    <row r="22610" spans="1:100">
      <c r="A22610" s="374"/>
      <c r="C22610" s="374"/>
      <c r="CV22610" s="376"/>
    </row>
    <row r="22611" spans="1:100">
      <c r="A22611" s="374"/>
      <c r="C22611" s="374"/>
      <c r="CV22611" s="376"/>
    </row>
    <row r="22612" spans="1:100">
      <c r="A22612" s="374"/>
      <c r="C22612" s="374"/>
      <c r="CV22612" s="376"/>
    </row>
    <row r="22613" spans="1:100">
      <c r="A22613" s="374"/>
      <c r="C22613" s="374"/>
      <c r="CV22613" s="376"/>
    </row>
    <row r="22614" spans="1:100">
      <c r="A22614" s="374"/>
      <c r="C22614" s="374"/>
      <c r="CV22614" s="376"/>
    </row>
    <row r="22615" spans="1:100">
      <c r="A22615" s="374"/>
      <c r="C22615" s="374"/>
      <c r="CV22615" s="376"/>
    </row>
    <row r="22616" spans="1:100">
      <c r="A22616" s="374"/>
      <c r="C22616" s="374"/>
      <c r="CV22616" s="376"/>
    </row>
    <row r="22617" spans="1:100">
      <c r="A22617" s="374"/>
      <c r="C22617" s="374"/>
      <c r="CV22617" s="376"/>
    </row>
    <row r="22618" spans="1:100">
      <c r="A22618" s="374"/>
      <c r="C22618" s="374"/>
      <c r="CV22618" s="376"/>
    </row>
    <row r="22619" spans="1:100">
      <c r="A22619" s="374"/>
      <c r="C22619" s="374"/>
      <c r="CV22619" s="376"/>
    </row>
    <row r="22620" spans="1:100">
      <c r="A22620" s="374"/>
      <c r="C22620" s="374"/>
      <c r="CV22620" s="376"/>
    </row>
    <row r="22621" spans="1:100">
      <c r="A22621" s="374"/>
      <c r="C22621" s="374"/>
      <c r="CV22621" s="376"/>
    </row>
    <row r="22622" spans="1:100">
      <c r="A22622" s="374"/>
      <c r="C22622" s="374"/>
      <c r="CV22622" s="376"/>
    </row>
    <row r="22623" spans="1:100">
      <c r="A22623" s="374"/>
      <c r="C22623" s="374"/>
      <c r="CV22623" s="376"/>
    </row>
    <row r="22624" spans="1:100">
      <c r="A22624" s="374"/>
      <c r="C22624" s="374"/>
      <c r="CV22624" s="376"/>
    </row>
    <row r="22625" spans="1:100">
      <c r="A22625" s="374"/>
      <c r="C22625" s="374"/>
      <c r="CV22625" s="376"/>
    </row>
    <row r="22626" spans="1:100">
      <c r="A22626" s="374"/>
      <c r="C22626" s="374"/>
      <c r="CV22626" s="376"/>
    </row>
    <row r="22627" spans="1:100">
      <c r="A22627" s="374"/>
      <c r="C22627" s="374"/>
      <c r="CV22627" s="376"/>
    </row>
    <row r="22628" spans="1:100">
      <c r="A22628" s="374"/>
      <c r="C22628" s="374"/>
      <c r="CV22628" s="376"/>
    </row>
    <row r="22629" spans="1:100">
      <c r="A22629" s="374"/>
      <c r="C22629" s="374"/>
      <c r="CV22629" s="376"/>
    </row>
    <row r="22630" spans="1:100">
      <c r="A22630" s="374"/>
      <c r="C22630" s="374"/>
      <c r="CV22630" s="376"/>
    </row>
    <row r="22631" spans="1:100">
      <c r="A22631" s="374"/>
      <c r="C22631" s="374"/>
      <c r="CV22631" s="376"/>
    </row>
    <row r="22632" spans="1:100">
      <c r="A22632" s="374"/>
      <c r="C22632" s="374"/>
      <c r="CV22632" s="376"/>
    </row>
    <row r="22633" spans="1:100">
      <c r="A22633" s="374"/>
      <c r="C22633" s="374"/>
      <c r="CV22633" s="376"/>
    </row>
    <row r="22634" spans="1:100">
      <c r="A22634" s="374"/>
      <c r="C22634" s="374"/>
      <c r="CV22634" s="376"/>
    </row>
    <row r="22635" spans="1:100">
      <c r="A22635" s="374"/>
      <c r="C22635" s="374"/>
      <c r="CV22635" s="376"/>
    </row>
    <row r="22636" spans="1:100">
      <c r="A22636" s="374"/>
      <c r="C22636" s="374"/>
      <c r="CV22636" s="376"/>
    </row>
    <row r="22637" spans="1:100">
      <c r="A22637" s="374"/>
      <c r="C22637" s="374"/>
      <c r="CV22637" s="376"/>
    </row>
    <row r="22638" spans="1:100">
      <c r="A22638" s="374"/>
      <c r="C22638" s="374"/>
      <c r="CV22638" s="376"/>
    </row>
    <row r="22639" spans="1:100">
      <c r="A22639" s="374"/>
      <c r="C22639" s="374"/>
      <c r="CV22639" s="376"/>
    </row>
    <row r="22640" spans="1:100">
      <c r="A22640" s="374"/>
      <c r="C22640" s="374"/>
      <c r="CV22640" s="376"/>
    </row>
    <row r="22641" spans="1:100">
      <c r="A22641" s="374"/>
      <c r="C22641" s="374"/>
      <c r="CV22641" s="376"/>
    </row>
    <row r="22642" spans="1:100">
      <c r="A22642" s="374"/>
      <c r="C22642" s="374"/>
      <c r="CV22642" s="376"/>
    </row>
    <row r="22643" spans="1:100">
      <c r="A22643" s="374"/>
      <c r="C22643" s="374"/>
      <c r="CV22643" s="376"/>
    </row>
    <row r="22644" spans="1:100">
      <c r="A22644" s="374"/>
      <c r="C22644" s="374"/>
      <c r="CV22644" s="376"/>
    </row>
    <row r="22645" spans="1:100">
      <c r="A22645" s="374"/>
      <c r="C22645" s="374"/>
      <c r="CV22645" s="376"/>
    </row>
    <row r="22646" spans="1:100">
      <c r="A22646" s="374"/>
      <c r="C22646" s="374"/>
      <c r="CV22646" s="376"/>
    </row>
    <row r="22647" spans="1:100">
      <c r="A22647" s="374"/>
      <c r="C22647" s="374"/>
      <c r="CV22647" s="376"/>
    </row>
    <row r="22648" spans="1:100">
      <c r="A22648" s="374"/>
      <c r="C22648" s="374"/>
      <c r="CV22648" s="376"/>
    </row>
    <row r="22649" spans="1:100">
      <c r="A22649" s="374"/>
      <c r="C22649" s="374"/>
      <c r="CV22649" s="376"/>
    </row>
    <row r="22650" spans="1:100">
      <c r="A22650" s="374"/>
      <c r="C22650" s="374"/>
      <c r="CV22650" s="376"/>
    </row>
    <row r="22651" spans="1:100">
      <c r="A22651" s="374"/>
      <c r="C22651" s="374"/>
      <c r="CV22651" s="376"/>
    </row>
    <row r="22652" spans="1:100">
      <c r="A22652" s="374"/>
      <c r="C22652" s="374"/>
      <c r="CV22652" s="376"/>
    </row>
    <row r="22653" spans="1:100">
      <c r="A22653" s="374"/>
      <c r="C22653" s="374"/>
      <c r="CV22653" s="376"/>
    </row>
    <row r="22654" spans="1:100">
      <c r="A22654" s="374"/>
      <c r="C22654" s="374"/>
      <c r="CV22654" s="376"/>
    </row>
    <row r="22655" spans="1:100">
      <c r="A22655" s="374"/>
      <c r="C22655" s="374"/>
      <c r="CV22655" s="376"/>
    </row>
    <row r="22656" spans="1:100">
      <c r="A22656" s="374"/>
      <c r="C22656" s="374"/>
      <c r="CV22656" s="376"/>
    </row>
    <row r="22657" spans="1:100">
      <c r="A22657" s="374"/>
      <c r="C22657" s="374"/>
      <c r="CV22657" s="376"/>
    </row>
    <row r="22658" spans="1:100">
      <c r="A22658" s="374"/>
      <c r="C22658" s="374"/>
      <c r="CV22658" s="376"/>
    </row>
    <row r="22659" spans="1:100">
      <c r="A22659" s="374"/>
      <c r="C22659" s="374"/>
      <c r="CV22659" s="376"/>
    </row>
    <row r="22660" spans="1:100">
      <c r="A22660" s="374"/>
      <c r="C22660" s="374"/>
      <c r="CV22660" s="376"/>
    </row>
    <row r="22661" spans="1:100">
      <c r="A22661" s="374"/>
      <c r="C22661" s="374"/>
      <c r="CV22661" s="376"/>
    </row>
    <row r="22662" spans="1:100">
      <c r="A22662" s="374"/>
      <c r="C22662" s="374"/>
      <c r="CV22662" s="376"/>
    </row>
    <row r="22663" spans="1:100">
      <c r="A22663" s="374"/>
      <c r="C22663" s="374"/>
      <c r="CV22663" s="376"/>
    </row>
    <row r="22664" spans="1:100">
      <c r="A22664" s="374"/>
      <c r="C22664" s="374"/>
      <c r="CV22664" s="376"/>
    </row>
    <row r="22665" spans="1:100">
      <c r="A22665" s="374"/>
      <c r="C22665" s="374"/>
      <c r="CV22665" s="376"/>
    </row>
    <row r="22666" spans="1:100">
      <c r="A22666" s="374"/>
      <c r="C22666" s="374"/>
      <c r="CV22666" s="376"/>
    </row>
    <row r="22667" spans="1:100">
      <c r="A22667" s="374"/>
      <c r="C22667" s="374"/>
      <c r="CV22667" s="376"/>
    </row>
    <row r="22668" spans="1:100">
      <c r="A22668" s="374"/>
      <c r="C22668" s="374"/>
      <c r="CV22668" s="376"/>
    </row>
    <row r="22669" spans="1:100">
      <c r="A22669" s="374"/>
      <c r="C22669" s="374"/>
      <c r="CV22669" s="376"/>
    </row>
    <row r="22670" spans="1:100">
      <c r="A22670" s="374"/>
      <c r="C22670" s="374"/>
      <c r="CV22670" s="376"/>
    </row>
    <row r="22671" spans="1:100">
      <c r="A22671" s="374"/>
      <c r="C22671" s="374"/>
      <c r="CV22671" s="376"/>
    </row>
    <row r="22672" spans="1:100">
      <c r="A22672" s="374"/>
      <c r="C22672" s="374"/>
      <c r="CV22672" s="376"/>
    </row>
    <row r="22673" spans="1:100">
      <c r="A22673" s="374"/>
      <c r="C22673" s="374"/>
      <c r="CV22673" s="376"/>
    </row>
    <row r="22674" spans="1:100">
      <c r="A22674" s="374"/>
      <c r="C22674" s="374"/>
      <c r="CV22674" s="376"/>
    </row>
    <row r="22675" spans="1:100">
      <c r="A22675" s="374"/>
      <c r="C22675" s="374"/>
      <c r="CV22675" s="376"/>
    </row>
    <row r="22676" spans="1:100">
      <c r="A22676" s="374"/>
      <c r="C22676" s="374"/>
      <c r="CV22676" s="376"/>
    </row>
    <row r="22677" spans="1:100">
      <c r="A22677" s="374"/>
      <c r="C22677" s="374"/>
      <c r="CV22677" s="376"/>
    </row>
    <row r="22678" spans="1:100">
      <c r="A22678" s="374"/>
      <c r="C22678" s="374"/>
      <c r="CV22678" s="376"/>
    </row>
    <row r="22679" spans="1:100">
      <c r="A22679" s="374"/>
      <c r="C22679" s="374"/>
      <c r="CV22679" s="376"/>
    </row>
    <row r="22680" spans="1:100">
      <c r="A22680" s="374"/>
      <c r="C22680" s="374"/>
      <c r="CV22680" s="376"/>
    </row>
    <row r="22681" spans="1:100">
      <c r="A22681" s="374"/>
      <c r="C22681" s="374"/>
      <c r="CV22681" s="376"/>
    </row>
    <row r="22682" spans="1:100">
      <c r="A22682" s="374"/>
      <c r="C22682" s="374"/>
      <c r="CV22682" s="376"/>
    </row>
    <row r="22683" spans="1:100">
      <c r="A22683" s="374"/>
      <c r="C22683" s="374"/>
      <c r="CV22683" s="376"/>
    </row>
    <row r="22684" spans="1:100">
      <c r="A22684" s="374"/>
      <c r="C22684" s="374"/>
      <c r="CV22684" s="376"/>
    </row>
    <row r="22685" spans="1:100">
      <c r="A22685" s="374"/>
      <c r="C22685" s="374"/>
      <c r="CV22685" s="376"/>
    </row>
    <row r="22686" spans="1:100">
      <c r="A22686" s="374"/>
      <c r="C22686" s="374"/>
      <c r="CV22686" s="376"/>
    </row>
    <row r="22687" spans="1:100">
      <c r="A22687" s="374"/>
      <c r="C22687" s="374"/>
      <c r="CV22687" s="376"/>
    </row>
    <row r="22688" spans="1:100">
      <c r="A22688" s="374"/>
      <c r="C22688" s="374"/>
      <c r="CV22688" s="376"/>
    </row>
    <row r="22689" spans="1:100">
      <c r="A22689" s="374"/>
      <c r="C22689" s="374"/>
      <c r="CV22689" s="376"/>
    </row>
    <row r="22690" spans="1:100">
      <c r="A22690" s="374"/>
      <c r="C22690" s="374"/>
      <c r="CV22690" s="376"/>
    </row>
    <row r="22691" spans="1:100">
      <c r="A22691" s="374"/>
      <c r="C22691" s="374"/>
      <c r="CV22691" s="376"/>
    </row>
    <row r="22692" spans="1:100">
      <c r="A22692" s="374"/>
      <c r="C22692" s="374"/>
      <c r="CV22692" s="376"/>
    </row>
    <row r="22693" spans="1:100">
      <c r="A22693" s="374"/>
      <c r="C22693" s="374"/>
      <c r="CV22693" s="376"/>
    </row>
    <row r="22694" spans="1:100">
      <c r="A22694" s="374"/>
      <c r="C22694" s="374"/>
      <c r="CV22694" s="376"/>
    </row>
    <row r="22695" spans="1:100">
      <c r="A22695" s="374"/>
      <c r="C22695" s="374"/>
      <c r="CV22695" s="376"/>
    </row>
    <row r="22696" spans="1:100">
      <c r="A22696" s="374"/>
      <c r="C22696" s="374"/>
      <c r="CV22696" s="376"/>
    </row>
    <row r="22697" spans="1:100">
      <c r="A22697" s="374"/>
      <c r="C22697" s="374"/>
      <c r="CV22697" s="376"/>
    </row>
    <row r="22698" spans="1:100">
      <c r="A22698" s="374"/>
      <c r="C22698" s="374"/>
      <c r="CV22698" s="376"/>
    </row>
    <row r="22699" spans="1:100">
      <c r="A22699" s="374"/>
      <c r="C22699" s="374"/>
      <c r="CV22699" s="376"/>
    </row>
    <row r="22700" spans="1:100">
      <c r="A22700" s="374"/>
      <c r="C22700" s="374"/>
      <c r="CV22700" s="376"/>
    </row>
    <row r="22701" spans="1:100">
      <c r="A22701" s="374"/>
      <c r="C22701" s="374"/>
      <c r="CV22701" s="376"/>
    </row>
    <row r="22702" spans="1:100">
      <c r="A22702" s="374"/>
      <c r="C22702" s="374"/>
      <c r="CV22702" s="376"/>
    </row>
    <row r="22703" spans="1:100">
      <c r="A22703" s="374"/>
      <c r="C22703" s="374"/>
      <c r="CV22703" s="376"/>
    </row>
    <row r="22704" spans="1:100">
      <c r="A22704" s="374"/>
      <c r="C22704" s="374"/>
      <c r="CV22704" s="376"/>
    </row>
    <row r="22705" spans="1:100">
      <c r="A22705" s="374"/>
      <c r="C22705" s="374"/>
      <c r="CV22705" s="376"/>
    </row>
    <row r="22706" spans="1:100">
      <c r="A22706" s="374"/>
      <c r="C22706" s="374"/>
      <c r="CV22706" s="376"/>
    </row>
    <row r="22707" spans="1:100">
      <c r="A22707" s="374"/>
      <c r="C22707" s="374"/>
      <c r="CV22707" s="376"/>
    </row>
    <row r="22708" spans="1:100">
      <c r="A22708" s="374"/>
      <c r="C22708" s="374"/>
      <c r="CV22708" s="376"/>
    </row>
    <row r="22709" spans="1:100">
      <c r="A22709" s="374"/>
      <c r="C22709" s="374"/>
      <c r="CV22709" s="376"/>
    </row>
    <row r="22710" spans="1:100">
      <c r="A22710" s="374"/>
      <c r="C22710" s="374"/>
      <c r="CV22710" s="376"/>
    </row>
    <row r="22711" spans="1:100">
      <c r="A22711" s="374"/>
      <c r="C22711" s="374"/>
      <c r="CV22711" s="376"/>
    </row>
    <row r="22712" spans="1:100">
      <c r="A22712" s="374"/>
      <c r="C22712" s="374"/>
      <c r="CV22712" s="376"/>
    </row>
    <row r="22713" spans="1:100">
      <c r="A22713" s="374"/>
      <c r="C22713" s="374"/>
      <c r="CV22713" s="376"/>
    </row>
    <row r="22714" spans="1:100">
      <c r="A22714" s="374"/>
      <c r="C22714" s="374"/>
      <c r="CV22714" s="376"/>
    </row>
    <row r="22715" spans="1:100">
      <c r="A22715" s="374"/>
      <c r="C22715" s="374"/>
      <c r="CV22715" s="376"/>
    </row>
    <row r="22716" spans="1:100">
      <c r="A22716" s="374"/>
      <c r="C22716" s="374"/>
      <c r="CV22716" s="376"/>
    </row>
    <row r="22717" spans="1:100">
      <c r="A22717" s="374"/>
      <c r="C22717" s="374"/>
      <c r="CV22717" s="376"/>
    </row>
    <row r="22718" spans="1:100">
      <c r="A22718" s="374"/>
      <c r="C22718" s="374"/>
      <c r="CV22718" s="376"/>
    </row>
    <row r="22719" spans="1:100">
      <c r="A22719" s="374"/>
      <c r="C22719" s="374"/>
      <c r="CV22719" s="376"/>
    </row>
    <row r="22720" spans="1:100">
      <c r="A22720" s="374"/>
      <c r="C22720" s="374"/>
      <c r="CV22720" s="376"/>
    </row>
    <row r="22721" spans="1:100">
      <c r="A22721" s="374"/>
      <c r="C22721" s="374"/>
      <c r="CV22721" s="376"/>
    </row>
    <row r="22722" spans="1:100">
      <c r="A22722" s="374"/>
      <c r="C22722" s="374"/>
      <c r="CV22722" s="376"/>
    </row>
    <row r="22723" spans="1:100">
      <c r="A22723" s="374"/>
      <c r="C22723" s="374"/>
      <c r="CV22723" s="376"/>
    </row>
    <row r="22724" spans="1:100">
      <c r="A22724" s="374"/>
      <c r="C22724" s="374"/>
      <c r="CV22724" s="376"/>
    </row>
    <row r="22725" spans="1:100">
      <c r="A22725" s="374"/>
      <c r="C22725" s="374"/>
      <c r="CV22725" s="376"/>
    </row>
    <row r="22726" spans="1:100">
      <c r="A22726" s="374"/>
      <c r="C22726" s="374"/>
      <c r="CV22726" s="376"/>
    </row>
    <row r="22727" spans="1:100">
      <c r="A22727" s="374"/>
      <c r="C22727" s="374"/>
      <c r="CV22727" s="376"/>
    </row>
    <row r="22728" spans="1:100">
      <c r="A22728" s="374"/>
      <c r="C22728" s="374"/>
      <c r="CV22728" s="376"/>
    </row>
    <row r="22729" spans="1:100">
      <c r="A22729" s="374"/>
      <c r="C22729" s="374"/>
      <c r="CV22729" s="376"/>
    </row>
    <row r="22730" spans="1:100">
      <c r="A22730" s="374"/>
      <c r="C22730" s="374"/>
      <c r="CV22730" s="376"/>
    </row>
    <row r="22731" spans="1:100">
      <c r="A22731" s="374"/>
      <c r="C22731" s="374"/>
      <c r="CV22731" s="376"/>
    </row>
    <row r="22732" spans="1:100">
      <c r="A22732" s="374"/>
      <c r="C22732" s="374"/>
      <c r="CV22732" s="376"/>
    </row>
    <row r="22733" spans="1:100">
      <c r="A22733" s="374"/>
      <c r="C22733" s="374"/>
      <c r="CV22733" s="376"/>
    </row>
    <row r="22734" spans="1:100">
      <c r="A22734" s="374"/>
      <c r="C22734" s="374"/>
      <c r="CV22734" s="376"/>
    </row>
    <row r="22735" spans="1:100">
      <c r="A22735" s="374"/>
      <c r="C22735" s="374"/>
      <c r="CV22735" s="376"/>
    </row>
    <row r="22736" spans="1:100">
      <c r="A22736" s="374"/>
      <c r="C22736" s="374"/>
      <c r="CV22736" s="376"/>
    </row>
    <row r="22737" spans="1:100">
      <c r="A22737" s="374"/>
      <c r="C22737" s="374"/>
      <c r="CV22737" s="376"/>
    </row>
    <row r="22738" spans="1:100">
      <c r="A22738" s="374"/>
      <c r="C22738" s="374"/>
      <c r="CV22738" s="376"/>
    </row>
    <row r="22739" spans="1:100">
      <c r="A22739" s="374"/>
      <c r="C22739" s="374"/>
      <c r="CV22739" s="376"/>
    </row>
    <row r="22740" spans="1:100">
      <c r="A22740" s="374"/>
      <c r="C22740" s="374"/>
      <c r="CV22740" s="376"/>
    </row>
    <row r="22741" spans="1:100">
      <c r="A22741" s="374"/>
      <c r="C22741" s="374"/>
      <c r="CV22741" s="376"/>
    </row>
    <row r="22742" spans="1:100">
      <c r="A22742" s="374"/>
      <c r="C22742" s="374"/>
      <c r="CV22742" s="376"/>
    </row>
    <row r="22743" spans="1:100">
      <c r="A22743" s="374"/>
      <c r="C22743" s="374"/>
      <c r="CV22743" s="376"/>
    </row>
    <row r="22744" spans="1:100">
      <c r="A22744" s="374"/>
      <c r="C22744" s="374"/>
      <c r="CV22744" s="376"/>
    </row>
    <row r="22745" spans="1:100">
      <c r="A22745" s="374"/>
      <c r="C22745" s="374"/>
      <c r="CV22745" s="376"/>
    </row>
    <row r="22746" spans="1:100">
      <c r="A22746" s="374"/>
      <c r="C22746" s="374"/>
      <c r="CV22746" s="376"/>
    </row>
    <row r="22747" spans="1:100">
      <c r="A22747" s="374"/>
      <c r="C22747" s="374"/>
      <c r="CV22747" s="376"/>
    </row>
    <row r="22748" spans="1:100">
      <c r="A22748" s="374"/>
      <c r="C22748" s="374"/>
      <c r="CV22748" s="376"/>
    </row>
    <row r="22749" spans="1:100">
      <c r="A22749" s="374"/>
      <c r="C22749" s="374"/>
      <c r="CV22749" s="376"/>
    </row>
    <row r="22750" spans="1:100">
      <c r="A22750" s="374"/>
      <c r="C22750" s="374"/>
      <c r="CV22750" s="376"/>
    </row>
    <row r="22751" spans="1:100">
      <c r="A22751" s="374"/>
      <c r="C22751" s="374"/>
      <c r="CV22751" s="376"/>
    </row>
    <row r="22752" spans="1:100">
      <c r="A22752" s="374"/>
      <c r="C22752" s="374"/>
      <c r="CV22752" s="376"/>
    </row>
    <row r="22753" spans="1:100">
      <c r="A22753" s="374"/>
      <c r="C22753" s="374"/>
      <c r="CV22753" s="376"/>
    </row>
    <row r="22754" spans="1:100">
      <c r="A22754" s="374"/>
      <c r="C22754" s="374"/>
      <c r="CV22754" s="376"/>
    </row>
    <row r="22755" spans="1:100">
      <c r="A22755" s="374"/>
      <c r="C22755" s="374"/>
      <c r="CV22755" s="376"/>
    </row>
    <row r="22756" spans="1:100">
      <c r="A22756" s="374"/>
      <c r="C22756" s="374"/>
      <c r="CV22756" s="376"/>
    </row>
    <row r="22757" spans="1:100">
      <c r="A22757" s="374"/>
      <c r="C22757" s="374"/>
      <c r="CV22757" s="376"/>
    </row>
    <row r="22758" spans="1:100">
      <c r="A22758" s="374"/>
      <c r="C22758" s="374"/>
      <c r="CV22758" s="376"/>
    </row>
    <row r="22759" spans="1:100">
      <c r="A22759" s="374"/>
      <c r="C22759" s="374"/>
      <c r="CV22759" s="376"/>
    </row>
    <row r="22760" spans="1:100">
      <c r="A22760" s="374"/>
      <c r="C22760" s="374"/>
      <c r="CV22760" s="376"/>
    </row>
    <row r="22761" spans="1:100">
      <c r="A22761" s="374"/>
      <c r="C22761" s="374"/>
      <c r="CV22761" s="376"/>
    </row>
    <row r="22762" spans="1:100">
      <c r="A22762" s="374"/>
      <c r="C22762" s="374"/>
      <c r="CV22762" s="376"/>
    </row>
    <row r="22763" spans="1:100">
      <c r="A22763" s="374"/>
      <c r="C22763" s="374"/>
      <c r="CV22763" s="376"/>
    </row>
    <row r="22764" spans="1:100">
      <c r="A22764" s="374"/>
      <c r="C22764" s="374"/>
      <c r="CV22764" s="376"/>
    </row>
    <row r="22765" spans="1:100">
      <c r="A22765" s="374"/>
      <c r="C22765" s="374"/>
      <c r="CV22765" s="376"/>
    </row>
    <row r="22766" spans="1:100">
      <c r="A22766" s="374"/>
      <c r="C22766" s="374"/>
      <c r="CV22766" s="376"/>
    </row>
    <row r="22767" spans="1:100">
      <c r="A22767" s="374"/>
      <c r="C22767" s="374"/>
      <c r="CV22767" s="376"/>
    </row>
    <row r="22768" spans="1:100">
      <c r="A22768" s="374"/>
      <c r="C22768" s="374"/>
      <c r="CV22768" s="376"/>
    </row>
    <row r="22769" spans="1:100">
      <c r="A22769" s="374"/>
      <c r="C22769" s="374"/>
      <c r="CV22769" s="376"/>
    </row>
    <row r="22770" spans="1:100">
      <c r="A22770" s="374"/>
      <c r="C22770" s="374"/>
      <c r="CV22770" s="376"/>
    </row>
    <row r="22771" spans="1:100">
      <c r="A22771" s="374"/>
      <c r="C22771" s="374"/>
      <c r="CV22771" s="376"/>
    </row>
    <row r="22772" spans="1:100">
      <c r="A22772" s="374"/>
      <c r="C22772" s="374"/>
      <c r="CV22772" s="376"/>
    </row>
    <row r="22773" spans="1:100">
      <c r="A22773" s="374"/>
      <c r="C22773" s="374"/>
      <c r="CV22773" s="376"/>
    </row>
    <row r="22774" spans="1:100">
      <c r="A22774" s="374"/>
      <c r="C22774" s="374"/>
      <c r="CV22774" s="376"/>
    </row>
    <row r="22775" spans="1:100">
      <c r="A22775" s="374"/>
      <c r="C22775" s="374"/>
      <c r="CV22775" s="376"/>
    </row>
    <row r="22776" spans="1:100">
      <c r="A22776" s="374"/>
      <c r="C22776" s="374"/>
      <c r="CV22776" s="376"/>
    </row>
    <row r="22777" spans="1:100">
      <c r="A22777" s="374"/>
      <c r="C22777" s="374"/>
      <c r="CV22777" s="376"/>
    </row>
    <row r="22778" spans="1:100">
      <c r="A22778" s="374"/>
      <c r="C22778" s="374"/>
      <c r="CV22778" s="376"/>
    </row>
    <row r="22779" spans="1:100">
      <c r="A22779" s="374"/>
      <c r="C22779" s="374"/>
      <c r="CV22779" s="376"/>
    </row>
    <row r="22780" spans="1:100">
      <c r="A22780" s="374"/>
      <c r="C22780" s="374"/>
      <c r="CV22780" s="376"/>
    </row>
    <row r="22781" spans="1:100">
      <c r="A22781" s="374"/>
      <c r="C22781" s="374"/>
      <c r="CV22781" s="376"/>
    </row>
    <row r="22782" spans="1:100">
      <c r="A22782" s="374"/>
      <c r="C22782" s="374"/>
      <c r="CV22782" s="376"/>
    </row>
    <row r="22783" spans="1:100">
      <c r="A22783" s="374"/>
      <c r="C22783" s="374"/>
      <c r="CV22783" s="376"/>
    </row>
    <row r="22784" spans="1:100">
      <c r="A22784" s="374"/>
      <c r="C22784" s="374"/>
      <c r="CV22784" s="376"/>
    </row>
    <row r="22785" spans="1:100">
      <c r="A22785" s="374"/>
      <c r="C22785" s="374"/>
      <c r="CV22785" s="376"/>
    </row>
    <row r="22786" spans="1:100">
      <c r="A22786" s="374"/>
      <c r="C22786" s="374"/>
      <c r="CV22786" s="376"/>
    </row>
    <row r="22787" spans="1:100">
      <c r="A22787" s="374"/>
      <c r="C22787" s="374"/>
      <c r="CV22787" s="376"/>
    </row>
    <row r="22788" spans="1:100">
      <c r="A22788" s="374"/>
      <c r="C22788" s="374"/>
      <c r="CV22788" s="376"/>
    </row>
    <row r="22789" spans="1:100">
      <c r="A22789" s="374"/>
      <c r="C22789" s="374"/>
      <c r="CV22789" s="376"/>
    </row>
    <row r="22790" spans="1:100">
      <c r="A22790" s="374"/>
      <c r="C22790" s="374"/>
      <c r="CV22790" s="376"/>
    </row>
    <row r="22791" spans="1:100">
      <c r="A22791" s="374"/>
      <c r="C22791" s="374"/>
      <c r="CV22791" s="376"/>
    </row>
    <row r="22792" spans="1:100">
      <c r="A22792" s="374"/>
      <c r="C22792" s="374"/>
      <c r="CV22792" s="376"/>
    </row>
    <row r="22793" spans="1:100">
      <c r="A22793" s="374"/>
      <c r="C22793" s="374"/>
      <c r="CV22793" s="376"/>
    </row>
    <row r="22794" spans="1:100">
      <c r="A22794" s="374"/>
      <c r="C22794" s="374"/>
      <c r="CV22794" s="376"/>
    </row>
    <row r="22795" spans="1:100">
      <c r="A22795" s="374"/>
      <c r="C22795" s="374"/>
      <c r="CV22795" s="376"/>
    </row>
    <row r="22796" spans="1:100">
      <c r="A22796" s="374"/>
      <c r="C22796" s="374"/>
      <c r="CV22796" s="376"/>
    </row>
    <row r="22797" spans="1:100">
      <c r="A22797" s="374"/>
      <c r="C22797" s="374"/>
      <c r="CV22797" s="376"/>
    </row>
    <row r="22798" spans="1:100">
      <c r="A22798" s="374"/>
      <c r="C22798" s="374"/>
      <c r="CV22798" s="376"/>
    </row>
    <row r="22799" spans="1:100">
      <c r="A22799" s="374"/>
      <c r="C22799" s="374"/>
      <c r="CV22799" s="376"/>
    </row>
    <row r="22800" spans="1:100">
      <c r="A22800" s="374"/>
      <c r="C22800" s="374"/>
      <c r="CV22800" s="376"/>
    </row>
    <row r="22801" spans="1:100">
      <c r="A22801" s="374"/>
      <c r="C22801" s="374"/>
      <c r="CV22801" s="376"/>
    </row>
    <row r="22802" spans="1:100">
      <c r="A22802" s="374"/>
      <c r="C22802" s="374"/>
      <c r="CV22802" s="376"/>
    </row>
    <row r="22803" spans="1:100">
      <c r="A22803" s="374"/>
      <c r="C22803" s="374"/>
      <c r="CV22803" s="376"/>
    </row>
    <row r="22804" spans="1:100">
      <c r="A22804" s="374"/>
      <c r="C22804" s="374"/>
      <c r="CV22804" s="376"/>
    </row>
    <row r="22805" spans="1:100">
      <c r="A22805" s="374"/>
      <c r="C22805" s="374"/>
      <c r="CV22805" s="376"/>
    </row>
    <row r="22806" spans="1:100">
      <c r="A22806" s="374"/>
      <c r="C22806" s="374"/>
      <c r="CV22806" s="376"/>
    </row>
    <row r="22807" spans="1:100">
      <c r="A22807" s="374"/>
      <c r="C22807" s="374"/>
      <c r="CV22807" s="376"/>
    </row>
    <row r="22808" spans="1:100">
      <c r="A22808" s="374"/>
      <c r="C22808" s="374"/>
      <c r="CV22808" s="376"/>
    </row>
    <row r="22809" spans="1:100">
      <c r="A22809" s="374"/>
      <c r="C22809" s="374"/>
      <c r="CV22809" s="376"/>
    </row>
    <row r="22810" spans="1:100">
      <c r="A22810" s="374"/>
      <c r="C22810" s="374"/>
      <c r="CV22810" s="376"/>
    </row>
    <row r="22811" spans="1:100">
      <c r="A22811" s="374"/>
      <c r="C22811" s="374"/>
      <c r="CV22811" s="376"/>
    </row>
    <row r="22812" spans="1:100">
      <c r="A22812" s="374"/>
      <c r="C22812" s="374"/>
      <c r="CV22812" s="376"/>
    </row>
    <row r="22813" spans="1:100">
      <c r="A22813" s="374"/>
      <c r="C22813" s="374"/>
      <c r="CV22813" s="376"/>
    </row>
    <row r="22814" spans="1:100">
      <c r="A22814" s="374"/>
      <c r="C22814" s="374"/>
      <c r="CV22814" s="376"/>
    </row>
    <row r="22815" spans="1:100">
      <c r="A22815" s="374"/>
      <c r="C22815" s="374"/>
      <c r="CV22815" s="376"/>
    </row>
    <row r="22816" spans="1:100">
      <c r="A22816" s="374"/>
      <c r="C22816" s="374"/>
      <c r="CV22816" s="376"/>
    </row>
    <row r="22817" spans="1:100">
      <c r="A22817" s="374"/>
      <c r="C22817" s="374"/>
      <c r="CV22817" s="376"/>
    </row>
    <row r="22818" spans="1:100">
      <c r="A22818" s="374"/>
      <c r="C22818" s="374"/>
      <c r="CV22818" s="376"/>
    </row>
    <row r="22819" spans="1:100">
      <c r="A22819" s="374"/>
      <c r="C22819" s="374"/>
      <c r="CV22819" s="376"/>
    </row>
    <row r="22820" spans="1:100">
      <c r="A22820" s="374"/>
      <c r="C22820" s="374"/>
      <c r="CV22820" s="376"/>
    </row>
    <row r="22821" spans="1:100">
      <c r="A22821" s="374"/>
      <c r="C22821" s="374"/>
      <c r="CV22821" s="376"/>
    </row>
    <row r="22822" spans="1:100">
      <c r="A22822" s="374"/>
      <c r="C22822" s="374"/>
      <c r="CV22822" s="376"/>
    </row>
    <row r="22823" spans="1:100">
      <c r="A22823" s="374"/>
      <c r="C22823" s="374"/>
      <c r="CV22823" s="376"/>
    </row>
    <row r="22824" spans="1:100">
      <c r="A22824" s="374"/>
      <c r="C22824" s="374"/>
      <c r="CV22824" s="376"/>
    </row>
    <row r="22825" spans="1:100">
      <c r="A22825" s="374"/>
      <c r="C22825" s="374"/>
      <c r="CV22825" s="376"/>
    </row>
    <row r="22826" spans="1:100">
      <c r="A22826" s="374"/>
      <c r="C22826" s="374"/>
      <c r="CV22826" s="376"/>
    </row>
    <row r="22827" spans="1:100">
      <c r="A22827" s="374"/>
      <c r="C22827" s="374"/>
      <c r="CV22827" s="376"/>
    </row>
    <row r="22828" spans="1:100">
      <c r="A22828" s="374"/>
      <c r="C22828" s="374"/>
      <c r="CV22828" s="376"/>
    </row>
    <row r="22829" spans="1:100">
      <c r="A22829" s="374"/>
      <c r="C22829" s="374"/>
      <c r="CV22829" s="376"/>
    </row>
    <row r="22830" spans="1:100">
      <c r="A22830" s="374"/>
      <c r="C22830" s="374"/>
      <c r="CV22830" s="376"/>
    </row>
    <row r="22831" spans="1:100">
      <c r="A22831" s="374"/>
      <c r="C22831" s="374"/>
      <c r="CV22831" s="376"/>
    </row>
    <row r="22832" spans="1:100">
      <c r="A22832" s="374"/>
      <c r="C22832" s="374"/>
      <c r="CV22832" s="376"/>
    </row>
    <row r="22833" spans="1:100">
      <c r="A22833" s="374"/>
      <c r="C22833" s="374"/>
      <c r="CV22833" s="376"/>
    </row>
    <row r="22834" spans="1:100">
      <c r="A22834" s="374"/>
      <c r="C22834" s="374"/>
      <c r="CV22834" s="376"/>
    </row>
    <row r="22835" spans="1:100">
      <c r="A22835" s="374"/>
      <c r="C22835" s="374"/>
      <c r="CV22835" s="376"/>
    </row>
    <row r="22836" spans="1:100">
      <c r="A22836" s="374"/>
      <c r="C22836" s="374"/>
      <c r="CV22836" s="376"/>
    </row>
    <row r="22837" spans="1:100">
      <c r="A22837" s="374"/>
      <c r="C22837" s="374"/>
      <c r="CV22837" s="376"/>
    </row>
    <row r="22838" spans="1:100">
      <c r="A22838" s="374"/>
      <c r="C22838" s="374"/>
      <c r="CV22838" s="376"/>
    </row>
    <row r="22839" spans="1:100">
      <c r="A22839" s="374"/>
      <c r="C22839" s="374"/>
      <c r="CV22839" s="376"/>
    </row>
    <row r="22840" spans="1:100">
      <c r="A22840" s="374"/>
      <c r="C22840" s="374"/>
      <c r="CV22840" s="376"/>
    </row>
    <row r="22841" spans="1:100">
      <c r="A22841" s="374"/>
      <c r="C22841" s="374"/>
      <c r="CV22841" s="376"/>
    </row>
    <row r="22842" spans="1:100">
      <c r="A22842" s="374"/>
      <c r="C22842" s="374"/>
      <c r="CV22842" s="376"/>
    </row>
    <row r="22843" spans="1:100">
      <c r="A22843" s="374"/>
      <c r="C22843" s="374"/>
      <c r="CV22843" s="376"/>
    </row>
    <row r="22844" spans="1:100">
      <c r="A22844" s="374"/>
      <c r="C22844" s="374"/>
      <c r="CV22844" s="376"/>
    </row>
    <row r="22845" spans="1:100">
      <c r="A22845" s="374"/>
      <c r="C22845" s="374"/>
      <c r="CV22845" s="376"/>
    </row>
    <row r="22846" spans="1:100">
      <c r="A22846" s="374"/>
      <c r="C22846" s="374"/>
      <c r="CV22846" s="376"/>
    </row>
    <row r="22847" spans="1:100">
      <c r="A22847" s="374"/>
      <c r="C22847" s="374"/>
      <c r="CV22847" s="376"/>
    </row>
    <row r="22848" spans="1:100">
      <c r="A22848" s="374"/>
      <c r="C22848" s="374"/>
      <c r="CV22848" s="376"/>
    </row>
    <row r="22849" spans="1:100">
      <c r="A22849" s="374"/>
      <c r="C22849" s="374"/>
      <c r="CV22849" s="376"/>
    </row>
    <row r="22850" spans="1:100">
      <c r="A22850" s="374"/>
      <c r="C22850" s="374"/>
      <c r="CV22850" s="376"/>
    </row>
    <row r="22851" spans="1:100">
      <c r="A22851" s="374"/>
      <c r="C22851" s="374"/>
      <c r="CV22851" s="376"/>
    </row>
    <row r="22852" spans="1:100">
      <c r="A22852" s="374"/>
      <c r="C22852" s="374"/>
      <c r="CV22852" s="376"/>
    </row>
    <row r="22853" spans="1:100">
      <c r="A22853" s="374"/>
      <c r="C22853" s="374"/>
      <c r="CV22853" s="376"/>
    </row>
    <row r="22854" spans="1:100">
      <c r="A22854" s="374"/>
      <c r="C22854" s="374"/>
      <c r="CV22854" s="376"/>
    </row>
    <row r="22855" spans="1:100">
      <c r="A22855" s="374"/>
      <c r="C22855" s="374"/>
      <c r="CV22855" s="376"/>
    </row>
    <row r="22856" spans="1:100">
      <c r="A22856" s="374"/>
      <c r="C22856" s="374"/>
      <c r="CV22856" s="376"/>
    </row>
    <row r="22857" spans="1:100">
      <c r="A22857" s="374"/>
      <c r="C22857" s="374"/>
      <c r="CV22857" s="376"/>
    </row>
    <row r="22858" spans="1:100">
      <c r="A22858" s="374"/>
      <c r="C22858" s="374"/>
      <c r="CV22858" s="376"/>
    </row>
    <row r="22859" spans="1:100">
      <c r="A22859" s="374"/>
      <c r="C22859" s="374"/>
      <c r="CV22859" s="376"/>
    </row>
    <row r="22860" spans="1:100">
      <c r="A22860" s="374"/>
      <c r="C22860" s="374"/>
      <c r="CV22860" s="376"/>
    </row>
    <row r="22861" spans="1:100">
      <c r="A22861" s="374"/>
      <c r="C22861" s="374"/>
      <c r="CV22861" s="376"/>
    </row>
    <row r="22862" spans="1:100">
      <c r="A22862" s="374"/>
      <c r="C22862" s="374"/>
      <c r="CV22862" s="376"/>
    </row>
    <row r="22863" spans="1:100">
      <c r="A22863" s="374"/>
      <c r="C22863" s="374"/>
      <c r="CV22863" s="376"/>
    </row>
    <row r="22864" spans="1:100">
      <c r="A22864" s="374"/>
      <c r="C22864" s="374"/>
      <c r="CV22864" s="376"/>
    </row>
    <row r="22865" spans="1:100">
      <c r="A22865" s="374"/>
      <c r="C22865" s="374"/>
      <c r="CV22865" s="376"/>
    </row>
    <row r="22866" spans="1:100">
      <c r="A22866" s="374"/>
      <c r="C22866" s="374"/>
      <c r="CV22866" s="376"/>
    </row>
    <row r="22867" spans="1:100">
      <c r="A22867" s="374"/>
      <c r="C22867" s="374"/>
      <c r="CV22867" s="376"/>
    </row>
    <row r="22868" spans="1:100">
      <c r="A22868" s="374"/>
      <c r="C22868" s="374"/>
      <c r="CV22868" s="376"/>
    </row>
    <row r="22869" spans="1:100">
      <c r="A22869" s="374"/>
      <c r="C22869" s="374"/>
      <c r="CV22869" s="376"/>
    </row>
    <row r="22870" spans="1:100">
      <c r="A22870" s="374"/>
      <c r="C22870" s="374"/>
      <c r="CV22870" s="376"/>
    </row>
    <row r="22871" spans="1:100">
      <c r="A22871" s="374"/>
      <c r="C22871" s="374"/>
      <c r="CV22871" s="376"/>
    </row>
    <row r="22872" spans="1:100">
      <c r="A22872" s="374"/>
      <c r="C22872" s="374"/>
      <c r="CV22872" s="376"/>
    </row>
    <row r="22873" spans="1:100">
      <c r="A22873" s="374"/>
      <c r="C22873" s="374"/>
      <c r="CV22873" s="376"/>
    </row>
    <row r="22874" spans="1:100">
      <c r="A22874" s="374"/>
      <c r="C22874" s="374"/>
      <c r="CV22874" s="376"/>
    </row>
    <row r="22875" spans="1:100">
      <c r="A22875" s="374"/>
      <c r="C22875" s="374"/>
      <c r="CV22875" s="376"/>
    </row>
    <row r="22876" spans="1:100">
      <c r="A22876" s="374"/>
      <c r="C22876" s="374"/>
      <c r="CV22876" s="376"/>
    </row>
    <row r="22877" spans="1:100">
      <c r="A22877" s="374"/>
      <c r="C22877" s="374"/>
      <c r="CV22877" s="376"/>
    </row>
    <row r="22878" spans="1:100">
      <c r="A22878" s="374"/>
      <c r="C22878" s="374"/>
      <c r="CV22878" s="376"/>
    </row>
    <row r="22879" spans="1:100">
      <c r="A22879" s="374"/>
      <c r="C22879" s="374"/>
      <c r="CV22879" s="376"/>
    </row>
    <row r="22880" spans="1:100">
      <c r="A22880" s="374"/>
      <c r="C22880" s="374"/>
      <c r="CV22880" s="376"/>
    </row>
    <row r="22881" spans="1:100">
      <c r="A22881" s="374"/>
      <c r="C22881" s="374"/>
      <c r="CV22881" s="376"/>
    </row>
    <row r="22882" spans="1:100">
      <c r="A22882" s="374"/>
      <c r="C22882" s="374"/>
      <c r="CV22882" s="376"/>
    </row>
    <row r="22883" spans="1:100">
      <c r="A22883" s="374"/>
      <c r="C22883" s="374"/>
      <c r="CV22883" s="376"/>
    </row>
    <row r="22884" spans="1:100">
      <c r="A22884" s="374"/>
      <c r="C22884" s="374"/>
      <c r="CV22884" s="376"/>
    </row>
    <row r="22885" spans="1:100">
      <c r="A22885" s="374"/>
      <c r="C22885" s="374"/>
      <c r="CV22885" s="376"/>
    </row>
    <row r="22886" spans="1:100">
      <c r="A22886" s="374"/>
      <c r="C22886" s="374"/>
      <c r="CV22886" s="376"/>
    </row>
    <row r="22887" spans="1:100">
      <c r="A22887" s="374"/>
      <c r="C22887" s="374"/>
      <c r="CV22887" s="376"/>
    </row>
    <row r="22888" spans="1:100">
      <c r="A22888" s="374"/>
      <c r="C22888" s="374"/>
      <c r="CV22888" s="376"/>
    </row>
    <row r="22889" spans="1:100">
      <c r="A22889" s="374"/>
      <c r="C22889" s="374"/>
      <c r="CV22889" s="376"/>
    </row>
    <row r="22890" spans="1:100">
      <c r="A22890" s="374"/>
      <c r="C22890" s="374"/>
      <c r="CV22890" s="376"/>
    </row>
    <row r="22891" spans="1:100">
      <c r="A22891" s="374"/>
      <c r="C22891" s="374"/>
      <c r="CV22891" s="376"/>
    </row>
    <row r="22892" spans="1:100">
      <c r="A22892" s="374"/>
      <c r="C22892" s="374"/>
      <c r="CV22892" s="376"/>
    </row>
    <row r="22893" spans="1:100">
      <c r="A22893" s="374"/>
      <c r="C22893" s="374"/>
      <c r="CV22893" s="376"/>
    </row>
    <row r="22894" spans="1:100">
      <c r="A22894" s="374"/>
      <c r="C22894" s="374"/>
      <c r="CV22894" s="376"/>
    </row>
    <row r="22895" spans="1:100">
      <c r="A22895" s="374"/>
      <c r="C22895" s="374"/>
      <c r="CV22895" s="376"/>
    </row>
    <row r="22896" spans="1:100">
      <c r="A22896" s="374"/>
      <c r="C22896" s="374"/>
      <c r="CV22896" s="376"/>
    </row>
    <row r="22897" spans="1:100">
      <c r="A22897" s="374"/>
      <c r="C22897" s="374"/>
      <c r="CV22897" s="376"/>
    </row>
    <row r="22898" spans="1:100">
      <c r="A22898" s="374"/>
      <c r="C22898" s="374"/>
      <c r="CV22898" s="376"/>
    </row>
    <row r="22899" spans="1:100">
      <c r="A22899" s="374"/>
      <c r="C22899" s="374"/>
      <c r="CV22899" s="376"/>
    </row>
    <row r="22900" spans="1:100">
      <c r="A22900" s="374"/>
      <c r="C22900" s="374"/>
      <c r="CV22900" s="376"/>
    </row>
    <row r="22901" spans="1:100">
      <c r="A22901" s="374"/>
      <c r="C22901" s="374"/>
      <c r="CV22901" s="376"/>
    </row>
    <row r="22902" spans="1:100">
      <c r="A22902" s="374"/>
      <c r="C22902" s="374"/>
      <c r="CV22902" s="376"/>
    </row>
    <row r="22903" spans="1:100">
      <c r="A22903" s="374"/>
      <c r="C22903" s="374"/>
      <c r="CV22903" s="376"/>
    </row>
    <row r="22904" spans="1:100">
      <c r="A22904" s="374"/>
      <c r="C22904" s="374"/>
      <c r="CV22904" s="376"/>
    </row>
    <row r="22905" spans="1:100">
      <c r="A22905" s="374"/>
      <c r="C22905" s="374"/>
      <c r="CV22905" s="376"/>
    </row>
    <row r="22906" spans="1:100">
      <c r="A22906" s="374"/>
      <c r="C22906" s="374"/>
      <c r="CV22906" s="376"/>
    </row>
    <row r="22907" spans="1:100">
      <c r="A22907" s="374"/>
      <c r="C22907" s="374"/>
      <c r="CV22907" s="376"/>
    </row>
    <row r="22908" spans="1:100">
      <c r="A22908" s="374"/>
      <c r="C22908" s="374"/>
      <c r="CV22908" s="376"/>
    </row>
    <row r="22909" spans="1:100">
      <c r="A22909" s="374"/>
      <c r="C22909" s="374"/>
      <c r="CV22909" s="376"/>
    </row>
    <row r="22910" spans="1:100">
      <c r="A22910" s="374"/>
      <c r="C22910" s="374"/>
      <c r="CV22910" s="376"/>
    </row>
    <row r="22911" spans="1:100">
      <c r="A22911" s="374"/>
      <c r="C22911" s="374"/>
      <c r="CV22911" s="376"/>
    </row>
    <row r="22912" spans="1:100">
      <c r="A22912" s="374"/>
      <c r="C22912" s="374"/>
      <c r="CV22912" s="376"/>
    </row>
    <row r="22913" spans="1:100">
      <c r="A22913" s="374"/>
      <c r="C22913" s="374"/>
      <c r="CV22913" s="376"/>
    </row>
    <row r="22914" spans="1:100">
      <c r="A22914" s="374"/>
      <c r="C22914" s="374"/>
      <c r="CV22914" s="376"/>
    </row>
    <row r="22915" spans="1:100">
      <c r="A22915" s="374"/>
      <c r="C22915" s="374"/>
      <c r="CV22915" s="376"/>
    </row>
    <row r="22916" spans="1:100">
      <c r="A22916" s="374"/>
      <c r="C22916" s="374"/>
      <c r="CV22916" s="376"/>
    </row>
    <row r="22917" spans="1:100">
      <c r="A22917" s="374"/>
      <c r="C22917" s="374"/>
      <c r="CV22917" s="376"/>
    </row>
    <row r="22918" spans="1:100">
      <c r="A22918" s="374"/>
      <c r="C22918" s="374"/>
      <c r="CV22918" s="376"/>
    </row>
    <row r="22919" spans="1:100">
      <c r="A22919" s="374"/>
      <c r="C22919" s="374"/>
      <c r="CV22919" s="376"/>
    </row>
    <row r="22920" spans="1:100">
      <c r="A22920" s="374"/>
      <c r="C22920" s="374"/>
      <c r="CV22920" s="376"/>
    </row>
    <row r="22921" spans="1:100">
      <c r="A22921" s="374"/>
      <c r="C22921" s="374"/>
      <c r="CV22921" s="376"/>
    </row>
    <row r="22922" spans="1:100">
      <c r="A22922" s="374"/>
      <c r="C22922" s="374"/>
      <c r="CV22922" s="376"/>
    </row>
    <row r="22923" spans="1:100">
      <c r="A22923" s="374"/>
      <c r="C22923" s="374"/>
      <c r="CV22923" s="376"/>
    </row>
    <row r="22924" spans="1:100">
      <c r="A22924" s="374"/>
      <c r="C22924" s="374"/>
      <c r="CV22924" s="376"/>
    </row>
    <row r="22925" spans="1:100">
      <c r="A22925" s="374"/>
      <c r="C22925" s="374"/>
      <c r="CV22925" s="376"/>
    </row>
    <row r="22926" spans="1:100">
      <c r="A22926" s="374"/>
      <c r="C22926" s="374"/>
      <c r="CV22926" s="376"/>
    </row>
    <row r="22927" spans="1:100">
      <c r="A22927" s="374"/>
      <c r="C22927" s="374"/>
      <c r="CV22927" s="376"/>
    </row>
    <row r="22928" spans="1:100">
      <c r="A22928" s="374"/>
      <c r="C22928" s="374"/>
      <c r="CV22928" s="376"/>
    </row>
    <row r="22929" spans="1:100">
      <c r="A22929" s="374"/>
      <c r="C22929" s="374"/>
      <c r="CV22929" s="376"/>
    </row>
    <row r="22930" spans="1:100">
      <c r="A22930" s="374"/>
      <c r="C22930" s="374"/>
      <c r="CV22930" s="376"/>
    </row>
    <row r="22931" spans="1:100">
      <c r="A22931" s="374"/>
      <c r="C22931" s="374"/>
      <c r="CV22931" s="376"/>
    </row>
    <row r="22932" spans="1:100">
      <c r="A22932" s="374"/>
      <c r="C22932" s="374"/>
      <c r="CV22932" s="376"/>
    </row>
    <row r="22933" spans="1:100">
      <c r="A22933" s="374"/>
      <c r="C22933" s="374"/>
      <c r="CV22933" s="376"/>
    </row>
    <row r="22934" spans="1:100">
      <c r="A22934" s="374"/>
      <c r="C22934" s="374"/>
      <c r="CV22934" s="376"/>
    </row>
    <row r="22935" spans="1:100">
      <c r="A22935" s="374"/>
      <c r="C22935" s="374"/>
      <c r="CV22935" s="376"/>
    </row>
    <row r="22936" spans="1:100">
      <c r="A22936" s="374"/>
      <c r="C22936" s="374"/>
      <c r="CV22936" s="376"/>
    </row>
    <row r="22937" spans="1:100">
      <c r="A22937" s="374"/>
      <c r="C22937" s="374"/>
      <c r="CV22937" s="376"/>
    </row>
    <row r="22938" spans="1:100">
      <c r="A22938" s="374"/>
      <c r="C22938" s="374"/>
      <c r="CV22938" s="376"/>
    </row>
    <row r="22939" spans="1:100">
      <c r="A22939" s="374"/>
      <c r="C22939" s="374"/>
      <c r="CV22939" s="376"/>
    </row>
    <row r="22940" spans="1:100">
      <c r="A22940" s="374"/>
      <c r="C22940" s="374"/>
      <c r="CV22940" s="376"/>
    </row>
    <row r="22941" spans="1:100">
      <c r="A22941" s="374"/>
      <c r="C22941" s="374"/>
      <c r="CV22941" s="376"/>
    </row>
    <row r="22942" spans="1:100">
      <c r="A22942" s="374"/>
      <c r="C22942" s="374"/>
      <c r="CV22942" s="376"/>
    </row>
    <row r="22943" spans="1:100">
      <c r="A22943" s="374"/>
      <c r="C22943" s="374"/>
      <c r="CV22943" s="376"/>
    </row>
    <row r="22944" spans="1:100">
      <c r="A22944" s="374"/>
      <c r="C22944" s="374"/>
      <c r="CV22944" s="376"/>
    </row>
    <row r="22945" spans="1:100">
      <c r="A22945" s="374"/>
      <c r="C22945" s="374"/>
      <c r="CV22945" s="376"/>
    </row>
    <row r="22946" spans="1:100">
      <c r="A22946" s="374"/>
      <c r="C22946" s="374"/>
      <c r="CV22946" s="376"/>
    </row>
    <row r="22947" spans="1:100">
      <c r="A22947" s="374"/>
      <c r="C22947" s="374"/>
      <c r="CV22947" s="376"/>
    </row>
    <row r="22948" spans="1:100">
      <c r="A22948" s="374"/>
      <c r="C22948" s="374"/>
      <c r="CV22948" s="376"/>
    </row>
    <row r="22949" spans="1:100">
      <c r="A22949" s="374"/>
      <c r="C22949" s="374"/>
      <c r="CV22949" s="376"/>
    </row>
    <row r="22950" spans="1:100">
      <c r="A22950" s="374"/>
      <c r="C22950" s="374"/>
      <c r="CV22950" s="376"/>
    </row>
    <row r="22951" spans="1:100">
      <c r="A22951" s="374"/>
      <c r="C22951" s="374"/>
      <c r="CV22951" s="376"/>
    </row>
    <row r="22952" spans="1:100">
      <c r="A22952" s="374"/>
      <c r="C22952" s="374"/>
      <c r="CV22952" s="376"/>
    </row>
    <row r="22953" spans="1:100">
      <c r="A22953" s="374"/>
      <c r="C22953" s="374"/>
      <c r="CV22953" s="376"/>
    </row>
    <row r="22954" spans="1:100">
      <c r="A22954" s="374"/>
      <c r="C22954" s="374"/>
      <c r="CV22954" s="376"/>
    </row>
    <row r="22955" spans="1:100">
      <c r="A22955" s="374"/>
      <c r="C22955" s="374"/>
      <c r="CV22955" s="376"/>
    </row>
    <row r="22956" spans="1:100">
      <c r="A22956" s="374"/>
      <c r="C22956" s="374"/>
      <c r="CV22956" s="376"/>
    </row>
    <row r="22957" spans="1:100">
      <c r="A22957" s="374"/>
      <c r="C22957" s="374"/>
      <c r="CV22957" s="376"/>
    </row>
    <row r="22958" spans="1:100">
      <c r="A22958" s="374"/>
      <c r="C22958" s="374"/>
      <c r="CV22958" s="376"/>
    </row>
    <row r="22959" spans="1:100">
      <c r="A22959" s="374"/>
      <c r="C22959" s="374"/>
      <c r="CV22959" s="376"/>
    </row>
    <row r="22960" spans="1:100">
      <c r="A22960" s="374"/>
      <c r="C22960" s="374"/>
      <c r="CV22960" s="376"/>
    </row>
    <row r="22961" spans="1:100">
      <c r="A22961" s="374"/>
      <c r="C22961" s="374"/>
      <c r="CV22961" s="376"/>
    </row>
    <row r="22962" spans="1:100">
      <c r="A22962" s="374"/>
      <c r="C22962" s="374"/>
      <c r="CV22962" s="376"/>
    </row>
    <row r="22963" spans="1:100">
      <c r="A22963" s="374"/>
      <c r="C22963" s="374"/>
      <c r="CV22963" s="376"/>
    </row>
    <row r="22964" spans="1:100">
      <c r="A22964" s="374"/>
      <c r="C22964" s="374"/>
      <c r="CV22964" s="376"/>
    </row>
    <row r="22965" spans="1:100">
      <c r="A22965" s="374"/>
      <c r="C22965" s="374"/>
      <c r="CV22965" s="376"/>
    </row>
    <row r="22966" spans="1:100">
      <c r="A22966" s="374"/>
      <c r="C22966" s="374"/>
      <c r="CV22966" s="376"/>
    </row>
    <row r="22967" spans="1:100">
      <c r="A22967" s="374"/>
      <c r="C22967" s="374"/>
      <c r="CV22967" s="376"/>
    </row>
    <row r="22968" spans="1:100">
      <c r="A22968" s="374"/>
      <c r="C22968" s="374"/>
      <c r="CV22968" s="376"/>
    </row>
    <row r="22969" spans="1:100">
      <c r="A22969" s="374"/>
      <c r="C22969" s="374"/>
      <c r="CV22969" s="376"/>
    </row>
    <row r="22970" spans="1:100">
      <c r="A22970" s="374"/>
      <c r="C22970" s="374"/>
      <c r="CV22970" s="376"/>
    </row>
    <row r="22971" spans="1:100">
      <c r="A22971" s="374"/>
      <c r="C22971" s="374"/>
      <c r="CV22971" s="376"/>
    </row>
    <row r="22972" spans="1:100">
      <c r="A22972" s="374"/>
      <c r="C22972" s="374"/>
      <c r="CV22972" s="376"/>
    </row>
    <row r="22973" spans="1:100">
      <c r="A22973" s="374"/>
      <c r="C22973" s="374"/>
      <c r="CV22973" s="376"/>
    </row>
    <row r="22974" spans="1:100">
      <c r="A22974" s="374"/>
      <c r="C22974" s="374"/>
      <c r="CV22974" s="376"/>
    </row>
    <row r="22975" spans="1:100">
      <c r="A22975" s="374"/>
      <c r="C22975" s="374"/>
      <c r="CV22975" s="376"/>
    </row>
    <row r="22976" spans="1:100">
      <c r="A22976" s="374"/>
      <c r="C22976" s="374"/>
      <c r="CV22976" s="376"/>
    </row>
    <row r="22977" spans="1:100">
      <c r="A22977" s="374"/>
      <c r="C22977" s="374"/>
      <c r="CV22977" s="376"/>
    </row>
    <row r="22978" spans="1:100">
      <c r="A22978" s="374"/>
      <c r="C22978" s="374"/>
      <c r="CV22978" s="376"/>
    </row>
    <row r="22979" spans="1:100">
      <c r="A22979" s="374"/>
      <c r="C22979" s="374"/>
      <c r="CV22979" s="376"/>
    </row>
    <row r="22980" spans="1:100">
      <c r="A22980" s="374"/>
      <c r="C22980" s="374"/>
      <c r="CV22980" s="376"/>
    </row>
    <row r="22981" spans="1:100">
      <c r="A22981" s="374"/>
      <c r="C22981" s="374"/>
      <c r="CV22981" s="376"/>
    </row>
    <row r="22982" spans="1:100">
      <c r="A22982" s="374"/>
      <c r="C22982" s="374"/>
      <c r="CV22982" s="376"/>
    </row>
    <row r="22983" spans="1:100">
      <c r="A22983" s="374"/>
      <c r="C22983" s="374"/>
      <c r="CV22983" s="376"/>
    </row>
    <row r="22984" spans="1:100">
      <c r="A22984" s="374"/>
      <c r="C22984" s="374"/>
      <c r="CV22984" s="376"/>
    </row>
    <row r="22985" spans="1:100">
      <c r="A22985" s="374"/>
      <c r="C22985" s="374"/>
      <c r="CV22985" s="376"/>
    </row>
    <row r="22986" spans="1:100">
      <c r="A22986" s="374"/>
      <c r="C22986" s="374"/>
      <c r="CV22986" s="376"/>
    </row>
    <row r="22987" spans="1:100">
      <c r="A22987" s="374"/>
      <c r="C22987" s="374"/>
      <c r="CV22987" s="376"/>
    </row>
    <row r="22988" spans="1:100">
      <c r="A22988" s="374"/>
      <c r="C22988" s="374"/>
      <c r="CV22988" s="376"/>
    </row>
    <row r="22989" spans="1:100">
      <c r="A22989" s="374"/>
      <c r="C22989" s="374"/>
      <c r="CV22989" s="376"/>
    </row>
    <row r="22990" spans="1:100">
      <c r="A22990" s="374"/>
      <c r="C22990" s="374"/>
      <c r="CV22990" s="376"/>
    </row>
    <row r="22991" spans="1:100">
      <c r="A22991" s="374"/>
      <c r="C22991" s="374"/>
      <c r="CV22991" s="376"/>
    </row>
    <row r="22992" spans="1:100">
      <c r="A22992" s="374"/>
      <c r="C22992" s="374"/>
      <c r="CV22992" s="376"/>
    </row>
    <row r="22993" spans="1:100">
      <c r="A22993" s="374"/>
      <c r="C22993" s="374"/>
      <c r="CV22993" s="376"/>
    </row>
    <row r="22994" spans="1:100">
      <c r="A22994" s="374"/>
      <c r="C22994" s="374"/>
      <c r="CV22994" s="376"/>
    </row>
    <row r="22995" spans="1:100">
      <c r="A22995" s="374"/>
      <c r="C22995" s="374"/>
      <c r="CV22995" s="376"/>
    </row>
    <row r="22996" spans="1:100">
      <c r="A22996" s="374"/>
      <c r="C22996" s="374"/>
      <c r="CV22996" s="376"/>
    </row>
    <row r="22997" spans="1:100">
      <c r="A22997" s="374"/>
      <c r="C22997" s="374"/>
      <c r="CV22997" s="376"/>
    </row>
    <row r="22998" spans="1:100">
      <c r="A22998" s="374"/>
      <c r="C22998" s="374"/>
      <c r="CV22998" s="376"/>
    </row>
    <row r="22999" spans="1:100">
      <c r="A22999" s="374"/>
      <c r="C22999" s="374"/>
      <c r="CV22999" s="376"/>
    </row>
    <row r="23000" spans="1:100">
      <c r="A23000" s="374"/>
      <c r="C23000" s="374"/>
      <c r="CV23000" s="376"/>
    </row>
    <row r="23001" spans="1:100">
      <c r="A23001" s="374"/>
      <c r="C23001" s="374"/>
      <c r="CV23001" s="376"/>
    </row>
    <row r="23002" spans="1:100">
      <c r="A23002" s="374"/>
      <c r="C23002" s="374"/>
      <c r="CV23002" s="376"/>
    </row>
    <row r="23003" spans="1:100">
      <c r="A23003" s="374"/>
      <c r="C23003" s="374"/>
      <c r="CV23003" s="376"/>
    </row>
    <row r="23004" spans="1:100">
      <c r="A23004" s="374"/>
      <c r="C23004" s="374"/>
      <c r="CV23004" s="376"/>
    </row>
    <row r="23005" spans="1:100">
      <c r="A23005" s="374"/>
      <c r="C23005" s="374"/>
      <c r="CV23005" s="376"/>
    </row>
    <row r="23006" spans="1:100">
      <c r="A23006" s="374"/>
      <c r="C23006" s="374"/>
      <c r="CV23006" s="376"/>
    </row>
    <row r="23007" spans="1:100">
      <c r="A23007" s="374"/>
      <c r="C23007" s="374"/>
      <c r="CV23007" s="376"/>
    </row>
    <row r="23008" spans="1:100">
      <c r="A23008" s="374"/>
      <c r="C23008" s="374"/>
      <c r="CV23008" s="376"/>
    </row>
    <row r="23009" spans="1:100">
      <c r="A23009" s="374"/>
      <c r="C23009" s="374"/>
      <c r="CV23009" s="376"/>
    </row>
    <row r="23010" spans="1:100">
      <c r="A23010" s="374"/>
      <c r="C23010" s="374"/>
      <c r="CV23010" s="376"/>
    </row>
    <row r="23011" spans="1:100">
      <c r="A23011" s="374"/>
      <c r="C23011" s="374"/>
      <c r="CV23011" s="376"/>
    </row>
    <row r="23012" spans="1:100">
      <c r="A23012" s="374"/>
      <c r="C23012" s="374"/>
      <c r="CV23012" s="376"/>
    </row>
    <row r="23013" spans="1:100">
      <c r="A23013" s="374"/>
      <c r="C23013" s="374"/>
      <c r="CV23013" s="376"/>
    </row>
    <row r="23014" spans="1:100">
      <c r="A23014" s="374"/>
      <c r="C23014" s="374"/>
      <c r="CV23014" s="376"/>
    </row>
    <row r="23015" spans="1:100">
      <c r="A23015" s="374"/>
      <c r="C23015" s="374"/>
      <c r="CV23015" s="376"/>
    </row>
    <row r="23016" spans="1:100">
      <c r="A23016" s="374"/>
      <c r="C23016" s="374"/>
      <c r="CV23016" s="376"/>
    </row>
    <row r="23017" spans="1:100">
      <c r="A23017" s="374"/>
      <c r="C23017" s="374"/>
      <c r="CV23017" s="376"/>
    </row>
    <row r="23018" spans="1:100">
      <c r="A23018" s="374"/>
      <c r="C23018" s="374"/>
      <c r="CV23018" s="376"/>
    </row>
    <row r="23019" spans="1:100">
      <c r="A23019" s="374"/>
      <c r="C23019" s="374"/>
      <c r="CV23019" s="376"/>
    </row>
    <row r="23020" spans="1:100">
      <c r="A23020" s="374"/>
      <c r="C23020" s="374"/>
      <c r="CV23020" s="376"/>
    </row>
    <row r="23021" spans="1:100">
      <c r="A23021" s="374"/>
      <c r="C23021" s="374"/>
      <c r="CV23021" s="376"/>
    </row>
    <row r="23022" spans="1:100">
      <c r="A23022" s="374"/>
      <c r="C23022" s="374"/>
      <c r="CV23022" s="376"/>
    </row>
    <row r="23023" spans="1:100">
      <c r="A23023" s="374"/>
      <c r="C23023" s="374"/>
      <c r="CV23023" s="376"/>
    </row>
    <row r="23024" spans="1:100">
      <c r="A23024" s="374"/>
      <c r="C23024" s="374"/>
      <c r="CV23024" s="376"/>
    </row>
    <row r="23025" spans="1:100">
      <c r="A23025" s="374"/>
      <c r="C23025" s="374"/>
      <c r="CV23025" s="376"/>
    </row>
    <row r="23026" spans="1:100">
      <c r="A23026" s="374"/>
      <c r="C23026" s="374"/>
      <c r="CV23026" s="376"/>
    </row>
    <row r="23027" spans="1:100">
      <c r="A23027" s="374"/>
      <c r="C23027" s="374"/>
      <c r="CV23027" s="376"/>
    </row>
    <row r="23028" spans="1:100">
      <c r="A23028" s="374"/>
      <c r="C23028" s="374"/>
      <c r="CV23028" s="376"/>
    </row>
    <row r="23029" spans="1:100">
      <c r="A23029" s="374"/>
      <c r="C23029" s="374"/>
      <c r="CV23029" s="376"/>
    </row>
    <row r="23030" spans="1:100">
      <c r="A23030" s="374"/>
      <c r="C23030" s="374"/>
      <c r="CV23030" s="376"/>
    </row>
    <row r="23031" spans="1:100">
      <c r="A23031" s="374"/>
      <c r="C23031" s="374"/>
      <c r="CV23031" s="376"/>
    </row>
    <row r="23032" spans="1:100">
      <c r="A23032" s="374"/>
      <c r="C23032" s="374"/>
      <c r="CV23032" s="376"/>
    </row>
    <row r="23033" spans="1:100">
      <c r="A23033" s="374"/>
      <c r="C23033" s="374"/>
      <c r="CV23033" s="376"/>
    </row>
    <row r="23034" spans="1:100">
      <c r="A23034" s="374"/>
      <c r="C23034" s="374"/>
      <c r="CV23034" s="376"/>
    </row>
    <row r="23035" spans="1:100">
      <c r="A23035" s="374"/>
      <c r="C23035" s="374"/>
      <c r="CV23035" s="376"/>
    </row>
    <row r="23036" spans="1:100">
      <c r="A23036" s="374"/>
      <c r="C23036" s="374"/>
      <c r="CV23036" s="376"/>
    </row>
    <row r="23037" spans="1:100">
      <c r="A23037" s="374"/>
      <c r="C23037" s="374"/>
      <c r="CV23037" s="376"/>
    </row>
    <row r="23038" spans="1:100">
      <c r="A23038" s="374"/>
      <c r="C23038" s="374"/>
      <c r="CV23038" s="376"/>
    </row>
    <row r="23039" spans="1:100">
      <c r="A23039" s="374"/>
      <c r="C23039" s="374"/>
      <c r="CV23039" s="376"/>
    </row>
    <row r="23040" spans="1:100">
      <c r="A23040" s="374"/>
      <c r="C23040" s="374"/>
      <c r="CV23040" s="376"/>
    </row>
    <row r="23041" spans="1:100">
      <c r="A23041" s="374"/>
      <c r="C23041" s="374"/>
      <c r="CV23041" s="376"/>
    </row>
    <row r="23042" spans="1:100">
      <c r="A23042" s="374"/>
      <c r="C23042" s="374"/>
      <c r="CV23042" s="376"/>
    </row>
    <row r="23043" spans="1:100">
      <c r="A23043" s="374"/>
      <c r="C23043" s="374"/>
      <c r="CV23043" s="376"/>
    </row>
    <row r="23044" spans="1:100">
      <c r="A23044" s="374"/>
      <c r="C23044" s="374"/>
      <c r="CV23044" s="376"/>
    </row>
    <row r="23045" spans="1:100">
      <c r="A23045" s="374"/>
      <c r="C23045" s="374"/>
      <c r="CV23045" s="376"/>
    </row>
    <row r="23046" spans="1:100">
      <c r="A23046" s="374"/>
      <c r="C23046" s="374"/>
      <c r="CV23046" s="376"/>
    </row>
    <row r="23047" spans="1:100">
      <c r="A23047" s="374"/>
      <c r="C23047" s="374"/>
      <c r="CV23047" s="376"/>
    </row>
    <row r="23048" spans="1:100">
      <c r="A23048" s="374"/>
      <c r="C23048" s="374"/>
      <c r="CV23048" s="376"/>
    </row>
    <row r="23049" spans="1:100">
      <c r="A23049" s="374"/>
      <c r="C23049" s="374"/>
      <c r="CV23049" s="376"/>
    </row>
    <row r="23050" spans="1:100">
      <c r="A23050" s="374"/>
      <c r="C23050" s="374"/>
      <c r="CV23050" s="376"/>
    </row>
    <row r="23051" spans="1:100">
      <c r="A23051" s="374"/>
      <c r="C23051" s="374"/>
      <c r="CV23051" s="376"/>
    </row>
    <row r="23052" spans="1:100">
      <c r="A23052" s="374"/>
      <c r="C23052" s="374"/>
      <c r="CV23052" s="376"/>
    </row>
    <row r="23053" spans="1:100">
      <c r="A23053" s="374"/>
      <c r="C23053" s="374"/>
      <c r="CV23053" s="376"/>
    </row>
    <row r="23054" spans="1:100">
      <c r="A23054" s="374"/>
      <c r="C23054" s="374"/>
      <c r="CV23054" s="376"/>
    </row>
    <row r="23055" spans="1:100">
      <c r="A23055" s="374"/>
      <c r="C23055" s="374"/>
      <c r="CV23055" s="376"/>
    </row>
    <row r="23056" spans="1:100">
      <c r="A23056" s="374"/>
      <c r="C23056" s="374"/>
      <c r="CV23056" s="376"/>
    </row>
    <row r="23057" spans="1:100">
      <c r="A23057" s="374"/>
      <c r="C23057" s="374"/>
      <c r="CV23057" s="376"/>
    </row>
    <row r="23058" spans="1:100">
      <c r="A23058" s="374"/>
      <c r="C23058" s="374"/>
      <c r="CV23058" s="376"/>
    </row>
    <row r="23059" spans="1:100">
      <c r="A23059" s="374"/>
      <c r="C23059" s="374"/>
      <c r="CV23059" s="376"/>
    </row>
    <row r="23060" spans="1:100">
      <c r="A23060" s="374"/>
      <c r="C23060" s="374"/>
      <c r="CV23060" s="376"/>
    </row>
    <row r="23061" spans="1:100">
      <c r="A23061" s="374"/>
      <c r="C23061" s="374"/>
      <c r="CV23061" s="376"/>
    </row>
    <row r="23062" spans="1:100">
      <c r="A23062" s="374"/>
      <c r="C23062" s="374"/>
      <c r="CV23062" s="376"/>
    </row>
    <row r="23063" spans="1:100">
      <c r="A23063" s="374"/>
      <c r="C23063" s="374"/>
      <c r="CV23063" s="376"/>
    </row>
    <row r="23064" spans="1:100">
      <c r="A23064" s="374"/>
      <c r="C23064" s="374"/>
      <c r="CV23064" s="376"/>
    </row>
    <row r="23065" spans="1:100">
      <c r="A23065" s="374"/>
      <c r="C23065" s="374"/>
      <c r="CV23065" s="376"/>
    </row>
    <row r="23066" spans="1:100">
      <c r="A23066" s="374"/>
      <c r="C23066" s="374"/>
      <c r="CV23066" s="376"/>
    </row>
    <row r="23067" spans="1:100">
      <c r="A23067" s="374"/>
      <c r="C23067" s="374"/>
      <c r="CV23067" s="376"/>
    </row>
    <row r="23068" spans="1:100">
      <c r="A23068" s="374"/>
      <c r="C23068" s="374"/>
      <c r="CV23068" s="376"/>
    </row>
    <row r="23069" spans="1:100">
      <c r="A23069" s="374"/>
      <c r="C23069" s="374"/>
      <c r="CV23069" s="376"/>
    </row>
    <row r="23070" spans="1:100">
      <c r="A23070" s="374"/>
      <c r="C23070" s="374"/>
      <c r="CV23070" s="376"/>
    </row>
    <row r="23071" spans="1:100">
      <c r="A23071" s="374"/>
      <c r="C23071" s="374"/>
      <c r="CV23071" s="376"/>
    </row>
    <row r="23072" spans="1:100">
      <c r="A23072" s="374"/>
      <c r="C23072" s="374"/>
      <c r="CV23072" s="376"/>
    </row>
    <row r="23073" spans="1:100">
      <c r="A23073" s="374"/>
      <c r="C23073" s="374"/>
      <c r="CV23073" s="376"/>
    </row>
    <row r="23074" spans="1:100">
      <c r="A23074" s="374"/>
      <c r="C23074" s="374"/>
      <c r="CV23074" s="376"/>
    </row>
    <row r="23075" spans="1:100">
      <c r="A23075" s="374"/>
      <c r="C23075" s="374"/>
      <c r="CV23075" s="376"/>
    </row>
    <row r="23076" spans="1:100">
      <c r="A23076" s="374"/>
      <c r="C23076" s="374"/>
      <c r="CV23076" s="376"/>
    </row>
    <row r="23077" spans="1:100">
      <c r="A23077" s="374"/>
      <c r="C23077" s="374"/>
      <c r="CV23077" s="376"/>
    </row>
    <row r="23078" spans="1:100">
      <c r="A23078" s="374"/>
      <c r="C23078" s="374"/>
      <c r="CV23078" s="376"/>
    </row>
    <row r="23079" spans="1:100">
      <c r="A23079" s="374"/>
      <c r="C23079" s="374"/>
      <c r="CV23079" s="376"/>
    </row>
    <row r="23080" spans="1:100">
      <c r="A23080" s="374"/>
      <c r="C23080" s="374"/>
      <c r="CV23080" s="376"/>
    </row>
    <row r="23081" spans="1:100">
      <c r="A23081" s="374"/>
      <c r="C23081" s="374"/>
      <c r="CV23081" s="376"/>
    </row>
    <row r="23082" spans="1:100">
      <c r="A23082" s="374"/>
      <c r="C23082" s="374"/>
      <c r="CV23082" s="376"/>
    </row>
    <row r="23083" spans="1:100">
      <c r="A23083" s="374"/>
      <c r="C23083" s="374"/>
      <c r="CV23083" s="376"/>
    </row>
    <row r="23084" spans="1:100">
      <c r="A23084" s="374"/>
      <c r="C23084" s="374"/>
      <c r="CV23084" s="376"/>
    </row>
    <row r="23085" spans="1:100">
      <c r="A23085" s="374"/>
      <c r="C23085" s="374"/>
      <c r="CV23085" s="376"/>
    </row>
    <row r="23086" spans="1:100">
      <c r="A23086" s="374"/>
      <c r="C23086" s="374"/>
      <c r="CV23086" s="376"/>
    </row>
    <row r="23087" spans="1:100">
      <c r="A23087" s="374"/>
      <c r="C23087" s="374"/>
      <c r="CV23087" s="376"/>
    </row>
    <row r="23088" spans="1:100">
      <c r="A23088" s="374"/>
      <c r="C23088" s="374"/>
      <c r="CV23088" s="376"/>
    </row>
    <row r="23089" spans="1:100">
      <c r="A23089" s="374"/>
      <c r="C23089" s="374"/>
      <c r="CV23089" s="376"/>
    </row>
    <row r="23090" spans="1:100">
      <c r="A23090" s="374"/>
      <c r="C23090" s="374"/>
      <c r="CV23090" s="376"/>
    </row>
    <row r="23091" spans="1:100">
      <c r="A23091" s="374"/>
      <c r="C23091" s="374"/>
      <c r="CV23091" s="376"/>
    </row>
    <row r="23092" spans="1:100">
      <c r="A23092" s="374"/>
      <c r="C23092" s="374"/>
      <c r="CV23092" s="376"/>
    </row>
    <row r="23093" spans="1:100">
      <c r="A23093" s="374"/>
      <c r="C23093" s="374"/>
      <c r="CV23093" s="376"/>
    </row>
    <row r="23094" spans="1:100">
      <c r="A23094" s="374"/>
      <c r="C23094" s="374"/>
      <c r="CV23094" s="376"/>
    </row>
    <row r="23095" spans="1:100">
      <c r="A23095" s="374"/>
      <c r="C23095" s="374"/>
      <c r="CV23095" s="376"/>
    </row>
    <row r="23096" spans="1:100">
      <c r="A23096" s="374"/>
      <c r="C23096" s="374"/>
      <c r="CV23096" s="376"/>
    </row>
    <row r="23097" spans="1:100">
      <c r="A23097" s="374"/>
      <c r="C23097" s="374"/>
      <c r="CV23097" s="376"/>
    </row>
    <row r="23098" spans="1:100">
      <c r="A23098" s="374"/>
      <c r="C23098" s="374"/>
      <c r="CV23098" s="376"/>
    </row>
    <row r="23099" spans="1:100">
      <c r="A23099" s="374"/>
      <c r="C23099" s="374"/>
      <c r="CV23099" s="376"/>
    </row>
    <row r="23100" spans="1:100">
      <c r="A23100" s="374"/>
      <c r="C23100" s="374"/>
      <c r="CV23100" s="376"/>
    </row>
    <row r="23101" spans="1:100">
      <c r="A23101" s="374"/>
      <c r="C23101" s="374"/>
      <c r="CV23101" s="376"/>
    </row>
    <row r="23102" spans="1:100">
      <c r="A23102" s="374"/>
      <c r="C23102" s="374"/>
      <c r="CV23102" s="376"/>
    </row>
    <row r="23103" spans="1:100">
      <c r="A23103" s="374"/>
      <c r="C23103" s="374"/>
      <c r="CV23103" s="376"/>
    </row>
    <row r="23104" spans="1:100">
      <c r="A23104" s="374"/>
      <c r="C23104" s="374"/>
      <c r="CV23104" s="376"/>
    </row>
    <row r="23105" spans="1:100">
      <c r="A23105" s="374"/>
      <c r="C23105" s="374"/>
      <c r="CV23105" s="376"/>
    </row>
    <row r="23106" spans="1:100">
      <c r="A23106" s="374"/>
      <c r="C23106" s="374"/>
      <c r="CV23106" s="376"/>
    </row>
    <row r="23107" spans="1:100">
      <c r="A23107" s="374"/>
      <c r="C23107" s="374"/>
      <c r="CV23107" s="376"/>
    </row>
    <row r="23108" spans="1:100">
      <c r="A23108" s="374"/>
      <c r="C23108" s="374"/>
      <c r="CV23108" s="376"/>
    </row>
    <row r="23109" spans="1:100">
      <c r="A23109" s="374"/>
      <c r="C23109" s="374"/>
      <c r="CV23109" s="376"/>
    </row>
    <row r="23110" spans="1:100">
      <c r="A23110" s="374"/>
      <c r="C23110" s="374"/>
      <c r="CV23110" s="376"/>
    </row>
    <row r="23111" spans="1:100">
      <c r="A23111" s="374"/>
      <c r="C23111" s="374"/>
      <c r="CV23111" s="376"/>
    </row>
    <row r="23112" spans="1:100">
      <c r="A23112" s="374"/>
      <c r="C23112" s="374"/>
      <c r="CV23112" s="376"/>
    </row>
    <row r="23113" spans="1:100">
      <c r="A23113" s="374"/>
      <c r="C23113" s="374"/>
      <c r="CV23113" s="376"/>
    </row>
    <row r="23114" spans="1:100">
      <c r="A23114" s="374"/>
      <c r="C23114" s="374"/>
      <c r="CV23114" s="376"/>
    </row>
    <row r="23115" spans="1:100">
      <c r="A23115" s="374"/>
      <c r="C23115" s="374"/>
      <c r="CV23115" s="376"/>
    </row>
    <row r="23116" spans="1:100">
      <c r="A23116" s="374"/>
      <c r="C23116" s="374"/>
      <c r="CV23116" s="376"/>
    </row>
    <row r="23117" spans="1:100">
      <c r="A23117" s="374"/>
      <c r="C23117" s="374"/>
      <c r="CV23117" s="376"/>
    </row>
    <row r="23118" spans="1:100">
      <c r="A23118" s="374"/>
      <c r="C23118" s="374"/>
      <c r="CV23118" s="376"/>
    </row>
    <row r="23119" spans="1:100">
      <c r="A23119" s="374"/>
      <c r="C23119" s="374"/>
      <c r="CV23119" s="376"/>
    </row>
    <row r="23120" spans="1:100">
      <c r="A23120" s="374"/>
      <c r="C23120" s="374"/>
      <c r="CV23120" s="376"/>
    </row>
    <row r="23121" spans="1:100">
      <c r="A23121" s="374"/>
      <c r="C23121" s="374"/>
      <c r="CV23121" s="376"/>
    </row>
    <row r="23122" spans="1:100">
      <c r="A23122" s="374"/>
      <c r="C23122" s="374"/>
      <c r="CV23122" s="376"/>
    </row>
    <row r="23123" spans="1:100">
      <c r="A23123" s="374"/>
      <c r="C23123" s="374"/>
      <c r="CV23123" s="376"/>
    </row>
    <row r="23124" spans="1:100">
      <c r="A23124" s="374"/>
      <c r="C23124" s="374"/>
      <c r="CV23124" s="376"/>
    </row>
    <row r="23125" spans="1:100">
      <c r="A23125" s="374"/>
      <c r="C23125" s="374"/>
      <c r="CV23125" s="376"/>
    </row>
    <row r="23126" spans="1:100">
      <c r="A23126" s="374"/>
      <c r="C23126" s="374"/>
      <c r="CV23126" s="376"/>
    </row>
    <row r="23127" spans="1:100">
      <c r="A23127" s="374"/>
      <c r="C23127" s="374"/>
      <c r="CV23127" s="376"/>
    </row>
    <row r="23128" spans="1:100">
      <c r="A23128" s="374"/>
      <c r="C23128" s="374"/>
      <c r="CV23128" s="376"/>
    </row>
    <row r="23129" spans="1:100">
      <c r="A23129" s="374"/>
      <c r="C23129" s="374"/>
      <c r="CV23129" s="376"/>
    </row>
    <row r="23130" spans="1:100">
      <c r="A23130" s="374"/>
      <c r="C23130" s="374"/>
      <c r="CV23130" s="376"/>
    </row>
    <row r="23131" spans="1:100">
      <c r="A23131" s="374"/>
      <c r="C23131" s="374"/>
      <c r="CV23131" s="376"/>
    </row>
    <row r="23132" spans="1:100">
      <c r="A23132" s="374"/>
      <c r="C23132" s="374"/>
      <c r="CV23132" s="376"/>
    </row>
    <row r="23133" spans="1:100">
      <c r="A23133" s="374"/>
      <c r="C23133" s="374"/>
      <c r="CV23133" s="376"/>
    </row>
    <row r="23134" spans="1:100">
      <c r="A23134" s="374"/>
      <c r="C23134" s="374"/>
      <c r="CV23134" s="376"/>
    </row>
    <row r="23135" spans="1:100">
      <c r="A23135" s="374"/>
      <c r="C23135" s="374"/>
      <c r="CV23135" s="376"/>
    </row>
    <row r="23136" spans="1:100">
      <c r="A23136" s="374"/>
      <c r="C23136" s="374"/>
      <c r="CV23136" s="376"/>
    </row>
    <row r="23137" spans="1:100">
      <c r="A23137" s="374"/>
      <c r="C23137" s="374"/>
      <c r="CV23137" s="376"/>
    </row>
    <row r="23138" spans="1:100">
      <c r="A23138" s="374"/>
      <c r="C23138" s="374"/>
      <c r="CV23138" s="376"/>
    </row>
    <row r="23139" spans="1:100">
      <c r="A23139" s="374"/>
      <c r="C23139" s="374"/>
      <c r="CV23139" s="376"/>
    </row>
    <row r="23140" spans="1:100">
      <c r="A23140" s="374"/>
      <c r="C23140" s="374"/>
      <c r="CV23140" s="376"/>
    </row>
    <row r="23141" spans="1:100">
      <c r="A23141" s="374"/>
      <c r="C23141" s="374"/>
      <c r="CV23141" s="376"/>
    </row>
    <row r="23142" spans="1:100">
      <c r="A23142" s="374"/>
      <c r="C23142" s="374"/>
      <c r="CV23142" s="376"/>
    </row>
    <row r="23143" spans="1:100">
      <c r="A23143" s="374"/>
      <c r="C23143" s="374"/>
      <c r="CV23143" s="376"/>
    </row>
    <row r="23144" spans="1:100">
      <c r="A23144" s="374"/>
      <c r="C23144" s="374"/>
      <c r="CV23144" s="376"/>
    </row>
    <row r="23145" spans="1:100">
      <c r="A23145" s="374"/>
      <c r="C23145" s="374"/>
      <c r="CV23145" s="376"/>
    </row>
    <row r="23146" spans="1:100">
      <c r="A23146" s="374"/>
      <c r="C23146" s="374"/>
      <c r="CV23146" s="376"/>
    </row>
    <row r="23147" spans="1:100">
      <c r="A23147" s="374"/>
      <c r="C23147" s="374"/>
      <c r="CV23147" s="376"/>
    </row>
    <row r="23148" spans="1:100">
      <c r="A23148" s="374"/>
      <c r="C23148" s="374"/>
      <c r="CV23148" s="376"/>
    </row>
    <row r="23149" spans="1:100">
      <c r="A23149" s="374"/>
      <c r="C23149" s="374"/>
      <c r="CV23149" s="376"/>
    </row>
    <row r="23150" spans="1:100">
      <c r="A23150" s="374"/>
      <c r="C23150" s="374"/>
      <c r="CV23150" s="376"/>
    </row>
    <row r="23151" spans="1:100">
      <c r="A23151" s="374"/>
      <c r="C23151" s="374"/>
      <c r="CV23151" s="376"/>
    </row>
    <row r="23152" spans="1:100">
      <c r="A23152" s="374"/>
      <c r="C23152" s="374"/>
      <c r="CV23152" s="376"/>
    </row>
    <row r="23153" spans="1:100">
      <c r="A23153" s="374"/>
      <c r="C23153" s="374"/>
      <c r="CV23153" s="376"/>
    </row>
    <row r="23154" spans="1:100">
      <c r="A23154" s="374"/>
      <c r="C23154" s="374"/>
      <c r="CV23154" s="376"/>
    </row>
    <row r="23155" spans="1:100">
      <c r="A23155" s="374"/>
      <c r="C23155" s="374"/>
      <c r="CV23155" s="376"/>
    </row>
    <row r="23156" spans="1:100">
      <c r="A23156" s="374"/>
      <c r="C23156" s="374"/>
      <c r="CV23156" s="376"/>
    </row>
    <row r="23157" spans="1:100">
      <c r="A23157" s="374"/>
      <c r="C23157" s="374"/>
      <c r="CV23157" s="376"/>
    </row>
    <row r="23158" spans="1:100">
      <c r="A23158" s="374"/>
      <c r="C23158" s="374"/>
      <c r="CV23158" s="376"/>
    </row>
    <row r="23159" spans="1:100">
      <c r="A23159" s="374"/>
      <c r="C23159" s="374"/>
      <c r="CV23159" s="376"/>
    </row>
    <row r="23160" spans="1:100">
      <c r="A23160" s="374"/>
      <c r="C23160" s="374"/>
      <c r="CV23160" s="376"/>
    </row>
    <row r="23161" spans="1:100">
      <c r="A23161" s="374"/>
      <c r="C23161" s="374"/>
      <c r="CV23161" s="376"/>
    </row>
    <row r="23162" spans="1:100">
      <c r="A23162" s="374"/>
      <c r="C23162" s="374"/>
      <c r="CV23162" s="376"/>
    </row>
    <row r="23163" spans="1:100">
      <c r="A23163" s="374"/>
      <c r="C23163" s="374"/>
      <c r="CV23163" s="376"/>
    </row>
    <row r="23164" spans="1:100">
      <c r="A23164" s="374"/>
      <c r="C23164" s="374"/>
      <c r="CV23164" s="376"/>
    </row>
    <row r="23165" spans="1:100">
      <c r="A23165" s="374"/>
      <c r="C23165" s="374"/>
      <c r="CV23165" s="376"/>
    </row>
    <row r="23166" spans="1:100">
      <c r="A23166" s="374"/>
      <c r="C23166" s="374"/>
      <c r="CV23166" s="376"/>
    </row>
    <row r="23167" spans="1:100">
      <c r="A23167" s="374"/>
      <c r="C23167" s="374"/>
      <c r="CV23167" s="376"/>
    </row>
    <row r="23168" spans="1:100">
      <c r="A23168" s="374"/>
      <c r="C23168" s="374"/>
      <c r="CV23168" s="376"/>
    </row>
    <row r="23169" spans="1:100">
      <c r="A23169" s="374"/>
      <c r="C23169" s="374"/>
      <c r="CV23169" s="376"/>
    </row>
    <row r="23170" spans="1:100">
      <c r="A23170" s="374"/>
      <c r="C23170" s="374"/>
      <c r="CV23170" s="376"/>
    </row>
    <row r="23171" spans="1:100">
      <c r="A23171" s="374"/>
      <c r="C23171" s="374"/>
      <c r="CV23171" s="376"/>
    </row>
    <row r="23172" spans="1:100">
      <c r="A23172" s="374"/>
      <c r="C23172" s="374"/>
      <c r="CV23172" s="376"/>
    </row>
    <row r="23173" spans="1:100">
      <c r="A23173" s="374"/>
      <c r="C23173" s="374"/>
      <c r="CV23173" s="376"/>
    </row>
    <row r="23174" spans="1:100">
      <c r="A23174" s="374"/>
      <c r="C23174" s="374"/>
      <c r="CV23174" s="376"/>
    </row>
    <row r="23175" spans="1:100">
      <c r="A23175" s="374"/>
      <c r="C23175" s="374"/>
      <c r="CV23175" s="376"/>
    </row>
    <row r="23176" spans="1:100">
      <c r="A23176" s="374"/>
      <c r="C23176" s="374"/>
      <c r="CV23176" s="376"/>
    </row>
    <row r="23177" spans="1:100">
      <c r="A23177" s="374"/>
      <c r="C23177" s="374"/>
      <c r="CV23177" s="376"/>
    </row>
    <row r="23178" spans="1:100">
      <c r="A23178" s="374"/>
      <c r="C23178" s="374"/>
      <c r="CV23178" s="376"/>
    </row>
    <row r="23179" spans="1:100">
      <c r="A23179" s="374"/>
      <c r="C23179" s="374"/>
      <c r="CV23179" s="376"/>
    </row>
    <row r="23180" spans="1:100">
      <c r="A23180" s="374"/>
      <c r="C23180" s="374"/>
      <c r="CV23180" s="376"/>
    </row>
    <row r="23181" spans="1:100">
      <c r="A23181" s="374"/>
      <c r="C23181" s="374"/>
      <c r="CV23181" s="376"/>
    </row>
    <row r="23182" spans="1:100">
      <c r="A23182" s="374"/>
      <c r="C23182" s="374"/>
      <c r="CV23182" s="376"/>
    </row>
    <row r="23183" spans="1:100">
      <c r="A23183" s="374"/>
      <c r="C23183" s="374"/>
      <c r="CV23183" s="376"/>
    </row>
    <row r="23184" spans="1:100">
      <c r="A23184" s="374"/>
      <c r="C23184" s="374"/>
      <c r="CV23184" s="376"/>
    </row>
    <row r="23185" spans="1:100">
      <c r="A23185" s="374"/>
      <c r="C23185" s="374"/>
      <c r="CV23185" s="376"/>
    </row>
    <row r="23186" spans="1:100">
      <c r="A23186" s="374"/>
      <c r="C23186" s="374"/>
      <c r="CV23186" s="376"/>
    </row>
    <row r="23187" spans="1:100">
      <c r="A23187" s="374"/>
      <c r="C23187" s="374"/>
      <c r="CV23187" s="376"/>
    </row>
    <row r="23188" spans="1:100">
      <c r="A23188" s="374"/>
      <c r="C23188" s="374"/>
      <c r="CV23188" s="376"/>
    </row>
    <row r="23189" spans="1:100">
      <c r="A23189" s="374"/>
      <c r="C23189" s="374"/>
      <c r="CV23189" s="376"/>
    </row>
    <row r="23190" spans="1:100">
      <c r="A23190" s="374"/>
      <c r="C23190" s="374"/>
      <c r="CV23190" s="376"/>
    </row>
    <row r="23191" spans="1:100">
      <c r="A23191" s="374"/>
      <c r="C23191" s="374"/>
      <c r="CV23191" s="376"/>
    </row>
    <row r="23192" spans="1:100">
      <c r="A23192" s="374"/>
      <c r="C23192" s="374"/>
      <c r="CV23192" s="376"/>
    </row>
    <row r="23193" spans="1:100">
      <c r="A23193" s="374"/>
      <c r="C23193" s="374"/>
      <c r="CV23193" s="376"/>
    </row>
    <row r="23194" spans="1:100">
      <c r="A23194" s="374"/>
      <c r="C23194" s="374"/>
      <c r="CV23194" s="376"/>
    </row>
    <row r="23195" spans="1:100">
      <c r="A23195" s="374"/>
      <c r="C23195" s="374"/>
      <c r="CV23195" s="376"/>
    </row>
    <row r="23196" spans="1:100">
      <c r="A23196" s="374"/>
      <c r="C23196" s="374"/>
      <c r="CV23196" s="376"/>
    </row>
    <row r="23197" spans="1:100">
      <c r="A23197" s="374"/>
      <c r="C23197" s="374"/>
      <c r="CV23197" s="376"/>
    </row>
    <row r="23198" spans="1:100">
      <c r="A23198" s="374"/>
      <c r="C23198" s="374"/>
      <c r="CV23198" s="376"/>
    </row>
    <row r="23199" spans="1:100">
      <c r="A23199" s="374"/>
      <c r="C23199" s="374"/>
      <c r="CV23199" s="376"/>
    </row>
    <row r="23200" spans="1:100">
      <c r="A23200" s="374"/>
      <c r="C23200" s="374"/>
      <c r="CV23200" s="376"/>
    </row>
    <row r="23201" spans="1:100">
      <c r="A23201" s="374"/>
      <c r="C23201" s="374"/>
      <c r="CV23201" s="376"/>
    </row>
    <row r="23202" spans="1:100">
      <c r="A23202" s="374"/>
      <c r="C23202" s="374"/>
      <c r="CV23202" s="376"/>
    </row>
    <row r="23203" spans="1:100">
      <c r="A23203" s="374"/>
      <c r="C23203" s="374"/>
      <c r="CV23203" s="376"/>
    </row>
    <row r="23204" spans="1:100">
      <c r="A23204" s="374"/>
      <c r="C23204" s="374"/>
      <c r="CV23204" s="376"/>
    </row>
    <row r="23205" spans="1:100">
      <c r="A23205" s="374"/>
      <c r="C23205" s="374"/>
      <c r="CV23205" s="376"/>
    </row>
    <row r="23206" spans="1:100">
      <c r="A23206" s="374"/>
      <c r="C23206" s="374"/>
      <c r="CV23206" s="376"/>
    </row>
    <row r="23207" spans="1:100">
      <c r="A23207" s="374"/>
      <c r="C23207" s="374"/>
      <c r="CV23207" s="376"/>
    </row>
    <row r="23208" spans="1:100">
      <c r="A23208" s="374"/>
      <c r="C23208" s="374"/>
      <c r="CV23208" s="376"/>
    </row>
    <row r="23209" spans="1:100">
      <c r="A23209" s="374"/>
      <c r="C23209" s="374"/>
      <c r="CV23209" s="376"/>
    </row>
    <row r="23210" spans="1:100">
      <c r="A23210" s="374"/>
      <c r="C23210" s="374"/>
      <c r="CV23210" s="376"/>
    </row>
    <row r="23211" spans="1:100">
      <c r="A23211" s="374"/>
      <c r="C23211" s="374"/>
      <c r="CV23211" s="376"/>
    </row>
    <row r="23212" spans="1:100">
      <c r="A23212" s="374"/>
      <c r="C23212" s="374"/>
      <c r="CV23212" s="376"/>
    </row>
    <row r="23213" spans="1:100">
      <c r="A23213" s="374"/>
      <c r="C23213" s="374"/>
      <c r="CV23213" s="376"/>
    </row>
    <row r="23214" spans="1:100">
      <c r="A23214" s="374"/>
      <c r="C23214" s="374"/>
      <c r="CV23214" s="376"/>
    </row>
    <row r="23215" spans="1:100">
      <c r="A23215" s="374"/>
      <c r="C23215" s="374"/>
      <c r="CV23215" s="376"/>
    </row>
    <row r="23216" spans="1:100">
      <c r="A23216" s="374"/>
      <c r="C23216" s="374"/>
      <c r="CV23216" s="376"/>
    </row>
    <row r="23217" spans="1:100">
      <c r="A23217" s="374"/>
      <c r="C23217" s="374"/>
      <c r="CV23217" s="376"/>
    </row>
    <row r="23218" spans="1:100">
      <c r="A23218" s="374"/>
      <c r="C23218" s="374"/>
      <c r="CV23218" s="376"/>
    </row>
    <row r="23219" spans="1:100">
      <c r="A23219" s="374"/>
      <c r="C23219" s="374"/>
      <c r="CV23219" s="376"/>
    </row>
    <row r="23220" spans="1:100">
      <c r="A23220" s="374"/>
      <c r="C23220" s="374"/>
      <c r="CV23220" s="376"/>
    </row>
    <row r="23221" spans="1:100">
      <c r="A23221" s="374"/>
      <c r="C23221" s="374"/>
      <c r="CV23221" s="376"/>
    </row>
    <row r="23222" spans="1:100">
      <c r="A23222" s="374"/>
      <c r="C23222" s="374"/>
      <c r="CV23222" s="376"/>
    </row>
    <row r="23223" spans="1:100">
      <c r="A23223" s="374"/>
      <c r="C23223" s="374"/>
      <c r="CV23223" s="376"/>
    </row>
    <row r="23224" spans="1:100">
      <c r="A23224" s="374"/>
      <c r="C23224" s="374"/>
      <c r="CV23224" s="376"/>
    </row>
    <row r="23225" spans="1:100">
      <c r="A23225" s="374"/>
      <c r="C23225" s="374"/>
      <c r="CV23225" s="376"/>
    </row>
    <row r="23226" spans="1:100">
      <c r="A23226" s="374"/>
      <c r="C23226" s="374"/>
      <c r="CV23226" s="376"/>
    </row>
    <row r="23227" spans="1:100">
      <c r="A23227" s="374"/>
      <c r="C23227" s="374"/>
      <c r="CV23227" s="376"/>
    </row>
    <row r="23228" spans="1:100">
      <c r="A23228" s="374"/>
      <c r="C23228" s="374"/>
      <c r="CV23228" s="376"/>
    </row>
    <row r="23229" spans="1:100">
      <c r="A23229" s="374"/>
      <c r="C23229" s="374"/>
      <c r="CV23229" s="376"/>
    </row>
    <row r="23230" spans="1:100">
      <c r="A23230" s="374"/>
      <c r="C23230" s="374"/>
      <c r="CV23230" s="376"/>
    </row>
    <row r="23231" spans="1:100">
      <c r="A23231" s="374"/>
      <c r="C23231" s="374"/>
      <c r="CV23231" s="376"/>
    </row>
    <row r="23232" spans="1:100">
      <c r="A23232" s="374"/>
      <c r="C23232" s="374"/>
      <c r="CV23232" s="376"/>
    </row>
    <row r="23233" spans="1:100">
      <c r="A23233" s="374"/>
      <c r="C23233" s="374"/>
      <c r="CV23233" s="376"/>
    </row>
    <row r="23234" spans="1:100">
      <c r="A23234" s="374"/>
      <c r="C23234" s="374"/>
      <c r="CV23234" s="376"/>
    </row>
    <row r="23235" spans="1:100">
      <c r="A23235" s="374"/>
      <c r="C23235" s="374"/>
      <c r="CV23235" s="376"/>
    </row>
    <row r="23236" spans="1:100">
      <c r="A23236" s="374"/>
      <c r="C23236" s="374"/>
      <c r="CV23236" s="376"/>
    </row>
    <row r="23237" spans="1:100">
      <c r="A23237" s="374"/>
      <c r="C23237" s="374"/>
      <c r="CV23237" s="376"/>
    </row>
    <row r="23238" spans="1:100">
      <c r="A23238" s="374"/>
      <c r="C23238" s="374"/>
      <c r="CV23238" s="376"/>
    </row>
    <row r="23239" spans="1:100">
      <c r="A23239" s="374"/>
      <c r="C23239" s="374"/>
      <c r="CV23239" s="376"/>
    </row>
    <row r="23240" spans="1:100">
      <c r="A23240" s="374"/>
      <c r="C23240" s="374"/>
      <c r="CV23240" s="376"/>
    </row>
    <row r="23241" spans="1:100">
      <c r="A23241" s="374"/>
      <c r="C23241" s="374"/>
      <c r="CV23241" s="376"/>
    </row>
    <row r="23242" spans="1:100">
      <c r="A23242" s="374"/>
      <c r="C23242" s="374"/>
      <c r="CV23242" s="376"/>
    </row>
    <row r="23243" spans="1:100">
      <c r="A23243" s="374"/>
      <c r="C23243" s="374"/>
      <c r="CV23243" s="376"/>
    </row>
    <row r="23244" spans="1:100">
      <c r="A23244" s="374"/>
      <c r="C23244" s="374"/>
      <c r="CV23244" s="376"/>
    </row>
    <row r="23245" spans="1:100">
      <c r="A23245" s="374"/>
      <c r="C23245" s="374"/>
      <c r="CV23245" s="376"/>
    </row>
    <row r="23246" spans="1:100">
      <c r="A23246" s="374"/>
      <c r="C23246" s="374"/>
      <c r="CV23246" s="376"/>
    </row>
    <row r="23247" spans="1:100">
      <c r="A23247" s="374"/>
      <c r="C23247" s="374"/>
      <c r="CV23247" s="376"/>
    </row>
    <row r="23248" spans="1:100">
      <c r="A23248" s="374"/>
      <c r="C23248" s="374"/>
      <c r="CV23248" s="376"/>
    </row>
    <row r="23249" spans="1:100">
      <c r="A23249" s="374"/>
      <c r="C23249" s="374"/>
      <c r="CV23249" s="376"/>
    </row>
    <row r="23250" spans="1:100">
      <c r="A23250" s="374"/>
      <c r="C23250" s="374"/>
      <c r="CV23250" s="376"/>
    </row>
    <row r="23251" spans="1:100">
      <c r="A23251" s="374"/>
      <c r="C23251" s="374"/>
      <c r="CV23251" s="376"/>
    </row>
    <row r="23252" spans="1:100">
      <c r="A23252" s="374"/>
      <c r="C23252" s="374"/>
      <c r="CV23252" s="376"/>
    </row>
    <row r="23253" spans="1:100">
      <c r="A23253" s="374"/>
      <c r="C23253" s="374"/>
      <c r="CV23253" s="376"/>
    </row>
    <row r="23254" spans="1:100">
      <c r="A23254" s="374"/>
      <c r="C23254" s="374"/>
      <c r="CV23254" s="376"/>
    </row>
    <row r="23255" spans="1:100">
      <c r="A23255" s="374"/>
      <c r="C23255" s="374"/>
      <c r="CV23255" s="376"/>
    </row>
    <row r="23256" spans="1:100">
      <c r="A23256" s="374"/>
      <c r="C23256" s="374"/>
      <c r="CV23256" s="376"/>
    </row>
    <row r="23257" spans="1:100">
      <c r="A23257" s="374"/>
      <c r="C23257" s="374"/>
      <c r="CV23257" s="376"/>
    </row>
    <row r="23258" spans="1:100">
      <c r="A23258" s="374"/>
      <c r="C23258" s="374"/>
      <c r="CV23258" s="376"/>
    </row>
    <row r="23259" spans="1:100">
      <c r="A23259" s="374"/>
      <c r="C23259" s="374"/>
      <c r="CV23259" s="376"/>
    </row>
    <row r="23260" spans="1:100">
      <c r="A23260" s="374"/>
      <c r="C23260" s="374"/>
      <c r="CV23260" s="376"/>
    </row>
    <row r="23261" spans="1:100">
      <c r="A23261" s="374"/>
      <c r="C23261" s="374"/>
      <c r="CV23261" s="376"/>
    </row>
    <row r="23262" spans="1:100">
      <c r="A23262" s="374"/>
      <c r="C23262" s="374"/>
      <c r="CV23262" s="376"/>
    </row>
    <row r="23263" spans="1:100">
      <c r="A23263" s="374"/>
      <c r="C23263" s="374"/>
      <c r="CV23263" s="376"/>
    </row>
    <row r="23264" spans="1:100">
      <c r="A23264" s="374"/>
      <c r="C23264" s="374"/>
      <c r="CV23264" s="376"/>
    </row>
    <row r="23265" spans="1:100">
      <c r="A23265" s="374"/>
      <c r="C23265" s="374"/>
      <c r="CV23265" s="376"/>
    </row>
    <row r="23266" spans="1:100">
      <c r="A23266" s="374"/>
      <c r="C23266" s="374"/>
      <c r="CV23266" s="376"/>
    </row>
    <row r="23267" spans="1:100">
      <c r="A23267" s="374"/>
      <c r="C23267" s="374"/>
      <c r="CV23267" s="376"/>
    </row>
    <row r="23268" spans="1:100">
      <c r="A23268" s="374"/>
      <c r="C23268" s="374"/>
      <c r="CV23268" s="376"/>
    </row>
    <row r="23269" spans="1:100">
      <c r="A23269" s="374"/>
      <c r="C23269" s="374"/>
      <c r="CV23269" s="376"/>
    </row>
    <row r="23270" spans="1:100">
      <c r="A23270" s="374"/>
      <c r="C23270" s="374"/>
      <c r="CV23270" s="376"/>
    </row>
    <row r="23271" spans="1:100">
      <c r="A23271" s="374"/>
      <c r="C23271" s="374"/>
      <c r="CV23271" s="376"/>
    </row>
    <row r="23272" spans="1:100">
      <c r="A23272" s="374"/>
      <c r="C23272" s="374"/>
      <c r="CV23272" s="376"/>
    </row>
    <row r="23273" spans="1:100">
      <c r="A23273" s="374"/>
      <c r="C23273" s="374"/>
      <c r="CV23273" s="376"/>
    </row>
    <row r="23274" spans="1:100">
      <c r="A23274" s="374"/>
      <c r="C23274" s="374"/>
      <c r="CV23274" s="376"/>
    </row>
    <row r="23275" spans="1:100">
      <c r="A23275" s="374"/>
      <c r="C23275" s="374"/>
      <c r="CV23275" s="376"/>
    </row>
    <row r="23276" spans="1:100">
      <c r="A23276" s="374"/>
      <c r="C23276" s="374"/>
      <c r="CV23276" s="376"/>
    </row>
    <row r="23277" spans="1:100">
      <c r="A23277" s="374"/>
      <c r="C23277" s="374"/>
      <c r="CV23277" s="376"/>
    </row>
    <row r="23278" spans="1:100">
      <c r="A23278" s="374"/>
      <c r="C23278" s="374"/>
      <c r="CV23278" s="376"/>
    </row>
    <row r="23279" spans="1:100">
      <c r="A23279" s="374"/>
      <c r="C23279" s="374"/>
      <c r="CV23279" s="376"/>
    </row>
    <row r="23280" spans="1:100">
      <c r="A23280" s="374"/>
      <c r="C23280" s="374"/>
      <c r="CV23280" s="376"/>
    </row>
    <row r="23281" spans="1:100">
      <c r="A23281" s="374"/>
      <c r="C23281" s="374"/>
      <c r="CV23281" s="376"/>
    </row>
    <row r="23282" spans="1:100">
      <c r="A23282" s="374"/>
      <c r="C23282" s="374"/>
      <c r="CV23282" s="376"/>
    </row>
    <row r="23283" spans="1:100">
      <c r="A23283" s="374"/>
      <c r="C23283" s="374"/>
      <c r="CV23283" s="376"/>
    </row>
    <row r="23284" spans="1:100">
      <c r="A23284" s="374"/>
      <c r="C23284" s="374"/>
      <c r="CV23284" s="376"/>
    </row>
    <row r="23285" spans="1:100">
      <c r="A23285" s="374"/>
      <c r="C23285" s="374"/>
      <c r="CV23285" s="376"/>
    </row>
    <row r="23286" spans="1:100">
      <c r="A23286" s="374"/>
      <c r="C23286" s="374"/>
      <c r="CV23286" s="376"/>
    </row>
    <row r="23287" spans="1:100">
      <c r="A23287" s="374"/>
      <c r="C23287" s="374"/>
      <c r="CV23287" s="376"/>
    </row>
    <row r="23288" spans="1:100">
      <c r="A23288" s="374"/>
      <c r="C23288" s="374"/>
      <c r="CV23288" s="376"/>
    </row>
    <row r="23289" spans="1:100">
      <c r="A23289" s="374"/>
      <c r="C23289" s="374"/>
      <c r="CV23289" s="376"/>
    </row>
    <row r="23290" spans="1:100">
      <c r="A23290" s="374"/>
      <c r="C23290" s="374"/>
      <c r="CV23290" s="376"/>
    </row>
    <row r="23291" spans="1:100">
      <c r="A23291" s="374"/>
      <c r="C23291" s="374"/>
      <c r="CV23291" s="376"/>
    </row>
    <row r="23292" spans="1:100">
      <c r="A23292" s="374"/>
      <c r="C23292" s="374"/>
      <c r="CV23292" s="376"/>
    </row>
    <row r="23293" spans="1:100">
      <c r="A23293" s="374"/>
      <c r="C23293" s="374"/>
      <c r="CV23293" s="376"/>
    </row>
    <row r="23294" spans="1:100">
      <c r="A23294" s="374"/>
      <c r="C23294" s="374"/>
      <c r="CV23294" s="376"/>
    </row>
    <row r="23295" spans="1:100">
      <c r="A23295" s="374"/>
      <c r="C23295" s="374"/>
      <c r="CV23295" s="376"/>
    </row>
    <row r="23296" spans="1:100">
      <c r="A23296" s="374"/>
      <c r="C23296" s="374"/>
      <c r="CV23296" s="376"/>
    </row>
    <row r="23297" spans="1:100">
      <c r="A23297" s="374"/>
      <c r="C23297" s="374"/>
      <c r="CV23297" s="376"/>
    </row>
    <row r="23298" spans="1:100">
      <c r="A23298" s="374"/>
      <c r="C23298" s="374"/>
      <c r="CV23298" s="376"/>
    </row>
    <row r="23299" spans="1:100">
      <c r="A23299" s="374"/>
      <c r="C23299" s="374"/>
      <c r="CV23299" s="376"/>
    </row>
    <row r="23300" spans="1:100">
      <c r="A23300" s="374"/>
      <c r="C23300" s="374"/>
      <c r="CV23300" s="376"/>
    </row>
    <row r="23301" spans="1:100">
      <c r="A23301" s="374"/>
      <c r="C23301" s="374"/>
      <c r="CV23301" s="376"/>
    </row>
    <row r="23302" spans="1:100">
      <c r="A23302" s="374"/>
      <c r="C23302" s="374"/>
      <c r="CV23302" s="376"/>
    </row>
    <row r="23303" spans="1:100">
      <c r="A23303" s="374"/>
      <c r="C23303" s="374"/>
      <c r="CV23303" s="376"/>
    </row>
    <row r="23304" spans="1:100">
      <c r="A23304" s="374"/>
      <c r="C23304" s="374"/>
      <c r="CV23304" s="376"/>
    </row>
    <row r="23305" spans="1:100">
      <c r="A23305" s="374"/>
      <c r="C23305" s="374"/>
      <c r="CV23305" s="376"/>
    </row>
    <row r="23306" spans="1:100">
      <c r="A23306" s="374"/>
      <c r="C23306" s="374"/>
      <c r="CV23306" s="376"/>
    </row>
    <row r="23307" spans="1:100">
      <c r="A23307" s="374"/>
      <c r="C23307" s="374"/>
      <c r="CV23307" s="376"/>
    </row>
    <row r="23308" spans="1:100">
      <c r="A23308" s="374"/>
      <c r="C23308" s="374"/>
      <c r="CV23308" s="376"/>
    </row>
    <row r="23309" spans="1:100">
      <c r="A23309" s="374"/>
      <c r="C23309" s="374"/>
      <c r="CV23309" s="376"/>
    </row>
    <row r="23310" spans="1:100">
      <c r="A23310" s="374"/>
      <c r="C23310" s="374"/>
      <c r="CV23310" s="376"/>
    </row>
    <row r="23311" spans="1:100">
      <c r="A23311" s="374"/>
      <c r="C23311" s="374"/>
      <c r="CV23311" s="376"/>
    </row>
    <row r="23312" spans="1:100">
      <c r="A23312" s="374"/>
      <c r="C23312" s="374"/>
      <c r="CV23312" s="376"/>
    </row>
    <row r="23313" spans="1:100">
      <c r="A23313" s="374"/>
      <c r="C23313" s="374"/>
      <c r="CV23313" s="376"/>
    </row>
    <row r="23314" spans="1:100">
      <c r="A23314" s="374"/>
      <c r="C23314" s="374"/>
      <c r="CV23314" s="376"/>
    </row>
    <row r="23315" spans="1:100">
      <c r="A23315" s="374"/>
      <c r="C23315" s="374"/>
      <c r="CV23315" s="376"/>
    </row>
    <row r="23316" spans="1:100">
      <c r="A23316" s="374"/>
      <c r="C23316" s="374"/>
      <c r="CV23316" s="376"/>
    </row>
    <row r="23317" spans="1:100">
      <c r="A23317" s="374"/>
      <c r="C23317" s="374"/>
      <c r="CV23317" s="376"/>
    </row>
    <row r="23318" spans="1:100">
      <c r="A23318" s="374"/>
      <c r="C23318" s="374"/>
      <c r="CV23318" s="376"/>
    </row>
    <row r="23319" spans="1:100">
      <c r="A23319" s="374"/>
      <c r="C23319" s="374"/>
      <c r="CV23319" s="376"/>
    </row>
    <row r="23320" spans="1:100">
      <c r="A23320" s="374"/>
      <c r="C23320" s="374"/>
      <c r="CV23320" s="376"/>
    </row>
    <row r="23321" spans="1:100">
      <c r="A23321" s="374"/>
      <c r="C23321" s="374"/>
      <c r="CV23321" s="376"/>
    </row>
    <row r="23322" spans="1:100">
      <c r="A23322" s="374"/>
      <c r="C23322" s="374"/>
      <c r="CV23322" s="376"/>
    </row>
    <row r="23323" spans="1:100">
      <c r="A23323" s="374"/>
      <c r="C23323" s="374"/>
      <c r="CV23323" s="376"/>
    </row>
    <row r="23324" spans="1:100">
      <c r="A23324" s="374"/>
      <c r="C23324" s="374"/>
      <c r="CV23324" s="376"/>
    </row>
    <row r="23325" spans="1:100">
      <c r="A23325" s="374"/>
      <c r="C23325" s="374"/>
      <c r="CV23325" s="376"/>
    </row>
    <row r="23326" spans="1:100">
      <c r="A23326" s="374"/>
      <c r="C23326" s="374"/>
      <c r="CV23326" s="376"/>
    </row>
    <row r="23327" spans="1:100">
      <c r="A23327" s="374"/>
      <c r="C23327" s="374"/>
      <c r="CV23327" s="376"/>
    </row>
    <row r="23328" spans="1:100">
      <c r="A23328" s="374"/>
      <c r="C23328" s="374"/>
      <c r="CV23328" s="376"/>
    </row>
    <row r="23329" spans="1:100">
      <c r="A23329" s="374"/>
      <c r="C23329" s="374"/>
      <c r="CV23329" s="376"/>
    </row>
    <row r="23330" spans="1:100">
      <c r="A23330" s="374"/>
      <c r="C23330" s="374"/>
      <c r="CV23330" s="376"/>
    </row>
    <row r="23331" spans="1:100">
      <c r="A23331" s="374"/>
      <c r="C23331" s="374"/>
      <c r="CV23331" s="376"/>
    </row>
    <row r="23332" spans="1:100">
      <c r="A23332" s="374"/>
      <c r="C23332" s="374"/>
      <c r="CV23332" s="376"/>
    </row>
    <row r="23333" spans="1:100">
      <c r="A23333" s="374"/>
      <c r="C23333" s="374"/>
      <c r="CV23333" s="376"/>
    </row>
    <row r="23334" spans="1:100">
      <c r="A23334" s="374"/>
      <c r="C23334" s="374"/>
      <c r="CV23334" s="376"/>
    </row>
    <row r="23335" spans="1:100">
      <c r="A23335" s="374"/>
      <c r="C23335" s="374"/>
      <c r="CV23335" s="376"/>
    </row>
    <row r="23336" spans="1:100">
      <c r="A23336" s="374"/>
      <c r="C23336" s="374"/>
      <c r="CV23336" s="376"/>
    </row>
    <row r="23337" spans="1:100">
      <c r="A23337" s="374"/>
      <c r="C23337" s="374"/>
      <c r="CV23337" s="376"/>
    </row>
    <row r="23338" spans="1:100">
      <c r="A23338" s="374"/>
      <c r="C23338" s="374"/>
      <c r="CV23338" s="376"/>
    </row>
    <row r="23339" spans="1:100">
      <c r="A23339" s="374"/>
      <c r="C23339" s="374"/>
      <c r="CV23339" s="376"/>
    </row>
    <row r="23340" spans="1:100">
      <c r="A23340" s="374"/>
      <c r="C23340" s="374"/>
      <c r="CV23340" s="376"/>
    </row>
    <row r="23341" spans="1:100">
      <c r="A23341" s="374"/>
      <c r="C23341" s="374"/>
      <c r="CV23341" s="376"/>
    </row>
    <row r="23342" spans="1:100">
      <c r="A23342" s="374"/>
      <c r="C23342" s="374"/>
      <c r="CV23342" s="376"/>
    </row>
    <row r="23343" spans="1:100">
      <c r="A23343" s="374"/>
      <c r="C23343" s="374"/>
      <c r="CV23343" s="376"/>
    </row>
    <row r="23344" spans="1:100">
      <c r="A23344" s="374"/>
      <c r="C23344" s="374"/>
      <c r="CV23344" s="376"/>
    </row>
    <row r="23345" spans="1:100">
      <c r="A23345" s="374"/>
      <c r="C23345" s="374"/>
      <c r="CV23345" s="376"/>
    </row>
    <row r="23346" spans="1:100">
      <c r="A23346" s="374"/>
      <c r="C23346" s="374"/>
      <c r="CV23346" s="376"/>
    </row>
    <row r="23347" spans="1:100">
      <c r="A23347" s="374"/>
      <c r="C23347" s="374"/>
      <c r="CV23347" s="376"/>
    </row>
    <row r="23348" spans="1:100">
      <c r="A23348" s="374"/>
      <c r="C23348" s="374"/>
      <c r="CV23348" s="376"/>
    </row>
    <row r="23349" spans="1:100">
      <c r="A23349" s="374"/>
      <c r="C23349" s="374"/>
      <c r="CV23349" s="376"/>
    </row>
    <row r="23350" spans="1:100">
      <c r="A23350" s="374"/>
      <c r="C23350" s="374"/>
      <c r="CV23350" s="376"/>
    </row>
    <row r="23351" spans="1:100">
      <c r="A23351" s="374"/>
      <c r="C23351" s="374"/>
      <c r="CV23351" s="376"/>
    </row>
    <row r="23352" spans="1:100">
      <c r="A23352" s="374"/>
      <c r="C23352" s="374"/>
      <c r="CV23352" s="376"/>
    </row>
    <row r="23353" spans="1:100">
      <c r="A23353" s="374"/>
      <c r="C23353" s="374"/>
      <c r="CV23353" s="376"/>
    </row>
    <row r="23354" spans="1:100">
      <c r="A23354" s="374"/>
      <c r="C23354" s="374"/>
      <c r="CV23354" s="376"/>
    </row>
    <row r="23355" spans="1:100">
      <c r="A23355" s="374"/>
      <c r="C23355" s="374"/>
      <c r="CV23355" s="376"/>
    </row>
    <row r="23356" spans="1:100">
      <c r="A23356" s="374"/>
      <c r="C23356" s="374"/>
      <c r="CV23356" s="376"/>
    </row>
    <row r="23357" spans="1:100">
      <c r="A23357" s="374"/>
      <c r="C23357" s="374"/>
      <c r="CV23357" s="376"/>
    </row>
    <row r="23358" spans="1:100">
      <c r="A23358" s="374"/>
      <c r="C23358" s="374"/>
      <c r="CV23358" s="376"/>
    </row>
    <row r="23359" spans="1:100">
      <c r="A23359" s="374"/>
      <c r="C23359" s="374"/>
      <c r="CV23359" s="376"/>
    </row>
    <row r="23360" spans="1:100">
      <c r="A23360" s="374"/>
      <c r="C23360" s="374"/>
      <c r="CV23360" s="376"/>
    </row>
    <row r="23361" spans="1:100">
      <c r="A23361" s="374"/>
      <c r="C23361" s="374"/>
      <c r="CV23361" s="376"/>
    </row>
    <row r="23362" spans="1:100">
      <c r="A23362" s="374"/>
      <c r="C23362" s="374"/>
      <c r="CV23362" s="376"/>
    </row>
    <row r="23363" spans="1:100">
      <c r="A23363" s="374"/>
      <c r="C23363" s="374"/>
      <c r="CV23363" s="376"/>
    </row>
    <row r="23364" spans="1:100">
      <c r="A23364" s="374"/>
      <c r="C23364" s="374"/>
      <c r="CV23364" s="376"/>
    </row>
    <row r="23365" spans="1:100">
      <c r="A23365" s="374"/>
      <c r="C23365" s="374"/>
      <c r="CV23365" s="376"/>
    </row>
    <row r="23366" spans="1:100">
      <c r="A23366" s="374"/>
      <c r="C23366" s="374"/>
      <c r="CV23366" s="376"/>
    </row>
    <row r="23367" spans="1:100">
      <c r="A23367" s="374"/>
      <c r="C23367" s="374"/>
      <c r="CV23367" s="376"/>
    </row>
    <row r="23368" spans="1:100">
      <c r="A23368" s="374"/>
      <c r="C23368" s="374"/>
      <c r="CV23368" s="376"/>
    </row>
    <row r="23369" spans="1:100">
      <c r="A23369" s="374"/>
      <c r="C23369" s="374"/>
      <c r="CV23369" s="376"/>
    </row>
    <row r="23370" spans="1:100">
      <c r="A23370" s="374"/>
      <c r="C23370" s="374"/>
      <c r="CV23370" s="376"/>
    </row>
    <row r="23371" spans="1:100">
      <c r="A23371" s="374"/>
      <c r="C23371" s="374"/>
      <c r="CV23371" s="376"/>
    </row>
    <row r="23372" spans="1:100">
      <c r="A23372" s="374"/>
      <c r="C23372" s="374"/>
      <c r="CV23372" s="376"/>
    </row>
    <row r="23373" spans="1:100">
      <c r="A23373" s="374"/>
      <c r="C23373" s="374"/>
      <c r="CV23373" s="376"/>
    </row>
    <row r="23374" spans="1:100">
      <c r="A23374" s="374"/>
      <c r="C23374" s="374"/>
      <c r="CV23374" s="376"/>
    </row>
    <row r="23375" spans="1:100">
      <c r="A23375" s="374"/>
      <c r="C23375" s="374"/>
      <c r="CV23375" s="376"/>
    </row>
    <row r="23376" spans="1:100">
      <c r="A23376" s="374"/>
      <c r="C23376" s="374"/>
      <c r="CV23376" s="376"/>
    </row>
    <row r="23377" spans="1:100">
      <c r="A23377" s="374"/>
      <c r="C23377" s="374"/>
      <c r="CV23377" s="376"/>
    </row>
    <row r="23378" spans="1:100">
      <c r="A23378" s="374"/>
      <c r="C23378" s="374"/>
      <c r="CV23378" s="376"/>
    </row>
    <row r="23379" spans="1:100">
      <c r="A23379" s="374"/>
      <c r="C23379" s="374"/>
      <c r="CV23379" s="376"/>
    </row>
    <row r="23380" spans="1:100">
      <c r="A23380" s="374"/>
      <c r="C23380" s="374"/>
      <c r="CV23380" s="376"/>
    </row>
    <row r="23381" spans="1:100">
      <c r="A23381" s="374"/>
      <c r="C23381" s="374"/>
      <c r="CV23381" s="376"/>
    </row>
    <row r="23382" spans="1:100">
      <c r="A23382" s="374"/>
      <c r="C23382" s="374"/>
      <c r="CV23382" s="376"/>
    </row>
    <row r="23383" spans="1:100">
      <c r="A23383" s="374"/>
      <c r="C23383" s="374"/>
      <c r="CV23383" s="376"/>
    </row>
    <row r="23384" spans="1:100">
      <c r="A23384" s="374"/>
      <c r="C23384" s="374"/>
      <c r="CV23384" s="376"/>
    </row>
    <row r="23385" spans="1:100">
      <c r="A23385" s="374"/>
      <c r="C23385" s="374"/>
      <c r="CV23385" s="376"/>
    </row>
    <row r="23386" spans="1:100">
      <c r="A23386" s="374"/>
      <c r="C23386" s="374"/>
      <c r="CV23386" s="376"/>
    </row>
    <row r="23387" spans="1:100">
      <c r="A23387" s="374"/>
      <c r="C23387" s="374"/>
      <c r="CV23387" s="376"/>
    </row>
    <row r="23388" spans="1:100">
      <c r="A23388" s="374"/>
      <c r="C23388" s="374"/>
      <c r="CV23388" s="376"/>
    </row>
    <row r="23389" spans="1:100">
      <c r="A23389" s="374"/>
      <c r="C23389" s="374"/>
      <c r="CV23389" s="376"/>
    </row>
    <row r="23390" spans="1:100">
      <c r="A23390" s="374"/>
      <c r="C23390" s="374"/>
      <c r="CV23390" s="376"/>
    </row>
    <row r="23391" spans="1:100">
      <c r="A23391" s="374"/>
      <c r="C23391" s="374"/>
      <c r="CV23391" s="376"/>
    </row>
    <row r="23392" spans="1:100">
      <c r="A23392" s="374"/>
      <c r="C23392" s="374"/>
      <c r="CV23392" s="376"/>
    </row>
    <row r="23393" spans="1:100">
      <c r="A23393" s="374"/>
      <c r="C23393" s="374"/>
      <c r="CV23393" s="376"/>
    </row>
    <row r="23394" spans="1:100">
      <c r="A23394" s="374"/>
      <c r="C23394" s="374"/>
      <c r="CV23394" s="376"/>
    </row>
    <row r="23395" spans="1:100">
      <c r="A23395" s="374"/>
      <c r="C23395" s="374"/>
      <c r="CV23395" s="376"/>
    </row>
    <row r="23396" spans="1:100">
      <c r="A23396" s="374"/>
      <c r="C23396" s="374"/>
      <c r="CV23396" s="376"/>
    </row>
    <row r="23397" spans="1:100">
      <c r="A23397" s="374"/>
      <c r="C23397" s="374"/>
      <c r="CV23397" s="376"/>
    </row>
    <row r="23398" spans="1:100">
      <c r="A23398" s="374"/>
      <c r="C23398" s="374"/>
      <c r="CV23398" s="376"/>
    </row>
    <row r="23399" spans="1:100">
      <c r="A23399" s="374"/>
      <c r="C23399" s="374"/>
      <c r="CV23399" s="376"/>
    </row>
    <row r="23400" spans="1:100">
      <c r="A23400" s="374"/>
      <c r="C23400" s="374"/>
      <c r="CV23400" s="376"/>
    </row>
    <row r="23401" spans="1:100">
      <c r="A23401" s="374"/>
      <c r="C23401" s="374"/>
      <c r="CV23401" s="376"/>
    </row>
    <row r="23402" spans="1:100">
      <c r="A23402" s="374"/>
      <c r="C23402" s="374"/>
      <c r="CV23402" s="376"/>
    </row>
    <row r="23403" spans="1:100">
      <c r="A23403" s="374"/>
      <c r="C23403" s="374"/>
      <c r="CV23403" s="376"/>
    </row>
    <row r="23404" spans="1:100">
      <c r="A23404" s="374"/>
      <c r="C23404" s="374"/>
      <c r="CV23404" s="376"/>
    </row>
    <row r="23405" spans="1:100">
      <c r="A23405" s="374"/>
      <c r="C23405" s="374"/>
      <c r="CV23405" s="376"/>
    </row>
    <row r="23406" spans="1:100">
      <c r="A23406" s="374"/>
      <c r="C23406" s="374"/>
      <c r="CV23406" s="376"/>
    </row>
    <row r="23407" spans="1:100">
      <c r="A23407" s="374"/>
      <c r="C23407" s="374"/>
      <c r="CV23407" s="376"/>
    </row>
    <row r="23408" spans="1:100">
      <c r="A23408" s="374"/>
      <c r="C23408" s="374"/>
      <c r="CV23408" s="376"/>
    </row>
    <row r="23409" spans="1:100">
      <c r="A23409" s="374"/>
      <c r="C23409" s="374"/>
      <c r="CV23409" s="376"/>
    </row>
    <row r="23410" spans="1:100">
      <c r="A23410" s="374"/>
      <c r="C23410" s="374"/>
      <c r="CV23410" s="376"/>
    </row>
    <row r="23411" spans="1:100">
      <c r="A23411" s="374"/>
      <c r="C23411" s="374"/>
      <c r="CV23411" s="376"/>
    </row>
    <row r="23412" spans="1:100">
      <c r="A23412" s="374"/>
      <c r="C23412" s="374"/>
      <c r="CV23412" s="376"/>
    </row>
    <row r="23413" spans="1:100">
      <c r="A23413" s="374"/>
      <c r="C23413" s="374"/>
      <c r="CV23413" s="376"/>
    </row>
    <row r="23414" spans="1:100">
      <c r="A23414" s="374"/>
      <c r="C23414" s="374"/>
      <c r="CV23414" s="376"/>
    </row>
    <row r="23415" spans="1:100">
      <c r="A23415" s="374"/>
      <c r="C23415" s="374"/>
      <c r="CV23415" s="376"/>
    </row>
    <row r="23416" spans="1:100">
      <c r="A23416" s="374"/>
      <c r="C23416" s="374"/>
      <c r="CV23416" s="376"/>
    </row>
    <row r="23417" spans="1:100">
      <c r="A23417" s="374"/>
      <c r="C23417" s="374"/>
      <c r="CV23417" s="376"/>
    </row>
    <row r="23418" spans="1:100">
      <c r="A23418" s="374"/>
      <c r="C23418" s="374"/>
      <c r="CV23418" s="376"/>
    </row>
    <row r="23419" spans="1:100">
      <c r="A23419" s="374"/>
      <c r="C23419" s="374"/>
      <c r="CV23419" s="376"/>
    </row>
    <row r="23420" spans="1:100">
      <c r="A23420" s="374"/>
      <c r="C23420" s="374"/>
      <c r="CV23420" s="376"/>
    </row>
    <row r="23421" spans="1:100">
      <c r="A23421" s="374"/>
      <c r="C23421" s="374"/>
      <c r="CV23421" s="376"/>
    </row>
    <row r="23422" spans="1:100">
      <c r="A23422" s="374"/>
      <c r="C23422" s="374"/>
      <c r="CV23422" s="376"/>
    </row>
    <row r="23423" spans="1:100">
      <c r="A23423" s="374"/>
      <c r="C23423" s="374"/>
      <c r="CV23423" s="376"/>
    </row>
    <row r="23424" spans="1:100">
      <c r="A23424" s="374"/>
      <c r="C23424" s="374"/>
      <c r="CV23424" s="376"/>
    </row>
    <row r="23425" spans="1:100">
      <c r="A23425" s="374"/>
      <c r="C23425" s="374"/>
      <c r="CV23425" s="376"/>
    </row>
    <row r="23426" spans="1:100">
      <c r="A23426" s="374"/>
      <c r="C23426" s="374"/>
      <c r="CV23426" s="376"/>
    </row>
    <row r="23427" spans="1:100">
      <c r="A23427" s="374"/>
      <c r="C23427" s="374"/>
      <c r="CV23427" s="376"/>
    </row>
    <row r="23428" spans="1:100">
      <c r="A23428" s="374"/>
      <c r="C23428" s="374"/>
      <c r="CV23428" s="376"/>
    </row>
    <row r="23429" spans="1:100">
      <c r="A23429" s="374"/>
      <c r="C23429" s="374"/>
      <c r="CV23429" s="376"/>
    </row>
    <row r="23430" spans="1:100">
      <c r="A23430" s="374"/>
      <c r="C23430" s="374"/>
      <c r="CV23430" s="376"/>
    </row>
    <row r="23431" spans="1:100">
      <c r="A23431" s="374"/>
      <c r="C23431" s="374"/>
      <c r="CV23431" s="376"/>
    </row>
    <row r="23432" spans="1:100">
      <c r="A23432" s="374"/>
      <c r="C23432" s="374"/>
      <c r="CV23432" s="376"/>
    </row>
    <row r="23433" spans="1:100">
      <c r="A23433" s="374"/>
      <c r="C23433" s="374"/>
      <c r="CV23433" s="376"/>
    </row>
    <row r="23434" spans="1:100">
      <c r="A23434" s="374"/>
      <c r="C23434" s="374"/>
      <c r="CV23434" s="376"/>
    </row>
    <row r="23435" spans="1:100">
      <c r="A23435" s="374"/>
      <c r="C23435" s="374"/>
      <c r="CV23435" s="376"/>
    </row>
    <row r="23436" spans="1:100">
      <c r="A23436" s="374"/>
      <c r="C23436" s="374"/>
      <c r="CV23436" s="376"/>
    </row>
    <row r="23437" spans="1:100">
      <c r="A23437" s="374"/>
      <c r="C23437" s="374"/>
      <c r="CV23437" s="376"/>
    </row>
    <row r="23438" spans="1:100">
      <c r="A23438" s="374"/>
      <c r="C23438" s="374"/>
      <c r="CV23438" s="376"/>
    </row>
    <row r="23439" spans="1:100">
      <c r="A23439" s="374"/>
      <c r="C23439" s="374"/>
      <c r="CV23439" s="376"/>
    </row>
    <row r="23440" spans="1:100">
      <c r="A23440" s="374"/>
      <c r="C23440" s="374"/>
      <c r="CV23440" s="376"/>
    </row>
    <row r="23441" spans="1:100">
      <c r="A23441" s="374"/>
      <c r="C23441" s="374"/>
      <c r="CV23441" s="376"/>
    </row>
    <row r="23442" spans="1:100">
      <c r="A23442" s="374"/>
      <c r="C23442" s="374"/>
      <c r="CV23442" s="376"/>
    </row>
    <row r="23443" spans="1:100">
      <c r="A23443" s="374"/>
      <c r="C23443" s="374"/>
      <c r="CV23443" s="376"/>
    </row>
    <row r="23444" spans="1:100">
      <c r="A23444" s="374"/>
      <c r="C23444" s="374"/>
      <c r="CV23444" s="376"/>
    </row>
    <row r="23445" spans="1:100">
      <c r="A23445" s="374"/>
      <c r="C23445" s="374"/>
      <c r="CV23445" s="376"/>
    </row>
    <row r="23446" spans="1:100">
      <c r="A23446" s="374"/>
      <c r="C23446" s="374"/>
      <c r="CV23446" s="376"/>
    </row>
    <row r="23447" spans="1:100">
      <c r="A23447" s="374"/>
      <c r="C23447" s="374"/>
      <c r="CV23447" s="376"/>
    </row>
    <row r="23448" spans="1:100">
      <c r="A23448" s="374"/>
      <c r="C23448" s="374"/>
      <c r="CV23448" s="376"/>
    </row>
    <row r="23449" spans="1:100">
      <c r="A23449" s="374"/>
      <c r="C23449" s="374"/>
      <c r="CV23449" s="376"/>
    </row>
    <row r="23450" spans="1:100">
      <c r="A23450" s="374"/>
      <c r="C23450" s="374"/>
      <c r="CV23450" s="376"/>
    </row>
    <row r="23451" spans="1:100">
      <c r="A23451" s="374"/>
      <c r="C23451" s="374"/>
      <c r="CV23451" s="376"/>
    </row>
    <row r="23452" spans="1:100">
      <c r="A23452" s="374"/>
      <c r="C23452" s="374"/>
      <c r="CV23452" s="376"/>
    </row>
    <row r="23453" spans="1:100">
      <c r="A23453" s="374"/>
      <c r="C23453" s="374"/>
      <c r="CV23453" s="376"/>
    </row>
    <row r="23454" spans="1:100">
      <c r="A23454" s="374"/>
      <c r="C23454" s="374"/>
      <c r="CV23454" s="376"/>
    </row>
    <row r="23455" spans="1:100">
      <c r="A23455" s="374"/>
      <c r="C23455" s="374"/>
      <c r="CV23455" s="376"/>
    </row>
    <row r="23456" spans="1:100">
      <c r="A23456" s="374"/>
      <c r="C23456" s="374"/>
      <c r="CV23456" s="376"/>
    </row>
    <row r="23457" spans="1:100">
      <c r="A23457" s="374"/>
      <c r="C23457" s="374"/>
      <c r="CV23457" s="376"/>
    </row>
    <row r="23458" spans="1:100">
      <c r="A23458" s="374"/>
      <c r="C23458" s="374"/>
      <c r="CV23458" s="376"/>
    </row>
    <row r="23459" spans="1:100">
      <c r="A23459" s="374"/>
      <c r="C23459" s="374"/>
      <c r="CV23459" s="376"/>
    </row>
    <row r="23460" spans="1:100">
      <c r="A23460" s="374"/>
      <c r="C23460" s="374"/>
      <c r="CV23460" s="376"/>
    </row>
    <row r="23461" spans="1:100">
      <c r="A23461" s="374"/>
      <c r="C23461" s="374"/>
      <c r="CV23461" s="376"/>
    </row>
    <row r="23462" spans="1:100">
      <c r="A23462" s="374"/>
      <c r="C23462" s="374"/>
      <c r="CV23462" s="376"/>
    </row>
    <row r="23463" spans="1:100">
      <c r="A23463" s="374"/>
      <c r="C23463" s="374"/>
      <c r="CV23463" s="376"/>
    </row>
    <row r="23464" spans="1:100">
      <c r="A23464" s="374"/>
      <c r="C23464" s="374"/>
      <c r="CV23464" s="376"/>
    </row>
    <row r="23465" spans="1:100">
      <c r="A23465" s="374"/>
      <c r="C23465" s="374"/>
      <c r="CV23465" s="376"/>
    </row>
    <row r="23466" spans="1:100">
      <c r="A23466" s="374"/>
      <c r="C23466" s="374"/>
      <c r="CV23466" s="376"/>
    </row>
    <row r="23467" spans="1:100">
      <c r="A23467" s="374"/>
      <c r="C23467" s="374"/>
      <c r="CV23467" s="376"/>
    </row>
    <row r="23468" spans="1:100">
      <c r="A23468" s="374"/>
      <c r="C23468" s="374"/>
      <c r="CV23468" s="376"/>
    </row>
    <row r="23469" spans="1:100">
      <c r="A23469" s="374"/>
      <c r="C23469" s="374"/>
      <c r="CV23469" s="376"/>
    </row>
    <row r="23470" spans="1:100">
      <c r="A23470" s="374"/>
      <c r="C23470" s="374"/>
      <c r="CV23470" s="376"/>
    </row>
    <row r="23471" spans="1:100">
      <c r="A23471" s="374"/>
      <c r="C23471" s="374"/>
      <c r="CV23471" s="376"/>
    </row>
    <row r="23472" spans="1:100">
      <c r="A23472" s="374"/>
      <c r="C23472" s="374"/>
      <c r="CV23472" s="376"/>
    </row>
    <row r="23473" spans="1:100">
      <c r="A23473" s="374"/>
      <c r="C23473" s="374"/>
      <c r="CV23473" s="376"/>
    </row>
    <row r="23474" spans="1:100">
      <c r="A23474" s="374"/>
      <c r="C23474" s="374"/>
      <c r="CV23474" s="376"/>
    </row>
    <row r="23475" spans="1:100">
      <c r="A23475" s="374"/>
      <c r="C23475" s="374"/>
      <c r="CV23475" s="376"/>
    </row>
    <row r="23476" spans="1:100">
      <c r="A23476" s="374"/>
      <c r="C23476" s="374"/>
      <c r="CV23476" s="376"/>
    </row>
    <row r="23477" spans="1:100">
      <c r="A23477" s="374"/>
      <c r="C23477" s="374"/>
      <c r="CV23477" s="376"/>
    </row>
    <row r="23478" spans="1:100">
      <c r="A23478" s="374"/>
      <c r="C23478" s="374"/>
      <c r="CV23478" s="376"/>
    </row>
    <row r="23479" spans="1:100">
      <c r="A23479" s="374"/>
      <c r="C23479" s="374"/>
      <c r="CV23479" s="376"/>
    </row>
    <row r="23480" spans="1:100">
      <c r="A23480" s="374"/>
      <c r="C23480" s="374"/>
      <c r="CV23480" s="376"/>
    </row>
    <row r="23481" spans="1:100">
      <c r="A23481" s="374"/>
      <c r="C23481" s="374"/>
      <c r="CV23481" s="376"/>
    </row>
    <row r="23482" spans="1:100">
      <c r="A23482" s="374"/>
      <c r="C23482" s="374"/>
      <c r="CV23482" s="376"/>
    </row>
    <row r="23483" spans="1:100">
      <c r="A23483" s="374"/>
      <c r="C23483" s="374"/>
      <c r="CV23483" s="376"/>
    </row>
    <row r="23484" spans="1:100">
      <c r="A23484" s="374"/>
      <c r="C23484" s="374"/>
      <c r="CV23484" s="376"/>
    </row>
    <row r="23485" spans="1:100">
      <c r="A23485" s="374"/>
      <c r="C23485" s="374"/>
      <c r="CV23485" s="376"/>
    </row>
    <row r="23486" spans="1:100">
      <c r="A23486" s="374"/>
      <c r="C23486" s="374"/>
      <c r="CV23486" s="376"/>
    </row>
    <row r="23487" spans="1:100">
      <c r="A23487" s="374"/>
      <c r="C23487" s="374"/>
      <c r="CV23487" s="376"/>
    </row>
    <row r="23488" spans="1:100">
      <c r="A23488" s="374"/>
      <c r="C23488" s="374"/>
      <c r="CV23488" s="376"/>
    </row>
    <row r="23489" spans="1:100">
      <c r="A23489" s="374"/>
      <c r="C23489" s="374"/>
      <c r="CV23489" s="376"/>
    </row>
    <row r="23490" spans="1:100">
      <c r="A23490" s="374"/>
      <c r="C23490" s="374"/>
      <c r="CV23490" s="376"/>
    </row>
    <row r="23491" spans="1:100">
      <c r="A23491" s="374"/>
      <c r="C23491" s="374"/>
      <c r="CV23491" s="376"/>
    </row>
    <row r="23492" spans="1:100">
      <c r="A23492" s="374"/>
      <c r="C23492" s="374"/>
      <c r="CV23492" s="376"/>
    </row>
    <row r="23493" spans="1:100">
      <c r="A23493" s="374"/>
      <c r="C23493" s="374"/>
      <c r="CV23493" s="376"/>
    </row>
    <row r="23494" spans="1:100">
      <c r="A23494" s="374"/>
      <c r="C23494" s="374"/>
      <c r="CV23494" s="376"/>
    </row>
    <row r="23495" spans="1:100">
      <c r="A23495" s="374"/>
      <c r="C23495" s="374"/>
      <c r="CV23495" s="376"/>
    </row>
    <row r="23496" spans="1:100">
      <c r="A23496" s="374"/>
      <c r="C23496" s="374"/>
      <c r="CV23496" s="376"/>
    </row>
    <row r="23497" spans="1:100">
      <c r="A23497" s="374"/>
      <c r="C23497" s="374"/>
      <c r="CV23497" s="376"/>
    </row>
    <row r="23498" spans="1:100">
      <c r="A23498" s="374"/>
      <c r="C23498" s="374"/>
      <c r="CV23498" s="376"/>
    </row>
    <row r="23499" spans="1:100">
      <c r="A23499" s="374"/>
      <c r="C23499" s="374"/>
      <c r="CV23499" s="376"/>
    </row>
    <row r="23500" spans="1:100">
      <c r="A23500" s="374"/>
      <c r="C23500" s="374"/>
      <c r="CV23500" s="376"/>
    </row>
    <row r="23501" spans="1:100">
      <c r="A23501" s="374"/>
      <c r="C23501" s="374"/>
      <c r="CV23501" s="376"/>
    </row>
    <row r="23502" spans="1:100">
      <c r="A23502" s="374"/>
      <c r="C23502" s="374"/>
      <c r="CV23502" s="376"/>
    </row>
    <row r="23503" spans="1:100">
      <c r="A23503" s="374"/>
      <c r="C23503" s="374"/>
      <c r="CV23503" s="376"/>
    </row>
    <row r="23504" spans="1:100">
      <c r="A23504" s="374"/>
      <c r="C23504" s="374"/>
      <c r="CV23504" s="376"/>
    </row>
    <row r="23505" spans="1:100">
      <c r="A23505" s="374"/>
      <c r="C23505" s="374"/>
      <c r="CV23505" s="376"/>
    </row>
    <row r="23506" spans="1:100">
      <c r="A23506" s="374"/>
      <c r="C23506" s="374"/>
      <c r="CV23506" s="376"/>
    </row>
    <row r="23507" spans="1:100">
      <c r="A23507" s="374"/>
      <c r="C23507" s="374"/>
      <c r="CV23507" s="376"/>
    </row>
    <row r="23508" spans="1:100">
      <c r="A23508" s="374"/>
      <c r="C23508" s="374"/>
      <c r="CV23508" s="376"/>
    </row>
    <row r="23509" spans="1:100">
      <c r="A23509" s="374"/>
      <c r="C23509" s="374"/>
      <c r="CV23509" s="376"/>
    </row>
    <row r="23510" spans="1:100">
      <c r="A23510" s="374"/>
      <c r="C23510" s="374"/>
      <c r="CV23510" s="376"/>
    </row>
    <row r="23511" spans="1:100">
      <c r="A23511" s="374"/>
      <c r="C23511" s="374"/>
      <c r="CV23511" s="376"/>
    </row>
    <row r="23512" spans="1:100">
      <c r="A23512" s="374"/>
      <c r="C23512" s="374"/>
      <c r="CV23512" s="376"/>
    </row>
    <row r="23513" spans="1:100">
      <c r="A23513" s="374"/>
      <c r="C23513" s="374"/>
      <c r="CV23513" s="376"/>
    </row>
    <row r="23514" spans="1:100">
      <c r="A23514" s="374"/>
      <c r="C23514" s="374"/>
      <c r="CV23514" s="376"/>
    </row>
    <row r="23515" spans="1:100">
      <c r="A23515" s="374"/>
      <c r="C23515" s="374"/>
      <c r="CV23515" s="376"/>
    </row>
    <row r="23516" spans="1:100">
      <c r="A23516" s="374"/>
      <c r="C23516" s="374"/>
      <c r="CV23516" s="376"/>
    </row>
    <row r="23517" spans="1:100">
      <c r="A23517" s="374"/>
      <c r="C23517" s="374"/>
      <c r="CV23517" s="376"/>
    </row>
    <row r="23518" spans="1:100">
      <c r="A23518" s="374"/>
      <c r="C23518" s="374"/>
      <c r="CV23518" s="376"/>
    </row>
    <row r="23519" spans="1:100">
      <c r="A23519" s="374"/>
      <c r="C23519" s="374"/>
      <c r="CV23519" s="376"/>
    </row>
    <row r="23520" spans="1:100">
      <c r="A23520" s="374"/>
      <c r="C23520" s="374"/>
      <c r="CV23520" s="376"/>
    </row>
    <row r="23521" spans="1:100">
      <c r="A23521" s="374"/>
      <c r="C23521" s="374"/>
      <c r="CV23521" s="376"/>
    </row>
    <row r="23522" spans="1:100">
      <c r="A23522" s="374"/>
      <c r="C23522" s="374"/>
      <c r="CV23522" s="376"/>
    </row>
    <row r="23523" spans="1:100">
      <c r="A23523" s="374"/>
      <c r="C23523" s="374"/>
      <c r="CV23523" s="376"/>
    </row>
    <row r="23524" spans="1:100">
      <c r="A23524" s="374"/>
      <c r="C23524" s="374"/>
      <c r="CV23524" s="376"/>
    </row>
    <row r="23525" spans="1:100">
      <c r="A23525" s="374"/>
      <c r="C23525" s="374"/>
      <c r="CV23525" s="376"/>
    </row>
    <row r="23526" spans="1:100">
      <c r="A23526" s="374"/>
      <c r="C23526" s="374"/>
      <c r="CV23526" s="376"/>
    </row>
    <row r="23527" spans="1:100">
      <c r="A23527" s="374"/>
      <c r="C23527" s="374"/>
      <c r="CV23527" s="376"/>
    </row>
    <row r="23528" spans="1:100">
      <c r="A23528" s="374"/>
      <c r="C23528" s="374"/>
      <c r="CV23528" s="376"/>
    </row>
    <row r="23529" spans="1:100">
      <c r="A23529" s="374"/>
      <c r="C23529" s="374"/>
      <c r="CV23529" s="376"/>
    </row>
    <row r="23530" spans="1:100">
      <c r="A23530" s="374"/>
      <c r="C23530" s="374"/>
      <c r="CV23530" s="376"/>
    </row>
    <row r="23531" spans="1:100">
      <c r="A23531" s="374"/>
      <c r="C23531" s="374"/>
      <c r="CV23531" s="376"/>
    </row>
    <row r="23532" spans="1:100">
      <c r="A23532" s="374"/>
      <c r="C23532" s="374"/>
      <c r="CV23532" s="376"/>
    </row>
    <row r="23533" spans="1:100">
      <c r="A23533" s="374"/>
      <c r="C23533" s="374"/>
      <c r="CV23533" s="376"/>
    </row>
    <row r="23534" spans="1:100">
      <c r="A23534" s="374"/>
      <c r="C23534" s="374"/>
      <c r="CV23534" s="376"/>
    </row>
    <row r="23535" spans="1:100">
      <c r="A23535" s="374"/>
      <c r="C23535" s="374"/>
      <c r="CV23535" s="376"/>
    </row>
    <row r="23536" spans="1:100">
      <c r="A23536" s="374"/>
      <c r="C23536" s="374"/>
      <c r="CV23536" s="376"/>
    </row>
    <row r="23537" spans="1:100">
      <c r="A23537" s="374"/>
      <c r="C23537" s="374"/>
      <c r="CV23537" s="376"/>
    </row>
    <row r="23538" spans="1:100">
      <c r="A23538" s="374"/>
      <c r="C23538" s="374"/>
      <c r="CV23538" s="376"/>
    </row>
    <row r="23539" spans="1:100">
      <c r="A23539" s="374"/>
      <c r="C23539" s="374"/>
      <c r="CV23539" s="376"/>
    </row>
    <row r="23540" spans="1:100">
      <c r="A23540" s="374"/>
      <c r="C23540" s="374"/>
      <c r="CV23540" s="376"/>
    </row>
    <row r="23541" spans="1:100">
      <c r="A23541" s="374"/>
      <c r="C23541" s="374"/>
      <c r="CV23541" s="376"/>
    </row>
    <row r="23542" spans="1:100">
      <c r="A23542" s="374"/>
      <c r="C23542" s="374"/>
      <c r="CV23542" s="376"/>
    </row>
    <row r="23543" spans="1:100">
      <c r="A23543" s="374"/>
      <c r="C23543" s="374"/>
      <c r="CV23543" s="376"/>
    </row>
    <row r="23544" spans="1:100">
      <c r="A23544" s="374"/>
      <c r="C23544" s="374"/>
      <c r="CV23544" s="376"/>
    </row>
    <row r="23545" spans="1:100">
      <c r="A23545" s="374"/>
      <c r="C23545" s="374"/>
      <c r="CV23545" s="376"/>
    </row>
    <row r="23546" spans="1:100">
      <c r="A23546" s="374"/>
      <c r="C23546" s="374"/>
      <c r="CV23546" s="376"/>
    </row>
    <row r="23547" spans="1:100">
      <c r="A23547" s="374"/>
      <c r="C23547" s="374"/>
      <c r="CV23547" s="376"/>
    </row>
    <row r="23548" spans="1:100">
      <c r="A23548" s="374"/>
      <c r="C23548" s="374"/>
      <c r="CV23548" s="376"/>
    </row>
    <row r="23549" spans="1:100">
      <c r="A23549" s="374"/>
      <c r="C23549" s="374"/>
      <c r="CV23549" s="376"/>
    </row>
    <row r="23550" spans="1:100">
      <c r="A23550" s="374"/>
      <c r="C23550" s="374"/>
      <c r="CV23550" s="376"/>
    </row>
    <row r="23551" spans="1:100">
      <c r="A23551" s="374"/>
      <c r="C23551" s="374"/>
      <c r="CV23551" s="376"/>
    </row>
    <row r="23552" spans="1:100">
      <c r="A23552" s="374"/>
      <c r="C23552" s="374"/>
      <c r="CV23552" s="376"/>
    </row>
    <row r="23553" spans="1:100">
      <c r="A23553" s="374"/>
      <c r="C23553" s="374"/>
      <c r="CV23553" s="376"/>
    </row>
    <row r="23554" spans="1:100">
      <c r="A23554" s="374"/>
      <c r="C23554" s="374"/>
      <c r="CV23554" s="376"/>
    </row>
    <row r="23555" spans="1:100">
      <c r="A23555" s="374"/>
      <c r="C23555" s="374"/>
      <c r="CV23555" s="376"/>
    </row>
    <row r="23556" spans="1:100">
      <c r="A23556" s="374"/>
      <c r="C23556" s="374"/>
      <c r="CV23556" s="376"/>
    </row>
    <row r="23557" spans="1:100">
      <c r="A23557" s="374"/>
      <c r="C23557" s="374"/>
      <c r="CV23557" s="376"/>
    </row>
    <row r="23558" spans="1:100">
      <c r="A23558" s="374"/>
      <c r="C23558" s="374"/>
      <c r="CV23558" s="376"/>
    </row>
    <row r="23559" spans="1:100">
      <c r="A23559" s="374"/>
      <c r="C23559" s="374"/>
      <c r="CV23559" s="376"/>
    </row>
    <row r="23560" spans="1:100">
      <c r="A23560" s="374"/>
      <c r="C23560" s="374"/>
      <c r="CV23560" s="376"/>
    </row>
    <row r="23561" spans="1:100">
      <c r="A23561" s="374"/>
      <c r="C23561" s="374"/>
      <c r="CV23561" s="376"/>
    </row>
    <row r="23562" spans="1:100">
      <c r="A23562" s="374"/>
      <c r="C23562" s="374"/>
      <c r="CV23562" s="376"/>
    </row>
    <row r="23563" spans="1:100">
      <c r="A23563" s="374"/>
      <c r="C23563" s="374"/>
      <c r="CV23563" s="376"/>
    </row>
    <row r="23564" spans="1:100">
      <c r="A23564" s="374"/>
      <c r="C23564" s="374"/>
      <c r="CV23564" s="376"/>
    </row>
    <row r="23565" spans="1:100">
      <c r="A23565" s="374"/>
      <c r="C23565" s="374"/>
      <c r="CV23565" s="376"/>
    </row>
    <row r="23566" spans="1:100">
      <c r="A23566" s="374"/>
      <c r="C23566" s="374"/>
      <c r="CV23566" s="376"/>
    </row>
    <row r="23567" spans="1:100">
      <c r="A23567" s="374"/>
      <c r="C23567" s="374"/>
      <c r="CV23567" s="376"/>
    </row>
    <row r="23568" spans="1:100">
      <c r="A23568" s="374"/>
      <c r="C23568" s="374"/>
      <c r="CV23568" s="376"/>
    </row>
    <row r="23569" spans="1:100">
      <c r="A23569" s="374"/>
      <c r="C23569" s="374"/>
      <c r="CV23569" s="376"/>
    </row>
    <row r="23570" spans="1:100">
      <c r="A23570" s="374"/>
      <c r="C23570" s="374"/>
      <c r="CV23570" s="376"/>
    </row>
    <row r="23571" spans="1:100">
      <c r="A23571" s="374"/>
      <c r="C23571" s="374"/>
      <c r="CV23571" s="376"/>
    </row>
    <row r="23572" spans="1:100">
      <c r="A23572" s="374"/>
      <c r="C23572" s="374"/>
      <c r="CV23572" s="376"/>
    </row>
    <row r="23573" spans="1:100">
      <c r="A23573" s="374"/>
      <c r="C23573" s="374"/>
      <c r="CV23573" s="376"/>
    </row>
    <row r="23574" spans="1:100">
      <c r="A23574" s="374"/>
      <c r="C23574" s="374"/>
      <c r="CV23574" s="376"/>
    </row>
    <row r="23575" spans="1:100">
      <c r="A23575" s="374"/>
      <c r="C23575" s="374"/>
      <c r="CV23575" s="376"/>
    </row>
    <row r="23576" spans="1:100">
      <c r="A23576" s="374"/>
      <c r="C23576" s="374"/>
      <c r="CV23576" s="376"/>
    </row>
    <row r="23577" spans="1:100">
      <c r="A23577" s="374"/>
      <c r="C23577" s="374"/>
      <c r="CV23577" s="376"/>
    </row>
    <row r="23578" spans="1:100">
      <c r="A23578" s="374"/>
      <c r="C23578" s="374"/>
      <c r="CV23578" s="376"/>
    </row>
    <row r="23579" spans="1:100">
      <c r="A23579" s="374"/>
      <c r="C23579" s="374"/>
      <c r="CV23579" s="376"/>
    </row>
    <row r="23580" spans="1:100">
      <c r="A23580" s="374"/>
      <c r="C23580" s="374"/>
      <c r="CV23580" s="376"/>
    </row>
    <row r="23581" spans="1:100">
      <c r="A23581" s="374"/>
      <c r="C23581" s="374"/>
      <c r="CV23581" s="376"/>
    </row>
    <row r="23582" spans="1:100">
      <c r="A23582" s="374"/>
      <c r="C23582" s="374"/>
      <c r="CV23582" s="376"/>
    </row>
    <row r="23583" spans="1:100">
      <c r="A23583" s="374"/>
      <c r="C23583" s="374"/>
      <c r="CV23583" s="376"/>
    </row>
    <row r="23584" spans="1:100">
      <c r="A23584" s="374"/>
      <c r="C23584" s="374"/>
      <c r="CV23584" s="376"/>
    </row>
    <row r="23585" spans="1:100">
      <c r="A23585" s="374"/>
      <c r="C23585" s="374"/>
      <c r="CV23585" s="376"/>
    </row>
    <row r="23586" spans="1:100">
      <c r="A23586" s="374"/>
      <c r="C23586" s="374"/>
      <c r="CV23586" s="376"/>
    </row>
    <row r="23587" spans="1:100">
      <c r="A23587" s="374"/>
      <c r="C23587" s="374"/>
      <c r="CV23587" s="376"/>
    </row>
    <row r="23588" spans="1:100">
      <c r="A23588" s="374"/>
      <c r="C23588" s="374"/>
      <c r="CV23588" s="376"/>
    </row>
    <row r="23589" spans="1:100">
      <c r="A23589" s="374"/>
      <c r="C23589" s="374"/>
      <c r="CV23589" s="376"/>
    </row>
    <row r="23590" spans="1:100">
      <c r="A23590" s="374"/>
      <c r="C23590" s="374"/>
      <c r="CV23590" s="376"/>
    </row>
    <row r="23591" spans="1:100">
      <c r="A23591" s="374"/>
      <c r="C23591" s="374"/>
      <c r="CV23591" s="376"/>
    </row>
    <row r="23592" spans="1:100">
      <c r="A23592" s="374"/>
      <c r="C23592" s="374"/>
      <c r="CV23592" s="376"/>
    </row>
    <row r="23593" spans="1:100">
      <c r="A23593" s="374"/>
      <c r="C23593" s="374"/>
      <c r="CV23593" s="376"/>
    </row>
    <row r="23594" spans="1:100">
      <c r="A23594" s="374"/>
      <c r="C23594" s="374"/>
      <c r="CV23594" s="376"/>
    </row>
    <row r="23595" spans="1:100">
      <c r="A23595" s="374"/>
      <c r="C23595" s="374"/>
      <c r="CV23595" s="376"/>
    </row>
    <row r="23596" spans="1:100">
      <c r="A23596" s="374"/>
      <c r="C23596" s="374"/>
      <c r="CV23596" s="376"/>
    </row>
    <row r="23597" spans="1:100">
      <c r="A23597" s="374"/>
      <c r="C23597" s="374"/>
      <c r="CV23597" s="376"/>
    </row>
    <row r="23598" spans="1:100">
      <c r="A23598" s="374"/>
      <c r="C23598" s="374"/>
      <c r="CV23598" s="376"/>
    </row>
    <row r="23599" spans="1:100">
      <c r="A23599" s="374"/>
      <c r="C23599" s="374"/>
      <c r="CV23599" s="376"/>
    </row>
    <row r="23600" spans="1:100">
      <c r="A23600" s="374"/>
      <c r="C23600" s="374"/>
      <c r="CV23600" s="376"/>
    </row>
    <row r="23601" spans="1:100">
      <c r="A23601" s="374"/>
      <c r="C23601" s="374"/>
      <c r="CV23601" s="376"/>
    </row>
    <row r="23602" spans="1:100">
      <c r="A23602" s="374"/>
      <c r="C23602" s="374"/>
      <c r="CV23602" s="376"/>
    </row>
    <row r="23603" spans="1:100">
      <c r="A23603" s="374"/>
      <c r="C23603" s="374"/>
      <c r="CV23603" s="376"/>
    </row>
    <row r="23604" spans="1:100">
      <c r="A23604" s="374"/>
      <c r="C23604" s="374"/>
      <c r="CV23604" s="376"/>
    </row>
    <row r="23605" spans="1:100">
      <c r="A23605" s="374"/>
      <c r="C23605" s="374"/>
      <c r="CV23605" s="376"/>
    </row>
    <row r="23606" spans="1:100">
      <c r="A23606" s="374"/>
      <c r="C23606" s="374"/>
      <c r="CV23606" s="376"/>
    </row>
    <row r="23607" spans="1:100">
      <c r="A23607" s="374"/>
      <c r="C23607" s="374"/>
      <c r="CV23607" s="376"/>
    </row>
    <row r="23608" spans="1:100">
      <c r="A23608" s="374"/>
      <c r="C23608" s="374"/>
      <c r="CV23608" s="376"/>
    </row>
    <row r="23609" spans="1:100">
      <c r="A23609" s="374"/>
      <c r="C23609" s="374"/>
      <c r="CV23609" s="376"/>
    </row>
    <row r="23610" spans="1:100">
      <c r="A23610" s="374"/>
      <c r="C23610" s="374"/>
      <c r="CV23610" s="376"/>
    </row>
    <row r="23611" spans="1:100">
      <c r="A23611" s="374"/>
      <c r="C23611" s="374"/>
      <c r="CV23611" s="376"/>
    </row>
    <row r="23612" spans="1:100">
      <c r="A23612" s="374"/>
      <c r="C23612" s="374"/>
      <c r="CV23612" s="376"/>
    </row>
    <row r="23613" spans="1:100">
      <c r="A23613" s="374"/>
      <c r="C23613" s="374"/>
      <c r="CV23613" s="376"/>
    </row>
    <row r="23614" spans="1:100">
      <c r="A23614" s="374"/>
      <c r="C23614" s="374"/>
      <c r="CV23614" s="376"/>
    </row>
    <row r="23615" spans="1:100">
      <c r="A23615" s="374"/>
      <c r="C23615" s="374"/>
      <c r="CV23615" s="376"/>
    </row>
    <row r="23616" spans="1:100">
      <c r="A23616" s="374"/>
      <c r="C23616" s="374"/>
      <c r="CV23616" s="376"/>
    </row>
    <row r="23617" spans="1:100">
      <c r="A23617" s="374"/>
      <c r="C23617" s="374"/>
      <c r="CV23617" s="376"/>
    </row>
    <row r="23618" spans="1:100">
      <c r="A23618" s="374"/>
      <c r="C23618" s="374"/>
      <c r="CV23618" s="376"/>
    </row>
    <row r="23619" spans="1:100">
      <c r="A23619" s="374"/>
      <c r="C23619" s="374"/>
      <c r="CV23619" s="376"/>
    </row>
    <row r="23620" spans="1:100">
      <c r="A23620" s="374"/>
      <c r="C23620" s="374"/>
      <c r="CV23620" s="376"/>
    </row>
    <row r="23621" spans="1:100">
      <c r="A23621" s="374"/>
      <c r="C23621" s="374"/>
      <c r="CV23621" s="376"/>
    </row>
    <row r="23622" spans="1:100">
      <c r="A23622" s="374"/>
      <c r="C23622" s="374"/>
      <c r="CV23622" s="376"/>
    </row>
    <row r="23623" spans="1:100">
      <c r="A23623" s="374"/>
      <c r="C23623" s="374"/>
      <c r="CV23623" s="376"/>
    </row>
    <row r="23624" spans="1:100">
      <c r="A23624" s="374"/>
      <c r="C23624" s="374"/>
      <c r="CV23624" s="376"/>
    </row>
    <row r="23625" spans="1:100">
      <c r="A23625" s="374"/>
      <c r="C23625" s="374"/>
      <c r="CV23625" s="376"/>
    </row>
    <row r="23626" spans="1:100">
      <c r="A23626" s="374"/>
      <c r="C23626" s="374"/>
      <c r="CV23626" s="376"/>
    </row>
    <row r="23627" spans="1:100">
      <c r="A23627" s="374"/>
      <c r="C23627" s="374"/>
      <c r="CV23627" s="376"/>
    </row>
    <row r="23628" spans="1:100">
      <c r="A23628" s="374"/>
      <c r="C23628" s="374"/>
      <c r="CV23628" s="376"/>
    </row>
    <row r="23629" spans="1:100">
      <c r="A23629" s="374"/>
      <c r="C23629" s="374"/>
      <c r="CV23629" s="376"/>
    </row>
    <row r="23630" spans="1:100">
      <c r="A23630" s="374"/>
      <c r="C23630" s="374"/>
      <c r="CV23630" s="376"/>
    </row>
    <row r="23631" spans="1:100">
      <c r="A23631" s="374"/>
      <c r="C23631" s="374"/>
      <c r="CV23631" s="376"/>
    </row>
    <row r="23632" spans="1:100">
      <c r="A23632" s="374"/>
      <c r="C23632" s="374"/>
      <c r="CV23632" s="376"/>
    </row>
    <row r="23633" spans="1:100">
      <c r="A23633" s="374"/>
      <c r="C23633" s="374"/>
      <c r="CV23633" s="376"/>
    </row>
    <row r="23634" spans="1:100">
      <c r="A23634" s="374"/>
      <c r="C23634" s="374"/>
      <c r="CV23634" s="376"/>
    </row>
    <row r="23635" spans="1:100">
      <c r="A23635" s="374"/>
      <c r="C23635" s="374"/>
      <c r="CV23635" s="376"/>
    </row>
    <row r="23636" spans="1:100">
      <c r="A23636" s="374"/>
      <c r="C23636" s="374"/>
      <c r="CV23636" s="376"/>
    </row>
    <row r="23637" spans="1:100">
      <c r="A23637" s="374"/>
      <c r="C23637" s="374"/>
      <c r="CV23637" s="376"/>
    </row>
    <row r="23638" spans="1:100">
      <c r="A23638" s="374"/>
      <c r="C23638" s="374"/>
      <c r="CV23638" s="376"/>
    </row>
    <row r="23639" spans="1:100">
      <c r="A23639" s="374"/>
      <c r="C23639" s="374"/>
      <c r="CV23639" s="376"/>
    </row>
    <row r="23640" spans="1:100">
      <c r="A23640" s="374"/>
      <c r="C23640" s="374"/>
      <c r="CV23640" s="376"/>
    </row>
    <row r="23641" spans="1:100">
      <c r="A23641" s="374"/>
      <c r="C23641" s="374"/>
      <c r="CV23641" s="376"/>
    </row>
    <row r="23642" spans="1:100">
      <c r="A23642" s="374"/>
      <c r="C23642" s="374"/>
      <c r="CV23642" s="376"/>
    </row>
    <row r="23643" spans="1:100">
      <c r="A23643" s="374"/>
      <c r="C23643" s="374"/>
      <c r="CV23643" s="376"/>
    </row>
    <row r="23644" spans="1:100">
      <c r="A23644" s="374"/>
      <c r="C23644" s="374"/>
      <c r="CV23644" s="376"/>
    </row>
    <row r="23645" spans="1:100">
      <c r="A23645" s="374"/>
      <c r="C23645" s="374"/>
      <c r="CV23645" s="376"/>
    </row>
    <row r="23646" spans="1:100">
      <c r="A23646" s="374"/>
      <c r="C23646" s="374"/>
      <c r="CV23646" s="376"/>
    </row>
    <row r="23647" spans="1:100">
      <c r="A23647" s="374"/>
      <c r="C23647" s="374"/>
      <c r="CV23647" s="376"/>
    </row>
    <row r="23648" spans="1:100">
      <c r="A23648" s="374"/>
      <c r="C23648" s="374"/>
      <c r="CV23648" s="376"/>
    </row>
    <row r="23649" spans="1:100">
      <c r="A23649" s="374"/>
      <c r="C23649" s="374"/>
      <c r="CV23649" s="376"/>
    </row>
    <row r="23650" spans="1:100">
      <c r="A23650" s="374"/>
      <c r="C23650" s="374"/>
      <c r="CV23650" s="376"/>
    </row>
    <row r="23651" spans="1:100">
      <c r="A23651" s="374"/>
      <c r="C23651" s="374"/>
      <c r="CV23651" s="376"/>
    </row>
    <row r="23652" spans="1:100">
      <c r="A23652" s="374"/>
      <c r="C23652" s="374"/>
      <c r="CV23652" s="376"/>
    </row>
    <row r="23653" spans="1:100">
      <c r="A23653" s="374"/>
      <c r="C23653" s="374"/>
      <c r="CV23653" s="376"/>
    </row>
    <row r="23654" spans="1:100">
      <c r="A23654" s="374"/>
      <c r="C23654" s="374"/>
      <c r="CV23654" s="376"/>
    </row>
    <row r="23655" spans="1:100">
      <c r="A23655" s="374"/>
      <c r="C23655" s="374"/>
      <c r="CV23655" s="376"/>
    </row>
    <row r="23656" spans="1:100">
      <c r="A23656" s="374"/>
      <c r="C23656" s="374"/>
      <c r="CV23656" s="376"/>
    </row>
    <row r="23657" spans="1:100">
      <c r="A23657" s="374"/>
      <c r="C23657" s="374"/>
      <c r="CV23657" s="376"/>
    </row>
    <row r="23658" spans="1:100">
      <c r="A23658" s="374"/>
      <c r="C23658" s="374"/>
      <c r="CV23658" s="376"/>
    </row>
    <row r="23659" spans="1:100">
      <c r="A23659" s="374"/>
      <c r="C23659" s="374"/>
      <c r="CV23659" s="376"/>
    </row>
    <row r="23660" spans="1:100">
      <c r="A23660" s="374"/>
      <c r="C23660" s="374"/>
      <c r="CV23660" s="376"/>
    </row>
    <row r="23661" spans="1:100">
      <c r="A23661" s="374"/>
      <c r="C23661" s="374"/>
      <c r="CV23661" s="376"/>
    </row>
    <row r="23662" spans="1:100">
      <c r="A23662" s="374"/>
      <c r="C23662" s="374"/>
      <c r="CV23662" s="376"/>
    </row>
    <row r="23663" spans="1:100">
      <c r="A23663" s="374"/>
      <c r="C23663" s="374"/>
      <c r="CV23663" s="376"/>
    </row>
    <row r="23664" spans="1:100">
      <c r="A23664" s="374"/>
      <c r="C23664" s="374"/>
      <c r="CV23664" s="376"/>
    </row>
    <row r="23665" spans="1:100">
      <c r="A23665" s="374"/>
      <c r="C23665" s="374"/>
      <c r="CV23665" s="376"/>
    </row>
    <row r="23666" spans="1:100">
      <c r="A23666" s="374"/>
      <c r="C23666" s="374"/>
      <c r="CV23666" s="376"/>
    </row>
    <row r="23667" spans="1:100">
      <c r="A23667" s="374"/>
      <c r="C23667" s="374"/>
      <c r="CV23667" s="376"/>
    </row>
    <row r="23668" spans="1:100">
      <c r="A23668" s="374"/>
      <c r="C23668" s="374"/>
      <c r="CV23668" s="376"/>
    </row>
    <row r="23669" spans="1:100">
      <c r="A23669" s="374"/>
      <c r="C23669" s="374"/>
      <c r="CV23669" s="376"/>
    </row>
    <row r="23670" spans="1:100">
      <c r="A23670" s="374"/>
      <c r="C23670" s="374"/>
      <c r="CV23670" s="376"/>
    </row>
    <row r="23671" spans="1:100">
      <c r="A23671" s="374"/>
      <c r="C23671" s="374"/>
      <c r="CV23671" s="376"/>
    </row>
    <row r="23672" spans="1:100">
      <c r="A23672" s="374"/>
      <c r="C23672" s="374"/>
      <c r="CV23672" s="376"/>
    </row>
    <row r="23673" spans="1:100">
      <c r="A23673" s="374"/>
      <c r="C23673" s="374"/>
      <c r="CV23673" s="376"/>
    </row>
    <row r="23674" spans="1:100">
      <c r="A23674" s="374"/>
      <c r="C23674" s="374"/>
      <c r="CV23674" s="376"/>
    </row>
    <row r="23675" spans="1:100">
      <c r="A23675" s="374"/>
      <c r="C23675" s="374"/>
      <c r="CV23675" s="376"/>
    </row>
    <row r="23676" spans="1:100">
      <c r="A23676" s="374"/>
      <c r="C23676" s="374"/>
      <c r="CV23676" s="376"/>
    </row>
    <row r="23677" spans="1:100">
      <c r="A23677" s="374"/>
      <c r="C23677" s="374"/>
      <c r="CV23677" s="376"/>
    </row>
    <row r="23678" spans="1:100">
      <c r="A23678" s="374"/>
      <c r="C23678" s="374"/>
      <c r="CV23678" s="376"/>
    </row>
    <row r="23679" spans="1:100">
      <c r="A23679" s="374"/>
      <c r="C23679" s="374"/>
      <c r="CV23679" s="376"/>
    </row>
    <row r="23680" spans="1:100">
      <c r="A23680" s="374"/>
      <c r="C23680" s="374"/>
      <c r="CV23680" s="376"/>
    </row>
    <row r="23681" spans="1:100">
      <c r="A23681" s="374"/>
      <c r="C23681" s="374"/>
      <c r="CV23681" s="376"/>
    </row>
    <row r="23682" spans="1:100">
      <c r="A23682" s="374"/>
      <c r="C23682" s="374"/>
      <c r="CV23682" s="376"/>
    </row>
    <row r="23683" spans="1:100">
      <c r="A23683" s="374"/>
      <c r="C23683" s="374"/>
      <c r="CV23683" s="376"/>
    </row>
    <row r="23684" spans="1:100">
      <c r="A23684" s="374"/>
      <c r="C23684" s="374"/>
      <c r="CV23684" s="376"/>
    </row>
    <row r="23685" spans="1:100">
      <c r="A23685" s="374"/>
      <c r="C23685" s="374"/>
      <c r="CV23685" s="376"/>
    </row>
    <row r="23686" spans="1:100">
      <c r="A23686" s="374"/>
      <c r="C23686" s="374"/>
      <c r="CV23686" s="376"/>
    </row>
    <row r="23687" spans="1:100">
      <c r="A23687" s="374"/>
      <c r="C23687" s="374"/>
      <c r="CV23687" s="376"/>
    </row>
    <row r="23688" spans="1:100">
      <c r="A23688" s="374"/>
      <c r="C23688" s="374"/>
      <c r="CV23688" s="376"/>
    </row>
    <row r="23689" spans="1:100">
      <c r="A23689" s="374"/>
      <c r="C23689" s="374"/>
      <c r="CV23689" s="376"/>
    </row>
    <row r="23690" spans="1:100">
      <c r="A23690" s="374"/>
      <c r="C23690" s="374"/>
      <c r="CV23690" s="376"/>
    </row>
    <row r="23691" spans="1:100">
      <c r="A23691" s="374"/>
      <c r="C23691" s="374"/>
      <c r="CV23691" s="376"/>
    </row>
    <row r="23692" spans="1:100">
      <c r="A23692" s="374"/>
      <c r="C23692" s="374"/>
      <c r="CV23692" s="376"/>
    </row>
    <row r="23693" spans="1:100">
      <c r="A23693" s="374"/>
      <c r="C23693" s="374"/>
      <c r="CV23693" s="376"/>
    </row>
    <row r="23694" spans="1:100">
      <c r="A23694" s="374"/>
      <c r="C23694" s="374"/>
      <c r="CV23694" s="376"/>
    </row>
    <row r="23695" spans="1:100">
      <c r="A23695" s="374"/>
      <c r="C23695" s="374"/>
      <c r="CV23695" s="376"/>
    </row>
    <row r="23696" spans="1:100">
      <c r="A23696" s="374"/>
      <c r="C23696" s="374"/>
      <c r="CV23696" s="376"/>
    </row>
    <row r="23697" spans="1:100">
      <c r="A23697" s="374"/>
      <c r="C23697" s="374"/>
      <c r="CV23697" s="376"/>
    </row>
    <row r="23698" spans="1:100">
      <c r="A23698" s="374"/>
      <c r="C23698" s="374"/>
      <c r="CV23698" s="376"/>
    </row>
    <row r="23699" spans="1:100">
      <c r="A23699" s="374"/>
      <c r="C23699" s="374"/>
      <c r="CV23699" s="376"/>
    </row>
    <row r="23700" spans="1:100">
      <c r="A23700" s="374"/>
      <c r="C23700" s="374"/>
      <c r="CV23700" s="376"/>
    </row>
    <row r="23701" spans="1:100">
      <c r="A23701" s="374"/>
      <c r="C23701" s="374"/>
      <c r="CV23701" s="376"/>
    </row>
    <row r="23702" spans="1:100">
      <c r="A23702" s="374"/>
      <c r="C23702" s="374"/>
      <c r="CV23702" s="376"/>
    </row>
    <row r="23703" spans="1:100">
      <c r="A23703" s="374"/>
      <c r="C23703" s="374"/>
      <c r="CV23703" s="376"/>
    </row>
    <row r="23704" spans="1:100">
      <c r="A23704" s="374"/>
      <c r="C23704" s="374"/>
      <c r="CV23704" s="376"/>
    </row>
    <row r="23705" spans="1:100">
      <c r="A23705" s="374"/>
      <c r="C23705" s="374"/>
      <c r="CV23705" s="376"/>
    </row>
    <row r="23706" spans="1:100">
      <c r="A23706" s="374"/>
      <c r="C23706" s="374"/>
      <c r="CV23706" s="376"/>
    </row>
    <row r="23707" spans="1:100">
      <c r="A23707" s="374"/>
      <c r="C23707" s="374"/>
      <c r="CV23707" s="376"/>
    </row>
    <row r="23708" spans="1:100">
      <c r="A23708" s="374"/>
      <c r="C23708" s="374"/>
      <c r="CV23708" s="376"/>
    </row>
    <row r="23709" spans="1:100">
      <c r="A23709" s="374"/>
      <c r="C23709" s="374"/>
      <c r="CV23709" s="376"/>
    </row>
    <row r="23710" spans="1:100">
      <c r="A23710" s="374"/>
      <c r="C23710" s="374"/>
      <c r="CV23710" s="376"/>
    </row>
    <row r="23711" spans="1:100">
      <c r="A23711" s="374"/>
      <c r="C23711" s="374"/>
      <c r="CV23711" s="376"/>
    </row>
    <row r="23712" spans="1:100">
      <c r="A23712" s="374"/>
      <c r="C23712" s="374"/>
      <c r="CV23712" s="376"/>
    </row>
    <row r="23713" spans="1:100">
      <c r="A23713" s="374"/>
      <c r="C23713" s="374"/>
      <c r="CV23713" s="376"/>
    </row>
    <row r="23714" spans="1:100">
      <c r="A23714" s="374"/>
      <c r="C23714" s="374"/>
      <c r="CV23714" s="376"/>
    </row>
    <row r="23715" spans="1:100">
      <c r="A23715" s="374"/>
      <c r="C23715" s="374"/>
      <c r="CV23715" s="376"/>
    </row>
    <row r="23716" spans="1:100">
      <c r="A23716" s="374"/>
      <c r="C23716" s="374"/>
      <c r="CV23716" s="376"/>
    </row>
    <row r="23717" spans="1:100">
      <c r="A23717" s="374"/>
      <c r="C23717" s="374"/>
      <c r="CV23717" s="376"/>
    </row>
    <row r="23718" spans="1:100">
      <c r="A23718" s="374"/>
      <c r="C23718" s="374"/>
      <c r="CV23718" s="376"/>
    </row>
    <row r="23719" spans="1:100">
      <c r="A23719" s="374"/>
      <c r="C23719" s="374"/>
      <c r="CV23719" s="376"/>
    </row>
    <row r="23720" spans="1:100">
      <c r="A23720" s="374"/>
      <c r="C23720" s="374"/>
      <c r="CV23720" s="376"/>
    </row>
    <row r="23721" spans="1:100">
      <c r="A23721" s="374"/>
      <c r="C23721" s="374"/>
      <c r="CV23721" s="376"/>
    </row>
    <row r="23722" spans="1:100">
      <c r="A23722" s="374"/>
      <c r="C23722" s="374"/>
      <c r="CV23722" s="376"/>
    </row>
    <row r="23723" spans="1:100">
      <c r="A23723" s="374"/>
      <c r="C23723" s="374"/>
      <c r="CV23723" s="376"/>
    </row>
    <row r="23724" spans="1:100">
      <c r="A23724" s="374"/>
      <c r="C23724" s="374"/>
      <c r="CV23724" s="376"/>
    </row>
    <row r="23725" spans="1:100">
      <c r="A23725" s="374"/>
      <c r="C23725" s="374"/>
      <c r="CV23725" s="376"/>
    </row>
    <row r="23726" spans="1:100">
      <c r="A23726" s="374"/>
      <c r="C23726" s="374"/>
      <c r="CV23726" s="376"/>
    </row>
    <row r="23727" spans="1:100">
      <c r="A23727" s="374"/>
      <c r="C23727" s="374"/>
      <c r="CV23727" s="376"/>
    </row>
    <row r="23728" spans="1:100">
      <c r="A23728" s="374"/>
      <c r="C23728" s="374"/>
      <c r="CV23728" s="376"/>
    </row>
    <row r="23729" spans="1:100">
      <c r="A23729" s="374"/>
      <c r="C23729" s="374"/>
      <c r="CV23729" s="376"/>
    </row>
    <row r="23730" spans="1:100">
      <c r="A23730" s="374"/>
      <c r="C23730" s="374"/>
      <c r="CV23730" s="376"/>
    </row>
    <row r="23731" spans="1:100">
      <c r="A23731" s="374"/>
      <c r="C23731" s="374"/>
      <c r="CV23731" s="376"/>
    </row>
    <row r="23732" spans="1:100">
      <c r="A23732" s="374"/>
      <c r="C23732" s="374"/>
      <c r="CV23732" s="376"/>
    </row>
    <row r="23733" spans="1:100">
      <c r="A23733" s="374"/>
      <c r="C23733" s="374"/>
      <c r="CV23733" s="376"/>
    </row>
    <row r="23734" spans="1:100">
      <c r="A23734" s="374"/>
      <c r="C23734" s="374"/>
      <c r="CV23734" s="376"/>
    </row>
    <row r="23735" spans="1:100">
      <c r="A23735" s="374"/>
      <c r="C23735" s="374"/>
      <c r="CV23735" s="376"/>
    </row>
    <row r="23736" spans="1:100">
      <c r="A23736" s="374"/>
      <c r="C23736" s="374"/>
      <c r="CV23736" s="376"/>
    </row>
    <row r="23737" spans="1:100">
      <c r="A23737" s="374"/>
      <c r="C23737" s="374"/>
      <c r="CV23737" s="376"/>
    </row>
    <row r="23738" spans="1:100">
      <c r="A23738" s="374"/>
      <c r="C23738" s="374"/>
      <c r="CV23738" s="376"/>
    </row>
    <row r="23739" spans="1:100">
      <c r="A23739" s="374"/>
      <c r="C23739" s="374"/>
      <c r="CV23739" s="376"/>
    </row>
    <row r="23740" spans="1:100">
      <c r="A23740" s="374"/>
      <c r="C23740" s="374"/>
      <c r="CV23740" s="376"/>
    </row>
    <row r="23741" spans="1:100">
      <c r="A23741" s="374"/>
      <c r="C23741" s="374"/>
      <c r="CV23741" s="376"/>
    </row>
    <row r="23742" spans="1:100">
      <c r="A23742" s="374"/>
      <c r="C23742" s="374"/>
      <c r="CV23742" s="376"/>
    </row>
    <row r="23743" spans="1:100">
      <c r="A23743" s="374"/>
      <c r="C23743" s="374"/>
      <c r="CV23743" s="376"/>
    </row>
    <row r="23744" spans="1:100">
      <c r="A23744" s="374"/>
      <c r="C23744" s="374"/>
      <c r="CV23744" s="376"/>
    </row>
    <row r="23745" spans="1:100">
      <c r="A23745" s="374"/>
      <c r="C23745" s="374"/>
      <c r="CV23745" s="376"/>
    </row>
    <row r="23746" spans="1:100">
      <c r="A23746" s="374"/>
      <c r="C23746" s="374"/>
      <c r="CV23746" s="376"/>
    </row>
    <row r="23747" spans="1:100">
      <c r="A23747" s="374"/>
      <c r="C23747" s="374"/>
      <c r="CV23747" s="376"/>
    </row>
    <row r="23748" spans="1:100">
      <c r="A23748" s="374"/>
      <c r="C23748" s="374"/>
      <c r="CV23748" s="376"/>
    </row>
    <row r="23749" spans="1:100">
      <c r="A23749" s="374"/>
      <c r="C23749" s="374"/>
      <c r="CV23749" s="376"/>
    </row>
    <row r="23750" spans="1:100">
      <c r="A23750" s="374"/>
      <c r="C23750" s="374"/>
      <c r="CV23750" s="376"/>
    </row>
    <row r="23751" spans="1:100">
      <c r="A23751" s="374"/>
      <c r="C23751" s="374"/>
      <c r="CV23751" s="376"/>
    </row>
    <row r="23752" spans="1:100">
      <c r="A23752" s="374"/>
      <c r="C23752" s="374"/>
      <c r="CV23752" s="376"/>
    </row>
    <row r="23753" spans="1:100">
      <c r="A23753" s="374"/>
      <c r="C23753" s="374"/>
      <c r="CV23753" s="376"/>
    </row>
    <row r="23754" spans="1:100">
      <c r="A23754" s="374"/>
      <c r="C23754" s="374"/>
      <c r="CV23754" s="376"/>
    </row>
    <row r="23755" spans="1:100">
      <c r="A23755" s="374"/>
      <c r="C23755" s="374"/>
      <c r="CV23755" s="376"/>
    </row>
    <row r="23756" spans="1:100">
      <c r="A23756" s="374"/>
      <c r="C23756" s="374"/>
      <c r="CV23756" s="376"/>
    </row>
    <row r="23757" spans="1:100">
      <c r="A23757" s="374"/>
      <c r="C23757" s="374"/>
      <c r="CV23757" s="376"/>
    </row>
    <row r="23758" spans="1:100">
      <c r="A23758" s="374"/>
      <c r="C23758" s="374"/>
      <c r="CV23758" s="376"/>
    </row>
    <row r="23759" spans="1:100">
      <c r="A23759" s="374"/>
      <c r="C23759" s="374"/>
      <c r="CV23759" s="376"/>
    </row>
    <row r="23760" spans="1:100">
      <c r="A23760" s="374"/>
      <c r="C23760" s="374"/>
      <c r="CV23760" s="376"/>
    </row>
    <row r="23761" spans="1:100">
      <c r="A23761" s="374"/>
      <c r="C23761" s="374"/>
      <c r="CV23761" s="376"/>
    </row>
    <row r="23762" spans="1:100">
      <c r="A23762" s="374"/>
      <c r="C23762" s="374"/>
      <c r="CV23762" s="376"/>
    </row>
    <row r="23763" spans="1:100">
      <c r="A23763" s="374"/>
      <c r="C23763" s="374"/>
      <c r="CV23763" s="376"/>
    </row>
    <row r="23764" spans="1:100">
      <c r="A23764" s="374"/>
      <c r="C23764" s="374"/>
      <c r="CV23764" s="376"/>
    </row>
    <row r="23765" spans="1:100">
      <c r="A23765" s="374"/>
      <c r="C23765" s="374"/>
      <c r="CV23765" s="376"/>
    </row>
    <row r="23766" spans="1:100">
      <c r="A23766" s="374"/>
      <c r="C23766" s="374"/>
      <c r="CV23766" s="376"/>
    </row>
    <row r="23767" spans="1:100">
      <c r="A23767" s="374"/>
      <c r="C23767" s="374"/>
      <c r="CV23767" s="376"/>
    </row>
    <row r="23768" spans="1:100">
      <c r="A23768" s="374"/>
      <c r="C23768" s="374"/>
      <c r="CV23768" s="376"/>
    </row>
    <row r="23769" spans="1:100">
      <c r="A23769" s="374"/>
      <c r="C23769" s="374"/>
      <c r="CV23769" s="376"/>
    </row>
    <row r="23770" spans="1:100">
      <c r="A23770" s="374"/>
      <c r="C23770" s="374"/>
      <c r="CV23770" s="376"/>
    </row>
    <row r="23771" spans="1:100">
      <c r="A23771" s="374"/>
      <c r="C23771" s="374"/>
      <c r="CV23771" s="376"/>
    </row>
    <row r="23772" spans="1:100">
      <c r="A23772" s="374"/>
      <c r="C23772" s="374"/>
      <c r="CV23772" s="376"/>
    </row>
    <row r="23773" spans="1:100">
      <c r="A23773" s="374"/>
      <c r="C23773" s="374"/>
      <c r="CV23773" s="376"/>
    </row>
    <row r="23774" spans="1:100">
      <c r="A23774" s="374"/>
      <c r="C23774" s="374"/>
      <c r="CV23774" s="376"/>
    </row>
    <row r="23775" spans="1:100">
      <c r="A23775" s="374"/>
      <c r="C23775" s="374"/>
      <c r="CV23775" s="376"/>
    </row>
    <row r="23776" spans="1:100">
      <c r="A23776" s="374"/>
      <c r="C23776" s="374"/>
      <c r="CV23776" s="376"/>
    </row>
    <row r="23777" spans="1:100">
      <c r="A23777" s="374"/>
      <c r="C23777" s="374"/>
      <c r="CV23777" s="376"/>
    </row>
    <row r="23778" spans="1:100">
      <c r="A23778" s="374"/>
      <c r="C23778" s="374"/>
      <c r="CV23778" s="376"/>
    </row>
    <row r="23779" spans="1:100">
      <c r="A23779" s="374"/>
      <c r="C23779" s="374"/>
      <c r="CV23779" s="376"/>
    </row>
    <row r="23780" spans="1:100">
      <c r="A23780" s="374"/>
      <c r="C23780" s="374"/>
      <c r="CV23780" s="376"/>
    </row>
    <row r="23781" spans="1:100">
      <c r="A23781" s="374"/>
      <c r="C23781" s="374"/>
      <c r="CV23781" s="376"/>
    </row>
    <row r="23782" spans="1:100">
      <c r="A23782" s="374"/>
      <c r="C23782" s="374"/>
      <c r="CV23782" s="376"/>
    </row>
    <row r="23783" spans="1:100">
      <c r="A23783" s="374"/>
      <c r="C23783" s="374"/>
      <c r="CV23783" s="376"/>
    </row>
    <row r="23784" spans="1:100">
      <c r="A23784" s="374"/>
      <c r="C23784" s="374"/>
      <c r="CV23784" s="376"/>
    </row>
    <row r="23785" spans="1:100">
      <c r="A23785" s="374"/>
      <c r="C23785" s="374"/>
      <c r="CV23785" s="376"/>
    </row>
    <row r="23786" spans="1:100">
      <c r="A23786" s="374"/>
      <c r="C23786" s="374"/>
      <c r="CV23786" s="376"/>
    </row>
    <row r="23787" spans="1:100">
      <c r="A23787" s="374"/>
      <c r="C23787" s="374"/>
      <c r="CV23787" s="376"/>
    </row>
    <row r="23788" spans="1:100">
      <c r="A23788" s="374"/>
      <c r="C23788" s="374"/>
      <c r="CV23788" s="376"/>
    </row>
    <row r="23789" spans="1:100">
      <c r="A23789" s="374"/>
      <c r="C23789" s="374"/>
      <c r="CV23789" s="376"/>
    </row>
    <row r="23790" spans="1:100">
      <c r="A23790" s="374"/>
      <c r="C23790" s="374"/>
      <c r="CV23790" s="376"/>
    </row>
    <row r="23791" spans="1:100">
      <c r="A23791" s="374"/>
      <c r="C23791" s="374"/>
      <c r="CV23791" s="376"/>
    </row>
    <row r="23792" spans="1:100">
      <c r="A23792" s="374"/>
      <c r="C23792" s="374"/>
      <c r="CV23792" s="376"/>
    </row>
    <row r="23793" spans="1:100">
      <c r="A23793" s="374"/>
      <c r="C23793" s="374"/>
      <c r="CV23793" s="376"/>
    </row>
    <row r="23794" spans="1:100">
      <c r="A23794" s="374"/>
      <c r="C23794" s="374"/>
      <c r="CV23794" s="376"/>
    </row>
    <row r="23795" spans="1:100">
      <c r="A23795" s="374"/>
      <c r="C23795" s="374"/>
      <c r="CV23795" s="376"/>
    </row>
    <row r="23796" spans="1:100">
      <c r="A23796" s="374"/>
      <c r="C23796" s="374"/>
      <c r="CV23796" s="376"/>
    </row>
    <row r="23797" spans="1:100">
      <c r="A23797" s="374"/>
      <c r="C23797" s="374"/>
      <c r="CV23797" s="376"/>
    </row>
    <row r="23798" spans="1:100">
      <c r="A23798" s="374"/>
      <c r="C23798" s="374"/>
      <c r="CV23798" s="376"/>
    </row>
    <row r="23799" spans="1:100">
      <c r="A23799" s="374"/>
      <c r="C23799" s="374"/>
      <c r="CV23799" s="376"/>
    </row>
    <row r="23800" spans="1:100">
      <c r="A23800" s="374"/>
      <c r="C23800" s="374"/>
      <c r="CV23800" s="376"/>
    </row>
    <row r="23801" spans="1:100">
      <c r="A23801" s="374"/>
      <c r="C23801" s="374"/>
      <c r="CV23801" s="376"/>
    </row>
    <row r="23802" spans="1:100">
      <c r="A23802" s="374"/>
      <c r="C23802" s="374"/>
      <c r="CV23802" s="376"/>
    </row>
    <row r="23803" spans="1:100">
      <c r="A23803" s="374"/>
      <c r="C23803" s="374"/>
      <c r="CV23803" s="376"/>
    </row>
    <row r="23804" spans="1:100">
      <c r="A23804" s="374"/>
      <c r="C23804" s="374"/>
      <c r="CV23804" s="376"/>
    </row>
    <row r="23805" spans="1:100">
      <c r="A23805" s="374"/>
      <c r="C23805" s="374"/>
      <c r="CV23805" s="376"/>
    </row>
    <row r="23806" spans="1:100">
      <c r="A23806" s="374"/>
      <c r="C23806" s="374"/>
      <c r="CV23806" s="376"/>
    </row>
    <row r="23807" spans="1:100">
      <c r="A23807" s="374"/>
      <c r="C23807" s="374"/>
      <c r="CV23807" s="376"/>
    </row>
    <row r="23808" spans="1:100">
      <c r="A23808" s="374"/>
      <c r="C23808" s="374"/>
      <c r="CV23808" s="376"/>
    </row>
    <row r="23809" spans="1:100">
      <c r="A23809" s="374"/>
      <c r="C23809" s="374"/>
      <c r="CV23809" s="376"/>
    </row>
    <row r="23810" spans="1:100">
      <c r="A23810" s="374"/>
      <c r="C23810" s="374"/>
      <c r="CV23810" s="376"/>
    </row>
    <row r="23811" spans="1:100">
      <c r="A23811" s="374"/>
      <c r="C23811" s="374"/>
      <c r="CV23811" s="376"/>
    </row>
    <row r="23812" spans="1:100">
      <c r="A23812" s="374"/>
      <c r="C23812" s="374"/>
      <c r="CV23812" s="376"/>
    </row>
    <row r="23813" spans="1:100">
      <c r="A23813" s="374"/>
      <c r="C23813" s="374"/>
      <c r="CV23813" s="376"/>
    </row>
    <row r="23814" spans="1:100">
      <c r="A23814" s="374"/>
      <c r="C23814" s="374"/>
      <c r="CV23814" s="376"/>
    </row>
    <row r="23815" spans="1:100">
      <c r="A23815" s="374"/>
      <c r="C23815" s="374"/>
      <c r="CV23815" s="376"/>
    </row>
    <row r="23816" spans="1:100">
      <c r="A23816" s="374"/>
      <c r="C23816" s="374"/>
      <c r="CV23816" s="376"/>
    </row>
    <row r="23817" spans="1:100">
      <c r="A23817" s="374"/>
      <c r="C23817" s="374"/>
      <c r="CV23817" s="376"/>
    </row>
    <row r="23818" spans="1:100">
      <c r="A23818" s="374"/>
      <c r="C23818" s="374"/>
      <c r="CV23818" s="376"/>
    </row>
    <row r="23819" spans="1:100">
      <c r="A23819" s="374"/>
      <c r="C23819" s="374"/>
      <c r="CV23819" s="376"/>
    </row>
    <row r="23820" spans="1:100">
      <c r="A23820" s="374"/>
      <c r="C23820" s="374"/>
      <c r="CV23820" s="376"/>
    </row>
    <row r="23821" spans="1:100">
      <c r="A23821" s="374"/>
      <c r="C23821" s="374"/>
      <c r="CV23821" s="376"/>
    </row>
    <row r="23822" spans="1:100">
      <c r="A23822" s="374"/>
      <c r="C23822" s="374"/>
      <c r="CV23822" s="376"/>
    </row>
    <row r="23823" spans="1:100">
      <c r="A23823" s="374"/>
      <c r="C23823" s="374"/>
      <c r="CV23823" s="376"/>
    </row>
    <row r="23824" spans="1:100">
      <c r="A23824" s="374"/>
      <c r="C23824" s="374"/>
      <c r="CV23824" s="376"/>
    </row>
    <row r="23825" spans="1:100">
      <c r="A23825" s="374"/>
      <c r="C23825" s="374"/>
      <c r="CV23825" s="376"/>
    </row>
    <row r="23826" spans="1:100">
      <c r="A23826" s="374"/>
      <c r="C23826" s="374"/>
      <c r="CV23826" s="376"/>
    </row>
    <row r="23827" spans="1:100">
      <c r="A23827" s="374"/>
      <c r="C23827" s="374"/>
      <c r="CV23827" s="376"/>
    </row>
    <row r="23828" spans="1:100">
      <c r="A23828" s="374"/>
      <c r="C23828" s="374"/>
      <c r="CV23828" s="376"/>
    </row>
    <row r="23829" spans="1:100">
      <c r="A23829" s="374"/>
      <c r="C23829" s="374"/>
      <c r="CV23829" s="376"/>
    </row>
    <row r="23830" spans="1:100">
      <c r="A23830" s="374"/>
      <c r="C23830" s="374"/>
      <c r="CV23830" s="376"/>
    </row>
    <row r="23831" spans="1:100">
      <c r="A23831" s="374"/>
      <c r="C23831" s="374"/>
      <c r="CV23831" s="376"/>
    </row>
    <row r="23832" spans="1:100">
      <c r="A23832" s="374"/>
      <c r="C23832" s="374"/>
      <c r="CV23832" s="376"/>
    </row>
    <row r="23833" spans="1:100">
      <c r="A23833" s="374"/>
      <c r="C23833" s="374"/>
      <c r="CV23833" s="376"/>
    </row>
    <row r="23834" spans="1:100">
      <c r="A23834" s="374"/>
      <c r="C23834" s="374"/>
      <c r="CV23834" s="376"/>
    </row>
    <row r="23835" spans="1:100">
      <c r="A23835" s="374"/>
      <c r="C23835" s="374"/>
      <c r="CV23835" s="376"/>
    </row>
    <row r="23836" spans="1:100">
      <c r="A23836" s="374"/>
      <c r="C23836" s="374"/>
      <c r="CV23836" s="376"/>
    </row>
    <row r="23837" spans="1:100">
      <c r="A23837" s="374"/>
      <c r="C23837" s="374"/>
      <c r="CV23837" s="376"/>
    </row>
    <row r="23838" spans="1:100">
      <c r="A23838" s="374"/>
      <c r="C23838" s="374"/>
      <c r="CV23838" s="376"/>
    </row>
    <row r="23839" spans="1:100">
      <c r="A23839" s="374"/>
      <c r="C23839" s="374"/>
      <c r="CV23839" s="376"/>
    </row>
    <row r="23840" spans="1:100">
      <c r="A23840" s="374"/>
      <c r="C23840" s="374"/>
      <c r="CV23840" s="376"/>
    </row>
    <row r="23841" spans="1:100">
      <c r="A23841" s="374"/>
      <c r="C23841" s="374"/>
      <c r="CV23841" s="376"/>
    </row>
    <row r="23842" spans="1:100">
      <c r="A23842" s="374"/>
      <c r="C23842" s="374"/>
      <c r="CV23842" s="376"/>
    </row>
    <row r="23843" spans="1:100">
      <c r="A23843" s="374"/>
      <c r="C23843" s="374"/>
      <c r="CV23843" s="376"/>
    </row>
    <row r="23844" spans="1:100">
      <c r="A23844" s="374"/>
      <c r="C23844" s="374"/>
      <c r="CV23844" s="376"/>
    </row>
    <row r="23845" spans="1:100">
      <c r="A23845" s="374"/>
      <c r="C23845" s="374"/>
      <c r="CV23845" s="376"/>
    </row>
    <row r="23846" spans="1:100">
      <c r="A23846" s="374"/>
      <c r="C23846" s="374"/>
      <c r="CV23846" s="376"/>
    </row>
    <row r="23847" spans="1:100">
      <c r="A23847" s="374"/>
      <c r="C23847" s="374"/>
      <c r="CV23847" s="376"/>
    </row>
    <row r="23848" spans="1:100">
      <c r="A23848" s="374"/>
      <c r="C23848" s="374"/>
      <c r="CV23848" s="376"/>
    </row>
    <row r="23849" spans="1:100">
      <c r="A23849" s="374"/>
      <c r="C23849" s="374"/>
      <c r="CV23849" s="376"/>
    </row>
    <row r="23850" spans="1:100">
      <c r="A23850" s="374"/>
      <c r="C23850" s="374"/>
      <c r="CV23850" s="376"/>
    </row>
    <row r="23851" spans="1:100">
      <c r="A23851" s="374"/>
      <c r="C23851" s="374"/>
      <c r="CV23851" s="376"/>
    </row>
    <row r="23852" spans="1:100">
      <c r="A23852" s="374"/>
      <c r="C23852" s="374"/>
      <c r="CV23852" s="376"/>
    </row>
    <row r="23853" spans="1:100">
      <c r="A23853" s="374"/>
      <c r="C23853" s="374"/>
      <c r="CV23853" s="376"/>
    </row>
    <row r="23854" spans="1:100">
      <c r="A23854" s="374"/>
      <c r="C23854" s="374"/>
      <c r="CV23854" s="376"/>
    </row>
    <row r="23855" spans="1:100">
      <c r="A23855" s="374"/>
      <c r="C23855" s="374"/>
      <c r="CV23855" s="376"/>
    </row>
    <row r="23856" spans="1:100">
      <c r="A23856" s="374"/>
      <c r="C23856" s="374"/>
      <c r="CV23856" s="376"/>
    </row>
    <row r="23857" spans="1:100">
      <c r="A23857" s="374"/>
      <c r="C23857" s="374"/>
      <c r="CV23857" s="376"/>
    </row>
    <row r="23858" spans="1:100">
      <c r="A23858" s="374"/>
      <c r="C23858" s="374"/>
      <c r="CV23858" s="376"/>
    </row>
    <row r="23859" spans="1:100">
      <c r="A23859" s="374"/>
      <c r="C23859" s="374"/>
      <c r="CV23859" s="376"/>
    </row>
    <row r="23860" spans="1:100">
      <c r="A23860" s="374"/>
      <c r="C23860" s="374"/>
      <c r="CV23860" s="376"/>
    </row>
    <row r="23861" spans="1:100">
      <c r="A23861" s="374"/>
      <c r="C23861" s="374"/>
      <c r="CV23861" s="376"/>
    </row>
    <row r="23862" spans="1:100">
      <c r="A23862" s="374"/>
      <c r="C23862" s="374"/>
      <c r="CV23862" s="376"/>
    </row>
    <row r="23863" spans="1:100">
      <c r="A23863" s="374"/>
      <c r="C23863" s="374"/>
      <c r="CV23863" s="376"/>
    </row>
    <row r="23864" spans="1:100">
      <c r="A23864" s="374"/>
      <c r="C23864" s="374"/>
      <c r="CV23864" s="376"/>
    </row>
    <row r="23865" spans="1:100">
      <c r="A23865" s="374"/>
      <c r="C23865" s="374"/>
      <c r="CV23865" s="376"/>
    </row>
    <row r="23866" spans="1:100">
      <c r="A23866" s="374"/>
      <c r="C23866" s="374"/>
      <c r="CV23866" s="376"/>
    </row>
    <row r="23867" spans="1:100">
      <c r="A23867" s="374"/>
      <c r="C23867" s="374"/>
      <c r="CV23867" s="376"/>
    </row>
    <row r="23868" spans="1:100">
      <c r="A23868" s="374"/>
      <c r="C23868" s="374"/>
      <c r="CV23868" s="376"/>
    </row>
    <row r="23869" spans="1:100">
      <c r="A23869" s="374"/>
      <c r="C23869" s="374"/>
      <c r="CV23869" s="376"/>
    </row>
    <row r="23870" spans="1:100">
      <c r="A23870" s="374"/>
      <c r="C23870" s="374"/>
      <c r="CV23870" s="376"/>
    </row>
    <row r="23871" spans="1:100">
      <c r="A23871" s="374"/>
      <c r="C23871" s="374"/>
      <c r="CV23871" s="376"/>
    </row>
    <row r="23872" spans="1:100">
      <c r="A23872" s="374"/>
      <c r="C23872" s="374"/>
      <c r="CV23872" s="376"/>
    </row>
    <row r="23873" spans="1:100">
      <c r="A23873" s="374"/>
      <c r="C23873" s="374"/>
      <c r="CV23873" s="376"/>
    </row>
    <row r="23874" spans="1:100">
      <c r="A23874" s="374"/>
      <c r="C23874" s="374"/>
      <c r="CV23874" s="376"/>
    </row>
    <row r="23875" spans="1:100">
      <c r="A23875" s="374"/>
      <c r="C23875" s="374"/>
      <c r="CV23875" s="376"/>
    </row>
    <row r="23876" spans="1:100">
      <c r="A23876" s="374"/>
      <c r="C23876" s="374"/>
      <c r="CV23876" s="376"/>
    </row>
    <row r="23877" spans="1:100">
      <c r="A23877" s="374"/>
      <c r="C23877" s="374"/>
      <c r="CV23877" s="376"/>
    </row>
    <row r="23878" spans="1:100">
      <c r="A23878" s="374"/>
      <c r="C23878" s="374"/>
      <c r="CV23878" s="376"/>
    </row>
    <row r="23879" spans="1:100">
      <c r="A23879" s="374"/>
      <c r="C23879" s="374"/>
      <c r="CV23879" s="376"/>
    </row>
    <row r="23880" spans="1:100">
      <c r="A23880" s="374"/>
      <c r="C23880" s="374"/>
      <c r="CV23880" s="376"/>
    </row>
    <row r="23881" spans="1:100">
      <c r="A23881" s="374"/>
      <c r="C23881" s="374"/>
      <c r="CV23881" s="376"/>
    </row>
    <row r="23882" spans="1:100">
      <c r="A23882" s="374"/>
      <c r="C23882" s="374"/>
      <c r="CV23882" s="376"/>
    </row>
    <row r="23883" spans="1:100">
      <c r="A23883" s="374"/>
      <c r="C23883" s="374"/>
      <c r="CV23883" s="376"/>
    </row>
    <row r="23884" spans="1:100">
      <c r="A23884" s="374"/>
      <c r="C23884" s="374"/>
      <c r="CV23884" s="376"/>
    </row>
    <row r="23885" spans="1:100">
      <c r="A23885" s="374"/>
      <c r="C23885" s="374"/>
      <c r="CV23885" s="376"/>
    </row>
    <row r="23886" spans="1:100">
      <c r="A23886" s="374"/>
      <c r="C23886" s="374"/>
      <c r="CV23886" s="376"/>
    </row>
    <row r="23887" spans="1:100">
      <c r="A23887" s="374"/>
      <c r="C23887" s="374"/>
      <c r="CV23887" s="376"/>
    </row>
    <row r="23888" spans="1:100">
      <c r="A23888" s="374"/>
      <c r="C23888" s="374"/>
      <c r="CV23888" s="376"/>
    </row>
    <row r="23889" spans="1:100">
      <c r="A23889" s="374"/>
      <c r="C23889" s="374"/>
      <c r="CV23889" s="376"/>
    </row>
    <row r="23890" spans="1:100">
      <c r="A23890" s="374"/>
      <c r="C23890" s="374"/>
      <c r="CV23890" s="376"/>
    </row>
    <row r="23891" spans="1:100">
      <c r="A23891" s="374"/>
      <c r="C23891" s="374"/>
      <c r="CV23891" s="376"/>
    </row>
    <row r="23892" spans="1:100">
      <c r="A23892" s="374"/>
      <c r="C23892" s="374"/>
      <c r="CV23892" s="376"/>
    </row>
    <row r="23893" spans="1:100">
      <c r="A23893" s="374"/>
      <c r="C23893" s="374"/>
      <c r="CV23893" s="376"/>
    </row>
    <row r="23894" spans="1:100">
      <c r="A23894" s="374"/>
      <c r="C23894" s="374"/>
      <c r="CV23894" s="376"/>
    </row>
    <row r="23895" spans="1:100">
      <c r="A23895" s="374"/>
      <c r="C23895" s="374"/>
      <c r="CV23895" s="376"/>
    </row>
    <row r="23896" spans="1:100">
      <c r="A23896" s="374"/>
      <c r="C23896" s="374"/>
      <c r="CV23896" s="376"/>
    </row>
    <row r="23897" spans="1:100">
      <c r="A23897" s="374"/>
      <c r="C23897" s="374"/>
      <c r="CV23897" s="376"/>
    </row>
    <row r="23898" spans="1:100">
      <c r="A23898" s="374"/>
      <c r="C23898" s="374"/>
      <c r="CV23898" s="376"/>
    </row>
    <row r="23899" spans="1:100">
      <c r="A23899" s="374"/>
      <c r="C23899" s="374"/>
      <c r="CV23899" s="376"/>
    </row>
    <row r="23900" spans="1:100">
      <c r="A23900" s="374"/>
      <c r="C23900" s="374"/>
      <c r="CV23900" s="376"/>
    </row>
    <row r="23901" spans="1:100">
      <c r="A23901" s="374"/>
      <c r="C23901" s="374"/>
      <c r="CV23901" s="376"/>
    </row>
    <row r="23902" spans="1:100">
      <c r="A23902" s="374"/>
      <c r="C23902" s="374"/>
      <c r="CV23902" s="376"/>
    </row>
    <row r="23903" spans="1:100">
      <c r="A23903" s="374"/>
      <c r="C23903" s="374"/>
      <c r="CV23903" s="376"/>
    </row>
    <row r="23904" spans="1:100">
      <c r="A23904" s="374"/>
      <c r="C23904" s="374"/>
      <c r="CV23904" s="376"/>
    </row>
    <row r="23905" spans="1:100">
      <c r="A23905" s="374"/>
      <c r="C23905" s="374"/>
      <c r="CV23905" s="376"/>
    </row>
    <row r="23906" spans="1:100">
      <c r="A23906" s="374"/>
      <c r="C23906" s="374"/>
      <c r="CV23906" s="376"/>
    </row>
    <row r="23907" spans="1:100">
      <c r="A23907" s="374"/>
      <c r="C23907" s="374"/>
      <c r="CV23907" s="376"/>
    </row>
    <row r="23908" spans="1:100">
      <c r="A23908" s="374"/>
      <c r="C23908" s="374"/>
      <c r="CV23908" s="376"/>
    </row>
    <row r="23909" spans="1:100">
      <c r="A23909" s="374"/>
      <c r="C23909" s="374"/>
      <c r="CV23909" s="376"/>
    </row>
    <row r="23910" spans="1:100">
      <c r="A23910" s="374"/>
      <c r="C23910" s="374"/>
      <c r="CV23910" s="376"/>
    </row>
    <row r="23911" spans="1:100">
      <c r="A23911" s="374"/>
      <c r="C23911" s="374"/>
      <c r="CV23911" s="376"/>
    </row>
    <row r="23912" spans="1:100">
      <c r="A23912" s="374"/>
      <c r="C23912" s="374"/>
      <c r="CV23912" s="376"/>
    </row>
    <row r="23913" spans="1:100">
      <c r="A23913" s="374"/>
      <c r="C23913" s="374"/>
      <c r="CV23913" s="376"/>
    </row>
    <row r="23914" spans="1:100">
      <c r="A23914" s="374"/>
      <c r="C23914" s="374"/>
      <c r="CV23914" s="376"/>
    </row>
    <row r="23915" spans="1:100">
      <c r="A23915" s="374"/>
      <c r="C23915" s="374"/>
      <c r="CV23915" s="376"/>
    </row>
    <row r="23916" spans="1:100">
      <c r="A23916" s="374"/>
      <c r="C23916" s="374"/>
      <c r="CV23916" s="376"/>
    </row>
    <row r="23917" spans="1:100">
      <c r="A23917" s="374"/>
      <c r="C23917" s="374"/>
      <c r="CV23917" s="376"/>
    </row>
    <row r="23918" spans="1:100">
      <c r="A23918" s="374"/>
      <c r="C23918" s="374"/>
      <c r="CV23918" s="376"/>
    </row>
    <row r="23919" spans="1:100">
      <c r="A23919" s="374"/>
      <c r="C23919" s="374"/>
      <c r="CV23919" s="376"/>
    </row>
    <row r="23920" spans="1:100">
      <c r="A23920" s="374"/>
      <c r="C23920" s="374"/>
      <c r="CV23920" s="376"/>
    </row>
    <row r="23921" spans="1:100">
      <c r="A23921" s="374"/>
      <c r="C23921" s="374"/>
      <c r="CV23921" s="376"/>
    </row>
    <row r="23922" spans="1:100">
      <c r="A23922" s="374"/>
      <c r="C23922" s="374"/>
      <c r="CV23922" s="376"/>
    </row>
    <row r="23923" spans="1:100">
      <c r="A23923" s="374"/>
      <c r="C23923" s="374"/>
      <c r="CV23923" s="376"/>
    </row>
    <row r="23924" spans="1:100">
      <c r="A23924" s="374"/>
      <c r="C23924" s="374"/>
      <c r="CV23924" s="376"/>
    </row>
    <row r="23925" spans="1:100">
      <c r="A23925" s="374"/>
      <c r="C23925" s="374"/>
      <c r="CV23925" s="376"/>
    </row>
    <row r="23926" spans="1:100">
      <c r="A23926" s="374"/>
      <c r="C23926" s="374"/>
      <c r="CV23926" s="376"/>
    </row>
    <row r="23927" spans="1:100">
      <c r="A23927" s="374"/>
      <c r="C23927" s="374"/>
      <c r="CV23927" s="376"/>
    </row>
    <row r="23928" spans="1:100">
      <c r="A23928" s="374"/>
      <c r="C23928" s="374"/>
      <c r="CV23928" s="376"/>
    </row>
    <row r="23929" spans="1:100">
      <c r="A23929" s="374"/>
      <c r="C23929" s="374"/>
      <c r="CV23929" s="376"/>
    </row>
    <row r="23930" spans="1:100">
      <c r="A23930" s="374"/>
      <c r="C23930" s="374"/>
      <c r="CV23930" s="376"/>
    </row>
    <row r="23931" spans="1:100">
      <c r="A23931" s="374"/>
      <c r="C23931" s="374"/>
      <c r="CV23931" s="376"/>
    </row>
    <row r="23932" spans="1:100">
      <c r="A23932" s="374"/>
      <c r="C23932" s="374"/>
      <c r="CV23932" s="376"/>
    </row>
    <row r="23933" spans="1:100">
      <c r="A23933" s="374"/>
      <c r="C23933" s="374"/>
      <c r="CV23933" s="376"/>
    </row>
    <row r="23934" spans="1:100">
      <c r="A23934" s="374"/>
      <c r="C23934" s="374"/>
      <c r="CV23934" s="376"/>
    </row>
    <row r="23935" spans="1:100">
      <c r="A23935" s="374"/>
      <c r="C23935" s="374"/>
      <c r="CV23935" s="376"/>
    </row>
    <row r="23936" spans="1:100">
      <c r="A23936" s="374"/>
      <c r="C23936" s="374"/>
      <c r="CV23936" s="376"/>
    </row>
    <row r="23937" spans="1:100">
      <c r="A23937" s="374"/>
      <c r="C23937" s="374"/>
      <c r="CV23937" s="376"/>
    </row>
    <row r="23938" spans="1:100">
      <c r="A23938" s="374"/>
      <c r="C23938" s="374"/>
      <c r="CV23938" s="376"/>
    </row>
    <row r="23939" spans="1:100">
      <c r="A23939" s="374"/>
      <c r="C23939" s="374"/>
      <c r="CV23939" s="376"/>
    </row>
    <row r="23940" spans="1:100">
      <c r="A23940" s="374"/>
      <c r="C23940" s="374"/>
      <c r="CV23940" s="376"/>
    </row>
    <row r="23941" spans="1:100">
      <c r="A23941" s="374"/>
      <c r="C23941" s="374"/>
      <c r="CV23941" s="376"/>
    </row>
    <row r="23942" spans="1:100">
      <c r="A23942" s="374"/>
      <c r="C23942" s="374"/>
      <c r="CV23942" s="376"/>
    </row>
    <row r="23943" spans="1:100">
      <c r="A23943" s="374"/>
      <c r="C23943" s="374"/>
      <c r="CV23943" s="376"/>
    </row>
    <row r="23944" spans="1:100">
      <c r="A23944" s="374"/>
      <c r="C23944" s="374"/>
      <c r="CV23944" s="376"/>
    </row>
    <row r="23945" spans="1:100">
      <c r="A23945" s="374"/>
      <c r="C23945" s="374"/>
      <c r="CV23945" s="376"/>
    </row>
    <row r="23946" spans="1:100">
      <c r="A23946" s="374"/>
      <c r="C23946" s="374"/>
      <c r="CV23946" s="376"/>
    </row>
    <row r="23947" spans="1:100">
      <c r="A23947" s="374"/>
      <c r="C23947" s="374"/>
      <c r="CV23947" s="376"/>
    </row>
    <row r="23948" spans="1:100">
      <c r="A23948" s="374"/>
      <c r="C23948" s="374"/>
      <c r="CV23948" s="376"/>
    </row>
    <row r="23949" spans="1:100">
      <c r="A23949" s="374"/>
      <c r="C23949" s="374"/>
      <c r="CV23949" s="376"/>
    </row>
    <row r="23950" spans="1:100">
      <c r="A23950" s="374"/>
      <c r="C23950" s="374"/>
      <c r="CV23950" s="376"/>
    </row>
    <row r="23951" spans="1:100">
      <c r="A23951" s="374"/>
      <c r="C23951" s="374"/>
      <c r="CV23951" s="376"/>
    </row>
    <row r="23952" spans="1:100">
      <c r="A23952" s="374"/>
      <c r="C23952" s="374"/>
      <c r="CV23952" s="376"/>
    </row>
    <row r="23953" spans="1:100">
      <c r="A23953" s="374"/>
      <c r="C23953" s="374"/>
      <c r="CV23953" s="376"/>
    </row>
    <row r="23954" spans="1:100">
      <c r="A23954" s="374"/>
      <c r="C23954" s="374"/>
      <c r="CV23954" s="376"/>
    </row>
    <row r="23955" spans="1:100">
      <c r="A23955" s="374"/>
      <c r="C23955" s="374"/>
      <c r="CV23955" s="376"/>
    </row>
    <row r="23956" spans="1:100">
      <c r="A23956" s="374"/>
      <c r="C23956" s="374"/>
      <c r="CV23956" s="376"/>
    </row>
    <row r="23957" spans="1:100">
      <c r="A23957" s="374"/>
      <c r="C23957" s="374"/>
      <c r="CV23957" s="376"/>
    </row>
    <row r="23958" spans="1:100">
      <c r="A23958" s="374"/>
      <c r="C23958" s="374"/>
      <c r="CV23958" s="376"/>
    </row>
    <row r="23959" spans="1:100">
      <c r="A23959" s="374"/>
      <c r="C23959" s="374"/>
      <c r="CV23959" s="376"/>
    </row>
    <row r="23960" spans="1:100">
      <c r="A23960" s="374"/>
      <c r="C23960" s="374"/>
      <c r="CV23960" s="376"/>
    </row>
    <row r="23961" spans="1:100">
      <c r="A23961" s="374"/>
      <c r="C23961" s="374"/>
      <c r="CV23961" s="376"/>
    </row>
    <row r="23962" spans="1:100">
      <c r="A23962" s="374"/>
      <c r="C23962" s="374"/>
      <c r="CV23962" s="376"/>
    </row>
    <row r="23963" spans="1:100">
      <c r="A23963" s="374"/>
      <c r="C23963" s="374"/>
      <c r="CV23963" s="376"/>
    </row>
    <row r="23964" spans="1:100">
      <c r="A23964" s="374"/>
      <c r="C23964" s="374"/>
      <c r="CV23964" s="376"/>
    </row>
    <row r="23965" spans="1:100">
      <c r="A23965" s="374"/>
      <c r="C23965" s="374"/>
      <c r="CV23965" s="376"/>
    </row>
    <row r="23966" spans="1:100">
      <c r="A23966" s="374"/>
      <c r="C23966" s="374"/>
      <c r="CV23966" s="376"/>
    </row>
    <row r="23967" spans="1:100">
      <c r="A23967" s="374"/>
      <c r="C23967" s="374"/>
      <c r="CV23967" s="376"/>
    </row>
    <row r="23968" spans="1:100">
      <c r="A23968" s="374"/>
      <c r="C23968" s="374"/>
      <c r="CV23968" s="376"/>
    </row>
    <row r="23969" spans="1:100">
      <c r="A23969" s="374"/>
      <c r="C23969" s="374"/>
      <c r="CV23969" s="376"/>
    </row>
    <row r="23970" spans="1:100">
      <c r="A23970" s="374"/>
      <c r="C23970" s="374"/>
      <c r="CV23970" s="376"/>
    </row>
    <row r="23971" spans="1:100">
      <c r="A23971" s="374"/>
      <c r="C23971" s="374"/>
      <c r="CV23971" s="376"/>
    </row>
    <row r="23972" spans="1:100">
      <c r="A23972" s="374"/>
      <c r="C23972" s="374"/>
      <c r="CV23972" s="376"/>
    </row>
    <row r="23973" spans="1:100">
      <c r="A23973" s="374"/>
      <c r="C23973" s="374"/>
      <c r="CV23973" s="376"/>
    </row>
    <row r="23974" spans="1:100">
      <c r="A23974" s="374"/>
      <c r="C23974" s="374"/>
      <c r="CV23974" s="376"/>
    </row>
    <row r="23975" spans="1:100">
      <c r="A23975" s="374"/>
      <c r="C23975" s="374"/>
      <c r="CV23975" s="376"/>
    </row>
    <row r="23976" spans="1:100">
      <c r="A23976" s="374"/>
      <c r="C23976" s="374"/>
      <c r="CV23976" s="376"/>
    </row>
    <row r="23977" spans="1:100">
      <c r="A23977" s="374"/>
      <c r="C23977" s="374"/>
      <c r="CV23977" s="376"/>
    </row>
    <row r="23978" spans="1:100">
      <c r="A23978" s="374"/>
      <c r="C23978" s="374"/>
      <c r="CV23978" s="376"/>
    </row>
    <row r="23979" spans="1:100">
      <c r="A23979" s="374"/>
      <c r="C23979" s="374"/>
      <c r="CV23979" s="376"/>
    </row>
    <row r="23980" spans="1:100">
      <c r="A23980" s="374"/>
      <c r="C23980" s="374"/>
      <c r="CV23980" s="376"/>
    </row>
    <row r="23981" spans="1:100">
      <c r="A23981" s="374"/>
      <c r="C23981" s="374"/>
      <c r="CV23981" s="376"/>
    </row>
    <row r="23982" spans="1:100">
      <c r="A23982" s="374"/>
      <c r="C23982" s="374"/>
      <c r="CV23982" s="376"/>
    </row>
    <row r="23983" spans="1:100">
      <c r="A23983" s="374"/>
      <c r="C23983" s="374"/>
      <c r="CV23983" s="376"/>
    </row>
    <row r="23984" spans="1:100">
      <c r="A23984" s="374"/>
      <c r="C23984" s="374"/>
      <c r="CV23984" s="376"/>
    </row>
    <row r="23985" spans="1:100">
      <c r="A23985" s="374"/>
      <c r="C23985" s="374"/>
      <c r="CV23985" s="376"/>
    </row>
    <row r="23986" spans="1:100">
      <c r="A23986" s="374"/>
      <c r="C23986" s="374"/>
      <c r="CV23986" s="376"/>
    </row>
    <row r="23987" spans="1:100">
      <c r="A23987" s="374"/>
      <c r="C23987" s="374"/>
      <c r="CV23987" s="376"/>
    </row>
    <row r="23988" spans="1:100">
      <c r="A23988" s="374"/>
      <c r="C23988" s="374"/>
      <c r="CV23988" s="376"/>
    </row>
    <row r="23989" spans="1:100">
      <c r="A23989" s="374"/>
      <c r="C23989" s="374"/>
      <c r="CV23989" s="376"/>
    </row>
    <row r="23990" spans="1:100">
      <c r="A23990" s="374"/>
      <c r="C23990" s="374"/>
      <c r="CV23990" s="376"/>
    </row>
    <row r="23991" spans="1:100">
      <c r="A23991" s="374"/>
      <c r="C23991" s="374"/>
      <c r="CV23991" s="376"/>
    </row>
    <row r="23992" spans="1:100">
      <c r="A23992" s="374"/>
      <c r="C23992" s="374"/>
      <c r="CV23992" s="376"/>
    </row>
    <row r="23993" spans="1:100">
      <c r="A23993" s="374"/>
      <c r="C23993" s="374"/>
      <c r="CV23993" s="376"/>
    </row>
    <row r="23994" spans="1:100">
      <c r="A23994" s="374"/>
      <c r="C23994" s="374"/>
      <c r="CV23994" s="376"/>
    </row>
    <row r="23995" spans="1:100">
      <c r="A23995" s="374"/>
      <c r="C23995" s="374"/>
      <c r="CV23995" s="376"/>
    </row>
    <row r="23996" spans="1:100">
      <c r="A23996" s="374"/>
      <c r="C23996" s="374"/>
      <c r="CV23996" s="376"/>
    </row>
    <row r="23997" spans="1:100">
      <c r="A23997" s="374"/>
      <c r="C23997" s="374"/>
      <c r="CV23997" s="376"/>
    </row>
    <row r="23998" spans="1:100">
      <c r="A23998" s="374"/>
      <c r="C23998" s="374"/>
      <c r="CV23998" s="376"/>
    </row>
    <row r="23999" spans="1:100">
      <c r="A23999" s="374"/>
      <c r="C23999" s="374"/>
      <c r="CV23999" s="376"/>
    </row>
    <row r="24000" spans="1:100">
      <c r="A24000" s="374"/>
      <c r="C24000" s="374"/>
      <c r="CV24000" s="376"/>
    </row>
    <row r="24001" spans="1:100">
      <c r="A24001" s="374"/>
      <c r="C24001" s="374"/>
      <c r="CV24001" s="376"/>
    </row>
    <row r="24002" spans="1:100">
      <c r="A24002" s="374"/>
      <c r="C24002" s="374"/>
      <c r="CV24002" s="376"/>
    </row>
    <row r="24003" spans="1:100">
      <c r="A24003" s="374"/>
      <c r="C24003" s="374"/>
      <c r="CV24003" s="376"/>
    </row>
    <row r="24004" spans="1:100">
      <c r="A24004" s="374"/>
      <c r="C24004" s="374"/>
      <c r="CV24004" s="376"/>
    </row>
    <row r="24005" spans="1:100">
      <c r="A24005" s="374"/>
      <c r="C24005" s="374"/>
      <c r="CV24005" s="376"/>
    </row>
    <row r="24006" spans="1:100">
      <c r="A24006" s="374"/>
      <c r="C24006" s="374"/>
      <c r="CV24006" s="376"/>
    </row>
    <row r="24007" spans="1:100">
      <c r="A24007" s="374"/>
      <c r="C24007" s="374"/>
      <c r="CV24007" s="376"/>
    </row>
    <row r="24008" spans="1:100">
      <c r="A24008" s="374"/>
      <c r="C24008" s="374"/>
      <c r="CV24008" s="376"/>
    </row>
    <row r="24009" spans="1:100">
      <c r="A24009" s="374"/>
      <c r="C24009" s="374"/>
      <c r="CV24009" s="376"/>
    </row>
    <row r="24010" spans="1:100">
      <c r="A24010" s="374"/>
      <c r="C24010" s="374"/>
      <c r="CV24010" s="376"/>
    </row>
    <row r="24011" spans="1:100">
      <c r="A24011" s="374"/>
      <c r="C24011" s="374"/>
      <c r="CV24011" s="376"/>
    </row>
    <row r="24012" spans="1:100">
      <c r="A24012" s="374"/>
      <c r="C24012" s="374"/>
      <c r="CV24012" s="376"/>
    </row>
    <row r="24013" spans="1:100">
      <c r="A24013" s="374"/>
      <c r="C24013" s="374"/>
      <c r="CV24013" s="376"/>
    </row>
    <row r="24014" spans="1:100">
      <c r="A24014" s="374"/>
      <c r="C24014" s="374"/>
      <c r="CV24014" s="376"/>
    </row>
    <row r="24015" spans="1:100">
      <c r="A24015" s="374"/>
      <c r="C24015" s="374"/>
      <c r="CV24015" s="376"/>
    </row>
    <row r="24016" spans="1:100">
      <c r="A24016" s="374"/>
      <c r="C24016" s="374"/>
      <c r="CV24016" s="376"/>
    </row>
    <row r="24017" spans="1:100">
      <c r="A24017" s="374"/>
      <c r="C24017" s="374"/>
      <c r="CV24017" s="376"/>
    </row>
    <row r="24018" spans="1:100">
      <c r="A24018" s="374"/>
      <c r="C24018" s="374"/>
      <c r="CV24018" s="376"/>
    </row>
    <row r="24019" spans="1:100">
      <c r="A24019" s="374"/>
      <c r="C24019" s="374"/>
      <c r="CV24019" s="376"/>
    </row>
    <row r="24020" spans="1:100">
      <c r="A24020" s="374"/>
      <c r="C24020" s="374"/>
      <c r="CV24020" s="376"/>
    </row>
    <row r="24021" spans="1:100">
      <c r="A24021" s="374"/>
      <c r="C24021" s="374"/>
      <c r="CV24021" s="376"/>
    </row>
    <row r="24022" spans="1:100">
      <c r="A24022" s="374"/>
      <c r="C24022" s="374"/>
      <c r="CV24022" s="376"/>
    </row>
    <row r="24023" spans="1:100">
      <c r="A24023" s="374"/>
      <c r="C24023" s="374"/>
      <c r="CV24023" s="376"/>
    </row>
    <row r="24024" spans="1:100">
      <c r="A24024" s="374"/>
      <c r="C24024" s="374"/>
      <c r="CV24024" s="376"/>
    </row>
    <row r="24025" spans="1:100">
      <c r="A24025" s="374"/>
      <c r="C24025" s="374"/>
      <c r="CV24025" s="376"/>
    </row>
    <row r="24026" spans="1:100">
      <c r="A24026" s="374"/>
      <c r="C24026" s="374"/>
      <c r="CV24026" s="376"/>
    </row>
    <row r="24027" spans="1:100">
      <c r="A24027" s="374"/>
      <c r="C24027" s="374"/>
      <c r="CV24027" s="376"/>
    </row>
    <row r="24028" spans="1:100">
      <c r="A24028" s="374"/>
      <c r="C24028" s="374"/>
      <c r="CV24028" s="376"/>
    </row>
    <row r="24029" spans="1:100">
      <c r="A24029" s="374"/>
      <c r="C24029" s="374"/>
      <c r="CV24029" s="376"/>
    </row>
    <row r="24030" spans="1:100">
      <c r="A24030" s="374"/>
      <c r="C24030" s="374"/>
      <c r="CV24030" s="376"/>
    </row>
    <row r="24031" spans="1:100">
      <c r="A24031" s="374"/>
      <c r="C24031" s="374"/>
      <c r="CV24031" s="376"/>
    </row>
    <row r="24032" spans="1:100">
      <c r="A24032" s="374"/>
      <c r="C24032" s="374"/>
      <c r="CV24032" s="376"/>
    </row>
    <row r="24033" spans="1:100">
      <c r="A24033" s="374"/>
      <c r="C24033" s="374"/>
      <c r="CV24033" s="376"/>
    </row>
    <row r="24034" spans="1:100">
      <c r="A24034" s="374"/>
      <c r="C24034" s="374"/>
      <c r="CV24034" s="376"/>
    </row>
    <row r="24035" spans="1:100">
      <c r="A24035" s="374"/>
      <c r="C24035" s="374"/>
      <c r="CV24035" s="376"/>
    </row>
    <row r="24036" spans="1:100">
      <c r="A24036" s="374"/>
      <c r="C24036" s="374"/>
      <c r="CV24036" s="376"/>
    </row>
    <row r="24037" spans="1:100">
      <c r="A24037" s="374"/>
      <c r="C24037" s="374"/>
      <c r="CV24037" s="376"/>
    </row>
    <row r="24038" spans="1:100">
      <c r="A24038" s="374"/>
      <c r="C24038" s="374"/>
      <c r="CV24038" s="376"/>
    </row>
    <row r="24039" spans="1:100">
      <c r="A24039" s="374"/>
      <c r="C24039" s="374"/>
      <c r="CV24039" s="376"/>
    </row>
    <row r="24040" spans="1:100">
      <c r="A24040" s="374"/>
      <c r="C24040" s="374"/>
      <c r="CV24040" s="376"/>
    </row>
    <row r="24041" spans="1:100">
      <c r="A24041" s="374"/>
      <c r="C24041" s="374"/>
      <c r="CV24041" s="376"/>
    </row>
    <row r="24042" spans="1:100">
      <c r="A24042" s="374"/>
      <c r="C24042" s="374"/>
      <c r="CV24042" s="376"/>
    </row>
    <row r="24043" spans="1:100">
      <c r="A24043" s="374"/>
      <c r="C24043" s="374"/>
      <c r="CV24043" s="376"/>
    </row>
    <row r="24044" spans="1:100">
      <c r="A24044" s="374"/>
      <c r="C24044" s="374"/>
      <c r="CV24044" s="376"/>
    </row>
    <row r="24045" spans="1:100">
      <c r="A24045" s="374"/>
      <c r="C24045" s="374"/>
      <c r="CV24045" s="376"/>
    </row>
    <row r="24046" spans="1:100">
      <c r="A24046" s="374"/>
      <c r="C24046" s="374"/>
      <c r="CV24046" s="376"/>
    </row>
    <row r="24047" spans="1:100">
      <c r="A24047" s="374"/>
      <c r="C24047" s="374"/>
      <c r="CV24047" s="376"/>
    </row>
    <row r="24048" spans="1:100">
      <c r="A24048" s="374"/>
      <c r="C24048" s="374"/>
      <c r="CV24048" s="376"/>
    </row>
    <row r="24049" spans="1:100">
      <c r="A24049" s="374"/>
      <c r="C24049" s="374"/>
      <c r="CV24049" s="376"/>
    </row>
    <row r="24050" spans="1:100">
      <c r="A24050" s="374"/>
      <c r="C24050" s="374"/>
      <c r="CV24050" s="376"/>
    </row>
    <row r="24051" spans="1:100">
      <c r="A24051" s="374"/>
      <c r="C24051" s="374"/>
      <c r="CV24051" s="376"/>
    </row>
    <row r="24052" spans="1:100">
      <c r="A24052" s="374"/>
      <c r="C24052" s="374"/>
      <c r="CV24052" s="376"/>
    </row>
    <row r="24053" spans="1:100">
      <c r="A24053" s="374"/>
      <c r="C24053" s="374"/>
      <c r="CV24053" s="376"/>
    </row>
    <row r="24054" spans="1:100">
      <c r="A24054" s="374"/>
      <c r="C24054" s="374"/>
      <c r="CV24054" s="376"/>
    </row>
    <row r="24055" spans="1:100">
      <c r="A24055" s="374"/>
      <c r="C24055" s="374"/>
      <c r="CV24055" s="376"/>
    </row>
    <row r="24056" spans="1:100">
      <c r="A24056" s="374"/>
      <c r="C24056" s="374"/>
      <c r="CV24056" s="376"/>
    </row>
    <row r="24057" spans="1:100">
      <c r="A24057" s="374"/>
      <c r="C24057" s="374"/>
      <c r="CV24057" s="376"/>
    </row>
    <row r="24058" spans="1:100">
      <c r="A24058" s="374"/>
      <c r="C24058" s="374"/>
      <c r="CV24058" s="376"/>
    </row>
    <row r="24059" spans="1:100">
      <c r="A24059" s="374"/>
      <c r="C24059" s="374"/>
      <c r="CV24059" s="376"/>
    </row>
    <row r="24060" spans="1:100">
      <c r="A24060" s="374"/>
      <c r="C24060" s="374"/>
      <c r="CV24060" s="376"/>
    </row>
    <row r="24061" spans="1:100">
      <c r="A24061" s="374"/>
      <c r="C24061" s="374"/>
      <c r="CV24061" s="376"/>
    </row>
    <row r="24062" spans="1:100">
      <c r="A24062" s="374"/>
      <c r="C24062" s="374"/>
      <c r="CV24062" s="376"/>
    </row>
    <row r="24063" spans="1:100">
      <c r="A24063" s="374"/>
      <c r="C24063" s="374"/>
      <c r="CV24063" s="376"/>
    </row>
    <row r="24064" spans="1:100">
      <c r="A24064" s="374"/>
      <c r="C24064" s="374"/>
      <c r="CV24064" s="376"/>
    </row>
    <row r="24065" spans="1:100">
      <c r="A24065" s="374"/>
      <c r="C24065" s="374"/>
      <c r="CV24065" s="376"/>
    </row>
    <row r="24066" spans="1:100">
      <c r="A24066" s="374"/>
      <c r="C24066" s="374"/>
      <c r="CV24066" s="376"/>
    </row>
    <row r="24067" spans="1:100">
      <c r="A24067" s="374"/>
      <c r="C24067" s="374"/>
      <c r="CV24067" s="376"/>
    </row>
    <row r="24068" spans="1:100">
      <c r="A24068" s="374"/>
      <c r="C24068" s="374"/>
      <c r="CV24068" s="376"/>
    </row>
    <row r="24069" spans="1:100">
      <c r="A24069" s="374"/>
      <c r="C24069" s="374"/>
      <c r="CV24069" s="376"/>
    </row>
    <row r="24070" spans="1:100">
      <c r="A24070" s="374"/>
      <c r="C24070" s="374"/>
      <c r="CV24070" s="376"/>
    </row>
    <row r="24071" spans="1:100">
      <c r="A24071" s="374"/>
      <c r="C24071" s="374"/>
      <c r="CV24071" s="376"/>
    </row>
    <row r="24072" spans="1:100">
      <c r="A24072" s="374"/>
      <c r="C24072" s="374"/>
      <c r="CV24072" s="376"/>
    </row>
    <row r="24073" spans="1:100">
      <c r="A24073" s="374"/>
      <c r="C24073" s="374"/>
      <c r="CV24073" s="376"/>
    </row>
    <row r="24074" spans="1:100">
      <c r="A24074" s="374"/>
      <c r="C24074" s="374"/>
      <c r="CV24074" s="376"/>
    </row>
    <row r="24075" spans="1:100">
      <c r="A24075" s="374"/>
      <c r="C24075" s="374"/>
      <c r="CV24075" s="376"/>
    </row>
    <row r="24076" spans="1:100">
      <c r="A24076" s="374"/>
      <c r="C24076" s="374"/>
      <c r="CV24076" s="376"/>
    </row>
    <row r="24077" spans="1:100">
      <c r="A24077" s="374"/>
      <c r="C24077" s="374"/>
      <c r="CV24077" s="376"/>
    </row>
    <row r="24078" spans="1:100">
      <c r="A24078" s="374"/>
      <c r="C24078" s="374"/>
      <c r="CV24078" s="376"/>
    </row>
    <row r="24079" spans="1:100">
      <c r="A24079" s="374"/>
      <c r="C24079" s="374"/>
      <c r="CV24079" s="376"/>
    </row>
    <row r="24080" spans="1:100">
      <c r="A24080" s="374"/>
      <c r="C24080" s="374"/>
      <c r="CV24080" s="376"/>
    </row>
    <row r="24081" spans="1:100">
      <c r="A24081" s="374"/>
      <c r="C24081" s="374"/>
      <c r="CV24081" s="376"/>
    </row>
    <row r="24082" spans="1:100">
      <c r="A24082" s="374"/>
      <c r="C24082" s="374"/>
      <c r="CV24082" s="376"/>
    </row>
    <row r="24083" spans="1:100">
      <c r="A24083" s="374"/>
      <c r="C24083" s="374"/>
      <c r="CV24083" s="376"/>
    </row>
    <row r="24084" spans="1:100">
      <c r="A24084" s="374"/>
      <c r="C24084" s="374"/>
      <c r="CV24084" s="376"/>
    </row>
    <row r="24085" spans="1:100">
      <c r="A24085" s="374"/>
      <c r="C24085" s="374"/>
      <c r="CV24085" s="376"/>
    </row>
    <row r="24086" spans="1:100">
      <c r="A24086" s="374"/>
      <c r="C24086" s="374"/>
      <c r="CV24086" s="376"/>
    </row>
    <row r="24087" spans="1:100">
      <c r="A24087" s="374"/>
      <c r="C24087" s="374"/>
      <c r="CV24087" s="376"/>
    </row>
    <row r="24088" spans="1:100">
      <c r="A24088" s="374"/>
      <c r="C24088" s="374"/>
      <c r="CV24088" s="376"/>
    </row>
    <row r="24089" spans="1:100">
      <c r="A24089" s="374"/>
      <c r="C24089" s="374"/>
      <c r="CV24089" s="376"/>
    </row>
    <row r="24090" spans="1:100">
      <c r="A24090" s="374"/>
      <c r="C24090" s="374"/>
      <c r="CV24090" s="376"/>
    </row>
    <row r="24091" spans="1:100">
      <c r="A24091" s="374"/>
      <c r="C24091" s="374"/>
      <c r="CV24091" s="376"/>
    </row>
    <row r="24092" spans="1:100">
      <c r="A24092" s="374"/>
      <c r="C24092" s="374"/>
      <c r="CV24092" s="376"/>
    </row>
    <row r="24093" spans="1:100">
      <c r="A24093" s="374"/>
      <c r="C24093" s="374"/>
      <c r="CV24093" s="376"/>
    </row>
    <row r="24094" spans="1:100">
      <c r="A24094" s="374"/>
      <c r="C24094" s="374"/>
      <c r="CV24094" s="376"/>
    </row>
    <row r="24095" spans="1:100">
      <c r="A24095" s="374"/>
      <c r="C24095" s="374"/>
      <c r="CV24095" s="376"/>
    </row>
    <row r="24096" spans="1:100">
      <c r="A24096" s="374"/>
      <c r="C24096" s="374"/>
      <c r="CV24096" s="376"/>
    </row>
    <row r="24097" spans="1:100">
      <c r="A24097" s="374"/>
      <c r="C24097" s="374"/>
      <c r="CV24097" s="376"/>
    </row>
    <row r="24098" spans="1:100">
      <c r="A24098" s="374"/>
      <c r="C24098" s="374"/>
      <c r="CV24098" s="376"/>
    </row>
    <row r="24099" spans="1:100">
      <c r="A24099" s="374"/>
      <c r="C24099" s="374"/>
      <c r="CV24099" s="376"/>
    </row>
    <row r="24100" spans="1:100">
      <c r="A24100" s="374"/>
      <c r="C24100" s="374"/>
      <c r="CV24100" s="376"/>
    </row>
    <row r="24101" spans="1:100">
      <c r="A24101" s="374"/>
      <c r="C24101" s="374"/>
      <c r="CV24101" s="376"/>
    </row>
    <row r="24102" spans="1:100">
      <c r="A24102" s="374"/>
      <c r="C24102" s="374"/>
      <c r="CV24102" s="376"/>
    </row>
    <row r="24103" spans="1:100">
      <c r="A24103" s="374"/>
      <c r="C24103" s="374"/>
      <c r="CV24103" s="376"/>
    </row>
    <row r="24104" spans="1:100">
      <c r="A24104" s="374"/>
      <c r="C24104" s="374"/>
      <c r="CV24104" s="376"/>
    </row>
    <row r="24105" spans="1:100">
      <c r="A24105" s="374"/>
      <c r="C24105" s="374"/>
      <c r="CV24105" s="376"/>
    </row>
    <row r="24106" spans="1:100">
      <c r="A24106" s="374"/>
      <c r="C24106" s="374"/>
      <c r="CV24106" s="376"/>
    </row>
    <row r="24107" spans="1:100">
      <c r="A24107" s="374"/>
      <c r="C24107" s="374"/>
      <c r="CV24107" s="376"/>
    </row>
    <row r="24108" spans="1:100">
      <c r="A24108" s="374"/>
      <c r="C24108" s="374"/>
      <c r="CV24108" s="376"/>
    </row>
    <row r="24109" spans="1:100">
      <c r="A24109" s="374"/>
      <c r="C24109" s="374"/>
      <c r="CV24109" s="376"/>
    </row>
    <row r="24110" spans="1:100">
      <c r="A24110" s="374"/>
      <c r="C24110" s="374"/>
      <c r="CV24110" s="376"/>
    </row>
    <row r="24111" spans="1:100">
      <c r="A24111" s="374"/>
      <c r="C24111" s="374"/>
      <c r="CV24111" s="376"/>
    </row>
    <row r="24112" spans="1:100">
      <c r="A24112" s="374"/>
      <c r="C24112" s="374"/>
      <c r="CV24112" s="376"/>
    </row>
    <row r="24113" spans="1:100">
      <c r="A24113" s="374"/>
      <c r="C24113" s="374"/>
      <c r="CV24113" s="376"/>
    </row>
    <row r="24114" spans="1:100">
      <c r="A24114" s="374"/>
      <c r="C24114" s="374"/>
      <c r="CV24114" s="376"/>
    </row>
    <row r="24115" spans="1:100">
      <c r="A24115" s="374"/>
      <c r="C24115" s="374"/>
      <c r="CV24115" s="376"/>
    </row>
    <row r="24116" spans="1:100">
      <c r="A24116" s="374"/>
      <c r="C24116" s="374"/>
      <c r="CV24116" s="376"/>
    </row>
    <row r="24117" spans="1:100">
      <c r="A24117" s="374"/>
      <c r="C24117" s="374"/>
      <c r="CV24117" s="376"/>
    </row>
    <row r="24118" spans="1:100">
      <c r="A24118" s="374"/>
      <c r="C24118" s="374"/>
      <c r="CV24118" s="376"/>
    </row>
    <row r="24119" spans="1:100">
      <c r="A24119" s="374"/>
      <c r="C24119" s="374"/>
      <c r="CV24119" s="376"/>
    </row>
    <row r="24120" spans="1:100">
      <c r="A24120" s="374"/>
      <c r="C24120" s="374"/>
      <c r="CV24120" s="376"/>
    </row>
    <row r="24121" spans="1:100">
      <c r="A24121" s="374"/>
      <c r="C24121" s="374"/>
      <c r="CV24121" s="376"/>
    </row>
    <row r="24122" spans="1:100">
      <c r="A24122" s="374"/>
      <c r="C24122" s="374"/>
      <c r="CV24122" s="376"/>
    </row>
    <row r="24123" spans="1:100">
      <c r="A24123" s="374"/>
      <c r="C24123" s="374"/>
      <c r="CV24123" s="376"/>
    </row>
    <row r="24124" spans="1:100">
      <c r="A24124" s="374"/>
      <c r="C24124" s="374"/>
      <c r="CV24124" s="376"/>
    </row>
    <row r="24125" spans="1:100">
      <c r="A24125" s="374"/>
      <c r="C24125" s="374"/>
      <c r="CV24125" s="376"/>
    </row>
    <row r="24126" spans="1:100">
      <c r="A24126" s="374"/>
      <c r="C24126" s="374"/>
      <c r="CV24126" s="376"/>
    </row>
    <row r="24127" spans="1:100">
      <c r="A24127" s="374"/>
      <c r="C24127" s="374"/>
      <c r="CV24127" s="376"/>
    </row>
    <row r="24128" spans="1:100">
      <c r="A24128" s="374"/>
      <c r="C24128" s="374"/>
      <c r="CV24128" s="376"/>
    </row>
    <row r="24129" spans="1:100">
      <c r="A24129" s="374"/>
      <c r="C24129" s="374"/>
      <c r="CV24129" s="376"/>
    </row>
    <row r="24130" spans="1:100">
      <c r="A24130" s="374"/>
      <c r="C24130" s="374"/>
      <c r="CV24130" s="376"/>
    </row>
    <row r="24131" spans="1:100">
      <c r="A24131" s="374"/>
      <c r="C24131" s="374"/>
      <c r="CV24131" s="376"/>
    </row>
    <row r="24132" spans="1:100">
      <c r="A24132" s="374"/>
      <c r="C24132" s="374"/>
      <c r="CV24132" s="376"/>
    </row>
    <row r="24133" spans="1:100">
      <c r="A24133" s="374"/>
      <c r="C24133" s="374"/>
      <c r="CV24133" s="376"/>
    </row>
    <row r="24134" spans="1:100">
      <c r="A24134" s="374"/>
      <c r="C24134" s="374"/>
      <c r="CV24134" s="376"/>
    </row>
    <row r="24135" spans="1:100">
      <c r="A24135" s="374"/>
      <c r="C24135" s="374"/>
      <c r="CV24135" s="376"/>
    </row>
    <row r="24136" spans="1:100">
      <c r="A24136" s="374"/>
      <c r="C24136" s="374"/>
      <c r="CV24136" s="376"/>
    </row>
    <row r="24137" spans="1:100">
      <c r="A24137" s="374"/>
      <c r="C24137" s="374"/>
      <c r="CV24137" s="376"/>
    </row>
    <row r="24138" spans="1:100">
      <c r="A24138" s="374"/>
      <c r="C24138" s="374"/>
      <c r="CV24138" s="376"/>
    </row>
    <row r="24139" spans="1:100">
      <c r="A24139" s="374"/>
      <c r="C24139" s="374"/>
      <c r="CV24139" s="376"/>
    </row>
    <row r="24140" spans="1:100">
      <c r="A24140" s="374"/>
      <c r="C24140" s="374"/>
      <c r="CV24140" s="376"/>
    </row>
    <row r="24141" spans="1:100">
      <c r="A24141" s="374"/>
      <c r="C24141" s="374"/>
      <c r="CV24141" s="376"/>
    </row>
    <row r="24142" spans="1:100">
      <c r="A24142" s="374"/>
      <c r="C24142" s="374"/>
      <c r="CV24142" s="376"/>
    </row>
    <row r="24143" spans="1:100">
      <c r="A24143" s="374"/>
      <c r="C24143" s="374"/>
      <c r="CV24143" s="376"/>
    </row>
    <row r="24144" spans="1:100">
      <c r="A24144" s="374"/>
      <c r="C24144" s="374"/>
      <c r="CV24144" s="376"/>
    </row>
    <row r="24145" spans="1:100">
      <c r="A24145" s="374"/>
      <c r="C24145" s="374"/>
      <c r="CV24145" s="376"/>
    </row>
    <row r="24146" spans="1:100">
      <c r="A24146" s="374"/>
      <c r="C24146" s="374"/>
      <c r="CV24146" s="376"/>
    </row>
    <row r="24147" spans="1:100">
      <c r="A24147" s="374"/>
      <c r="C24147" s="374"/>
      <c r="CV24147" s="376"/>
    </row>
    <row r="24148" spans="1:100">
      <c r="A24148" s="374"/>
      <c r="C24148" s="374"/>
      <c r="CV24148" s="376"/>
    </row>
    <row r="24149" spans="1:100">
      <c r="A24149" s="374"/>
      <c r="C24149" s="374"/>
      <c r="CV24149" s="376"/>
    </row>
    <row r="24150" spans="1:100">
      <c r="A24150" s="374"/>
      <c r="C24150" s="374"/>
      <c r="CV24150" s="376"/>
    </row>
    <row r="24151" spans="1:100">
      <c r="A24151" s="374"/>
      <c r="C24151" s="374"/>
      <c r="CV24151" s="376"/>
    </row>
    <row r="24152" spans="1:100">
      <c r="A24152" s="374"/>
      <c r="C24152" s="374"/>
      <c r="CV24152" s="376"/>
    </row>
    <row r="24153" spans="1:100">
      <c r="A24153" s="374"/>
      <c r="C24153" s="374"/>
      <c r="CV24153" s="376"/>
    </row>
    <row r="24154" spans="1:100">
      <c r="A24154" s="374"/>
      <c r="C24154" s="374"/>
      <c r="CV24154" s="376"/>
    </row>
    <row r="24155" spans="1:100">
      <c r="A24155" s="374"/>
      <c r="C24155" s="374"/>
      <c r="CV24155" s="376"/>
    </row>
    <row r="24156" spans="1:100">
      <c r="A24156" s="374"/>
      <c r="C24156" s="374"/>
      <c r="CV24156" s="376"/>
    </row>
    <row r="24157" spans="1:100">
      <c r="A24157" s="374"/>
      <c r="C24157" s="374"/>
      <c r="CV24157" s="376"/>
    </row>
    <row r="24158" spans="1:100">
      <c r="A24158" s="374"/>
      <c r="C24158" s="374"/>
      <c r="CV24158" s="376"/>
    </row>
    <row r="24159" spans="1:100">
      <c r="A24159" s="374"/>
      <c r="C24159" s="374"/>
      <c r="CV24159" s="376"/>
    </row>
    <row r="24160" spans="1:100">
      <c r="A24160" s="374"/>
      <c r="C24160" s="374"/>
      <c r="CV24160" s="376"/>
    </row>
    <row r="24161" spans="1:100">
      <c r="A24161" s="374"/>
      <c r="C24161" s="374"/>
      <c r="CV24161" s="376"/>
    </row>
    <row r="24162" spans="1:100">
      <c r="A24162" s="374"/>
      <c r="C24162" s="374"/>
      <c r="CV24162" s="376"/>
    </row>
    <row r="24163" spans="1:100">
      <c r="A24163" s="374"/>
      <c r="C24163" s="374"/>
      <c r="CV24163" s="376"/>
    </row>
    <row r="24164" spans="1:100">
      <c r="A24164" s="374"/>
      <c r="C24164" s="374"/>
      <c r="CV24164" s="376"/>
    </row>
    <row r="24165" spans="1:100">
      <c r="A24165" s="374"/>
      <c r="C24165" s="374"/>
      <c r="CV24165" s="376"/>
    </row>
    <row r="24166" spans="1:100">
      <c r="A24166" s="374"/>
      <c r="C24166" s="374"/>
      <c r="CV24166" s="376"/>
    </row>
    <row r="24167" spans="1:100">
      <c r="A24167" s="374"/>
      <c r="C24167" s="374"/>
      <c r="CV24167" s="376"/>
    </row>
    <row r="24168" spans="1:100">
      <c r="A24168" s="374"/>
      <c r="C24168" s="374"/>
      <c r="CV24168" s="376"/>
    </row>
    <row r="24169" spans="1:100">
      <c r="A24169" s="374"/>
      <c r="C24169" s="374"/>
      <c r="CV24169" s="376"/>
    </row>
    <row r="24170" spans="1:100">
      <c r="A24170" s="374"/>
      <c r="C24170" s="374"/>
      <c r="CV24170" s="376"/>
    </row>
    <row r="24171" spans="1:100">
      <c r="A24171" s="374"/>
      <c r="C24171" s="374"/>
      <c r="CV24171" s="376"/>
    </row>
    <row r="24172" spans="1:100">
      <c r="A24172" s="374"/>
      <c r="C24172" s="374"/>
      <c r="CV24172" s="376"/>
    </row>
    <row r="24173" spans="1:100">
      <c r="A24173" s="374"/>
      <c r="C24173" s="374"/>
      <c r="CV24173" s="376"/>
    </row>
    <row r="24174" spans="1:100">
      <c r="A24174" s="374"/>
      <c r="C24174" s="374"/>
      <c r="CV24174" s="376"/>
    </row>
    <row r="24175" spans="1:100">
      <c r="A24175" s="374"/>
      <c r="C24175" s="374"/>
      <c r="CV24175" s="376"/>
    </row>
    <row r="24176" spans="1:100">
      <c r="A24176" s="374"/>
      <c r="C24176" s="374"/>
      <c r="CV24176" s="376"/>
    </row>
    <row r="24177" spans="1:100">
      <c r="A24177" s="374"/>
      <c r="C24177" s="374"/>
      <c r="CV24177" s="376"/>
    </row>
    <row r="24178" spans="1:100">
      <c r="A24178" s="374"/>
      <c r="C24178" s="374"/>
      <c r="CV24178" s="376"/>
    </row>
    <row r="24179" spans="1:100">
      <c r="A24179" s="374"/>
      <c r="C24179" s="374"/>
      <c r="CV24179" s="376"/>
    </row>
    <row r="24180" spans="1:100">
      <c r="A24180" s="374"/>
      <c r="C24180" s="374"/>
      <c r="CV24180" s="376"/>
    </row>
    <row r="24181" spans="1:100">
      <c r="A24181" s="374"/>
      <c r="C24181" s="374"/>
      <c r="CV24181" s="376"/>
    </row>
    <row r="24182" spans="1:100">
      <c r="A24182" s="374"/>
      <c r="C24182" s="374"/>
      <c r="CV24182" s="376"/>
    </row>
    <row r="24183" spans="1:100">
      <c r="A24183" s="374"/>
      <c r="C24183" s="374"/>
      <c r="CV24183" s="376"/>
    </row>
    <row r="24184" spans="1:100">
      <c r="A24184" s="374"/>
      <c r="C24184" s="374"/>
      <c r="CV24184" s="376"/>
    </row>
    <row r="24185" spans="1:100">
      <c r="A24185" s="374"/>
      <c r="C24185" s="374"/>
      <c r="CV24185" s="376"/>
    </row>
    <row r="24186" spans="1:100">
      <c r="A24186" s="374"/>
      <c r="C24186" s="374"/>
      <c r="CV24186" s="376"/>
    </row>
    <row r="24187" spans="1:100">
      <c r="A24187" s="374"/>
      <c r="C24187" s="374"/>
      <c r="CV24187" s="376"/>
    </row>
    <row r="24188" spans="1:100">
      <c r="A24188" s="374"/>
      <c r="C24188" s="374"/>
      <c r="CV24188" s="376"/>
    </row>
    <row r="24189" spans="1:100">
      <c r="A24189" s="374"/>
      <c r="C24189" s="374"/>
      <c r="CV24189" s="376"/>
    </row>
    <row r="24190" spans="1:100">
      <c r="A24190" s="374"/>
      <c r="C24190" s="374"/>
      <c r="CV24190" s="376"/>
    </row>
    <row r="24191" spans="1:100">
      <c r="A24191" s="374"/>
      <c r="C24191" s="374"/>
      <c r="CV24191" s="376"/>
    </row>
    <row r="24192" spans="1:100">
      <c r="A24192" s="374"/>
      <c r="C24192" s="374"/>
      <c r="CV24192" s="376"/>
    </row>
    <row r="24193" spans="1:100">
      <c r="A24193" s="374"/>
      <c r="C24193" s="374"/>
      <c r="CV24193" s="376"/>
    </row>
    <row r="24194" spans="1:100">
      <c r="A24194" s="374"/>
      <c r="C24194" s="374"/>
      <c r="CV24194" s="376"/>
    </row>
    <row r="24195" spans="1:100">
      <c r="A24195" s="374"/>
      <c r="C24195" s="374"/>
      <c r="CV24195" s="376"/>
    </row>
    <row r="24196" spans="1:100">
      <c r="A24196" s="374"/>
      <c r="C24196" s="374"/>
      <c r="CV24196" s="376"/>
    </row>
    <row r="24197" spans="1:100">
      <c r="A24197" s="374"/>
      <c r="C24197" s="374"/>
      <c r="CV24197" s="376"/>
    </row>
    <row r="24198" spans="1:100">
      <c r="A24198" s="374"/>
      <c r="C24198" s="374"/>
      <c r="CV24198" s="376"/>
    </row>
    <row r="24199" spans="1:100">
      <c r="A24199" s="374"/>
      <c r="C24199" s="374"/>
      <c r="CV24199" s="376"/>
    </row>
    <row r="24200" spans="1:100">
      <c r="A24200" s="374"/>
      <c r="C24200" s="374"/>
      <c r="CV24200" s="376"/>
    </row>
    <row r="24201" spans="1:100">
      <c r="A24201" s="374"/>
      <c r="C24201" s="374"/>
      <c r="CV24201" s="376"/>
    </row>
    <row r="24202" spans="1:100">
      <c r="A24202" s="374"/>
      <c r="C24202" s="374"/>
      <c r="CV24202" s="376"/>
    </row>
    <row r="24203" spans="1:100">
      <c r="A24203" s="374"/>
      <c r="C24203" s="374"/>
      <c r="CV24203" s="376"/>
    </row>
    <row r="24204" spans="1:100">
      <c r="A24204" s="374"/>
      <c r="C24204" s="374"/>
      <c r="CV24204" s="376"/>
    </row>
    <row r="24205" spans="1:100">
      <c r="A24205" s="374"/>
      <c r="C24205" s="374"/>
      <c r="CV24205" s="376"/>
    </row>
    <row r="24206" spans="1:100">
      <c r="A24206" s="374"/>
      <c r="C24206" s="374"/>
      <c r="CV24206" s="376"/>
    </row>
    <row r="24207" spans="1:100">
      <c r="A24207" s="374"/>
      <c r="C24207" s="374"/>
      <c r="CV24207" s="376"/>
    </row>
    <row r="24208" spans="1:100">
      <c r="A24208" s="374"/>
      <c r="C24208" s="374"/>
      <c r="CV24208" s="376"/>
    </row>
    <row r="24209" spans="1:100">
      <c r="A24209" s="374"/>
      <c r="C24209" s="374"/>
      <c r="CV24209" s="376"/>
    </row>
    <row r="24210" spans="1:100">
      <c r="A24210" s="374"/>
      <c r="C24210" s="374"/>
      <c r="CV24210" s="376"/>
    </row>
    <row r="24211" spans="1:100">
      <c r="A24211" s="374"/>
      <c r="C24211" s="374"/>
      <c r="CV24211" s="376"/>
    </row>
    <row r="24212" spans="1:100">
      <c r="A24212" s="374"/>
      <c r="C24212" s="374"/>
      <c r="CV24212" s="376"/>
    </row>
    <row r="24213" spans="1:100">
      <c r="A24213" s="374"/>
      <c r="C24213" s="374"/>
      <c r="CV24213" s="376"/>
    </row>
    <row r="24214" spans="1:100">
      <c r="A24214" s="374"/>
      <c r="C24214" s="374"/>
      <c r="CV24214" s="376"/>
    </row>
    <row r="24215" spans="1:100">
      <c r="A24215" s="374"/>
      <c r="C24215" s="374"/>
      <c r="CV24215" s="376"/>
    </row>
    <row r="24216" spans="1:100">
      <c r="A24216" s="374"/>
      <c r="C24216" s="374"/>
      <c r="CV24216" s="376"/>
    </row>
    <row r="24217" spans="1:100">
      <c r="A24217" s="374"/>
      <c r="C24217" s="374"/>
      <c r="CV24217" s="376"/>
    </row>
    <row r="24218" spans="1:100">
      <c r="A24218" s="374"/>
      <c r="C24218" s="374"/>
      <c r="CV24218" s="376"/>
    </row>
    <row r="24219" spans="1:100">
      <c r="A24219" s="374"/>
      <c r="C24219" s="374"/>
      <c r="CV24219" s="376"/>
    </row>
    <row r="24220" spans="1:100">
      <c r="A24220" s="374"/>
      <c r="C24220" s="374"/>
      <c r="CV24220" s="376"/>
    </row>
    <row r="24221" spans="1:100">
      <c r="A24221" s="374"/>
      <c r="C24221" s="374"/>
      <c r="CV24221" s="376"/>
    </row>
    <row r="24222" spans="1:100">
      <c r="A24222" s="374"/>
      <c r="C24222" s="374"/>
      <c r="CV24222" s="376"/>
    </row>
    <row r="24223" spans="1:100">
      <c r="A24223" s="374"/>
      <c r="C24223" s="374"/>
      <c r="CV24223" s="376"/>
    </row>
    <row r="24224" spans="1:100">
      <c r="A24224" s="374"/>
      <c r="C24224" s="374"/>
      <c r="CV24224" s="376"/>
    </row>
    <row r="24225" spans="1:100">
      <c r="A24225" s="374"/>
      <c r="C24225" s="374"/>
      <c r="CV24225" s="376"/>
    </row>
    <row r="24226" spans="1:100">
      <c r="A24226" s="374"/>
      <c r="C24226" s="374"/>
      <c r="CV24226" s="376"/>
    </row>
    <row r="24227" spans="1:100">
      <c r="A24227" s="374"/>
      <c r="C24227" s="374"/>
      <c r="CV24227" s="376"/>
    </row>
    <row r="24228" spans="1:100">
      <c r="A24228" s="374"/>
      <c r="C24228" s="374"/>
      <c r="CV24228" s="376"/>
    </row>
    <row r="24229" spans="1:100">
      <c r="A24229" s="374"/>
      <c r="C24229" s="374"/>
      <c r="CV24229" s="376"/>
    </row>
    <row r="24230" spans="1:100">
      <c r="A24230" s="374"/>
      <c r="C24230" s="374"/>
      <c r="CV24230" s="376"/>
    </row>
    <row r="24231" spans="1:100">
      <c r="A24231" s="374"/>
      <c r="C24231" s="374"/>
      <c r="CV24231" s="376"/>
    </row>
    <row r="24232" spans="1:100">
      <c r="A24232" s="374"/>
      <c r="C24232" s="374"/>
      <c r="CV24232" s="376"/>
    </row>
    <row r="24233" spans="1:100">
      <c r="A24233" s="374"/>
      <c r="C24233" s="374"/>
      <c r="CV24233" s="376"/>
    </row>
    <row r="24234" spans="1:100">
      <c r="A24234" s="374"/>
      <c r="C24234" s="374"/>
      <c r="CV24234" s="376"/>
    </row>
    <row r="24235" spans="1:100">
      <c r="A24235" s="374"/>
      <c r="C24235" s="374"/>
      <c r="CV24235" s="376"/>
    </row>
    <row r="24236" spans="1:100">
      <c r="A24236" s="374"/>
      <c r="C24236" s="374"/>
      <c r="CV24236" s="376"/>
    </row>
    <row r="24237" spans="1:100">
      <c r="A24237" s="374"/>
      <c r="C24237" s="374"/>
      <c r="CV24237" s="376"/>
    </row>
    <row r="24238" spans="1:100">
      <c r="A24238" s="374"/>
      <c r="C24238" s="374"/>
      <c r="CV24238" s="376"/>
    </row>
    <row r="24239" spans="1:100">
      <c r="A24239" s="374"/>
      <c r="C24239" s="374"/>
      <c r="CV24239" s="376"/>
    </row>
    <row r="24240" spans="1:100">
      <c r="A24240" s="374"/>
      <c r="C24240" s="374"/>
      <c r="CV24240" s="376"/>
    </row>
    <row r="24241" spans="1:100">
      <c r="A24241" s="374"/>
      <c r="C24241" s="374"/>
      <c r="CV24241" s="376"/>
    </row>
    <row r="24242" spans="1:100">
      <c r="A24242" s="374"/>
      <c r="C24242" s="374"/>
      <c r="CV24242" s="376"/>
    </row>
    <row r="24243" spans="1:100">
      <c r="A24243" s="374"/>
      <c r="C24243" s="374"/>
      <c r="CV24243" s="376"/>
    </row>
    <row r="24244" spans="1:100">
      <c r="A24244" s="374"/>
      <c r="C24244" s="374"/>
      <c r="CV24244" s="376"/>
    </row>
    <row r="24245" spans="1:100">
      <c r="A24245" s="374"/>
      <c r="C24245" s="374"/>
      <c r="CV24245" s="376"/>
    </row>
    <row r="24246" spans="1:100">
      <c r="A24246" s="374"/>
      <c r="C24246" s="374"/>
      <c r="CV24246" s="376"/>
    </row>
    <row r="24247" spans="1:100">
      <c r="A24247" s="374"/>
      <c r="C24247" s="374"/>
      <c r="CV24247" s="376"/>
    </row>
    <row r="24248" spans="1:100">
      <c r="A24248" s="374"/>
      <c r="C24248" s="374"/>
      <c r="CV24248" s="376"/>
    </row>
    <row r="24249" spans="1:100">
      <c r="A24249" s="374"/>
      <c r="C24249" s="374"/>
      <c r="CV24249" s="376"/>
    </row>
    <row r="24250" spans="1:100">
      <c r="A24250" s="374"/>
      <c r="C24250" s="374"/>
      <c r="CV24250" s="376"/>
    </row>
    <row r="24251" spans="1:100">
      <c r="A24251" s="374"/>
      <c r="C24251" s="374"/>
      <c r="CV24251" s="376"/>
    </row>
    <row r="24252" spans="1:100">
      <c r="A24252" s="374"/>
      <c r="C24252" s="374"/>
      <c r="CV24252" s="376"/>
    </row>
    <row r="24253" spans="1:100">
      <c r="A24253" s="374"/>
      <c r="C24253" s="374"/>
      <c r="CV24253" s="376"/>
    </row>
    <row r="24254" spans="1:100">
      <c r="A24254" s="374"/>
      <c r="C24254" s="374"/>
      <c r="CV24254" s="376"/>
    </row>
    <row r="24255" spans="1:100">
      <c r="A24255" s="374"/>
      <c r="C24255" s="374"/>
      <c r="CV24255" s="376"/>
    </row>
    <row r="24256" spans="1:100">
      <c r="A24256" s="374"/>
      <c r="C24256" s="374"/>
      <c r="CV24256" s="376"/>
    </row>
    <row r="24257" spans="1:100">
      <c r="A24257" s="374"/>
      <c r="C24257" s="374"/>
      <c r="CV24257" s="376"/>
    </row>
    <row r="24258" spans="1:100">
      <c r="A24258" s="374"/>
      <c r="C24258" s="374"/>
      <c r="CV24258" s="376"/>
    </row>
    <row r="24259" spans="1:100">
      <c r="A24259" s="374"/>
      <c r="C24259" s="374"/>
      <c r="CV24259" s="376"/>
    </row>
    <row r="24260" spans="1:100">
      <c r="A24260" s="374"/>
      <c r="C24260" s="374"/>
      <c r="CV24260" s="376"/>
    </row>
    <row r="24261" spans="1:100">
      <c r="A24261" s="374"/>
      <c r="C24261" s="374"/>
      <c r="CV24261" s="376"/>
    </row>
    <row r="24262" spans="1:100">
      <c r="A24262" s="374"/>
      <c r="C24262" s="374"/>
      <c r="CV24262" s="376"/>
    </row>
    <row r="24263" spans="1:100">
      <c r="A24263" s="374"/>
      <c r="C24263" s="374"/>
      <c r="CV24263" s="376"/>
    </row>
    <row r="24264" spans="1:100">
      <c r="A24264" s="374"/>
      <c r="C24264" s="374"/>
      <c r="CV24264" s="376"/>
    </row>
    <row r="24265" spans="1:100">
      <c r="A24265" s="374"/>
      <c r="C24265" s="374"/>
      <c r="CV24265" s="376"/>
    </row>
    <row r="24266" spans="1:100">
      <c r="A24266" s="374"/>
      <c r="C24266" s="374"/>
      <c r="CV24266" s="376"/>
    </row>
    <row r="24267" spans="1:100">
      <c r="A24267" s="374"/>
      <c r="C24267" s="374"/>
      <c r="CV24267" s="376"/>
    </row>
    <row r="24268" spans="1:100">
      <c r="A24268" s="374"/>
      <c r="C24268" s="374"/>
      <c r="CV24268" s="376"/>
    </row>
    <row r="24269" spans="1:100">
      <c r="A24269" s="374"/>
      <c r="C24269" s="374"/>
      <c r="CV24269" s="376"/>
    </row>
    <row r="24270" spans="1:100">
      <c r="A24270" s="374"/>
      <c r="C24270" s="374"/>
      <c r="CV24270" s="376"/>
    </row>
    <row r="24271" spans="1:100">
      <c r="A24271" s="374"/>
      <c r="C24271" s="374"/>
      <c r="CV24271" s="376"/>
    </row>
    <row r="24272" spans="1:100">
      <c r="A24272" s="374"/>
      <c r="C24272" s="374"/>
      <c r="CV24272" s="376"/>
    </row>
    <row r="24273" spans="1:100">
      <c r="A24273" s="374"/>
      <c r="C24273" s="374"/>
      <c r="CV24273" s="376"/>
    </row>
    <row r="24274" spans="1:100">
      <c r="A24274" s="374"/>
      <c r="C24274" s="374"/>
      <c r="CV24274" s="376"/>
    </row>
    <row r="24275" spans="1:100">
      <c r="A24275" s="374"/>
      <c r="C24275" s="374"/>
      <c r="CV24275" s="376"/>
    </row>
    <row r="24276" spans="1:100">
      <c r="A24276" s="374"/>
      <c r="C24276" s="374"/>
      <c r="CV24276" s="376"/>
    </row>
    <row r="24277" spans="1:100">
      <c r="A24277" s="374"/>
      <c r="C24277" s="374"/>
      <c r="CV24277" s="376"/>
    </row>
    <row r="24278" spans="1:100">
      <c r="A24278" s="374"/>
      <c r="C24278" s="374"/>
      <c r="CV24278" s="376"/>
    </row>
    <row r="24279" spans="1:100">
      <c r="A24279" s="374"/>
      <c r="C24279" s="374"/>
      <c r="CV24279" s="376"/>
    </row>
    <row r="24280" spans="1:100">
      <c r="A24280" s="374"/>
      <c r="C24280" s="374"/>
      <c r="CV24280" s="376"/>
    </row>
    <row r="24281" spans="1:100">
      <c r="A24281" s="374"/>
      <c r="C24281" s="374"/>
      <c r="CV24281" s="376"/>
    </row>
    <row r="24282" spans="1:100">
      <c r="A24282" s="374"/>
      <c r="C24282" s="374"/>
      <c r="CV24282" s="376"/>
    </row>
    <row r="24283" spans="1:100">
      <c r="A24283" s="374"/>
      <c r="C24283" s="374"/>
      <c r="CV24283" s="376"/>
    </row>
    <row r="24284" spans="1:100">
      <c r="A24284" s="374"/>
      <c r="C24284" s="374"/>
      <c r="CV24284" s="376"/>
    </row>
    <row r="24285" spans="1:100">
      <c r="A24285" s="374"/>
      <c r="C24285" s="374"/>
      <c r="CV24285" s="376"/>
    </row>
    <row r="24286" spans="1:100">
      <c r="A24286" s="374"/>
      <c r="C24286" s="374"/>
      <c r="CV24286" s="376"/>
    </row>
    <row r="24287" spans="1:100">
      <c r="A24287" s="374"/>
      <c r="C24287" s="374"/>
      <c r="CV24287" s="376"/>
    </row>
    <row r="24288" spans="1:100">
      <c r="A24288" s="374"/>
      <c r="C24288" s="374"/>
      <c r="CV24288" s="376"/>
    </row>
    <row r="24289" spans="1:100">
      <c r="A24289" s="374"/>
      <c r="C24289" s="374"/>
      <c r="CV24289" s="376"/>
    </row>
    <row r="24290" spans="1:100">
      <c r="A24290" s="374"/>
      <c r="C24290" s="374"/>
      <c r="CV24290" s="376"/>
    </row>
    <row r="24291" spans="1:100">
      <c r="A24291" s="374"/>
      <c r="C24291" s="374"/>
      <c r="CV24291" s="376"/>
    </row>
    <row r="24292" spans="1:100">
      <c r="A24292" s="374"/>
      <c r="C24292" s="374"/>
      <c r="CV24292" s="376"/>
    </row>
    <row r="24293" spans="1:100">
      <c r="A24293" s="374"/>
      <c r="C24293" s="374"/>
      <c r="CV24293" s="376"/>
    </row>
    <row r="24294" spans="1:100">
      <c r="A24294" s="374"/>
      <c r="C24294" s="374"/>
      <c r="CV24294" s="376"/>
    </row>
    <row r="24295" spans="1:100">
      <c r="A24295" s="374"/>
      <c r="C24295" s="374"/>
      <c r="CV24295" s="376"/>
    </row>
    <row r="24296" spans="1:100">
      <c r="A24296" s="374"/>
      <c r="C24296" s="374"/>
      <c r="CV24296" s="376"/>
    </row>
    <row r="24297" spans="1:100">
      <c r="A24297" s="374"/>
      <c r="C24297" s="374"/>
      <c r="CV24297" s="376"/>
    </row>
    <row r="24298" spans="1:100">
      <c r="A24298" s="374"/>
      <c r="C24298" s="374"/>
      <c r="CV24298" s="376"/>
    </row>
    <row r="24299" spans="1:100">
      <c r="A24299" s="374"/>
      <c r="C24299" s="374"/>
      <c r="CV24299" s="376"/>
    </row>
    <row r="24300" spans="1:100">
      <c r="A24300" s="374"/>
      <c r="C24300" s="374"/>
      <c r="CV24300" s="376"/>
    </row>
    <row r="24301" spans="1:100">
      <c r="A24301" s="374"/>
      <c r="C24301" s="374"/>
      <c r="CV24301" s="376"/>
    </row>
    <row r="24302" spans="1:100">
      <c r="A24302" s="374"/>
      <c r="C24302" s="374"/>
      <c r="CV24302" s="376"/>
    </row>
    <row r="24303" spans="1:100">
      <c r="A24303" s="374"/>
      <c r="C24303" s="374"/>
      <c r="CV24303" s="376"/>
    </row>
    <row r="24304" spans="1:100">
      <c r="A24304" s="374"/>
      <c r="C24304" s="374"/>
      <c r="CV24304" s="376"/>
    </row>
    <row r="24305" spans="1:100">
      <c r="A24305" s="374"/>
      <c r="C24305" s="374"/>
      <c r="CV24305" s="376"/>
    </row>
    <row r="24306" spans="1:100">
      <c r="A24306" s="374"/>
      <c r="C24306" s="374"/>
      <c r="CV24306" s="376"/>
    </row>
    <row r="24307" spans="1:100">
      <c r="A24307" s="374"/>
      <c r="C24307" s="374"/>
      <c r="CV24307" s="376"/>
    </row>
    <row r="24308" spans="1:100">
      <c r="A24308" s="374"/>
      <c r="C24308" s="374"/>
      <c r="CV24308" s="376"/>
    </row>
    <row r="24309" spans="1:100">
      <c r="A24309" s="374"/>
      <c r="C24309" s="374"/>
      <c r="CV24309" s="376"/>
    </row>
    <row r="24310" spans="1:100">
      <c r="A24310" s="374"/>
      <c r="C24310" s="374"/>
      <c r="CV24310" s="376"/>
    </row>
    <row r="24311" spans="1:100">
      <c r="A24311" s="374"/>
      <c r="C24311" s="374"/>
      <c r="CV24311" s="376"/>
    </row>
    <row r="24312" spans="1:100">
      <c r="A24312" s="374"/>
      <c r="C24312" s="374"/>
      <c r="CV24312" s="376"/>
    </row>
    <row r="24313" spans="1:100">
      <c r="A24313" s="374"/>
      <c r="C24313" s="374"/>
      <c r="CV24313" s="376"/>
    </row>
    <row r="24314" spans="1:100">
      <c r="A24314" s="374"/>
      <c r="C24314" s="374"/>
      <c r="CV24314" s="376"/>
    </row>
    <row r="24315" spans="1:100">
      <c r="A24315" s="374"/>
      <c r="C24315" s="374"/>
      <c r="CV24315" s="376"/>
    </row>
    <row r="24316" spans="1:100">
      <c r="A24316" s="374"/>
      <c r="C24316" s="374"/>
      <c r="CV24316" s="376"/>
    </row>
    <row r="24317" spans="1:100">
      <c r="A24317" s="374"/>
      <c r="C24317" s="374"/>
      <c r="CV24317" s="376"/>
    </row>
    <row r="24318" spans="1:100">
      <c r="A24318" s="374"/>
      <c r="C24318" s="374"/>
      <c r="CV24318" s="376"/>
    </row>
    <row r="24319" spans="1:100">
      <c r="A24319" s="374"/>
      <c r="C24319" s="374"/>
      <c r="CV24319" s="376"/>
    </row>
    <row r="24320" spans="1:100">
      <c r="A24320" s="374"/>
      <c r="C24320" s="374"/>
      <c r="CV24320" s="376"/>
    </row>
    <row r="24321" spans="1:100">
      <c r="A24321" s="374"/>
      <c r="C24321" s="374"/>
      <c r="CV24321" s="376"/>
    </row>
    <row r="24322" spans="1:100">
      <c r="A24322" s="374"/>
      <c r="C24322" s="374"/>
      <c r="CV24322" s="376"/>
    </row>
    <row r="24323" spans="1:100">
      <c r="A24323" s="374"/>
      <c r="C24323" s="374"/>
      <c r="CV24323" s="376"/>
    </row>
    <row r="24324" spans="1:100">
      <c r="A24324" s="374"/>
      <c r="C24324" s="374"/>
      <c r="CV24324" s="376"/>
    </row>
    <row r="24325" spans="1:100">
      <c r="A24325" s="374"/>
      <c r="C24325" s="374"/>
      <c r="CV24325" s="376"/>
    </row>
    <row r="24326" spans="1:100">
      <c r="A24326" s="374"/>
      <c r="C24326" s="374"/>
      <c r="CV24326" s="376"/>
    </row>
    <row r="24327" spans="1:100">
      <c r="A24327" s="374"/>
      <c r="C24327" s="374"/>
      <c r="CV24327" s="376"/>
    </row>
    <row r="24328" spans="1:100">
      <c r="A24328" s="374"/>
      <c r="C24328" s="374"/>
      <c r="CV24328" s="376"/>
    </row>
    <row r="24329" spans="1:100">
      <c r="A24329" s="374"/>
      <c r="C24329" s="374"/>
      <c r="CV24329" s="376"/>
    </row>
    <row r="24330" spans="1:100">
      <c r="A24330" s="374"/>
      <c r="C24330" s="374"/>
      <c r="CV24330" s="376"/>
    </row>
    <row r="24331" spans="1:100">
      <c r="A24331" s="374"/>
      <c r="C24331" s="374"/>
      <c r="CV24331" s="376"/>
    </row>
    <row r="24332" spans="1:100">
      <c r="A24332" s="374"/>
      <c r="C24332" s="374"/>
      <c r="CV24332" s="376"/>
    </row>
    <row r="24333" spans="1:100">
      <c r="A24333" s="374"/>
      <c r="C24333" s="374"/>
      <c r="CV24333" s="376"/>
    </row>
    <row r="24334" spans="1:100">
      <c r="A24334" s="374"/>
      <c r="C24334" s="374"/>
      <c r="CV24334" s="376"/>
    </row>
    <row r="24335" spans="1:100">
      <c r="A24335" s="374"/>
      <c r="C24335" s="374"/>
      <c r="CV24335" s="376"/>
    </row>
    <row r="24336" spans="1:100">
      <c r="A24336" s="374"/>
      <c r="C24336" s="374"/>
      <c r="CV24336" s="376"/>
    </row>
    <row r="24337" spans="1:100">
      <c r="A24337" s="374"/>
      <c r="C24337" s="374"/>
      <c r="CV24337" s="376"/>
    </row>
    <row r="24338" spans="1:100">
      <c r="A24338" s="374"/>
      <c r="C24338" s="374"/>
      <c r="CV24338" s="376"/>
    </row>
    <row r="24339" spans="1:100">
      <c r="A24339" s="374"/>
      <c r="C24339" s="374"/>
      <c r="CV24339" s="376"/>
    </row>
    <row r="24340" spans="1:100">
      <c r="A24340" s="374"/>
      <c r="C24340" s="374"/>
      <c r="CV24340" s="376"/>
    </row>
    <row r="24341" spans="1:100">
      <c r="A24341" s="374"/>
      <c r="C24341" s="374"/>
      <c r="CV24341" s="376"/>
    </row>
    <row r="24342" spans="1:100">
      <c r="A24342" s="374"/>
      <c r="C24342" s="374"/>
      <c r="CV24342" s="376"/>
    </row>
    <row r="24343" spans="1:100">
      <c r="A24343" s="374"/>
      <c r="C24343" s="374"/>
      <c r="CV24343" s="376"/>
    </row>
    <row r="24344" spans="1:100">
      <c r="A24344" s="374"/>
      <c r="C24344" s="374"/>
      <c r="CV24344" s="376"/>
    </row>
    <row r="24345" spans="1:100">
      <c r="A24345" s="374"/>
      <c r="C24345" s="374"/>
      <c r="CV24345" s="376"/>
    </row>
    <row r="24346" spans="1:100">
      <c r="A24346" s="374"/>
      <c r="C24346" s="374"/>
      <c r="CV24346" s="376"/>
    </row>
    <row r="24347" spans="1:100">
      <c r="A24347" s="374"/>
      <c r="C24347" s="374"/>
      <c r="CV24347" s="376"/>
    </row>
    <row r="24348" spans="1:100">
      <c r="A24348" s="374"/>
      <c r="C24348" s="374"/>
      <c r="CV24348" s="376"/>
    </row>
    <row r="24349" spans="1:100">
      <c r="A24349" s="374"/>
      <c r="C24349" s="374"/>
      <c r="CV24349" s="376"/>
    </row>
    <row r="24350" spans="1:100">
      <c r="A24350" s="374"/>
      <c r="C24350" s="374"/>
      <c r="CV24350" s="376"/>
    </row>
    <row r="24351" spans="1:100">
      <c r="A24351" s="374"/>
      <c r="C24351" s="374"/>
      <c r="CV24351" s="376"/>
    </row>
    <row r="24352" spans="1:100">
      <c r="A24352" s="374"/>
      <c r="C24352" s="374"/>
      <c r="CV24352" s="376"/>
    </row>
    <row r="24353" spans="1:100">
      <c r="A24353" s="374"/>
      <c r="C24353" s="374"/>
      <c r="CV24353" s="376"/>
    </row>
    <row r="24354" spans="1:100">
      <c r="A24354" s="374"/>
      <c r="C24354" s="374"/>
      <c r="CV24354" s="376"/>
    </row>
    <row r="24355" spans="1:100">
      <c r="A24355" s="374"/>
      <c r="C24355" s="374"/>
      <c r="CV24355" s="376"/>
    </row>
    <row r="24356" spans="1:100">
      <c r="A24356" s="374"/>
      <c r="C24356" s="374"/>
      <c r="CV24356" s="376"/>
    </row>
    <row r="24357" spans="1:100">
      <c r="A24357" s="374"/>
      <c r="C24357" s="374"/>
      <c r="CV24357" s="376"/>
    </row>
    <row r="24358" spans="1:100">
      <c r="A24358" s="374"/>
      <c r="C24358" s="374"/>
      <c r="CV24358" s="376"/>
    </row>
    <row r="24359" spans="1:100">
      <c r="A24359" s="374"/>
      <c r="C24359" s="374"/>
      <c r="CV24359" s="376"/>
    </row>
    <row r="24360" spans="1:100">
      <c r="A24360" s="374"/>
      <c r="C24360" s="374"/>
      <c r="CV24360" s="376"/>
    </row>
    <row r="24361" spans="1:100">
      <c r="A24361" s="374"/>
      <c r="C24361" s="374"/>
      <c r="CV24361" s="376"/>
    </row>
    <row r="24362" spans="1:100">
      <c r="A24362" s="374"/>
      <c r="C24362" s="374"/>
      <c r="CV24362" s="376"/>
    </row>
    <row r="24363" spans="1:100">
      <c r="A24363" s="374"/>
      <c r="C24363" s="374"/>
      <c r="CV24363" s="376"/>
    </row>
    <row r="24364" spans="1:100">
      <c r="A24364" s="374"/>
      <c r="C24364" s="374"/>
      <c r="CV24364" s="376"/>
    </row>
    <row r="24365" spans="1:100">
      <c r="A24365" s="374"/>
      <c r="C24365" s="374"/>
      <c r="CV24365" s="376"/>
    </row>
    <row r="24366" spans="1:100">
      <c r="A24366" s="374"/>
      <c r="C24366" s="374"/>
      <c r="CV24366" s="376"/>
    </row>
    <row r="24367" spans="1:100">
      <c r="A24367" s="374"/>
      <c r="C24367" s="374"/>
      <c r="CV24367" s="376"/>
    </row>
    <row r="24368" spans="1:100">
      <c r="A24368" s="374"/>
      <c r="C24368" s="374"/>
      <c r="CV24368" s="376"/>
    </row>
    <row r="24369" spans="1:100">
      <c r="A24369" s="374"/>
      <c r="C24369" s="374"/>
      <c r="CV24369" s="376"/>
    </row>
    <row r="24370" spans="1:100">
      <c r="A24370" s="374"/>
      <c r="C24370" s="374"/>
      <c r="CV24370" s="376"/>
    </row>
    <row r="24371" spans="1:100">
      <c r="A24371" s="374"/>
      <c r="C24371" s="374"/>
      <c r="CV24371" s="376"/>
    </row>
    <row r="24372" spans="1:100">
      <c r="A24372" s="374"/>
      <c r="C24372" s="374"/>
      <c r="CV24372" s="376"/>
    </row>
    <row r="24373" spans="1:100">
      <c r="A24373" s="374"/>
      <c r="C24373" s="374"/>
      <c r="CV24373" s="376"/>
    </row>
    <row r="24374" spans="1:100">
      <c r="A24374" s="374"/>
      <c r="C24374" s="374"/>
      <c r="CV24374" s="376"/>
    </row>
    <row r="24375" spans="1:100">
      <c r="A24375" s="374"/>
      <c r="C24375" s="374"/>
      <c r="CV24375" s="376"/>
    </row>
    <row r="24376" spans="1:100">
      <c r="A24376" s="374"/>
      <c r="C24376" s="374"/>
      <c r="CV24376" s="376"/>
    </row>
    <row r="24377" spans="1:100">
      <c r="A24377" s="374"/>
      <c r="C24377" s="374"/>
      <c r="CV24377" s="376"/>
    </row>
    <row r="24378" spans="1:100">
      <c r="A24378" s="374"/>
      <c r="C24378" s="374"/>
      <c r="CV24378" s="376"/>
    </row>
    <row r="24379" spans="1:100">
      <c r="A24379" s="374"/>
      <c r="C24379" s="374"/>
      <c r="CV24379" s="376"/>
    </row>
    <row r="24380" spans="1:100">
      <c r="A24380" s="374"/>
      <c r="C24380" s="374"/>
      <c r="CV24380" s="376"/>
    </row>
    <row r="24381" spans="1:100">
      <c r="A24381" s="374"/>
      <c r="C24381" s="374"/>
      <c r="CV24381" s="376"/>
    </row>
    <row r="24382" spans="1:100">
      <c r="A24382" s="374"/>
      <c r="C24382" s="374"/>
      <c r="CV24382" s="376"/>
    </row>
    <row r="24383" spans="1:100">
      <c r="A24383" s="374"/>
      <c r="C24383" s="374"/>
      <c r="CV24383" s="376"/>
    </row>
    <row r="24384" spans="1:100">
      <c r="A24384" s="374"/>
      <c r="C24384" s="374"/>
      <c r="CV24384" s="376"/>
    </row>
    <row r="24385" spans="1:100">
      <c r="A24385" s="374"/>
      <c r="C24385" s="374"/>
      <c r="CV24385" s="376"/>
    </row>
    <row r="24386" spans="1:100">
      <c r="A24386" s="374"/>
      <c r="C24386" s="374"/>
      <c r="CV24386" s="376"/>
    </row>
    <row r="24387" spans="1:100">
      <c r="A24387" s="374"/>
      <c r="C24387" s="374"/>
      <c r="CV24387" s="376"/>
    </row>
    <row r="24388" spans="1:100">
      <c r="A24388" s="374"/>
      <c r="C24388" s="374"/>
      <c r="CV24388" s="376"/>
    </row>
    <row r="24389" spans="1:100">
      <c r="A24389" s="374"/>
      <c r="C24389" s="374"/>
      <c r="CV24389" s="376"/>
    </row>
    <row r="24390" spans="1:100">
      <c r="A24390" s="374"/>
      <c r="C24390" s="374"/>
      <c r="CV24390" s="376"/>
    </row>
    <row r="24391" spans="1:100">
      <c r="A24391" s="374"/>
      <c r="C24391" s="374"/>
      <c r="CV24391" s="376"/>
    </row>
    <row r="24392" spans="1:100">
      <c r="A24392" s="374"/>
      <c r="C24392" s="374"/>
      <c r="CV24392" s="376"/>
    </row>
    <row r="24393" spans="1:100">
      <c r="A24393" s="374"/>
      <c r="C24393" s="374"/>
      <c r="CV24393" s="376"/>
    </row>
    <row r="24394" spans="1:100">
      <c r="A24394" s="374"/>
      <c r="C24394" s="374"/>
      <c r="CV24394" s="376"/>
    </row>
    <row r="24395" spans="1:100">
      <c r="A24395" s="374"/>
      <c r="C24395" s="374"/>
      <c r="CV24395" s="376"/>
    </row>
    <row r="24396" spans="1:100">
      <c r="A24396" s="374"/>
      <c r="C24396" s="374"/>
      <c r="CV24396" s="376"/>
    </row>
    <row r="24397" spans="1:100">
      <c r="A24397" s="374"/>
      <c r="C24397" s="374"/>
      <c r="CV24397" s="376"/>
    </row>
    <row r="24398" spans="1:100">
      <c r="A24398" s="374"/>
      <c r="C24398" s="374"/>
      <c r="CV24398" s="376"/>
    </row>
    <row r="24399" spans="1:100">
      <c r="A24399" s="374"/>
      <c r="C24399" s="374"/>
      <c r="CV24399" s="376"/>
    </row>
    <row r="24400" spans="1:100">
      <c r="A24400" s="374"/>
      <c r="C24400" s="374"/>
      <c r="CV24400" s="376"/>
    </row>
    <row r="24401" spans="1:100">
      <c r="A24401" s="374"/>
      <c r="C24401" s="374"/>
      <c r="CV24401" s="376"/>
    </row>
    <row r="24402" spans="1:100">
      <c r="A24402" s="374"/>
      <c r="C24402" s="374"/>
      <c r="CV24402" s="376"/>
    </row>
    <row r="24403" spans="1:100">
      <c r="A24403" s="374"/>
      <c r="C24403" s="374"/>
      <c r="CV24403" s="376"/>
    </row>
    <row r="24404" spans="1:100">
      <c r="A24404" s="374"/>
      <c r="C24404" s="374"/>
      <c r="CV24404" s="376"/>
    </row>
    <row r="24405" spans="1:100">
      <c r="A24405" s="374"/>
      <c r="C24405" s="374"/>
      <c r="CV24405" s="376"/>
    </row>
    <row r="24406" spans="1:100">
      <c r="A24406" s="374"/>
      <c r="C24406" s="374"/>
      <c r="CV24406" s="376"/>
    </row>
    <row r="24407" spans="1:100">
      <c r="A24407" s="374"/>
      <c r="C24407" s="374"/>
      <c r="CV24407" s="376"/>
    </row>
    <row r="24408" spans="1:100">
      <c r="A24408" s="374"/>
      <c r="C24408" s="374"/>
      <c r="CV24408" s="376"/>
    </row>
    <row r="24409" spans="1:100">
      <c r="A24409" s="374"/>
      <c r="C24409" s="374"/>
      <c r="CV24409" s="376"/>
    </row>
    <row r="24410" spans="1:100">
      <c r="A24410" s="374"/>
      <c r="C24410" s="374"/>
      <c r="CV24410" s="376"/>
    </row>
    <row r="24411" spans="1:100">
      <c r="A24411" s="374"/>
      <c r="C24411" s="374"/>
      <c r="CV24411" s="376"/>
    </row>
    <row r="24412" spans="1:100">
      <c r="A24412" s="374"/>
      <c r="C24412" s="374"/>
      <c r="CV24412" s="376"/>
    </row>
    <row r="24413" spans="1:100">
      <c r="A24413" s="374"/>
      <c r="C24413" s="374"/>
      <c r="CV24413" s="376"/>
    </row>
    <row r="24414" spans="1:100">
      <c r="A24414" s="374"/>
      <c r="C24414" s="374"/>
      <c r="CV24414" s="376"/>
    </row>
    <row r="24415" spans="1:100">
      <c r="A24415" s="374"/>
      <c r="C24415" s="374"/>
      <c r="CV24415" s="376"/>
    </row>
    <row r="24416" spans="1:100">
      <c r="A24416" s="374"/>
      <c r="C24416" s="374"/>
      <c r="CV24416" s="376"/>
    </row>
    <row r="24417" spans="1:100">
      <c r="A24417" s="374"/>
      <c r="C24417" s="374"/>
      <c r="CV24417" s="376"/>
    </row>
    <row r="24418" spans="1:100">
      <c r="A24418" s="374"/>
      <c r="C24418" s="374"/>
      <c r="CV24418" s="376"/>
    </row>
    <row r="24419" spans="1:100">
      <c r="A24419" s="374"/>
      <c r="C24419" s="374"/>
      <c r="CV24419" s="376"/>
    </row>
    <row r="24420" spans="1:100">
      <c r="A24420" s="374"/>
      <c r="C24420" s="374"/>
      <c r="CV24420" s="376"/>
    </row>
    <row r="24421" spans="1:100">
      <c r="A24421" s="374"/>
      <c r="C24421" s="374"/>
      <c r="CV24421" s="376"/>
    </row>
    <row r="24422" spans="1:100">
      <c r="A24422" s="374"/>
      <c r="C24422" s="374"/>
      <c r="CV24422" s="376"/>
    </row>
    <row r="24423" spans="1:100">
      <c r="A24423" s="374"/>
      <c r="C24423" s="374"/>
      <c r="CV24423" s="376"/>
    </row>
    <row r="24424" spans="1:100">
      <c r="A24424" s="374"/>
      <c r="C24424" s="374"/>
      <c r="CV24424" s="376"/>
    </row>
    <row r="24425" spans="1:100">
      <c r="A24425" s="374"/>
      <c r="C24425" s="374"/>
      <c r="CV24425" s="376"/>
    </row>
    <row r="24426" spans="1:100">
      <c r="A24426" s="374"/>
      <c r="C24426" s="374"/>
      <c r="CV24426" s="376"/>
    </row>
    <row r="24427" spans="1:100">
      <c r="A24427" s="374"/>
      <c r="C24427" s="374"/>
      <c r="CV24427" s="376"/>
    </row>
    <row r="24428" spans="1:100">
      <c r="A24428" s="374"/>
      <c r="C24428" s="374"/>
      <c r="CV24428" s="376"/>
    </row>
    <row r="24429" spans="1:100">
      <c r="A24429" s="374"/>
      <c r="C24429" s="374"/>
      <c r="CV24429" s="376"/>
    </row>
    <row r="24430" spans="1:100">
      <c r="A24430" s="374"/>
      <c r="C24430" s="374"/>
      <c r="CV24430" s="376"/>
    </row>
    <row r="24431" spans="1:100">
      <c r="A24431" s="374"/>
      <c r="C24431" s="374"/>
      <c r="CV24431" s="376"/>
    </row>
    <row r="24432" spans="1:100">
      <c r="A24432" s="374"/>
      <c r="C24432" s="374"/>
      <c r="CV24432" s="376"/>
    </row>
    <row r="24433" spans="1:100">
      <c r="A24433" s="374"/>
      <c r="C24433" s="374"/>
      <c r="CV24433" s="376"/>
    </row>
    <row r="24434" spans="1:100">
      <c r="A24434" s="374"/>
      <c r="C24434" s="374"/>
      <c r="CV24434" s="376"/>
    </row>
    <row r="24435" spans="1:100">
      <c r="A24435" s="374"/>
      <c r="C24435" s="374"/>
      <c r="CV24435" s="376"/>
    </row>
    <row r="24436" spans="1:100">
      <c r="A24436" s="374"/>
      <c r="C24436" s="374"/>
      <c r="CV24436" s="376"/>
    </row>
    <row r="24437" spans="1:100">
      <c r="A24437" s="374"/>
      <c r="C24437" s="374"/>
      <c r="CV24437" s="376"/>
    </row>
    <row r="24438" spans="1:100">
      <c r="A24438" s="374"/>
      <c r="C24438" s="374"/>
      <c r="CV24438" s="376"/>
    </row>
    <row r="24439" spans="1:100">
      <c r="A24439" s="374"/>
      <c r="C24439" s="374"/>
      <c r="CV24439" s="376"/>
    </row>
    <row r="24440" spans="1:100">
      <c r="A24440" s="374"/>
      <c r="C24440" s="374"/>
      <c r="CV24440" s="376"/>
    </row>
    <row r="24441" spans="1:100">
      <c r="A24441" s="374"/>
      <c r="C24441" s="374"/>
      <c r="CV24441" s="376"/>
    </row>
    <row r="24442" spans="1:100">
      <c r="A24442" s="374"/>
      <c r="C24442" s="374"/>
      <c r="CV24442" s="376"/>
    </row>
    <row r="24443" spans="1:100">
      <c r="A24443" s="374"/>
      <c r="C24443" s="374"/>
      <c r="CV24443" s="376"/>
    </row>
    <row r="24444" spans="1:100">
      <c r="A24444" s="374"/>
      <c r="C24444" s="374"/>
      <c r="CV24444" s="376"/>
    </row>
    <row r="24445" spans="1:100">
      <c r="A24445" s="374"/>
      <c r="C24445" s="374"/>
      <c r="CV24445" s="376"/>
    </row>
    <row r="24446" spans="1:100">
      <c r="A24446" s="374"/>
      <c r="C24446" s="374"/>
      <c r="CV24446" s="376"/>
    </row>
    <row r="24447" spans="1:100">
      <c r="A24447" s="374"/>
      <c r="C24447" s="374"/>
      <c r="CV24447" s="376"/>
    </row>
    <row r="24448" spans="1:100">
      <c r="A24448" s="374"/>
      <c r="C24448" s="374"/>
      <c r="CV24448" s="376"/>
    </row>
    <row r="24449" spans="1:100">
      <c r="A24449" s="374"/>
      <c r="C24449" s="374"/>
      <c r="CV24449" s="376"/>
    </row>
    <row r="24450" spans="1:100">
      <c r="A24450" s="374"/>
      <c r="C24450" s="374"/>
      <c r="CV24450" s="376"/>
    </row>
    <row r="24451" spans="1:100">
      <c r="A24451" s="374"/>
      <c r="C24451" s="374"/>
      <c r="CV24451" s="376"/>
    </row>
    <row r="24452" spans="1:100">
      <c r="A24452" s="374"/>
      <c r="C24452" s="374"/>
      <c r="CV24452" s="376"/>
    </row>
    <row r="24453" spans="1:100">
      <c r="A24453" s="374"/>
      <c r="C24453" s="374"/>
      <c r="CV24453" s="376"/>
    </row>
    <row r="24454" spans="1:100">
      <c r="A24454" s="374"/>
      <c r="C24454" s="374"/>
      <c r="CV24454" s="376"/>
    </row>
    <row r="24455" spans="1:100">
      <c r="A24455" s="374"/>
      <c r="C24455" s="374"/>
      <c r="CV24455" s="376"/>
    </row>
    <row r="24456" spans="1:100">
      <c r="A24456" s="374"/>
      <c r="C24456" s="374"/>
      <c r="CV24456" s="376"/>
    </row>
    <row r="24457" spans="1:100">
      <c r="A24457" s="374"/>
      <c r="C24457" s="374"/>
      <c r="CV24457" s="376"/>
    </row>
    <row r="24458" spans="1:100">
      <c r="A24458" s="374"/>
      <c r="C24458" s="374"/>
      <c r="CV24458" s="376"/>
    </row>
    <row r="24459" spans="1:100">
      <c r="A24459" s="374"/>
      <c r="C24459" s="374"/>
      <c r="CV24459" s="376"/>
    </row>
    <row r="24460" spans="1:100">
      <c r="A24460" s="374"/>
      <c r="C24460" s="374"/>
      <c r="CV24460" s="376"/>
    </row>
    <row r="24461" spans="1:100">
      <c r="A24461" s="374"/>
      <c r="C24461" s="374"/>
      <c r="CV24461" s="376"/>
    </row>
    <row r="24462" spans="1:100">
      <c r="A24462" s="374"/>
      <c r="C24462" s="374"/>
      <c r="CV24462" s="376"/>
    </row>
    <row r="24463" spans="1:100">
      <c r="A24463" s="374"/>
      <c r="C24463" s="374"/>
      <c r="CV24463" s="376"/>
    </row>
    <row r="24464" spans="1:100">
      <c r="A24464" s="374"/>
      <c r="C24464" s="374"/>
      <c r="CV24464" s="376"/>
    </row>
    <row r="24465" spans="1:100">
      <c r="A24465" s="374"/>
      <c r="C24465" s="374"/>
      <c r="CV24465" s="376"/>
    </row>
    <row r="24466" spans="1:100">
      <c r="A24466" s="374"/>
      <c r="C24466" s="374"/>
      <c r="CV24466" s="376"/>
    </row>
    <row r="24467" spans="1:100">
      <c r="A24467" s="374"/>
      <c r="C24467" s="374"/>
      <c r="CV24467" s="376"/>
    </row>
    <row r="24468" spans="1:100">
      <c r="A24468" s="374"/>
      <c r="C24468" s="374"/>
      <c r="CV24468" s="376"/>
    </row>
    <row r="24469" spans="1:100">
      <c r="A24469" s="374"/>
      <c r="C24469" s="374"/>
      <c r="CV24469" s="376"/>
    </row>
    <row r="24470" spans="1:100">
      <c r="A24470" s="374"/>
      <c r="C24470" s="374"/>
      <c r="CV24470" s="376"/>
    </row>
    <row r="24471" spans="1:100">
      <c r="A24471" s="374"/>
      <c r="C24471" s="374"/>
      <c r="CV24471" s="376"/>
    </row>
    <row r="24472" spans="1:100">
      <c r="A24472" s="374"/>
      <c r="C24472" s="374"/>
      <c r="CV24472" s="376"/>
    </row>
    <row r="24473" spans="1:100">
      <c r="A24473" s="374"/>
      <c r="C24473" s="374"/>
      <c r="CV24473" s="376"/>
    </row>
    <row r="24474" spans="1:100">
      <c r="A24474" s="374"/>
      <c r="C24474" s="374"/>
      <c r="CV24474" s="376"/>
    </row>
    <row r="24475" spans="1:100">
      <c r="A24475" s="374"/>
      <c r="C24475" s="374"/>
      <c r="CV24475" s="376"/>
    </row>
    <row r="24476" spans="1:100">
      <c r="A24476" s="374"/>
      <c r="C24476" s="374"/>
      <c r="CV24476" s="376"/>
    </row>
    <row r="24477" spans="1:100">
      <c r="A24477" s="374"/>
      <c r="C24477" s="374"/>
      <c r="CV24477" s="376"/>
    </row>
    <row r="24478" spans="1:100">
      <c r="A24478" s="374"/>
      <c r="C24478" s="374"/>
      <c r="CV24478" s="376"/>
    </row>
    <row r="24479" spans="1:100">
      <c r="A24479" s="374"/>
      <c r="C24479" s="374"/>
      <c r="CV24479" s="376"/>
    </row>
    <row r="24480" spans="1:100">
      <c r="A24480" s="374"/>
      <c r="C24480" s="374"/>
      <c r="CV24480" s="376"/>
    </row>
    <row r="24481" spans="1:100">
      <c r="A24481" s="374"/>
      <c r="C24481" s="374"/>
      <c r="CV24481" s="376"/>
    </row>
    <row r="24482" spans="1:100">
      <c r="A24482" s="374"/>
      <c r="C24482" s="374"/>
      <c r="CV24482" s="376"/>
    </row>
    <row r="24483" spans="1:100">
      <c r="A24483" s="374"/>
      <c r="C24483" s="374"/>
      <c r="CV24483" s="376"/>
    </row>
    <row r="24484" spans="1:100">
      <c r="A24484" s="374"/>
      <c r="C24484" s="374"/>
      <c r="CV24484" s="376"/>
    </row>
    <row r="24485" spans="1:100">
      <c r="A24485" s="374"/>
      <c r="C24485" s="374"/>
      <c r="CV24485" s="376"/>
    </row>
    <row r="24486" spans="1:100">
      <c r="A24486" s="374"/>
      <c r="C24486" s="374"/>
      <c r="CV24486" s="376"/>
    </row>
    <row r="24487" spans="1:100">
      <c r="A24487" s="374"/>
      <c r="C24487" s="374"/>
      <c r="CV24487" s="376"/>
    </row>
    <row r="24488" spans="1:100">
      <c r="A24488" s="374"/>
      <c r="C24488" s="374"/>
      <c r="CV24488" s="376"/>
    </row>
    <row r="24489" spans="1:100">
      <c r="A24489" s="374"/>
      <c r="C24489" s="374"/>
      <c r="CV24489" s="376"/>
    </row>
    <row r="24490" spans="1:100">
      <c r="A24490" s="374"/>
      <c r="C24490" s="374"/>
      <c r="CV24490" s="376"/>
    </row>
    <row r="24491" spans="1:100">
      <c r="A24491" s="374"/>
      <c r="C24491" s="374"/>
      <c r="CV24491" s="376"/>
    </row>
    <row r="24492" spans="1:100">
      <c r="A24492" s="374"/>
      <c r="C24492" s="374"/>
      <c r="CV24492" s="376"/>
    </row>
    <row r="24493" spans="1:100">
      <c r="A24493" s="374"/>
      <c r="C24493" s="374"/>
      <c r="CV24493" s="376"/>
    </row>
    <row r="24494" spans="1:100">
      <c r="A24494" s="374"/>
      <c r="C24494" s="374"/>
      <c r="CV24494" s="376"/>
    </row>
    <row r="24495" spans="1:100">
      <c r="A24495" s="374"/>
      <c r="C24495" s="374"/>
      <c r="CV24495" s="376"/>
    </row>
    <row r="24496" spans="1:100">
      <c r="A24496" s="374"/>
      <c r="C24496" s="374"/>
      <c r="CV24496" s="376"/>
    </row>
    <row r="24497" spans="1:100">
      <c r="A24497" s="374"/>
      <c r="C24497" s="374"/>
      <c r="CV24497" s="376"/>
    </row>
    <row r="24498" spans="1:100">
      <c r="A24498" s="374"/>
      <c r="C24498" s="374"/>
      <c r="CV24498" s="376"/>
    </row>
    <row r="24499" spans="1:100">
      <c r="A24499" s="374"/>
      <c r="C24499" s="374"/>
      <c r="CV24499" s="376"/>
    </row>
    <row r="24500" spans="1:100">
      <c r="A24500" s="374"/>
      <c r="C24500" s="374"/>
      <c r="CV24500" s="376"/>
    </row>
    <row r="24501" spans="1:100">
      <c r="A24501" s="374"/>
      <c r="C24501" s="374"/>
      <c r="CV24501" s="376"/>
    </row>
    <row r="24502" spans="1:100">
      <c r="A24502" s="374"/>
      <c r="C24502" s="374"/>
      <c r="CV24502" s="376"/>
    </row>
    <row r="24503" spans="1:100">
      <c r="A24503" s="374"/>
      <c r="C24503" s="374"/>
      <c r="CV24503" s="376"/>
    </row>
    <row r="24504" spans="1:100">
      <c r="A24504" s="374"/>
      <c r="C24504" s="374"/>
      <c r="CV24504" s="376"/>
    </row>
    <row r="24505" spans="1:100">
      <c r="A24505" s="374"/>
      <c r="C24505" s="374"/>
      <c r="CV24505" s="376"/>
    </row>
    <row r="24506" spans="1:100">
      <c r="A24506" s="374"/>
      <c r="C24506" s="374"/>
      <c r="CV24506" s="376"/>
    </row>
    <row r="24507" spans="1:100">
      <c r="A24507" s="374"/>
      <c r="C24507" s="374"/>
      <c r="CV24507" s="376"/>
    </row>
    <row r="24508" spans="1:100">
      <c r="A24508" s="374"/>
      <c r="C24508" s="374"/>
      <c r="CV24508" s="376"/>
    </row>
    <row r="24509" spans="1:100">
      <c r="A24509" s="374"/>
      <c r="C24509" s="374"/>
      <c r="CV24509" s="376"/>
    </row>
    <row r="24510" spans="1:100">
      <c r="A24510" s="374"/>
      <c r="C24510" s="374"/>
      <c r="CV24510" s="376"/>
    </row>
    <row r="24511" spans="1:100">
      <c r="A24511" s="374"/>
      <c r="C24511" s="374"/>
      <c r="CV24511" s="376"/>
    </row>
    <row r="24512" spans="1:100">
      <c r="A24512" s="374"/>
      <c r="C24512" s="374"/>
      <c r="CV24512" s="376"/>
    </row>
    <row r="24513" spans="1:100">
      <c r="A24513" s="374"/>
      <c r="C24513" s="374"/>
      <c r="CV24513" s="376"/>
    </row>
    <row r="24514" spans="1:100">
      <c r="A24514" s="374"/>
      <c r="C24514" s="374"/>
      <c r="CV24514" s="376"/>
    </row>
    <row r="24515" spans="1:100">
      <c r="A24515" s="374"/>
      <c r="C24515" s="374"/>
      <c r="CV24515" s="376"/>
    </row>
    <row r="24516" spans="1:100">
      <c r="A24516" s="374"/>
      <c r="C24516" s="374"/>
      <c r="CV24516" s="376"/>
    </row>
    <row r="24517" spans="1:100">
      <c r="A24517" s="374"/>
      <c r="C24517" s="374"/>
      <c r="CV24517" s="376"/>
    </row>
    <row r="24518" spans="1:100">
      <c r="A24518" s="374"/>
      <c r="C24518" s="374"/>
      <c r="CV24518" s="376"/>
    </row>
    <row r="24519" spans="1:100">
      <c r="A24519" s="374"/>
      <c r="C24519" s="374"/>
      <c r="CV24519" s="376"/>
    </row>
    <row r="24520" spans="1:100">
      <c r="A24520" s="374"/>
      <c r="C24520" s="374"/>
      <c r="CV24520" s="376"/>
    </row>
    <row r="24521" spans="1:100">
      <c r="A24521" s="374"/>
      <c r="C24521" s="374"/>
      <c r="CV24521" s="376"/>
    </row>
    <row r="24522" spans="1:100">
      <c r="A24522" s="374"/>
      <c r="C24522" s="374"/>
      <c r="CV24522" s="376"/>
    </row>
    <row r="24523" spans="1:100">
      <c r="A24523" s="374"/>
      <c r="C24523" s="374"/>
      <c r="CV24523" s="376"/>
    </row>
    <row r="24524" spans="1:100">
      <c r="A24524" s="374"/>
      <c r="C24524" s="374"/>
      <c r="CV24524" s="376"/>
    </row>
    <row r="24525" spans="1:100">
      <c r="A24525" s="374"/>
      <c r="C24525" s="374"/>
      <c r="CV24525" s="376"/>
    </row>
    <row r="24526" spans="1:100">
      <c r="A24526" s="374"/>
      <c r="C24526" s="374"/>
      <c r="CV24526" s="376"/>
    </row>
    <row r="24527" spans="1:100">
      <c r="A24527" s="374"/>
      <c r="C24527" s="374"/>
      <c r="CV24527" s="376"/>
    </row>
    <row r="24528" spans="1:100">
      <c r="A24528" s="374"/>
      <c r="C24528" s="374"/>
      <c r="CV24528" s="376"/>
    </row>
    <row r="24529" spans="1:100">
      <c r="A24529" s="374"/>
      <c r="C24529" s="374"/>
      <c r="CV24529" s="376"/>
    </row>
    <row r="24530" spans="1:100">
      <c r="A24530" s="374"/>
      <c r="C24530" s="374"/>
      <c r="CV24530" s="376"/>
    </row>
    <row r="24531" spans="1:100">
      <c r="A24531" s="374"/>
      <c r="C24531" s="374"/>
      <c r="CV24531" s="376"/>
    </row>
    <row r="24532" spans="1:100">
      <c r="A24532" s="374"/>
      <c r="C24532" s="374"/>
      <c r="CV24532" s="376"/>
    </row>
    <row r="24533" spans="1:100">
      <c r="A24533" s="374"/>
      <c r="C24533" s="374"/>
      <c r="CV24533" s="376"/>
    </row>
    <row r="24534" spans="1:100">
      <c r="A24534" s="374"/>
      <c r="C24534" s="374"/>
      <c r="CV24534" s="376"/>
    </row>
    <row r="24535" spans="1:100">
      <c r="A24535" s="374"/>
      <c r="C24535" s="374"/>
      <c r="CV24535" s="376"/>
    </row>
    <row r="24536" spans="1:100">
      <c r="A24536" s="374"/>
      <c r="C24536" s="374"/>
      <c r="CV24536" s="376"/>
    </row>
    <row r="24537" spans="1:100">
      <c r="A24537" s="374"/>
      <c r="C24537" s="374"/>
      <c r="CV24537" s="376"/>
    </row>
    <row r="24538" spans="1:100">
      <c r="A24538" s="374"/>
      <c r="C24538" s="374"/>
      <c r="CV24538" s="376"/>
    </row>
    <row r="24539" spans="1:100">
      <c r="A24539" s="374"/>
      <c r="C24539" s="374"/>
      <c r="CV24539" s="376"/>
    </row>
    <row r="24540" spans="1:100">
      <c r="A24540" s="374"/>
      <c r="C24540" s="374"/>
      <c r="CV24540" s="376"/>
    </row>
    <row r="24541" spans="1:100">
      <c r="A24541" s="374"/>
      <c r="C24541" s="374"/>
      <c r="CV24541" s="376"/>
    </row>
    <row r="24542" spans="1:100">
      <c r="A24542" s="374"/>
      <c r="C24542" s="374"/>
      <c r="CV24542" s="376"/>
    </row>
    <row r="24543" spans="1:100">
      <c r="A24543" s="374"/>
      <c r="C24543" s="374"/>
      <c r="CV24543" s="376"/>
    </row>
    <row r="24544" spans="1:100">
      <c r="A24544" s="374"/>
      <c r="C24544" s="374"/>
      <c r="CV24544" s="376"/>
    </row>
    <row r="24545" spans="1:100">
      <c r="A24545" s="374"/>
      <c r="C24545" s="374"/>
      <c r="CV24545" s="376"/>
    </row>
    <row r="24546" spans="1:100">
      <c r="A24546" s="374"/>
      <c r="C24546" s="374"/>
      <c r="CV24546" s="376"/>
    </row>
    <row r="24547" spans="1:100">
      <c r="A24547" s="374"/>
      <c r="C24547" s="374"/>
      <c r="CV24547" s="376"/>
    </row>
    <row r="24548" spans="1:100">
      <c r="A24548" s="374"/>
      <c r="C24548" s="374"/>
      <c r="CV24548" s="376"/>
    </row>
    <row r="24549" spans="1:100">
      <c r="A24549" s="374"/>
      <c r="C24549" s="374"/>
      <c r="CV24549" s="376"/>
    </row>
    <row r="24550" spans="1:100">
      <c r="A24550" s="374"/>
      <c r="C24550" s="374"/>
      <c r="CV24550" s="376"/>
    </row>
    <row r="24551" spans="1:100">
      <c r="A24551" s="374"/>
      <c r="C24551" s="374"/>
      <c r="CV24551" s="376"/>
    </row>
    <row r="24552" spans="1:100">
      <c r="A24552" s="374"/>
      <c r="C24552" s="374"/>
      <c r="CV24552" s="376"/>
    </row>
    <row r="24553" spans="1:100">
      <c r="A24553" s="374"/>
      <c r="C24553" s="374"/>
      <c r="CV24553" s="376"/>
    </row>
    <row r="24554" spans="1:100">
      <c r="A24554" s="374"/>
      <c r="C24554" s="374"/>
      <c r="CV24554" s="376"/>
    </row>
    <row r="24555" spans="1:100">
      <c r="A24555" s="374"/>
      <c r="C24555" s="374"/>
      <c r="CV24555" s="376"/>
    </row>
    <row r="24556" spans="1:100">
      <c r="A24556" s="374"/>
      <c r="C24556" s="374"/>
      <c r="CV24556" s="376"/>
    </row>
    <row r="24557" spans="1:100">
      <c r="A24557" s="374"/>
      <c r="C24557" s="374"/>
      <c r="CV24557" s="376"/>
    </row>
    <row r="24558" spans="1:100">
      <c r="A24558" s="374"/>
      <c r="C24558" s="374"/>
      <c r="CV24558" s="376"/>
    </row>
    <row r="24559" spans="1:100">
      <c r="A24559" s="374"/>
      <c r="C24559" s="374"/>
      <c r="CV24559" s="376"/>
    </row>
    <row r="24560" spans="1:100">
      <c r="A24560" s="374"/>
      <c r="C24560" s="374"/>
      <c r="CV24560" s="376"/>
    </row>
    <row r="24561" spans="1:100">
      <c r="A24561" s="374"/>
      <c r="C24561" s="374"/>
      <c r="CV24561" s="376"/>
    </row>
    <row r="24562" spans="1:100">
      <c r="A24562" s="374"/>
      <c r="C24562" s="374"/>
      <c r="CV24562" s="376"/>
    </row>
    <row r="24563" spans="1:100">
      <c r="A24563" s="374"/>
      <c r="C24563" s="374"/>
      <c r="CV24563" s="376"/>
    </row>
    <row r="24564" spans="1:100">
      <c r="A24564" s="374"/>
      <c r="C24564" s="374"/>
      <c r="CV24564" s="376"/>
    </row>
    <row r="24565" spans="1:100">
      <c r="A24565" s="374"/>
      <c r="C24565" s="374"/>
      <c r="CV24565" s="376"/>
    </row>
    <row r="24566" spans="1:100">
      <c r="A24566" s="374"/>
      <c r="C24566" s="374"/>
      <c r="CV24566" s="376"/>
    </row>
    <row r="24567" spans="1:100">
      <c r="A24567" s="374"/>
      <c r="C24567" s="374"/>
      <c r="CV24567" s="376"/>
    </row>
    <row r="24568" spans="1:100">
      <c r="A24568" s="374"/>
      <c r="C24568" s="374"/>
      <c r="CV24568" s="376"/>
    </row>
    <row r="24569" spans="1:100">
      <c r="A24569" s="374"/>
      <c r="C24569" s="374"/>
      <c r="CV24569" s="376"/>
    </row>
    <row r="24570" spans="1:100">
      <c r="A24570" s="374"/>
      <c r="C24570" s="374"/>
      <c r="CV24570" s="376"/>
    </row>
    <row r="24571" spans="1:100">
      <c r="A24571" s="374"/>
      <c r="C24571" s="374"/>
      <c r="CV24571" s="376"/>
    </row>
    <row r="24572" spans="1:100">
      <c r="A24572" s="374"/>
      <c r="C24572" s="374"/>
      <c r="CV24572" s="376"/>
    </row>
    <row r="24573" spans="1:100">
      <c r="A24573" s="374"/>
      <c r="C24573" s="374"/>
      <c r="CV24573" s="376"/>
    </row>
    <row r="24574" spans="1:100">
      <c r="A24574" s="374"/>
      <c r="C24574" s="374"/>
      <c r="CV24574" s="376"/>
    </row>
    <row r="24575" spans="1:100">
      <c r="A24575" s="374"/>
      <c r="C24575" s="374"/>
      <c r="CV24575" s="376"/>
    </row>
    <row r="24576" spans="1:100">
      <c r="A24576" s="374"/>
      <c r="C24576" s="374"/>
      <c r="CV24576" s="376"/>
    </row>
    <row r="24577" spans="1:100">
      <c r="A24577" s="374"/>
      <c r="C24577" s="374"/>
      <c r="CV24577" s="376"/>
    </row>
    <row r="24578" spans="1:100">
      <c r="A24578" s="374"/>
      <c r="C24578" s="374"/>
      <c r="CV24578" s="376"/>
    </row>
    <row r="24579" spans="1:100">
      <c r="A24579" s="374"/>
      <c r="C24579" s="374"/>
      <c r="CV24579" s="376"/>
    </row>
    <row r="24580" spans="1:100">
      <c r="A24580" s="374"/>
      <c r="C24580" s="374"/>
      <c r="CV24580" s="376"/>
    </row>
    <row r="24581" spans="1:100">
      <c r="A24581" s="374"/>
      <c r="C24581" s="374"/>
      <c r="CV24581" s="376"/>
    </row>
    <row r="24582" spans="1:100">
      <c r="A24582" s="374"/>
      <c r="C24582" s="374"/>
      <c r="CV24582" s="376"/>
    </row>
    <row r="24583" spans="1:100">
      <c r="A24583" s="374"/>
      <c r="C24583" s="374"/>
      <c r="CV24583" s="376"/>
    </row>
    <row r="24584" spans="1:100">
      <c r="A24584" s="374"/>
      <c r="C24584" s="374"/>
      <c r="CV24584" s="376"/>
    </row>
    <row r="24585" spans="1:100">
      <c r="A24585" s="374"/>
      <c r="C24585" s="374"/>
      <c r="CV24585" s="376"/>
    </row>
    <row r="24586" spans="1:100">
      <c r="A24586" s="374"/>
      <c r="C24586" s="374"/>
      <c r="CV24586" s="376"/>
    </row>
    <row r="24587" spans="1:100">
      <c r="A24587" s="374"/>
      <c r="C24587" s="374"/>
      <c r="CV24587" s="376"/>
    </row>
    <row r="24588" spans="1:100">
      <c r="A24588" s="374"/>
      <c r="C24588" s="374"/>
      <c r="CV24588" s="376"/>
    </row>
    <row r="24589" spans="1:100">
      <c r="A24589" s="374"/>
      <c r="C24589" s="374"/>
      <c r="CV24589" s="376"/>
    </row>
    <row r="24590" spans="1:100">
      <c r="A24590" s="374"/>
      <c r="C24590" s="374"/>
      <c r="CV24590" s="376"/>
    </row>
    <row r="24591" spans="1:100">
      <c r="A24591" s="374"/>
      <c r="C24591" s="374"/>
      <c r="CV24591" s="376"/>
    </row>
    <row r="24592" spans="1:100">
      <c r="A24592" s="374"/>
      <c r="C24592" s="374"/>
      <c r="CV24592" s="376"/>
    </row>
    <row r="24593" spans="1:100">
      <c r="A24593" s="374"/>
      <c r="C24593" s="374"/>
      <c r="CV24593" s="376"/>
    </row>
    <row r="24594" spans="1:100">
      <c r="A24594" s="374"/>
      <c r="C24594" s="374"/>
      <c r="CV24594" s="376"/>
    </row>
    <row r="24595" spans="1:100">
      <c r="A24595" s="374"/>
      <c r="C24595" s="374"/>
      <c r="CV24595" s="376"/>
    </row>
    <row r="24596" spans="1:100">
      <c r="A24596" s="374"/>
      <c r="C24596" s="374"/>
      <c r="CV24596" s="376"/>
    </row>
    <row r="24597" spans="1:100">
      <c r="A24597" s="374"/>
      <c r="C24597" s="374"/>
      <c r="CV24597" s="376"/>
    </row>
    <row r="24598" spans="1:100">
      <c r="A24598" s="374"/>
      <c r="C24598" s="374"/>
      <c r="CV24598" s="376"/>
    </row>
    <row r="24599" spans="1:100">
      <c r="A24599" s="374"/>
      <c r="C24599" s="374"/>
      <c r="CV24599" s="376"/>
    </row>
    <row r="24600" spans="1:100">
      <c r="A24600" s="374"/>
      <c r="C24600" s="374"/>
      <c r="CV24600" s="376"/>
    </row>
    <row r="24601" spans="1:100">
      <c r="A24601" s="374"/>
      <c r="C24601" s="374"/>
      <c r="CV24601" s="376"/>
    </row>
    <row r="24602" spans="1:100">
      <c r="A24602" s="374"/>
      <c r="C24602" s="374"/>
      <c r="CV24602" s="376"/>
    </row>
    <row r="24603" spans="1:100">
      <c r="A24603" s="374"/>
      <c r="C24603" s="374"/>
      <c r="CV24603" s="376"/>
    </row>
    <row r="24604" spans="1:100">
      <c r="A24604" s="374"/>
      <c r="C24604" s="374"/>
      <c r="CV24604" s="376"/>
    </row>
    <row r="24605" spans="1:100">
      <c r="A24605" s="374"/>
      <c r="C24605" s="374"/>
      <c r="CV24605" s="376"/>
    </row>
    <row r="24606" spans="1:100">
      <c r="A24606" s="374"/>
      <c r="C24606" s="374"/>
      <c r="CV24606" s="376"/>
    </row>
    <row r="24607" spans="1:100">
      <c r="A24607" s="374"/>
      <c r="C24607" s="374"/>
      <c r="CV24607" s="376"/>
    </row>
    <row r="24608" spans="1:100">
      <c r="A24608" s="374"/>
      <c r="C24608" s="374"/>
      <c r="CV24608" s="376"/>
    </row>
    <row r="24609" spans="1:100">
      <c r="A24609" s="374"/>
      <c r="C24609" s="374"/>
      <c r="CV24609" s="376"/>
    </row>
    <row r="24610" spans="1:100">
      <c r="A24610" s="374"/>
      <c r="C24610" s="374"/>
      <c r="CV24610" s="376"/>
    </row>
    <row r="24611" spans="1:100">
      <c r="A24611" s="374"/>
      <c r="C24611" s="374"/>
      <c r="CV24611" s="376"/>
    </row>
    <row r="24612" spans="1:100">
      <c r="A24612" s="374"/>
      <c r="C24612" s="374"/>
      <c r="CV24612" s="376"/>
    </row>
    <row r="24613" spans="1:100">
      <c r="A24613" s="374"/>
      <c r="C24613" s="374"/>
      <c r="CV24613" s="376"/>
    </row>
    <row r="24614" spans="1:100">
      <c r="A24614" s="374"/>
      <c r="C24614" s="374"/>
      <c r="CV24614" s="376"/>
    </row>
    <row r="24615" spans="1:100">
      <c r="A24615" s="374"/>
      <c r="C24615" s="374"/>
      <c r="CV24615" s="376"/>
    </row>
    <row r="24616" spans="1:100">
      <c r="A24616" s="374"/>
      <c r="C24616" s="374"/>
      <c r="CV24616" s="376"/>
    </row>
    <row r="24617" spans="1:100">
      <c r="A24617" s="374"/>
      <c r="C24617" s="374"/>
      <c r="CV24617" s="376"/>
    </row>
    <row r="24618" spans="1:100">
      <c r="A24618" s="374"/>
      <c r="C24618" s="374"/>
      <c r="CV24618" s="376"/>
    </row>
    <row r="24619" spans="1:100">
      <c r="A24619" s="374"/>
      <c r="C24619" s="374"/>
      <c r="CV24619" s="376"/>
    </row>
    <row r="24620" spans="1:100">
      <c r="A24620" s="374"/>
      <c r="C24620" s="374"/>
      <c r="CV24620" s="376"/>
    </row>
    <row r="24621" spans="1:100">
      <c r="A24621" s="374"/>
      <c r="C24621" s="374"/>
      <c r="CV24621" s="376"/>
    </row>
    <row r="24622" spans="1:100">
      <c r="A24622" s="374"/>
      <c r="C24622" s="374"/>
      <c r="CV24622" s="376"/>
    </row>
    <row r="24623" spans="1:100">
      <c r="A24623" s="374"/>
      <c r="C24623" s="374"/>
      <c r="CV24623" s="376"/>
    </row>
    <row r="24624" spans="1:100">
      <c r="A24624" s="374"/>
      <c r="C24624" s="374"/>
      <c r="CV24624" s="376"/>
    </row>
    <row r="24625" spans="1:100">
      <c r="A24625" s="374"/>
      <c r="C24625" s="374"/>
      <c r="CV24625" s="376"/>
    </row>
    <row r="24626" spans="1:100">
      <c r="A24626" s="374"/>
      <c r="C24626" s="374"/>
      <c r="CV24626" s="376"/>
    </row>
    <row r="24627" spans="1:100">
      <c r="A24627" s="374"/>
      <c r="C24627" s="374"/>
      <c r="CV24627" s="376"/>
    </row>
    <row r="24628" spans="1:100">
      <c r="A24628" s="374"/>
      <c r="C24628" s="374"/>
      <c r="CV24628" s="376"/>
    </row>
    <row r="24629" spans="1:100">
      <c r="A24629" s="374"/>
      <c r="C24629" s="374"/>
      <c r="CV24629" s="376"/>
    </row>
    <row r="24630" spans="1:100">
      <c r="A24630" s="374"/>
      <c r="C24630" s="374"/>
      <c r="CV24630" s="376"/>
    </row>
    <row r="24631" spans="1:100">
      <c r="A24631" s="374"/>
      <c r="C24631" s="374"/>
      <c r="CV24631" s="376"/>
    </row>
    <row r="24632" spans="1:100">
      <c r="A24632" s="374"/>
      <c r="C24632" s="374"/>
      <c r="CV24632" s="376"/>
    </row>
    <row r="24633" spans="1:100">
      <c r="A24633" s="374"/>
      <c r="C24633" s="374"/>
      <c r="CV24633" s="376"/>
    </row>
    <row r="24634" spans="1:100">
      <c r="A24634" s="374"/>
      <c r="C24634" s="374"/>
      <c r="CV24634" s="376"/>
    </row>
    <row r="24635" spans="1:100">
      <c r="A24635" s="374"/>
      <c r="C24635" s="374"/>
      <c r="CV24635" s="376"/>
    </row>
    <row r="24636" spans="1:100">
      <c r="A24636" s="374"/>
      <c r="C24636" s="374"/>
      <c r="CV24636" s="376"/>
    </row>
    <row r="24637" spans="1:100">
      <c r="A24637" s="374"/>
      <c r="C24637" s="374"/>
      <c r="CV24637" s="376"/>
    </row>
    <row r="24638" spans="1:100">
      <c r="A24638" s="374"/>
      <c r="C24638" s="374"/>
      <c r="CV24638" s="376"/>
    </row>
    <row r="24639" spans="1:100">
      <c r="A24639" s="374"/>
      <c r="C24639" s="374"/>
      <c r="CV24639" s="376"/>
    </row>
    <row r="24640" spans="1:100">
      <c r="A24640" s="374"/>
      <c r="C24640" s="374"/>
      <c r="CV24640" s="376"/>
    </row>
    <row r="24641" spans="1:100">
      <c r="A24641" s="374"/>
      <c r="C24641" s="374"/>
      <c r="CV24641" s="376"/>
    </row>
    <row r="24642" spans="1:100">
      <c r="A24642" s="374"/>
      <c r="C24642" s="374"/>
      <c r="CV24642" s="376"/>
    </row>
    <row r="24643" spans="1:100">
      <c r="A24643" s="374"/>
      <c r="C24643" s="374"/>
      <c r="CV24643" s="376"/>
    </row>
    <row r="24644" spans="1:100">
      <c r="A24644" s="374"/>
      <c r="C24644" s="374"/>
      <c r="CV24644" s="376"/>
    </row>
    <row r="24645" spans="1:100">
      <c r="A24645" s="374"/>
      <c r="C24645" s="374"/>
      <c r="CV24645" s="376"/>
    </row>
    <row r="24646" spans="1:100">
      <c r="A24646" s="374"/>
      <c r="C24646" s="374"/>
      <c r="CV24646" s="376"/>
    </row>
    <row r="24647" spans="1:100">
      <c r="A24647" s="374"/>
      <c r="C24647" s="374"/>
      <c r="CV24647" s="376"/>
    </row>
    <row r="24648" spans="1:100">
      <c r="A24648" s="374"/>
      <c r="C24648" s="374"/>
      <c r="CV24648" s="376"/>
    </row>
    <row r="24649" spans="1:100">
      <c r="A24649" s="374"/>
      <c r="C24649" s="374"/>
      <c r="CV24649" s="376"/>
    </row>
    <row r="24650" spans="1:100">
      <c r="A24650" s="374"/>
      <c r="C24650" s="374"/>
      <c r="CV24650" s="376"/>
    </row>
    <row r="24651" spans="1:100">
      <c r="A24651" s="374"/>
      <c r="C24651" s="374"/>
      <c r="CV24651" s="376"/>
    </row>
    <row r="24652" spans="1:100">
      <c r="A24652" s="374"/>
      <c r="C24652" s="374"/>
      <c r="CV24652" s="376"/>
    </row>
    <row r="24653" spans="1:100">
      <c r="A24653" s="374"/>
      <c r="C24653" s="374"/>
      <c r="CV24653" s="376"/>
    </row>
    <row r="24654" spans="1:100">
      <c r="A24654" s="374"/>
      <c r="C24654" s="374"/>
      <c r="CV24654" s="376"/>
    </row>
    <row r="24655" spans="1:100">
      <c r="A24655" s="374"/>
      <c r="C24655" s="374"/>
      <c r="CV24655" s="376"/>
    </row>
    <row r="24656" spans="1:100">
      <c r="A24656" s="374"/>
      <c r="C24656" s="374"/>
      <c r="CV24656" s="376"/>
    </row>
    <row r="24657" spans="1:100">
      <c r="A24657" s="374"/>
      <c r="C24657" s="374"/>
      <c r="CV24657" s="376"/>
    </row>
    <row r="24658" spans="1:100">
      <c r="A24658" s="374"/>
      <c r="C24658" s="374"/>
      <c r="CV24658" s="376"/>
    </row>
    <row r="24659" spans="1:100">
      <c r="A24659" s="374"/>
      <c r="C24659" s="374"/>
      <c r="CV24659" s="376"/>
    </row>
    <row r="24660" spans="1:100">
      <c r="A24660" s="374"/>
      <c r="C24660" s="374"/>
      <c r="CV24660" s="376"/>
    </row>
    <row r="24661" spans="1:100">
      <c r="A24661" s="374"/>
      <c r="C24661" s="374"/>
      <c r="CV24661" s="376"/>
    </row>
    <row r="24662" spans="1:100">
      <c r="A24662" s="374"/>
      <c r="C24662" s="374"/>
      <c r="CV24662" s="376"/>
    </row>
    <row r="24663" spans="1:100">
      <c r="A24663" s="374"/>
      <c r="C24663" s="374"/>
      <c r="CV24663" s="376"/>
    </row>
    <row r="24664" spans="1:100">
      <c r="A24664" s="374"/>
      <c r="C24664" s="374"/>
      <c r="CV24664" s="376"/>
    </row>
    <row r="24665" spans="1:100">
      <c r="A24665" s="374"/>
      <c r="C24665" s="374"/>
      <c r="CV24665" s="376"/>
    </row>
    <row r="24666" spans="1:100">
      <c r="A24666" s="374"/>
      <c r="C24666" s="374"/>
      <c r="CV24666" s="376"/>
    </row>
    <row r="24667" spans="1:100">
      <c r="A24667" s="374"/>
      <c r="C24667" s="374"/>
      <c r="CV24667" s="376"/>
    </row>
    <row r="24668" spans="1:100">
      <c r="A24668" s="374"/>
      <c r="C24668" s="374"/>
      <c r="CV24668" s="376"/>
    </row>
    <row r="24669" spans="1:100">
      <c r="A24669" s="374"/>
      <c r="C24669" s="374"/>
      <c r="CV24669" s="376"/>
    </row>
    <row r="24670" spans="1:100">
      <c r="A24670" s="374"/>
      <c r="C24670" s="374"/>
      <c r="CV24670" s="376"/>
    </row>
    <row r="24671" spans="1:100">
      <c r="A24671" s="374"/>
      <c r="C24671" s="374"/>
      <c r="CV24671" s="376"/>
    </row>
    <row r="24672" spans="1:100">
      <c r="A24672" s="374"/>
      <c r="C24672" s="374"/>
      <c r="CV24672" s="376"/>
    </row>
    <row r="24673" spans="1:100">
      <c r="A24673" s="374"/>
      <c r="C24673" s="374"/>
      <c r="CV24673" s="376"/>
    </row>
    <row r="24674" spans="1:100">
      <c r="A24674" s="374"/>
      <c r="C24674" s="374"/>
      <c r="CV24674" s="376"/>
    </row>
    <row r="24675" spans="1:100">
      <c r="A24675" s="374"/>
      <c r="C24675" s="374"/>
      <c r="CV24675" s="376"/>
    </row>
    <row r="24676" spans="1:100">
      <c r="A24676" s="374"/>
      <c r="C24676" s="374"/>
      <c r="CV24676" s="376"/>
    </row>
    <row r="24677" spans="1:100">
      <c r="A24677" s="374"/>
      <c r="C24677" s="374"/>
      <c r="CV24677" s="376"/>
    </row>
    <row r="24678" spans="1:100">
      <c r="A24678" s="374"/>
      <c r="C24678" s="374"/>
      <c r="CV24678" s="376"/>
    </row>
    <row r="24679" spans="1:100">
      <c r="A24679" s="374"/>
      <c r="C24679" s="374"/>
      <c r="CV24679" s="376"/>
    </row>
    <row r="24680" spans="1:100">
      <c r="A24680" s="374"/>
      <c r="C24680" s="374"/>
      <c r="CV24680" s="376"/>
    </row>
    <row r="24681" spans="1:100">
      <c r="A24681" s="374"/>
      <c r="C24681" s="374"/>
      <c r="CV24681" s="376"/>
    </row>
    <row r="24682" spans="1:100">
      <c r="A24682" s="374"/>
      <c r="C24682" s="374"/>
      <c r="CV24682" s="376"/>
    </row>
    <row r="24683" spans="1:100">
      <c r="A24683" s="374"/>
      <c r="C24683" s="374"/>
      <c r="CV24683" s="376"/>
    </row>
    <row r="24684" spans="1:100">
      <c r="A24684" s="374"/>
      <c r="C24684" s="374"/>
      <c r="CV24684" s="376"/>
    </row>
    <row r="24685" spans="1:100">
      <c r="A24685" s="374"/>
      <c r="C24685" s="374"/>
      <c r="CV24685" s="376"/>
    </row>
    <row r="24686" spans="1:100">
      <c r="A24686" s="374"/>
      <c r="C24686" s="374"/>
      <c r="CV24686" s="376"/>
    </row>
    <row r="24687" spans="1:100">
      <c r="A24687" s="374"/>
      <c r="C24687" s="374"/>
      <c r="CV24687" s="376"/>
    </row>
    <row r="24688" spans="1:100">
      <c r="A24688" s="374"/>
      <c r="C24688" s="374"/>
      <c r="CV24688" s="376"/>
    </row>
    <row r="24689" spans="1:100">
      <c r="A24689" s="374"/>
      <c r="C24689" s="374"/>
      <c r="CV24689" s="376"/>
    </row>
    <row r="24690" spans="1:100">
      <c r="A24690" s="374"/>
      <c r="C24690" s="374"/>
      <c r="CV24690" s="376"/>
    </row>
    <row r="24691" spans="1:100">
      <c r="A24691" s="374"/>
      <c r="C24691" s="374"/>
      <c r="CV24691" s="376"/>
    </row>
    <row r="24692" spans="1:100">
      <c r="A24692" s="374"/>
      <c r="C24692" s="374"/>
      <c r="CV24692" s="376"/>
    </row>
    <row r="24693" spans="1:100">
      <c r="A24693" s="374"/>
      <c r="C24693" s="374"/>
      <c r="CV24693" s="376"/>
    </row>
    <row r="24694" spans="1:100">
      <c r="A24694" s="374"/>
      <c r="C24694" s="374"/>
      <c r="CV24694" s="376"/>
    </row>
    <row r="24695" spans="1:100">
      <c r="A24695" s="374"/>
      <c r="C24695" s="374"/>
      <c r="CV24695" s="376"/>
    </row>
    <row r="24696" spans="1:100">
      <c r="A24696" s="374"/>
      <c r="C24696" s="374"/>
      <c r="CV24696" s="376"/>
    </row>
    <row r="24697" spans="1:100">
      <c r="A24697" s="374"/>
      <c r="C24697" s="374"/>
      <c r="CV24697" s="376"/>
    </row>
    <row r="24698" spans="1:100">
      <c r="A24698" s="374"/>
      <c r="C24698" s="374"/>
      <c r="CV24698" s="376"/>
    </row>
    <row r="24699" spans="1:100">
      <c r="A24699" s="374"/>
      <c r="C24699" s="374"/>
      <c r="CV24699" s="376"/>
    </row>
    <row r="24700" spans="1:100">
      <c r="A24700" s="374"/>
      <c r="C24700" s="374"/>
      <c r="CV24700" s="376"/>
    </row>
    <row r="24701" spans="1:100">
      <c r="A24701" s="374"/>
      <c r="C24701" s="374"/>
      <c r="CV24701" s="376"/>
    </row>
    <row r="24702" spans="1:100">
      <c r="A24702" s="374"/>
      <c r="C24702" s="374"/>
      <c r="CV24702" s="376"/>
    </row>
    <row r="24703" spans="1:100">
      <c r="A24703" s="374"/>
      <c r="C24703" s="374"/>
      <c r="CV24703" s="376"/>
    </row>
    <row r="24704" spans="1:100">
      <c r="A24704" s="374"/>
      <c r="C24704" s="374"/>
      <c r="CV24704" s="376"/>
    </row>
    <row r="24705" spans="1:100">
      <c r="A24705" s="374"/>
      <c r="C24705" s="374"/>
      <c r="CV24705" s="376"/>
    </row>
    <row r="24706" spans="1:100">
      <c r="A24706" s="374"/>
      <c r="C24706" s="374"/>
      <c r="CV24706" s="376"/>
    </row>
    <row r="24707" spans="1:100">
      <c r="A24707" s="374"/>
      <c r="C24707" s="374"/>
      <c r="CV24707" s="376"/>
    </row>
    <row r="24708" spans="1:100">
      <c r="A24708" s="374"/>
      <c r="C24708" s="374"/>
      <c r="CV24708" s="376"/>
    </row>
    <row r="24709" spans="1:100">
      <c r="A24709" s="374"/>
      <c r="C24709" s="374"/>
      <c r="CV24709" s="376"/>
    </row>
    <row r="24710" spans="1:100">
      <c r="A24710" s="374"/>
      <c r="C24710" s="374"/>
      <c r="CV24710" s="376"/>
    </row>
    <row r="24711" spans="1:100">
      <c r="A24711" s="374"/>
      <c r="C24711" s="374"/>
      <c r="CV24711" s="376"/>
    </row>
    <row r="24712" spans="1:100">
      <c r="A24712" s="374"/>
      <c r="C24712" s="374"/>
      <c r="CV24712" s="376"/>
    </row>
    <row r="24713" spans="1:100">
      <c r="A24713" s="374"/>
      <c r="C24713" s="374"/>
      <c r="CV24713" s="376"/>
    </row>
    <row r="24714" spans="1:100">
      <c r="A24714" s="374"/>
      <c r="C24714" s="374"/>
      <c r="CV24714" s="376"/>
    </row>
    <row r="24715" spans="1:100">
      <c r="A24715" s="374"/>
      <c r="C24715" s="374"/>
      <c r="CV24715" s="376"/>
    </row>
    <row r="24716" spans="1:100">
      <c r="A24716" s="374"/>
      <c r="C24716" s="374"/>
      <c r="CV24716" s="376"/>
    </row>
    <row r="24717" spans="1:100">
      <c r="A24717" s="374"/>
      <c r="C24717" s="374"/>
      <c r="CV24717" s="376"/>
    </row>
    <row r="24718" spans="1:100">
      <c r="A24718" s="374"/>
      <c r="C24718" s="374"/>
      <c r="CV24718" s="376"/>
    </row>
    <row r="24719" spans="1:100">
      <c r="A24719" s="374"/>
      <c r="C24719" s="374"/>
      <c r="CV24719" s="376"/>
    </row>
    <row r="24720" spans="1:100">
      <c r="A24720" s="374"/>
      <c r="C24720" s="374"/>
      <c r="CV24720" s="376"/>
    </row>
    <row r="24721" spans="1:100">
      <c r="A24721" s="374"/>
      <c r="C24721" s="374"/>
      <c r="CV24721" s="376"/>
    </row>
    <row r="24722" spans="1:100">
      <c r="A24722" s="374"/>
      <c r="C24722" s="374"/>
      <c r="CV24722" s="376"/>
    </row>
    <row r="24723" spans="1:100">
      <c r="A24723" s="374"/>
      <c r="C24723" s="374"/>
      <c r="CV24723" s="376"/>
    </row>
    <row r="24724" spans="1:100">
      <c r="A24724" s="374"/>
      <c r="C24724" s="374"/>
      <c r="CV24724" s="376"/>
    </row>
    <row r="24725" spans="1:100">
      <c r="A24725" s="374"/>
      <c r="C24725" s="374"/>
      <c r="CV24725" s="376"/>
    </row>
    <row r="24726" spans="1:100">
      <c r="A24726" s="374"/>
      <c r="C24726" s="374"/>
      <c r="CV24726" s="376"/>
    </row>
    <row r="24727" spans="1:100">
      <c r="A24727" s="374"/>
      <c r="C24727" s="374"/>
      <c r="CV24727" s="376"/>
    </row>
    <row r="24728" spans="1:100">
      <c r="A24728" s="374"/>
      <c r="C24728" s="374"/>
      <c r="CV24728" s="376"/>
    </row>
    <row r="24729" spans="1:100">
      <c r="A24729" s="374"/>
      <c r="C24729" s="374"/>
      <c r="CV24729" s="376"/>
    </row>
    <row r="24730" spans="1:100">
      <c r="A24730" s="374"/>
      <c r="C24730" s="374"/>
      <c r="CV24730" s="376"/>
    </row>
    <row r="24731" spans="1:100">
      <c r="A24731" s="374"/>
      <c r="C24731" s="374"/>
      <c r="CV24731" s="376"/>
    </row>
    <row r="24732" spans="1:100">
      <c r="A24732" s="374"/>
      <c r="C24732" s="374"/>
      <c r="CV24732" s="376"/>
    </row>
    <row r="24733" spans="1:100">
      <c r="A24733" s="374"/>
      <c r="C24733" s="374"/>
      <c r="CV24733" s="376"/>
    </row>
    <row r="24734" spans="1:100">
      <c r="A24734" s="374"/>
      <c r="C24734" s="374"/>
      <c r="CV24734" s="376"/>
    </row>
    <row r="24735" spans="1:100">
      <c r="A24735" s="374"/>
      <c r="C24735" s="374"/>
      <c r="CV24735" s="376"/>
    </row>
    <row r="24736" spans="1:100">
      <c r="A24736" s="374"/>
      <c r="C24736" s="374"/>
      <c r="CV24736" s="376"/>
    </row>
    <row r="24737" spans="1:100">
      <c r="A24737" s="374"/>
      <c r="C24737" s="374"/>
      <c r="CV24737" s="376"/>
    </row>
    <row r="24738" spans="1:100">
      <c r="A24738" s="374"/>
      <c r="C24738" s="374"/>
      <c r="CV24738" s="376"/>
    </row>
    <row r="24739" spans="1:100">
      <c r="A24739" s="374"/>
      <c r="C24739" s="374"/>
      <c r="CV24739" s="376"/>
    </row>
    <row r="24740" spans="1:100">
      <c r="A24740" s="374"/>
      <c r="C24740" s="374"/>
      <c r="CV24740" s="376"/>
    </row>
    <row r="24741" spans="1:100">
      <c r="A24741" s="374"/>
      <c r="C24741" s="374"/>
      <c r="CV24741" s="376"/>
    </row>
    <row r="24742" spans="1:100">
      <c r="A24742" s="374"/>
      <c r="C24742" s="374"/>
      <c r="CV24742" s="376"/>
    </row>
    <row r="24743" spans="1:100">
      <c r="A24743" s="374"/>
      <c r="C24743" s="374"/>
      <c r="CV24743" s="376"/>
    </row>
    <row r="24744" spans="1:100">
      <c r="A24744" s="374"/>
      <c r="C24744" s="374"/>
      <c r="CV24744" s="376"/>
    </row>
    <row r="24745" spans="1:100">
      <c r="A24745" s="374"/>
      <c r="C24745" s="374"/>
      <c r="CV24745" s="376"/>
    </row>
    <row r="24746" spans="1:100">
      <c r="A24746" s="374"/>
      <c r="C24746" s="374"/>
      <c r="CV24746" s="376"/>
    </row>
    <row r="24747" spans="1:100">
      <c r="A24747" s="374"/>
      <c r="C24747" s="374"/>
      <c r="CV24747" s="376"/>
    </row>
    <row r="24748" spans="1:100">
      <c r="A24748" s="374"/>
      <c r="C24748" s="374"/>
      <c r="CV24748" s="376"/>
    </row>
    <row r="24749" spans="1:100">
      <c r="A24749" s="374"/>
      <c r="C24749" s="374"/>
      <c r="CV24749" s="376"/>
    </row>
    <row r="24750" spans="1:100">
      <c r="A24750" s="374"/>
      <c r="C24750" s="374"/>
      <c r="CV24750" s="376"/>
    </row>
    <row r="24751" spans="1:100">
      <c r="A24751" s="374"/>
      <c r="C24751" s="374"/>
      <c r="CV24751" s="376"/>
    </row>
    <row r="24752" spans="1:100">
      <c r="A24752" s="374"/>
      <c r="C24752" s="374"/>
      <c r="CV24752" s="376"/>
    </row>
    <row r="24753" spans="1:100">
      <c r="A24753" s="374"/>
      <c r="C24753" s="374"/>
      <c r="CV24753" s="376"/>
    </row>
    <row r="24754" spans="1:100">
      <c r="A24754" s="374"/>
      <c r="C24754" s="374"/>
      <c r="CV24754" s="376"/>
    </row>
    <row r="24755" spans="1:100">
      <c r="A24755" s="374"/>
      <c r="C24755" s="374"/>
      <c r="CV24755" s="376"/>
    </row>
    <row r="24756" spans="1:100">
      <c r="A24756" s="374"/>
      <c r="C24756" s="374"/>
      <c r="CV24756" s="376"/>
    </row>
    <row r="24757" spans="1:100">
      <c r="A24757" s="374"/>
      <c r="C24757" s="374"/>
      <c r="CV24757" s="376"/>
    </row>
    <row r="24758" spans="1:100">
      <c r="A24758" s="374"/>
      <c r="C24758" s="374"/>
      <c r="CV24758" s="376"/>
    </row>
    <row r="24759" spans="1:100">
      <c r="A24759" s="374"/>
      <c r="C24759" s="374"/>
      <c r="CV24759" s="376"/>
    </row>
    <row r="24760" spans="1:100">
      <c r="A24760" s="374"/>
      <c r="C24760" s="374"/>
      <c r="CV24760" s="376"/>
    </row>
    <row r="24761" spans="1:100">
      <c r="A24761" s="374"/>
      <c r="C24761" s="374"/>
      <c r="CV24761" s="376"/>
    </row>
    <row r="24762" spans="1:100">
      <c r="A24762" s="374"/>
      <c r="C24762" s="374"/>
      <c r="CV24762" s="376"/>
    </row>
    <row r="24763" spans="1:100">
      <c r="A24763" s="374"/>
      <c r="C24763" s="374"/>
      <c r="CV24763" s="376"/>
    </row>
    <row r="24764" spans="1:100">
      <c r="A24764" s="374"/>
      <c r="C24764" s="374"/>
      <c r="CV24764" s="376"/>
    </row>
    <row r="24765" spans="1:100">
      <c r="A24765" s="374"/>
      <c r="C24765" s="374"/>
      <c r="CV24765" s="376"/>
    </row>
    <row r="24766" spans="1:100">
      <c r="A24766" s="374"/>
      <c r="C24766" s="374"/>
      <c r="CV24766" s="376"/>
    </row>
    <row r="24767" spans="1:100">
      <c r="A24767" s="374"/>
      <c r="C24767" s="374"/>
      <c r="CV24767" s="376"/>
    </row>
    <row r="24768" spans="1:100">
      <c r="A24768" s="374"/>
      <c r="C24768" s="374"/>
      <c r="CV24768" s="376"/>
    </row>
    <row r="24769" spans="1:100">
      <c r="A24769" s="374"/>
      <c r="C24769" s="374"/>
      <c r="CV24769" s="376"/>
    </row>
    <row r="24770" spans="1:100">
      <c r="A24770" s="374"/>
      <c r="C24770" s="374"/>
      <c r="CV24770" s="376"/>
    </row>
    <row r="24771" spans="1:100">
      <c r="A24771" s="374"/>
      <c r="C24771" s="374"/>
      <c r="CV24771" s="376"/>
    </row>
    <row r="24772" spans="1:100">
      <c r="A24772" s="374"/>
      <c r="C24772" s="374"/>
      <c r="CV24772" s="376"/>
    </row>
    <row r="24773" spans="1:100">
      <c r="A24773" s="374"/>
      <c r="C24773" s="374"/>
      <c r="CV24773" s="376"/>
    </row>
    <row r="24774" spans="1:100">
      <c r="A24774" s="374"/>
      <c r="C24774" s="374"/>
      <c r="CV24774" s="376"/>
    </row>
    <row r="24775" spans="1:100">
      <c r="A24775" s="374"/>
      <c r="C24775" s="374"/>
      <c r="CV24775" s="376"/>
    </row>
    <row r="24776" spans="1:100">
      <c r="A24776" s="374"/>
      <c r="C24776" s="374"/>
      <c r="CV24776" s="376"/>
    </row>
    <row r="24777" spans="1:100">
      <c r="A24777" s="374"/>
      <c r="C24777" s="374"/>
      <c r="CV24777" s="376"/>
    </row>
    <row r="24778" spans="1:100">
      <c r="A24778" s="374"/>
      <c r="C24778" s="374"/>
      <c r="CV24778" s="376"/>
    </row>
    <row r="24779" spans="1:100">
      <c r="A24779" s="374"/>
      <c r="C24779" s="374"/>
      <c r="CV24779" s="376"/>
    </row>
    <row r="24780" spans="1:100">
      <c r="A24780" s="374"/>
      <c r="C24780" s="374"/>
      <c r="CV24780" s="376"/>
    </row>
    <row r="24781" spans="1:100">
      <c r="A24781" s="374"/>
      <c r="C24781" s="374"/>
      <c r="CV24781" s="376"/>
    </row>
    <row r="24782" spans="1:100">
      <c r="A24782" s="374"/>
      <c r="C24782" s="374"/>
      <c r="CV24782" s="376"/>
    </row>
    <row r="24783" spans="1:100">
      <c r="A24783" s="374"/>
      <c r="C24783" s="374"/>
      <c r="CV24783" s="376"/>
    </row>
    <row r="24784" spans="1:100">
      <c r="A24784" s="374"/>
      <c r="C24784" s="374"/>
      <c r="CV24784" s="376"/>
    </row>
    <row r="24785" spans="1:100">
      <c r="A24785" s="374"/>
      <c r="C24785" s="374"/>
      <c r="CV24785" s="376"/>
    </row>
    <row r="24786" spans="1:100">
      <c r="A24786" s="374"/>
      <c r="C24786" s="374"/>
      <c r="CV24786" s="376"/>
    </row>
    <row r="24787" spans="1:100">
      <c r="A24787" s="374"/>
      <c r="C24787" s="374"/>
      <c r="CV24787" s="376"/>
    </row>
    <row r="24788" spans="1:100">
      <c r="A24788" s="374"/>
      <c r="C24788" s="374"/>
      <c r="CV24788" s="376"/>
    </row>
    <row r="24789" spans="1:100">
      <c r="A24789" s="374"/>
      <c r="C24789" s="374"/>
      <c r="CV24789" s="376"/>
    </row>
    <row r="24790" spans="1:100">
      <c r="A24790" s="374"/>
      <c r="C24790" s="374"/>
      <c r="CV24790" s="376"/>
    </row>
    <row r="24791" spans="1:100">
      <c r="A24791" s="374"/>
      <c r="C24791" s="374"/>
      <c r="CV24791" s="376"/>
    </row>
    <row r="24792" spans="1:100">
      <c r="A24792" s="374"/>
      <c r="C24792" s="374"/>
      <c r="CV24792" s="376"/>
    </row>
    <row r="24793" spans="1:100">
      <c r="A24793" s="374"/>
      <c r="C24793" s="374"/>
      <c r="CV24793" s="376"/>
    </row>
    <row r="24794" spans="1:100">
      <c r="A24794" s="374"/>
      <c r="C24794" s="374"/>
      <c r="CV24794" s="376"/>
    </row>
    <row r="24795" spans="1:100">
      <c r="A24795" s="374"/>
      <c r="C24795" s="374"/>
      <c r="CV24795" s="376"/>
    </row>
    <row r="24796" spans="1:100">
      <c r="A24796" s="374"/>
      <c r="C24796" s="374"/>
      <c r="CV24796" s="376"/>
    </row>
    <row r="24797" spans="1:100">
      <c r="A24797" s="374"/>
      <c r="C24797" s="374"/>
      <c r="CV24797" s="376"/>
    </row>
    <row r="24798" spans="1:100">
      <c r="A24798" s="374"/>
      <c r="C24798" s="374"/>
      <c r="CV24798" s="376"/>
    </row>
    <row r="24799" spans="1:100">
      <c r="A24799" s="374"/>
      <c r="C24799" s="374"/>
      <c r="CV24799" s="376"/>
    </row>
    <row r="24800" spans="1:100">
      <c r="A24800" s="374"/>
      <c r="C24800" s="374"/>
      <c r="CV24800" s="376"/>
    </row>
    <row r="24801" spans="1:100">
      <c r="A24801" s="374"/>
      <c r="C24801" s="374"/>
      <c r="CV24801" s="376"/>
    </row>
    <row r="24802" spans="1:100">
      <c r="A24802" s="374"/>
      <c r="C24802" s="374"/>
      <c r="CV24802" s="376"/>
    </row>
    <row r="24803" spans="1:100">
      <c r="A24803" s="374"/>
      <c r="C24803" s="374"/>
      <c r="CV24803" s="376"/>
    </row>
    <row r="24804" spans="1:100">
      <c r="A24804" s="374"/>
      <c r="C24804" s="374"/>
      <c r="CV24804" s="376"/>
    </row>
    <row r="24805" spans="1:100">
      <c r="A24805" s="374"/>
      <c r="C24805" s="374"/>
      <c r="CV24805" s="376"/>
    </row>
    <row r="24806" spans="1:100">
      <c r="A24806" s="374"/>
      <c r="C24806" s="374"/>
      <c r="CV24806" s="376"/>
    </row>
    <row r="24807" spans="1:100">
      <c r="A24807" s="374"/>
      <c r="C24807" s="374"/>
      <c r="CV24807" s="376"/>
    </row>
    <row r="24808" spans="1:100">
      <c r="A24808" s="374"/>
      <c r="C24808" s="374"/>
      <c r="CV24808" s="376"/>
    </row>
    <row r="24809" spans="1:100">
      <c r="A24809" s="374"/>
      <c r="C24809" s="374"/>
      <c r="CV24809" s="376"/>
    </row>
    <row r="24810" spans="1:100">
      <c r="A24810" s="374"/>
      <c r="C24810" s="374"/>
      <c r="CV24810" s="376"/>
    </row>
    <row r="24811" spans="1:100">
      <c r="A24811" s="374"/>
      <c r="C24811" s="374"/>
      <c r="CV24811" s="376"/>
    </row>
    <row r="24812" spans="1:100">
      <c r="A24812" s="374"/>
      <c r="C24812" s="374"/>
      <c r="CV24812" s="376"/>
    </row>
    <row r="24813" spans="1:100">
      <c r="A24813" s="374"/>
      <c r="C24813" s="374"/>
      <c r="CV24813" s="376"/>
    </row>
    <row r="24814" spans="1:100">
      <c r="A24814" s="374"/>
      <c r="C24814" s="374"/>
      <c r="CV24814" s="376"/>
    </row>
    <row r="24815" spans="1:100">
      <c r="A24815" s="374"/>
      <c r="C24815" s="374"/>
      <c r="CV24815" s="376"/>
    </row>
    <row r="24816" spans="1:100">
      <c r="A24816" s="374"/>
      <c r="C24816" s="374"/>
      <c r="CV24816" s="376"/>
    </row>
    <row r="24817" spans="1:100">
      <c r="A24817" s="374"/>
      <c r="C24817" s="374"/>
      <c r="CV24817" s="376"/>
    </row>
    <row r="24818" spans="1:100">
      <c r="A24818" s="374"/>
      <c r="C24818" s="374"/>
      <c r="CV24818" s="376"/>
    </row>
    <row r="24819" spans="1:100">
      <c r="A24819" s="374"/>
      <c r="C24819" s="374"/>
      <c r="CV24819" s="376"/>
    </row>
    <row r="24820" spans="1:100">
      <c r="A24820" s="374"/>
      <c r="C24820" s="374"/>
      <c r="CV24820" s="376"/>
    </row>
    <row r="24821" spans="1:100">
      <c r="A24821" s="374"/>
      <c r="C24821" s="374"/>
      <c r="CV24821" s="376"/>
    </row>
    <row r="24822" spans="1:100">
      <c r="A24822" s="374"/>
      <c r="C24822" s="374"/>
      <c r="CV24822" s="376"/>
    </row>
    <row r="24823" spans="1:100">
      <c r="A24823" s="374"/>
      <c r="C24823" s="374"/>
      <c r="CV24823" s="376"/>
    </row>
    <row r="24824" spans="1:100">
      <c r="A24824" s="374"/>
      <c r="C24824" s="374"/>
      <c r="CV24824" s="376"/>
    </row>
    <row r="24825" spans="1:100">
      <c r="A24825" s="374"/>
      <c r="C24825" s="374"/>
      <c r="CV24825" s="376"/>
    </row>
    <row r="24826" spans="1:100">
      <c r="A24826" s="374"/>
      <c r="C24826" s="374"/>
      <c r="CV24826" s="376"/>
    </row>
    <row r="24827" spans="1:100">
      <c r="A24827" s="374"/>
      <c r="C24827" s="374"/>
      <c r="CV24827" s="376"/>
    </row>
    <row r="24828" spans="1:100">
      <c r="A24828" s="374"/>
      <c r="C24828" s="374"/>
      <c r="CV24828" s="376"/>
    </row>
    <row r="24829" spans="1:100">
      <c r="A24829" s="374"/>
      <c r="C24829" s="374"/>
      <c r="CV24829" s="376"/>
    </row>
    <row r="24830" spans="1:100">
      <c r="A24830" s="374"/>
      <c r="C24830" s="374"/>
      <c r="CV24830" s="376"/>
    </row>
    <row r="24831" spans="1:100">
      <c r="A24831" s="374"/>
      <c r="C24831" s="374"/>
      <c r="CV24831" s="376"/>
    </row>
    <row r="24832" spans="1:100">
      <c r="A24832" s="374"/>
      <c r="C24832" s="374"/>
      <c r="CV24832" s="376"/>
    </row>
    <row r="24833" spans="1:100">
      <c r="A24833" s="374"/>
      <c r="C24833" s="374"/>
      <c r="CV24833" s="376"/>
    </row>
    <row r="24834" spans="1:100">
      <c r="A24834" s="374"/>
      <c r="C24834" s="374"/>
      <c r="CV24834" s="376"/>
    </row>
    <row r="24835" spans="1:100">
      <c r="A24835" s="374"/>
      <c r="C24835" s="374"/>
      <c r="CV24835" s="376"/>
    </row>
    <row r="24836" spans="1:100">
      <c r="A24836" s="374"/>
      <c r="C24836" s="374"/>
      <c r="CV24836" s="376"/>
    </row>
    <row r="24837" spans="1:100">
      <c r="A24837" s="374"/>
      <c r="C24837" s="374"/>
      <c r="CV24837" s="376"/>
    </row>
    <row r="24838" spans="1:100">
      <c r="A24838" s="374"/>
      <c r="C24838" s="374"/>
      <c r="CV24838" s="376"/>
    </row>
    <row r="24839" spans="1:100">
      <c r="A24839" s="374"/>
      <c r="C24839" s="374"/>
      <c r="CV24839" s="376"/>
    </row>
    <row r="24840" spans="1:100">
      <c r="A24840" s="374"/>
      <c r="C24840" s="374"/>
      <c r="CV24840" s="376"/>
    </row>
    <row r="24841" spans="1:100">
      <c r="A24841" s="374"/>
      <c r="C24841" s="374"/>
      <c r="CV24841" s="376"/>
    </row>
    <row r="24842" spans="1:100">
      <c r="A24842" s="374"/>
      <c r="C24842" s="374"/>
      <c r="CV24842" s="376"/>
    </row>
    <row r="24843" spans="1:100">
      <c r="A24843" s="374"/>
      <c r="C24843" s="374"/>
      <c r="CV24843" s="376"/>
    </row>
    <row r="24844" spans="1:100">
      <c r="A24844" s="374"/>
      <c r="C24844" s="374"/>
      <c r="CV24844" s="376"/>
    </row>
    <row r="24845" spans="1:100">
      <c r="A24845" s="374"/>
      <c r="C24845" s="374"/>
      <c r="CV24845" s="376"/>
    </row>
    <row r="24846" spans="1:100">
      <c r="A24846" s="374"/>
      <c r="C24846" s="374"/>
      <c r="CV24846" s="376"/>
    </row>
    <row r="24847" spans="1:100">
      <c r="A24847" s="374"/>
      <c r="C24847" s="374"/>
      <c r="CV24847" s="376"/>
    </row>
    <row r="24848" spans="1:100">
      <c r="A24848" s="374"/>
      <c r="C24848" s="374"/>
      <c r="CV24848" s="376"/>
    </row>
    <row r="24849" spans="1:100">
      <c r="A24849" s="374"/>
      <c r="C24849" s="374"/>
      <c r="CV24849" s="376"/>
    </row>
    <row r="24850" spans="1:100">
      <c r="A24850" s="374"/>
      <c r="C24850" s="374"/>
      <c r="CV24850" s="376"/>
    </row>
    <row r="24851" spans="1:100">
      <c r="A24851" s="374"/>
      <c r="C24851" s="374"/>
      <c r="CV24851" s="376"/>
    </row>
    <row r="24852" spans="1:100">
      <c r="A24852" s="374"/>
      <c r="C24852" s="374"/>
      <c r="CV24852" s="376"/>
    </row>
    <row r="24853" spans="1:100">
      <c r="A24853" s="374"/>
      <c r="C24853" s="374"/>
      <c r="CV24853" s="376"/>
    </row>
    <row r="24854" spans="1:100">
      <c r="A24854" s="374"/>
      <c r="C24854" s="374"/>
      <c r="CV24854" s="376"/>
    </row>
    <row r="24855" spans="1:100">
      <c r="A24855" s="374"/>
      <c r="C24855" s="374"/>
      <c r="CV24855" s="376"/>
    </row>
    <row r="24856" spans="1:100">
      <c r="A24856" s="374"/>
      <c r="C24856" s="374"/>
      <c r="CV24856" s="376"/>
    </row>
    <row r="24857" spans="1:100">
      <c r="A24857" s="374"/>
      <c r="C24857" s="374"/>
      <c r="CV24857" s="376"/>
    </row>
    <row r="24858" spans="1:100">
      <c r="A24858" s="374"/>
      <c r="C24858" s="374"/>
      <c r="CV24858" s="376"/>
    </row>
    <row r="24859" spans="1:100">
      <c r="A24859" s="374"/>
      <c r="C24859" s="374"/>
      <c r="CV24859" s="376"/>
    </row>
    <row r="24860" spans="1:100">
      <c r="A24860" s="374"/>
      <c r="C24860" s="374"/>
      <c r="CV24860" s="376"/>
    </row>
    <row r="24861" spans="1:100">
      <c r="A24861" s="374"/>
      <c r="C24861" s="374"/>
      <c r="CV24861" s="376"/>
    </row>
    <row r="24862" spans="1:100">
      <c r="A24862" s="374"/>
      <c r="C24862" s="374"/>
      <c r="CV24862" s="376"/>
    </row>
    <row r="24863" spans="1:100">
      <c r="A24863" s="374"/>
      <c r="C24863" s="374"/>
      <c r="CV24863" s="376"/>
    </row>
    <row r="24864" spans="1:100">
      <c r="A24864" s="374"/>
      <c r="C24864" s="374"/>
      <c r="CV24864" s="376"/>
    </row>
    <row r="24865" spans="1:100">
      <c r="A24865" s="374"/>
      <c r="C24865" s="374"/>
      <c r="CV24865" s="376"/>
    </row>
    <row r="24866" spans="1:100">
      <c r="A24866" s="374"/>
      <c r="C24866" s="374"/>
      <c r="CV24866" s="376"/>
    </row>
    <row r="24867" spans="1:100">
      <c r="A24867" s="374"/>
      <c r="C24867" s="374"/>
      <c r="CV24867" s="376"/>
    </row>
    <row r="24868" spans="1:100">
      <c r="A24868" s="374"/>
      <c r="C24868" s="374"/>
      <c r="CV24868" s="376"/>
    </row>
    <row r="24869" spans="1:100">
      <c r="A24869" s="374"/>
      <c r="C24869" s="374"/>
      <c r="CV24869" s="376"/>
    </row>
    <row r="24870" spans="1:100">
      <c r="A24870" s="374"/>
      <c r="C24870" s="374"/>
      <c r="CV24870" s="376"/>
    </row>
    <row r="24871" spans="1:100">
      <c r="A24871" s="374"/>
      <c r="C24871" s="374"/>
      <c r="CV24871" s="376"/>
    </row>
    <row r="24872" spans="1:100">
      <c r="A24872" s="374"/>
      <c r="C24872" s="374"/>
      <c r="CV24872" s="376"/>
    </row>
    <row r="24873" spans="1:100">
      <c r="A24873" s="374"/>
      <c r="C24873" s="374"/>
      <c r="CV24873" s="376"/>
    </row>
    <row r="24874" spans="1:100">
      <c r="A24874" s="374"/>
      <c r="C24874" s="374"/>
      <c r="CV24874" s="376"/>
    </row>
    <row r="24875" spans="1:100">
      <c r="A24875" s="374"/>
      <c r="C24875" s="374"/>
      <c r="CV24875" s="376"/>
    </row>
    <row r="24876" spans="1:100">
      <c r="A24876" s="374"/>
      <c r="C24876" s="374"/>
      <c r="CV24876" s="376"/>
    </row>
    <row r="24877" spans="1:100">
      <c r="A24877" s="374"/>
      <c r="C24877" s="374"/>
      <c r="CV24877" s="376"/>
    </row>
    <row r="24878" spans="1:100">
      <c r="A24878" s="374"/>
      <c r="C24878" s="374"/>
      <c r="CV24878" s="376"/>
    </row>
    <row r="24879" spans="1:100">
      <c r="A24879" s="374"/>
      <c r="C24879" s="374"/>
      <c r="CV24879" s="376"/>
    </row>
    <row r="24880" spans="1:100">
      <c r="A24880" s="374"/>
      <c r="C24880" s="374"/>
      <c r="CV24880" s="376"/>
    </row>
    <row r="24881" spans="1:100">
      <c r="A24881" s="374"/>
      <c r="C24881" s="374"/>
      <c r="CV24881" s="376"/>
    </row>
    <row r="24882" spans="1:100">
      <c r="A24882" s="374"/>
      <c r="C24882" s="374"/>
      <c r="CV24882" s="376"/>
    </row>
    <row r="24883" spans="1:100">
      <c r="A24883" s="374"/>
      <c r="C24883" s="374"/>
      <c r="CV24883" s="376"/>
    </row>
    <row r="24884" spans="1:100">
      <c r="A24884" s="374"/>
      <c r="C24884" s="374"/>
      <c r="CV24884" s="376"/>
    </row>
    <row r="24885" spans="1:100">
      <c r="A24885" s="374"/>
      <c r="C24885" s="374"/>
      <c r="CV24885" s="376"/>
    </row>
    <row r="24886" spans="1:100">
      <c r="A24886" s="374"/>
      <c r="C24886" s="374"/>
      <c r="CV24886" s="376"/>
    </row>
    <row r="24887" spans="1:100">
      <c r="A24887" s="374"/>
      <c r="C24887" s="374"/>
      <c r="CV24887" s="376"/>
    </row>
    <row r="24888" spans="1:100">
      <c r="A24888" s="374"/>
      <c r="C24888" s="374"/>
      <c r="CV24888" s="376"/>
    </row>
    <row r="24889" spans="1:100">
      <c r="A24889" s="374"/>
      <c r="C24889" s="374"/>
      <c r="CV24889" s="376"/>
    </row>
    <row r="24890" spans="1:100">
      <c r="A24890" s="374"/>
      <c r="C24890" s="374"/>
      <c r="CV24890" s="376"/>
    </row>
    <row r="24891" spans="1:100">
      <c r="A24891" s="374"/>
      <c r="C24891" s="374"/>
      <c r="CV24891" s="376"/>
    </row>
    <row r="24892" spans="1:100">
      <c r="A24892" s="374"/>
      <c r="C24892" s="374"/>
      <c r="CV24892" s="376"/>
    </row>
    <row r="24893" spans="1:100">
      <c r="A24893" s="374"/>
      <c r="C24893" s="374"/>
      <c r="CV24893" s="376"/>
    </row>
    <row r="24894" spans="1:100">
      <c r="A24894" s="374"/>
      <c r="C24894" s="374"/>
      <c r="CV24894" s="376"/>
    </row>
    <row r="24895" spans="1:100">
      <c r="A24895" s="374"/>
      <c r="C24895" s="374"/>
      <c r="CV24895" s="376"/>
    </row>
    <row r="24896" spans="1:100">
      <c r="A24896" s="374"/>
      <c r="C24896" s="374"/>
      <c r="CV24896" s="376"/>
    </row>
    <row r="24897" spans="1:100">
      <c r="A24897" s="374"/>
      <c r="C24897" s="374"/>
      <c r="CV24897" s="376"/>
    </row>
    <row r="24898" spans="1:100">
      <c r="A24898" s="374"/>
      <c r="C24898" s="374"/>
      <c r="CV24898" s="376"/>
    </row>
    <row r="24899" spans="1:100">
      <c r="A24899" s="374"/>
      <c r="C24899" s="374"/>
      <c r="CV24899" s="376"/>
    </row>
    <row r="24900" spans="1:100">
      <c r="A24900" s="374"/>
      <c r="C24900" s="374"/>
      <c r="CV24900" s="376"/>
    </row>
    <row r="24901" spans="1:100">
      <c r="A24901" s="374"/>
      <c r="C24901" s="374"/>
      <c r="CV24901" s="376"/>
    </row>
    <row r="24902" spans="1:100">
      <c r="A24902" s="374"/>
      <c r="C24902" s="374"/>
      <c r="CV24902" s="376"/>
    </row>
    <row r="24903" spans="1:100">
      <c r="A24903" s="374"/>
      <c r="C24903" s="374"/>
      <c r="CV24903" s="376"/>
    </row>
    <row r="24904" spans="1:100">
      <c r="A24904" s="374"/>
      <c r="C24904" s="374"/>
      <c r="CV24904" s="376"/>
    </row>
    <row r="24905" spans="1:100">
      <c r="A24905" s="374"/>
      <c r="C24905" s="374"/>
      <c r="CV24905" s="376"/>
    </row>
    <row r="24906" spans="1:100">
      <c r="A24906" s="374"/>
      <c r="C24906" s="374"/>
      <c r="CV24906" s="376"/>
    </row>
    <row r="24907" spans="1:100">
      <c r="A24907" s="374"/>
      <c r="C24907" s="374"/>
      <c r="CV24907" s="376"/>
    </row>
    <row r="24908" spans="1:100">
      <c r="A24908" s="374"/>
      <c r="C24908" s="374"/>
      <c r="CV24908" s="376"/>
    </row>
    <row r="24909" spans="1:100">
      <c r="A24909" s="374"/>
      <c r="C24909" s="374"/>
      <c r="CV24909" s="376"/>
    </row>
    <row r="24910" spans="1:100">
      <c r="A24910" s="374"/>
      <c r="C24910" s="374"/>
      <c r="CV24910" s="376"/>
    </row>
    <row r="24911" spans="1:100">
      <c r="A24911" s="374"/>
      <c r="C24911" s="374"/>
      <c r="CV24911" s="376"/>
    </row>
    <row r="24912" spans="1:100">
      <c r="A24912" s="374"/>
      <c r="C24912" s="374"/>
      <c r="CV24912" s="376"/>
    </row>
    <row r="24913" spans="1:100">
      <c r="A24913" s="374"/>
      <c r="C24913" s="374"/>
      <c r="CV24913" s="376"/>
    </row>
    <row r="24914" spans="1:100">
      <c r="A24914" s="374"/>
      <c r="C24914" s="374"/>
      <c r="CV24914" s="376"/>
    </row>
    <row r="24915" spans="1:100">
      <c r="A24915" s="374"/>
      <c r="C24915" s="374"/>
      <c r="CV24915" s="376"/>
    </row>
    <row r="24916" spans="1:100">
      <c r="A24916" s="374"/>
      <c r="C24916" s="374"/>
      <c r="CV24916" s="376"/>
    </row>
    <row r="24917" spans="1:100">
      <c r="A24917" s="374"/>
      <c r="C24917" s="374"/>
      <c r="CV24917" s="376"/>
    </row>
    <row r="24918" spans="1:100">
      <c r="A24918" s="374"/>
      <c r="C24918" s="374"/>
      <c r="CV24918" s="376"/>
    </row>
    <row r="24919" spans="1:100">
      <c r="A24919" s="374"/>
      <c r="C24919" s="374"/>
      <c r="CV24919" s="376"/>
    </row>
    <row r="24920" spans="1:100">
      <c r="A24920" s="374"/>
      <c r="C24920" s="374"/>
      <c r="CV24920" s="376"/>
    </row>
    <row r="24921" spans="1:100">
      <c r="A24921" s="374"/>
      <c r="C24921" s="374"/>
      <c r="CV24921" s="376"/>
    </row>
    <row r="24922" spans="1:100">
      <c r="A24922" s="374"/>
      <c r="C24922" s="374"/>
      <c r="CV24922" s="376"/>
    </row>
    <row r="24923" spans="1:100">
      <c r="A24923" s="374"/>
      <c r="C24923" s="374"/>
      <c r="CV24923" s="376"/>
    </row>
    <row r="24924" spans="1:100">
      <c r="A24924" s="374"/>
      <c r="C24924" s="374"/>
      <c r="CV24924" s="376"/>
    </row>
    <row r="24925" spans="1:100">
      <c r="A24925" s="374"/>
      <c r="C24925" s="374"/>
      <c r="CV24925" s="376"/>
    </row>
    <row r="24926" spans="1:100">
      <c r="A24926" s="374"/>
      <c r="C24926" s="374"/>
      <c r="CV24926" s="376"/>
    </row>
    <row r="24927" spans="1:100">
      <c r="A24927" s="374"/>
      <c r="C24927" s="374"/>
      <c r="CV24927" s="376"/>
    </row>
    <row r="24928" spans="1:100">
      <c r="A24928" s="374"/>
      <c r="C24928" s="374"/>
      <c r="CV24928" s="376"/>
    </row>
    <row r="24929" spans="1:100">
      <c r="A24929" s="374"/>
      <c r="C24929" s="374"/>
      <c r="CV24929" s="376"/>
    </row>
    <row r="24930" spans="1:100">
      <c r="A24930" s="374"/>
      <c r="C24930" s="374"/>
      <c r="CV24930" s="376"/>
    </row>
    <row r="24931" spans="1:100">
      <c r="A24931" s="374"/>
      <c r="C24931" s="374"/>
      <c r="CV24931" s="376"/>
    </row>
    <row r="24932" spans="1:100">
      <c r="A24932" s="374"/>
      <c r="C24932" s="374"/>
      <c r="CV24932" s="376"/>
    </row>
    <row r="24933" spans="1:100">
      <c r="A24933" s="374"/>
      <c r="C24933" s="374"/>
      <c r="CV24933" s="376"/>
    </row>
    <row r="24934" spans="1:100">
      <c r="A24934" s="374"/>
      <c r="C24934" s="374"/>
      <c r="CV24934" s="376"/>
    </row>
    <row r="24935" spans="1:100">
      <c r="A24935" s="374"/>
      <c r="C24935" s="374"/>
      <c r="CV24935" s="376"/>
    </row>
    <row r="24936" spans="1:100">
      <c r="A24936" s="374"/>
      <c r="C24936" s="374"/>
      <c r="CV24936" s="376"/>
    </row>
    <row r="24937" spans="1:100">
      <c r="A24937" s="374"/>
      <c r="C24937" s="374"/>
      <c r="CV24937" s="376"/>
    </row>
    <row r="24938" spans="1:100">
      <c r="A24938" s="374"/>
      <c r="C24938" s="374"/>
      <c r="CV24938" s="376"/>
    </row>
    <row r="24939" spans="1:100">
      <c r="A24939" s="374"/>
      <c r="C24939" s="374"/>
      <c r="CV24939" s="376"/>
    </row>
    <row r="24940" spans="1:100">
      <c r="A24940" s="374"/>
      <c r="C24940" s="374"/>
      <c r="CV24940" s="376"/>
    </row>
    <row r="24941" spans="1:100">
      <c r="A24941" s="374"/>
      <c r="C24941" s="374"/>
      <c r="CV24941" s="376"/>
    </row>
    <row r="24942" spans="1:100">
      <c r="A24942" s="374"/>
      <c r="C24942" s="374"/>
      <c r="CV24942" s="376"/>
    </row>
    <row r="24943" spans="1:100">
      <c r="A24943" s="374"/>
      <c r="C24943" s="374"/>
      <c r="CV24943" s="376"/>
    </row>
    <row r="24944" spans="1:100">
      <c r="A24944" s="374"/>
      <c r="C24944" s="374"/>
      <c r="CV24944" s="376"/>
    </row>
    <row r="24945" spans="1:100">
      <c r="A24945" s="374"/>
      <c r="C24945" s="374"/>
      <c r="CV24945" s="376"/>
    </row>
    <row r="24946" spans="1:100">
      <c r="A24946" s="374"/>
      <c r="C24946" s="374"/>
      <c r="CV24946" s="376"/>
    </row>
    <row r="24947" spans="1:100">
      <c r="A24947" s="374"/>
      <c r="C24947" s="374"/>
      <c r="CV24947" s="376"/>
    </row>
    <row r="24948" spans="1:100">
      <c r="A24948" s="374"/>
      <c r="C24948" s="374"/>
      <c r="CV24948" s="376"/>
    </row>
    <row r="24949" spans="1:100">
      <c r="A24949" s="374"/>
      <c r="C24949" s="374"/>
      <c r="CV24949" s="376"/>
    </row>
    <row r="24950" spans="1:100">
      <c r="A24950" s="374"/>
      <c r="C24950" s="374"/>
      <c r="CV24950" s="376"/>
    </row>
    <row r="24951" spans="1:100">
      <c r="A24951" s="374"/>
      <c r="C24951" s="374"/>
      <c r="CV24951" s="376"/>
    </row>
    <row r="24952" spans="1:100">
      <c r="A24952" s="374"/>
      <c r="C24952" s="374"/>
      <c r="CV24952" s="376"/>
    </row>
    <row r="24953" spans="1:100">
      <c r="A24953" s="374"/>
      <c r="C24953" s="374"/>
      <c r="CV24953" s="376"/>
    </row>
    <row r="24954" spans="1:100">
      <c r="A24954" s="374"/>
      <c r="C24954" s="374"/>
      <c r="CV24954" s="376"/>
    </row>
    <row r="24955" spans="1:100">
      <c r="A24955" s="374"/>
      <c r="C24955" s="374"/>
      <c r="CV24955" s="376"/>
    </row>
    <row r="24956" spans="1:100">
      <c r="A24956" s="374"/>
      <c r="C24956" s="374"/>
      <c r="CV24956" s="376"/>
    </row>
    <row r="24957" spans="1:100">
      <c r="A24957" s="374"/>
      <c r="C24957" s="374"/>
      <c r="CV24957" s="376"/>
    </row>
    <row r="24958" spans="1:100">
      <c r="A24958" s="374"/>
      <c r="C24958" s="374"/>
      <c r="CV24958" s="376"/>
    </row>
    <row r="24959" spans="1:100">
      <c r="A24959" s="374"/>
      <c r="C24959" s="374"/>
      <c r="CV24959" s="376"/>
    </row>
    <row r="24960" spans="1:100">
      <c r="A24960" s="374"/>
      <c r="C24960" s="374"/>
      <c r="CV24960" s="376"/>
    </row>
    <row r="24961" spans="1:100">
      <c r="A24961" s="374"/>
      <c r="C24961" s="374"/>
      <c r="CV24961" s="376"/>
    </row>
    <row r="24962" spans="1:100">
      <c r="A24962" s="374"/>
      <c r="C24962" s="374"/>
      <c r="CV24962" s="376"/>
    </row>
    <row r="24963" spans="1:100">
      <c r="A24963" s="374"/>
      <c r="C24963" s="374"/>
      <c r="CV24963" s="376"/>
    </row>
    <row r="24964" spans="1:100">
      <c r="A24964" s="374"/>
      <c r="C24964" s="374"/>
      <c r="CV24964" s="376"/>
    </row>
    <row r="24965" spans="1:100">
      <c r="A24965" s="374"/>
      <c r="C24965" s="374"/>
      <c r="CV24965" s="376"/>
    </row>
    <row r="24966" spans="1:100">
      <c r="A24966" s="374"/>
      <c r="C24966" s="374"/>
      <c r="CV24966" s="376"/>
    </row>
    <row r="24967" spans="1:100">
      <c r="A24967" s="374"/>
      <c r="C24967" s="374"/>
      <c r="CV24967" s="376"/>
    </row>
    <row r="24968" spans="1:100">
      <c r="A24968" s="374"/>
      <c r="C24968" s="374"/>
      <c r="CV24968" s="376"/>
    </row>
    <row r="24969" spans="1:100">
      <c r="A24969" s="374"/>
      <c r="C24969" s="374"/>
      <c r="CV24969" s="376"/>
    </row>
    <row r="24970" spans="1:100">
      <c r="A24970" s="374"/>
      <c r="C24970" s="374"/>
      <c r="CV24970" s="376"/>
    </row>
    <row r="24971" spans="1:100">
      <c r="A24971" s="374"/>
      <c r="C24971" s="374"/>
      <c r="CV24971" s="376"/>
    </row>
    <row r="24972" spans="1:100">
      <c r="A24972" s="374"/>
      <c r="C24972" s="374"/>
      <c r="CV24972" s="376"/>
    </row>
    <row r="24973" spans="1:100">
      <c r="A24973" s="374"/>
      <c r="C24973" s="374"/>
      <c r="CV24973" s="376"/>
    </row>
    <row r="24974" spans="1:100">
      <c r="A24974" s="374"/>
      <c r="C24974" s="374"/>
      <c r="CV24974" s="376"/>
    </row>
    <row r="24975" spans="1:100">
      <c r="A24975" s="374"/>
      <c r="C24975" s="374"/>
      <c r="CV24975" s="376"/>
    </row>
    <row r="24976" spans="1:100">
      <c r="A24976" s="374"/>
      <c r="C24976" s="374"/>
      <c r="CV24976" s="376"/>
    </row>
    <row r="24977" spans="1:100">
      <c r="A24977" s="374"/>
      <c r="C24977" s="374"/>
      <c r="CV24977" s="376"/>
    </row>
    <row r="24978" spans="1:100">
      <c r="A24978" s="374"/>
      <c r="C24978" s="374"/>
      <c r="CV24978" s="376"/>
    </row>
    <row r="24979" spans="1:100">
      <c r="A24979" s="374"/>
      <c r="C24979" s="374"/>
      <c r="CV24979" s="376"/>
    </row>
    <row r="24980" spans="1:100">
      <c r="A24980" s="374"/>
      <c r="C24980" s="374"/>
      <c r="CV24980" s="376"/>
    </row>
    <row r="24981" spans="1:100">
      <c r="A24981" s="374"/>
      <c r="C24981" s="374"/>
      <c r="CV24981" s="376"/>
    </row>
    <row r="24982" spans="1:100">
      <c r="A24982" s="374"/>
      <c r="C24982" s="374"/>
      <c r="CV24982" s="376"/>
    </row>
    <row r="24983" spans="1:100">
      <c r="A24983" s="374"/>
      <c r="C24983" s="374"/>
      <c r="CV24983" s="376"/>
    </row>
    <row r="24984" spans="1:100">
      <c r="A24984" s="374"/>
      <c r="C24984" s="374"/>
      <c r="CV24984" s="376"/>
    </row>
    <row r="24985" spans="1:100">
      <c r="A24985" s="374"/>
      <c r="C24985" s="374"/>
      <c r="CV24985" s="376"/>
    </row>
    <row r="24986" spans="1:100">
      <c r="A24986" s="374"/>
      <c r="C24986" s="374"/>
      <c r="CV24986" s="376"/>
    </row>
    <row r="24987" spans="1:100">
      <c r="A24987" s="374"/>
      <c r="C24987" s="374"/>
      <c r="CV24987" s="376"/>
    </row>
    <row r="24988" spans="1:100">
      <c r="A24988" s="374"/>
      <c r="C24988" s="374"/>
      <c r="CV24988" s="376"/>
    </row>
    <row r="24989" spans="1:100">
      <c r="A24989" s="374"/>
      <c r="C24989" s="374"/>
      <c r="CV24989" s="376"/>
    </row>
    <row r="24990" spans="1:100">
      <c r="A24990" s="374"/>
      <c r="C24990" s="374"/>
      <c r="CV24990" s="376"/>
    </row>
    <row r="24991" spans="1:100">
      <c r="A24991" s="374"/>
      <c r="C24991" s="374"/>
      <c r="CV24991" s="376"/>
    </row>
    <row r="24992" spans="1:100">
      <c r="A24992" s="374"/>
      <c r="C24992" s="374"/>
      <c r="CV24992" s="376"/>
    </row>
    <row r="24993" spans="1:100">
      <c r="A24993" s="374"/>
      <c r="C24993" s="374"/>
      <c r="CV24993" s="376"/>
    </row>
    <row r="24994" spans="1:100">
      <c r="A24994" s="374"/>
      <c r="C24994" s="374"/>
      <c r="CV24994" s="376"/>
    </row>
    <row r="24995" spans="1:100">
      <c r="A24995" s="374"/>
      <c r="C24995" s="374"/>
      <c r="CV24995" s="376"/>
    </row>
    <row r="24996" spans="1:100">
      <c r="A24996" s="374"/>
      <c r="C24996" s="374"/>
      <c r="CV24996" s="376"/>
    </row>
    <row r="24997" spans="1:100">
      <c r="A24997" s="374"/>
      <c r="C24997" s="374"/>
      <c r="CV24997" s="376"/>
    </row>
    <row r="24998" spans="1:100">
      <c r="A24998" s="374"/>
      <c r="C24998" s="374"/>
      <c r="CV24998" s="376"/>
    </row>
    <row r="24999" spans="1:100">
      <c r="A24999" s="374"/>
      <c r="C24999" s="374"/>
      <c r="CV24999" s="376"/>
    </row>
    <row r="25000" spans="1:100">
      <c r="A25000" s="374"/>
      <c r="C25000" s="374"/>
      <c r="CV25000" s="376"/>
    </row>
    <row r="25001" spans="1:100">
      <c r="A25001" s="374"/>
      <c r="C25001" s="374"/>
      <c r="CV25001" s="376"/>
    </row>
    <row r="25002" spans="1:100">
      <c r="A25002" s="374"/>
      <c r="C25002" s="374"/>
      <c r="CV25002" s="376"/>
    </row>
    <row r="25003" spans="1:100">
      <c r="A25003" s="374"/>
      <c r="C25003" s="374"/>
      <c r="CV25003" s="376"/>
    </row>
    <row r="25004" spans="1:100">
      <c r="A25004" s="374"/>
      <c r="C25004" s="374"/>
      <c r="CV25004" s="376"/>
    </row>
    <row r="25005" spans="1:100">
      <c r="A25005" s="374"/>
      <c r="C25005" s="374"/>
      <c r="CV25005" s="376"/>
    </row>
    <row r="25006" spans="1:100">
      <c r="A25006" s="374"/>
      <c r="C25006" s="374"/>
      <c r="CV25006" s="376"/>
    </row>
    <row r="25007" spans="1:100">
      <c r="A25007" s="374"/>
      <c r="C25007" s="374"/>
      <c r="CV25007" s="376"/>
    </row>
    <row r="25008" spans="1:100">
      <c r="A25008" s="374"/>
      <c r="C25008" s="374"/>
      <c r="CV25008" s="376"/>
    </row>
    <row r="25009" spans="1:100">
      <c r="A25009" s="374"/>
      <c r="C25009" s="374"/>
      <c r="CV25009" s="376"/>
    </row>
    <row r="25010" spans="1:100">
      <c r="A25010" s="374"/>
      <c r="C25010" s="374"/>
      <c r="CV25010" s="376"/>
    </row>
    <row r="25011" spans="1:100">
      <c r="A25011" s="374"/>
      <c r="C25011" s="374"/>
      <c r="CV25011" s="376"/>
    </row>
    <row r="25012" spans="1:100">
      <c r="A25012" s="374"/>
      <c r="C25012" s="374"/>
      <c r="CV25012" s="376"/>
    </row>
    <row r="25013" spans="1:100">
      <c r="A25013" s="374"/>
      <c r="C25013" s="374"/>
      <c r="CV25013" s="376"/>
    </row>
    <row r="25014" spans="1:100">
      <c r="A25014" s="374"/>
      <c r="C25014" s="374"/>
      <c r="CV25014" s="376"/>
    </row>
    <row r="25015" spans="1:100">
      <c r="A25015" s="374"/>
      <c r="C25015" s="374"/>
      <c r="CV25015" s="376"/>
    </row>
    <row r="25016" spans="1:100">
      <c r="A25016" s="374"/>
      <c r="C25016" s="374"/>
      <c r="CV25016" s="376"/>
    </row>
    <row r="25017" spans="1:100">
      <c r="A25017" s="374"/>
      <c r="C25017" s="374"/>
      <c r="CV25017" s="376"/>
    </row>
    <row r="25018" spans="1:100">
      <c r="A25018" s="374"/>
      <c r="C25018" s="374"/>
      <c r="CV25018" s="376"/>
    </row>
    <row r="25019" spans="1:100">
      <c r="A25019" s="374"/>
      <c r="C25019" s="374"/>
      <c r="CV25019" s="376"/>
    </row>
    <row r="25020" spans="1:100">
      <c r="A25020" s="374"/>
      <c r="C25020" s="374"/>
      <c r="CV25020" s="376"/>
    </row>
    <row r="25021" spans="1:100">
      <c r="A25021" s="374"/>
      <c r="C25021" s="374"/>
      <c r="CV25021" s="376"/>
    </row>
    <row r="25022" spans="1:100">
      <c r="A25022" s="374"/>
      <c r="C25022" s="374"/>
      <c r="CV25022" s="376"/>
    </row>
    <row r="25023" spans="1:100">
      <c r="A25023" s="374"/>
      <c r="C25023" s="374"/>
      <c r="CV25023" s="376"/>
    </row>
    <row r="25024" spans="1:100">
      <c r="A25024" s="374"/>
      <c r="C25024" s="374"/>
      <c r="CV25024" s="376"/>
    </row>
    <row r="25025" spans="1:100">
      <c r="A25025" s="374"/>
      <c r="C25025" s="374"/>
      <c r="CV25025" s="376"/>
    </row>
    <row r="25026" spans="1:100">
      <c r="A25026" s="374"/>
      <c r="C25026" s="374"/>
      <c r="CV25026" s="376"/>
    </row>
    <row r="25027" spans="1:100">
      <c r="A25027" s="374"/>
      <c r="C25027" s="374"/>
      <c r="CV25027" s="376"/>
    </row>
    <row r="25028" spans="1:100">
      <c r="A25028" s="374"/>
      <c r="C25028" s="374"/>
      <c r="CV25028" s="376"/>
    </row>
    <row r="25029" spans="1:100">
      <c r="A25029" s="374"/>
      <c r="C25029" s="374"/>
      <c r="CV25029" s="376"/>
    </row>
    <row r="25030" spans="1:100">
      <c r="A25030" s="374"/>
      <c r="C25030" s="374"/>
      <c r="CV25030" s="376"/>
    </row>
    <row r="25031" spans="1:100">
      <c r="A25031" s="374"/>
      <c r="C25031" s="374"/>
      <c r="CV25031" s="376"/>
    </row>
    <row r="25032" spans="1:100">
      <c r="A25032" s="374"/>
      <c r="C25032" s="374"/>
      <c r="CV25032" s="376"/>
    </row>
    <row r="25033" spans="1:100">
      <c r="A25033" s="374"/>
      <c r="C25033" s="374"/>
      <c r="CV25033" s="376"/>
    </row>
    <row r="25034" spans="1:100">
      <c r="A25034" s="374"/>
      <c r="C25034" s="374"/>
      <c r="CV25034" s="376"/>
    </row>
    <row r="25035" spans="1:100">
      <c r="A25035" s="374"/>
      <c r="C25035" s="374"/>
      <c r="CV25035" s="376"/>
    </row>
    <row r="25036" spans="1:100">
      <c r="A25036" s="374"/>
      <c r="C25036" s="374"/>
      <c r="CV25036" s="376"/>
    </row>
    <row r="25037" spans="1:100">
      <c r="A25037" s="374"/>
      <c r="C25037" s="374"/>
      <c r="CV25037" s="376"/>
    </row>
    <row r="25038" spans="1:100">
      <c r="A25038" s="374"/>
      <c r="C25038" s="374"/>
      <c r="CV25038" s="376"/>
    </row>
    <row r="25039" spans="1:100">
      <c r="A25039" s="374"/>
      <c r="C25039" s="374"/>
      <c r="CV25039" s="376"/>
    </row>
    <row r="25040" spans="1:100">
      <c r="A25040" s="374"/>
      <c r="C25040" s="374"/>
      <c r="CV25040" s="376"/>
    </row>
    <row r="25041" spans="1:100">
      <c r="A25041" s="374"/>
      <c r="C25041" s="374"/>
      <c r="CV25041" s="376"/>
    </row>
    <row r="25042" spans="1:100">
      <c r="A25042" s="374"/>
      <c r="C25042" s="374"/>
      <c r="CV25042" s="376"/>
    </row>
    <row r="25043" spans="1:100">
      <c r="A25043" s="374"/>
      <c r="C25043" s="374"/>
      <c r="CV25043" s="376"/>
    </row>
    <row r="25044" spans="1:100">
      <c r="A25044" s="374"/>
      <c r="C25044" s="374"/>
      <c r="CV25044" s="376"/>
    </row>
    <row r="25045" spans="1:100">
      <c r="A25045" s="374"/>
      <c r="C25045" s="374"/>
      <c r="CV25045" s="376"/>
    </row>
    <row r="25046" spans="1:100">
      <c r="A25046" s="374"/>
      <c r="C25046" s="374"/>
      <c r="CV25046" s="376"/>
    </row>
    <row r="25047" spans="1:100">
      <c r="A25047" s="374"/>
      <c r="C25047" s="374"/>
      <c r="CV25047" s="376"/>
    </row>
    <row r="25048" spans="1:100">
      <c r="A25048" s="374"/>
      <c r="C25048" s="374"/>
      <c r="CV25048" s="376"/>
    </row>
    <row r="25049" spans="1:100">
      <c r="A25049" s="374"/>
      <c r="C25049" s="374"/>
      <c r="CV25049" s="376"/>
    </row>
    <row r="25050" spans="1:100">
      <c r="A25050" s="374"/>
      <c r="C25050" s="374"/>
      <c r="CV25050" s="376"/>
    </row>
    <row r="25051" spans="1:100">
      <c r="A25051" s="374"/>
      <c r="C25051" s="374"/>
      <c r="CV25051" s="376"/>
    </row>
    <row r="25052" spans="1:100">
      <c r="A25052" s="374"/>
      <c r="C25052" s="374"/>
      <c r="CV25052" s="376"/>
    </row>
    <row r="25053" spans="1:100">
      <c r="A25053" s="374"/>
      <c r="C25053" s="374"/>
      <c r="CV25053" s="376"/>
    </row>
    <row r="25054" spans="1:100">
      <c r="A25054" s="374"/>
      <c r="C25054" s="374"/>
      <c r="CV25054" s="376"/>
    </row>
    <row r="25055" spans="1:100">
      <c r="A25055" s="374"/>
      <c r="C25055" s="374"/>
      <c r="CV25055" s="376"/>
    </row>
    <row r="25056" spans="1:100">
      <c r="A25056" s="374"/>
      <c r="C25056" s="374"/>
      <c r="CV25056" s="376"/>
    </row>
    <row r="25057" spans="1:100">
      <c r="A25057" s="374"/>
      <c r="C25057" s="374"/>
      <c r="CV25057" s="376"/>
    </row>
    <row r="25058" spans="1:100">
      <c r="A25058" s="374"/>
      <c r="C25058" s="374"/>
      <c r="CV25058" s="376"/>
    </row>
    <row r="25059" spans="1:100">
      <c r="A25059" s="374"/>
      <c r="C25059" s="374"/>
      <c r="CV25059" s="376"/>
    </row>
    <row r="25060" spans="1:100">
      <c r="A25060" s="374"/>
      <c r="C25060" s="374"/>
      <c r="CV25060" s="376"/>
    </row>
    <row r="25061" spans="1:100">
      <c r="A25061" s="374"/>
      <c r="C25061" s="374"/>
      <c r="CV25061" s="376"/>
    </row>
    <row r="25062" spans="1:100">
      <c r="A25062" s="374"/>
      <c r="C25062" s="374"/>
      <c r="CV25062" s="376"/>
    </row>
    <row r="25063" spans="1:100">
      <c r="A25063" s="374"/>
      <c r="C25063" s="374"/>
      <c r="CV25063" s="376"/>
    </row>
    <row r="25064" spans="1:100">
      <c r="A25064" s="374"/>
      <c r="C25064" s="374"/>
      <c r="CV25064" s="376"/>
    </row>
    <row r="25065" spans="1:100">
      <c r="A25065" s="374"/>
      <c r="C25065" s="374"/>
      <c r="CV25065" s="376"/>
    </row>
    <row r="25066" spans="1:100">
      <c r="A25066" s="374"/>
      <c r="C25066" s="374"/>
      <c r="CV25066" s="376"/>
    </row>
    <row r="25067" spans="1:100">
      <c r="A25067" s="374"/>
      <c r="C25067" s="374"/>
      <c r="CV25067" s="376"/>
    </row>
    <row r="25068" spans="1:100">
      <c r="A25068" s="374"/>
      <c r="C25068" s="374"/>
      <c r="CV25068" s="376"/>
    </row>
    <row r="25069" spans="1:100">
      <c r="A25069" s="374"/>
      <c r="C25069" s="374"/>
      <c r="CV25069" s="376"/>
    </row>
    <row r="25070" spans="1:100">
      <c r="A25070" s="374"/>
      <c r="C25070" s="374"/>
      <c r="CV25070" s="376"/>
    </row>
    <row r="25071" spans="1:100">
      <c r="A25071" s="374"/>
      <c r="C25071" s="374"/>
      <c r="CV25071" s="376"/>
    </row>
    <row r="25072" spans="1:100">
      <c r="A25072" s="374"/>
      <c r="C25072" s="374"/>
      <c r="CV25072" s="376"/>
    </row>
    <row r="25073" spans="1:100">
      <c r="A25073" s="374"/>
      <c r="C25073" s="374"/>
      <c r="CV25073" s="376"/>
    </row>
    <row r="25074" spans="1:100">
      <c r="A25074" s="374"/>
      <c r="C25074" s="374"/>
      <c r="CV25074" s="376"/>
    </row>
    <row r="25075" spans="1:100">
      <c r="A25075" s="374"/>
      <c r="C25075" s="374"/>
      <c r="CV25075" s="376"/>
    </row>
    <row r="25076" spans="1:100">
      <c r="A25076" s="374"/>
      <c r="C25076" s="374"/>
      <c r="CV25076" s="376"/>
    </row>
    <row r="25077" spans="1:100">
      <c r="A25077" s="374"/>
      <c r="C25077" s="374"/>
      <c r="CV25077" s="376"/>
    </row>
    <row r="25078" spans="1:100">
      <c r="A25078" s="374"/>
      <c r="C25078" s="374"/>
      <c r="CV25078" s="376"/>
    </row>
    <row r="25079" spans="1:100">
      <c r="A25079" s="374"/>
      <c r="C25079" s="374"/>
      <c r="CV25079" s="376"/>
    </row>
    <row r="25080" spans="1:100">
      <c r="A25080" s="374"/>
      <c r="C25080" s="374"/>
      <c r="CV25080" s="376"/>
    </row>
    <row r="25081" spans="1:100">
      <c r="A25081" s="374"/>
      <c r="C25081" s="374"/>
      <c r="CV25081" s="376"/>
    </row>
    <row r="25082" spans="1:100">
      <c r="A25082" s="374"/>
      <c r="C25082" s="374"/>
      <c r="CV25082" s="376"/>
    </row>
    <row r="25083" spans="1:100">
      <c r="A25083" s="374"/>
      <c r="C25083" s="374"/>
      <c r="CV25083" s="376"/>
    </row>
    <row r="25084" spans="1:100">
      <c r="A25084" s="374"/>
      <c r="C25084" s="374"/>
      <c r="CV25084" s="376"/>
    </row>
    <row r="25085" spans="1:100">
      <c r="A25085" s="374"/>
      <c r="C25085" s="374"/>
      <c r="CV25085" s="376"/>
    </row>
    <row r="25086" spans="1:100">
      <c r="A25086" s="374"/>
      <c r="C25086" s="374"/>
      <c r="CV25086" s="376"/>
    </row>
    <row r="25087" spans="1:100">
      <c r="A25087" s="374"/>
      <c r="C25087" s="374"/>
      <c r="CV25087" s="376"/>
    </row>
    <row r="25088" spans="1:100">
      <c r="A25088" s="374"/>
      <c r="C25088" s="374"/>
      <c r="CV25088" s="376"/>
    </row>
    <row r="25089" spans="1:100">
      <c r="A25089" s="374"/>
      <c r="C25089" s="374"/>
      <c r="CV25089" s="376"/>
    </row>
    <row r="25090" spans="1:100">
      <c r="A25090" s="374"/>
      <c r="C25090" s="374"/>
      <c r="CV25090" s="376"/>
    </row>
    <row r="25091" spans="1:100">
      <c r="A25091" s="374"/>
      <c r="C25091" s="374"/>
      <c r="CV25091" s="376"/>
    </row>
    <row r="25092" spans="1:100">
      <c r="A25092" s="374"/>
      <c r="C25092" s="374"/>
      <c r="CV25092" s="376"/>
    </row>
    <row r="25093" spans="1:100">
      <c r="A25093" s="374"/>
      <c r="C25093" s="374"/>
      <c r="CV25093" s="376"/>
    </row>
    <row r="25094" spans="1:100">
      <c r="A25094" s="374"/>
      <c r="C25094" s="374"/>
      <c r="CV25094" s="376"/>
    </row>
    <row r="25095" spans="1:100">
      <c r="A25095" s="374"/>
      <c r="C25095" s="374"/>
      <c r="CV25095" s="376"/>
    </row>
    <row r="25096" spans="1:100">
      <c r="A25096" s="374"/>
      <c r="C25096" s="374"/>
      <c r="CV25096" s="376"/>
    </row>
    <row r="25097" spans="1:100">
      <c r="A25097" s="374"/>
      <c r="C25097" s="374"/>
      <c r="CV25097" s="376"/>
    </row>
    <row r="25098" spans="1:100">
      <c r="A25098" s="374"/>
      <c r="C25098" s="374"/>
      <c r="CV25098" s="376"/>
    </row>
    <row r="25099" spans="1:100">
      <c r="A25099" s="374"/>
      <c r="C25099" s="374"/>
      <c r="CV25099" s="376"/>
    </row>
    <row r="25100" spans="1:100">
      <c r="A25100" s="374"/>
      <c r="C25100" s="374"/>
      <c r="CV25100" s="376"/>
    </row>
    <row r="25101" spans="1:100">
      <c r="A25101" s="374"/>
      <c r="C25101" s="374"/>
      <c r="CV25101" s="376"/>
    </row>
    <row r="25102" spans="1:100">
      <c r="A25102" s="374"/>
      <c r="C25102" s="374"/>
      <c r="CV25102" s="376"/>
    </row>
    <row r="25103" spans="1:100">
      <c r="A25103" s="374"/>
      <c r="C25103" s="374"/>
      <c r="CV25103" s="376"/>
    </row>
    <row r="25104" spans="1:100">
      <c r="A25104" s="374"/>
      <c r="C25104" s="374"/>
      <c r="CV25104" s="376"/>
    </row>
    <row r="25105" spans="1:100">
      <c r="A25105" s="374"/>
      <c r="C25105" s="374"/>
      <c r="CV25105" s="376"/>
    </row>
    <row r="25106" spans="1:100">
      <c r="A25106" s="374"/>
      <c r="C25106" s="374"/>
      <c r="CV25106" s="376"/>
    </row>
    <row r="25107" spans="1:100">
      <c r="A25107" s="374"/>
      <c r="C25107" s="374"/>
      <c r="CV25107" s="376"/>
    </row>
    <row r="25108" spans="1:100">
      <c r="A25108" s="374"/>
      <c r="C25108" s="374"/>
      <c r="CV25108" s="376"/>
    </row>
    <row r="25109" spans="1:100">
      <c r="A25109" s="374"/>
      <c r="C25109" s="374"/>
      <c r="CV25109" s="376"/>
    </row>
    <row r="25110" spans="1:100">
      <c r="A25110" s="374"/>
      <c r="C25110" s="374"/>
      <c r="CV25110" s="376"/>
    </row>
    <row r="25111" spans="1:100">
      <c r="A25111" s="374"/>
      <c r="C25111" s="374"/>
      <c r="CV25111" s="376"/>
    </row>
    <row r="25112" spans="1:100">
      <c r="A25112" s="374"/>
      <c r="C25112" s="374"/>
      <c r="CV25112" s="376"/>
    </row>
    <row r="25113" spans="1:100">
      <c r="A25113" s="374"/>
      <c r="C25113" s="374"/>
      <c r="CV25113" s="376"/>
    </row>
    <row r="25114" spans="1:100">
      <c r="A25114" s="374"/>
      <c r="C25114" s="374"/>
      <c r="CV25114" s="376"/>
    </row>
    <row r="25115" spans="1:100">
      <c r="A25115" s="374"/>
      <c r="C25115" s="374"/>
      <c r="CV25115" s="376"/>
    </row>
    <row r="25116" spans="1:100">
      <c r="A25116" s="374"/>
      <c r="C25116" s="374"/>
      <c r="CV25116" s="376"/>
    </row>
    <row r="25117" spans="1:100">
      <c r="A25117" s="374"/>
      <c r="C25117" s="374"/>
      <c r="CV25117" s="376"/>
    </row>
    <row r="25118" spans="1:100">
      <c r="A25118" s="374"/>
      <c r="C25118" s="374"/>
      <c r="CV25118" s="376"/>
    </row>
    <row r="25119" spans="1:100">
      <c r="A25119" s="374"/>
      <c r="C25119" s="374"/>
      <c r="CV25119" s="376"/>
    </row>
    <row r="25120" spans="1:100">
      <c r="A25120" s="374"/>
      <c r="C25120" s="374"/>
      <c r="CV25120" s="376"/>
    </row>
    <row r="25121" spans="1:100">
      <c r="A25121" s="374"/>
      <c r="C25121" s="374"/>
      <c r="CV25121" s="376"/>
    </row>
    <row r="25122" spans="1:100">
      <c r="A25122" s="374"/>
      <c r="C25122" s="374"/>
      <c r="CV25122" s="376"/>
    </row>
    <row r="25123" spans="1:100">
      <c r="A25123" s="374"/>
      <c r="C25123" s="374"/>
      <c r="CV25123" s="376"/>
    </row>
    <row r="25124" spans="1:100">
      <c r="A25124" s="374"/>
      <c r="C25124" s="374"/>
      <c r="CV25124" s="376"/>
    </row>
    <row r="25125" spans="1:100">
      <c r="A25125" s="374"/>
      <c r="C25125" s="374"/>
      <c r="CV25125" s="376"/>
    </row>
    <row r="25126" spans="1:100">
      <c r="A25126" s="374"/>
      <c r="C25126" s="374"/>
      <c r="CV25126" s="376"/>
    </row>
    <row r="25127" spans="1:100">
      <c r="A25127" s="374"/>
      <c r="C25127" s="374"/>
      <c r="CV25127" s="376"/>
    </row>
    <row r="25128" spans="1:100">
      <c r="A25128" s="374"/>
      <c r="C25128" s="374"/>
      <c r="CV25128" s="376"/>
    </row>
    <row r="25129" spans="1:100">
      <c r="A25129" s="374"/>
      <c r="C25129" s="374"/>
      <c r="CV25129" s="376"/>
    </row>
    <row r="25130" spans="1:100">
      <c r="A25130" s="374"/>
      <c r="C25130" s="374"/>
      <c r="CV25130" s="376"/>
    </row>
    <row r="25131" spans="1:100">
      <c r="A25131" s="374"/>
      <c r="C25131" s="374"/>
      <c r="CV25131" s="376"/>
    </row>
    <row r="25132" spans="1:100">
      <c r="A25132" s="374"/>
      <c r="C25132" s="374"/>
      <c r="CV25132" s="376"/>
    </row>
    <row r="25133" spans="1:100">
      <c r="A25133" s="374"/>
      <c r="C25133" s="374"/>
      <c r="CV25133" s="376"/>
    </row>
    <row r="25134" spans="1:100">
      <c r="A25134" s="374"/>
      <c r="C25134" s="374"/>
      <c r="CV25134" s="376"/>
    </row>
    <row r="25135" spans="1:100">
      <c r="A25135" s="374"/>
      <c r="C25135" s="374"/>
      <c r="CV25135" s="376"/>
    </row>
    <row r="25136" spans="1:100">
      <c r="A25136" s="374"/>
      <c r="C25136" s="374"/>
      <c r="CV25136" s="376"/>
    </row>
    <row r="25137" spans="1:100">
      <c r="A25137" s="374"/>
      <c r="C25137" s="374"/>
      <c r="CV25137" s="376"/>
    </row>
    <row r="25138" spans="1:100">
      <c r="A25138" s="374"/>
      <c r="C25138" s="374"/>
      <c r="CV25138" s="376"/>
    </row>
    <row r="25139" spans="1:100">
      <c r="A25139" s="374"/>
      <c r="C25139" s="374"/>
      <c r="CV25139" s="376"/>
    </row>
    <row r="25140" spans="1:100">
      <c r="A25140" s="374"/>
      <c r="C25140" s="374"/>
      <c r="CV25140" s="376"/>
    </row>
    <row r="25141" spans="1:100">
      <c r="A25141" s="374"/>
      <c r="C25141" s="374"/>
      <c r="CV25141" s="376"/>
    </row>
    <row r="25142" spans="1:100">
      <c r="A25142" s="374"/>
      <c r="C25142" s="374"/>
      <c r="CV25142" s="376"/>
    </row>
    <row r="25143" spans="1:100">
      <c r="A25143" s="374"/>
      <c r="C25143" s="374"/>
      <c r="CV25143" s="376"/>
    </row>
    <row r="25144" spans="1:100">
      <c r="A25144" s="374"/>
      <c r="C25144" s="374"/>
      <c r="CV25144" s="376"/>
    </row>
    <row r="25145" spans="1:100">
      <c r="A25145" s="374"/>
      <c r="C25145" s="374"/>
      <c r="CV25145" s="376"/>
    </row>
    <row r="25146" spans="1:100">
      <c r="A25146" s="374"/>
      <c r="C25146" s="374"/>
      <c r="CV25146" s="376"/>
    </row>
    <row r="25147" spans="1:100">
      <c r="A25147" s="374"/>
      <c r="C25147" s="374"/>
      <c r="CV25147" s="376"/>
    </row>
    <row r="25148" spans="1:100">
      <c r="A25148" s="374"/>
      <c r="C25148" s="374"/>
      <c r="CV25148" s="376"/>
    </row>
    <row r="25149" spans="1:100">
      <c r="A25149" s="374"/>
      <c r="C25149" s="374"/>
      <c r="CV25149" s="376"/>
    </row>
    <row r="25150" spans="1:100">
      <c r="A25150" s="374"/>
      <c r="C25150" s="374"/>
      <c r="CV25150" s="376"/>
    </row>
    <row r="25151" spans="1:100">
      <c r="A25151" s="374"/>
      <c r="C25151" s="374"/>
      <c r="CV25151" s="376"/>
    </row>
    <row r="25152" spans="1:100">
      <c r="A25152" s="374"/>
      <c r="C25152" s="374"/>
      <c r="CV25152" s="376"/>
    </row>
    <row r="25153" spans="1:100">
      <c r="A25153" s="374"/>
      <c r="C25153" s="374"/>
      <c r="CV25153" s="376"/>
    </row>
    <row r="25154" spans="1:100">
      <c r="A25154" s="374"/>
      <c r="C25154" s="374"/>
      <c r="CV25154" s="376"/>
    </row>
    <row r="25155" spans="1:100">
      <c r="A25155" s="374"/>
      <c r="C25155" s="374"/>
      <c r="CV25155" s="376"/>
    </row>
    <row r="25156" spans="1:100">
      <c r="A25156" s="374"/>
      <c r="C25156" s="374"/>
      <c r="CV25156" s="376"/>
    </row>
    <row r="25157" spans="1:100">
      <c r="A25157" s="374"/>
      <c r="C25157" s="374"/>
      <c r="CV25157" s="376"/>
    </row>
    <row r="25158" spans="1:100">
      <c r="A25158" s="374"/>
      <c r="C25158" s="374"/>
      <c r="CV25158" s="376"/>
    </row>
    <row r="25159" spans="1:100">
      <c r="A25159" s="374"/>
      <c r="C25159" s="374"/>
      <c r="CV25159" s="376"/>
    </row>
    <row r="25160" spans="1:100">
      <c r="A25160" s="374"/>
      <c r="C25160" s="374"/>
      <c r="CV25160" s="376"/>
    </row>
    <row r="25161" spans="1:100">
      <c r="A25161" s="374"/>
      <c r="C25161" s="374"/>
      <c r="CV25161" s="376"/>
    </row>
    <row r="25162" spans="1:100">
      <c r="A25162" s="374"/>
      <c r="C25162" s="374"/>
      <c r="CV25162" s="376"/>
    </row>
    <row r="25163" spans="1:100">
      <c r="A25163" s="374"/>
      <c r="C25163" s="374"/>
      <c r="CV25163" s="376"/>
    </row>
    <row r="25164" spans="1:100">
      <c r="A25164" s="374"/>
      <c r="C25164" s="374"/>
      <c r="CV25164" s="376"/>
    </row>
    <row r="25165" spans="1:100">
      <c r="A25165" s="374"/>
      <c r="C25165" s="374"/>
      <c r="CV25165" s="376"/>
    </row>
    <row r="25166" spans="1:100">
      <c r="A25166" s="374"/>
      <c r="C25166" s="374"/>
      <c r="CV25166" s="376"/>
    </row>
    <row r="25167" spans="1:100">
      <c r="A25167" s="374"/>
      <c r="C25167" s="374"/>
      <c r="CV25167" s="376"/>
    </row>
    <row r="25168" spans="1:100">
      <c r="A25168" s="374"/>
      <c r="C25168" s="374"/>
      <c r="CV25168" s="376"/>
    </row>
    <row r="25169" spans="1:100">
      <c r="A25169" s="374"/>
      <c r="C25169" s="374"/>
      <c r="CV25169" s="376"/>
    </row>
    <row r="25170" spans="1:100">
      <c r="A25170" s="374"/>
      <c r="C25170" s="374"/>
      <c r="CV25170" s="376"/>
    </row>
    <row r="25171" spans="1:100">
      <c r="A25171" s="374"/>
      <c r="C25171" s="374"/>
      <c r="CV25171" s="376"/>
    </row>
    <row r="25172" spans="1:100">
      <c r="A25172" s="374"/>
      <c r="C25172" s="374"/>
      <c r="CV25172" s="376"/>
    </row>
    <row r="25173" spans="1:100">
      <c r="A25173" s="374"/>
      <c r="C25173" s="374"/>
      <c r="CV25173" s="376"/>
    </row>
    <row r="25174" spans="1:100">
      <c r="A25174" s="374"/>
      <c r="C25174" s="374"/>
      <c r="CV25174" s="376"/>
    </row>
    <row r="25175" spans="1:100">
      <c r="A25175" s="374"/>
      <c r="C25175" s="374"/>
      <c r="CV25175" s="376"/>
    </row>
    <row r="25176" spans="1:100">
      <c r="A25176" s="374"/>
      <c r="C25176" s="374"/>
      <c r="CV25176" s="376"/>
    </row>
    <row r="25177" spans="1:100">
      <c r="A25177" s="374"/>
      <c r="C25177" s="374"/>
      <c r="CV25177" s="376"/>
    </row>
    <row r="25178" spans="1:100">
      <c r="A25178" s="374"/>
      <c r="C25178" s="374"/>
      <c r="CV25178" s="376"/>
    </row>
    <row r="25179" spans="1:100">
      <c r="A25179" s="374"/>
      <c r="C25179" s="374"/>
      <c r="CV25179" s="376"/>
    </row>
    <row r="25180" spans="1:100">
      <c r="A25180" s="374"/>
      <c r="C25180" s="374"/>
      <c r="CV25180" s="376"/>
    </row>
    <row r="25181" spans="1:100">
      <c r="A25181" s="374"/>
      <c r="C25181" s="374"/>
      <c r="CV25181" s="376"/>
    </row>
    <row r="25182" spans="1:100">
      <c r="A25182" s="374"/>
      <c r="C25182" s="374"/>
      <c r="CV25182" s="376"/>
    </row>
    <row r="25183" spans="1:100">
      <c r="A25183" s="374"/>
      <c r="C25183" s="374"/>
      <c r="CV25183" s="376"/>
    </row>
    <row r="25184" spans="1:100">
      <c r="A25184" s="374"/>
      <c r="C25184" s="374"/>
      <c r="CV25184" s="376"/>
    </row>
    <row r="25185" spans="1:100">
      <c r="A25185" s="374"/>
      <c r="C25185" s="374"/>
      <c r="CV25185" s="376"/>
    </row>
    <row r="25186" spans="1:100">
      <c r="A25186" s="374"/>
      <c r="C25186" s="374"/>
      <c r="CV25186" s="376"/>
    </row>
    <row r="25187" spans="1:100">
      <c r="A25187" s="374"/>
      <c r="C25187" s="374"/>
      <c r="CV25187" s="376"/>
    </row>
    <row r="25188" spans="1:100">
      <c r="A25188" s="374"/>
      <c r="C25188" s="374"/>
      <c r="CV25188" s="376"/>
    </row>
    <row r="25189" spans="1:100">
      <c r="A25189" s="374"/>
      <c r="C25189" s="374"/>
      <c r="CV25189" s="376"/>
    </row>
    <row r="25190" spans="1:100">
      <c r="A25190" s="374"/>
      <c r="C25190" s="374"/>
      <c r="CV25190" s="376"/>
    </row>
    <row r="25191" spans="1:100">
      <c r="A25191" s="374"/>
      <c r="C25191" s="374"/>
      <c r="CV25191" s="376"/>
    </row>
    <row r="25192" spans="1:100">
      <c r="A25192" s="374"/>
      <c r="C25192" s="374"/>
      <c r="CV25192" s="376"/>
    </row>
    <row r="25193" spans="1:100">
      <c r="A25193" s="374"/>
      <c r="C25193" s="374"/>
      <c r="CV25193" s="376"/>
    </row>
    <row r="25194" spans="1:100">
      <c r="A25194" s="374"/>
      <c r="C25194" s="374"/>
      <c r="CV25194" s="376"/>
    </row>
    <row r="25195" spans="1:100">
      <c r="A25195" s="374"/>
      <c r="C25195" s="374"/>
      <c r="CV25195" s="376"/>
    </row>
    <row r="25196" spans="1:100">
      <c r="A25196" s="374"/>
      <c r="C25196" s="374"/>
      <c r="CV25196" s="376"/>
    </row>
    <row r="25197" spans="1:100">
      <c r="A25197" s="374"/>
      <c r="C25197" s="374"/>
      <c r="CV25197" s="376"/>
    </row>
    <row r="25198" spans="1:100">
      <c r="A25198" s="374"/>
      <c r="C25198" s="374"/>
      <c r="CV25198" s="376"/>
    </row>
    <row r="25199" spans="1:100">
      <c r="A25199" s="374"/>
      <c r="C25199" s="374"/>
      <c r="CV25199" s="376"/>
    </row>
    <row r="25200" spans="1:100">
      <c r="A25200" s="374"/>
      <c r="C25200" s="374"/>
      <c r="CV25200" s="376"/>
    </row>
    <row r="25201" spans="1:100">
      <c r="A25201" s="374"/>
      <c r="C25201" s="374"/>
      <c r="CV25201" s="376"/>
    </row>
    <row r="25202" spans="1:100">
      <c r="A25202" s="374"/>
      <c r="C25202" s="374"/>
      <c r="CV25202" s="376"/>
    </row>
    <row r="25203" spans="1:100">
      <c r="A25203" s="374"/>
      <c r="C25203" s="374"/>
      <c r="CV25203" s="376"/>
    </row>
    <row r="25204" spans="1:100">
      <c r="A25204" s="374"/>
      <c r="C25204" s="374"/>
      <c r="CV25204" s="376"/>
    </row>
    <row r="25205" spans="1:100">
      <c r="A25205" s="374"/>
      <c r="C25205" s="374"/>
      <c r="CV25205" s="376"/>
    </row>
    <row r="25206" spans="1:100">
      <c r="A25206" s="374"/>
      <c r="C25206" s="374"/>
      <c r="CV25206" s="376"/>
    </row>
    <row r="25207" spans="1:100">
      <c r="A25207" s="374"/>
      <c r="C25207" s="374"/>
      <c r="CV25207" s="376"/>
    </row>
    <row r="25208" spans="1:100">
      <c r="A25208" s="374"/>
      <c r="C25208" s="374"/>
      <c r="CV25208" s="376"/>
    </row>
    <row r="25209" spans="1:100">
      <c r="A25209" s="374"/>
      <c r="C25209" s="374"/>
      <c r="CV25209" s="376"/>
    </row>
    <row r="25210" spans="1:100">
      <c r="A25210" s="374"/>
      <c r="C25210" s="374"/>
      <c r="CV25210" s="376"/>
    </row>
    <row r="25211" spans="1:100">
      <c r="A25211" s="374"/>
      <c r="C25211" s="374"/>
      <c r="CV25211" s="376"/>
    </row>
    <row r="25212" spans="1:100">
      <c r="A25212" s="374"/>
      <c r="C25212" s="374"/>
      <c r="CV25212" s="376"/>
    </row>
    <row r="25213" spans="1:100">
      <c r="A25213" s="374"/>
      <c r="C25213" s="374"/>
      <c r="CV25213" s="376"/>
    </row>
    <row r="25214" spans="1:100">
      <c r="A25214" s="374"/>
      <c r="C25214" s="374"/>
      <c r="CV25214" s="376"/>
    </row>
    <row r="25215" spans="1:100">
      <c r="A25215" s="374"/>
      <c r="C25215" s="374"/>
      <c r="CV25215" s="376"/>
    </row>
    <row r="25216" spans="1:100">
      <c r="A25216" s="374"/>
      <c r="C25216" s="374"/>
      <c r="CV25216" s="376"/>
    </row>
    <row r="25217" spans="1:100">
      <c r="A25217" s="374"/>
      <c r="C25217" s="374"/>
      <c r="CV25217" s="376"/>
    </row>
    <row r="25218" spans="1:100">
      <c r="A25218" s="374"/>
      <c r="C25218" s="374"/>
      <c r="CV25218" s="376"/>
    </row>
    <row r="25219" spans="1:100">
      <c r="A25219" s="374"/>
      <c r="C25219" s="374"/>
      <c r="CV25219" s="376"/>
    </row>
    <row r="25220" spans="1:100">
      <c r="A25220" s="374"/>
      <c r="C25220" s="374"/>
      <c r="CV25220" s="376"/>
    </row>
    <row r="25221" spans="1:100">
      <c r="A25221" s="374"/>
      <c r="C25221" s="374"/>
      <c r="CV25221" s="376"/>
    </row>
    <row r="25222" spans="1:100">
      <c r="A25222" s="374"/>
      <c r="C25222" s="374"/>
      <c r="CV25222" s="376"/>
    </row>
    <row r="25223" spans="1:100">
      <c r="A25223" s="374"/>
      <c r="C25223" s="374"/>
      <c r="CV25223" s="376"/>
    </row>
    <row r="25224" spans="1:100">
      <c r="A25224" s="374"/>
      <c r="C25224" s="374"/>
      <c r="CV25224" s="376"/>
    </row>
    <row r="25225" spans="1:100">
      <c r="A25225" s="374"/>
      <c r="C25225" s="374"/>
      <c r="CV25225" s="376"/>
    </row>
    <row r="25226" spans="1:100">
      <c r="A25226" s="374"/>
      <c r="C25226" s="374"/>
      <c r="CV25226" s="376"/>
    </row>
    <row r="25227" spans="1:100">
      <c r="A25227" s="374"/>
      <c r="C25227" s="374"/>
      <c r="CV25227" s="376"/>
    </row>
    <row r="25228" spans="1:100">
      <c r="A25228" s="374"/>
      <c r="C25228" s="374"/>
      <c r="CV25228" s="376"/>
    </row>
    <row r="25229" spans="1:100">
      <c r="A25229" s="374"/>
      <c r="C25229" s="374"/>
      <c r="CV25229" s="376"/>
    </row>
    <row r="25230" spans="1:100">
      <c r="A25230" s="374"/>
      <c r="C25230" s="374"/>
      <c r="CV25230" s="376"/>
    </row>
    <row r="25231" spans="1:100">
      <c r="A25231" s="374"/>
      <c r="C25231" s="374"/>
      <c r="CV25231" s="376"/>
    </row>
    <row r="25232" spans="1:100">
      <c r="A25232" s="374"/>
      <c r="C25232" s="374"/>
      <c r="CV25232" s="376"/>
    </row>
    <row r="25233" spans="1:100">
      <c r="A25233" s="374"/>
      <c r="C25233" s="374"/>
      <c r="CV25233" s="376"/>
    </row>
    <row r="25234" spans="1:100">
      <c r="A25234" s="374"/>
      <c r="C25234" s="374"/>
      <c r="CV25234" s="376"/>
    </row>
    <row r="25235" spans="1:100">
      <c r="A25235" s="374"/>
      <c r="C25235" s="374"/>
      <c r="CV25235" s="376"/>
    </row>
    <row r="25236" spans="1:100">
      <c r="A25236" s="374"/>
      <c r="C25236" s="374"/>
      <c r="CV25236" s="376"/>
    </row>
    <row r="25237" spans="1:100">
      <c r="A25237" s="374"/>
      <c r="C25237" s="374"/>
      <c r="CV25237" s="376"/>
    </row>
    <row r="25238" spans="1:100">
      <c r="A25238" s="374"/>
      <c r="C25238" s="374"/>
      <c r="CV25238" s="376"/>
    </row>
    <row r="25239" spans="1:100">
      <c r="A25239" s="374"/>
      <c r="C25239" s="374"/>
      <c r="CV25239" s="376"/>
    </row>
    <row r="25240" spans="1:100">
      <c r="A25240" s="374"/>
      <c r="C25240" s="374"/>
      <c r="CV25240" s="376"/>
    </row>
    <row r="25241" spans="1:100">
      <c r="A25241" s="374"/>
      <c r="C25241" s="374"/>
      <c r="CV25241" s="376"/>
    </row>
    <row r="25242" spans="1:100">
      <c r="A25242" s="374"/>
      <c r="C25242" s="374"/>
      <c r="CV25242" s="376"/>
    </row>
    <row r="25243" spans="1:100">
      <c r="A25243" s="374"/>
      <c r="C25243" s="374"/>
      <c r="CV25243" s="376"/>
    </row>
    <row r="25244" spans="1:100">
      <c r="A25244" s="374"/>
      <c r="C25244" s="374"/>
      <c r="CV25244" s="376"/>
    </row>
    <row r="25245" spans="1:100">
      <c r="A25245" s="374"/>
      <c r="C25245" s="374"/>
      <c r="CV25245" s="376"/>
    </row>
    <row r="25246" spans="1:100">
      <c r="A25246" s="374"/>
      <c r="C25246" s="374"/>
      <c r="CV25246" s="376"/>
    </row>
    <row r="25247" spans="1:100">
      <c r="A25247" s="374"/>
      <c r="C25247" s="374"/>
      <c r="CV25247" s="376"/>
    </row>
    <row r="25248" spans="1:100">
      <c r="A25248" s="374"/>
      <c r="C25248" s="374"/>
      <c r="CV25248" s="376"/>
    </row>
    <row r="25249" spans="1:100">
      <c r="A25249" s="374"/>
      <c r="C25249" s="374"/>
      <c r="CV25249" s="376"/>
    </row>
    <row r="25250" spans="1:100">
      <c r="A25250" s="374"/>
      <c r="C25250" s="374"/>
      <c r="CV25250" s="376"/>
    </row>
    <row r="25251" spans="1:100">
      <c r="A25251" s="374"/>
      <c r="C25251" s="374"/>
      <c r="CV25251" s="376"/>
    </row>
    <row r="25252" spans="1:100">
      <c r="A25252" s="374"/>
      <c r="C25252" s="374"/>
      <c r="CV25252" s="376"/>
    </row>
    <row r="25253" spans="1:100">
      <c r="A25253" s="374"/>
      <c r="C25253" s="374"/>
      <c r="CV25253" s="376"/>
    </row>
    <row r="25254" spans="1:100">
      <c r="A25254" s="374"/>
      <c r="C25254" s="374"/>
      <c r="CV25254" s="376"/>
    </row>
    <row r="25255" spans="1:100">
      <c r="A25255" s="374"/>
      <c r="C25255" s="374"/>
      <c r="CV25255" s="376"/>
    </row>
    <row r="25256" spans="1:100">
      <c r="A25256" s="374"/>
      <c r="C25256" s="374"/>
      <c r="CV25256" s="376"/>
    </row>
    <row r="25257" spans="1:100">
      <c r="A25257" s="374"/>
      <c r="C25257" s="374"/>
      <c r="CV25257" s="376"/>
    </row>
    <row r="25258" spans="1:100">
      <c r="A25258" s="374"/>
      <c r="C25258" s="374"/>
      <c r="CV25258" s="376"/>
    </row>
    <row r="25259" spans="1:100">
      <c r="A25259" s="374"/>
      <c r="C25259" s="374"/>
      <c r="CV25259" s="376"/>
    </row>
    <row r="25260" spans="1:100">
      <c r="A25260" s="374"/>
      <c r="C25260" s="374"/>
      <c r="CV25260" s="376"/>
    </row>
    <row r="25261" spans="1:100">
      <c r="A25261" s="374"/>
      <c r="C25261" s="374"/>
      <c r="CV25261" s="376"/>
    </row>
    <row r="25262" spans="1:100">
      <c r="A25262" s="374"/>
      <c r="C25262" s="374"/>
      <c r="CV25262" s="376"/>
    </row>
    <row r="25263" spans="1:100">
      <c r="A25263" s="374"/>
      <c r="C25263" s="374"/>
      <c r="CV25263" s="376"/>
    </row>
    <row r="25264" spans="1:100">
      <c r="A25264" s="374"/>
      <c r="C25264" s="374"/>
      <c r="CV25264" s="376"/>
    </row>
    <row r="25265" spans="1:100">
      <c r="A25265" s="374"/>
      <c r="C25265" s="374"/>
      <c r="CV25265" s="376"/>
    </row>
    <row r="25266" spans="1:100">
      <c r="A25266" s="374"/>
      <c r="C25266" s="374"/>
      <c r="CV25266" s="376"/>
    </row>
    <row r="25267" spans="1:100">
      <c r="A25267" s="374"/>
      <c r="C25267" s="374"/>
      <c r="CV25267" s="376"/>
    </row>
    <row r="25268" spans="1:100">
      <c r="A25268" s="374"/>
      <c r="C25268" s="374"/>
      <c r="CV25268" s="376"/>
    </row>
    <row r="25269" spans="1:100">
      <c r="A25269" s="374"/>
      <c r="C25269" s="374"/>
      <c r="CV25269" s="376"/>
    </row>
    <row r="25270" spans="1:100">
      <c r="A25270" s="374"/>
      <c r="C25270" s="374"/>
      <c r="CV25270" s="376"/>
    </row>
    <row r="25271" spans="1:100">
      <c r="A25271" s="374"/>
      <c r="C25271" s="374"/>
      <c r="CV25271" s="376"/>
    </row>
    <row r="25272" spans="1:100">
      <c r="A25272" s="374"/>
      <c r="C25272" s="374"/>
      <c r="CV25272" s="376"/>
    </row>
    <row r="25273" spans="1:100">
      <c r="A25273" s="374"/>
      <c r="C25273" s="374"/>
      <c r="CV25273" s="376"/>
    </row>
    <row r="25274" spans="1:100">
      <c r="A25274" s="374"/>
      <c r="C25274" s="374"/>
      <c r="CV25274" s="376"/>
    </row>
    <row r="25275" spans="1:100">
      <c r="A25275" s="374"/>
      <c r="C25275" s="374"/>
      <c r="CV25275" s="376"/>
    </row>
    <row r="25276" spans="1:100">
      <c r="A25276" s="374"/>
      <c r="C25276" s="374"/>
      <c r="CV25276" s="376"/>
    </row>
    <row r="25277" spans="1:100">
      <c r="A25277" s="374"/>
      <c r="C25277" s="374"/>
      <c r="CV25277" s="376"/>
    </row>
    <row r="25278" spans="1:100">
      <c r="A25278" s="374"/>
      <c r="C25278" s="374"/>
      <c r="CV25278" s="376"/>
    </row>
    <row r="25279" spans="1:100">
      <c r="A25279" s="374"/>
      <c r="C25279" s="374"/>
      <c r="CV25279" s="376"/>
    </row>
    <row r="25280" spans="1:100">
      <c r="A25280" s="374"/>
      <c r="C25280" s="374"/>
      <c r="CV25280" s="376"/>
    </row>
    <row r="25281" spans="1:100">
      <c r="A25281" s="374"/>
      <c r="C25281" s="374"/>
      <c r="CV25281" s="376"/>
    </row>
    <row r="25282" spans="1:100">
      <c r="A25282" s="374"/>
      <c r="C25282" s="374"/>
      <c r="CV25282" s="376"/>
    </row>
    <row r="25283" spans="1:100">
      <c r="A25283" s="374"/>
      <c r="C25283" s="374"/>
      <c r="CV25283" s="376"/>
    </row>
    <row r="25284" spans="1:100">
      <c r="A25284" s="374"/>
      <c r="C25284" s="374"/>
      <c r="CV25284" s="376"/>
    </row>
    <row r="25285" spans="1:100">
      <c r="A25285" s="374"/>
      <c r="C25285" s="374"/>
      <c r="CV25285" s="376"/>
    </row>
    <row r="25286" spans="1:100">
      <c r="A25286" s="374"/>
      <c r="C25286" s="374"/>
      <c r="CV25286" s="376"/>
    </row>
    <row r="25287" spans="1:100">
      <c r="A25287" s="374"/>
      <c r="C25287" s="374"/>
      <c r="CV25287" s="376"/>
    </row>
    <row r="25288" spans="1:100">
      <c r="A25288" s="374"/>
      <c r="C25288" s="374"/>
      <c r="CV25288" s="376"/>
    </row>
    <row r="25289" spans="1:100">
      <c r="A25289" s="374"/>
      <c r="C25289" s="374"/>
      <c r="CV25289" s="376"/>
    </row>
    <row r="25290" spans="1:100">
      <c r="A25290" s="374"/>
      <c r="C25290" s="374"/>
      <c r="CV25290" s="376"/>
    </row>
    <row r="25291" spans="1:100">
      <c r="A25291" s="374"/>
      <c r="C25291" s="374"/>
      <c r="CV25291" s="376"/>
    </row>
    <row r="25292" spans="1:100">
      <c r="A25292" s="374"/>
      <c r="C25292" s="374"/>
      <c r="CV25292" s="376"/>
    </row>
    <row r="25293" spans="1:100">
      <c r="A25293" s="374"/>
      <c r="C25293" s="374"/>
      <c r="CV25293" s="376"/>
    </row>
    <row r="25294" spans="1:100">
      <c r="A25294" s="374"/>
      <c r="C25294" s="374"/>
      <c r="CV25294" s="376"/>
    </row>
    <row r="25295" spans="1:100">
      <c r="A25295" s="374"/>
      <c r="C25295" s="374"/>
      <c r="CV25295" s="376"/>
    </row>
    <row r="25296" spans="1:100">
      <c r="A25296" s="374"/>
      <c r="C25296" s="374"/>
      <c r="CV25296" s="376"/>
    </row>
    <row r="25297" spans="1:100">
      <c r="A25297" s="374"/>
      <c r="C25297" s="374"/>
      <c r="CV25297" s="376"/>
    </row>
    <row r="25298" spans="1:100">
      <c r="A25298" s="374"/>
      <c r="C25298" s="374"/>
      <c r="CV25298" s="376"/>
    </row>
    <row r="25299" spans="1:100">
      <c r="A25299" s="374"/>
      <c r="C25299" s="374"/>
      <c r="CV25299" s="376"/>
    </row>
    <row r="25300" spans="1:100">
      <c r="A25300" s="374"/>
      <c r="C25300" s="374"/>
      <c r="CV25300" s="376"/>
    </row>
    <row r="25301" spans="1:100">
      <c r="A25301" s="374"/>
      <c r="C25301" s="374"/>
      <c r="CV25301" s="376"/>
    </row>
    <row r="25302" spans="1:100">
      <c r="A25302" s="374"/>
      <c r="C25302" s="374"/>
      <c r="CV25302" s="376"/>
    </row>
    <row r="25303" spans="1:100">
      <c r="A25303" s="374"/>
      <c r="C25303" s="374"/>
      <c r="CV25303" s="376"/>
    </row>
    <row r="25304" spans="1:100">
      <c r="A25304" s="374"/>
      <c r="C25304" s="374"/>
      <c r="CV25304" s="376"/>
    </row>
    <row r="25305" spans="1:100">
      <c r="A25305" s="374"/>
      <c r="C25305" s="374"/>
      <c r="CV25305" s="376"/>
    </row>
    <row r="25306" spans="1:100">
      <c r="A25306" s="374"/>
      <c r="C25306" s="374"/>
      <c r="CV25306" s="376"/>
    </row>
    <row r="25307" spans="1:100">
      <c r="A25307" s="374"/>
      <c r="C25307" s="374"/>
      <c r="CV25307" s="376"/>
    </row>
    <row r="25308" spans="1:100">
      <c r="A25308" s="374"/>
      <c r="C25308" s="374"/>
      <c r="CV25308" s="376"/>
    </row>
    <row r="25309" spans="1:100">
      <c r="A25309" s="374"/>
      <c r="C25309" s="374"/>
      <c r="CV25309" s="376"/>
    </row>
    <row r="25310" spans="1:100">
      <c r="A25310" s="374"/>
      <c r="C25310" s="374"/>
      <c r="CV25310" s="376"/>
    </row>
    <row r="25311" spans="1:100">
      <c r="A25311" s="374"/>
      <c r="C25311" s="374"/>
      <c r="CV25311" s="376"/>
    </row>
    <row r="25312" spans="1:100">
      <c r="A25312" s="374"/>
      <c r="C25312" s="374"/>
      <c r="CV25312" s="376"/>
    </row>
    <row r="25313" spans="1:100">
      <c r="A25313" s="374"/>
      <c r="C25313" s="374"/>
      <c r="CV25313" s="376"/>
    </row>
    <row r="25314" spans="1:100">
      <c r="A25314" s="374"/>
      <c r="C25314" s="374"/>
      <c r="CV25314" s="376"/>
    </row>
    <row r="25315" spans="1:100">
      <c r="A25315" s="374"/>
      <c r="C25315" s="374"/>
      <c r="CV25315" s="376"/>
    </row>
    <row r="25316" spans="1:100">
      <c r="A25316" s="374"/>
      <c r="C25316" s="374"/>
      <c r="CV25316" s="376"/>
    </row>
    <row r="25317" spans="1:100">
      <c r="A25317" s="374"/>
      <c r="C25317" s="374"/>
      <c r="CV25317" s="376"/>
    </row>
    <row r="25318" spans="1:100">
      <c r="A25318" s="374"/>
      <c r="C25318" s="374"/>
      <c r="CV25318" s="376"/>
    </row>
    <row r="25319" spans="1:100">
      <c r="A25319" s="374"/>
      <c r="C25319" s="374"/>
      <c r="CV25319" s="376"/>
    </row>
    <row r="25320" spans="1:100">
      <c r="A25320" s="374"/>
      <c r="C25320" s="374"/>
      <c r="CV25320" s="376"/>
    </row>
    <row r="25321" spans="1:100">
      <c r="A25321" s="374"/>
      <c r="C25321" s="374"/>
      <c r="CV25321" s="376"/>
    </row>
    <row r="25322" spans="1:100">
      <c r="A25322" s="374"/>
      <c r="C25322" s="374"/>
      <c r="CV25322" s="376"/>
    </row>
    <row r="25323" spans="1:100">
      <c r="A25323" s="374"/>
      <c r="C25323" s="374"/>
      <c r="CV25323" s="376"/>
    </row>
    <row r="25324" spans="1:100">
      <c r="A25324" s="374"/>
      <c r="C25324" s="374"/>
      <c r="CV25324" s="376"/>
    </row>
    <row r="25325" spans="1:100">
      <c r="A25325" s="374"/>
      <c r="C25325" s="374"/>
      <c r="CV25325" s="376"/>
    </row>
    <row r="25326" spans="1:100">
      <c r="A25326" s="374"/>
      <c r="C25326" s="374"/>
      <c r="CV25326" s="376"/>
    </row>
    <row r="25327" spans="1:100">
      <c r="A25327" s="374"/>
      <c r="C25327" s="374"/>
      <c r="CV25327" s="376"/>
    </row>
    <row r="25328" spans="1:100">
      <c r="A25328" s="374"/>
      <c r="C25328" s="374"/>
      <c r="CV25328" s="376"/>
    </row>
    <row r="25329" spans="1:100">
      <c r="A25329" s="374"/>
      <c r="C25329" s="374"/>
      <c r="CV25329" s="376"/>
    </row>
    <row r="25330" spans="1:100">
      <c r="A25330" s="374"/>
      <c r="C25330" s="374"/>
      <c r="CV25330" s="376"/>
    </row>
    <row r="25331" spans="1:100">
      <c r="A25331" s="374"/>
      <c r="C25331" s="374"/>
      <c r="CV25331" s="376"/>
    </row>
    <row r="25332" spans="1:100">
      <c r="A25332" s="374"/>
      <c r="C25332" s="374"/>
      <c r="CV25332" s="376"/>
    </row>
    <row r="25333" spans="1:100">
      <c r="A25333" s="374"/>
      <c r="C25333" s="374"/>
      <c r="CV25333" s="376"/>
    </row>
    <row r="25334" spans="1:100">
      <c r="A25334" s="374"/>
      <c r="C25334" s="374"/>
      <c r="CV25334" s="376"/>
    </row>
    <row r="25335" spans="1:100">
      <c r="A25335" s="374"/>
      <c r="C25335" s="374"/>
      <c r="CV25335" s="376"/>
    </row>
    <row r="25336" spans="1:100">
      <c r="A25336" s="374"/>
      <c r="C25336" s="374"/>
      <c r="CV25336" s="376"/>
    </row>
    <row r="25337" spans="1:100">
      <c r="A25337" s="374"/>
      <c r="C25337" s="374"/>
      <c r="CV25337" s="376"/>
    </row>
    <row r="25338" spans="1:100">
      <c r="A25338" s="374"/>
      <c r="C25338" s="374"/>
      <c r="CV25338" s="376"/>
    </row>
    <row r="25339" spans="1:100">
      <c r="A25339" s="374"/>
      <c r="C25339" s="374"/>
      <c r="CV25339" s="376"/>
    </row>
    <row r="25340" spans="1:100">
      <c r="A25340" s="374"/>
      <c r="C25340" s="374"/>
      <c r="CV25340" s="376"/>
    </row>
    <row r="25341" spans="1:100">
      <c r="A25341" s="374"/>
      <c r="C25341" s="374"/>
      <c r="CV25341" s="376"/>
    </row>
    <row r="25342" spans="1:100">
      <c r="A25342" s="374"/>
      <c r="C25342" s="374"/>
      <c r="CV25342" s="376"/>
    </row>
    <row r="25343" spans="1:100">
      <c r="A25343" s="374"/>
      <c r="C25343" s="374"/>
      <c r="CV25343" s="376"/>
    </row>
    <row r="25344" spans="1:100">
      <c r="A25344" s="374"/>
      <c r="C25344" s="374"/>
      <c r="CV25344" s="376"/>
    </row>
    <row r="25345" spans="1:100">
      <c r="A25345" s="374"/>
      <c r="C25345" s="374"/>
      <c r="CV25345" s="376"/>
    </row>
    <row r="25346" spans="1:100">
      <c r="A25346" s="374"/>
      <c r="C25346" s="374"/>
      <c r="CV25346" s="376"/>
    </row>
    <row r="25347" spans="1:100">
      <c r="A25347" s="374"/>
      <c r="C25347" s="374"/>
      <c r="CV25347" s="376"/>
    </row>
    <row r="25348" spans="1:100">
      <c r="A25348" s="374"/>
      <c r="C25348" s="374"/>
      <c r="CV25348" s="376"/>
    </row>
    <row r="25349" spans="1:100">
      <c r="A25349" s="374"/>
      <c r="C25349" s="374"/>
      <c r="CV25349" s="376"/>
    </row>
    <row r="25350" spans="1:100">
      <c r="A25350" s="374"/>
      <c r="C25350" s="374"/>
      <c r="CV25350" s="376"/>
    </row>
    <row r="25351" spans="1:100">
      <c r="A25351" s="374"/>
      <c r="C25351" s="374"/>
      <c r="CV25351" s="376"/>
    </row>
    <row r="25352" spans="1:100">
      <c r="A25352" s="374"/>
      <c r="C25352" s="374"/>
      <c r="CV25352" s="376"/>
    </row>
    <row r="25353" spans="1:100">
      <c r="A25353" s="374"/>
      <c r="C25353" s="374"/>
      <c r="CV25353" s="376"/>
    </row>
    <row r="25354" spans="1:100">
      <c r="A25354" s="374"/>
      <c r="C25354" s="374"/>
      <c r="CV25354" s="376"/>
    </row>
    <row r="25355" spans="1:100">
      <c r="A25355" s="374"/>
      <c r="C25355" s="374"/>
      <c r="CV25355" s="376"/>
    </row>
    <row r="25356" spans="1:100">
      <c r="A25356" s="374"/>
      <c r="C25356" s="374"/>
      <c r="CV25356" s="376"/>
    </row>
    <row r="25357" spans="1:100">
      <c r="A25357" s="374"/>
      <c r="C25357" s="374"/>
      <c r="CV25357" s="376"/>
    </row>
    <row r="25358" spans="1:100">
      <c r="A25358" s="374"/>
      <c r="C25358" s="374"/>
      <c r="CV25358" s="376"/>
    </row>
    <row r="25359" spans="1:100">
      <c r="A25359" s="374"/>
      <c r="C25359" s="374"/>
      <c r="CV25359" s="376"/>
    </row>
    <row r="25360" spans="1:100">
      <c r="A25360" s="374"/>
      <c r="C25360" s="374"/>
      <c r="CV25360" s="376"/>
    </row>
    <row r="25361" spans="1:100">
      <c r="A25361" s="374"/>
      <c r="C25361" s="374"/>
      <c r="CV25361" s="376"/>
    </row>
    <row r="25362" spans="1:100">
      <c r="A25362" s="374"/>
      <c r="C25362" s="374"/>
      <c r="CV25362" s="376"/>
    </row>
    <row r="25363" spans="1:100">
      <c r="A25363" s="374"/>
      <c r="C25363" s="374"/>
      <c r="CV25363" s="376"/>
    </row>
    <row r="25364" spans="1:100">
      <c r="A25364" s="374"/>
      <c r="C25364" s="374"/>
      <c r="CV25364" s="376"/>
    </row>
    <row r="25365" spans="1:100">
      <c r="A25365" s="374"/>
      <c r="C25365" s="374"/>
      <c r="CV25365" s="376"/>
    </row>
    <row r="25366" spans="1:100">
      <c r="A25366" s="374"/>
      <c r="C25366" s="374"/>
      <c r="CV25366" s="376"/>
    </row>
    <row r="25367" spans="1:100">
      <c r="A25367" s="374"/>
      <c r="C25367" s="374"/>
      <c r="CV25367" s="376"/>
    </row>
    <row r="25368" spans="1:100">
      <c r="A25368" s="374"/>
      <c r="C25368" s="374"/>
      <c r="CV25368" s="376"/>
    </row>
    <row r="25369" spans="1:100">
      <c r="A25369" s="374"/>
      <c r="C25369" s="374"/>
      <c r="CV25369" s="376"/>
    </row>
    <row r="25370" spans="1:100">
      <c r="A25370" s="374"/>
      <c r="C25370" s="374"/>
      <c r="CV25370" s="376"/>
    </row>
    <row r="25371" spans="1:100">
      <c r="A25371" s="374"/>
      <c r="C25371" s="374"/>
      <c r="CV25371" s="376"/>
    </row>
    <row r="25372" spans="1:100">
      <c r="A25372" s="374"/>
      <c r="C25372" s="374"/>
      <c r="CV25372" s="376"/>
    </row>
    <row r="25373" spans="1:100">
      <c r="A25373" s="374"/>
      <c r="C25373" s="374"/>
      <c r="CV25373" s="376"/>
    </row>
    <row r="25374" spans="1:100">
      <c r="A25374" s="374"/>
      <c r="C25374" s="374"/>
      <c r="CV25374" s="376"/>
    </row>
    <row r="25375" spans="1:100">
      <c r="A25375" s="374"/>
      <c r="C25375" s="374"/>
      <c r="CV25375" s="376"/>
    </row>
    <row r="25376" spans="1:100">
      <c r="A25376" s="374"/>
      <c r="C25376" s="374"/>
      <c r="CV25376" s="376"/>
    </row>
    <row r="25377" spans="1:100">
      <c r="A25377" s="374"/>
      <c r="C25377" s="374"/>
      <c r="CV25377" s="376"/>
    </row>
    <row r="25378" spans="1:100">
      <c r="A25378" s="374"/>
      <c r="C25378" s="374"/>
      <c r="CV25378" s="376"/>
    </row>
    <row r="25379" spans="1:100">
      <c r="A25379" s="374"/>
      <c r="C25379" s="374"/>
      <c r="CV25379" s="376"/>
    </row>
    <row r="25380" spans="1:100">
      <c r="A25380" s="374"/>
      <c r="C25380" s="374"/>
      <c r="CV25380" s="376"/>
    </row>
    <row r="25381" spans="1:100">
      <c r="A25381" s="374"/>
      <c r="C25381" s="374"/>
      <c r="CV25381" s="376"/>
    </row>
    <row r="25382" spans="1:100">
      <c r="A25382" s="374"/>
      <c r="C25382" s="374"/>
      <c r="CV25382" s="376"/>
    </row>
    <row r="25383" spans="1:100">
      <c r="A25383" s="374"/>
      <c r="C25383" s="374"/>
      <c r="CV25383" s="376"/>
    </row>
    <row r="25384" spans="1:100">
      <c r="A25384" s="374"/>
      <c r="C25384" s="374"/>
      <c r="CV25384" s="376"/>
    </row>
    <row r="25385" spans="1:100">
      <c r="A25385" s="374"/>
      <c r="C25385" s="374"/>
      <c r="CV25385" s="376"/>
    </row>
    <row r="25386" spans="1:100">
      <c r="A25386" s="374"/>
      <c r="C25386" s="374"/>
      <c r="CV25386" s="376"/>
    </row>
    <row r="25387" spans="1:100">
      <c r="A25387" s="374"/>
      <c r="C25387" s="374"/>
      <c r="CV25387" s="376"/>
    </row>
    <row r="25388" spans="1:100">
      <c r="A25388" s="374"/>
      <c r="C25388" s="374"/>
      <c r="CV25388" s="376"/>
    </row>
    <row r="25389" spans="1:100">
      <c r="A25389" s="374"/>
      <c r="C25389" s="374"/>
      <c r="CV25389" s="376"/>
    </row>
    <row r="25390" spans="1:100">
      <c r="A25390" s="374"/>
      <c r="C25390" s="374"/>
      <c r="CV25390" s="376"/>
    </row>
    <row r="25391" spans="1:100">
      <c r="A25391" s="374"/>
      <c r="C25391" s="374"/>
      <c r="CV25391" s="376"/>
    </row>
    <row r="25392" spans="1:100">
      <c r="A25392" s="374"/>
      <c r="C25392" s="374"/>
      <c r="CV25392" s="376"/>
    </row>
    <row r="25393" spans="1:100">
      <c r="A25393" s="374"/>
      <c r="C25393" s="374"/>
      <c r="CV25393" s="376"/>
    </row>
    <row r="25394" spans="1:100">
      <c r="A25394" s="374"/>
      <c r="C25394" s="374"/>
      <c r="CV25394" s="376"/>
    </row>
    <row r="25395" spans="1:100">
      <c r="A25395" s="374"/>
      <c r="C25395" s="374"/>
      <c r="CV25395" s="376"/>
    </row>
    <row r="25396" spans="1:100">
      <c r="A25396" s="374"/>
      <c r="C25396" s="374"/>
      <c r="CV25396" s="376"/>
    </row>
    <row r="25397" spans="1:100">
      <c r="A25397" s="374"/>
      <c r="C25397" s="374"/>
      <c r="CV25397" s="376"/>
    </row>
    <row r="25398" spans="1:100">
      <c r="A25398" s="374"/>
      <c r="C25398" s="374"/>
      <c r="CV25398" s="376"/>
    </row>
    <row r="25399" spans="1:100">
      <c r="A25399" s="374"/>
      <c r="C25399" s="374"/>
      <c r="CV25399" s="376"/>
    </row>
    <row r="25400" spans="1:100">
      <c r="A25400" s="374"/>
      <c r="C25400" s="374"/>
      <c r="CV25400" s="376"/>
    </row>
    <row r="25401" spans="1:100">
      <c r="A25401" s="374"/>
      <c r="C25401" s="374"/>
      <c r="CV25401" s="376"/>
    </row>
    <row r="25402" spans="1:100">
      <c r="A25402" s="374"/>
      <c r="C25402" s="374"/>
      <c r="CV25402" s="376"/>
    </row>
    <row r="25403" spans="1:100">
      <c r="A25403" s="374"/>
      <c r="C25403" s="374"/>
      <c r="CV25403" s="376"/>
    </row>
    <row r="25404" spans="1:100">
      <c r="A25404" s="374"/>
      <c r="C25404" s="374"/>
      <c r="CV25404" s="376"/>
    </row>
    <row r="25405" spans="1:100">
      <c r="A25405" s="374"/>
      <c r="C25405" s="374"/>
      <c r="CV25405" s="376"/>
    </row>
    <row r="25406" spans="1:100">
      <c r="A25406" s="374"/>
      <c r="C25406" s="374"/>
      <c r="CV25406" s="376"/>
    </row>
    <row r="25407" spans="1:100">
      <c r="A25407" s="374"/>
      <c r="C25407" s="374"/>
      <c r="CV25407" s="376"/>
    </row>
    <row r="25408" spans="1:100">
      <c r="A25408" s="374"/>
      <c r="C25408" s="374"/>
      <c r="CV25408" s="376"/>
    </row>
    <row r="25409" spans="1:100">
      <c r="A25409" s="374"/>
      <c r="C25409" s="374"/>
      <c r="CV25409" s="376"/>
    </row>
    <row r="25410" spans="1:100">
      <c r="A25410" s="374"/>
      <c r="C25410" s="374"/>
      <c r="CV25410" s="376"/>
    </row>
    <row r="25411" spans="1:100">
      <c r="A25411" s="374"/>
      <c r="C25411" s="374"/>
      <c r="CV25411" s="376"/>
    </row>
    <row r="25412" spans="1:100">
      <c r="A25412" s="374"/>
      <c r="C25412" s="374"/>
      <c r="CV25412" s="376"/>
    </row>
    <row r="25413" spans="1:100">
      <c r="A25413" s="374"/>
      <c r="C25413" s="374"/>
      <c r="CV25413" s="376"/>
    </row>
    <row r="25414" spans="1:100">
      <c r="A25414" s="374"/>
      <c r="C25414" s="374"/>
      <c r="CV25414" s="376"/>
    </row>
    <row r="25415" spans="1:100">
      <c r="A25415" s="374"/>
      <c r="C25415" s="374"/>
      <c r="CV25415" s="376"/>
    </row>
    <row r="25416" spans="1:100">
      <c r="A25416" s="374"/>
      <c r="C25416" s="374"/>
      <c r="CV25416" s="376"/>
    </row>
    <row r="25417" spans="1:100">
      <c r="A25417" s="374"/>
      <c r="C25417" s="374"/>
      <c r="CV25417" s="376"/>
    </row>
    <row r="25418" spans="1:100">
      <c r="A25418" s="374"/>
      <c r="C25418" s="374"/>
      <c r="CV25418" s="376"/>
    </row>
    <row r="25419" spans="1:100">
      <c r="A25419" s="374"/>
      <c r="C25419" s="374"/>
      <c r="CV25419" s="376"/>
    </row>
    <row r="25420" spans="1:100">
      <c r="A25420" s="374"/>
      <c r="C25420" s="374"/>
      <c r="CV25420" s="376"/>
    </row>
    <row r="25421" spans="1:100">
      <c r="A25421" s="374"/>
      <c r="C25421" s="374"/>
      <c r="CV25421" s="376"/>
    </row>
    <row r="25422" spans="1:100">
      <c r="A25422" s="374"/>
      <c r="C25422" s="374"/>
      <c r="CV25422" s="376"/>
    </row>
    <row r="25423" spans="1:100">
      <c r="A25423" s="374"/>
      <c r="C25423" s="374"/>
      <c r="CV25423" s="376"/>
    </row>
    <row r="25424" spans="1:100">
      <c r="A25424" s="374"/>
      <c r="C25424" s="374"/>
      <c r="CV25424" s="376"/>
    </row>
    <row r="25425" spans="1:100">
      <c r="A25425" s="374"/>
      <c r="C25425" s="374"/>
      <c r="CV25425" s="376"/>
    </row>
    <row r="25426" spans="1:100">
      <c r="A25426" s="374"/>
      <c r="C25426" s="374"/>
      <c r="CV25426" s="376"/>
    </row>
    <row r="25427" spans="1:100">
      <c r="A25427" s="374"/>
      <c r="C25427" s="374"/>
      <c r="CV25427" s="376"/>
    </row>
    <row r="25428" spans="1:100">
      <c r="A25428" s="374"/>
      <c r="C25428" s="374"/>
      <c r="CV25428" s="376"/>
    </row>
    <row r="25429" spans="1:100">
      <c r="A25429" s="374"/>
      <c r="C25429" s="374"/>
      <c r="CV25429" s="376"/>
    </row>
    <row r="25430" spans="1:100">
      <c r="A25430" s="374"/>
      <c r="C25430" s="374"/>
      <c r="CV25430" s="376"/>
    </row>
    <row r="25431" spans="1:100">
      <c r="A25431" s="374"/>
      <c r="C25431" s="374"/>
      <c r="CV25431" s="376"/>
    </row>
    <row r="25432" spans="1:100">
      <c r="A25432" s="374"/>
      <c r="C25432" s="374"/>
      <c r="CV25432" s="376"/>
    </row>
    <row r="25433" spans="1:100">
      <c r="A25433" s="374"/>
      <c r="C25433" s="374"/>
      <c r="CV25433" s="376"/>
    </row>
    <row r="25434" spans="1:100">
      <c r="A25434" s="374"/>
      <c r="C25434" s="374"/>
      <c r="CV25434" s="376"/>
    </row>
    <row r="25435" spans="1:100">
      <c r="A25435" s="374"/>
      <c r="C25435" s="374"/>
      <c r="CV25435" s="376"/>
    </row>
    <row r="25436" spans="1:100">
      <c r="A25436" s="374"/>
      <c r="C25436" s="374"/>
      <c r="CV25436" s="376"/>
    </row>
    <row r="25437" spans="1:100">
      <c r="A25437" s="374"/>
      <c r="C25437" s="374"/>
      <c r="CV25437" s="376"/>
    </row>
    <row r="25438" spans="1:100">
      <c r="A25438" s="374"/>
      <c r="C25438" s="374"/>
      <c r="CV25438" s="376"/>
    </row>
    <row r="25439" spans="1:100">
      <c r="A25439" s="374"/>
      <c r="C25439" s="374"/>
      <c r="CV25439" s="376"/>
    </row>
    <row r="25440" spans="1:100">
      <c r="A25440" s="374"/>
      <c r="C25440" s="374"/>
      <c r="CV25440" s="376"/>
    </row>
    <row r="25441" spans="1:100">
      <c r="A25441" s="374"/>
      <c r="C25441" s="374"/>
      <c r="CV25441" s="376"/>
    </row>
    <row r="25442" spans="1:100">
      <c r="A25442" s="374"/>
      <c r="C25442" s="374"/>
      <c r="CV25442" s="376"/>
    </row>
    <row r="25443" spans="1:100">
      <c r="A25443" s="374"/>
      <c r="C25443" s="374"/>
      <c r="CV25443" s="376"/>
    </row>
    <row r="25444" spans="1:100">
      <c r="A25444" s="374"/>
      <c r="C25444" s="374"/>
      <c r="CV25444" s="376"/>
    </row>
    <row r="25445" spans="1:100">
      <c r="A25445" s="374"/>
      <c r="C25445" s="374"/>
      <c r="CV25445" s="376"/>
    </row>
    <row r="25446" spans="1:100">
      <c r="A25446" s="374"/>
      <c r="C25446" s="374"/>
      <c r="CV25446" s="376"/>
    </row>
    <row r="25447" spans="1:100">
      <c r="A25447" s="374"/>
      <c r="C25447" s="374"/>
      <c r="CV25447" s="376"/>
    </row>
    <row r="25448" spans="1:100">
      <c r="A25448" s="374"/>
      <c r="C25448" s="374"/>
      <c r="CV25448" s="376"/>
    </row>
    <row r="25449" spans="1:100">
      <c r="A25449" s="374"/>
      <c r="C25449" s="374"/>
      <c r="CV25449" s="376"/>
    </row>
    <row r="25450" spans="1:100">
      <c r="A25450" s="374"/>
      <c r="C25450" s="374"/>
      <c r="CV25450" s="376"/>
    </row>
    <row r="25451" spans="1:100">
      <c r="A25451" s="374"/>
      <c r="C25451" s="374"/>
      <c r="CV25451" s="376"/>
    </row>
    <row r="25452" spans="1:100">
      <c r="A25452" s="374"/>
      <c r="C25452" s="374"/>
      <c r="CV25452" s="376"/>
    </row>
    <row r="25453" spans="1:100">
      <c r="A25453" s="374"/>
      <c r="C25453" s="374"/>
      <c r="CV25453" s="376"/>
    </row>
    <row r="25454" spans="1:100">
      <c r="A25454" s="374"/>
      <c r="C25454" s="374"/>
      <c r="CV25454" s="376"/>
    </row>
    <row r="25455" spans="1:100">
      <c r="A25455" s="374"/>
      <c r="C25455" s="374"/>
      <c r="CV25455" s="376"/>
    </row>
    <row r="25456" spans="1:100">
      <c r="A25456" s="374"/>
      <c r="C25456" s="374"/>
      <c r="CV25456" s="376"/>
    </row>
    <row r="25457" spans="1:100">
      <c r="A25457" s="374"/>
      <c r="C25457" s="374"/>
      <c r="CV25457" s="376"/>
    </row>
    <row r="25458" spans="1:100">
      <c r="A25458" s="374"/>
      <c r="C25458" s="374"/>
      <c r="CV25458" s="376"/>
    </row>
    <row r="25459" spans="1:100">
      <c r="A25459" s="374"/>
      <c r="C25459" s="374"/>
      <c r="CV25459" s="376"/>
    </row>
    <row r="25460" spans="1:100">
      <c r="A25460" s="374"/>
      <c r="C25460" s="374"/>
      <c r="CV25460" s="376"/>
    </row>
    <row r="25461" spans="1:100">
      <c r="A25461" s="374"/>
      <c r="C25461" s="374"/>
      <c r="CV25461" s="376"/>
    </row>
    <row r="25462" spans="1:100">
      <c r="A25462" s="374"/>
      <c r="C25462" s="374"/>
      <c r="CV25462" s="376"/>
    </row>
    <row r="25463" spans="1:100">
      <c r="A25463" s="374"/>
      <c r="C25463" s="374"/>
      <c r="CV25463" s="376"/>
    </row>
    <row r="25464" spans="1:100">
      <c r="A25464" s="374"/>
      <c r="C25464" s="374"/>
      <c r="CV25464" s="376"/>
    </row>
    <row r="25465" spans="1:100">
      <c r="A25465" s="374"/>
      <c r="C25465" s="374"/>
      <c r="CV25465" s="376"/>
    </row>
    <row r="25466" spans="1:100">
      <c r="A25466" s="374"/>
      <c r="C25466" s="374"/>
      <c r="CV25466" s="376"/>
    </row>
    <row r="25467" spans="1:100">
      <c r="A25467" s="374"/>
      <c r="C25467" s="374"/>
      <c r="CV25467" s="376"/>
    </row>
    <row r="25468" spans="1:100">
      <c r="A25468" s="374"/>
      <c r="C25468" s="374"/>
      <c r="CV25468" s="376"/>
    </row>
    <row r="25469" spans="1:100">
      <c r="A25469" s="374"/>
      <c r="C25469" s="374"/>
      <c r="CV25469" s="376"/>
    </row>
    <row r="25470" spans="1:100">
      <c r="A25470" s="374"/>
      <c r="C25470" s="374"/>
      <c r="CV25470" s="376"/>
    </row>
    <row r="25471" spans="1:100">
      <c r="A25471" s="374"/>
      <c r="C25471" s="374"/>
      <c r="CV25471" s="376"/>
    </row>
    <row r="25472" spans="1:100">
      <c r="A25472" s="374"/>
      <c r="C25472" s="374"/>
      <c r="CV25472" s="376"/>
    </row>
    <row r="25473" spans="1:100">
      <c r="A25473" s="374"/>
      <c r="C25473" s="374"/>
      <c r="CV25473" s="376"/>
    </row>
    <row r="25474" spans="1:100">
      <c r="A25474" s="374"/>
      <c r="C25474" s="374"/>
      <c r="CV25474" s="376"/>
    </row>
    <row r="25475" spans="1:100">
      <c r="A25475" s="374"/>
      <c r="C25475" s="374"/>
      <c r="CV25475" s="376"/>
    </row>
    <row r="25476" spans="1:100">
      <c r="A25476" s="374"/>
      <c r="C25476" s="374"/>
      <c r="CV25476" s="376"/>
    </row>
    <row r="25477" spans="1:100">
      <c r="A25477" s="374"/>
      <c r="C25477" s="374"/>
      <c r="CV25477" s="376"/>
    </row>
    <row r="25478" spans="1:100">
      <c r="A25478" s="374"/>
      <c r="C25478" s="374"/>
      <c r="CV25478" s="376"/>
    </row>
    <row r="25479" spans="1:100">
      <c r="A25479" s="374"/>
      <c r="C25479" s="374"/>
      <c r="CV25479" s="376"/>
    </row>
    <row r="25480" spans="1:100">
      <c r="A25480" s="374"/>
      <c r="C25480" s="374"/>
      <c r="CV25480" s="376"/>
    </row>
    <row r="25481" spans="1:100">
      <c r="A25481" s="374"/>
      <c r="C25481" s="374"/>
      <c r="CV25481" s="376"/>
    </row>
    <row r="25482" spans="1:100">
      <c r="A25482" s="374"/>
      <c r="C25482" s="374"/>
      <c r="CV25482" s="376"/>
    </row>
    <row r="25483" spans="1:100">
      <c r="A25483" s="374"/>
      <c r="C25483" s="374"/>
      <c r="CV25483" s="376"/>
    </row>
    <row r="25484" spans="1:100">
      <c r="A25484" s="374"/>
      <c r="C25484" s="374"/>
      <c r="CV25484" s="376"/>
    </row>
    <row r="25485" spans="1:100">
      <c r="A25485" s="374"/>
      <c r="C25485" s="374"/>
      <c r="CV25485" s="376"/>
    </row>
    <row r="25486" spans="1:100">
      <c r="A25486" s="374"/>
      <c r="C25486" s="374"/>
      <c r="CV25486" s="376"/>
    </row>
    <row r="25487" spans="1:100">
      <c r="A25487" s="374"/>
      <c r="C25487" s="374"/>
      <c r="CV25487" s="376"/>
    </row>
    <row r="25488" spans="1:100">
      <c r="A25488" s="374"/>
      <c r="C25488" s="374"/>
      <c r="CV25488" s="376"/>
    </row>
    <row r="25489" spans="1:100">
      <c r="A25489" s="374"/>
      <c r="C25489" s="374"/>
      <c r="CV25489" s="376"/>
    </row>
    <row r="25490" spans="1:100">
      <c r="A25490" s="374"/>
      <c r="C25490" s="374"/>
      <c r="CV25490" s="376"/>
    </row>
    <row r="25491" spans="1:100">
      <c r="A25491" s="374"/>
      <c r="C25491" s="374"/>
      <c r="CV25491" s="376"/>
    </row>
    <row r="25492" spans="1:100">
      <c r="A25492" s="374"/>
      <c r="C25492" s="374"/>
      <c r="CV25492" s="376"/>
    </row>
    <row r="25493" spans="1:100">
      <c r="A25493" s="374"/>
      <c r="C25493" s="374"/>
      <c r="CV25493" s="376"/>
    </row>
    <row r="25494" spans="1:100">
      <c r="A25494" s="374"/>
      <c r="C25494" s="374"/>
      <c r="CV25494" s="376"/>
    </row>
    <row r="25495" spans="1:100">
      <c r="A25495" s="374"/>
      <c r="C25495" s="374"/>
      <c r="CV25495" s="376"/>
    </row>
    <row r="25496" spans="1:100">
      <c r="A25496" s="374"/>
      <c r="C25496" s="374"/>
      <c r="CV25496" s="376"/>
    </row>
    <row r="25497" spans="1:100">
      <c r="A25497" s="374"/>
      <c r="C25497" s="374"/>
      <c r="CV25497" s="376"/>
    </row>
    <row r="25498" spans="1:100">
      <c r="A25498" s="374"/>
      <c r="C25498" s="374"/>
      <c r="CV25498" s="376"/>
    </row>
    <row r="25499" spans="1:100">
      <c r="A25499" s="374"/>
      <c r="C25499" s="374"/>
      <c r="CV25499" s="376"/>
    </row>
    <row r="25500" spans="1:100">
      <c r="A25500" s="374"/>
      <c r="C25500" s="374"/>
      <c r="CV25500" s="376"/>
    </row>
    <row r="25501" spans="1:100">
      <c r="A25501" s="374"/>
      <c r="C25501" s="374"/>
      <c r="CV25501" s="376"/>
    </row>
    <row r="25502" spans="1:100">
      <c r="A25502" s="374"/>
      <c r="C25502" s="374"/>
      <c r="CV25502" s="376"/>
    </row>
    <row r="25503" spans="1:100">
      <c r="A25503" s="374"/>
      <c r="C25503" s="374"/>
      <c r="CV25503" s="376"/>
    </row>
    <row r="25504" spans="1:100">
      <c r="A25504" s="374"/>
      <c r="C25504" s="374"/>
      <c r="CV25504" s="376"/>
    </row>
    <row r="25505" spans="1:100">
      <c r="A25505" s="374"/>
      <c r="C25505" s="374"/>
      <c r="CV25505" s="376"/>
    </row>
    <row r="25506" spans="1:100">
      <c r="A25506" s="374"/>
      <c r="C25506" s="374"/>
      <c r="CV25506" s="376"/>
    </row>
    <row r="25507" spans="1:100">
      <c r="A25507" s="374"/>
      <c r="C25507" s="374"/>
      <c r="CV25507" s="376"/>
    </row>
    <row r="25508" spans="1:100">
      <c r="A25508" s="374"/>
      <c r="C25508" s="374"/>
      <c r="CV25508" s="376"/>
    </row>
    <row r="25509" spans="1:100">
      <c r="A25509" s="374"/>
      <c r="C25509" s="374"/>
      <c r="CV25509" s="376"/>
    </row>
    <row r="25510" spans="1:100">
      <c r="A25510" s="374"/>
      <c r="C25510" s="374"/>
      <c r="CV25510" s="376"/>
    </row>
    <row r="25511" spans="1:100">
      <c r="A25511" s="374"/>
      <c r="C25511" s="374"/>
      <c r="CV25511" s="376"/>
    </row>
    <row r="25512" spans="1:100">
      <c r="A25512" s="374"/>
      <c r="C25512" s="374"/>
      <c r="CV25512" s="376"/>
    </row>
    <row r="25513" spans="1:100">
      <c r="A25513" s="374"/>
      <c r="C25513" s="374"/>
      <c r="CV25513" s="376"/>
    </row>
    <row r="25514" spans="1:100">
      <c r="A25514" s="374"/>
      <c r="C25514" s="374"/>
      <c r="CV25514" s="376"/>
    </row>
    <row r="25515" spans="1:100">
      <c r="A25515" s="374"/>
      <c r="C25515" s="374"/>
      <c r="CV25515" s="376"/>
    </row>
    <row r="25516" spans="1:100">
      <c r="A25516" s="374"/>
      <c r="C25516" s="374"/>
      <c r="CV25516" s="376"/>
    </row>
    <row r="25517" spans="1:100">
      <c r="A25517" s="374"/>
      <c r="C25517" s="374"/>
      <c r="CV25517" s="376"/>
    </row>
    <row r="25518" spans="1:100">
      <c r="A25518" s="374"/>
      <c r="C25518" s="374"/>
      <c r="CV25518" s="376"/>
    </row>
    <row r="25519" spans="1:100">
      <c r="A25519" s="374"/>
      <c r="C25519" s="374"/>
      <c r="CV25519" s="376"/>
    </row>
    <row r="25520" spans="1:100">
      <c r="A25520" s="374"/>
      <c r="C25520" s="374"/>
      <c r="CV25520" s="376"/>
    </row>
    <row r="25521" spans="1:100">
      <c r="A25521" s="374"/>
      <c r="C25521" s="374"/>
      <c r="CV25521" s="376"/>
    </row>
    <row r="25522" spans="1:100">
      <c r="A25522" s="374"/>
      <c r="C25522" s="374"/>
      <c r="CV25522" s="376"/>
    </row>
    <row r="25523" spans="1:100">
      <c r="A25523" s="374"/>
      <c r="C25523" s="374"/>
      <c r="CV25523" s="376"/>
    </row>
    <row r="25524" spans="1:100">
      <c r="A25524" s="374"/>
      <c r="C25524" s="374"/>
      <c r="CV25524" s="376"/>
    </row>
    <row r="25525" spans="1:100">
      <c r="A25525" s="374"/>
      <c r="C25525" s="374"/>
      <c r="CV25525" s="376"/>
    </row>
    <row r="25526" spans="1:100">
      <c r="A25526" s="374"/>
      <c r="C25526" s="374"/>
      <c r="CV25526" s="376"/>
    </row>
    <row r="25527" spans="1:100">
      <c r="A25527" s="374"/>
      <c r="C25527" s="374"/>
      <c r="CV25527" s="376"/>
    </row>
    <row r="25528" spans="1:100">
      <c r="A25528" s="374"/>
      <c r="C25528" s="374"/>
      <c r="CV25528" s="376"/>
    </row>
    <row r="25529" spans="1:100">
      <c r="A25529" s="374"/>
      <c r="C25529" s="374"/>
      <c r="CV25529" s="376"/>
    </row>
    <row r="25530" spans="1:100">
      <c r="A25530" s="374"/>
      <c r="C25530" s="374"/>
      <c r="CV25530" s="376"/>
    </row>
    <row r="25531" spans="1:100">
      <c r="A25531" s="374"/>
      <c r="C25531" s="374"/>
      <c r="CV25531" s="376"/>
    </row>
    <row r="25532" spans="1:100">
      <c r="A25532" s="374"/>
      <c r="C25532" s="374"/>
      <c r="CV25532" s="376"/>
    </row>
    <row r="25533" spans="1:100">
      <c r="A25533" s="374"/>
      <c r="C25533" s="374"/>
      <c r="CV25533" s="376"/>
    </row>
    <row r="25534" spans="1:100">
      <c r="A25534" s="374"/>
      <c r="C25534" s="374"/>
      <c r="CV25534" s="376"/>
    </row>
    <row r="25535" spans="1:100">
      <c r="A25535" s="374"/>
      <c r="C25535" s="374"/>
      <c r="CV25535" s="376"/>
    </row>
    <row r="25536" spans="1:100">
      <c r="A25536" s="374"/>
      <c r="C25536" s="374"/>
      <c r="CV25536" s="376"/>
    </row>
    <row r="25537" spans="1:100">
      <c r="A25537" s="374"/>
      <c r="C25537" s="374"/>
      <c r="CV25537" s="376"/>
    </row>
    <row r="25538" spans="1:100">
      <c r="A25538" s="374"/>
      <c r="C25538" s="374"/>
      <c r="CV25538" s="376"/>
    </row>
    <row r="25539" spans="1:100">
      <c r="A25539" s="374"/>
      <c r="C25539" s="374"/>
      <c r="CV25539" s="376"/>
    </row>
    <row r="25540" spans="1:100">
      <c r="A25540" s="374"/>
      <c r="C25540" s="374"/>
      <c r="CV25540" s="376"/>
    </row>
    <row r="25541" spans="1:100">
      <c r="A25541" s="374"/>
      <c r="C25541" s="374"/>
      <c r="CV25541" s="376"/>
    </row>
    <row r="25542" spans="1:100">
      <c r="A25542" s="374"/>
      <c r="C25542" s="374"/>
      <c r="CV25542" s="376"/>
    </row>
    <row r="25543" spans="1:100">
      <c r="A25543" s="374"/>
      <c r="C25543" s="374"/>
      <c r="CV25543" s="376"/>
    </row>
    <row r="25544" spans="1:100">
      <c r="A25544" s="374"/>
      <c r="C25544" s="374"/>
      <c r="CV25544" s="376"/>
    </row>
    <row r="25545" spans="1:100">
      <c r="A25545" s="374"/>
      <c r="C25545" s="374"/>
      <c r="CV25545" s="376"/>
    </row>
    <row r="25546" spans="1:100">
      <c r="A25546" s="374"/>
      <c r="C25546" s="374"/>
      <c r="CV25546" s="376"/>
    </row>
    <row r="25547" spans="1:100">
      <c r="A25547" s="374"/>
      <c r="C25547" s="374"/>
      <c r="CV25547" s="376"/>
    </row>
    <row r="25548" spans="1:100">
      <c r="A25548" s="374"/>
      <c r="C25548" s="374"/>
      <c r="CV25548" s="376"/>
    </row>
    <row r="25549" spans="1:100">
      <c r="A25549" s="374"/>
      <c r="C25549" s="374"/>
      <c r="CV25549" s="376"/>
    </row>
    <row r="25550" spans="1:100">
      <c r="A25550" s="374"/>
      <c r="C25550" s="374"/>
      <c r="CV25550" s="376"/>
    </row>
    <row r="25551" spans="1:100">
      <c r="A25551" s="374"/>
      <c r="C25551" s="374"/>
      <c r="CV25551" s="376"/>
    </row>
    <row r="25552" spans="1:100">
      <c r="A25552" s="374"/>
      <c r="C25552" s="374"/>
      <c r="CV25552" s="376"/>
    </row>
    <row r="25553" spans="1:100">
      <c r="A25553" s="374"/>
      <c r="C25553" s="374"/>
      <c r="CV25553" s="376"/>
    </row>
    <row r="25554" spans="1:100">
      <c r="A25554" s="374"/>
      <c r="C25554" s="374"/>
      <c r="CV25554" s="376"/>
    </row>
    <row r="25555" spans="1:100">
      <c r="A25555" s="374"/>
      <c r="C25555" s="374"/>
      <c r="CV25555" s="376"/>
    </row>
    <row r="25556" spans="1:100">
      <c r="A25556" s="374"/>
      <c r="C25556" s="374"/>
      <c r="CV25556" s="376"/>
    </row>
    <row r="25557" spans="1:100">
      <c r="A25557" s="374"/>
      <c r="C25557" s="374"/>
      <c r="CV25557" s="376"/>
    </row>
    <row r="25558" spans="1:100">
      <c r="A25558" s="374"/>
      <c r="C25558" s="374"/>
      <c r="CV25558" s="376"/>
    </row>
    <row r="25559" spans="1:100">
      <c r="A25559" s="374"/>
      <c r="C25559" s="374"/>
      <c r="CV25559" s="376"/>
    </row>
    <row r="25560" spans="1:100">
      <c r="A25560" s="374"/>
      <c r="C25560" s="374"/>
      <c r="CV25560" s="376"/>
    </row>
    <row r="25561" spans="1:100">
      <c r="A25561" s="374"/>
      <c r="C25561" s="374"/>
      <c r="CV25561" s="376"/>
    </row>
    <row r="25562" spans="1:100">
      <c r="A25562" s="374"/>
      <c r="C25562" s="374"/>
      <c r="CV25562" s="376"/>
    </row>
    <row r="25563" spans="1:100">
      <c r="A25563" s="374"/>
      <c r="C25563" s="374"/>
      <c r="CV25563" s="376"/>
    </row>
    <row r="25564" spans="1:100">
      <c r="A25564" s="374"/>
      <c r="C25564" s="374"/>
      <c r="CV25564" s="376"/>
    </row>
    <row r="25565" spans="1:100">
      <c r="A25565" s="374"/>
      <c r="C25565" s="374"/>
      <c r="CV25565" s="376"/>
    </row>
    <row r="25566" spans="1:100">
      <c r="A25566" s="374"/>
      <c r="C25566" s="374"/>
      <c r="CV25566" s="376"/>
    </row>
    <row r="25567" spans="1:100">
      <c r="A25567" s="374"/>
      <c r="C25567" s="374"/>
      <c r="CV25567" s="376"/>
    </row>
    <row r="25568" spans="1:100">
      <c r="A25568" s="374"/>
      <c r="C25568" s="374"/>
      <c r="CV25568" s="376"/>
    </row>
    <row r="25569" spans="1:100">
      <c r="A25569" s="374"/>
      <c r="C25569" s="374"/>
      <c r="CV25569" s="376"/>
    </row>
    <row r="25570" spans="1:100">
      <c r="A25570" s="374"/>
      <c r="C25570" s="374"/>
      <c r="CV25570" s="376"/>
    </row>
    <row r="25571" spans="1:100">
      <c r="A25571" s="374"/>
      <c r="C25571" s="374"/>
      <c r="CV25571" s="376"/>
    </row>
    <row r="25572" spans="1:100">
      <c r="A25572" s="374"/>
      <c r="C25572" s="374"/>
      <c r="CV25572" s="376"/>
    </row>
    <row r="25573" spans="1:100">
      <c r="A25573" s="374"/>
      <c r="C25573" s="374"/>
      <c r="CV25573" s="376"/>
    </row>
    <row r="25574" spans="1:100">
      <c r="A25574" s="374"/>
      <c r="C25574" s="374"/>
      <c r="CV25574" s="376"/>
    </row>
    <row r="25575" spans="1:100">
      <c r="A25575" s="374"/>
      <c r="C25575" s="374"/>
      <c r="CV25575" s="376"/>
    </row>
    <row r="25576" spans="1:100">
      <c r="A25576" s="374"/>
      <c r="C25576" s="374"/>
      <c r="CV25576" s="376"/>
    </row>
    <row r="25577" spans="1:100">
      <c r="A25577" s="374"/>
      <c r="C25577" s="374"/>
      <c r="CV25577" s="376"/>
    </row>
    <row r="25578" spans="1:100">
      <c r="A25578" s="374"/>
      <c r="C25578" s="374"/>
      <c r="CV25578" s="376"/>
    </row>
    <row r="25579" spans="1:100">
      <c r="A25579" s="374"/>
      <c r="C25579" s="374"/>
      <c r="CV25579" s="376"/>
    </row>
    <row r="25580" spans="1:100">
      <c r="A25580" s="374"/>
      <c r="C25580" s="374"/>
      <c r="CV25580" s="376"/>
    </row>
    <row r="25581" spans="1:100">
      <c r="A25581" s="374"/>
      <c r="C25581" s="374"/>
      <c r="CV25581" s="376"/>
    </row>
    <row r="25582" spans="1:100">
      <c r="A25582" s="374"/>
      <c r="C25582" s="374"/>
      <c r="CV25582" s="376"/>
    </row>
    <row r="25583" spans="1:100">
      <c r="A25583" s="374"/>
      <c r="C25583" s="374"/>
      <c r="CV25583" s="376"/>
    </row>
    <row r="25584" spans="1:100">
      <c r="A25584" s="374"/>
      <c r="C25584" s="374"/>
      <c r="CV25584" s="376"/>
    </row>
    <row r="25585" spans="1:100">
      <c r="A25585" s="374"/>
      <c r="C25585" s="374"/>
      <c r="CV25585" s="376"/>
    </row>
    <row r="25586" spans="1:100">
      <c r="A25586" s="374"/>
      <c r="C25586" s="374"/>
      <c r="CV25586" s="376"/>
    </row>
    <row r="25587" spans="1:100">
      <c r="A25587" s="374"/>
      <c r="C25587" s="374"/>
      <c r="CV25587" s="376"/>
    </row>
    <row r="25588" spans="1:100">
      <c r="A25588" s="374"/>
      <c r="C25588" s="374"/>
      <c r="CV25588" s="376"/>
    </row>
    <row r="25589" spans="1:100">
      <c r="A25589" s="374"/>
      <c r="C25589" s="374"/>
      <c r="CV25589" s="376"/>
    </row>
    <row r="25590" spans="1:100">
      <c r="A25590" s="374"/>
      <c r="C25590" s="374"/>
      <c r="CV25590" s="376"/>
    </row>
    <row r="25591" spans="1:100">
      <c r="A25591" s="374"/>
      <c r="C25591" s="374"/>
      <c r="CV25591" s="376"/>
    </row>
    <row r="25592" spans="1:100">
      <c r="A25592" s="374"/>
      <c r="C25592" s="374"/>
      <c r="CV25592" s="376"/>
    </row>
    <row r="25593" spans="1:100">
      <c r="A25593" s="374"/>
      <c r="C25593" s="374"/>
      <c r="CV25593" s="376"/>
    </row>
    <row r="25594" spans="1:100">
      <c r="A25594" s="374"/>
      <c r="C25594" s="374"/>
      <c r="CV25594" s="376"/>
    </row>
    <row r="25595" spans="1:100">
      <c r="A25595" s="374"/>
      <c r="C25595" s="374"/>
      <c r="CV25595" s="376"/>
    </row>
    <row r="25596" spans="1:100">
      <c r="A25596" s="374"/>
      <c r="C25596" s="374"/>
      <c r="CV25596" s="376"/>
    </row>
    <row r="25597" spans="1:100">
      <c r="A25597" s="374"/>
      <c r="C25597" s="374"/>
      <c r="CV25597" s="376"/>
    </row>
    <row r="25598" spans="1:100">
      <c r="A25598" s="374"/>
      <c r="C25598" s="374"/>
      <c r="CV25598" s="376"/>
    </row>
    <row r="25599" spans="1:100">
      <c r="A25599" s="374"/>
      <c r="C25599" s="374"/>
      <c r="CV25599" s="376"/>
    </row>
    <row r="25600" spans="1:100">
      <c r="A25600" s="374"/>
      <c r="C25600" s="374"/>
      <c r="CV25600" s="376"/>
    </row>
    <row r="25601" spans="1:100">
      <c r="A25601" s="374"/>
      <c r="C25601" s="374"/>
      <c r="CV25601" s="376"/>
    </row>
    <row r="25602" spans="1:100">
      <c r="A25602" s="374"/>
      <c r="C25602" s="374"/>
      <c r="CV25602" s="376"/>
    </row>
    <row r="25603" spans="1:100">
      <c r="A25603" s="374"/>
      <c r="C25603" s="374"/>
      <c r="CV25603" s="376"/>
    </row>
    <row r="25604" spans="1:100">
      <c r="A25604" s="374"/>
      <c r="C25604" s="374"/>
      <c r="CV25604" s="376"/>
    </row>
    <row r="25605" spans="1:100">
      <c r="A25605" s="374"/>
      <c r="C25605" s="374"/>
      <c r="CV25605" s="376"/>
    </row>
    <row r="25606" spans="1:100">
      <c r="A25606" s="374"/>
      <c r="C25606" s="374"/>
      <c r="CV25606" s="376"/>
    </row>
    <row r="25607" spans="1:100">
      <c r="A25607" s="374"/>
      <c r="C25607" s="374"/>
      <c r="CV25607" s="376"/>
    </row>
    <row r="25608" spans="1:100">
      <c r="A25608" s="374"/>
      <c r="C25608" s="374"/>
      <c r="CV25608" s="376"/>
    </row>
    <row r="25609" spans="1:100">
      <c r="A25609" s="374"/>
      <c r="C25609" s="374"/>
      <c r="CV25609" s="376"/>
    </row>
    <row r="25610" spans="1:100">
      <c r="A25610" s="374"/>
      <c r="C25610" s="374"/>
      <c r="CV25610" s="376"/>
    </row>
    <row r="25611" spans="1:100">
      <c r="A25611" s="374"/>
      <c r="C25611" s="374"/>
      <c r="CV25611" s="376"/>
    </row>
    <row r="25612" spans="1:100">
      <c r="A25612" s="374"/>
      <c r="C25612" s="374"/>
      <c r="CV25612" s="376"/>
    </row>
    <row r="25613" spans="1:100">
      <c r="A25613" s="374"/>
      <c r="C25613" s="374"/>
      <c r="CV25613" s="376"/>
    </row>
    <row r="25614" spans="1:100">
      <c r="A25614" s="374"/>
      <c r="C25614" s="374"/>
      <c r="CV25614" s="376"/>
    </row>
    <row r="25615" spans="1:100">
      <c r="A25615" s="374"/>
      <c r="C25615" s="374"/>
      <c r="CV25615" s="376"/>
    </row>
    <row r="25616" spans="1:100">
      <c r="A25616" s="374"/>
      <c r="C25616" s="374"/>
      <c r="CV25616" s="376"/>
    </row>
    <row r="25617" spans="1:100">
      <c r="A25617" s="374"/>
      <c r="C25617" s="374"/>
      <c r="CV25617" s="376"/>
    </row>
    <row r="25618" spans="1:100">
      <c r="A25618" s="374"/>
      <c r="C25618" s="374"/>
      <c r="CV25618" s="376"/>
    </row>
    <row r="25619" spans="1:100">
      <c r="A25619" s="374"/>
      <c r="C25619" s="374"/>
      <c r="CV25619" s="376"/>
    </row>
    <row r="25620" spans="1:100">
      <c r="A25620" s="374"/>
      <c r="C25620" s="374"/>
      <c r="CV25620" s="376"/>
    </row>
    <row r="25621" spans="1:100">
      <c r="A25621" s="374"/>
      <c r="C25621" s="374"/>
      <c r="CV25621" s="376"/>
    </row>
    <row r="25622" spans="1:100">
      <c r="A25622" s="374"/>
      <c r="C25622" s="374"/>
      <c r="CV25622" s="376"/>
    </row>
    <row r="25623" spans="1:100">
      <c r="A25623" s="374"/>
      <c r="C25623" s="374"/>
      <c r="CV25623" s="376"/>
    </row>
    <row r="25624" spans="1:100">
      <c r="A25624" s="374"/>
      <c r="C25624" s="374"/>
      <c r="CV25624" s="376"/>
    </row>
    <row r="25625" spans="1:100">
      <c r="A25625" s="374"/>
      <c r="C25625" s="374"/>
      <c r="CV25625" s="376"/>
    </row>
    <row r="25626" spans="1:100">
      <c r="A25626" s="374"/>
      <c r="C25626" s="374"/>
      <c r="CV25626" s="376"/>
    </row>
    <row r="25627" spans="1:100">
      <c r="A25627" s="374"/>
      <c r="C25627" s="374"/>
      <c r="CV25627" s="376"/>
    </row>
    <row r="25628" spans="1:100">
      <c r="A25628" s="374"/>
      <c r="C25628" s="374"/>
      <c r="CV25628" s="376"/>
    </row>
    <row r="25629" spans="1:100">
      <c r="A25629" s="374"/>
      <c r="C25629" s="374"/>
      <c r="CV25629" s="376"/>
    </row>
    <row r="25630" spans="1:100">
      <c r="A25630" s="374"/>
      <c r="C25630" s="374"/>
      <c r="CV25630" s="376"/>
    </row>
    <row r="25631" spans="1:100">
      <c r="A25631" s="374"/>
      <c r="C25631" s="374"/>
      <c r="CV25631" s="376"/>
    </row>
    <row r="25632" spans="1:100">
      <c r="A25632" s="374"/>
      <c r="C25632" s="374"/>
      <c r="CV25632" s="376"/>
    </row>
    <row r="25633" spans="1:100">
      <c r="A25633" s="374"/>
      <c r="C25633" s="374"/>
      <c r="CV25633" s="376"/>
    </row>
    <row r="25634" spans="1:100">
      <c r="A25634" s="374"/>
      <c r="C25634" s="374"/>
      <c r="CV25634" s="376"/>
    </row>
    <row r="25635" spans="1:100">
      <c r="A25635" s="374"/>
      <c r="C25635" s="374"/>
      <c r="CV25635" s="376"/>
    </row>
    <row r="25636" spans="1:100">
      <c r="A25636" s="374"/>
      <c r="C25636" s="374"/>
      <c r="CV25636" s="376"/>
    </row>
    <row r="25637" spans="1:100">
      <c r="A25637" s="374"/>
      <c r="C25637" s="374"/>
      <c r="CV25637" s="376"/>
    </row>
    <row r="25638" spans="1:100">
      <c r="A25638" s="374"/>
      <c r="C25638" s="374"/>
      <c r="CV25638" s="376"/>
    </row>
    <row r="25639" spans="1:100">
      <c r="A25639" s="374"/>
      <c r="C25639" s="374"/>
      <c r="CV25639" s="376"/>
    </row>
    <row r="25640" spans="1:100">
      <c r="A25640" s="374"/>
      <c r="C25640" s="374"/>
      <c r="CV25640" s="376"/>
    </row>
    <row r="25641" spans="1:100">
      <c r="A25641" s="374"/>
      <c r="C25641" s="374"/>
      <c r="CV25641" s="376"/>
    </row>
    <row r="25642" spans="1:100">
      <c r="A25642" s="374"/>
      <c r="C25642" s="374"/>
      <c r="CV25642" s="376"/>
    </row>
    <row r="25643" spans="1:100">
      <c r="A25643" s="374"/>
      <c r="C25643" s="374"/>
      <c r="CV25643" s="376"/>
    </row>
    <row r="25644" spans="1:100">
      <c r="A25644" s="374"/>
      <c r="C25644" s="374"/>
      <c r="CV25644" s="376"/>
    </row>
    <row r="25645" spans="1:100">
      <c r="A25645" s="374"/>
      <c r="C25645" s="374"/>
      <c r="CV25645" s="376"/>
    </row>
    <row r="25646" spans="1:100">
      <c r="A25646" s="374"/>
      <c r="C25646" s="374"/>
      <c r="CV25646" s="376"/>
    </row>
    <row r="25647" spans="1:100">
      <c r="A25647" s="374"/>
      <c r="C25647" s="374"/>
      <c r="CV25647" s="376"/>
    </row>
    <row r="25648" spans="1:100">
      <c r="A25648" s="374"/>
      <c r="C25648" s="374"/>
      <c r="CV25648" s="376"/>
    </row>
    <row r="25649" spans="1:100">
      <c r="A25649" s="374"/>
      <c r="C25649" s="374"/>
      <c r="CV25649" s="376"/>
    </row>
    <row r="25650" spans="1:100">
      <c r="A25650" s="374"/>
      <c r="C25650" s="374"/>
      <c r="CV25650" s="376"/>
    </row>
    <row r="25651" spans="1:100">
      <c r="A25651" s="374"/>
      <c r="C25651" s="374"/>
      <c r="CV25651" s="376"/>
    </row>
    <row r="25652" spans="1:100">
      <c r="A25652" s="374"/>
      <c r="C25652" s="374"/>
      <c r="CV25652" s="376"/>
    </row>
    <row r="25653" spans="1:100">
      <c r="A25653" s="374"/>
      <c r="C25653" s="374"/>
      <c r="CV25653" s="376"/>
    </row>
    <row r="25654" spans="1:100">
      <c r="A25654" s="374"/>
      <c r="C25654" s="374"/>
      <c r="CV25654" s="376"/>
    </row>
    <row r="25655" spans="1:100">
      <c r="A25655" s="374"/>
      <c r="C25655" s="374"/>
      <c r="CV25655" s="376"/>
    </row>
    <row r="25656" spans="1:100">
      <c r="A25656" s="374"/>
      <c r="C25656" s="374"/>
      <c r="CV25656" s="376"/>
    </row>
    <row r="25657" spans="1:100">
      <c r="A25657" s="374"/>
      <c r="C25657" s="374"/>
      <c r="CV25657" s="376"/>
    </row>
    <row r="25658" spans="1:100">
      <c r="A25658" s="374"/>
      <c r="C25658" s="374"/>
      <c r="CV25658" s="376"/>
    </row>
    <row r="25659" spans="1:100">
      <c r="A25659" s="374"/>
      <c r="C25659" s="374"/>
      <c r="CV25659" s="376"/>
    </row>
    <row r="25660" spans="1:100">
      <c r="A25660" s="374"/>
      <c r="C25660" s="374"/>
      <c r="CV25660" s="376"/>
    </row>
    <row r="25661" spans="1:100">
      <c r="A25661" s="374"/>
      <c r="C25661" s="374"/>
      <c r="CV25661" s="376"/>
    </row>
    <row r="25662" spans="1:100">
      <c r="A25662" s="374"/>
      <c r="C25662" s="374"/>
      <c r="CV25662" s="376"/>
    </row>
    <row r="25663" spans="1:100">
      <c r="A25663" s="374"/>
      <c r="C25663" s="374"/>
      <c r="CV25663" s="376"/>
    </row>
    <row r="25664" spans="1:100">
      <c r="A25664" s="374"/>
      <c r="C25664" s="374"/>
      <c r="CV25664" s="376"/>
    </row>
    <row r="25665" spans="1:100">
      <c r="A25665" s="374"/>
      <c r="C25665" s="374"/>
      <c r="CV25665" s="376"/>
    </row>
    <row r="25666" spans="1:100">
      <c r="A25666" s="374"/>
      <c r="C25666" s="374"/>
      <c r="CV25666" s="376"/>
    </row>
    <row r="25667" spans="1:100">
      <c r="A25667" s="374"/>
      <c r="C25667" s="374"/>
      <c r="CV25667" s="376"/>
    </row>
    <row r="25668" spans="1:100">
      <c r="A25668" s="374"/>
      <c r="C25668" s="374"/>
      <c r="CV25668" s="376"/>
    </row>
    <row r="25669" spans="1:100">
      <c r="A25669" s="374"/>
      <c r="C25669" s="374"/>
      <c r="CV25669" s="376"/>
    </row>
    <row r="25670" spans="1:100">
      <c r="A25670" s="374"/>
      <c r="C25670" s="374"/>
      <c r="CV25670" s="376"/>
    </row>
    <row r="25671" spans="1:100">
      <c r="A25671" s="374"/>
      <c r="C25671" s="374"/>
      <c r="CV25671" s="376"/>
    </row>
    <row r="25672" spans="1:100">
      <c r="A25672" s="374"/>
      <c r="C25672" s="374"/>
      <c r="CV25672" s="376"/>
    </row>
    <row r="25673" spans="1:100">
      <c r="A25673" s="374"/>
      <c r="C25673" s="374"/>
      <c r="CV25673" s="376"/>
    </row>
    <row r="25674" spans="1:100">
      <c r="A25674" s="374"/>
      <c r="C25674" s="374"/>
      <c r="CV25674" s="376"/>
    </row>
    <row r="25675" spans="1:100">
      <c r="A25675" s="374"/>
      <c r="C25675" s="374"/>
      <c r="CV25675" s="376"/>
    </row>
    <row r="25676" spans="1:100">
      <c r="A25676" s="374"/>
      <c r="C25676" s="374"/>
      <c r="CV25676" s="376"/>
    </row>
    <row r="25677" spans="1:100">
      <c r="A25677" s="374"/>
      <c r="C25677" s="374"/>
      <c r="CV25677" s="376"/>
    </row>
    <row r="25678" spans="1:100">
      <c r="A25678" s="374"/>
      <c r="C25678" s="374"/>
      <c r="CV25678" s="376"/>
    </row>
    <row r="25679" spans="1:100">
      <c r="A25679" s="374"/>
      <c r="C25679" s="374"/>
      <c r="CV25679" s="376"/>
    </row>
    <row r="25680" spans="1:100">
      <c r="A25680" s="374"/>
      <c r="C25680" s="374"/>
      <c r="CV25680" s="376"/>
    </row>
    <row r="25681" spans="1:100">
      <c r="A25681" s="374"/>
      <c r="C25681" s="374"/>
      <c r="CV25681" s="376"/>
    </row>
    <row r="25682" spans="1:100">
      <c r="A25682" s="374"/>
      <c r="C25682" s="374"/>
      <c r="CV25682" s="376"/>
    </row>
    <row r="25683" spans="1:100">
      <c r="A25683" s="374"/>
      <c r="C25683" s="374"/>
      <c r="CV25683" s="376"/>
    </row>
    <row r="25684" spans="1:100">
      <c r="A25684" s="374"/>
      <c r="C25684" s="374"/>
      <c r="CV25684" s="376"/>
    </row>
    <row r="25685" spans="1:100">
      <c r="A25685" s="374"/>
      <c r="C25685" s="374"/>
      <c r="CV25685" s="376"/>
    </row>
    <row r="25686" spans="1:100">
      <c r="A25686" s="374"/>
      <c r="C25686" s="374"/>
      <c r="CV25686" s="376"/>
    </row>
    <row r="25687" spans="1:100">
      <c r="A25687" s="374"/>
      <c r="C25687" s="374"/>
      <c r="CV25687" s="376"/>
    </row>
    <row r="25688" spans="1:100">
      <c r="A25688" s="374"/>
      <c r="C25688" s="374"/>
      <c r="CV25688" s="376"/>
    </row>
    <row r="25689" spans="1:100">
      <c r="A25689" s="374"/>
      <c r="C25689" s="374"/>
      <c r="CV25689" s="376"/>
    </row>
    <row r="25690" spans="1:100">
      <c r="A25690" s="374"/>
      <c r="C25690" s="374"/>
      <c r="CV25690" s="376"/>
    </row>
    <row r="25691" spans="1:100">
      <c r="A25691" s="374"/>
      <c r="C25691" s="374"/>
      <c r="CV25691" s="376"/>
    </row>
    <row r="25692" spans="1:100">
      <c r="A25692" s="374"/>
      <c r="C25692" s="374"/>
      <c r="CV25692" s="376"/>
    </row>
    <row r="25693" spans="1:100">
      <c r="A25693" s="374"/>
      <c r="C25693" s="374"/>
      <c r="CV25693" s="376"/>
    </row>
    <row r="25694" spans="1:100">
      <c r="A25694" s="374"/>
      <c r="C25694" s="374"/>
      <c r="CV25694" s="376"/>
    </row>
    <row r="25695" spans="1:100">
      <c r="A25695" s="374"/>
      <c r="C25695" s="374"/>
      <c r="CV25695" s="376"/>
    </row>
    <row r="25696" spans="1:100">
      <c r="A25696" s="374"/>
      <c r="C25696" s="374"/>
      <c r="CV25696" s="376"/>
    </row>
    <row r="25697" spans="1:100">
      <c r="A25697" s="374"/>
      <c r="C25697" s="374"/>
      <c r="CV25697" s="376"/>
    </row>
    <row r="25698" spans="1:100">
      <c r="A25698" s="374"/>
      <c r="C25698" s="374"/>
      <c r="CV25698" s="376"/>
    </row>
    <row r="25699" spans="1:100">
      <c r="A25699" s="374"/>
      <c r="C25699" s="374"/>
      <c r="CV25699" s="376"/>
    </row>
    <row r="25700" spans="1:100">
      <c r="A25700" s="374"/>
      <c r="C25700" s="374"/>
      <c r="CV25700" s="376"/>
    </row>
    <row r="25701" spans="1:100">
      <c r="A25701" s="374"/>
      <c r="C25701" s="374"/>
      <c r="CV25701" s="376"/>
    </row>
    <row r="25702" spans="1:100">
      <c r="A25702" s="374"/>
      <c r="C25702" s="374"/>
      <c r="CV25702" s="376"/>
    </row>
    <row r="25703" spans="1:100">
      <c r="A25703" s="374"/>
      <c r="C25703" s="374"/>
      <c r="CV25703" s="376"/>
    </row>
    <row r="25704" spans="1:100">
      <c r="A25704" s="374"/>
      <c r="C25704" s="374"/>
      <c r="CV25704" s="376"/>
    </row>
    <row r="25705" spans="1:100">
      <c r="A25705" s="374"/>
      <c r="C25705" s="374"/>
      <c r="CV25705" s="376"/>
    </row>
    <row r="25706" spans="1:100">
      <c r="A25706" s="374"/>
      <c r="C25706" s="374"/>
      <c r="CV25706" s="376"/>
    </row>
    <row r="25707" spans="1:100">
      <c r="A25707" s="374"/>
      <c r="C25707" s="374"/>
      <c r="CV25707" s="376"/>
    </row>
    <row r="25708" spans="1:100">
      <c r="A25708" s="374"/>
      <c r="C25708" s="374"/>
      <c r="CV25708" s="376"/>
    </row>
    <row r="25709" spans="1:100">
      <c r="A25709" s="374"/>
      <c r="C25709" s="374"/>
      <c r="CV25709" s="376"/>
    </row>
    <row r="25710" spans="1:100">
      <c r="A25710" s="374"/>
      <c r="C25710" s="374"/>
      <c r="CV25710" s="376"/>
    </row>
    <row r="25711" spans="1:100">
      <c r="A25711" s="374"/>
      <c r="C25711" s="374"/>
      <c r="CV25711" s="376"/>
    </row>
    <row r="25712" spans="1:100">
      <c r="A25712" s="374"/>
      <c r="C25712" s="374"/>
      <c r="CV25712" s="376"/>
    </row>
    <row r="25713" spans="1:100">
      <c r="A25713" s="374"/>
      <c r="C25713" s="374"/>
      <c r="CV25713" s="376"/>
    </row>
    <row r="25714" spans="1:100">
      <c r="A25714" s="374"/>
      <c r="C25714" s="374"/>
      <c r="CV25714" s="376"/>
    </row>
    <row r="25715" spans="1:100">
      <c r="A25715" s="374"/>
      <c r="C25715" s="374"/>
      <c r="CV25715" s="376"/>
    </row>
    <row r="25716" spans="1:100">
      <c r="A25716" s="374"/>
      <c r="C25716" s="374"/>
      <c r="CV25716" s="376"/>
    </row>
    <row r="25717" spans="1:100">
      <c r="A25717" s="374"/>
      <c r="C25717" s="374"/>
      <c r="CV25717" s="376"/>
    </row>
    <row r="25718" spans="1:100">
      <c r="A25718" s="374"/>
      <c r="C25718" s="374"/>
      <c r="CV25718" s="376"/>
    </row>
    <row r="25719" spans="1:100">
      <c r="A25719" s="374"/>
      <c r="C25719" s="374"/>
      <c r="CV25719" s="376"/>
    </row>
    <row r="25720" spans="1:100">
      <c r="A25720" s="374"/>
      <c r="C25720" s="374"/>
      <c r="CV25720" s="376"/>
    </row>
    <row r="25721" spans="1:100">
      <c r="A25721" s="374"/>
      <c r="C25721" s="374"/>
      <c r="CV25721" s="376"/>
    </row>
    <row r="25722" spans="1:100">
      <c r="A25722" s="374"/>
      <c r="C25722" s="374"/>
      <c r="CV25722" s="376"/>
    </row>
    <row r="25723" spans="1:100">
      <c r="A25723" s="374"/>
      <c r="C25723" s="374"/>
      <c r="CV25723" s="376"/>
    </row>
    <row r="25724" spans="1:100">
      <c r="A25724" s="374"/>
      <c r="C25724" s="374"/>
      <c r="CV25724" s="376"/>
    </row>
    <row r="25725" spans="1:100">
      <c r="A25725" s="374"/>
      <c r="C25725" s="374"/>
      <c r="CV25725" s="376"/>
    </row>
    <row r="25726" spans="1:100">
      <c r="A25726" s="374"/>
      <c r="C25726" s="374"/>
      <c r="CV25726" s="376"/>
    </row>
    <row r="25727" spans="1:100">
      <c r="A25727" s="374"/>
      <c r="C25727" s="374"/>
      <c r="CV25727" s="376"/>
    </row>
    <row r="25728" spans="1:100">
      <c r="A25728" s="374"/>
      <c r="C25728" s="374"/>
      <c r="CV25728" s="376"/>
    </row>
    <row r="25729" spans="1:100">
      <c r="A25729" s="374"/>
      <c r="C25729" s="374"/>
      <c r="CV25729" s="376"/>
    </row>
    <row r="25730" spans="1:100">
      <c r="A25730" s="374"/>
      <c r="C25730" s="374"/>
      <c r="CV25730" s="376"/>
    </row>
    <row r="25731" spans="1:100">
      <c r="A25731" s="374"/>
      <c r="C25731" s="374"/>
      <c r="CV25731" s="376"/>
    </row>
    <row r="25732" spans="1:100">
      <c r="A25732" s="374"/>
      <c r="C25732" s="374"/>
      <c r="CV25732" s="376"/>
    </row>
    <row r="25733" spans="1:100">
      <c r="A25733" s="374"/>
      <c r="C25733" s="374"/>
      <c r="CV25733" s="376"/>
    </row>
    <row r="25734" spans="1:100">
      <c r="A25734" s="374"/>
      <c r="C25734" s="374"/>
      <c r="CV25734" s="376"/>
    </row>
    <row r="25735" spans="1:100">
      <c r="A25735" s="374"/>
      <c r="C25735" s="374"/>
      <c r="CV25735" s="376"/>
    </row>
    <row r="25736" spans="1:100">
      <c r="A25736" s="374"/>
      <c r="C25736" s="374"/>
      <c r="CV25736" s="376"/>
    </row>
    <row r="25737" spans="1:100">
      <c r="A25737" s="374"/>
      <c r="C25737" s="374"/>
      <c r="CV25737" s="376"/>
    </row>
    <row r="25738" spans="1:100">
      <c r="A25738" s="374"/>
      <c r="C25738" s="374"/>
      <c r="CV25738" s="376"/>
    </row>
    <row r="25739" spans="1:100">
      <c r="A25739" s="374"/>
      <c r="C25739" s="374"/>
      <c r="CV25739" s="376"/>
    </row>
    <row r="25740" spans="1:100">
      <c r="A25740" s="374"/>
      <c r="C25740" s="374"/>
      <c r="CV25740" s="376"/>
    </row>
    <row r="25741" spans="1:100">
      <c r="A25741" s="374"/>
      <c r="C25741" s="374"/>
      <c r="CV25741" s="376"/>
    </row>
    <row r="25742" spans="1:100">
      <c r="A25742" s="374"/>
      <c r="C25742" s="374"/>
      <c r="CV25742" s="376"/>
    </row>
    <row r="25743" spans="1:100">
      <c r="A25743" s="374"/>
      <c r="C25743" s="374"/>
      <c r="CV25743" s="376"/>
    </row>
    <row r="25744" spans="1:100">
      <c r="A25744" s="374"/>
      <c r="C25744" s="374"/>
      <c r="CV25744" s="376"/>
    </row>
    <row r="25745" spans="1:100">
      <c r="A25745" s="374"/>
      <c r="C25745" s="374"/>
      <c r="CV25745" s="376"/>
    </row>
    <row r="25746" spans="1:100">
      <c r="A25746" s="374"/>
      <c r="C25746" s="374"/>
      <c r="CV25746" s="376"/>
    </row>
    <row r="25747" spans="1:100">
      <c r="A25747" s="374"/>
      <c r="C25747" s="374"/>
      <c r="CV25747" s="376"/>
    </row>
    <row r="25748" spans="1:100">
      <c r="A25748" s="374"/>
      <c r="C25748" s="374"/>
      <c r="CV25748" s="376"/>
    </row>
    <row r="25749" spans="1:100">
      <c r="A25749" s="374"/>
      <c r="C25749" s="374"/>
      <c r="CV25749" s="376"/>
    </row>
    <row r="25750" spans="1:100">
      <c r="A25750" s="374"/>
      <c r="C25750" s="374"/>
      <c r="CV25750" s="376"/>
    </row>
    <row r="25751" spans="1:100">
      <c r="A25751" s="374"/>
      <c r="C25751" s="374"/>
      <c r="CV25751" s="376"/>
    </row>
    <row r="25752" spans="1:100">
      <c r="A25752" s="374"/>
      <c r="C25752" s="374"/>
      <c r="CV25752" s="376"/>
    </row>
    <row r="25753" spans="1:100">
      <c r="A25753" s="374"/>
      <c r="C25753" s="374"/>
      <c r="CV25753" s="376"/>
    </row>
    <row r="25754" spans="1:100">
      <c r="A25754" s="374"/>
      <c r="C25754" s="374"/>
      <c r="CV25754" s="376"/>
    </row>
    <row r="25755" spans="1:100">
      <c r="A25755" s="374"/>
      <c r="C25755" s="374"/>
      <c r="CV25755" s="376"/>
    </row>
    <row r="25756" spans="1:100">
      <c r="A25756" s="374"/>
      <c r="C25756" s="374"/>
      <c r="CV25756" s="376"/>
    </row>
    <row r="25757" spans="1:100">
      <c r="A25757" s="374"/>
      <c r="C25757" s="374"/>
      <c r="CV25757" s="376"/>
    </row>
    <row r="25758" spans="1:100">
      <c r="A25758" s="374"/>
      <c r="C25758" s="374"/>
      <c r="CV25758" s="376"/>
    </row>
    <row r="25759" spans="1:100">
      <c r="A25759" s="374"/>
      <c r="C25759" s="374"/>
      <c r="CV25759" s="376"/>
    </row>
    <row r="25760" spans="1:100">
      <c r="A25760" s="374"/>
      <c r="C25760" s="374"/>
      <c r="CV25760" s="376"/>
    </row>
    <row r="25761" spans="1:100">
      <c r="A25761" s="374"/>
      <c r="C25761" s="374"/>
      <c r="CV25761" s="376"/>
    </row>
    <row r="25762" spans="1:100">
      <c r="A25762" s="374"/>
      <c r="C25762" s="374"/>
      <c r="CV25762" s="376"/>
    </row>
    <row r="25763" spans="1:100">
      <c r="A25763" s="374"/>
      <c r="C25763" s="374"/>
      <c r="CV25763" s="376"/>
    </row>
    <row r="25764" spans="1:100">
      <c r="A25764" s="374"/>
      <c r="C25764" s="374"/>
      <c r="CV25764" s="376"/>
    </row>
    <row r="25765" spans="1:100">
      <c r="A25765" s="374"/>
      <c r="C25765" s="374"/>
      <c r="CV25765" s="376"/>
    </row>
    <row r="25766" spans="1:100">
      <c r="A25766" s="374"/>
      <c r="C25766" s="374"/>
      <c r="CV25766" s="376"/>
    </row>
    <row r="25767" spans="1:100">
      <c r="A25767" s="374"/>
      <c r="C25767" s="374"/>
      <c r="CV25767" s="376"/>
    </row>
    <row r="25768" spans="1:100">
      <c r="A25768" s="374"/>
      <c r="C25768" s="374"/>
      <c r="CV25768" s="376"/>
    </row>
    <row r="25769" spans="1:100">
      <c r="A25769" s="374"/>
      <c r="C25769" s="374"/>
      <c r="CV25769" s="376"/>
    </row>
    <row r="25770" spans="1:100">
      <c r="A25770" s="374"/>
      <c r="C25770" s="374"/>
      <c r="CV25770" s="376"/>
    </row>
    <row r="25771" spans="1:100">
      <c r="A25771" s="374"/>
      <c r="C25771" s="374"/>
      <c r="CV25771" s="376"/>
    </row>
    <row r="25772" spans="1:100">
      <c r="A25772" s="374"/>
      <c r="C25772" s="374"/>
      <c r="CV25772" s="376"/>
    </row>
    <row r="25773" spans="1:100">
      <c r="A25773" s="374"/>
      <c r="C25773" s="374"/>
      <c r="CV25773" s="376"/>
    </row>
    <row r="25774" spans="1:100">
      <c r="A25774" s="374"/>
      <c r="C25774" s="374"/>
      <c r="CV25774" s="376"/>
    </row>
    <row r="25775" spans="1:100">
      <c r="A25775" s="374"/>
      <c r="C25775" s="374"/>
      <c r="CV25775" s="376"/>
    </row>
    <row r="25776" spans="1:100">
      <c r="A25776" s="374"/>
      <c r="C25776" s="374"/>
      <c r="CV25776" s="376"/>
    </row>
    <row r="25777" spans="1:100">
      <c r="A25777" s="374"/>
      <c r="C25777" s="374"/>
      <c r="CV25777" s="376"/>
    </row>
    <row r="25778" spans="1:100">
      <c r="A25778" s="374"/>
      <c r="C25778" s="374"/>
      <c r="CV25778" s="376"/>
    </row>
    <row r="25779" spans="1:100">
      <c r="A25779" s="374"/>
      <c r="C25779" s="374"/>
      <c r="CV25779" s="376"/>
    </row>
    <row r="25780" spans="1:100">
      <c r="A25780" s="374"/>
      <c r="C25780" s="374"/>
      <c r="CV25780" s="376"/>
    </row>
    <row r="25781" spans="1:100">
      <c r="A25781" s="374"/>
      <c r="C25781" s="374"/>
      <c r="CV25781" s="376"/>
    </row>
    <row r="25782" spans="1:100">
      <c r="A25782" s="374"/>
      <c r="C25782" s="374"/>
      <c r="CV25782" s="376"/>
    </row>
    <row r="25783" spans="1:100">
      <c r="A25783" s="374"/>
      <c r="C25783" s="374"/>
      <c r="CV25783" s="376"/>
    </row>
    <row r="25784" spans="1:100">
      <c r="A25784" s="374"/>
      <c r="C25784" s="374"/>
      <c r="CV25784" s="376"/>
    </row>
    <row r="25785" spans="1:100">
      <c r="A25785" s="374"/>
      <c r="C25785" s="374"/>
      <c r="CV25785" s="376"/>
    </row>
    <row r="25786" spans="1:100">
      <c r="A25786" s="374"/>
      <c r="C25786" s="374"/>
      <c r="CV25786" s="376"/>
    </row>
    <row r="25787" spans="1:100">
      <c r="A25787" s="374"/>
      <c r="C25787" s="374"/>
      <c r="CV25787" s="376"/>
    </row>
    <row r="25788" spans="1:100">
      <c r="A25788" s="374"/>
      <c r="C25788" s="374"/>
      <c r="CV25788" s="376"/>
    </row>
    <row r="25789" spans="1:100">
      <c r="A25789" s="374"/>
      <c r="C25789" s="374"/>
      <c r="CV25789" s="376"/>
    </row>
    <row r="25790" spans="1:100">
      <c r="A25790" s="374"/>
      <c r="C25790" s="374"/>
      <c r="CV25790" s="376"/>
    </row>
    <row r="25791" spans="1:100">
      <c r="A25791" s="374"/>
      <c r="C25791" s="374"/>
      <c r="CV25791" s="376"/>
    </row>
    <row r="25792" spans="1:100">
      <c r="A25792" s="374"/>
      <c r="C25792" s="374"/>
      <c r="CV25792" s="376"/>
    </row>
    <row r="25793" spans="1:100">
      <c r="A25793" s="374"/>
      <c r="C25793" s="374"/>
      <c r="CV25793" s="376"/>
    </row>
    <row r="25794" spans="1:100">
      <c r="A25794" s="374"/>
      <c r="C25794" s="374"/>
      <c r="CV25794" s="376"/>
    </row>
    <row r="25795" spans="1:100">
      <c r="A25795" s="374"/>
      <c r="C25795" s="374"/>
      <c r="CV25795" s="376"/>
    </row>
    <row r="25796" spans="1:100">
      <c r="A25796" s="374"/>
      <c r="C25796" s="374"/>
      <c r="CV25796" s="376"/>
    </row>
    <row r="25797" spans="1:100">
      <c r="A25797" s="374"/>
      <c r="C25797" s="374"/>
      <c r="CV25797" s="376"/>
    </row>
    <row r="25798" spans="1:100">
      <c r="A25798" s="374"/>
      <c r="C25798" s="374"/>
      <c r="CV25798" s="376"/>
    </row>
    <row r="25799" spans="1:100">
      <c r="A25799" s="374"/>
      <c r="C25799" s="374"/>
      <c r="CV25799" s="376"/>
    </row>
    <row r="25800" spans="1:100">
      <c r="A25800" s="374"/>
      <c r="C25800" s="374"/>
      <c r="CV25800" s="376"/>
    </row>
    <row r="25801" spans="1:100">
      <c r="A25801" s="374"/>
      <c r="C25801" s="374"/>
      <c r="CV25801" s="376"/>
    </row>
    <row r="25802" spans="1:100">
      <c r="A25802" s="374"/>
      <c r="C25802" s="374"/>
      <c r="CV25802" s="376"/>
    </row>
    <row r="25803" spans="1:100">
      <c r="A25803" s="374"/>
      <c r="C25803" s="374"/>
      <c r="CV25803" s="376"/>
    </row>
    <row r="25804" spans="1:100">
      <c r="A25804" s="374"/>
      <c r="C25804" s="374"/>
      <c r="CV25804" s="376"/>
    </row>
    <row r="25805" spans="1:100">
      <c r="A25805" s="374"/>
      <c r="C25805" s="374"/>
      <c r="CV25805" s="376"/>
    </row>
    <row r="25806" spans="1:100">
      <c r="A25806" s="374"/>
      <c r="C25806" s="374"/>
      <c r="CV25806" s="376"/>
    </row>
    <row r="25807" spans="1:100">
      <c r="A25807" s="374"/>
      <c r="C25807" s="374"/>
      <c r="CV25807" s="376"/>
    </row>
    <row r="25808" spans="1:100">
      <c r="A25808" s="374"/>
      <c r="C25808" s="374"/>
      <c r="CV25808" s="376"/>
    </row>
    <row r="25809" spans="1:100">
      <c r="A25809" s="374"/>
      <c r="C25809" s="374"/>
      <c r="CV25809" s="376"/>
    </row>
    <row r="25810" spans="1:100">
      <c r="A25810" s="374"/>
      <c r="C25810" s="374"/>
      <c r="CV25810" s="376"/>
    </row>
    <row r="25811" spans="1:100">
      <c r="A25811" s="374"/>
      <c r="C25811" s="374"/>
      <c r="CV25811" s="376"/>
    </row>
    <row r="25812" spans="1:100">
      <c r="A25812" s="374"/>
      <c r="C25812" s="374"/>
      <c r="CV25812" s="376"/>
    </row>
    <row r="25813" spans="1:100">
      <c r="A25813" s="374"/>
      <c r="C25813" s="374"/>
      <c r="CV25813" s="376"/>
    </row>
    <row r="25814" spans="1:100">
      <c r="A25814" s="374"/>
      <c r="C25814" s="374"/>
      <c r="CV25814" s="376"/>
    </row>
    <row r="25815" spans="1:100">
      <c r="A25815" s="374"/>
      <c r="C25815" s="374"/>
      <c r="CV25815" s="376"/>
    </row>
    <row r="25816" spans="1:100">
      <c r="A25816" s="374"/>
      <c r="C25816" s="374"/>
      <c r="CV25816" s="376"/>
    </row>
    <row r="25817" spans="1:100">
      <c r="A25817" s="374"/>
      <c r="C25817" s="374"/>
      <c r="CV25817" s="376"/>
    </row>
    <row r="25818" spans="1:100">
      <c r="A25818" s="374"/>
      <c r="C25818" s="374"/>
      <c r="CV25818" s="376"/>
    </row>
    <row r="25819" spans="1:100">
      <c r="A25819" s="374"/>
      <c r="C25819" s="374"/>
      <c r="CV25819" s="376"/>
    </row>
    <row r="25820" spans="1:100">
      <c r="A25820" s="374"/>
      <c r="C25820" s="374"/>
      <c r="CV25820" s="376"/>
    </row>
    <row r="25821" spans="1:100">
      <c r="A25821" s="374"/>
      <c r="C25821" s="374"/>
      <c r="CV25821" s="376"/>
    </row>
    <row r="25822" spans="1:100">
      <c r="A25822" s="374"/>
      <c r="C25822" s="374"/>
      <c r="CV25822" s="376"/>
    </row>
    <row r="25823" spans="1:100">
      <c r="A25823" s="374"/>
      <c r="C25823" s="374"/>
      <c r="CV25823" s="376"/>
    </row>
    <row r="25824" spans="1:100">
      <c r="A25824" s="374"/>
      <c r="C25824" s="374"/>
      <c r="CV25824" s="376"/>
    </row>
    <row r="25825" spans="1:100">
      <c r="A25825" s="374"/>
      <c r="C25825" s="374"/>
      <c r="CV25825" s="376"/>
    </row>
    <row r="25826" spans="1:100">
      <c r="A25826" s="374"/>
      <c r="C25826" s="374"/>
      <c r="CV25826" s="376"/>
    </row>
    <row r="25827" spans="1:100">
      <c r="A25827" s="374"/>
      <c r="C25827" s="374"/>
      <c r="CV25827" s="376"/>
    </row>
    <row r="25828" spans="1:100">
      <c r="A25828" s="374"/>
      <c r="C25828" s="374"/>
      <c r="CV25828" s="376"/>
    </row>
    <row r="25829" spans="1:100">
      <c r="A25829" s="374"/>
      <c r="C25829" s="374"/>
      <c r="CV25829" s="376"/>
    </row>
    <row r="25830" spans="1:100">
      <c r="A25830" s="374"/>
      <c r="C25830" s="374"/>
      <c r="CV25830" s="376"/>
    </row>
    <row r="25831" spans="1:100">
      <c r="A25831" s="374"/>
      <c r="C25831" s="374"/>
      <c r="CV25831" s="376"/>
    </row>
    <row r="25832" spans="1:100">
      <c r="A25832" s="374"/>
      <c r="C25832" s="374"/>
      <c r="CV25832" s="376"/>
    </row>
    <row r="25833" spans="1:100">
      <c r="A25833" s="374"/>
      <c r="C25833" s="374"/>
      <c r="CV25833" s="376"/>
    </row>
    <row r="25834" spans="1:100">
      <c r="A25834" s="374"/>
      <c r="C25834" s="374"/>
      <c r="CV25834" s="376"/>
    </row>
    <row r="25835" spans="1:100">
      <c r="A25835" s="374"/>
      <c r="C25835" s="374"/>
      <c r="CV25835" s="376"/>
    </row>
    <row r="25836" spans="1:100">
      <c r="A25836" s="374"/>
      <c r="C25836" s="374"/>
      <c r="CV25836" s="376"/>
    </row>
    <row r="25837" spans="1:100">
      <c r="A25837" s="374"/>
      <c r="C25837" s="374"/>
      <c r="CV25837" s="376"/>
    </row>
    <row r="25838" spans="1:100">
      <c r="A25838" s="374"/>
      <c r="C25838" s="374"/>
      <c r="CV25838" s="376"/>
    </row>
    <row r="25839" spans="1:100">
      <c r="A25839" s="374"/>
      <c r="C25839" s="374"/>
      <c r="CV25839" s="376"/>
    </row>
    <row r="25840" spans="1:100">
      <c r="A25840" s="374"/>
      <c r="C25840" s="374"/>
      <c r="CV25840" s="376"/>
    </row>
    <row r="25841" spans="1:100">
      <c r="A25841" s="374"/>
      <c r="C25841" s="374"/>
      <c r="CV25841" s="376"/>
    </row>
    <row r="25842" spans="1:100">
      <c r="A25842" s="374"/>
      <c r="C25842" s="374"/>
      <c r="CV25842" s="376"/>
    </row>
    <row r="25843" spans="1:100">
      <c r="A25843" s="374"/>
      <c r="C25843" s="374"/>
      <c r="CV25843" s="376"/>
    </row>
    <row r="25844" spans="1:100">
      <c r="A25844" s="374"/>
      <c r="C25844" s="374"/>
      <c r="CV25844" s="376"/>
    </row>
    <row r="25845" spans="1:100">
      <c r="A25845" s="374"/>
      <c r="C25845" s="374"/>
      <c r="CV25845" s="376"/>
    </row>
    <row r="25846" spans="1:100">
      <c r="A25846" s="374"/>
      <c r="C25846" s="374"/>
      <c r="CV25846" s="376"/>
    </row>
    <row r="25847" spans="1:100">
      <c r="A25847" s="374"/>
      <c r="C25847" s="374"/>
      <c r="CV25847" s="376"/>
    </row>
    <row r="25848" spans="1:100">
      <c r="A25848" s="374"/>
      <c r="C25848" s="374"/>
      <c r="CV25848" s="376"/>
    </row>
    <row r="25849" spans="1:100">
      <c r="A25849" s="374"/>
      <c r="C25849" s="374"/>
      <c r="CV25849" s="376"/>
    </row>
    <row r="25850" spans="1:100">
      <c r="A25850" s="374"/>
      <c r="C25850" s="374"/>
      <c r="CV25850" s="376"/>
    </row>
    <row r="25851" spans="1:100">
      <c r="A25851" s="374"/>
      <c r="C25851" s="374"/>
      <c r="CV25851" s="376"/>
    </row>
    <row r="25852" spans="1:100">
      <c r="A25852" s="374"/>
      <c r="C25852" s="374"/>
      <c r="CV25852" s="376"/>
    </row>
    <row r="25853" spans="1:100">
      <c r="A25853" s="374"/>
      <c r="C25853" s="374"/>
      <c r="CV25853" s="376"/>
    </row>
    <row r="25854" spans="1:100">
      <c r="A25854" s="374"/>
      <c r="C25854" s="374"/>
      <c r="CV25854" s="376"/>
    </row>
    <row r="25855" spans="1:100">
      <c r="A25855" s="374"/>
      <c r="C25855" s="374"/>
      <c r="CV25855" s="376"/>
    </row>
    <row r="25856" spans="1:100">
      <c r="A25856" s="374"/>
      <c r="C25856" s="374"/>
      <c r="CV25856" s="376"/>
    </row>
    <row r="25857" spans="1:100">
      <c r="A25857" s="374"/>
      <c r="C25857" s="374"/>
      <c r="CV25857" s="376"/>
    </row>
    <row r="25858" spans="1:100">
      <c r="A25858" s="374"/>
      <c r="C25858" s="374"/>
      <c r="CV25858" s="376"/>
    </row>
    <row r="25859" spans="1:100">
      <c r="A25859" s="374"/>
      <c r="C25859" s="374"/>
      <c r="CV25859" s="376"/>
    </row>
    <row r="25860" spans="1:100">
      <c r="A25860" s="374"/>
      <c r="C25860" s="374"/>
      <c r="CV25860" s="376"/>
    </row>
    <row r="25861" spans="1:100">
      <c r="A25861" s="374"/>
      <c r="C25861" s="374"/>
      <c r="CV25861" s="376"/>
    </row>
    <row r="25862" spans="1:100">
      <c r="A25862" s="374"/>
      <c r="C25862" s="374"/>
      <c r="CV25862" s="376"/>
    </row>
    <row r="25863" spans="1:100">
      <c r="A25863" s="374"/>
      <c r="C25863" s="374"/>
      <c r="CV25863" s="376"/>
    </row>
    <row r="25864" spans="1:100">
      <c r="A25864" s="374"/>
      <c r="C25864" s="374"/>
      <c r="CV25864" s="376"/>
    </row>
    <row r="25865" spans="1:100">
      <c r="A25865" s="374"/>
      <c r="C25865" s="374"/>
      <c r="CV25865" s="376"/>
    </row>
    <row r="25866" spans="1:100">
      <c r="A25866" s="374"/>
      <c r="C25866" s="374"/>
      <c r="CV25866" s="376"/>
    </row>
    <row r="25867" spans="1:100">
      <c r="A25867" s="374"/>
      <c r="C25867" s="374"/>
      <c r="CV25867" s="376"/>
    </row>
    <row r="25868" spans="1:100">
      <c r="A25868" s="374"/>
      <c r="C25868" s="374"/>
      <c r="CV25868" s="376"/>
    </row>
    <row r="25869" spans="1:100">
      <c r="A25869" s="374"/>
      <c r="C25869" s="374"/>
      <c r="CV25869" s="376"/>
    </row>
    <row r="25870" spans="1:100">
      <c r="A25870" s="374"/>
      <c r="C25870" s="374"/>
      <c r="CV25870" s="376"/>
    </row>
    <row r="25871" spans="1:100">
      <c r="A25871" s="374"/>
      <c r="C25871" s="374"/>
      <c r="CV25871" s="376"/>
    </row>
    <row r="25872" spans="1:100">
      <c r="A25872" s="374"/>
      <c r="C25872" s="374"/>
      <c r="CV25872" s="376"/>
    </row>
    <row r="25873" spans="1:100">
      <c r="A25873" s="374"/>
      <c r="C25873" s="374"/>
      <c r="CV25873" s="376"/>
    </row>
    <row r="25874" spans="1:100">
      <c r="A25874" s="374"/>
      <c r="C25874" s="374"/>
      <c r="CV25874" s="376"/>
    </row>
    <row r="25875" spans="1:100">
      <c r="A25875" s="374"/>
      <c r="C25875" s="374"/>
      <c r="CV25875" s="376"/>
    </row>
    <row r="25876" spans="1:100">
      <c r="A25876" s="374"/>
      <c r="C25876" s="374"/>
      <c r="CV25876" s="376"/>
    </row>
    <row r="25877" spans="1:100">
      <c r="A25877" s="374"/>
      <c r="C25877" s="374"/>
      <c r="CV25877" s="376"/>
    </row>
    <row r="25878" spans="1:100">
      <c r="A25878" s="374"/>
      <c r="C25878" s="374"/>
      <c r="CV25878" s="376"/>
    </row>
    <row r="25879" spans="1:100">
      <c r="A25879" s="374"/>
      <c r="C25879" s="374"/>
      <c r="CV25879" s="376"/>
    </row>
    <row r="25880" spans="1:100">
      <c r="A25880" s="374"/>
      <c r="C25880" s="374"/>
      <c r="CV25880" s="376"/>
    </row>
    <row r="25881" spans="1:100">
      <c r="A25881" s="374"/>
      <c r="C25881" s="374"/>
      <c r="CV25881" s="376"/>
    </row>
    <row r="25882" spans="1:100">
      <c r="A25882" s="374"/>
      <c r="C25882" s="374"/>
      <c r="CV25882" s="376"/>
    </row>
    <row r="25883" spans="1:100">
      <c r="A25883" s="374"/>
      <c r="C25883" s="374"/>
      <c r="CV25883" s="376"/>
    </row>
    <row r="25884" spans="1:100">
      <c r="A25884" s="374"/>
      <c r="C25884" s="374"/>
      <c r="CV25884" s="376"/>
    </row>
    <row r="25885" spans="1:100">
      <c r="A25885" s="374"/>
      <c r="C25885" s="374"/>
      <c r="CV25885" s="376"/>
    </row>
    <row r="25886" spans="1:100">
      <c r="A25886" s="374"/>
      <c r="C25886" s="374"/>
      <c r="CV25886" s="376"/>
    </row>
    <row r="25887" spans="1:100">
      <c r="A25887" s="374"/>
      <c r="C25887" s="374"/>
      <c r="CV25887" s="376"/>
    </row>
    <row r="25888" spans="1:100">
      <c r="A25888" s="374"/>
      <c r="C25888" s="374"/>
      <c r="CV25888" s="376"/>
    </row>
    <row r="25889" spans="1:100">
      <c r="A25889" s="374"/>
      <c r="C25889" s="374"/>
      <c r="CV25889" s="376"/>
    </row>
    <row r="25890" spans="1:100">
      <c r="A25890" s="374"/>
      <c r="C25890" s="374"/>
      <c r="CV25890" s="376"/>
    </row>
    <row r="25891" spans="1:100">
      <c r="A25891" s="374"/>
      <c r="C25891" s="374"/>
      <c r="CV25891" s="376"/>
    </row>
    <row r="25892" spans="1:100">
      <c r="A25892" s="374"/>
      <c r="C25892" s="374"/>
      <c r="CV25892" s="376"/>
    </row>
    <row r="25893" spans="1:100">
      <c r="A25893" s="374"/>
      <c r="C25893" s="374"/>
      <c r="CV25893" s="376"/>
    </row>
    <row r="25894" spans="1:100">
      <c r="A25894" s="374"/>
      <c r="C25894" s="374"/>
      <c r="CV25894" s="376"/>
    </row>
    <row r="25895" spans="1:100">
      <c r="A25895" s="374"/>
      <c r="C25895" s="374"/>
      <c r="CV25895" s="376"/>
    </row>
    <row r="25896" spans="1:100">
      <c r="A25896" s="374"/>
      <c r="C25896" s="374"/>
      <c r="CV25896" s="376"/>
    </row>
    <row r="25897" spans="1:100">
      <c r="A25897" s="374"/>
      <c r="C25897" s="374"/>
      <c r="CV25897" s="376"/>
    </row>
    <row r="25898" spans="1:100">
      <c r="A25898" s="374"/>
      <c r="C25898" s="374"/>
      <c r="CV25898" s="376"/>
    </row>
    <row r="25899" spans="1:100">
      <c r="A25899" s="374"/>
      <c r="C25899" s="374"/>
      <c r="CV25899" s="376"/>
    </row>
    <row r="25900" spans="1:100">
      <c r="A25900" s="374"/>
      <c r="C25900" s="374"/>
      <c r="CV25900" s="376"/>
    </row>
    <row r="25901" spans="1:100">
      <c r="A25901" s="374"/>
      <c r="C25901" s="374"/>
      <c r="CV25901" s="376"/>
    </row>
    <row r="25902" spans="1:100">
      <c r="A25902" s="374"/>
      <c r="C25902" s="374"/>
      <c r="CV25902" s="376"/>
    </row>
    <row r="25903" spans="1:100">
      <c r="A25903" s="374"/>
      <c r="C25903" s="374"/>
      <c r="CV25903" s="376"/>
    </row>
    <row r="25904" spans="1:100">
      <c r="A25904" s="374"/>
      <c r="C25904" s="374"/>
      <c r="CV25904" s="376"/>
    </row>
    <row r="25905" spans="1:100">
      <c r="A25905" s="374"/>
      <c r="C25905" s="374"/>
      <c r="CV25905" s="376"/>
    </row>
    <row r="25906" spans="1:100">
      <c r="A25906" s="374"/>
      <c r="C25906" s="374"/>
      <c r="CV25906" s="376"/>
    </row>
    <row r="25907" spans="1:100">
      <c r="A25907" s="374"/>
      <c r="C25907" s="374"/>
      <c r="CV25907" s="376"/>
    </row>
    <row r="25908" spans="1:100">
      <c r="A25908" s="374"/>
      <c r="C25908" s="374"/>
      <c r="CV25908" s="376"/>
    </row>
    <row r="25909" spans="1:100">
      <c r="A25909" s="374"/>
      <c r="C25909" s="374"/>
      <c r="CV25909" s="376"/>
    </row>
    <row r="25910" spans="1:100">
      <c r="A25910" s="374"/>
      <c r="C25910" s="374"/>
      <c r="CV25910" s="376"/>
    </row>
    <row r="25911" spans="1:100">
      <c r="A25911" s="374"/>
      <c r="C25911" s="374"/>
      <c r="CV25911" s="376"/>
    </row>
    <row r="25912" spans="1:100">
      <c r="A25912" s="374"/>
      <c r="C25912" s="374"/>
      <c r="CV25912" s="376"/>
    </row>
    <row r="25913" spans="1:100">
      <c r="A25913" s="374"/>
      <c r="C25913" s="374"/>
      <c r="CV25913" s="376"/>
    </row>
    <row r="25914" spans="1:100">
      <c r="A25914" s="374"/>
      <c r="C25914" s="374"/>
      <c r="CV25914" s="376"/>
    </row>
    <row r="25915" spans="1:100">
      <c r="A25915" s="374"/>
      <c r="C25915" s="374"/>
      <c r="CV25915" s="376"/>
    </row>
    <row r="25916" spans="1:100">
      <c r="A25916" s="374"/>
      <c r="C25916" s="374"/>
      <c r="CV25916" s="376"/>
    </row>
    <row r="25917" spans="1:100">
      <c r="A25917" s="374"/>
      <c r="C25917" s="374"/>
      <c r="CV25917" s="376"/>
    </row>
    <row r="25918" spans="1:100">
      <c r="A25918" s="374"/>
      <c r="C25918" s="374"/>
      <c r="CV25918" s="376"/>
    </row>
    <row r="25919" spans="1:100">
      <c r="A25919" s="374"/>
      <c r="C25919" s="374"/>
      <c r="CV25919" s="376"/>
    </row>
    <row r="25920" spans="1:100">
      <c r="A25920" s="374"/>
      <c r="C25920" s="374"/>
      <c r="CV25920" s="376"/>
    </row>
    <row r="25921" spans="1:100">
      <c r="A25921" s="374"/>
      <c r="C25921" s="374"/>
      <c r="CV25921" s="376"/>
    </row>
    <row r="25922" spans="1:100">
      <c r="A25922" s="374"/>
      <c r="C25922" s="374"/>
      <c r="CV25922" s="376"/>
    </row>
    <row r="25923" spans="1:100">
      <c r="A25923" s="374"/>
      <c r="C25923" s="374"/>
      <c r="CV25923" s="376"/>
    </row>
    <row r="25924" spans="1:100">
      <c r="A25924" s="374"/>
      <c r="C25924" s="374"/>
      <c r="CV25924" s="376"/>
    </row>
    <row r="25925" spans="1:100">
      <c r="A25925" s="374"/>
      <c r="C25925" s="374"/>
      <c r="CV25925" s="376"/>
    </row>
    <row r="25926" spans="1:100">
      <c r="A25926" s="374"/>
      <c r="C25926" s="374"/>
      <c r="CV25926" s="376"/>
    </row>
    <row r="25927" spans="1:100">
      <c r="A25927" s="374"/>
      <c r="C25927" s="374"/>
      <c r="CV25927" s="376"/>
    </row>
    <row r="25928" spans="1:100">
      <c r="A25928" s="374"/>
      <c r="C25928" s="374"/>
      <c r="CV25928" s="376"/>
    </row>
    <row r="25929" spans="1:100">
      <c r="A25929" s="374"/>
      <c r="C25929" s="374"/>
      <c r="CV25929" s="376"/>
    </row>
    <row r="25930" spans="1:100">
      <c r="A25930" s="374"/>
      <c r="C25930" s="374"/>
      <c r="CV25930" s="376"/>
    </row>
    <row r="25931" spans="1:100">
      <c r="A25931" s="374"/>
      <c r="C25931" s="374"/>
      <c r="CV25931" s="376"/>
    </row>
    <row r="25932" spans="1:100">
      <c r="A25932" s="374"/>
      <c r="C25932" s="374"/>
      <c r="CV25932" s="376"/>
    </row>
    <row r="25933" spans="1:100">
      <c r="A25933" s="374"/>
      <c r="C25933" s="374"/>
      <c r="CV25933" s="376"/>
    </row>
    <row r="25934" spans="1:100">
      <c r="A25934" s="374"/>
      <c r="C25934" s="374"/>
      <c r="CV25934" s="376"/>
    </row>
    <row r="25935" spans="1:100">
      <c r="A25935" s="374"/>
      <c r="C25935" s="374"/>
      <c r="CV25935" s="376"/>
    </row>
    <row r="25936" spans="1:100">
      <c r="A25936" s="374"/>
      <c r="C25936" s="374"/>
      <c r="CV25936" s="376"/>
    </row>
    <row r="25937" spans="1:100">
      <c r="A25937" s="374"/>
      <c r="C25937" s="374"/>
      <c r="CV25937" s="376"/>
    </row>
    <row r="25938" spans="1:100">
      <c r="A25938" s="374"/>
      <c r="C25938" s="374"/>
      <c r="CV25938" s="376"/>
    </row>
    <row r="25939" spans="1:100">
      <c r="A25939" s="374"/>
      <c r="C25939" s="374"/>
      <c r="CV25939" s="376"/>
    </row>
    <row r="25940" spans="1:100">
      <c r="A25940" s="374"/>
      <c r="C25940" s="374"/>
      <c r="CV25940" s="376"/>
    </row>
    <row r="25941" spans="1:100">
      <c r="A25941" s="374"/>
      <c r="C25941" s="374"/>
      <c r="CV25941" s="376"/>
    </row>
    <row r="25942" spans="1:100">
      <c r="A25942" s="374"/>
      <c r="C25942" s="374"/>
      <c r="CV25942" s="376"/>
    </row>
    <row r="25943" spans="1:100">
      <c r="A25943" s="374"/>
      <c r="C25943" s="374"/>
      <c r="CV25943" s="376"/>
    </row>
    <row r="25944" spans="1:100">
      <c r="A25944" s="374"/>
      <c r="C25944" s="374"/>
      <c r="CV25944" s="376"/>
    </row>
    <row r="25945" spans="1:100">
      <c r="A25945" s="374"/>
      <c r="C25945" s="374"/>
      <c r="CV25945" s="376"/>
    </row>
    <row r="25946" spans="1:100">
      <c r="A25946" s="374"/>
      <c r="C25946" s="374"/>
      <c r="CV25946" s="376"/>
    </row>
    <row r="25947" spans="1:100">
      <c r="A25947" s="374"/>
      <c r="C25947" s="374"/>
      <c r="CV25947" s="376"/>
    </row>
    <row r="25948" spans="1:100">
      <c r="A25948" s="374"/>
      <c r="C25948" s="374"/>
      <c r="CV25948" s="376"/>
    </row>
    <row r="25949" spans="1:100">
      <c r="A25949" s="374"/>
      <c r="C25949" s="374"/>
      <c r="CV25949" s="376"/>
    </row>
    <row r="25950" spans="1:100">
      <c r="A25950" s="374"/>
      <c r="C25950" s="374"/>
      <c r="CV25950" s="376"/>
    </row>
    <row r="25951" spans="1:100">
      <c r="A25951" s="374"/>
      <c r="C25951" s="374"/>
      <c r="CV25951" s="376"/>
    </row>
    <row r="25952" spans="1:100">
      <c r="A25952" s="374"/>
      <c r="C25952" s="374"/>
      <c r="CV25952" s="376"/>
    </row>
    <row r="25953" spans="1:100">
      <c r="A25953" s="374"/>
      <c r="C25953" s="374"/>
      <c r="CV25953" s="376"/>
    </row>
    <row r="25954" spans="1:100">
      <c r="A25954" s="374"/>
      <c r="C25954" s="374"/>
      <c r="CV25954" s="376"/>
    </row>
    <row r="25955" spans="1:100">
      <c r="A25955" s="374"/>
      <c r="C25955" s="374"/>
      <c r="CV25955" s="376"/>
    </row>
    <row r="25956" spans="1:100">
      <c r="A25956" s="374"/>
      <c r="C25956" s="374"/>
      <c r="CV25956" s="376"/>
    </row>
    <row r="25957" spans="1:100">
      <c r="A25957" s="374"/>
      <c r="C25957" s="374"/>
      <c r="CV25957" s="376"/>
    </row>
    <row r="25958" spans="1:100">
      <c r="A25958" s="374"/>
      <c r="C25958" s="374"/>
      <c r="CV25958" s="376"/>
    </row>
    <row r="25959" spans="1:100">
      <c r="A25959" s="374"/>
      <c r="C25959" s="374"/>
      <c r="CV25959" s="376"/>
    </row>
    <row r="25960" spans="1:100">
      <c r="A25960" s="374"/>
      <c r="C25960" s="374"/>
      <c r="CV25960" s="376"/>
    </row>
    <row r="25961" spans="1:100">
      <c r="A25961" s="374"/>
      <c r="C25961" s="374"/>
      <c r="CV25961" s="376"/>
    </row>
    <row r="25962" spans="1:100">
      <c r="A25962" s="374"/>
      <c r="C25962" s="374"/>
      <c r="CV25962" s="376"/>
    </row>
    <row r="25963" spans="1:100">
      <c r="A25963" s="374"/>
      <c r="C25963" s="374"/>
      <c r="CV25963" s="376"/>
    </row>
    <row r="25964" spans="1:100">
      <c r="A25964" s="374"/>
      <c r="C25964" s="374"/>
      <c r="CV25964" s="376"/>
    </row>
    <row r="25965" spans="1:100">
      <c r="A25965" s="374"/>
      <c r="C25965" s="374"/>
      <c r="CV25965" s="376"/>
    </row>
    <row r="25966" spans="1:100">
      <c r="A25966" s="374"/>
      <c r="C25966" s="374"/>
      <c r="CV25966" s="376"/>
    </row>
    <row r="25967" spans="1:100">
      <c r="A25967" s="374"/>
      <c r="C25967" s="374"/>
      <c r="CV25967" s="376"/>
    </row>
    <row r="25968" spans="1:100">
      <c r="A25968" s="374"/>
      <c r="C25968" s="374"/>
      <c r="CV25968" s="376"/>
    </row>
    <row r="25969" spans="1:100">
      <c r="A25969" s="374"/>
      <c r="C25969" s="374"/>
      <c r="CV25969" s="376"/>
    </row>
    <row r="25970" spans="1:100">
      <c r="A25970" s="374"/>
      <c r="C25970" s="374"/>
      <c r="CV25970" s="376"/>
    </row>
    <row r="25971" spans="1:100">
      <c r="A25971" s="374"/>
      <c r="C25971" s="374"/>
      <c r="CV25971" s="376"/>
    </row>
    <row r="25972" spans="1:100">
      <c r="A25972" s="374"/>
      <c r="C25972" s="374"/>
      <c r="CV25972" s="376"/>
    </row>
    <row r="25973" spans="1:100">
      <c r="A25973" s="374"/>
      <c r="C25973" s="374"/>
      <c r="CV25973" s="376"/>
    </row>
    <row r="25974" spans="1:100">
      <c r="A25974" s="374"/>
      <c r="C25974" s="374"/>
      <c r="CV25974" s="376"/>
    </row>
    <row r="25975" spans="1:100">
      <c r="A25975" s="374"/>
      <c r="C25975" s="374"/>
      <c r="CV25975" s="376"/>
    </row>
    <row r="25976" spans="1:100">
      <c r="A25976" s="374"/>
      <c r="C25976" s="374"/>
      <c r="CV25976" s="376"/>
    </row>
    <row r="25977" spans="1:100">
      <c r="A25977" s="374"/>
      <c r="C25977" s="374"/>
      <c r="CV25977" s="376"/>
    </row>
    <row r="25978" spans="1:100">
      <c r="A25978" s="374"/>
      <c r="C25978" s="374"/>
      <c r="CV25978" s="376"/>
    </row>
    <row r="25979" spans="1:100">
      <c r="A25979" s="374"/>
      <c r="C25979" s="374"/>
      <c r="CV25979" s="376"/>
    </row>
    <row r="25980" spans="1:100">
      <c r="A25980" s="374"/>
      <c r="C25980" s="374"/>
      <c r="CV25980" s="376"/>
    </row>
    <row r="25981" spans="1:100">
      <c r="A25981" s="374"/>
      <c r="C25981" s="374"/>
      <c r="CV25981" s="376"/>
    </row>
    <row r="25982" spans="1:100">
      <c r="A25982" s="374"/>
      <c r="C25982" s="374"/>
      <c r="CV25982" s="376"/>
    </row>
    <row r="25983" spans="1:100">
      <c r="A25983" s="374"/>
      <c r="C25983" s="374"/>
      <c r="CV25983" s="376"/>
    </row>
    <row r="25984" spans="1:100">
      <c r="A25984" s="374"/>
      <c r="C25984" s="374"/>
      <c r="CV25984" s="376"/>
    </row>
    <row r="25985" spans="1:100">
      <c r="A25985" s="374"/>
      <c r="C25985" s="374"/>
      <c r="CV25985" s="376"/>
    </row>
    <row r="25986" spans="1:100">
      <c r="A25986" s="374"/>
      <c r="C25986" s="374"/>
      <c r="CV25986" s="376"/>
    </row>
    <row r="25987" spans="1:100">
      <c r="A25987" s="374"/>
      <c r="C25987" s="374"/>
      <c r="CV25987" s="376"/>
    </row>
    <row r="25988" spans="1:100">
      <c r="A25988" s="374"/>
      <c r="C25988" s="374"/>
      <c r="CV25988" s="376"/>
    </row>
    <row r="25989" spans="1:100">
      <c r="A25989" s="374"/>
      <c r="C25989" s="374"/>
      <c r="CV25989" s="376"/>
    </row>
    <row r="25990" spans="1:100">
      <c r="A25990" s="374"/>
      <c r="C25990" s="374"/>
      <c r="CV25990" s="376"/>
    </row>
    <row r="25991" spans="1:100">
      <c r="A25991" s="374"/>
      <c r="C25991" s="374"/>
      <c r="CV25991" s="376"/>
    </row>
    <row r="25992" spans="1:100">
      <c r="A25992" s="374"/>
      <c r="C25992" s="374"/>
      <c r="CV25992" s="376"/>
    </row>
    <row r="25993" spans="1:100">
      <c r="A25993" s="374"/>
      <c r="C25993" s="374"/>
      <c r="CV25993" s="376"/>
    </row>
    <row r="25994" spans="1:100">
      <c r="A25994" s="374"/>
      <c r="C25994" s="374"/>
      <c r="CV25994" s="376"/>
    </row>
    <row r="25995" spans="1:100">
      <c r="A25995" s="374"/>
      <c r="C25995" s="374"/>
      <c r="CV25995" s="376"/>
    </row>
    <row r="25996" spans="1:100">
      <c r="A25996" s="374"/>
      <c r="C25996" s="374"/>
      <c r="CV25996" s="376"/>
    </row>
    <row r="25997" spans="1:100">
      <c r="A25997" s="374"/>
      <c r="C25997" s="374"/>
      <c r="CV25997" s="376"/>
    </row>
    <row r="25998" spans="1:100">
      <c r="A25998" s="374"/>
      <c r="C25998" s="374"/>
      <c r="CV25998" s="376"/>
    </row>
    <row r="25999" spans="1:100">
      <c r="A25999" s="374"/>
      <c r="C25999" s="374"/>
      <c r="CV25999" s="376"/>
    </row>
    <row r="26000" spans="1:100">
      <c r="A26000" s="374"/>
      <c r="C26000" s="374"/>
      <c r="CV26000" s="376"/>
    </row>
    <row r="26001" spans="1:100">
      <c r="A26001" s="374"/>
      <c r="C26001" s="374"/>
      <c r="CV26001" s="376"/>
    </row>
    <row r="26002" spans="1:100">
      <c r="A26002" s="374"/>
      <c r="C26002" s="374"/>
      <c r="CV26002" s="376"/>
    </row>
    <row r="26003" spans="1:100">
      <c r="A26003" s="374"/>
      <c r="C26003" s="374"/>
      <c r="CV26003" s="376"/>
    </row>
    <row r="26004" spans="1:100">
      <c r="A26004" s="374"/>
      <c r="C26004" s="374"/>
      <c r="CV26004" s="376"/>
    </row>
    <row r="26005" spans="1:100">
      <c r="A26005" s="374"/>
      <c r="C26005" s="374"/>
      <c r="CV26005" s="376"/>
    </row>
    <row r="26006" spans="1:100">
      <c r="A26006" s="374"/>
      <c r="C26006" s="374"/>
      <c r="CV26006" s="376"/>
    </row>
    <row r="26007" spans="1:100">
      <c r="A26007" s="374"/>
      <c r="C26007" s="374"/>
      <c r="CV26007" s="376"/>
    </row>
    <row r="26008" spans="1:100">
      <c r="A26008" s="374"/>
      <c r="C26008" s="374"/>
      <c r="CV26008" s="376"/>
    </row>
    <row r="26009" spans="1:100">
      <c r="A26009" s="374"/>
      <c r="C26009" s="374"/>
      <c r="CV26009" s="376"/>
    </row>
    <row r="26010" spans="1:100">
      <c r="A26010" s="374"/>
      <c r="C26010" s="374"/>
      <c r="CV26010" s="376"/>
    </row>
    <row r="26011" spans="1:100">
      <c r="A26011" s="374"/>
      <c r="C26011" s="374"/>
      <c r="CV26011" s="376"/>
    </row>
    <row r="26012" spans="1:100">
      <c r="A26012" s="374"/>
      <c r="C26012" s="374"/>
      <c r="CV26012" s="376"/>
    </row>
    <row r="26013" spans="1:100">
      <c r="A26013" s="374"/>
      <c r="C26013" s="374"/>
      <c r="CV26013" s="376"/>
    </row>
    <row r="26014" spans="1:100">
      <c r="A26014" s="374"/>
      <c r="C26014" s="374"/>
      <c r="CV26014" s="376"/>
    </row>
    <row r="26015" spans="1:100">
      <c r="A26015" s="374"/>
      <c r="C26015" s="374"/>
      <c r="CV26015" s="376"/>
    </row>
    <row r="26016" spans="1:100">
      <c r="A26016" s="374"/>
      <c r="C26016" s="374"/>
      <c r="CV26016" s="376"/>
    </row>
    <row r="26017" spans="1:100">
      <c r="A26017" s="374"/>
      <c r="C26017" s="374"/>
      <c r="CV26017" s="376"/>
    </row>
    <row r="26018" spans="1:100">
      <c r="A26018" s="374"/>
      <c r="C26018" s="374"/>
      <c r="CV26018" s="376"/>
    </row>
    <row r="26019" spans="1:100">
      <c r="A26019" s="374"/>
      <c r="C26019" s="374"/>
      <c r="CV26019" s="376"/>
    </row>
    <row r="26020" spans="1:100">
      <c r="A26020" s="374"/>
      <c r="C26020" s="374"/>
      <c r="CV26020" s="376"/>
    </row>
    <row r="26021" spans="1:100">
      <c r="A26021" s="374"/>
      <c r="C26021" s="374"/>
      <c r="CV26021" s="376"/>
    </row>
    <row r="26022" spans="1:100">
      <c r="A26022" s="374"/>
      <c r="C26022" s="374"/>
      <c r="CV26022" s="376"/>
    </row>
    <row r="26023" spans="1:100">
      <c r="A26023" s="374"/>
      <c r="C26023" s="374"/>
      <c r="CV26023" s="376"/>
    </row>
    <row r="26024" spans="1:100">
      <c r="A26024" s="374"/>
      <c r="C26024" s="374"/>
      <c r="CV26024" s="376"/>
    </row>
    <row r="26025" spans="1:100">
      <c r="A26025" s="374"/>
      <c r="C26025" s="374"/>
      <c r="CV26025" s="376"/>
    </row>
    <row r="26026" spans="1:100">
      <c r="A26026" s="374"/>
      <c r="C26026" s="374"/>
      <c r="CV26026" s="376"/>
    </row>
    <row r="26027" spans="1:100">
      <c r="A26027" s="374"/>
      <c r="C26027" s="374"/>
      <c r="CV26027" s="376"/>
    </row>
    <row r="26028" spans="1:100">
      <c r="A26028" s="374"/>
      <c r="C26028" s="374"/>
      <c r="CV26028" s="376"/>
    </row>
    <row r="26029" spans="1:100">
      <c r="A26029" s="374"/>
      <c r="C26029" s="374"/>
      <c r="CV26029" s="376"/>
    </row>
    <row r="26030" spans="1:100">
      <c r="A26030" s="374"/>
      <c r="C26030" s="374"/>
      <c r="CV26030" s="376"/>
    </row>
    <row r="26031" spans="1:100">
      <c r="A26031" s="374"/>
      <c r="C26031" s="374"/>
      <c r="CV26031" s="376"/>
    </row>
    <row r="26032" spans="1:100">
      <c r="A26032" s="374"/>
      <c r="C26032" s="374"/>
      <c r="CV26032" s="376"/>
    </row>
    <row r="26033" spans="1:100">
      <c r="A26033" s="374"/>
      <c r="C26033" s="374"/>
      <c r="CV26033" s="376"/>
    </row>
    <row r="26034" spans="1:100">
      <c r="A26034" s="374"/>
      <c r="C26034" s="374"/>
      <c r="CV26034" s="376"/>
    </row>
    <row r="26035" spans="1:100">
      <c r="A26035" s="374"/>
      <c r="C26035" s="374"/>
      <c r="CV26035" s="376"/>
    </row>
    <row r="26036" spans="1:100">
      <c r="A26036" s="374"/>
      <c r="C26036" s="374"/>
      <c r="CV26036" s="376"/>
    </row>
    <row r="26037" spans="1:100">
      <c r="A26037" s="374"/>
      <c r="C26037" s="374"/>
      <c r="CV26037" s="376"/>
    </row>
    <row r="26038" spans="1:100">
      <c r="A26038" s="374"/>
      <c r="C26038" s="374"/>
      <c r="CV26038" s="376"/>
    </row>
    <row r="26039" spans="1:100">
      <c r="A26039" s="374"/>
      <c r="C26039" s="374"/>
      <c r="CV26039" s="376"/>
    </row>
    <row r="26040" spans="1:100">
      <c r="A26040" s="374"/>
      <c r="C26040" s="374"/>
      <c r="CV26040" s="376"/>
    </row>
    <row r="26041" spans="1:100">
      <c r="A26041" s="374"/>
      <c r="C26041" s="374"/>
      <c r="CV26041" s="376"/>
    </row>
    <row r="26042" spans="1:100">
      <c r="A26042" s="374"/>
      <c r="C26042" s="374"/>
      <c r="CV26042" s="376"/>
    </row>
    <row r="26043" spans="1:100">
      <c r="A26043" s="374"/>
      <c r="C26043" s="374"/>
      <c r="CV26043" s="376"/>
    </row>
    <row r="26044" spans="1:100">
      <c r="A26044" s="374"/>
      <c r="C26044" s="374"/>
      <c r="CV26044" s="376"/>
    </row>
    <row r="26045" spans="1:100">
      <c r="A26045" s="374"/>
      <c r="C26045" s="374"/>
      <c r="CV26045" s="376"/>
    </row>
    <row r="26046" spans="1:100">
      <c r="A26046" s="374"/>
      <c r="C26046" s="374"/>
      <c r="CV26046" s="376"/>
    </row>
    <row r="26047" spans="1:100">
      <c r="A26047" s="374"/>
      <c r="C26047" s="374"/>
      <c r="CV26047" s="376"/>
    </row>
    <row r="26048" spans="1:100">
      <c r="A26048" s="374"/>
      <c r="C26048" s="374"/>
      <c r="CV26048" s="376"/>
    </row>
    <row r="26049" spans="1:100">
      <c r="A26049" s="374"/>
      <c r="C26049" s="374"/>
      <c r="CV26049" s="376"/>
    </row>
    <row r="26050" spans="1:100">
      <c r="A26050" s="374"/>
      <c r="C26050" s="374"/>
      <c r="CV26050" s="376"/>
    </row>
    <row r="26051" spans="1:100">
      <c r="A26051" s="374"/>
      <c r="C26051" s="374"/>
      <c r="CV26051" s="376"/>
    </row>
    <row r="26052" spans="1:100">
      <c r="A26052" s="374"/>
      <c r="C26052" s="374"/>
      <c r="CV26052" s="376"/>
    </row>
    <row r="26053" spans="1:100">
      <c r="A26053" s="374"/>
      <c r="C26053" s="374"/>
      <c r="CV26053" s="376"/>
    </row>
    <row r="26054" spans="1:100">
      <c r="A26054" s="374"/>
      <c r="C26054" s="374"/>
      <c r="CV26054" s="376"/>
    </row>
    <row r="26055" spans="1:100">
      <c r="A26055" s="374"/>
      <c r="C26055" s="374"/>
      <c r="CV26055" s="376"/>
    </row>
    <row r="26056" spans="1:100">
      <c r="A26056" s="374"/>
      <c r="C26056" s="374"/>
      <c r="CV26056" s="376"/>
    </row>
    <row r="26057" spans="1:100">
      <c r="A26057" s="374"/>
      <c r="C26057" s="374"/>
      <c r="CV26057" s="376"/>
    </row>
    <row r="26058" spans="1:100">
      <c r="A26058" s="374"/>
      <c r="C26058" s="374"/>
      <c r="CV26058" s="376"/>
    </row>
    <row r="26059" spans="1:100">
      <c r="A26059" s="374"/>
      <c r="C26059" s="374"/>
      <c r="CV26059" s="376"/>
    </row>
    <row r="26060" spans="1:100">
      <c r="A26060" s="374"/>
      <c r="C26060" s="374"/>
      <c r="CV26060" s="376"/>
    </row>
    <row r="26061" spans="1:100">
      <c r="A26061" s="374"/>
      <c r="C26061" s="374"/>
      <c r="CV26061" s="376"/>
    </row>
    <row r="26062" spans="1:100">
      <c r="A26062" s="374"/>
      <c r="C26062" s="374"/>
      <c r="CV26062" s="376"/>
    </row>
    <row r="26063" spans="1:100">
      <c r="A26063" s="374"/>
      <c r="C26063" s="374"/>
      <c r="CV26063" s="376"/>
    </row>
    <row r="26064" spans="1:100">
      <c r="A26064" s="374"/>
      <c r="C26064" s="374"/>
      <c r="CV26064" s="376"/>
    </row>
    <row r="26065" spans="1:100">
      <c r="A26065" s="374"/>
      <c r="C26065" s="374"/>
      <c r="CV26065" s="376"/>
    </row>
    <row r="26066" spans="1:100">
      <c r="A26066" s="374"/>
      <c r="C26066" s="374"/>
      <c r="CV26066" s="376"/>
    </row>
    <row r="26067" spans="1:100">
      <c r="A26067" s="374"/>
      <c r="C26067" s="374"/>
      <c r="CV26067" s="376"/>
    </row>
    <row r="26068" spans="1:100">
      <c r="A26068" s="374"/>
      <c r="C26068" s="374"/>
      <c r="CV26068" s="376"/>
    </row>
    <row r="26069" spans="1:100">
      <c r="A26069" s="374"/>
      <c r="C26069" s="374"/>
      <c r="CV26069" s="376"/>
    </row>
    <row r="26070" spans="1:100">
      <c r="A26070" s="374"/>
      <c r="C26070" s="374"/>
      <c r="CV26070" s="376"/>
    </row>
    <row r="26071" spans="1:100">
      <c r="A26071" s="374"/>
      <c r="C26071" s="374"/>
      <c r="CV26071" s="376"/>
    </row>
    <row r="26072" spans="1:100">
      <c r="A26072" s="374"/>
      <c r="C26072" s="374"/>
      <c r="CV26072" s="376"/>
    </row>
    <row r="26073" spans="1:100">
      <c r="A26073" s="374"/>
      <c r="C26073" s="374"/>
      <c r="CV26073" s="376"/>
    </row>
    <row r="26074" spans="1:100">
      <c r="A26074" s="374"/>
      <c r="C26074" s="374"/>
      <c r="CV26074" s="376"/>
    </row>
    <row r="26075" spans="1:100">
      <c r="A26075" s="374"/>
      <c r="C26075" s="374"/>
      <c r="CV26075" s="376"/>
    </row>
    <row r="26076" spans="1:100">
      <c r="A26076" s="374"/>
      <c r="C26076" s="374"/>
      <c r="CV26076" s="376"/>
    </row>
    <row r="26077" spans="1:100">
      <c r="A26077" s="374"/>
      <c r="C26077" s="374"/>
      <c r="CV26077" s="376"/>
    </row>
    <row r="26078" spans="1:100">
      <c r="A26078" s="374"/>
      <c r="C26078" s="374"/>
      <c r="CV26078" s="376"/>
    </row>
    <row r="26079" spans="1:100">
      <c r="A26079" s="374"/>
      <c r="C26079" s="374"/>
      <c r="CV26079" s="376"/>
    </row>
    <row r="26080" spans="1:100">
      <c r="A26080" s="374"/>
      <c r="C26080" s="374"/>
      <c r="CV26080" s="376"/>
    </row>
    <row r="26081" spans="1:100">
      <c r="A26081" s="374"/>
      <c r="C26081" s="374"/>
      <c r="CV26081" s="376"/>
    </row>
    <row r="26082" spans="1:100">
      <c r="A26082" s="374"/>
      <c r="C26082" s="374"/>
      <c r="CV26082" s="376"/>
    </row>
    <row r="26083" spans="1:100">
      <c r="A26083" s="374"/>
      <c r="C26083" s="374"/>
      <c r="CV26083" s="376"/>
    </row>
    <row r="26084" spans="1:100">
      <c r="A26084" s="374"/>
      <c r="C26084" s="374"/>
      <c r="CV26084" s="376"/>
    </row>
    <row r="26085" spans="1:100">
      <c r="A26085" s="374"/>
      <c r="C26085" s="374"/>
      <c r="CV26085" s="376"/>
    </row>
    <row r="26086" spans="1:100">
      <c r="A26086" s="374"/>
      <c r="C26086" s="374"/>
      <c r="CV26086" s="376"/>
    </row>
    <row r="26087" spans="1:100">
      <c r="A26087" s="374"/>
      <c r="C26087" s="374"/>
      <c r="CV26087" s="376"/>
    </row>
    <row r="26088" spans="1:100">
      <c r="A26088" s="374"/>
      <c r="C26088" s="374"/>
      <c r="CV26088" s="376"/>
    </row>
    <row r="26089" spans="1:100">
      <c r="A26089" s="374"/>
      <c r="C26089" s="374"/>
      <c r="CV26089" s="376"/>
    </row>
    <row r="26090" spans="1:100">
      <c r="A26090" s="374"/>
      <c r="C26090" s="374"/>
      <c r="CV26090" s="376"/>
    </row>
    <row r="26091" spans="1:100">
      <c r="A26091" s="374"/>
      <c r="C26091" s="374"/>
      <c r="CV26091" s="376"/>
    </row>
    <row r="26092" spans="1:100">
      <c r="A26092" s="374"/>
      <c r="C26092" s="374"/>
      <c r="CV26092" s="376"/>
    </row>
    <row r="26093" spans="1:100">
      <c r="A26093" s="374"/>
      <c r="C26093" s="374"/>
      <c r="CV26093" s="376"/>
    </row>
    <row r="26094" spans="1:100">
      <c r="A26094" s="374"/>
      <c r="C26094" s="374"/>
      <c r="CV26094" s="376"/>
    </row>
    <row r="26095" spans="1:100">
      <c r="A26095" s="374"/>
      <c r="C26095" s="374"/>
      <c r="CV26095" s="376"/>
    </row>
    <row r="26096" spans="1:100">
      <c r="A26096" s="374"/>
      <c r="C26096" s="374"/>
      <c r="CV26096" s="376"/>
    </row>
    <row r="26097" spans="1:100">
      <c r="A26097" s="374"/>
      <c r="C26097" s="374"/>
      <c r="CV26097" s="376"/>
    </row>
    <row r="26098" spans="1:100">
      <c r="A26098" s="374"/>
      <c r="C26098" s="374"/>
      <c r="CV26098" s="376"/>
    </row>
    <row r="26099" spans="1:100">
      <c r="A26099" s="374"/>
      <c r="C26099" s="374"/>
      <c r="CV26099" s="376"/>
    </row>
    <row r="26100" spans="1:100">
      <c r="A26100" s="374"/>
      <c r="C26100" s="374"/>
      <c r="CV26100" s="376"/>
    </row>
    <row r="26101" spans="1:100">
      <c r="A26101" s="374"/>
      <c r="C26101" s="374"/>
      <c r="CV26101" s="376"/>
    </row>
    <row r="26102" spans="1:100">
      <c r="A26102" s="374"/>
      <c r="C26102" s="374"/>
      <c r="CV26102" s="376"/>
    </row>
    <row r="26103" spans="1:100">
      <c r="A26103" s="374"/>
      <c r="C26103" s="374"/>
      <c r="CV26103" s="376"/>
    </row>
    <row r="26104" spans="1:100">
      <c r="A26104" s="374"/>
      <c r="C26104" s="374"/>
      <c r="CV26104" s="376"/>
    </row>
    <row r="26105" spans="1:100">
      <c r="A26105" s="374"/>
      <c r="C26105" s="374"/>
      <c r="CV26105" s="376"/>
    </row>
    <row r="26106" spans="1:100">
      <c r="A26106" s="374"/>
      <c r="C26106" s="374"/>
      <c r="CV26106" s="376"/>
    </row>
    <row r="26107" spans="1:100">
      <c r="A26107" s="374"/>
      <c r="C26107" s="374"/>
      <c r="CV26107" s="376"/>
    </row>
    <row r="26108" spans="1:100">
      <c r="A26108" s="374"/>
      <c r="C26108" s="374"/>
      <c r="CV26108" s="376"/>
    </row>
    <row r="26109" spans="1:100">
      <c r="A26109" s="374"/>
      <c r="C26109" s="374"/>
      <c r="CV26109" s="376"/>
    </row>
    <row r="26110" spans="1:100">
      <c r="A26110" s="374"/>
      <c r="C26110" s="374"/>
      <c r="CV26110" s="376"/>
    </row>
    <row r="26111" spans="1:100">
      <c r="A26111" s="374"/>
      <c r="C26111" s="374"/>
      <c r="CV26111" s="376"/>
    </row>
    <row r="26112" spans="1:100">
      <c r="A26112" s="374"/>
      <c r="C26112" s="374"/>
      <c r="CV26112" s="376"/>
    </row>
    <row r="26113" spans="1:100">
      <c r="A26113" s="374"/>
      <c r="C26113" s="374"/>
      <c r="CV26113" s="376"/>
    </row>
    <row r="26114" spans="1:100">
      <c r="A26114" s="374"/>
      <c r="C26114" s="374"/>
      <c r="CV26114" s="376"/>
    </row>
    <row r="26115" spans="1:100">
      <c r="A26115" s="374"/>
      <c r="C26115" s="374"/>
      <c r="CV26115" s="376"/>
    </row>
    <row r="26116" spans="1:100">
      <c r="A26116" s="374"/>
      <c r="C26116" s="374"/>
      <c r="CV26116" s="376"/>
    </row>
    <row r="26117" spans="1:100">
      <c r="A26117" s="374"/>
      <c r="C26117" s="374"/>
      <c r="CV26117" s="376"/>
    </row>
    <row r="26118" spans="1:100">
      <c r="A26118" s="374"/>
      <c r="C26118" s="374"/>
      <c r="CV26118" s="376"/>
    </row>
    <row r="26119" spans="1:100">
      <c r="A26119" s="374"/>
      <c r="C26119" s="374"/>
      <c r="CV26119" s="376"/>
    </row>
    <row r="26120" spans="1:100">
      <c r="A26120" s="374"/>
      <c r="C26120" s="374"/>
      <c r="CV26120" s="376"/>
    </row>
    <row r="26121" spans="1:100">
      <c r="A26121" s="374"/>
      <c r="C26121" s="374"/>
      <c r="CV26121" s="376"/>
    </row>
    <row r="26122" spans="1:100">
      <c r="A26122" s="374"/>
      <c r="C26122" s="374"/>
      <c r="CV26122" s="376"/>
    </row>
    <row r="26123" spans="1:100">
      <c r="A26123" s="374"/>
      <c r="C26123" s="374"/>
      <c r="CV26123" s="376"/>
    </row>
    <row r="26124" spans="1:100">
      <c r="A26124" s="374"/>
      <c r="C26124" s="374"/>
      <c r="CV26124" s="376"/>
    </row>
    <row r="26125" spans="1:100">
      <c r="A26125" s="374"/>
      <c r="C26125" s="374"/>
      <c r="CV26125" s="376"/>
    </row>
    <row r="26126" spans="1:100">
      <c r="A26126" s="374"/>
      <c r="C26126" s="374"/>
      <c r="CV26126" s="376"/>
    </row>
    <row r="26127" spans="1:100">
      <c r="A26127" s="374"/>
      <c r="C26127" s="374"/>
      <c r="CV26127" s="376"/>
    </row>
    <row r="26128" spans="1:100">
      <c r="A26128" s="374"/>
      <c r="C26128" s="374"/>
      <c r="CV26128" s="376"/>
    </row>
    <row r="26129" spans="1:100">
      <c r="A26129" s="374"/>
      <c r="C26129" s="374"/>
      <c r="CV26129" s="376"/>
    </row>
    <row r="26130" spans="1:100">
      <c r="A26130" s="374"/>
      <c r="C26130" s="374"/>
      <c r="CV26130" s="376"/>
    </row>
    <row r="26131" spans="1:100">
      <c r="A26131" s="374"/>
      <c r="C26131" s="374"/>
      <c r="CV26131" s="376"/>
    </row>
    <row r="26132" spans="1:100">
      <c r="A26132" s="374"/>
      <c r="C26132" s="374"/>
      <c r="CV26132" s="376"/>
    </row>
    <row r="26133" spans="1:100">
      <c r="A26133" s="374"/>
      <c r="C26133" s="374"/>
      <c r="CV26133" s="376"/>
    </row>
    <row r="26134" spans="1:100">
      <c r="A26134" s="374"/>
      <c r="C26134" s="374"/>
      <c r="CV26134" s="376"/>
    </row>
    <row r="26135" spans="1:100">
      <c r="A26135" s="374"/>
      <c r="C26135" s="374"/>
      <c r="CV26135" s="376"/>
    </row>
    <row r="26136" spans="1:100">
      <c r="A26136" s="374"/>
      <c r="C26136" s="374"/>
      <c r="CV26136" s="376"/>
    </row>
    <row r="26137" spans="1:100">
      <c r="A26137" s="374"/>
      <c r="C26137" s="374"/>
      <c r="CV26137" s="376"/>
    </row>
    <row r="26138" spans="1:100">
      <c r="A26138" s="374"/>
      <c r="C26138" s="374"/>
      <c r="CV26138" s="376"/>
    </row>
    <row r="26139" spans="1:100">
      <c r="A26139" s="374"/>
      <c r="C26139" s="374"/>
      <c r="CV26139" s="376"/>
    </row>
    <row r="26140" spans="1:100">
      <c r="A26140" s="374"/>
      <c r="C26140" s="374"/>
      <c r="CV26140" s="376"/>
    </row>
    <row r="26141" spans="1:100">
      <c r="A26141" s="374"/>
      <c r="C26141" s="374"/>
      <c r="CV26141" s="376"/>
    </row>
    <row r="26142" spans="1:100">
      <c r="A26142" s="374"/>
      <c r="C26142" s="374"/>
      <c r="CV26142" s="376"/>
    </row>
    <row r="26143" spans="1:100">
      <c r="A26143" s="374"/>
      <c r="C26143" s="374"/>
      <c r="CV26143" s="376"/>
    </row>
    <row r="26144" spans="1:100">
      <c r="A26144" s="374"/>
      <c r="C26144" s="374"/>
      <c r="CV26144" s="376"/>
    </row>
    <row r="26145" spans="1:100">
      <c r="A26145" s="374"/>
      <c r="C26145" s="374"/>
      <c r="CV26145" s="376"/>
    </row>
    <row r="26146" spans="1:100">
      <c r="A26146" s="374"/>
      <c r="C26146" s="374"/>
      <c r="CV26146" s="376"/>
    </row>
    <row r="26147" spans="1:100">
      <c r="A26147" s="374"/>
      <c r="C26147" s="374"/>
      <c r="CV26147" s="376"/>
    </row>
    <row r="26148" spans="1:100">
      <c r="A26148" s="374"/>
      <c r="C26148" s="374"/>
      <c r="CV26148" s="376"/>
    </row>
    <row r="26149" spans="1:100">
      <c r="A26149" s="374"/>
      <c r="C26149" s="374"/>
      <c r="CV26149" s="376"/>
    </row>
    <row r="26150" spans="1:100">
      <c r="A26150" s="374"/>
      <c r="C26150" s="374"/>
      <c r="CV26150" s="376"/>
    </row>
    <row r="26151" spans="1:100">
      <c r="A26151" s="374"/>
      <c r="C26151" s="374"/>
      <c r="CV26151" s="376"/>
    </row>
    <row r="26152" spans="1:100">
      <c r="A26152" s="374"/>
      <c r="C26152" s="374"/>
      <c r="CV26152" s="376"/>
    </row>
    <row r="26153" spans="1:100">
      <c r="A26153" s="374"/>
      <c r="C26153" s="374"/>
      <c r="CV26153" s="376"/>
    </row>
    <row r="26154" spans="1:100">
      <c r="A26154" s="374"/>
      <c r="C26154" s="374"/>
      <c r="CV26154" s="376"/>
    </row>
    <row r="26155" spans="1:100">
      <c r="A26155" s="374"/>
      <c r="C26155" s="374"/>
      <c r="CV26155" s="376"/>
    </row>
    <row r="26156" spans="1:100">
      <c r="A26156" s="374"/>
      <c r="C26156" s="374"/>
      <c r="CV26156" s="376"/>
    </row>
    <row r="26157" spans="1:100">
      <c r="A26157" s="374"/>
      <c r="C26157" s="374"/>
      <c r="CV26157" s="376"/>
    </row>
    <row r="26158" spans="1:100">
      <c r="A26158" s="374"/>
      <c r="C26158" s="374"/>
      <c r="CV26158" s="376"/>
    </row>
    <row r="26159" spans="1:100">
      <c r="A26159" s="374"/>
      <c r="C26159" s="374"/>
      <c r="CV26159" s="376"/>
    </row>
    <row r="26160" spans="1:100">
      <c r="A26160" s="374"/>
      <c r="C26160" s="374"/>
      <c r="CV26160" s="376"/>
    </row>
    <row r="26161" spans="1:100">
      <c r="A26161" s="374"/>
      <c r="C26161" s="374"/>
      <c r="CV26161" s="376"/>
    </row>
    <row r="26162" spans="1:100">
      <c r="A26162" s="374"/>
      <c r="C26162" s="374"/>
      <c r="CV26162" s="376"/>
    </row>
    <row r="26163" spans="1:100">
      <c r="A26163" s="374"/>
      <c r="C26163" s="374"/>
      <c r="CV26163" s="376"/>
    </row>
    <row r="26164" spans="1:100">
      <c r="A26164" s="374"/>
      <c r="C26164" s="374"/>
      <c r="CV26164" s="376"/>
    </row>
    <row r="26165" spans="1:100">
      <c r="A26165" s="374"/>
      <c r="C26165" s="374"/>
      <c r="CV26165" s="376"/>
    </row>
    <row r="26166" spans="1:100">
      <c r="A26166" s="374"/>
      <c r="C26166" s="374"/>
      <c r="CV26166" s="376"/>
    </row>
    <row r="26167" spans="1:100">
      <c r="A26167" s="374"/>
      <c r="C26167" s="374"/>
      <c r="CV26167" s="376"/>
    </row>
    <row r="26168" spans="1:100">
      <c r="A26168" s="374"/>
      <c r="C26168" s="374"/>
      <c r="CV26168" s="376"/>
    </row>
    <row r="26169" spans="1:100">
      <c r="A26169" s="374"/>
      <c r="C26169" s="374"/>
      <c r="CV26169" s="376"/>
    </row>
    <row r="26170" spans="1:100">
      <c r="A26170" s="374"/>
      <c r="C26170" s="374"/>
      <c r="CV26170" s="376"/>
    </row>
    <row r="26171" spans="1:100">
      <c r="A26171" s="374"/>
      <c r="C26171" s="374"/>
      <c r="CV26171" s="376"/>
    </row>
    <row r="26172" spans="1:100">
      <c r="A26172" s="374"/>
      <c r="C26172" s="374"/>
      <c r="CV26172" s="376"/>
    </row>
    <row r="26173" spans="1:100">
      <c r="A26173" s="374"/>
      <c r="C26173" s="374"/>
      <c r="CV26173" s="376"/>
    </row>
    <row r="26174" spans="1:100">
      <c r="A26174" s="374"/>
      <c r="C26174" s="374"/>
      <c r="CV26174" s="376"/>
    </row>
    <row r="26175" spans="1:100">
      <c r="A26175" s="374"/>
      <c r="C26175" s="374"/>
      <c r="CV26175" s="376"/>
    </row>
    <row r="26176" spans="1:100">
      <c r="A26176" s="374"/>
      <c r="C26176" s="374"/>
      <c r="CV26176" s="376"/>
    </row>
    <row r="26177" spans="1:100">
      <c r="A26177" s="374"/>
      <c r="C26177" s="374"/>
      <c r="CV26177" s="376"/>
    </row>
    <row r="26178" spans="1:100">
      <c r="A26178" s="374"/>
      <c r="C26178" s="374"/>
      <c r="CV26178" s="376"/>
    </row>
    <row r="26179" spans="1:100">
      <c r="A26179" s="374"/>
      <c r="C26179" s="374"/>
      <c r="CV26179" s="376"/>
    </row>
    <row r="26180" spans="1:100">
      <c r="A26180" s="374"/>
      <c r="C26180" s="374"/>
      <c r="CV26180" s="376"/>
    </row>
    <row r="26181" spans="1:100">
      <c r="A26181" s="374"/>
      <c r="C26181" s="374"/>
      <c r="CV26181" s="376"/>
    </row>
    <row r="26182" spans="1:100">
      <c r="A26182" s="374"/>
      <c r="C26182" s="374"/>
      <c r="CV26182" s="376"/>
    </row>
    <row r="26183" spans="1:100">
      <c r="A26183" s="374"/>
      <c r="C26183" s="374"/>
      <c r="CV26183" s="376"/>
    </row>
    <row r="26184" spans="1:100">
      <c r="A26184" s="374"/>
      <c r="C26184" s="374"/>
      <c r="CV26184" s="376"/>
    </row>
    <row r="26185" spans="1:100">
      <c r="A26185" s="374"/>
      <c r="C26185" s="374"/>
      <c r="CV26185" s="376"/>
    </row>
    <row r="26186" spans="1:100">
      <c r="A26186" s="374"/>
      <c r="C26186" s="374"/>
      <c r="CV26186" s="376"/>
    </row>
    <row r="26187" spans="1:100">
      <c r="A26187" s="374"/>
      <c r="C26187" s="374"/>
      <c r="CV26187" s="376"/>
    </row>
    <row r="26188" spans="1:100">
      <c r="A26188" s="374"/>
      <c r="C26188" s="374"/>
      <c r="CV26188" s="376"/>
    </row>
    <row r="26189" spans="1:100">
      <c r="A26189" s="374"/>
      <c r="C26189" s="374"/>
      <c r="CV26189" s="376"/>
    </row>
    <row r="26190" spans="1:100">
      <c r="A26190" s="374"/>
      <c r="C26190" s="374"/>
      <c r="CV26190" s="376"/>
    </row>
    <row r="26191" spans="1:100">
      <c r="A26191" s="374"/>
      <c r="C26191" s="374"/>
      <c r="CV26191" s="376"/>
    </row>
    <row r="26192" spans="1:100">
      <c r="A26192" s="374"/>
      <c r="C26192" s="374"/>
      <c r="CV26192" s="376"/>
    </row>
    <row r="26193" spans="1:100">
      <c r="A26193" s="374"/>
      <c r="C26193" s="374"/>
      <c r="CV26193" s="376"/>
    </row>
    <row r="26194" spans="1:100">
      <c r="A26194" s="374"/>
      <c r="C26194" s="374"/>
      <c r="CV26194" s="376"/>
    </row>
    <row r="26195" spans="1:100">
      <c r="A26195" s="374"/>
      <c r="C26195" s="374"/>
      <c r="CV26195" s="376"/>
    </row>
    <row r="26196" spans="1:100">
      <c r="A26196" s="374"/>
      <c r="C26196" s="374"/>
      <c r="CV26196" s="376"/>
    </row>
    <row r="26197" spans="1:100">
      <c r="A26197" s="374"/>
      <c r="C26197" s="374"/>
      <c r="CV26197" s="376"/>
    </row>
    <row r="26198" spans="1:100">
      <c r="A26198" s="374"/>
      <c r="C26198" s="374"/>
      <c r="CV26198" s="376"/>
    </row>
    <row r="26199" spans="1:100">
      <c r="A26199" s="374"/>
      <c r="C26199" s="374"/>
      <c r="CV26199" s="376"/>
    </row>
    <row r="26200" spans="1:100">
      <c r="A26200" s="374"/>
      <c r="C26200" s="374"/>
      <c r="CV26200" s="376"/>
    </row>
    <row r="26201" spans="1:100">
      <c r="A26201" s="374"/>
      <c r="C26201" s="374"/>
      <c r="CV26201" s="376"/>
    </row>
    <row r="26202" spans="1:100">
      <c r="A26202" s="374"/>
      <c r="C26202" s="374"/>
      <c r="CV26202" s="376"/>
    </row>
    <row r="26203" spans="1:100">
      <c r="A26203" s="374"/>
      <c r="C26203" s="374"/>
      <c r="CV26203" s="376"/>
    </row>
    <row r="26204" spans="1:100">
      <c r="A26204" s="374"/>
      <c r="C26204" s="374"/>
      <c r="CV26204" s="376"/>
    </row>
    <row r="26205" spans="1:100">
      <c r="A26205" s="374"/>
      <c r="C26205" s="374"/>
      <c r="CV26205" s="376"/>
    </row>
    <row r="26206" spans="1:100">
      <c r="A26206" s="374"/>
      <c r="C26206" s="374"/>
      <c r="CV26206" s="376"/>
    </row>
    <row r="26207" spans="1:100">
      <c r="A26207" s="374"/>
      <c r="C26207" s="374"/>
      <c r="CV26207" s="376"/>
    </row>
    <row r="26208" spans="1:100">
      <c r="A26208" s="374"/>
      <c r="C26208" s="374"/>
      <c r="CV26208" s="376"/>
    </row>
    <row r="26209" spans="1:100">
      <c r="A26209" s="374"/>
      <c r="C26209" s="374"/>
      <c r="CV26209" s="376"/>
    </row>
    <row r="26210" spans="1:100">
      <c r="A26210" s="374"/>
      <c r="C26210" s="374"/>
      <c r="CV26210" s="376"/>
    </row>
    <row r="26211" spans="1:100">
      <c r="A26211" s="374"/>
      <c r="C26211" s="374"/>
      <c r="CV26211" s="376"/>
    </row>
    <row r="26212" spans="1:100">
      <c r="A26212" s="374"/>
      <c r="C26212" s="374"/>
      <c r="CV26212" s="376"/>
    </row>
    <row r="26213" spans="1:100">
      <c r="A26213" s="374"/>
      <c r="C26213" s="374"/>
      <c r="CV26213" s="376"/>
    </row>
    <row r="26214" spans="1:100">
      <c r="A26214" s="374"/>
      <c r="C26214" s="374"/>
      <c r="CV26214" s="376"/>
    </row>
    <row r="26215" spans="1:100">
      <c r="A26215" s="374"/>
      <c r="C26215" s="374"/>
      <c r="CV26215" s="376"/>
    </row>
    <row r="26216" spans="1:100">
      <c r="A26216" s="374"/>
      <c r="C26216" s="374"/>
      <c r="CV26216" s="376"/>
    </row>
    <row r="26217" spans="1:100">
      <c r="A26217" s="374"/>
      <c r="C26217" s="374"/>
      <c r="CV26217" s="376"/>
    </row>
    <row r="26218" spans="1:100">
      <c r="A26218" s="374"/>
      <c r="C26218" s="374"/>
      <c r="CV26218" s="376"/>
    </row>
    <row r="26219" spans="1:100">
      <c r="A26219" s="374"/>
      <c r="C26219" s="374"/>
      <c r="CV26219" s="376"/>
    </row>
    <row r="26220" spans="1:100">
      <c r="A26220" s="374"/>
      <c r="C26220" s="374"/>
      <c r="CV26220" s="376"/>
    </row>
    <row r="26221" spans="1:100">
      <c r="A26221" s="374"/>
      <c r="C26221" s="374"/>
      <c r="CV26221" s="376"/>
    </row>
    <row r="26222" spans="1:100">
      <c r="A26222" s="374"/>
      <c r="C26222" s="374"/>
      <c r="CV26222" s="376"/>
    </row>
    <row r="26223" spans="1:100">
      <c r="A26223" s="374"/>
      <c r="C26223" s="374"/>
      <c r="CV26223" s="376"/>
    </row>
    <row r="26224" spans="1:100">
      <c r="A26224" s="374"/>
      <c r="C26224" s="374"/>
      <c r="CV26224" s="376"/>
    </row>
    <row r="26225" spans="1:100">
      <c r="A26225" s="374"/>
      <c r="C26225" s="374"/>
      <c r="CV26225" s="376"/>
    </row>
    <row r="26226" spans="1:100">
      <c r="A26226" s="374"/>
      <c r="C26226" s="374"/>
      <c r="CV26226" s="376"/>
    </row>
    <row r="26227" spans="1:100">
      <c r="A26227" s="374"/>
      <c r="C26227" s="374"/>
      <c r="CV26227" s="376"/>
    </row>
    <row r="26228" spans="1:100">
      <c r="A26228" s="374"/>
      <c r="C26228" s="374"/>
      <c r="CV26228" s="376"/>
    </row>
    <row r="26229" spans="1:100">
      <c r="A26229" s="374"/>
      <c r="C26229" s="374"/>
      <c r="CV26229" s="376"/>
    </row>
    <row r="26230" spans="1:100">
      <c r="A26230" s="374"/>
      <c r="C26230" s="374"/>
      <c r="CV26230" s="376"/>
    </row>
    <row r="26231" spans="1:100">
      <c r="A26231" s="374"/>
      <c r="C26231" s="374"/>
      <c r="CV26231" s="376"/>
    </row>
    <row r="26232" spans="1:100">
      <c r="A26232" s="374"/>
      <c r="C26232" s="374"/>
      <c r="CV26232" s="376"/>
    </row>
    <row r="26233" spans="1:100">
      <c r="A26233" s="374"/>
      <c r="C26233" s="374"/>
      <c r="CV26233" s="376"/>
    </row>
    <row r="26234" spans="1:100">
      <c r="A26234" s="374"/>
      <c r="C26234" s="374"/>
      <c r="CV26234" s="376"/>
    </row>
    <row r="26235" spans="1:100">
      <c r="A26235" s="374"/>
      <c r="C26235" s="374"/>
      <c r="CV26235" s="376"/>
    </row>
    <row r="26236" spans="1:100">
      <c r="A26236" s="374"/>
      <c r="C26236" s="374"/>
      <c r="CV26236" s="376"/>
    </row>
    <row r="26237" spans="1:100">
      <c r="A26237" s="374"/>
      <c r="C26237" s="374"/>
      <c r="CV26237" s="376"/>
    </row>
    <row r="26238" spans="1:100">
      <c r="A26238" s="374"/>
      <c r="C26238" s="374"/>
      <c r="CV26238" s="376"/>
    </row>
    <row r="26239" spans="1:100">
      <c r="A26239" s="374"/>
      <c r="C26239" s="374"/>
      <c r="CV26239" s="376"/>
    </row>
    <row r="26240" spans="1:100">
      <c r="A26240" s="374"/>
      <c r="C26240" s="374"/>
      <c r="CV26240" s="376"/>
    </row>
    <row r="26241" spans="1:100">
      <c r="A26241" s="374"/>
      <c r="C26241" s="374"/>
      <c r="CV26241" s="376"/>
    </row>
    <row r="26242" spans="1:100">
      <c r="A26242" s="374"/>
      <c r="C26242" s="374"/>
      <c r="CV26242" s="376"/>
    </row>
    <row r="26243" spans="1:100">
      <c r="A26243" s="374"/>
      <c r="C26243" s="374"/>
      <c r="CV26243" s="376"/>
    </row>
    <row r="26244" spans="1:100">
      <c r="A26244" s="374"/>
      <c r="C26244" s="374"/>
      <c r="CV26244" s="376"/>
    </row>
    <row r="26245" spans="1:100">
      <c r="A26245" s="374"/>
      <c r="C26245" s="374"/>
      <c r="CV26245" s="376"/>
    </row>
    <row r="26246" spans="1:100">
      <c r="A26246" s="374"/>
      <c r="C26246" s="374"/>
      <c r="CV26246" s="376"/>
    </row>
    <row r="26247" spans="1:100">
      <c r="A26247" s="374"/>
      <c r="C26247" s="374"/>
      <c r="CV26247" s="376"/>
    </row>
    <row r="26248" spans="1:100">
      <c r="A26248" s="374"/>
      <c r="C26248" s="374"/>
      <c r="CV26248" s="376"/>
    </row>
    <row r="26249" spans="1:100">
      <c r="A26249" s="374"/>
      <c r="C26249" s="374"/>
      <c r="CV26249" s="376"/>
    </row>
    <row r="26250" spans="1:100">
      <c r="A26250" s="374"/>
      <c r="C26250" s="374"/>
      <c r="CV26250" s="376"/>
    </row>
    <row r="26251" spans="1:100">
      <c r="A26251" s="374"/>
      <c r="C26251" s="374"/>
      <c r="CV26251" s="376"/>
    </row>
    <row r="26252" spans="1:100">
      <c r="A26252" s="374"/>
      <c r="C26252" s="374"/>
      <c r="CV26252" s="376"/>
    </row>
    <row r="26253" spans="1:100">
      <c r="A26253" s="374"/>
      <c r="C26253" s="374"/>
      <c r="CV26253" s="376"/>
    </row>
    <row r="26254" spans="1:100">
      <c r="A26254" s="374"/>
      <c r="C26254" s="374"/>
      <c r="CV26254" s="376"/>
    </row>
    <row r="26255" spans="1:100">
      <c r="A26255" s="374"/>
      <c r="C26255" s="374"/>
      <c r="CV26255" s="376"/>
    </row>
    <row r="26256" spans="1:100">
      <c r="A26256" s="374"/>
      <c r="C26256" s="374"/>
      <c r="CV26256" s="376"/>
    </row>
    <row r="26257" spans="1:100">
      <c r="A26257" s="374"/>
      <c r="C26257" s="374"/>
      <c r="CV26257" s="376"/>
    </row>
    <row r="26258" spans="1:100">
      <c r="A26258" s="374"/>
      <c r="C26258" s="374"/>
      <c r="CV26258" s="376"/>
    </row>
    <row r="26259" spans="1:100">
      <c r="A26259" s="374"/>
      <c r="C26259" s="374"/>
      <c r="CV26259" s="376"/>
    </row>
    <row r="26260" spans="1:100">
      <c r="A26260" s="374"/>
      <c r="C26260" s="374"/>
      <c r="CV26260" s="376"/>
    </row>
    <row r="26261" spans="1:100">
      <c r="A26261" s="374"/>
      <c r="C26261" s="374"/>
      <c r="CV26261" s="376"/>
    </row>
    <row r="26262" spans="1:100">
      <c r="A26262" s="374"/>
      <c r="C26262" s="374"/>
      <c r="CV26262" s="376"/>
    </row>
    <row r="26263" spans="1:100">
      <c r="A26263" s="374"/>
      <c r="C26263" s="374"/>
      <c r="CV26263" s="376"/>
    </row>
    <row r="26264" spans="1:100">
      <c r="A26264" s="374"/>
      <c r="C26264" s="374"/>
      <c r="CV26264" s="376"/>
    </row>
    <row r="26265" spans="1:100">
      <c r="A26265" s="374"/>
      <c r="C26265" s="374"/>
      <c r="CV26265" s="376"/>
    </row>
    <row r="26266" spans="1:100">
      <c r="A26266" s="374"/>
      <c r="C26266" s="374"/>
      <c r="CV26266" s="376"/>
    </row>
    <row r="26267" spans="1:100">
      <c r="A26267" s="374"/>
      <c r="C26267" s="374"/>
      <c r="CV26267" s="376"/>
    </row>
    <row r="26268" spans="1:100">
      <c r="A26268" s="374"/>
      <c r="C26268" s="374"/>
      <c r="CV26268" s="376"/>
    </row>
    <row r="26269" spans="1:100">
      <c r="A26269" s="374"/>
      <c r="C26269" s="374"/>
      <c r="CV26269" s="376"/>
    </row>
    <row r="26270" spans="1:100">
      <c r="A26270" s="374"/>
      <c r="C26270" s="374"/>
      <c r="CV26270" s="376"/>
    </row>
    <row r="26271" spans="1:100">
      <c r="A26271" s="374"/>
      <c r="C26271" s="374"/>
      <c r="CV26271" s="376"/>
    </row>
    <row r="26272" spans="1:100">
      <c r="A26272" s="374"/>
      <c r="C26272" s="374"/>
      <c r="CV26272" s="376"/>
    </row>
    <row r="26273" spans="1:100">
      <c r="A26273" s="374"/>
      <c r="C26273" s="374"/>
      <c r="CV26273" s="376"/>
    </row>
    <row r="26274" spans="1:100">
      <c r="A26274" s="374"/>
      <c r="C26274" s="374"/>
      <c r="CV26274" s="376"/>
    </row>
    <row r="26275" spans="1:100">
      <c r="A26275" s="374"/>
      <c r="C26275" s="374"/>
      <c r="CV26275" s="376"/>
    </row>
    <row r="26276" spans="1:100">
      <c r="A26276" s="374"/>
      <c r="C26276" s="374"/>
      <c r="CV26276" s="376"/>
    </row>
    <row r="26277" spans="1:100">
      <c r="A26277" s="374"/>
      <c r="C26277" s="374"/>
      <c r="CV26277" s="376"/>
    </row>
    <row r="26278" spans="1:100">
      <c r="A26278" s="374"/>
      <c r="C26278" s="374"/>
      <c r="CV26278" s="376"/>
    </row>
    <row r="26279" spans="1:100">
      <c r="A26279" s="374"/>
      <c r="C26279" s="374"/>
      <c r="CV26279" s="376"/>
    </row>
    <row r="26280" spans="1:100">
      <c r="A26280" s="374"/>
      <c r="C26280" s="374"/>
      <c r="CV26280" s="376"/>
    </row>
    <row r="26281" spans="1:100">
      <c r="A26281" s="374"/>
      <c r="C26281" s="374"/>
      <c r="CV26281" s="376"/>
    </row>
    <row r="26282" spans="1:100">
      <c r="A26282" s="374"/>
      <c r="C26282" s="374"/>
      <c r="CV26282" s="376"/>
    </row>
    <row r="26283" spans="1:100">
      <c r="A26283" s="374"/>
      <c r="C26283" s="374"/>
      <c r="CV26283" s="376"/>
    </row>
    <row r="26284" spans="1:100">
      <c r="A26284" s="374"/>
      <c r="C26284" s="374"/>
      <c r="CV26284" s="376"/>
    </row>
    <row r="26285" spans="1:100">
      <c r="A26285" s="374"/>
      <c r="C26285" s="374"/>
      <c r="CV26285" s="376"/>
    </row>
    <row r="26286" spans="1:100">
      <c r="A26286" s="374"/>
      <c r="C26286" s="374"/>
      <c r="CV26286" s="376"/>
    </row>
    <row r="26287" spans="1:100">
      <c r="A26287" s="374"/>
      <c r="C26287" s="374"/>
      <c r="CV26287" s="376"/>
    </row>
    <row r="26288" spans="1:100">
      <c r="A26288" s="374"/>
      <c r="C26288" s="374"/>
      <c r="CV26288" s="376"/>
    </row>
    <row r="26289" spans="1:100">
      <c r="A26289" s="374"/>
      <c r="C26289" s="374"/>
      <c r="CV26289" s="376"/>
    </row>
    <row r="26290" spans="1:100">
      <c r="A26290" s="374"/>
      <c r="C26290" s="374"/>
      <c r="CV26290" s="376"/>
    </row>
    <row r="26291" spans="1:100">
      <c r="A26291" s="374"/>
      <c r="C26291" s="374"/>
      <c r="CV26291" s="376"/>
    </row>
    <row r="26292" spans="1:100">
      <c r="A26292" s="374"/>
      <c r="C26292" s="374"/>
      <c r="CV26292" s="376"/>
    </row>
    <row r="26293" spans="1:100">
      <c r="A26293" s="374"/>
      <c r="C26293" s="374"/>
      <c r="CV26293" s="376"/>
    </row>
    <row r="26294" spans="1:100">
      <c r="A26294" s="374"/>
      <c r="C26294" s="374"/>
      <c r="CV26294" s="376"/>
    </row>
    <row r="26295" spans="1:100">
      <c r="A26295" s="374"/>
      <c r="C26295" s="374"/>
      <c r="CV26295" s="376"/>
    </row>
    <row r="26296" spans="1:100">
      <c r="A26296" s="374"/>
      <c r="C26296" s="374"/>
      <c r="CV26296" s="376"/>
    </row>
    <row r="26297" spans="1:100">
      <c r="A26297" s="374"/>
      <c r="C26297" s="374"/>
      <c r="CV26297" s="376"/>
    </row>
    <row r="26298" spans="1:100">
      <c r="A26298" s="374"/>
      <c r="C26298" s="374"/>
      <c r="CV26298" s="376"/>
    </row>
    <row r="26299" spans="1:100">
      <c r="A26299" s="374"/>
      <c r="C26299" s="374"/>
      <c r="CV26299" s="376"/>
    </row>
    <row r="26300" spans="1:100">
      <c r="A26300" s="374"/>
      <c r="C26300" s="374"/>
      <c r="CV26300" s="376"/>
    </row>
    <row r="26301" spans="1:100">
      <c r="A26301" s="374"/>
      <c r="C26301" s="374"/>
      <c r="CV26301" s="376"/>
    </row>
    <row r="26302" spans="1:100">
      <c r="A26302" s="374"/>
      <c r="C26302" s="374"/>
      <c r="CV26302" s="376"/>
    </row>
    <row r="26303" spans="1:100">
      <c r="A26303" s="374"/>
      <c r="C26303" s="374"/>
      <c r="CV26303" s="376"/>
    </row>
    <row r="26304" spans="1:100">
      <c r="A26304" s="374"/>
      <c r="C26304" s="374"/>
      <c r="CV26304" s="376"/>
    </row>
    <row r="26305" spans="1:100">
      <c r="A26305" s="374"/>
      <c r="C26305" s="374"/>
      <c r="CV26305" s="376"/>
    </row>
    <row r="26306" spans="1:100">
      <c r="A26306" s="374"/>
      <c r="C26306" s="374"/>
      <c r="CV26306" s="376"/>
    </row>
    <row r="26307" spans="1:100">
      <c r="A26307" s="374"/>
      <c r="C26307" s="374"/>
      <c r="CV26307" s="376"/>
    </row>
    <row r="26308" spans="1:100">
      <c r="A26308" s="374"/>
      <c r="C26308" s="374"/>
      <c r="CV26308" s="376"/>
    </row>
    <row r="26309" spans="1:100">
      <c r="A26309" s="374"/>
      <c r="C26309" s="374"/>
      <c r="CV26309" s="376"/>
    </row>
    <row r="26310" spans="1:100">
      <c r="A26310" s="374"/>
      <c r="C26310" s="374"/>
      <c r="CV26310" s="376"/>
    </row>
    <row r="26311" spans="1:100">
      <c r="A26311" s="374"/>
      <c r="C26311" s="374"/>
      <c r="CV26311" s="376"/>
    </row>
    <row r="26312" spans="1:100">
      <c r="A26312" s="374"/>
      <c r="C26312" s="374"/>
      <c r="CV26312" s="376"/>
    </row>
    <row r="26313" spans="1:100">
      <c r="A26313" s="374"/>
      <c r="C26313" s="374"/>
      <c r="CV26313" s="376"/>
    </row>
    <row r="26314" spans="1:100">
      <c r="A26314" s="374"/>
      <c r="C26314" s="374"/>
      <c r="CV26314" s="376"/>
    </row>
    <row r="26315" spans="1:100">
      <c r="A26315" s="374"/>
      <c r="C26315" s="374"/>
      <c r="CV26315" s="376"/>
    </row>
    <row r="26316" spans="1:100">
      <c r="A26316" s="374"/>
      <c r="C26316" s="374"/>
      <c r="CV26316" s="376"/>
    </row>
    <row r="26317" spans="1:100">
      <c r="A26317" s="374"/>
      <c r="C26317" s="374"/>
      <c r="CV26317" s="376"/>
    </row>
    <row r="26318" spans="1:100">
      <c r="A26318" s="374"/>
      <c r="C26318" s="374"/>
      <c r="CV26318" s="376"/>
    </row>
    <row r="26319" spans="1:100">
      <c r="A26319" s="374"/>
      <c r="C26319" s="374"/>
      <c r="CV26319" s="376"/>
    </row>
    <row r="26320" spans="1:100">
      <c r="A26320" s="374"/>
      <c r="C26320" s="374"/>
      <c r="CV26320" s="376"/>
    </row>
    <row r="26321" spans="1:100">
      <c r="A26321" s="374"/>
      <c r="C26321" s="374"/>
      <c r="CV26321" s="376"/>
    </row>
    <row r="26322" spans="1:100">
      <c r="A26322" s="374"/>
      <c r="C26322" s="374"/>
      <c r="CV26322" s="376"/>
    </row>
    <row r="26323" spans="1:100">
      <c r="A26323" s="374"/>
      <c r="C26323" s="374"/>
      <c r="CV26323" s="376"/>
    </row>
    <row r="26324" spans="1:100">
      <c r="A26324" s="374"/>
      <c r="C26324" s="374"/>
      <c r="CV26324" s="376"/>
    </row>
    <row r="26325" spans="1:100">
      <c r="A26325" s="374"/>
      <c r="C26325" s="374"/>
      <c r="CV26325" s="376"/>
    </row>
    <row r="26326" spans="1:100">
      <c r="A26326" s="374"/>
      <c r="C26326" s="374"/>
      <c r="CV26326" s="376"/>
    </row>
    <row r="26327" spans="1:100">
      <c r="A26327" s="374"/>
      <c r="C26327" s="374"/>
      <c r="CV26327" s="376"/>
    </row>
    <row r="26328" spans="1:100">
      <c r="A26328" s="374"/>
      <c r="C26328" s="374"/>
      <c r="CV26328" s="376"/>
    </row>
    <row r="26329" spans="1:100">
      <c r="A26329" s="374"/>
      <c r="C26329" s="374"/>
      <c r="CV26329" s="376"/>
    </row>
    <row r="26330" spans="1:100">
      <c r="A26330" s="374"/>
      <c r="C26330" s="374"/>
      <c r="CV26330" s="376"/>
    </row>
    <row r="26331" spans="1:100">
      <c r="A26331" s="374"/>
      <c r="C26331" s="374"/>
      <c r="CV26331" s="376"/>
    </row>
    <row r="26332" spans="1:100">
      <c r="A26332" s="374"/>
      <c r="C26332" s="374"/>
      <c r="CV26332" s="376"/>
    </row>
    <row r="26333" spans="1:100">
      <c r="A26333" s="374"/>
      <c r="C26333" s="374"/>
      <c r="CV26333" s="376"/>
    </row>
    <row r="26334" spans="1:100">
      <c r="A26334" s="374"/>
      <c r="C26334" s="374"/>
      <c r="CV26334" s="376"/>
    </row>
    <row r="26335" spans="1:100">
      <c r="A26335" s="374"/>
      <c r="C26335" s="374"/>
      <c r="CV26335" s="376"/>
    </row>
    <row r="26336" spans="1:100">
      <c r="A26336" s="374"/>
      <c r="C26336" s="374"/>
      <c r="CV26336" s="376"/>
    </row>
    <row r="26337" spans="1:100">
      <c r="A26337" s="374"/>
      <c r="C26337" s="374"/>
      <c r="CV26337" s="376"/>
    </row>
    <row r="26338" spans="1:100">
      <c r="A26338" s="374"/>
      <c r="C26338" s="374"/>
      <c r="CV26338" s="376"/>
    </row>
    <row r="26339" spans="1:100">
      <c r="A26339" s="374"/>
      <c r="C26339" s="374"/>
      <c r="CV26339" s="376"/>
    </row>
    <row r="26340" spans="1:100">
      <c r="A26340" s="374"/>
      <c r="C26340" s="374"/>
      <c r="CV26340" s="376"/>
    </row>
    <row r="26341" spans="1:100">
      <c r="A26341" s="374"/>
      <c r="C26341" s="374"/>
      <c r="CV26341" s="376"/>
    </row>
    <row r="26342" spans="1:100">
      <c r="A26342" s="374"/>
      <c r="C26342" s="374"/>
      <c r="CV26342" s="376"/>
    </row>
    <row r="26343" spans="1:100">
      <c r="A26343" s="374"/>
      <c r="C26343" s="374"/>
      <c r="CV26343" s="376"/>
    </row>
    <row r="26344" spans="1:100">
      <c r="A26344" s="374"/>
      <c r="C26344" s="374"/>
      <c r="CV26344" s="376"/>
    </row>
    <row r="26345" spans="1:100">
      <c r="A26345" s="374"/>
      <c r="C26345" s="374"/>
      <c r="CV26345" s="376"/>
    </row>
    <row r="26346" spans="1:100">
      <c r="A26346" s="374"/>
      <c r="C26346" s="374"/>
      <c r="CV26346" s="376"/>
    </row>
    <row r="26347" spans="1:100">
      <c r="A26347" s="374"/>
      <c r="C26347" s="374"/>
      <c r="CV26347" s="376"/>
    </row>
    <row r="26348" spans="1:100">
      <c r="A26348" s="374"/>
      <c r="C26348" s="374"/>
      <c r="CV26348" s="376"/>
    </row>
    <row r="26349" spans="1:100">
      <c r="A26349" s="374"/>
      <c r="C26349" s="374"/>
      <c r="CV26349" s="376"/>
    </row>
    <row r="26350" spans="1:100">
      <c r="A26350" s="374"/>
      <c r="C26350" s="374"/>
      <c r="CV26350" s="376"/>
    </row>
    <row r="26351" spans="1:100">
      <c r="A26351" s="374"/>
      <c r="C26351" s="374"/>
      <c r="CV26351" s="376"/>
    </row>
    <row r="26352" spans="1:100">
      <c r="A26352" s="374"/>
      <c r="C26352" s="374"/>
      <c r="CV26352" s="376"/>
    </row>
    <row r="26353" spans="1:100">
      <c r="A26353" s="374"/>
      <c r="C26353" s="374"/>
      <c r="CV26353" s="376"/>
    </row>
    <row r="26354" spans="1:100">
      <c r="A26354" s="374"/>
      <c r="C26354" s="374"/>
      <c r="CV26354" s="376"/>
    </row>
    <row r="26355" spans="1:100">
      <c r="A26355" s="374"/>
      <c r="C26355" s="374"/>
      <c r="CV26355" s="376"/>
    </row>
    <row r="26356" spans="1:100">
      <c r="A26356" s="374"/>
      <c r="C26356" s="374"/>
      <c r="CV26356" s="376"/>
    </row>
    <row r="26357" spans="1:100">
      <c r="A26357" s="374"/>
      <c r="C26357" s="374"/>
      <c r="CV26357" s="376"/>
    </row>
    <row r="26358" spans="1:100">
      <c r="A26358" s="374"/>
      <c r="C26358" s="374"/>
      <c r="CV26358" s="376"/>
    </row>
    <row r="26359" spans="1:100">
      <c r="A26359" s="374"/>
      <c r="C26359" s="374"/>
      <c r="CV26359" s="376"/>
    </row>
    <row r="26360" spans="1:100">
      <c r="A26360" s="374"/>
      <c r="C26360" s="374"/>
      <c r="CV26360" s="376"/>
    </row>
    <row r="26361" spans="1:100">
      <c r="A26361" s="374"/>
      <c r="C26361" s="374"/>
      <c r="CV26361" s="376"/>
    </row>
    <row r="26362" spans="1:100">
      <c r="A26362" s="374"/>
      <c r="C26362" s="374"/>
      <c r="CV26362" s="376"/>
    </row>
    <row r="26363" spans="1:100">
      <c r="A26363" s="374"/>
      <c r="C26363" s="374"/>
      <c r="CV26363" s="376"/>
    </row>
    <row r="26364" spans="1:100">
      <c r="A26364" s="374"/>
      <c r="C26364" s="374"/>
      <c r="CV26364" s="376"/>
    </row>
    <row r="26365" spans="1:100">
      <c r="A26365" s="374"/>
      <c r="C26365" s="374"/>
      <c r="CV26365" s="376"/>
    </row>
    <row r="26366" spans="1:100">
      <c r="A26366" s="374"/>
      <c r="C26366" s="374"/>
      <c r="CV26366" s="376"/>
    </row>
    <row r="26367" spans="1:100">
      <c r="A26367" s="374"/>
      <c r="C26367" s="374"/>
      <c r="CV26367" s="376"/>
    </row>
    <row r="26368" spans="1:100">
      <c r="A26368" s="374"/>
      <c r="C26368" s="374"/>
      <c r="CV26368" s="376"/>
    </row>
    <row r="26369" spans="1:100">
      <c r="A26369" s="374"/>
      <c r="C26369" s="374"/>
      <c r="CV26369" s="376"/>
    </row>
    <row r="26370" spans="1:100">
      <c r="A26370" s="374"/>
      <c r="C26370" s="374"/>
      <c r="CV26370" s="376"/>
    </row>
    <row r="26371" spans="1:100">
      <c r="A26371" s="374"/>
      <c r="C26371" s="374"/>
      <c r="CV26371" s="376"/>
    </row>
    <row r="26372" spans="1:100">
      <c r="A26372" s="374"/>
      <c r="C26372" s="374"/>
      <c r="CV26372" s="376"/>
    </row>
    <row r="26373" spans="1:100">
      <c r="A26373" s="374"/>
      <c r="C26373" s="374"/>
      <c r="CV26373" s="376"/>
    </row>
    <row r="26374" spans="1:100">
      <c r="A26374" s="374"/>
      <c r="C26374" s="374"/>
      <c r="CV26374" s="376"/>
    </row>
    <row r="26375" spans="1:100">
      <c r="A26375" s="374"/>
      <c r="C26375" s="374"/>
      <c r="CV26375" s="376"/>
    </row>
    <row r="26376" spans="1:100">
      <c r="A26376" s="374"/>
      <c r="C26376" s="374"/>
      <c r="CV26376" s="376"/>
    </row>
    <row r="26377" spans="1:100">
      <c r="A26377" s="374"/>
      <c r="C26377" s="374"/>
      <c r="CV26377" s="376"/>
    </row>
    <row r="26378" spans="1:100">
      <c r="A26378" s="374"/>
      <c r="C26378" s="374"/>
      <c r="CV26378" s="376"/>
    </row>
    <row r="26379" spans="1:100">
      <c r="A26379" s="374"/>
      <c r="C26379" s="374"/>
      <c r="CV26379" s="376"/>
    </row>
    <row r="26380" spans="1:100">
      <c r="A26380" s="374"/>
      <c r="C26380" s="374"/>
      <c r="CV26380" s="376"/>
    </row>
    <row r="26381" spans="1:100">
      <c r="A26381" s="374"/>
      <c r="C26381" s="374"/>
      <c r="CV26381" s="376"/>
    </row>
    <row r="26382" spans="1:100">
      <c r="A26382" s="374"/>
      <c r="C26382" s="374"/>
      <c r="CV26382" s="376"/>
    </row>
    <row r="26383" spans="1:100">
      <c r="A26383" s="374"/>
      <c r="C26383" s="374"/>
      <c r="CV26383" s="376"/>
    </row>
    <row r="26384" spans="1:100">
      <c r="A26384" s="374"/>
      <c r="C26384" s="374"/>
      <c r="CV26384" s="376"/>
    </row>
    <row r="26385" spans="1:100">
      <c r="A26385" s="374"/>
      <c r="C26385" s="374"/>
      <c r="CV26385" s="376"/>
    </row>
    <row r="26386" spans="1:100">
      <c r="A26386" s="374"/>
      <c r="C26386" s="374"/>
      <c r="CV26386" s="376"/>
    </row>
    <row r="26387" spans="1:100">
      <c r="A26387" s="374"/>
      <c r="C26387" s="374"/>
      <c r="CV26387" s="376"/>
    </row>
    <row r="26388" spans="1:100">
      <c r="A26388" s="374"/>
      <c r="C26388" s="374"/>
      <c r="CV26388" s="376"/>
    </row>
    <row r="26389" spans="1:100">
      <c r="A26389" s="374"/>
      <c r="C26389" s="374"/>
      <c r="CV26389" s="376"/>
    </row>
    <row r="26390" spans="1:100">
      <c r="A26390" s="374"/>
      <c r="C26390" s="374"/>
      <c r="CV26390" s="376"/>
    </row>
    <row r="26391" spans="1:100">
      <c r="A26391" s="374"/>
      <c r="C26391" s="374"/>
      <c r="CV26391" s="376"/>
    </row>
    <row r="26392" spans="1:100">
      <c r="A26392" s="374"/>
      <c r="C26392" s="374"/>
      <c r="CV26392" s="376"/>
    </row>
    <row r="26393" spans="1:100">
      <c r="A26393" s="374"/>
      <c r="C26393" s="374"/>
      <c r="CV26393" s="376"/>
    </row>
    <row r="26394" spans="1:100">
      <c r="A26394" s="374"/>
      <c r="C26394" s="374"/>
      <c r="CV26394" s="376"/>
    </row>
    <row r="26395" spans="1:100">
      <c r="A26395" s="374"/>
      <c r="C26395" s="374"/>
      <c r="CV26395" s="376"/>
    </row>
    <row r="26396" spans="1:100">
      <c r="A26396" s="374"/>
      <c r="C26396" s="374"/>
      <c r="CV26396" s="376"/>
    </row>
    <row r="26397" spans="1:100">
      <c r="A26397" s="374"/>
      <c r="C26397" s="374"/>
      <c r="CV26397" s="376"/>
    </row>
    <row r="26398" spans="1:100">
      <c r="A26398" s="374"/>
      <c r="C26398" s="374"/>
      <c r="CV26398" s="376"/>
    </row>
    <row r="26399" spans="1:100">
      <c r="A26399" s="374"/>
      <c r="C26399" s="374"/>
      <c r="CV26399" s="376"/>
    </row>
    <row r="26400" spans="1:100">
      <c r="A26400" s="374"/>
      <c r="C26400" s="374"/>
      <c r="CV26400" s="376"/>
    </row>
    <row r="26401" spans="1:100">
      <c r="A26401" s="374"/>
      <c r="C26401" s="374"/>
      <c r="CV26401" s="376"/>
    </row>
    <row r="26402" spans="1:100">
      <c r="A26402" s="374"/>
      <c r="C26402" s="374"/>
      <c r="CV26402" s="376"/>
    </row>
    <row r="26403" spans="1:100">
      <c r="A26403" s="374"/>
      <c r="C26403" s="374"/>
      <c r="CV26403" s="376"/>
    </row>
    <row r="26404" spans="1:100">
      <c r="A26404" s="374"/>
      <c r="C26404" s="374"/>
      <c r="CV26404" s="376"/>
    </row>
    <row r="26405" spans="1:100">
      <c r="A26405" s="374"/>
      <c r="C26405" s="374"/>
      <c r="CV26405" s="376"/>
    </row>
    <row r="26406" spans="1:100">
      <c r="A26406" s="374"/>
      <c r="C26406" s="374"/>
      <c r="CV26406" s="376"/>
    </row>
    <row r="26407" spans="1:100">
      <c r="A26407" s="374"/>
      <c r="C26407" s="374"/>
      <c r="CV26407" s="376"/>
    </row>
    <row r="26408" spans="1:100">
      <c r="A26408" s="374"/>
      <c r="C26408" s="374"/>
      <c r="CV26408" s="376"/>
    </row>
    <row r="26409" spans="1:100">
      <c r="A26409" s="374"/>
      <c r="C26409" s="374"/>
      <c r="CV26409" s="376"/>
    </row>
    <row r="26410" spans="1:100">
      <c r="A26410" s="374"/>
      <c r="C26410" s="374"/>
      <c r="CV26410" s="376"/>
    </row>
    <row r="26411" spans="1:100">
      <c r="A26411" s="374"/>
      <c r="C26411" s="374"/>
      <c r="CV26411" s="376"/>
    </row>
    <row r="26412" spans="1:100">
      <c r="A26412" s="374"/>
      <c r="C26412" s="374"/>
      <c r="CV26412" s="376"/>
    </row>
    <row r="26413" spans="1:100">
      <c r="A26413" s="374"/>
      <c r="C26413" s="374"/>
      <c r="CV26413" s="376"/>
    </row>
    <row r="26414" spans="1:100">
      <c r="A26414" s="374"/>
      <c r="C26414" s="374"/>
      <c r="CV26414" s="376"/>
    </row>
    <row r="26415" spans="1:100">
      <c r="A26415" s="374"/>
      <c r="C26415" s="374"/>
      <c r="CV26415" s="376"/>
    </row>
    <row r="26416" spans="1:100">
      <c r="A26416" s="374"/>
      <c r="C26416" s="374"/>
      <c r="CV26416" s="376"/>
    </row>
    <row r="26417" spans="1:100">
      <c r="A26417" s="374"/>
      <c r="C26417" s="374"/>
      <c r="CV26417" s="376"/>
    </row>
    <row r="26418" spans="1:100">
      <c r="A26418" s="374"/>
      <c r="C26418" s="374"/>
      <c r="CV26418" s="376"/>
    </row>
    <row r="26419" spans="1:100">
      <c r="A26419" s="374"/>
      <c r="C26419" s="374"/>
      <c r="CV26419" s="376"/>
    </row>
    <row r="26420" spans="1:100">
      <c r="A26420" s="374"/>
      <c r="C26420" s="374"/>
      <c r="CV26420" s="376"/>
    </row>
    <row r="26421" spans="1:100">
      <c r="A26421" s="374"/>
      <c r="C26421" s="374"/>
      <c r="CV26421" s="376"/>
    </row>
    <row r="26422" spans="1:100">
      <c r="A26422" s="374"/>
      <c r="C26422" s="374"/>
      <c r="CV26422" s="376"/>
    </row>
    <row r="26423" spans="1:100">
      <c r="A26423" s="374"/>
      <c r="C26423" s="374"/>
      <c r="CV26423" s="376"/>
    </row>
    <row r="26424" spans="1:100">
      <c r="A26424" s="374"/>
      <c r="C26424" s="374"/>
      <c r="CV26424" s="376"/>
    </row>
    <row r="26425" spans="1:100">
      <c r="A26425" s="374"/>
      <c r="C26425" s="374"/>
      <c r="CV26425" s="376"/>
    </row>
    <row r="26426" spans="1:100">
      <c r="A26426" s="374"/>
      <c r="C26426" s="374"/>
      <c r="CV26426" s="376"/>
    </row>
    <row r="26427" spans="1:100">
      <c r="A26427" s="374"/>
      <c r="C26427" s="374"/>
      <c r="CV26427" s="376"/>
    </row>
    <row r="26428" spans="1:100">
      <c r="A26428" s="374"/>
      <c r="C26428" s="374"/>
      <c r="CV26428" s="376"/>
    </row>
    <row r="26429" spans="1:100">
      <c r="A26429" s="374"/>
      <c r="C26429" s="374"/>
      <c r="CV26429" s="376"/>
    </row>
    <row r="26430" spans="1:100">
      <c r="A26430" s="374"/>
      <c r="C26430" s="374"/>
      <c r="CV26430" s="376"/>
    </row>
    <row r="26431" spans="1:100">
      <c r="A26431" s="374"/>
      <c r="C26431" s="374"/>
      <c r="CV26431" s="376"/>
    </row>
    <row r="26432" spans="1:100">
      <c r="A26432" s="374"/>
      <c r="C26432" s="374"/>
      <c r="CV26432" s="376"/>
    </row>
    <row r="26433" spans="1:100">
      <c r="A26433" s="374"/>
      <c r="C26433" s="374"/>
      <c r="CV26433" s="376"/>
    </row>
    <row r="26434" spans="1:100">
      <c r="A26434" s="374"/>
      <c r="C26434" s="374"/>
      <c r="CV26434" s="376"/>
    </row>
    <row r="26435" spans="1:100">
      <c r="A26435" s="374"/>
      <c r="C26435" s="374"/>
      <c r="CV26435" s="376"/>
    </row>
    <row r="26436" spans="1:100">
      <c r="A26436" s="374"/>
      <c r="C26436" s="374"/>
      <c r="CV26436" s="376"/>
    </row>
    <row r="26437" spans="1:100">
      <c r="A26437" s="374"/>
      <c r="C26437" s="374"/>
      <c r="CV26437" s="376"/>
    </row>
    <row r="26438" spans="1:100">
      <c r="A26438" s="374"/>
      <c r="C26438" s="374"/>
      <c r="CV26438" s="376"/>
    </row>
    <row r="26439" spans="1:100">
      <c r="A26439" s="374"/>
      <c r="C26439" s="374"/>
      <c r="CV26439" s="376"/>
    </row>
    <row r="26440" spans="1:100">
      <c r="A26440" s="374"/>
      <c r="C26440" s="374"/>
      <c r="CV26440" s="376"/>
    </row>
    <row r="26441" spans="1:100">
      <c r="A26441" s="374"/>
      <c r="C26441" s="374"/>
      <c r="CV26441" s="376"/>
    </row>
    <row r="26442" spans="1:100">
      <c r="A26442" s="374"/>
      <c r="C26442" s="374"/>
      <c r="CV26442" s="376"/>
    </row>
    <row r="26443" spans="1:100">
      <c r="A26443" s="374"/>
      <c r="C26443" s="374"/>
      <c r="CV26443" s="376"/>
    </row>
    <row r="26444" spans="1:100">
      <c r="A26444" s="374"/>
      <c r="C26444" s="374"/>
      <c r="CV26444" s="376"/>
    </row>
    <row r="26445" spans="1:100">
      <c r="A26445" s="374"/>
      <c r="C26445" s="374"/>
      <c r="CV26445" s="376"/>
    </row>
    <row r="26446" spans="1:100">
      <c r="A26446" s="374"/>
      <c r="C26446" s="374"/>
      <c r="CV26446" s="376"/>
    </row>
    <row r="26447" spans="1:100">
      <c r="A26447" s="374"/>
      <c r="C26447" s="374"/>
      <c r="CV26447" s="376"/>
    </row>
    <row r="26448" spans="1:100">
      <c r="A26448" s="374"/>
      <c r="C26448" s="374"/>
      <c r="CV26448" s="376"/>
    </row>
    <row r="26449" spans="1:100">
      <c r="A26449" s="374"/>
      <c r="C26449" s="374"/>
      <c r="CV26449" s="376"/>
    </row>
    <row r="26450" spans="1:100">
      <c r="A26450" s="374"/>
      <c r="C26450" s="374"/>
      <c r="CV26450" s="376"/>
    </row>
    <row r="26451" spans="1:100">
      <c r="A26451" s="374"/>
      <c r="C26451" s="374"/>
      <c r="CV26451" s="376"/>
    </row>
    <row r="26452" spans="1:100">
      <c r="A26452" s="374"/>
      <c r="C26452" s="374"/>
      <c r="CV26452" s="376"/>
    </row>
    <row r="26453" spans="1:100">
      <c r="A26453" s="374"/>
      <c r="C26453" s="374"/>
      <c r="CV26453" s="376"/>
    </row>
    <row r="26454" spans="1:100">
      <c r="A26454" s="374"/>
      <c r="C26454" s="374"/>
      <c r="CV26454" s="376"/>
    </row>
    <row r="26455" spans="1:100">
      <c r="A26455" s="374"/>
      <c r="C26455" s="374"/>
      <c r="CV26455" s="376"/>
    </row>
    <row r="26456" spans="1:100">
      <c r="A26456" s="374"/>
      <c r="C26456" s="374"/>
      <c r="CV26456" s="376"/>
    </row>
    <row r="26457" spans="1:100">
      <c r="A26457" s="374"/>
      <c r="C26457" s="374"/>
      <c r="CV26457" s="376"/>
    </row>
    <row r="26458" spans="1:100">
      <c r="A26458" s="374"/>
      <c r="C26458" s="374"/>
      <c r="CV26458" s="376"/>
    </row>
    <row r="26459" spans="1:100">
      <c r="A26459" s="374"/>
      <c r="C26459" s="374"/>
      <c r="CV26459" s="376"/>
    </row>
    <row r="26460" spans="1:100">
      <c r="A26460" s="374"/>
      <c r="C26460" s="374"/>
      <c r="CV26460" s="376"/>
    </row>
    <row r="26461" spans="1:100">
      <c r="A26461" s="374"/>
      <c r="C26461" s="374"/>
      <c r="CV26461" s="376"/>
    </row>
    <row r="26462" spans="1:100">
      <c r="A26462" s="374"/>
      <c r="C26462" s="374"/>
      <c r="CV26462" s="376"/>
    </row>
    <row r="26463" spans="1:100">
      <c r="A26463" s="374"/>
      <c r="C26463" s="374"/>
      <c r="CV26463" s="376"/>
    </row>
    <row r="26464" spans="1:100">
      <c r="A26464" s="374"/>
      <c r="C26464" s="374"/>
      <c r="CV26464" s="376"/>
    </row>
    <row r="26465" spans="1:100">
      <c r="A26465" s="374"/>
      <c r="C26465" s="374"/>
      <c r="CV26465" s="376"/>
    </row>
    <row r="26466" spans="1:100">
      <c r="A26466" s="374"/>
      <c r="C26466" s="374"/>
      <c r="CV26466" s="376"/>
    </row>
    <row r="26467" spans="1:100">
      <c r="A26467" s="374"/>
      <c r="C26467" s="374"/>
      <c r="CV26467" s="376"/>
    </row>
    <row r="26468" spans="1:100">
      <c r="A26468" s="374"/>
      <c r="C26468" s="374"/>
      <c r="CV26468" s="376"/>
    </row>
    <row r="26469" spans="1:100">
      <c r="A26469" s="374"/>
      <c r="C26469" s="374"/>
      <c r="CV26469" s="376"/>
    </row>
    <row r="26470" spans="1:100">
      <c r="A26470" s="374"/>
      <c r="C26470" s="374"/>
      <c r="CV26470" s="376"/>
    </row>
    <row r="26471" spans="1:100">
      <c r="A26471" s="374"/>
      <c r="C26471" s="374"/>
      <c r="CV26471" s="376"/>
    </row>
    <row r="26472" spans="1:100">
      <c r="A26472" s="374"/>
      <c r="C26472" s="374"/>
      <c r="CV26472" s="376"/>
    </row>
    <row r="26473" spans="1:100">
      <c r="A26473" s="374"/>
      <c r="C26473" s="374"/>
      <c r="CV26473" s="376"/>
    </row>
    <row r="26474" spans="1:100">
      <c r="A26474" s="374"/>
      <c r="C26474" s="374"/>
      <c r="CV26474" s="376"/>
    </row>
    <row r="26475" spans="1:100">
      <c r="A26475" s="374"/>
      <c r="C26475" s="374"/>
      <c r="CV26475" s="376"/>
    </row>
    <row r="26476" spans="1:100">
      <c r="A26476" s="374"/>
      <c r="C26476" s="374"/>
      <c r="CV26476" s="376"/>
    </row>
    <row r="26477" spans="1:100">
      <c r="A26477" s="374"/>
      <c r="C26477" s="374"/>
      <c r="CV26477" s="376"/>
    </row>
    <row r="26478" spans="1:100">
      <c r="A26478" s="374"/>
      <c r="C26478" s="374"/>
      <c r="CV26478" s="376"/>
    </row>
    <row r="26479" spans="1:100">
      <c r="A26479" s="374"/>
      <c r="C26479" s="374"/>
      <c r="CV26479" s="376"/>
    </row>
    <row r="26480" spans="1:100">
      <c r="A26480" s="374"/>
      <c r="C26480" s="374"/>
      <c r="CV26480" s="376"/>
    </row>
    <row r="26481" spans="1:100">
      <c r="A26481" s="374"/>
      <c r="C26481" s="374"/>
      <c r="CV26481" s="376"/>
    </row>
    <row r="26482" spans="1:100">
      <c r="A26482" s="374"/>
      <c r="C26482" s="374"/>
      <c r="CV26482" s="376"/>
    </row>
    <row r="26483" spans="1:100">
      <c r="A26483" s="374"/>
      <c r="C26483" s="374"/>
      <c r="CV26483" s="376"/>
    </row>
    <row r="26484" spans="1:100">
      <c r="A26484" s="374"/>
      <c r="C26484" s="374"/>
      <c r="CV26484" s="376"/>
    </row>
    <row r="26485" spans="1:100">
      <c r="A26485" s="374"/>
      <c r="C26485" s="374"/>
      <c r="CV26485" s="376"/>
    </row>
    <row r="26486" spans="1:100">
      <c r="A26486" s="374"/>
      <c r="C26486" s="374"/>
      <c r="CV26486" s="376"/>
    </row>
    <row r="26487" spans="1:100">
      <c r="A26487" s="374"/>
      <c r="C26487" s="374"/>
      <c r="CV26487" s="376"/>
    </row>
    <row r="26488" spans="1:100">
      <c r="A26488" s="374"/>
      <c r="C26488" s="374"/>
      <c r="CV26488" s="376"/>
    </row>
    <row r="26489" spans="1:100">
      <c r="A26489" s="374"/>
      <c r="C26489" s="374"/>
      <c r="CV26489" s="376"/>
    </row>
    <row r="26490" spans="1:100">
      <c r="A26490" s="374"/>
      <c r="C26490" s="374"/>
      <c r="CV26490" s="376"/>
    </row>
    <row r="26491" spans="1:100">
      <c r="A26491" s="374"/>
      <c r="C26491" s="374"/>
      <c r="CV26491" s="376"/>
    </row>
    <row r="26492" spans="1:100">
      <c r="A26492" s="374"/>
      <c r="C26492" s="374"/>
      <c r="CV26492" s="376"/>
    </row>
    <row r="26493" spans="1:100">
      <c r="A26493" s="374"/>
      <c r="C26493" s="374"/>
      <c r="CV26493" s="376"/>
    </row>
    <row r="26494" spans="1:100">
      <c r="A26494" s="374"/>
      <c r="C26494" s="374"/>
      <c r="CV26494" s="376"/>
    </row>
    <row r="26495" spans="1:100">
      <c r="A26495" s="374"/>
      <c r="C26495" s="374"/>
      <c r="CV26495" s="376"/>
    </row>
    <row r="26496" spans="1:100">
      <c r="A26496" s="374"/>
      <c r="C26496" s="374"/>
      <c r="CV26496" s="376"/>
    </row>
    <row r="26497" spans="1:100">
      <c r="A26497" s="374"/>
      <c r="C26497" s="374"/>
      <c r="CV26497" s="376"/>
    </row>
    <row r="26498" spans="1:100">
      <c r="A26498" s="374"/>
      <c r="C26498" s="374"/>
      <c r="CV26498" s="376"/>
    </row>
    <row r="26499" spans="1:100">
      <c r="A26499" s="374"/>
      <c r="C26499" s="374"/>
      <c r="CV26499" s="376"/>
    </row>
    <row r="26500" spans="1:100">
      <c r="A26500" s="374"/>
      <c r="C26500" s="374"/>
      <c r="CV26500" s="376"/>
    </row>
    <row r="26501" spans="1:100">
      <c r="A26501" s="374"/>
      <c r="C26501" s="374"/>
      <c r="CV26501" s="376"/>
    </row>
    <row r="26502" spans="1:100">
      <c r="A26502" s="374"/>
      <c r="C26502" s="374"/>
      <c r="CV26502" s="376"/>
    </row>
    <row r="26503" spans="1:100">
      <c r="A26503" s="374"/>
      <c r="C26503" s="374"/>
      <c r="CV26503" s="376"/>
    </row>
    <row r="26504" spans="1:100">
      <c r="A26504" s="374"/>
      <c r="C26504" s="374"/>
      <c r="CV26504" s="376"/>
    </row>
    <row r="26505" spans="1:100">
      <c r="A26505" s="374"/>
      <c r="C26505" s="374"/>
      <c r="CV26505" s="376"/>
    </row>
    <row r="26506" spans="1:100">
      <c r="A26506" s="374"/>
      <c r="C26506" s="374"/>
      <c r="CV26506" s="376"/>
    </row>
    <row r="26507" spans="1:100">
      <c r="A26507" s="374"/>
      <c r="C26507" s="374"/>
      <c r="CV26507" s="376"/>
    </row>
    <row r="26508" spans="1:100">
      <c r="A26508" s="374"/>
      <c r="C26508" s="374"/>
      <c r="CV26508" s="376"/>
    </row>
    <row r="26509" spans="1:100">
      <c r="A26509" s="374"/>
      <c r="C26509" s="374"/>
      <c r="CV26509" s="376"/>
    </row>
    <row r="26510" spans="1:100">
      <c r="A26510" s="374"/>
      <c r="C26510" s="374"/>
      <c r="CV26510" s="376"/>
    </row>
    <row r="26511" spans="1:100">
      <c r="A26511" s="374"/>
      <c r="C26511" s="374"/>
      <c r="CV26511" s="376"/>
    </row>
    <row r="26512" spans="1:100">
      <c r="A26512" s="374"/>
      <c r="C26512" s="374"/>
      <c r="CV26512" s="376"/>
    </row>
    <row r="26513" spans="1:100">
      <c r="A26513" s="374"/>
      <c r="C26513" s="374"/>
      <c r="CV26513" s="376"/>
    </row>
    <row r="26514" spans="1:100">
      <c r="A26514" s="374"/>
      <c r="C26514" s="374"/>
      <c r="CV26514" s="376"/>
    </row>
    <row r="26515" spans="1:100">
      <c r="A26515" s="374"/>
      <c r="C26515" s="374"/>
      <c r="CV26515" s="376"/>
    </row>
    <row r="26516" spans="1:100">
      <c r="A26516" s="374"/>
      <c r="C26516" s="374"/>
      <c r="CV26516" s="376"/>
    </row>
    <row r="26517" spans="1:100">
      <c r="A26517" s="374"/>
      <c r="C26517" s="374"/>
      <c r="CV26517" s="376"/>
    </row>
    <row r="26518" spans="1:100">
      <c r="A26518" s="374"/>
      <c r="C26518" s="374"/>
      <c r="CV26518" s="376"/>
    </row>
    <row r="26519" spans="1:100">
      <c r="A26519" s="374"/>
      <c r="C26519" s="374"/>
      <c r="CV26519" s="376"/>
    </row>
    <row r="26520" spans="1:100">
      <c r="A26520" s="374"/>
      <c r="C26520" s="374"/>
      <c r="CV26520" s="376"/>
    </row>
    <row r="26521" spans="1:100">
      <c r="A26521" s="374"/>
      <c r="C26521" s="374"/>
      <c r="CV26521" s="376"/>
    </row>
    <row r="26522" spans="1:100">
      <c r="A26522" s="374"/>
      <c r="C26522" s="374"/>
      <c r="CV26522" s="376"/>
    </row>
    <row r="26523" spans="1:100">
      <c r="A26523" s="374"/>
      <c r="C26523" s="374"/>
      <c r="CV26523" s="376"/>
    </row>
    <row r="26524" spans="1:100">
      <c r="A26524" s="374"/>
      <c r="C26524" s="374"/>
      <c r="CV26524" s="376"/>
    </row>
    <row r="26525" spans="1:100">
      <c r="A26525" s="374"/>
      <c r="C26525" s="374"/>
      <c r="CV26525" s="376"/>
    </row>
    <row r="26526" spans="1:100">
      <c r="A26526" s="374"/>
      <c r="C26526" s="374"/>
      <c r="CV26526" s="376"/>
    </row>
    <row r="26527" spans="1:100">
      <c r="A26527" s="374"/>
      <c r="C26527" s="374"/>
      <c r="CV26527" s="376"/>
    </row>
    <row r="26528" spans="1:100">
      <c r="A26528" s="374"/>
      <c r="C26528" s="374"/>
      <c r="CV26528" s="376"/>
    </row>
    <row r="26529" spans="1:100">
      <c r="A26529" s="374"/>
      <c r="C26529" s="374"/>
      <c r="CV26529" s="376"/>
    </row>
    <row r="26530" spans="1:100">
      <c r="A26530" s="374"/>
      <c r="C26530" s="374"/>
      <c r="CV26530" s="376"/>
    </row>
    <row r="26531" spans="1:100">
      <c r="A26531" s="374"/>
      <c r="C26531" s="374"/>
      <c r="CV26531" s="376"/>
    </row>
    <row r="26532" spans="1:100">
      <c r="A26532" s="374"/>
      <c r="C26532" s="374"/>
      <c r="CV26532" s="376"/>
    </row>
    <row r="26533" spans="1:100">
      <c r="A26533" s="374"/>
      <c r="C26533" s="374"/>
      <c r="CV26533" s="376"/>
    </row>
    <row r="26534" spans="1:100">
      <c r="A26534" s="374"/>
      <c r="C26534" s="374"/>
      <c r="CV26534" s="376"/>
    </row>
    <row r="26535" spans="1:100">
      <c r="A26535" s="374"/>
      <c r="C26535" s="374"/>
      <c r="CV26535" s="376"/>
    </row>
    <row r="26536" spans="1:100">
      <c r="A26536" s="374"/>
      <c r="C26536" s="374"/>
      <c r="CV26536" s="376"/>
    </row>
    <row r="26537" spans="1:100">
      <c r="A26537" s="374"/>
      <c r="C26537" s="374"/>
      <c r="CV26537" s="376"/>
    </row>
    <row r="26538" spans="1:100">
      <c r="A26538" s="374"/>
      <c r="C26538" s="374"/>
      <c r="CV26538" s="376"/>
    </row>
    <row r="26539" spans="1:100">
      <c r="A26539" s="374"/>
      <c r="C26539" s="374"/>
      <c r="CV26539" s="376"/>
    </row>
    <row r="26540" spans="1:100">
      <c r="A26540" s="374"/>
      <c r="C26540" s="374"/>
      <c r="CV26540" s="376"/>
    </row>
    <row r="26541" spans="1:100">
      <c r="A26541" s="374"/>
      <c r="C26541" s="374"/>
      <c r="CV26541" s="376"/>
    </row>
    <row r="26542" spans="1:100">
      <c r="A26542" s="374"/>
      <c r="C26542" s="374"/>
      <c r="CV26542" s="376"/>
    </row>
    <row r="26543" spans="1:100">
      <c r="A26543" s="374"/>
      <c r="C26543" s="374"/>
      <c r="CV26543" s="376"/>
    </row>
    <row r="26544" spans="1:100">
      <c r="A26544" s="374"/>
      <c r="C26544" s="374"/>
      <c r="CV26544" s="376"/>
    </row>
    <row r="26545" spans="1:100">
      <c r="A26545" s="374"/>
      <c r="C26545" s="374"/>
      <c r="CV26545" s="376"/>
    </row>
    <row r="26546" spans="1:100">
      <c r="A26546" s="374"/>
      <c r="C26546" s="374"/>
      <c r="CV26546" s="376"/>
    </row>
    <row r="26547" spans="1:100">
      <c r="A26547" s="374"/>
      <c r="C26547" s="374"/>
      <c r="CV26547" s="376"/>
    </row>
    <row r="26548" spans="1:100">
      <c r="A26548" s="374"/>
      <c r="C26548" s="374"/>
      <c r="CV26548" s="376"/>
    </row>
    <row r="26549" spans="1:100">
      <c r="A26549" s="374"/>
      <c r="C26549" s="374"/>
      <c r="CV26549" s="376"/>
    </row>
    <row r="26550" spans="1:100">
      <c r="A26550" s="374"/>
      <c r="C26550" s="374"/>
      <c r="CV26550" s="376"/>
    </row>
    <row r="26551" spans="1:100">
      <c r="A26551" s="374"/>
      <c r="C26551" s="374"/>
      <c r="CV26551" s="376"/>
    </row>
    <row r="26552" spans="1:100">
      <c r="A26552" s="374"/>
      <c r="C26552" s="374"/>
      <c r="CV26552" s="376"/>
    </row>
    <row r="26553" spans="1:100">
      <c r="A26553" s="374"/>
      <c r="C26553" s="374"/>
      <c r="CV26553" s="376"/>
    </row>
    <row r="26554" spans="1:100">
      <c r="A26554" s="374"/>
      <c r="C26554" s="374"/>
      <c r="CV26554" s="376"/>
    </row>
    <row r="26555" spans="1:100">
      <c r="A26555" s="374"/>
      <c r="C26555" s="374"/>
      <c r="CV26555" s="376"/>
    </row>
    <row r="26556" spans="1:100">
      <c r="A26556" s="374"/>
      <c r="C26556" s="374"/>
      <c r="CV26556" s="376"/>
    </row>
    <row r="26557" spans="1:100">
      <c r="A26557" s="374"/>
      <c r="C26557" s="374"/>
      <c r="CV26557" s="376"/>
    </row>
    <row r="26558" spans="1:100">
      <c r="A26558" s="374"/>
      <c r="C26558" s="374"/>
      <c r="CV26558" s="376"/>
    </row>
    <row r="26559" spans="1:100">
      <c r="A26559" s="374"/>
      <c r="C26559" s="374"/>
      <c r="CV26559" s="376"/>
    </row>
    <row r="26560" spans="1:100">
      <c r="A26560" s="374"/>
      <c r="C26560" s="374"/>
      <c r="CV26560" s="376"/>
    </row>
    <row r="26561" spans="1:100">
      <c r="A26561" s="374"/>
      <c r="C26561" s="374"/>
      <c r="CV26561" s="376"/>
    </row>
    <row r="26562" spans="1:100">
      <c r="A26562" s="374"/>
      <c r="C26562" s="374"/>
      <c r="CV26562" s="376"/>
    </row>
    <row r="26563" spans="1:100">
      <c r="A26563" s="374"/>
      <c r="C26563" s="374"/>
      <c r="CV26563" s="376"/>
    </row>
    <row r="26564" spans="1:100">
      <c r="A26564" s="374"/>
      <c r="C26564" s="374"/>
      <c r="CV26564" s="376"/>
    </row>
    <row r="26565" spans="1:100">
      <c r="A26565" s="374"/>
      <c r="C26565" s="374"/>
      <c r="CV26565" s="376"/>
    </row>
    <row r="26566" spans="1:100">
      <c r="A26566" s="374"/>
      <c r="C26566" s="374"/>
      <c r="CV26566" s="376"/>
    </row>
    <row r="26567" spans="1:100">
      <c r="A26567" s="374"/>
      <c r="C26567" s="374"/>
      <c r="CV26567" s="376"/>
    </row>
    <row r="26568" spans="1:100">
      <c r="A26568" s="374"/>
      <c r="C26568" s="374"/>
      <c r="CV26568" s="376"/>
    </row>
    <row r="26569" spans="1:100">
      <c r="A26569" s="374"/>
      <c r="C26569" s="374"/>
      <c r="CV26569" s="376"/>
    </row>
    <row r="26570" spans="1:100">
      <c r="A26570" s="374"/>
      <c r="C26570" s="374"/>
      <c r="CV26570" s="376"/>
    </row>
    <row r="26571" spans="1:100">
      <c r="A26571" s="374"/>
      <c r="C26571" s="374"/>
      <c r="CV26571" s="376"/>
    </row>
    <row r="26572" spans="1:100">
      <c r="A26572" s="374"/>
      <c r="C26572" s="374"/>
      <c r="CV26572" s="376"/>
    </row>
    <row r="26573" spans="1:100">
      <c r="A26573" s="374"/>
      <c r="C26573" s="374"/>
      <c r="CV26573" s="376"/>
    </row>
    <row r="26574" spans="1:100">
      <c r="A26574" s="374"/>
      <c r="C26574" s="374"/>
      <c r="CV26574" s="376"/>
    </row>
    <row r="26575" spans="1:100">
      <c r="A26575" s="374"/>
      <c r="C26575" s="374"/>
      <c r="CV26575" s="376"/>
    </row>
    <row r="26576" spans="1:100">
      <c r="A26576" s="374"/>
      <c r="C26576" s="374"/>
      <c r="CV26576" s="376"/>
    </row>
    <row r="26577" spans="1:100">
      <c r="A26577" s="374"/>
      <c r="C26577" s="374"/>
      <c r="CV26577" s="376"/>
    </row>
    <row r="26578" spans="1:100">
      <c r="A26578" s="374"/>
      <c r="C26578" s="374"/>
      <c r="CV26578" s="376"/>
    </row>
    <row r="26579" spans="1:100">
      <c r="A26579" s="374"/>
      <c r="C26579" s="374"/>
      <c r="CV26579" s="376"/>
    </row>
    <row r="26580" spans="1:100">
      <c r="A26580" s="374"/>
      <c r="C26580" s="374"/>
      <c r="CV26580" s="376"/>
    </row>
    <row r="26581" spans="1:100">
      <c r="A26581" s="374"/>
      <c r="C26581" s="374"/>
      <c r="CV26581" s="376"/>
    </row>
    <row r="26582" spans="1:100">
      <c r="A26582" s="374"/>
      <c r="C26582" s="374"/>
      <c r="CV26582" s="376"/>
    </row>
    <row r="26583" spans="1:100">
      <c r="A26583" s="374"/>
      <c r="C26583" s="374"/>
      <c r="CV26583" s="376"/>
    </row>
    <row r="26584" spans="1:100">
      <c r="A26584" s="374"/>
      <c r="C26584" s="374"/>
      <c r="CV26584" s="376"/>
    </row>
    <row r="26585" spans="1:100">
      <c r="A26585" s="374"/>
      <c r="C26585" s="374"/>
      <c r="CV26585" s="376"/>
    </row>
    <row r="26586" spans="1:100">
      <c r="A26586" s="374"/>
      <c r="C26586" s="374"/>
      <c r="CV26586" s="376"/>
    </row>
    <row r="26587" spans="1:100">
      <c r="A26587" s="374"/>
      <c r="C26587" s="374"/>
      <c r="CV26587" s="376"/>
    </row>
    <row r="26588" spans="1:100">
      <c r="A26588" s="374"/>
      <c r="C26588" s="374"/>
      <c r="CV26588" s="376"/>
    </row>
    <row r="26589" spans="1:100">
      <c r="A26589" s="374"/>
      <c r="C26589" s="374"/>
      <c r="CV26589" s="376"/>
    </row>
    <row r="26590" spans="1:100">
      <c r="A26590" s="374"/>
      <c r="C26590" s="374"/>
      <c r="CV26590" s="376"/>
    </row>
    <row r="26591" spans="1:100">
      <c r="A26591" s="374"/>
      <c r="C26591" s="374"/>
      <c r="CV26591" s="376"/>
    </row>
    <row r="26592" spans="1:100">
      <c r="A26592" s="374"/>
      <c r="C26592" s="374"/>
      <c r="CV26592" s="376"/>
    </row>
    <row r="26593" spans="1:100">
      <c r="A26593" s="374"/>
      <c r="C26593" s="374"/>
      <c r="CV26593" s="376"/>
    </row>
    <row r="26594" spans="1:100">
      <c r="A26594" s="374"/>
      <c r="C26594" s="374"/>
      <c r="CV26594" s="376"/>
    </row>
    <row r="26595" spans="1:100">
      <c r="A26595" s="374"/>
      <c r="C26595" s="374"/>
      <c r="CV26595" s="376"/>
    </row>
    <row r="26596" spans="1:100">
      <c r="A26596" s="374"/>
      <c r="C26596" s="374"/>
      <c r="CV26596" s="376"/>
    </row>
    <row r="26597" spans="1:100">
      <c r="A26597" s="374"/>
      <c r="C26597" s="374"/>
      <c r="CV26597" s="376"/>
    </row>
    <row r="26598" spans="1:100">
      <c r="A26598" s="374"/>
      <c r="C26598" s="374"/>
      <c r="CV26598" s="376"/>
    </row>
    <row r="26599" spans="1:100">
      <c r="A26599" s="374"/>
      <c r="C26599" s="374"/>
      <c r="CV26599" s="376"/>
    </row>
    <row r="26600" spans="1:100">
      <c r="A26600" s="374"/>
      <c r="C26600" s="374"/>
      <c r="CV26600" s="376"/>
    </row>
    <row r="26601" spans="1:100">
      <c r="A26601" s="374"/>
      <c r="C26601" s="374"/>
      <c r="CV26601" s="376"/>
    </row>
    <row r="26602" spans="1:100">
      <c r="A26602" s="374"/>
      <c r="C26602" s="374"/>
      <c r="CV26602" s="376"/>
    </row>
    <row r="26603" spans="1:100">
      <c r="A26603" s="374"/>
      <c r="C26603" s="374"/>
      <c r="CV26603" s="376"/>
    </row>
    <row r="26604" spans="1:100">
      <c r="A26604" s="374"/>
      <c r="C26604" s="374"/>
      <c r="CV26604" s="376"/>
    </row>
    <row r="26605" spans="1:100">
      <c r="A26605" s="374"/>
      <c r="C26605" s="374"/>
      <c r="CV26605" s="376"/>
    </row>
    <row r="26606" spans="1:100">
      <c r="A26606" s="374"/>
      <c r="C26606" s="374"/>
      <c r="CV26606" s="376"/>
    </row>
    <row r="26607" spans="1:100">
      <c r="A26607" s="374"/>
      <c r="C26607" s="374"/>
      <c r="CV26607" s="376"/>
    </row>
    <row r="26608" spans="1:100">
      <c r="A26608" s="374"/>
      <c r="C26608" s="374"/>
      <c r="CV26608" s="376"/>
    </row>
    <row r="26609" spans="1:100">
      <c r="A26609" s="374"/>
      <c r="C26609" s="374"/>
      <c r="CV26609" s="376"/>
    </row>
    <row r="26610" spans="1:100">
      <c r="A26610" s="374"/>
      <c r="C26610" s="374"/>
      <c r="CV26610" s="376"/>
    </row>
    <row r="26611" spans="1:100">
      <c r="A26611" s="374"/>
      <c r="C26611" s="374"/>
      <c r="CV26611" s="376"/>
    </row>
    <row r="26612" spans="1:100">
      <c r="A26612" s="374"/>
      <c r="C26612" s="374"/>
      <c r="CV26612" s="376"/>
    </row>
    <row r="26613" spans="1:100">
      <c r="A26613" s="374"/>
      <c r="C26613" s="374"/>
      <c r="CV26613" s="376"/>
    </row>
    <row r="26614" spans="1:100">
      <c r="A26614" s="374"/>
      <c r="C26614" s="374"/>
      <c r="CV26614" s="376"/>
    </row>
    <row r="26615" spans="1:100">
      <c r="A26615" s="374"/>
      <c r="C26615" s="374"/>
      <c r="CV26615" s="376"/>
    </row>
    <row r="26616" spans="1:100">
      <c r="A26616" s="374"/>
      <c r="C26616" s="374"/>
      <c r="CV26616" s="376"/>
    </row>
    <row r="26617" spans="1:100">
      <c r="A26617" s="374"/>
      <c r="C26617" s="374"/>
      <c r="CV26617" s="376"/>
    </row>
    <row r="26618" spans="1:100">
      <c r="A26618" s="374"/>
      <c r="C26618" s="374"/>
      <c r="CV26618" s="376"/>
    </row>
    <row r="26619" spans="1:100">
      <c r="A26619" s="374"/>
      <c r="C26619" s="374"/>
      <c r="CV26619" s="376"/>
    </row>
    <row r="26620" spans="1:100">
      <c r="A26620" s="374"/>
      <c r="C26620" s="374"/>
      <c r="CV26620" s="376"/>
    </row>
    <row r="26621" spans="1:100">
      <c r="A26621" s="374"/>
      <c r="C26621" s="374"/>
      <c r="CV26621" s="376"/>
    </row>
    <row r="26622" spans="1:100">
      <c r="A26622" s="374"/>
      <c r="C26622" s="374"/>
      <c r="CV26622" s="376"/>
    </row>
    <row r="26623" spans="1:100">
      <c r="A26623" s="374"/>
      <c r="C26623" s="374"/>
      <c r="CV26623" s="376"/>
    </row>
    <row r="26624" spans="1:100">
      <c r="A26624" s="374"/>
      <c r="C26624" s="374"/>
      <c r="CV26624" s="376"/>
    </row>
    <row r="26625" spans="1:100">
      <c r="A26625" s="374"/>
      <c r="C26625" s="374"/>
      <c r="CV26625" s="376"/>
    </row>
    <row r="26626" spans="1:100">
      <c r="A26626" s="374"/>
      <c r="C26626" s="374"/>
      <c r="CV26626" s="376"/>
    </row>
    <row r="26627" spans="1:100">
      <c r="A26627" s="374"/>
      <c r="C26627" s="374"/>
      <c r="CV26627" s="376"/>
    </row>
    <row r="26628" spans="1:100">
      <c r="A26628" s="374"/>
      <c r="C26628" s="374"/>
      <c r="CV26628" s="376"/>
    </row>
    <row r="26629" spans="1:100">
      <c r="A26629" s="374"/>
      <c r="C26629" s="374"/>
      <c r="CV26629" s="376"/>
    </row>
    <row r="26630" spans="1:100">
      <c r="A26630" s="374"/>
      <c r="C26630" s="374"/>
      <c r="CV26630" s="376"/>
    </row>
    <row r="26631" spans="1:100">
      <c r="A26631" s="374"/>
      <c r="C26631" s="374"/>
      <c r="CV26631" s="376"/>
    </row>
    <row r="26632" spans="1:100">
      <c r="A26632" s="374"/>
      <c r="C26632" s="374"/>
      <c r="CV26632" s="376"/>
    </row>
    <row r="26633" spans="1:100">
      <c r="A26633" s="374"/>
      <c r="C26633" s="374"/>
      <c r="CV26633" s="376"/>
    </row>
    <row r="26634" spans="1:100">
      <c r="A26634" s="374"/>
      <c r="C26634" s="374"/>
      <c r="CV26634" s="376"/>
    </row>
    <row r="26635" spans="1:100">
      <c r="A26635" s="374"/>
      <c r="C26635" s="374"/>
      <c r="CV26635" s="376"/>
    </row>
    <row r="26636" spans="1:100">
      <c r="A26636" s="374"/>
      <c r="C26636" s="374"/>
      <c r="CV26636" s="376"/>
    </row>
    <row r="26637" spans="1:100">
      <c r="A26637" s="374"/>
      <c r="C26637" s="374"/>
      <c r="CV26637" s="376"/>
    </row>
    <row r="26638" spans="1:100">
      <c r="A26638" s="374"/>
      <c r="C26638" s="374"/>
      <c r="CV26638" s="376"/>
    </row>
    <row r="26639" spans="1:100">
      <c r="A26639" s="374"/>
      <c r="C26639" s="374"/>
      <c r="CV26639" s="376"/>
    </row>
    <row r="26640" spans="1:100">
      <c r="A26640" s="374"/>
      <c r="C26640" s="374"/>
      <c r="CV26640" s="376"/>
    </row>
    <row r="26641" spans="1:100">
      <c r="A26641" s="374"/>
      <c r="C26641" s="374"/>
      <c r="CV26641" s="376"/>
    </row>
    <row r="26642" spans="1:100">
      <c r="A26642" s="374"/>
      <c r="C26642" s="374"/>
      <c r="CV26642" s="376"/>
    </row>
    <row r="26643" spans="1:100">
      <c r="A26643" s="374"/>
      <c r="C26643" s="374"/>
      <c r="CV26643" s="376"/>
    </row>
    <row r="26644" spans="1:100">
      <c r="A26644" s="374"/>
      <c r="C26644" s="374"/>
      <c r="CV26644" s="376"/>
    </row>
    <row r="26645" spans="1:100">
      <c r="A26645" s="374"/>
      <c r="C26645" s="374"/>
      <c r="CV26645" s="376"/>
    </row>
    <row r="26646" spans="1:100">
      <c r="A26646" s="374"/>
      <c r="C26646" s="374"/>
      <c r="CV26646" s="376"/>
    </row>
    <row r="26647" spans="1:100">
      <c r="A26647" s="374"/>
      <c r="C26647" s="374"/>
      <c r="CV26647" s="376"/>
    </row>
    <row r="26648" spans="1:100">
      <c r="A26648" s="374"/>
      <c r="C26648" s="374"/>
      <c r="CV26648" s="376"/>
    </row>
    <row r="26649" spans="1:100">
      <c r="A26649" s="374"/>
      <c r="C26649" s="374"/>
      <c r="CV26649" s="376"/>
    </row>
    <row r="26650" spans="1:100">
      <c r="A26650" s="374"/>
      <c r="C26650" s="374"/>
      <c r="CV26650" s="376"/>
    </row>
    <row r="26651" spans="1:100">
      <c r="A26651" s="374"/>
      <c r="C26651" s="374"/>
      <c r="CV26651" s="376"/>
    </row>
    <row r="26652" spans="1:100">
      <c r="A26652" s="374"/>
      <c r="C26652" s="374"/>
      <c r="CV26652" s="376"/>
    </row>
    <row r="26653" spans="1:100">
      <c r="A26653" s="374"/>
      <c r="C26653" s="374"/>
      <c r="CV26653" s="376"/>
    </row>
    <row r="26654" spans="1:100">
      <c r="A26654" s="374"/>
      <c r="C26654" s="374"/>
      <c r="CV26654" s="376"/>
    </row>
    <row r="26655" spans="1:100">
      <c r="A26655" s="374"/>
      <c r="C26655" s="374"/>
      <c r="CV26655" s="376"/>
    </row>
    <row r="26656" spans="1:100">
      <c r="A26656" s="374"/>
      <c r="C26656" s="374"/>
      <c r="CV26656" s="376"/>
    </row>
    <row r="26657" spans="1:100">
      <c r="A26657" s="374"/>
      <c r="C26657" s="374"/>
      <c r="CV26657" s="376"/>
    </row>
    <row r="26658" spans="1:100">
      <c r="A26658" s="374"/>
      <c r="C26658" s="374"/>
      <c r="CV26658" s="376"/>
    </row>
    <row r="26659" spans="1:100">
      <c r="A26659" s="374"/>
      <c r="C26659" s="374"/>
      <c r="CV26659" s="376"/>
    </row>
    <row r="26660" spans="1:100">
      <c r="A26660" s="374"/>
      <c r="C26660" s="374"/>
      <c r="CV26660" s="376"/>
    </row>
    <row r="26661" spans="1:100">
      <c r="A26661" s="374"/>
      <c r="C26661" s="374"/>
      <c r="CV26661" s="376"/>
    </row>
    <row r="26662" spans="1:100">
      <c r="A26662" s="374"/>
      <c r="C26662" s="374"/>
      <c r="CV26662" s="376"/>
    </row>
    <row r="26663" spans="1:100">
      <c r="A26663" s="374"/>
      <c r="C26663" s="374"/>
      <c r="CV26663" s="376"/>
    </row>
    <row r="26664" spans="1:100">
      <c r="A26664" s="374"/>
      <c r="C26664" s="374"/>
      <c r="CV26664" s="376"/>
    </row>
    <row r="26665" spans="1:100">
      <c r="A26665" s="374"/>
      <c r="C26665" s="374"/>
      <c r="CV26665" s="376"/>
    </row>
    <row r="26666" spans="1:100">
      <c r="A26666" s="374"/>
      <c r="C26666" s="374"/>
      <c r="CV26666" s="376"/>
    </row>
    <row r="26667" spans="1:100">
      <c r="A26667" s="374"/>
      <c r="C26667" s="374"/>
      <c r="CV26667" s="376"/>
    </row>
    <row r="26668" spans="1:100">
      <c r="A26668" s="374"/>
      <c r="C26668" s="374"/>
      <c r="CV26668" s="376"/>
    </row>
    <row r="26669" spans="1:100">
      <c r="A26669" s="374"/>
      <c r="C26669" s="374"/>
      <c r="CV26669" s="376"/>
    </row>
    <row r="26670" spans="1:100">
      <c r="A26670" s="374"/>
      <c r="C26670" s="374"/>
      <c r="CV26670" s="376"/>
    </row>
    <row r="26671" spans="1:100">
      <c r="A26671" s="374"/>
      <c r="C26671" s="374"/>
      <c r="CV26671" s="376"/>
    </row>
    <row r="26672" spans="1:100">
      <c r="A26672" s="374"/>
      <c r="C26672" s="374"/>
      <c r="CV26672" s="376"/>
    </row>
    <row r="26673" spans="1:100">
      <c r="A26673" s="374"/>
      <c r="C26673" s="374"/>
      <c r="CV26673" s="376"/>
    </row>
    <row r="26674" spans="1:100">
      <c r="A26674" s="374"/>
      <c r="C26674" s="374"/>
      <c r="CV26674" s="376"/>
    </row>
    <row r="26675" spans="1:100">
      <c r="A26675" s="374"/>
      <c r="C26675" s="374"/>
      <c r="CV26675" s="376"/>
    </row>
    <row r="26676" spans="1:100">
      <c r="A26676" s="374"/>
      <c r="C26676" s="374"/>
      <c r="CV26676" s="376"/>
    </row>
    <row r="26677" spans="1:100">
      <c r="A26677" s="374"/>
      <c r="C26677" s="374"/>
      <c r="CV26677" s="376"/>
    </row>
    <row r="26678" spans="1:100">
      <c r="A26678" s="374"/>
      <c r="C26678" s="374"/>
      <c r="CV26678" s="376"/>
    </row>
    <row r="26679" spans="1:100">
      <c r="A26679" s="374"/>
      <c r="C26679" s="374"/>
      <c r="CV26679" s="376"/>
    </row>
    <row r="26680" spans="1:100">
      <c r="A26680" s="374"/>
      <c r="C26680" s="374"/>
      <c r="CV26680" s="376"/>
    </row>
    <row r="26681" spans="1:100">
      <c r="A26681" s="374"/>
      <c r="C26681" s="374"/>
      <c r="CV26681" s="376"/>
    </row>
    <row r="26682" spans="1:100">
      <c r="A26682" s="374"/>
      <c r="C26682" s="374"/>
      <c r="CV26682" s="376"/>
    </row>
    <row r="26683" spans="1:100">
      <c r="A26683" s="374"/>
      <c r="C26683" s="374"/>
      <c r="CV26683" s="376"/>
    </row>
    <row r="26684" spans="1:100">
      <c r="A26684" s="374"/>
      <c r="C26684" s="374"/>
      <c r="CV26684" s="376"/>
    </row>
    <row r="26685" spans="1:100">
      <c r="A26685" s="374"/>
      <c r="C26685" s="374"/>
      <c r="CV26685" s="376"/>
    </row>
    <row r="26686" spans="1:100">
      <c r="A26686" s="374"/>
      <c r="C26686" s="374"/>
      <c r="CV26686" s="376"/>
    </row>
    <row r="26687" spans="1:100">
      <c r="A26687" s="374"/>
      <c r="C26687" s="374"/>
      <c r="CV26687" s="376"/>
    </row>
    <row r="26688" spans="1:100">
      <c r="A26688" s="374"/>
      <c r="C26688" s="374"/>
      <c r="CV26688" s="376"/>
    </row>
    <row r="26689" spans="1:100">
      <c r="A26689" s="374"/>
      <c r="C26689" s="374"/>
      <c r="CV26689" s="376"/>
    </row>
    <row r="26690" spans="1:100">
      <c r="A26690" s="374"/>
      <c r="C26690" s="374"/>
      <c r="CV26690" s="376"/>
    </row>
    <row r="26691" spans="1:100">
      <c r="A26691" s="374"/>
      <c r="C26691" s="374"/>
      <c r="CV26691" s="376"/>
    </row>
    <row r="26692" spans="1:100">
      <c r="A26692" s="374"/>
      <c r="C26692" s="374"/>
      <c r="CV26692" s="376"/>
    </row>
    <row r="26693" spans="1:100">
      <c r="A26693" s="374"/>
      <c r="C26693" s="374"/>
      <c r="CV26693" s="376"/>
    </row>
    <row r="26694" spans="1:100">
      <c r="A26694" s="374"/>
      <c r="C26694" s="374"/>
      <c r="CV26694" s="376"/>
    </row>
    <row r="26695" spans="1:100">
      <c r="A26695" s="374"/>
      <c r="C26695" s="374"/>
      <c r="CV26695" s="376"/>
    </row>
    <row r="26696" spans="1:100">
      <c r="A26696" s="374"/>
      <c r="C26696" s="374"/>
      <c r="CV26696" s="376"/>
    </row>
    <row r="26697" spans="1:100">
      <c r="A26697" s="374"/>
      <c r="C26697" s="374"/>
      <c r="CV26697" s="376"/>
    </row>
    <row r="26698" spans="1:100">
      <c r="A26698" s="374"/>
      <c r="C26698" s="374"/>
      <c r="CV26698" s="376"/>
    </row>
    <row r="26699" spans="1:100">
      <c r="A26699" s="374"/>
      <c r="C26699" s="374"/>
      <c r="CV26699" s="376"/>
    </row>
    <row r="26700" spans="1:100">
      <c r="A26700" s="374"/>
      <c r="C26700" s="374"/>
      <c r="CV26700" s="376"/>
    </row>
    <row r="26701" spans="1:100">
      <c r="A26701" s="374"/>
      <c r="C26701" s="374"/>
      <c r="CV26701" s="376"/>
    </row>
    <row r="26702" spans="1:100">
      <c r="A26702" s="374"/>
      <c r="C26702" s="374"/>
      <c r="CV26702" s="376"/>
    </row>
    <row r="26703" spans="1:100">
      <c r="A26703" s="374"/>
      <c r="C26703" s="374"/>
      <c r="CV26703" s="376"/>
    </row>
    <row r="26704" spans="1:100">
      <c r="A26704" s="374"/>
      <c r="C26704" s="374"/>
      <c r="CV26704" s="376"/>
    </row>
    <row r="26705" spans="1:100">
      <c r="A26705" s="374"/>
      <c r="C26705" s="374"/>
      <c r="CV26705" s="376"/>
    </row>
    <row r="26706" spans="1:100">
      <c r="A26706" s="374"/>
      <c r="C26706" s="374"/>
      <c r="CV26706" s="376"/>
    </row>
    <row r="26707" spans="1:100">
      <c r="A26707" s="374"/>
      <c r="C26707" s="374"/>
      <c r="CV26707" s="376"/>
    </row>
    <row r="26708" spans="1:100">
      <c r="A26708" s="374"/>
      <c r="C26708" s="374"/>
      <c r="CV26708" s="376"/>
    </row>
    <row r="26709" spans="1:100">
      <c r="A26709" s="374"/>
      <c r="C26709" s="374"/>
      <c r="CV26709" s="376"/>
    </row>
    <row r="26710" spans="1:100">
      <c r="A26710" s="374"/>
      <c r="C26710" s="374"/>
      <c r="CV26710" s="376"/>
    </row>
    <row r="26711" spans="1:100">
      <c r="A26711" s="374"/>
      <c r="C26711" s="374"/>
      <c r="CV26711" s="376"/>
    </row>
    <row r="26712" spans="1:100">
      <c r="A26712" s="374"/>
      <c r="C26712" s="374"/>
      <c r="CV26712" s="376"/>
    </row>
    <row r="26713" spans="1:100">
      <c r="A26713" s="374"/>
      <c r="C26713" s="374"/>
      <c r="CV26713" s="376"/>
    </row>
    <row r="26714" spans="1:100">
      <c r="A26714" s="374"/>
      <c r="C26714" s="374"/>
      <c r="CV26714" s="376"/>
    </row>
    <row r="26715" spans="1:100">
      <c r="A26715" s="374"/>
      <c r="C26715" s="374"/>
      <c r="CV26715" s="376"/>
    </row>
    <row r="26716" spans="1:100">
      <c r="A26716" s="374"/>
      <c r="C26716" s="374"/>
      <c r="CV26716" s="376"/>
    </row>
    <row r="26717" spans="1:100">
      <c r="A26717" s="374"/>
      <c r="C26717" s="374"/>
      <c r="CV26717" s="376"/>
    </row>
    <row r="26718" spans="1:100">
      <c r="A26718" s="374"/>
      <c r="C26718" s="374"/>
      <c r="CV26718" s="376"/>
    </row>
    <row r="26719" spans="1:100">
      <c r="A26719" s="374"/>
      <c r="C26719" s="374"/>
      <c r="CV26719" s="376"/>
    </row>
    <row r="26720" spans="1:100">
      <c r="A26720" s="374"/>
      <c r="C26720" s="374"/>
      <c r="CV26720" s="376"/>
    </row>
    <row r="26721" spans="1:100">
      <c r="A26721" s="374"/>
      <c r="C26721" s="374"/>
      <c r="CV26721" s="376"/>
    </row>
    <row r="26722" spans="1:100">
      <c r="A26722" s="374"/>
      <c r="C26722" s="374"/>
      <c r="CV26722" s="376"/>
    </row>
    <row r="26723" spans="1:100">
      <c r="A26723" s="374"/>
      <c r="C26723" s="374"/>
      <c r="CV26723" s="376"/>
    </row>
    <row r="26724" spans="1:100">
      <c r="A26724" s="374"/>
      <c r="C26724" s="374"/>
      <c r="CV26724" s="376"/>
    </row>
    <row r="26725" spans="1:100">
      <c r="A26725" s="374"/>
      <c r="C26725" s="374"/>
      <c r="CV26725" s="376"/>
    </row>
    <row r="26726" spans="1:100">
      <c r="A26726" s="374"/>
      <c r="C26726" s="374"/>
      <c r="CV26726" s="376"/>
    </row>
    <row r="26727" spans="1:100">
      <c r="A26727" s="374"/>
      <c r="C26727" s="374"/>
      <c r="CV26727" s="376"/>
    </row>
    <row r="26728" spans="1:100">
      <c r="A26728" s="374"/>
      <c r="C26728" s="374"/>
      <c r="CV26728" s="376"/>
    </row>
    <row r="26729" spans="1:100">
      <c r="A26729" s="374"/>
      <c r="C26729" s="374"/>
      <c r="CV26729" s="376"/>
    </row>
    <row r="26730" spans="1:100">
      <c r="A26730" s="374"/>
      <c r="C26730" s="374"/>
      <c r="CV26730" s="376"/>
    </row>
    <row r="26731" spans="1:100">
      <c r="A26731" s="374"/>
      <c r="C26731" s="374"/>
      <c r="CV26731" s="376"/>
    </row>
    <row r="26732" spans="1:100">
      <c r="A26732" s="374"/>
      <c r="C26732" s="374"/>
      <c r="CV26732" s="376"/>
    </row>
    <row r="26733" spans="1:100">
      <c r="A26733" s="374"/>
      <c r="C26733" s="374"/>
      <c r="CV26733" s="376"/>
    </row>
    <row r="26734" spans="1:100">
      <c r="A26734" s="374"/>
      <c r="C26734" s="374"/>
      <c r="CV26734" s="376"/>
    </row>
    <row r="26735" spans="1:100">
      <c r="A26735" s="374"/>
      <c r="C26735" s="374"/>
      <c r="CV26735" s="376"/>
    </row>
    <row r="26736" spans="1:100">
      <c r="A26736" s="374"/>
      <c r="C26736" s="374"/>
      <c r="CV26736" s="376"/>
    </row>
    <row r="26737" spans="1:100">
      <c r="A26737" s="374"/>
      <c r="C26737" s="374"/>
      <c r="CV26737" s="376"/>
    </row>
    <row r="26738" spans="1:100">
      <c r="A26738" s="374"/>
      <c r="C26738" s="374"/>
      <c r="CV26738" s="376"/>
    </row>
    <row r="26739" spans="1:100">
      <c r="A26739" s="374"/>
      <c r="C26739" s="374"/>
      <c r="CV26739" s="376"/>
    </row>
    <row r="26740" spans="1:100">
      <c r="A26740" s="374"/>
      <c r="C26740" s="374"/>
      <c r="CV26740" s="376"/>
    </row>
    <row r="26741" spans="1:100">
      <c r="A26741" s="374"/>
      <c r="C26741" s="374"/>
      <c r="CV26741" s="376"/>
    </row>
    <row r="26742" spans="1:100">
      <c r="A26742" s="374"/>
      <c r="C26742" s="374"/>
      <c r="CV26742" s="376"/>
    </row>
    <row r="26743" spans="1:100">
      <c r="A26743" s="374"/>
      <c r="C26743" s="374"/>
      <c r="CV26743" s="376"/>
    </row>
    <row r="26744" spans="1:100">
      <c r="A26744" s="374"/>
      <c r="C26744" s="374"/>
      <c r="CV26744" s="376"/>
    </row>
    <row r="26745" spans="1:100">
      <c r="A26745" s="374"/>
      <c r="C26745" s="374"/>
      <c r="CV26745" s="376"/>
    </row>
    <row r="26746" spans="1:100">
      <c r="A26746" s="374"/>
      <c r="C26746" s="374"/>
      <c r="CV26746" s="376"/>
    </row>
    <row r="26747" spans="1:100">
      <c r="A26747" s="374"/>
      <c r="C26747" s="374"/>
      <c r="CV26747" s="376"/>
    </row>
    <row r="26748" spans="1:100">
      <c r="A26748" s="374"/>
      <c r="C26748" s="374"/>
      <c r="CV26748" s="376"/>
    </row>
    <row r="26749" spans="1:100">
      <c r="A26749" s="374"/>
      <c r="C26749" s="374"/>
      <c r="CV26749" s="376"/>
    </row>
    <row r="26750" spans="1:100">
      <c r="A26750" s="374"/>
      <c r="C26750" s="374"/>
      <c r="CV26750" s="376"/>
    </row>
    <row r="26751" spans="1:100">
      <c r="A26751" s="374"/>
      <c r="C26751" s="374"/>
      <c r="CV26751" s="376"/>
    </row>
    <row r="26752" spans="1:100">
      <c r="A26752" s="374"/>
      <c r="C26752" s="374"/>
      <c r="CV26752" s="376"/>
    </row>
    <row r="26753" spans="1:100">
      <c r="A26753" s="374"/>
      <c r="C26753" s="374"/>
      <c r="CV26753" s="376"/>
    </row>
    <row r="26754" spans="1:100">
      <c r="A26754" s="374"/>
      <c r="C26754" s="374"/>
      <c r="CV26754" s="376"/>
    </row>
    <row r="26755" spans="1:100">
      <c r="A26755" s="374"/>
      <c r="C26755" s="374"/>
      <c r="CV26755" s="376"/>
    </row>
    <row r="26756" spans="1:100">
      <c r="A26756" s="374"/>
      <c r="C26756" s="374"/>
      <c r="CV26756" s="376"/>
    </row>
    <row r="26757" spans="1:100">
      <c r="A26757" s="374"/>
      <c r="C26757" s="374"/>
      <c r="CV26757" s="376"/>
    </row>
    <row r="26758" spans="1:100">
      <c r="A26758" s="374"/>
      <c r="C26758" s="374"/>
      <c r="CV26758" s="376"/>
    </row>
    <row r="26759" spans="1:100">
      <c r="A26759" s="374"/>
      <c r="C26759" s="374"/>
      <c r="CV26759" s="376"/>
    </row>
    <row r="26760" spans="1:100">
      <c r="A26760" s="374"/>
      <c r="C26760" s="374"/>
      <c r="CV26760" s="376"/>
    </row>
    <row r="26761" spans="1:100">
      <c r="A26761" s="374"/>
      <c r="C26761" s="374"/>
      <c r="CV26761" s="376"/>
    </row>
    <row r="26762" spans="1:100">
      <c r="A26762" s="374"/>
      <c r="C26762" s="374"/>
      <c r="CV26762" s="376"/>
    </row>
    <row r="26763" spans="1:100">
      <c r="A26763" s="374"/>
      <c r="C26763" s="374"/>
      <c r="CV26763" s="376"/>
    </row>
    <row r="26764" spans="1:100">
      <c r="A26764" s="374"/>
      <c r="C26764" s="374"/>
      <c r="CV26764" s="376"/>
    </row>
    <row r="26765" spans="1:100">
      <c r="A26765" s="374"/>
      <c r="C26765" s="374"/>
      <c r="CV26765" s="376"/>
    </row>
    <row r="26766" spans="1:100">
      <c r="A26766" s="374"/>
      <c r="C26766" s="374"/>
      <c r="CV26766" s="376"/>
    </row>
    <row r="26767" spans="1:100">
      <c r="A26767" s="374"/>
      <c r="C26767" s="374"/>
      <c r="CV26767" s="376"/>
    </row>
    <row r="26768" spans="1:100">
      <c r="A26768" s="374"/>
      <c r="C26768" s="374"/>
      <c r="CV26768" s="376"/>
    </row>
    <row r="26769" spans="1:100">
      <c r="A26769" s="374"/>
      <c r="C26769" s="374"/>
      <c r="CV26769" s="376"/>
    </row>
    <row r="26770" spans="1:100">
      <c r="A26770" s="374"/>
      <c r="C26770" s="374"/>
      <c r="CV26770" s="376"/>
    </row>
    <row r="26771" spans="1:100">
      <c r="A26771" s="374"/>
      <c r="C26771" s="374"/>
      <c r="CV26771" s="376"/>
    </row>
    <row r="26772" spans="1:100">
      <c r="A26772" s="374"/>
      <c r="C26772" s="374"/>
      <c r="CV26772" s="376"/>
    </row>
    <row r="26773" spans="1:100">
      <c r="A26773" s="374"/>
      <c r="C26773" s="374"/>
      <c r="CV26773" s="376"/>
    </row>
    <row r="26774" spans="1:100">
      <c r="A26774" s="374"/>
      <c r="C26774" s="374"/>
      <c r="CV26774" s="376"/>
    </row>
    <row r="26775" spans="1:100">
      <c r="A26775" s="374"/>
      <c r="C26775" s="374"/>
      <c r="CV26775" s="376"/>
    </row>
    <row r="26776" spans="1:100">
      <c r="A26776" s="374"/>
      <c r="C26776" s="374"/>
      <c r="CV26776" s="376"/>
    </row>
    <row r="26777" spans="1:100">
      <c r="A26777" s="374"/>
      <c r="C26777" s="374"/>
      <c r="CV26777" s="376"/>
    </row>
    <row r="26778" spans="1:100">
      <c r="A26778" s="374"/>
      <c r="C26778" s="374"/>
      <c r="CV26778" s="376"/>
    </row>
    <row r="26779" spans="1:100">
      <c r="A26779" s="374"/>
      <c r="C26779" s="374"/>
      <c r="CV26779" s="376"/>
    </row>
    <row r="26780" spans="1:100">
      <c r="A26780" s="374"/>
      <c r="C26780" s="374"/>
      <c r="CV26780" s="376"/>
    </row>
    <row r="26781" spans="1:100">
      <c r="A26781" s="374"/>
      <c r="C26781" s="374"/>
      <c r="CV26781" s="376"/>
    </row>
    <row r="26782" spans="1:100">
      <c r="A26782" s="374"/>
      <c r="C26782" s="374"/>
      <c r="CV26782" s="376"/>
    </row>
    <row r="26783" spans="1:100">
      <c r="A26783" s="374"/>
      <c r="C26783" s="374"/>
      <c r="CV26783" s="376"/>
    </row>
    <row r="26784" spans="1:100">
      <c r="A26784" s="374"/>
      <c r="C26784" s="374"/>
      <c r="CV26784" s="376"/>
    </row>
    <row r="26785" spans="1:100">
      <c r="A26785" s="374"/>
      <c r="C26785" s="374"/>
      <c r="CV26785" s="376"/>
    </row>
    <row r="26786" spans="1:100">
      <c r="A26786" s="374"/>
      <c r="C26786" s="374"/>
      <c r="CV26786" s="376"/>
    </row>
    <row r="26787" spans="1:100">
      <c r="A26787" s="374"/>
      <c r="C26787" s="374"/>
      <c r="CV26787" s="376"/>
    </row>
    <row r="26788" spans="1:100">
      <c r="A26788" s="374"/>
      <c r="C26788" s="374"/>
      <c r="CV26788" s="376"/>
    </row>
    <row r="26789" spans="1:100">
      <c r="A26789" s="374"/>
      <c r="C26789" s="374"/>
      <c r="CV26789" s="376"/>
    </row>
    <row r="26790" spans="1:100">
      <c r="A26790" s="374"/>
      <c r="C26790" s="374"/>
      <c r="CV26790" s="376"/>
    </row>
    <row r="26791" spans="1:100">
      <c r="A26791" s="374"/>
      <c r="C26791" s="374"/>
      <c r="CV26791" s="376"/>
    </row>
    <row r="26792" spans="1:100">
      <c r="A26792" s="374"/>
      <c r="C26792" s="374"/>
      <c r="CV26792" s="376"/>
    </row>
    <row r="26793" spans="1:100">
      <c r="A26793" s="374"/>
      <c r="C26793" s="374"/>
      <c r="CV26793" s="376"/>
    </row>
    <row r="26794" spans="1:100">
      <c r="A26794" s="374"/>
      <c r="C26794" s="374"/>
      <c r="CV26794" s="376"/>
    </row>
    <row r="26795" spans="1:100">
      <c r="A26795" s="374"/>
      <c r="C26795" s="374"/>
      <c r="CV26795" s="376"/>
    </row>
    <row r="26796" spans="1:100">
      <c r="A26796" s="374"/>
      <c r="C26796" s="374"/>
      <c r="CV26796" s="376"/>
    </row>
    <row r="26797" spans="1:100">
      <c r="A26797" s="374"/>
      <c r="C26797" s="374"/>
      <c r="CV26797" s="376"/>
    </row>
    <row r="26798" spans="1:100">
      <c r="A26798" s="374"/>
      <c r="C26798" s="374"/>
      <c r="CV26798" s="376"/>
    </row>
    <row r="26799" spans="1:100">
      <c r="A26799" s="374"/>
      <c r="C26799" s="374"/>
      <c r="CV26799" s="376"/>
    </row>
    <row r="26800" spans="1:100">
      <c r="A26800" s="374"/>
      <c r="C26800" s="374"/>
      <c r="CV26800" s="376"/>
    </row>
    <row r="26801" spans="1:100">
      <c r="A26801" s="374"/>
      <c r="C26801" s="374"/>
      <c r="CV26801" s="376"/>
    </row>
    <row r="26802" spans="1:100">
      <c r="A26802" s="374"/>
      <c r="C26802" s="374"/>
      <c r="CV26802" s="376"/>
    </row>
    <row r="26803" spans="1:100">
      <c r="A26803" s="374"/>
      <c r="C26803" s="374"/>
      <c r="CV26803" s="376"/>
    </row>
    <row r="26804" spans="1:100">
      <c r="A26804" s="374"/>
      <c r="C26804" s="374"/>
      <c r="CV26804" s="376"/>
    </row>
    <row r="26805" spans="1:100">
      <c r="A26805" s="374"/>
      <c r="C26805" s="374"/>
      <c r="CV26805" s="376"/>
    </row>
    <row r="26806" spans="1:100">
      <c r="A26806" s="374"/>
      <c r="C26806" s="374"/>
      <c r="CV26806" s="376"/>
    </row>
    <row r="26807" spans="1:100">
      <c r="A26807" s="374"/>
      <c r="C26807" s="374"/>
      <c r="CV26807" s="376"/>
    </row>
    <row r="26808" spans="1:100">
      <c r="A26808" s="374"/>
      <c r="C26808" s="374"/>
      <c r="CV26808" s="376"/>
    </row>
    <row r="26809" spans="1:100">
      <c r="A26809" s="374"/>
      <c r="C26809" s="374"/>
      <c r="CV26809" s="376"/>
    </row>
    <row r="26810" spans="1:100">
      <c r="A26810" s="374"/>
      <c r="C26810" s="374"/>
      <c r="CV26810" s="376"/>
    </row>
    <row r="26811" spans="1:100">
      <c r="A26811" s="374"/>
      <c r="C26811" s="374"/>
      <c r="CV26811" s="376"/>
    </row>
    <row r="26812" spans="1:100">
      <c r="A26812" s="374"/>
      <c r="C26812" s="374"/>
      <c r="CV26812" s="376"/>
    </row>
    <row r="26813" spans="1:100">
      <c r="A26813" s="374"/>
      <c r="C26813" s="374"/>
      <c r="CV26813" s="376"/>
    </row>
    <row r="26814" spans="1:100">
      <c r="A26814" s="374"/>
      <c r="C26814" s="374"/>
      <c r="CV26814" s="376"/>
    </row>
    <row r="26815" spans="1:100">
      <c r="A26815" s="374"/>
      <c r="C26815" s="374"/>
      <c r="CV26815" s="376"/>
    </row>
    <row r="26816" spans="1:100">
      <c r="A26816" s="374"/>
      <c r="C26816" s="374"/>
      <c r="CV26816" s="376"/>
    </row>
    <row r="26817" spans="1:100">
      <c r="A26817" s="374"/>
      <c r="C26817" s="374"/>
      <c r="CV26817" s="376"/>
    </row>
    <row r="26818" spans="1:100">
      <c r="A26818" s="374"/>
      <c r="C26818" s="374"/>
      <c r="CV26818" s="376"/>
    </row>
    <row r="26819" spans="1:100">
      <c r="A26819" s="374"/>
      <c r="C26819" s="374"/>
      <c r="CV26819" s="376"/>
    </row>
    <row r="26820" spans="1:100">
      <c r="A26820" s="374"/>
      <c r="C26820" s="374"/>
      <c r="CV26820" s="376"/>
    </row>
    <row r="26821" spans="1:100">
      <c r="A26821" s="374"/>
      <c r="C26821" s="374"/>
      <c r="CV26821" s="376"/>
    </row>
    <row r="26822" spans="1:100">
      <c r="A26822" s="374"/>
      <c r="C26822" s="374"/>
      <c r="CV26822" s="376"/>
    </row>
    <row r="26823" spans="1:100">
      <c r="A26823" s="374"/>
      <c r="C26823" s="374"/>
      <c r="CV26823" s="376"/>
    </row>
    <row r="26824" spans="1:100">
      <c r="A26824" s="374"/>
      <c r="C26824" s="374"/>
      <c r="CV26824" s="376"/>
    </row>
    <row r="26825" spans="1:100">
      <c r="A26825" s="374"/>
      <c r="C26825" s="374"/>
      <c r="CV26825" s="376"/>
    </row>
    <row r="26826" spans="1:100">
      <c r="A26826" s="374"/>
      <c r="C26826" s="374"/>
      <c r="CV26826" s="376"/>
    </row>
    <row r="26827" spans="1:100">
      <c r="A26827" s="374"/>
      <c r="C26827" s="374"/>
      <c r="CV26827" s="376"/>
    </row>
    <row r="26828" spans="1:100">
      <c r="A26828" s="374"/>
      <c r="C26828" s="374"/>
      <c r="CV26828" s="376"/>
    </row>
    <row r="26829" spans="1:100">
      <c r="A26829" s="374"/>
      <c r="C26829" s="374"/>
      <c r="CV26829" s="376"/>
    </row>
    <row r="26830" spans="1:100">
      <c r="A26830" s="374"/>
      <c r="C26830" s="374"/>
      <c r="CV26830" s="376"/>
    </row>
    <row r="26831" spans="1:100">
      <c r="A26831" s="374"/>
      <c r="C26831" s="374"/>
      <c r="CV26831" s="376"/>
    </row>
    <row r="26832" spans="1:100">
      <c r="A26832" s="374"/>
      <c r="C26832" s="374"/>
      <c r="CV26832" s="376"/>
    </row>
    <row r="26833" spans="1:100">
      <c r="A26833" s="374"/>
      <c r="C26833" s="374"/>
      <c r="CV26833" s="376"/>
    </row>
    <row r="26834" spans="1:100">
      <c r="A26834" s="374"/>
      <c r="C26834" s="374"/>
      <c r="CV26834" s="376"/>
    </row>
    <row r="26835" spans="1:100">
      <c r="A26835" s="374"/>
      <c r="C26835" s="374"/>
      <c r="CV26835" s="376"/>
    </row>
    <row r="26836" spans="1:100">
      <c r="A26836" s="374"/>
      <c r="C26836" s="374"/>
      <c r="CV26836" s="376"/>
    </row>
    <row r="26837" spans="1:100">
      <c r="A26837" s="374"/>
      <c r="C26837" s="374"/>
      <c r="CV26837" s="376"/>
    </row>
    <row r="26838" spans="1:100">
      <c r="A26838" s="374"/>
      <c r="C26838" s="374"/>
      <c r="CV26838" s="376"/>
    </row>
    <row r="26839" spans="1:100">
      <c r="A26839" s="374"/>
      <c r="C26839" s="374"/>
      <c r="CV26839" s="376"/>
    </row>
    <row r="26840" spans="1:100">
      <c r="A26840" s="374"/>
      <c r="C26840" s="374"/>
      <c r="CV26840" s="376"/>
    </row>
    <row r="26841" spans="1:100">
      <c r="A26841" s="374"/>
      <c r="C26841" s="374"/>
      <c r="CV26841" s="376"/>
    </row>
    <row r="26842" spans="1:100">
      <c r="A26842" s="374"/>
      <c r="C26842" s="374"/>
      <c r="CV26842" s="376"/>
    </row>
    <row r="26843" spans="1:100">
      <c r="A26843" s="374"/>
      <c r="C26843" s="374"/>
      <c r="CV26843" s="376"/>
    </row>
    <row r="26844" spans="1:100">
      <c r="A26844" s="374"/>
      <c r="C26844" s="374"/>
      <c r="CV26844" s="376"/>
    </row>
    <row r="26845" spans="1:100">
      <c r="A26845" s="374"/>
      <c r="C26845" s="374"/>
      <c r="CV26845" s="376"/>
    </row>
    <row r="26846" spans="1:100">
      <c r="A26846" s="374"/>
      <c r="C26846" s="374"/>
      <c r="CV26846" s="376"/>
    </row>
    <row r="26847" spans="1:100">
      <c r="A26847" s="374"/>
      <c r="C26847" s="374"/>
      <c r="CV26847" s="376"/>
    </row>
    <row r="26848" spans="1:100">
      <c r="A26848" s="374"/>
      <c r="C26848" s="374"/>
      <c r="CV26848" s="376"/>
    </row>
    <row r="26849" spans="1:100">
      <c r="A26849" s="374"/>
      <c r="C26849" s="374"/>
      <c r="CV26849" s="376"/>
    </row>
    <row r="26850" spans="1:100">
      <c r="A26850" s="374"/>
      <c r="C26850" s="374"/>
      <c r="CV26850" s="376"/>
    </row>
    <row r="26851" spans="1:100">
      <c r="A26851" s="374"/>
      <c r="C26851" s="374"/>
      <c r="CV26851" s="376"/>
    </row>
    <row r="26852" spans="1:100">
      <c r="A26852" s="374"/>
      <c r="C26852" s="374"/>
      <c r="CV26852" s="376"/>
    </row>
    <row r="26853" spans="1:100">
      <c r="A26853" s="374"/>
      <c r="C26853" s="374"/>
      <c r="CV26853" s="376"/>
    </row>
    <row r="26854" spans="1:100">
      <c r="A26854" s="374"/>
      <c r="C26854" s="374"/>
      <c r="CV26854" s="376"/>
    </row>
    <row r="26855" spans="1:100">
      <c r="A26855" s="374"/>
      <c r="C26855" s="374"/>
      <c r="CV26855" s="376"/>
    </row>
    <row r="26856" spans="1:100">
      <c r="A26856" s="374"/>
      <c r="C26856" s="374"/>
      <c r="CV26856" s="376"/>
    </row>
    <row r="26857" spans="1:100">
      <c r="A26857" s="374"/>
      <c r="C26857" s="374"/>
      <c r="CV26857" s="376"/>
    </row>
    <row r="26858" spans="1:100">
      <c r="A26858" s="374"/>
      <c r="C26858" s="374"/>
      <c r="CV26858" s="376"/>
    </row>
    <row r="26859" spans="1:100">
      <c r="A26859" s="374"/>
      <c r="C26859" s="374"/>
      <c r="CV26859" s="376"/>
    </row>
    <row r="26860" spans="1:100">
      <c r="A26860" s="374"/>
      <c r="C26860" s="374"/>
      <c r="CV26860" s="376"/>
    </row>
    <row r="26861" spans="1:100">
      <c r="A26861" s="374"/>
      <c r="C26861" s="374"/>
      <c r="CV26861" s="376"/>
    </row>
    <row r="26862" spans="1:100">
      <c r="A26862" s="374"/>
      <c r="C26862" s="374"/>
      <c r="CV26862" s="376"/>
    </row>
    <row r="26863" spans="1:100">
      <c r="A26863" s="374"/>
      <c r="C26863" s="374"/>
      <c r="CV26863" s="376"/>
    </row>
    <row r="26864" spans="1:100">
      <c r="A26864" s="374"/>
      <c r="C26864" s="374"/>
      <c r="CV26864" s="376"/>
    </row>
    <row r="26865" spans="1:100">
      <c r="A26865" s="374"/>
      <c r="C26865" s="374"/>
      <c r="CV26865" s="376"/>
    </row>
    <row r="26866" spans="1:100">
      <c r="A26866" s="374"/>
      <c r="C26866" s="374"/>
      <c r="CV26866" s="376"/>
    </row>
    <row r="26867" spans="1:100">
      <c r="A26867" s="374"/>
      <c r="C26867" s="374"/>
      <c r="CV26867" s="376"/>
    </row>
    <row r="26868" spans="1:100">
      <c r="A26868" s="374"/>
      <c r="C26868" s="374"/>
      <c r="CV26868" s="376"/>
    </row>
    <row r="26869" spans="1:100">
      <c r="A26869" s="374"/>
      <c r="C26869" s="374"/>
      <c r="CV26869" s="376"/>
    </row>
    <row r="26870" spans="1:100">
      <c r="A26870" s="374"/>
      <c r="C26870" s="374"/>
      <c r="CV26870" s="376"/>
    </row>
    <row r="26871" spans="1:100">
      <c r="A26871" s="374"/>
      <c r="C26871" s="374"/>
      <c r="CV26871" s="376"/>
    </row>
    <row r="26872" spans="1:100">
      <c r="A26872" s="374"/>
      <c r="C26872" s="374"/>
      <c r="CV26872" s="376"/>
    </row>
    <row r="26873" spans="1:100">
      <c r="A26873" s="374"/>
      <c r="C26873" s="374"/>
      <c r="CV26873" s="376"/>
    </row>
    <row r="26874" spans="1:100">
      <c r="A26874" s="374"/>
      <c r="C26874" s="374"/>
      <c r="CV26874" s="376"/>
    </row>
    <row r="26875" spans="1:100">
      <c r="A26875" s="374"/>
      <c r="C26875" s="374"/>
      <c r="CV26875" s="376"/>
    </row>
    <row r="26876" spans="1:100">
      <c r="A26876" s="374"/>
      <c r="C26876" s="374"/>
      <c r="CV26876" s="376"/>
    </row>
    <row r="26877" spans="1:100">
      <c r="A26877" s="374"/>
      <c r="C26877" s="374"/>
      <c r="CV26877" s="376"/>
    </row>
    <row r="26878" spans="1:100">
      <c r="A26878" s="374"/>
      <c r="C26878" s="374"/>
      <c r="CV26878" s="376"/>
    </row>
    <row r="26879" spans="1:100">
      <c r="A26879" s="374"/>
      <c r="C26879" s="374"/>
      <c r="CV26879" s="376"/>
    </row>
    <row r="26880" spans="1:100">
      <c r="A26880" s="374"/>
      <c r="C26880" s="374"/>
      <c r="CV26880" s="376"/>
    </row>
    <row r="26881" spans="1:100">
      <c r="A26881" s="374"/>
      <c r="C26881" s="374"/>
      <c r="CV26881" s="376"/>
    </row>
    <row r="26882" spans="1:100">
      <c r="A26882" s="374"/>
      <c r="C26882" s="374"/>
      <c r="CV26882" s="376"/>
    </row>
    <row r="26883" spans="1:100">
      <c r="A26883" s="374"/>
      <c r="C26883" s="374"/>
      <c r="CV26883" s="376"/>
    </row>
    <row r="26884" spans="1:100">
      <c r="A26884" s="374"/>
      <c r="C26884" s="374"/>
      <c r="CV26884" s="376"/>
    </row>
    <row r="26885" spans="1:100">
      <c r="A26885" s="374"/>
      <c r="C26885" s="374"/>
      <c r="CV26885" s="376"/>
    </row>
    <row r="26886" spans="1:100">
      <c r="A26886" s="374"/>
      <c r="C26886" s="374"/>
      <c r="CV26886" s="376"/>
    </row>
    <row r="26887" spans="1:100">
      <c r="A26887" s="374"/>
      <c r="C26887" s="374"/>
      <c r="CV26887" s="376"/>
    </row>
    <row r="26888" spans="1:100">
      <c r="A26888" s="374"/>
      <c r="C26888" s="374"/>
      <c r="CV26888" s="376"/>
    </row>
    <row r="26889" spans="1:100">
      <c r="A26889" s="374"/>
      <c r="C26889" s="374"/>
      <c r="CV26889" s="376"/>
    </row>
    <row r="26890" spans="1:100">
      <c r="A26890" s="374"/>
      <c r="C26890" s="374"/>
      <c r="CV26890" s="376"/>
    </row>
    <row r="26891" spans="1:100">
      <c r="A26891" s="374"/>
      <c r="C26891" s="374"/>
      <c r="CV26891" s="376"/>
    </row>
    <row r="26892" spans="1:100">
      <c r="A26892" s="374"/>
      <c r="C26892" s="374"/>
      <c r="CV26892" s="376"/>
    </row>
    <row r="26893" spans="1:100">
      <c r="A26893" s="374"/>
      <c r="C26893" s="374"/>
      <c r="CV26893" s="376"/>
    </row>
    <row r="26894" spans="1:100">
      <c r="A26894" s="374"/>
      <c r="C26894" s="374"/>
      <c r="CV26894" s="376"/>
    </row>
    <row r="26895" spans="1:100">
      <c r="A26895" s="374"/>
      <c r="C26895" s="374"/>
      <c r="CV26895" s="376"/>
    </row>
    <row r="26896" spans="1:100">
      <c r="A26896" s="374"/>
      <c r="C26896" s="374"/>
      <c r="CV26896" s="376"/>
    </row>
    <row r="26897" spans="1:100">
      <c r="A26897" s="374"/>
      <c r="C26897" s="374"/>
      <c r="CV26897" s="376"/>
    </row>
    <row r="26898" spans="1:100">
      <c r="A26898" s="374"/>
      <c r="C26898" s="374"/>
      <c r="CV26898" s="376"/>
    </row>
    <row r="26899" spans="1:100">
      <c r="A26899" s="374"/>
      <c r="C26899" s="374"/>
      <c r="CV26899" s="376"/>
    </row>
    <row r="26900" spans="1:100">
      <c r="A26900" s="374"/>
      <c r="C26900" s="374"/>
      <c r="CV26900" s="376"/>
    </row>
    <row r="26901" spans="1:100">
      <c r="A26901" s="374"/>
      <c r="C26901" s="374"/>
      <c r="CV26901" s="376"/>
    </row>
    <row r="26902" spans="1:100">
      <c r="A26902" s="374"/>
      <c r="C26902" s="374"/>
      <c r="CV26902" s="376"/>
    </row>
    <row r="26903" spans="1:100">
      <c r="A26903" s="374"/>
      <c r="C26903" s="374"/>
      <c r="CV26903" s="376"/>
    </row>
    <row r="26904" spans="1:100">
      <c r="A26904" s="374"/>
      <c r="C26904" s="374"/>
      <c r="CV26904" s="376"/>
    </row>
    <row r="26905" spans="1:100">
      <c r="A26905" s="374"/>
      <c r="C26905" s="374"/>
      <c r="CV26905" s="376"/>
    </row>
    <row r="26906" spans="1:100">
      <c r="A26906" s="374"/>
      <c r="C26906" s="374"/>
      <c r="CV26906" s="376"/>
    </row>
    <row r="26907" spans="1:100">
      <c r="A26907" s="374"/>
      <c r="C26907" s="374"/>
      <c r="CV26907" s="376"/>
    </row>
    <row r="26908" spans="1:100">
      <c r="A26908" s="374"/>
      <c r="C26908" s="374"/>
      <c r="CV26908" s="376"/>
    </row>
    <row r="26909" spans="1:100">
      <c r="A26909" s="374"/>
      <c r="C26909" s="374"/>
      <c r="CV26909" s="376"/>
    </row>
    <row r="26910" spans="1:100">
      <c r="A26910" s="374"/>
      <c r="C26910" s="374"/>
      <c r="CV26910" s="376"/>
    </row>
    <row r="26911" spans="1:100">
      <c r="A26911" s="374"/>
      <c r="C26911" s="374"/>
      <c r="CV26911" s="376"/>
    </row>
    <row r="26912" spans="1:100">
      <c r="A26912" s="374"/>
      <c r="C26912" s="374"/>
      <c r="CV26912" s="376"/>
    </row>
    <row r="26913" spans="1:100">
      <c r="A26913" s="374"/>
      <c r="C26913" s="374"/>
      <c r="CV26913" s="376"/>
    </row>
    <row r="26914" spans="1:100">
      <c r="A26914" s="374"/>
      <c r="C26914" s="374"/>
      <c r="CV26914" s="376"/>
    </row>
    <row r="26915" spans="1:100">
      <c r="A26915" s="374"/>
      <c r="C26915" s="374"/>
      <c r="CV26915" s="376"/>
    </row>
    <row r="26916" spans="1:100">
      <c r="A26916" s="374"/>
      <c r="C26916" s="374"/>
      <c r="CV26916" s="376"/>
    </row>
    <row r="26917" spans="1:100">
      <c r="A26917" s="374"/>
      <c r="C26917" s="374"/>
      <c r="CV26917" s="376"/>
    </row>
    <row r="26918" spans="1:100">
      <c r="A26918" s="374"/>
      <c r="C26918" s="374"/>
      <c r="CV26918" s="376"/>
    </row>
    <row r="26919" spans="1:100">
      <c r="A26919" s="374"/>
      <c r="C26919" s="374"/>
      <c r="CV26919" s="376"/>
    </row>
    <row r="26920" spans="1:100">
      <c r="A26920" s="374"/>
      <c r="C26920" s="374"/>
      <c r="CV26920" s="376"/>
    </row>
    <row r="26921" spans="1:100">
      <c r="A26921" s="374"/>
      <c r="C26921" s="374"/>
      <c r="CV26921" s="376"/>
    </row>
    <row r="26922" spans="1:100">
      <c r="A26922" s="374"/>
      <c r="C26922" s="374"/>
      <c r="CV26922" s="376"/>
    </row>
    <row r="26923" spans="1:100">
      <c r="A26923" s="374"/>
      <c r="C26923" s="374"/>
      <c r="CV26923" s="376"/>
    </row>
    <row r="26924" spans="1:100">
      <c r="A26924" s="374"/>
      <c r="C26924" s="374"/>
      <c r="CV26924" s="376"/>
    </row>
    <row r="26925" spans="1:100">
      <c r="A26925" s="374"/>
      <c r="C26925" s="374"/>
      <c r="CV26925" s="376"/>
    </row>
    <row r="26926" spans="1:100">
      <c r="A26926" s="374"/>
      <c r="C26926" s="374"/>
      <c r="CV26926" s="376"/>
    </row>
    <row r="26927" spans="1:100">
      <c r="A26927" s="374"/>
      <c r="C26927" s="374"/>
      <c r="CV26927" s="376"/>
    </row>
    <row r="26928" spans="1:100">
      <c r="A26928" s="374"/>
      <c r="C26928" s="374"/>
      <c r="CV26928" s="376"/>
    </row>
    <row r="26929" spans="1:100">
      <c r="A26929" s="374"/>
      <c r="C26929" s="374"/>
      <c r="CV26929" s="376"/>
    </row>
    <row r="26930" spans="1:100">
      <c r="A26930" s="374"/>
      <c r="C26930" s="374"/>
      <c r="CV26930" s="376"/>
    </row>
    <row r="26931" spans="1:100">
      <c r="A26931" s="374"/>
      <c r="C26931" s="374"/>
      <c r="CV26931" s="376"/>
    </row>
    <row r="26932" spans="1:100">
      <c r="A26932" s="374"/>
      <c r="C26932" s="374"/>
      <c r="CV26932" s="376"/>
    </row>
    <row r="26933" spans="1:100">
      <c r="A26933" s="374"/>
      <c r="C26933" s="374"/>
      <c r="CV26933" s="376"/>
    </row>
    <row r="26934" spans="1:100">
      <c r="A26934" s="374"/>
      <c r="C26934" s="374"/>
      <c r="CV26934" s="376"/>
    </row>
    <row r="26935" spans="1:100">
      <c r="A26935" s="374"/>
      <c r="C26935" s="374"/>
      <c r="CV26935" s="376"/>
    </row>
    <row r="26936" spans="1:100">
      <c r="A26936" s="374"/>
      <c r="C26936" s="374"/>
      <c r="CV26936" s="376"/>
    </row>
    <row r="26937" spans="1:100">
      <c r="A26937" s="374"/>
      <c r="C26937" s="374"/>
      <c r="CV26937" s="376"/>
    </row>
    <row r="26938" spans="1:100">
      <c r="A26938" s="374"/>
      <c r="C26938" s="374"/>
      <c r="CV26938" s="376"/>
    </row>
    <row r="26939" spans="1:100">
      <c r="A26939" s="374"/>
      <c r="C26939" s="374"/>
      <c r="CV26939" s="376"/>
    </row>
    <row r="26940" spans="1:100">
      <c r="A26940" s="374"/>
      <c r="C26940" s="374"/>
      <c r="CV26940" s="376"/>
    </row>
    <row r="26941" spans="1:100">
      <c r="A26941" s="374"/>
      <c r="C26941" s="374"/>
      <c r="CV26941" s="376"/>
    </row>
    <row r="26942" spans="1:100">
      <c r="A26942" s="374"/>
      <c r="C26942" s="374"/>
      <c r="CV26942" s="376"/>
    </row>
    <row r="26943" spans="1:100">
      <c r="A26943" s="374"/>
      <c r="C26943" s="374"/>
      <c r="CV26943" s="376"/>
    </row>
    <row r="26944" spans="1:100">
      <c r="A26944" s="374"/>
      <c r="C26944" s="374"/>
      <c r="CV26944" s="376"/>
    </row>
    <row r="26945" spans="1:100">
      <c r="A26945" s="374"/>
      <c r="C26945" s="374"/>
      <c r="CV26945" s="376"/>
    </row>
    <row r="26946" spans="1:100">
      <c r="A26946" s="374"/>
      <c r="C26946" s="374"/>
      <c r="CV26946" s="376"/>
    </row>
    <row r="26947" spans="1:100">
      <c r="A26947" s="374"/>
      <c r="C26947" s="374"/>
      <c r="CV26947" s="376"/>
    </row>
    <row r="26948" spans="1:100">
      <c r="A26948" s="374"/>
      <c r="C26948" s="374"/>
      <c r="CV26948" s="376"/>
    </row>
    <row r="26949" spans="1:100">
      <c r="A26949" s="374"/>
      <c r="C26949" s="374"/>
      <c r="CV26949" s="376"/>
    </row>
    <row r="26950" spans="1:100">
      <c r="A26950" s="374"/>
      <c r="C26950" s="374"/>
      <c r="CV26950" s="376"/>
    </row>
    <row r="26951" spans="1:100">
      <c r="A26951" s="374"/>
      <c r="C26951" s="374"/>
      <c r="CV26951" s="376"/>
    </row>
    <row r="26952" spans="1:100">
      <c r="A26952" s="374"/>
      <c r="C26952" s="374"/>
      <c r="CV26952" s="376"/>
    </row>
    <row r="26953" spans="1:100">
      <c r="A26953" s="374"/>
      <c r="C26953" s="374"/>
      <c r="CV26953" s="376"/>
    </row>
    <row r="26954" spans="1:100">
      <c r="A26954" s="374"/>
      <c r="C26954" s="374"/>
      <c r="CV26954" s="376"/>
    </row>
    <row r="26955" spans="1:100">
      <c r="A26955" s="374"/>
      <c r="C26955" s="374"/>
      <c r="CV26955" s="376"/>
    </row>
    <row r="26956" spans="1:100">
      <c r="A26956" s="374"/>
      <c r="C26956" s="374"/>
      <c r="CV26956" s="376"/>
    </row>
    <row r="26957" spans="1:100">
      <c r="A26957" s="374"/>
      <c r="C26957" s="374"/>
      <c r="CV26957" s="376"/>
    </row>
    <row r="26958" spans="1:100">
      <c r="A26958" s="374"/>
      <c r="C26958" s="374"/>
      <c r="CV26958" s="376"/>
    </row>
    <row r="26959" spans="1:100">
      <c r="A26959" s="374"/>
      <c r="C26959" s="374"/>
      <c r="CV26959" s="376"/>
    </row>
    <row r="26960" spans="1:100">
      <c r="A26960" s="374"/>
      <c r="C26960" s="374"/>
      <c r="CV26960" s="376"/>
    </row>
    <row r="26961" spans="1:100">
      <c r="A26961" s="374"/>
      <c r="C26961" s="374"/>
      <c r="CV26961" s="376"/>
    </row>
    <row r="26962" spans="1:100">
      <c r="A26962" s="374"/>
      <c r="C26962" s="374"/>
      <c r="CV26962" s="376"/>
    </row>
    <row r="26963" spans="1:100">
      <c r="A26963" s="374"/>
      <c r="C26963" s="374"/>
      <c r="CV26963" s="376"/>
    </row>
    <row r="26964" spans="1:100">
      <c r="A26964" s="374"/>
      <c r="C26964" s="374"/>
      <c r="CV26964" s="376"/>
    </row>
    <row r="26965" spans="1:100">
      <c r="A26965" s="374"/>
      <c r="C26965" s="374"/>
      <c r="CV26965" s="376"/>
    </row>
    <row r="26966" spans="1:100">
      <c r="A26966" s="374"/>
      <c r="C26966" s="374"/>
      <c r="CV26966" s="376"/>
    </row>
    <row r="26967" spans="1:100">
      <c r="A26967" s="374"/>
      <c r="C26967" s="374"/>
      <c r="CV26967" s="376"/>
    </row>
    <row r="26968" spans="1:100">
      <c r="A26968" s="374"/>
      <c r="C26968" s="374"/>
      <c r="CV26968" s="376"/>
    </row>
    <row r="26969" spans="1:100">
      <c r="A26969" s="374"/>
      <c r="C26969" s="374"/>
      <c r="CV26969" s="376"/>
    </row>
    <row r="26970" spans="1:100">
      <c r="A26970" s="374"/>
      <c r="C26970" s="374"/>
      <c r="CV26970" s="376"/>
    </row>
    <row r="26971" spans="1:100">
      <c r="A26971" s="374"/>
      <c r="C26971" s="374"/>
      <c r="CV26971" s="376"/>
    </row>
    <row r="26972" spans="1:100">
      <c r="A26972" s="374"/>
      <c r="C26972" s="374"/>
      <c r="CV26972" s="376"/>
    </row>
    <row r="26973" spans="1:100">
      <c r="A26973" s="374"/>
      <c r="C26973" s="374"/>
      <c r="CV26973" s="376"/>
    </row>
    <row r="26974" spans="1:100">
      <c r="A26974" s="374"/>
      <c r="C26974" s="374"/>
      <c r="CV26974" s="376"/>
    </row>
    <row r="26975" spans="1:100">
      <c r="A26975" s="374"/>
      <c r="C26975" s="374"/>
      <c r="CV26975" s="376"/>
    </row>
    <row r="26976" spans="1:100">
      <c r="A26976" s="374"/>
      <c r="C26976" s="374"/>
      <c r="CV26976" s="376"/>
    </row>
    <row r="26977" spans="1:100">
      <c r="A26977" s="374"/>
      <c r="C26977" s="374"/>
      <c r="CV26977" s="376"/>
    </row>
    <row r="26978" spans="1:100">
      <c r="A26978" s="374"/>
      <c r="C26978" s="374"/>
      <c r="CV26978" s="376"/>
    </row>
    <row r="26979" spans="1:100">
      <c r="A26979" s="374"/>
      <c r="C26979" s="374"/>
      <c r="CV26979" s="376"/>
    </row>
    <row r="26980" spans="1:100">
      <c r="A26980" s="374"/>
      <c r="C26980" s="374"/>
      <c r="CV26980" s="376"/>
    </row>
    <row r="26981" spans="1:100">
      <c r="A26981" s="374"/>
      <c r="C26981" s="374"/>
      <c r="CV26981" s="376"/>
    </row>
    <row r="26982" spans="1:100">
      <c r="A26982" s="374"/>
      <c r="C26982" s="374"/>
      <c r="CV26982" s="376"/>
    </row>
    <row r="26983" spans="1:100">
      <c r="A26983" s="374"/>
      <c r="C26983" s="374"/>
      <c r="CV26983" s="376"/>
    </row>
    <row r="26984" spans="1:100">
      <c r="A26984" s="374"/>
      <c r="C26984" s="374"/>
      <c r="CV26984" s="376"/>
    </row>
    <row r="26985" spans="1:100">
      <c r="A26985" s="374"/>
      <c r="C26985" s="374"/>
      <c r="CV26985" s="376"/>
    </row>
    <row r="26986" spans="1:100">
      <c r="A26986" s="374"/>
      <c r="C26986" s="374"/>
      <c r="CV26986" s="376"/>
    </row>
    <row r="26987" spans="1:100">
      <c r="A26987" s="374"/>
      <c r="C26987" s="374"/>
      <c r="CV26987" s="376"/>
    </row>
    <row r="26988" spans="1:100">
      <c r="A26988" s="374"/>
      <c r="C26988" s="374"/>
      <c r="CV26988" s="376"/>
    </row>
    <row r="26989" spans="1:100">
      <c r="A26989" s="374"/>
      <c r="C26989" s="374"/>
      <c r="CV26989" s="376"/>
    </row>
    <row r="26990" spans="1:100">
      <c r="A26990" s="374"/>
      <c r="C26990" s="374"/>
      <c r="CV26990" s="376"/>
    </row>
    <row r="26991" spans="1:100">
      <c r="A26991" s="374"/>
      <c r="C26991" s="374"/>
      <c r="CV26991" s="376"/>
    </row>
    <row r="26992" spans="1:100">
      <c r="A26992" s="374"/>
      <c r="C26992" s="374"/>
      <c r="CV26992" s="376"/>
    </row>
    <row r="26993" spans="1:100">
      <c r="A26993" s="374"/>
      <c r="C26993" s="374"/>
      <c r="CV26993" s="376"/>
    </row>
    <row r="26994" spans="1:100">
      <c r="A26994" s="374"/>
      <c r="C26994" s="374"/>
      <c r="CV26994" s="376"/>
    </row>
    <row r="26995" spans="1:100">
      <c r="A26995" s="374"/>
      <c r="C26995" s="374"/>
      <c r="CV26995" s="376"/>
    </row>
    <row r="26996" spans="1:100">
      <c r="A26996" s="374"/>
      <c r="C26996" s="374"/>
      <c r="CV26996" s="376"/>
    </row>
    <row r="26997" spans="1:100">
      <c r="A26997" s="374"/>
      <c r="C26997" s="374"/>
      <c r="CV26997" s="376"/>
    </row>
    <row r="26998" spans="1:100">
      <c r="A26998" s="374"/>
      <c r="C26998" s="374"/>
      <c r="CV26998" s="376"/>
    </row>
    <row r="26999" spans="1:100">
      <c r="A26999" s="374"/>
      <c r="C26999" s="374"/>
      <c r="CV26999" s="376"/>
    </row>
    <row r="27000" spans="1:100">
      <c r="A27000" s="374"/>
      <c r="C27000" s="374"/>
      <c r="CV27000" s="376"/>
    </row>
    <row r="27001" spans="1:100">
      <c r="A27001" s="374"/>
      <c r="C27001" s="374"/>
      <c r="CV27001" s="376"/>
    </row>
    <row r="27002" spans="1:100">
      <c r="A27002" s="374"/>
      <c r="C27002" s="374"/>
      <c r="CV27002" s="376"/>
    </row>
    <row r="27003" spans="1:100">
      <c r="A27003" s="374"/>
      <c r="C27003" s="374"/>
      <c r="CV27003" s="376"/>
    </row>
    <row r="27004" spans="1:100">
      <c r="A27004" s="374"/>
      <c r="C27004" s="374"/>
      <c r="CV27004" s="376"/>
    </row>
    <row r="27005" spans="1:100">
      <c r="A27005" s="374"/>
      <c r="C27005" s="374"/>
      <c r="CV27005" s="376"/>
    </row>
    <row r="27006" spans="1:100">
      <c r="A27006" s="374"/>
      <c r="C27006" s="374"/>
      <c r="CV27006" s="376"/>
    </row>
    <row r="27007" spans="1:100">
      <c r="A27007" s="374"/>
      <c r="C27007" s="374"/>
      <c r="CV27007" s="376"/>
    </row>
    <row r="27008" spans="1:100">
      <c r="A27008" s="374"/>
      <c r="C27008" s="374"/>
      <c r="CV27008" s="376"/>
    </row>
    <row r="27009" spans="1:100">
      <c r="A27009" s="374"/>
      <c r="C27009" s="374"/>
      <c r="CV27009" s="376"/>
    </row>
    <row r="27010" spans="1:100">
      <c r="A27010" s="374"/>
      <c r="C27010" s="374"/>
      <c r="CV27010" s="376"/>
    </row>
    <row r="27011" spans="1:100">
      <c r="A27011" s="374"/>
      <c r="C27011" s="374"/>
      <c r="CV27011" s="376"/>
    </row>
    <row r="27012" spans="1:100">
      <c r="A27012" s="374"/>
      <c r="C27012" s="374"/>
      <c r="CV27012" s="376"/>
    </row>
    <row r="27013" spans="1:100">
      <c r="A27013" s="374"/>
      <c r="C27013" s="374"/>
      <c r="CV27013" s="376"/>
    </row>
    <row r="27014" spans="1:100">
      <c r="A27014" s="374"/>
      <c r="C27014" s="374"/>
      <c r="CV27014" s="376"/>
    </row>
    <row r="27015" spans="1:100">
      <c r="A27015" s="374"/>
      <c r="C27015" s="374"/>
      <c r="CV27015" s="376"/>
    </row>
    <row r="27016" spans="1:100">
      <c r="A27016" s="374"/>
      <c r="C27016" s="374"/>
      <c r="CV27016" s="376"/>
    </row>
    <row r="27017" spans="1:100">
      <c r="A27017" s="374"/>
      <c r="C27017" s="374"/>
      <c r="CV27017" s="376"/>
    </row>
    <row r="27018" spans="1:100">
      <c r="A27018" s="374"/>
      <c r="C27018" s="374"/>
      <c r="CV27018" s="376"/>
    </row>
    <row r="27019" spans="1:100">
      <c r="A27019" s="374"/>
      <c r="C27019" s="374"/>
      <c r="CV27019" s="376"/>
    </row>
    <row r="27020" spans="1:100">
      <c r="A27020" s="374"/>
      <c r="C27020" s="374"/>
      <c r="CV27020" s="376"/>
    </row>
    <row r="27021" spans="1:100">
      <c r="A27021" s="374"/>
      <c r="C27021" s="374"/>
      <c r="CV27021" s="376"/>
    </row>
    <row r="27022" spans="1:100">
      <c r="A27022" s="374"/>
      <c r="C27022" s="374"/>
      <c r="CV27022" s="376"/>
    </row>
    <row r="27023" spans="1:100">
      <c r="A27023" s="374"/>
      <c r="C27023" s="374"/>
      <c r="CV27023" s="376"/>
    </row>
    <row r="27024" spans="1:100">
      <c r="A27024" s="374"/>
      <c r="C27024" s="374"/>
      <c r="CV27024" s="376"/>
    </row>
    <row r="27025" spans="1:100">
      <c r="A27025" s="374"/>
      <c r="C27025" s="374"/>
      <c r="CV27025" s="376"/>
    </row>
    <row r="27026" spans="1:100">
      <c r="A27026" s="374"/>
      <c r="C27026" s="374"/>
      <c r="CV27026" s="376"/>
    </row>
    <row r="27027" spans="1:100">
      <c r="A27027" s="374"/>
      <c r="C27027" s="374"/>
      <c r="CV27027" s="376"/>
    </row>
    <row r="27028" spans="1:100">
      <c r="A27028" s="374"/>
      <c r="C27028" s="374"/>
      <c r="CV27028" s="376"/>
    </row>
    <row r="27029" spans="1:100">
      <c r="A27029" s="374"/>
      <c r="C27029" s="374"/>
      <c r="CV27029" s="376"/>
    </row>
    <row r="27030" spans="1:100">
      <c r="A27030" s="374"/>
      <c r="C27030" s="374"/>
      <c r="CV27030" s="376"/>
    </row>
    <row r="27031" spans="1:100">
      <c r="A27031" s="374"/>
      <c r="C27031" s="374"/>
      <c r="CV27031" s="376"/>
    </row>
    <row r="27032" spans="1:100">
      <c r="A27032" s="374"/>
      <c r="C27032" s="374"/>
      <c r="CV27032" s="376"/>
    </row>
    <row r="27033" spans="1:100">
      <c r="A27033" s="374"/>
      <c r="C27033" s="374"/>
      <c r="CV27033" s="376"/>
    </row>
    <row r="27034" spans="1:100">
      <c r="A27034" s="374"/>
      <c r="C27034" s="374"/>
      <c r="CV27034" s="376"/>
    </row>
    <row r="27035" spans="1:100">
      <c r="A27035" s="374"/>
      <c r="C27035" s="374"/>
      <c r="CV27035" s="376"/>
    </row>
    <row r="27036" spans="1:100">
      <c r="A27036" s="374"/>
      <c r="C27036" s="374"/>
      <c r="CV27036" s="376"/>
    </row>
    <row r="27037" spans="1:100">
      <c r="A27037" s="374"/>
      <c r="C27037" s="374"/>
      <c r="CV27037" s="376"/>
    </row>
    <row r="27038" spans="1:100">
      <c r="A27038" s="374"/>
      <c r="C27038" s="374"/>
      <c r="CV27038" s="376"/>
    </row>
    <row r="27039" spans="1:100">
      <c r="A27039" s="374"/>
      <c r="C27039" s="374"/>
      <c r="CV27039" s="376"/>
    </row>
    <row r="27040" spans="1:100">
      <c r="A27040" s="374"/>
      <c r="C27040" s="374"/>
      <c r="CV27040" s="376"/>
    </row>
    <row r="27041" spans="1:100">
      <c r="A27041" s="374"/>
      <c r="C27041" s="374"/>
      <c r="CV27041" s="376"/>
    </row>
    <row r="27042" spans="1:100">
      <c r="A27042" s="374"/>
      <c r="C27042" s="374"/>
      <c r="CV27042" s="376"/>
    </row>
    <row r="27043" spans="1:100">
      <c r="A27043" s="374"/>
      <c r="C27043" s="374"/>
      <c r="CV27043" s="376"/>
    </row>
    <row r="27044" spans="1:100">
      <c r="A27044" s="374"/>
      <c r="C27044" s="374"/>
      <c r="CV27044" s="376"/>
    </row>
    <row r="27045" spans="1:100">
      <c r="A27045" s="374"/>
      <c r="C27045" s="374"/>
      <c r="CV27045" s="376"/>
    </row>
    <row r="27046" spans="1:100">
      <c r="A27046" s="374"/>
      <c r="C27046" s="374"/>
      <c r="CV27046" s="376"/>
    </row>
    <row r="27047" spans="1:100">
      <c r="A27047" s="374"/>
      <c r="C27047" s="374"/>
      <c r="CV27047" s="376"/>
    </row>
    <row r="27048" spans="1:100">
      <c r="A27048" s="374"/>
      <c r="C27048" s="374"/>
      <c r="CV27048" s="376"/>
    </row>
    <row r="27049" spans="1:100">
      <c r="A27049" s="374"/>
      <c r="C27049" s="374"/>
      <c r="CV27049" s="376"/>
    </row>
    <row r="27050" spans="1:100">
      <c r="A27050" s="374"/>
      <c r="C27050" s="374"/>
      <c r="CV27050" s="376"/>
    </row>
    <row r="27051" spans="1:100">
      <c r="A27051" s="374"/>
      <c r="C27051" s="374"/>
      <c r="CV27051" s="376"/>
    </row>
    <row r="27052" spans="1:100">
      <c r="A27052" s="374"/>
      <c r="C27052" s="374"/>
      <c r="CV27052" s="376"/>
    </row>
    <row r="27053" spans="1:100">
      <c r="A27053" s="374"/>
      <c r="C27053" s="374"/>
      <c r="CV27053" s="376"/>
    </row>
    <row r="27054" spans="1:100">
      <c r="A27054" s="374"/>
      <c r="C27054" s="374"/>
      <c r="CV27054" s="376"/>
    </row>
    <row r="27055" spans="1:100">
      <c r="A27055" s="374"/>
      <c r="C27055" s="374"/>
      <c r="CV27055" s="376"/>
    </row>
    <row r="27056" spans="1:100">
      <c r="A27056" s="374"/>
      <c r="C27056" s="374"/>
      <c r="CV27056" s="376"/>
    </row>
    <row r="27057" spans="1:100">
      <c r="A27057" s="374"/>
      <c r="C27057" s="374"/>
      <c r="CV27057" s="376"/>
    </row>
    <row r="27058" spans="1:100">
      <c r="A27058" s="374"/>
      <c r="C27058" s="374"/>
      <c r="CV27058" s="376"/>
    </row>
    <row r="27059" spans="1:100">
      <c r="A27059" s="374"/>
      <c r="C27059" s="374"/>
      <c r="CV27059" s="376"/>
    </row>
    <row r="27060" spans="1:100">
      <c r="A27060" s="374"/>
      <c r="C27060" s="374"/>
      <c r="CV27060" s="376"/>
    </row>
    <row r="27061" spans="1:100">
      <c r="A27061" s="374"/>
      <c r="C27061" s="374"/>
      <c r="CV27061" s="376"/>
    </row>
    <row r="27062" spans="1:100">
      <c r="A27062" s="374"/>
      <c r="C27062" s="374"/>
      <c r="CV27062" s="376"/>
    </row>
    <row r="27063" spans="1:100">
      <c r="A27063" s="374"/>
      <c r="C27063" s="374"/>
      <c r="CV27063" s="376"/>
    </row>
    <row r="27064" spans="1:100">
      <c r="A27064" s="374"/>
      <c r="C27064" s="374"/>
      <c r="CV27064" s="376"/>
    </row>
    <row r="27065" spans="1:100">
      <c r="A27065" s="374"/>
      <c r="C27065" s="374"/>
      <c r="CV27065" s="376"/>
    </row>
    <row r="27066" spans="1:100">
      <c r="A27066" s="374"/>
      <c r="C27066" s="374"/>
      <c r="CV27066" s="376"/>
    </row>
    <row r="27067" spans="1:100">
      <c r="A27067" s="374"/>
      <c r="C27067" s="374"/>
      <c r="CV27067" s="376"/>
    </row>
    <row r="27068" spans="1:100">
      <c r="A27068" s="374"/>
      <c r="C27068" s="374"/>
      <c r="CV27068" s="376"/>
    </row>
    <row r="27069" spans="1:100">
      <c r="A27069" s="374"/>
      <c r="C27069" s="374"/>
      <c r="CV27069" s="376"/>
    </row>
    <row r="27070" spans="1:100">
      <c r="A27070" s="374"/>
      <c r="C27070" s="374"/>
      <c r="CV27070" s="376"/>
    </row>
    <row r="27071" spans="1:100">
      <c r="A27071" s="374"/>
      <c r="C27071" s="374"/>
      <c r="CV27071" s="376"/>
    </row>
    <row r="27072" spans="1:100">
      <c r="A27072" s="374"/>
      <c r="C27072" s="374"/>
      <c r="CV27072" s="376"/>
    </row>
    <row r="27073" spans="1:100">
      <c r="A27073" s="374"/>
      <c r="C27073" s="374"/>
      <c r="CV27073" s="376"/>
    </row>
    <row r="27074" spans="1:100">
      <c r="A27074" s="374"/>
      <c r="C27074" s="374"/>
      <c r="CV27074" s="376"/>
    </row>
    <row r="27075" spans="1:100">
      <c r="A27075" s="374"/>
      <c r="C27075" s="374"/>
      <c r="CV27075" s="376"/>
    </row>
    <row r="27076" spans="1:100">
      <c r="A27076" s="374"/>
      <c r="C27076" s="374"/>
      <c r="CV27076" s="376"/>
    </row>
    <row r="27077" spans="1:100">
      <c r="A27077" s="374"/>
      <c r="C27077" s="374"/>
      <c r="CV27077" s="376"/>
    </row>
    <row r="27078" spans="1:100">
      <c r="A27078" s="374"/>
      <c r="C27078" s="374"/>
      <c r="CV27078" s="376"/>
    </row>
    <row r="27079" spans="1:100">
      <c r="A27079" s="374"/>
      <c r="C27079" s="374"/>
      <c r="CV27079" s="376"/>
    </row>
    <row r="27080" spans="1:100">
      <c r="A27080" s="374"/>
      <c r="C27080" s="374"/>
      <c r="CV27080" s="376"/>
    </row>
    <row r="27081" spans="1:100">
      <c r="A27081" s="374"/>
      <c r="C27081" s="374"/>
      <c r="CV27081" s="376"/>
    </row>
    <row r="27082" spans="1:100">
      <c r="A27082" s="374"/>
      <c r="C27082" s="374"/>
      <c r="CV27082" s="376"/>
    </row>
    <row r="27083" spans="1:100">
      <c r="A27083" s="374"/>
      <c r="C27083" s="374"/>
      <c r="CV27083" s="376"/>
    </row>
    <row r="27084" spans="1:100">
      <c r="A27084" s="374"/>
      <c r="C27084" s="374"/>
      <c r="CV27084" s="376"/>
    </row>
    <row r="27085" spans="1:100">
      <c r="A27085" s="374"/>
      <c r="C27085" s="374"/>
      <c r="CV27085" s="376"/>
    </row>
    <row r="27086" spans="1:100">
      <c r="A27086" s="374"/>
      <c r="C27086" s="374"/>
      <c r="CV27086" s="376"/>
    </row>
    <row r="27087" spans="1:100">
      <c r="A27087" s="374"/>
      <c r="C27087" s="374"/>
      <c r="CV27087" s="376"/>
    </row>
    <row r="27088" spans="1:100">
      <c r="A27088" s="374"/>
      <c r="C27088" s="374"/>
      <c r="CV27088" s="376"/>
    </row>
    <row r="27089" spans="1:100">
      <c r="A27089" s="374"/>
      <c r="C27089" s="374"/>
      <c r="CV27089" s="376"/>
    </row>
    <row r="27090" spans="1:100">
      <c r="A27090" s="374"/>
      <c r="C27090" s="374"/>
      <c r="CV27090" s="376"/>
    </row>
    <row r="27091" spans="1:100">
      <c r="A27091" s="374"/>
      <c r="C27091" s="374"/>
      <c r="CV27091" s="376"/>
    </row>
    <row r="27092" spans="1:100">
      <c r="A27092" s="374"/>
      <c r="C27092" s="374"/>
      <c r="CV27092" s="376"/>
    </row>
    <row r="27093" spans="1:100">
      <c r="A27093" s="374"/>
      <c r="C27093" s="374"/>
      <c r="CV27093" s="376"/>
    </row>
    <row r="27094" spans="1:100">
      <c r="A27094" s="374"/>
      <c r="C27094" s="374"/>
      <c r="CV27094" s="376"/>
    </row>
    <row r="27095" spans="1:100">
      <c r="A27095" s="374"/>
      <c r="C27095" s="374"/>
      <c r="CV27095" s="376"/>
    </row>
    <row r="27096" spans="1:100">
      <c r="A27096" s="374"/>
      <c r="C27096" s="374"/>
      <c r="CV27096" s="376"/>
    </row>
    <row r="27097" spans="1:100">
      <c r="A27097" s="374"/>
      <c r="C27097" s="374"/>
      <c r="CV27097" s="376"/>
    </row>
    <row r="27098" spans="1:100">
      <c r="A27098" s="374"/>
      <c r="C27098" s="374"/>
      <c r="CV27098" s="376"/>
    </row>
    <row r="27099" spans="1:100">
      <c r="A27099" s="374"/>
      <c r="C27099" s="374"/>
      <c r="CV27099" s="376"/>
    </row>
    <row r="27100" spans="1:100">
      <c r="A27100" s="374"/>
      <c r="C27100" s="374"/>
      <c r="CV27100" s="376"/>
    </row>
    <row r="27101" spans="1:100">
      <c r="A27101" s="374"/>
      <c r="C27101" s="374"/>
      <c r="CV27101" s="376"/>
    </row>
    <row r="27102" spans="1:100">
      <c r="A27102" s="374"/>
      <c r="C27102" s="374"/>
      <c r="CV27102" s="376"/>
    </row>
    <row r="27103" spans="1:100">
      <c r="A27103" s="374"/>
      <c r="C27103" s="374"/>
      <c r="CV27103" s="376"/>
    </row>
    <row r="27104" spans="1:100">
      <c r="A27104" s="374"/>
      <c r="C27104" s="374"/>
      <c r="CV27104" s="376"/>
    </row>
    <row r="27105" spans="1:100">
      <c r="A27105" s="374"/>
      <c r="C27105" s="374"/>
      <c r="CV27105" s="376"/>
    </row>
    <row r="27106" spans="1:100">
      <c r="A27106" s="374"/>
      <c r="C27106" s="374"/>
      <c r="CV27106" s="376"/>
    </row>
    <row r="27107" spans="1:100">
      <c r="A27107" s="374"/>
      <c r="C27107" s="374"/>
      <c r="CV27107" s="376"/>
    </row>
    <row r="27108" spans="1:100">
      <c r="A27108" s="374"/>
      <c r="C27108" s="374"/>
      <c r="CV27108" s="376"/>
    </row>
    <row r="27109" spans="1:100">
      <c r="A27109" s="374"/>
      <c r="C27109" s="374"/>
      <c r="CV27109" s="376"/>
    </row>
    <row r="27110" spans="1:100">
      <c r="A27110" s="374"/>
      <c r="C27110" s="374"/>
      <c r="CV27110" s="376"/>
    </row>
    <row r="27111" spans="1:100">
      <c r="A27111" s="374"/>
      <c r="C27111" s="374"/>
      <c r="CV27111" s="376"/>
    </row>
    <row r="27112" spans="1:100">
      <c r="A27112" s="374"/>
      <c r="C27112" s="374"/>
      <c r="CV27112" s="376"/>
    </row>
    <row r="27113" spans="1:100">
      <c r="A27113" s="374"/>
      <c r="C27113" s="374"/>
      <c r="CV27113" s="376"/>
    </row>
    <row r="27114" spans="1:100">
      <c r="A27114" s="374"/>
      <c r="C27114" s="374"/>
      <c r="CV27114" s="376"/>
    </row>
    <row r="27115" spans="1:100">
      <c r="A27115" s="374"/>
      <c r="C27115" s="374"/>
      <c r="CV27115" s="376"/>
    </row>
    <row r="27116" spans="1:100">
      <c r="A27116" s="374"/>
      <c r="C27116" s="374"/>
      <c r="CV27116" s="376"/>
    </row>
    <row r="27117" spans="1:100">
      <c r="A27117" s="374"/>
      <c r="C27117" s="374"/>
      <c r="CV27117" s="376"/>
    </row>
    <row r="27118" spans="1:100">
      <c r="A27118" s="374"/>
      <c r="C27118" s="374"/>
      <c r="CV27118" s="376"/>
    </row>
    <row r="27119" spans="1:100">
      <c r="A27119" s="374"/>
      <c r="C27119" s="374"/>
      <c r="CV27119" s="376"/>
    </row>
    <row r="27120" spans="1:100">
      <c r="A27120" s="374"/>
      <c r="C27120" s="374"/>
      <c r="CV27120" s="376"/>
    </row>
    <row r="27121" spans="1:100">
      <c r="A27121" s="374"/>
      <c r="C27121" s="374"/>
      <c r="CV27121" s="376"/>
    </row>
    <row r="27122" spans="1:100">
      <c r="A27122" s="374"/>
      <c r="C27122" s="374"/>
      <c r="CV27122" s="376"/>
    </row>
    <row r="27123" spans="1:100">
      <c r="A27123" s="374"/>
      <c r="C27123" s="374"/>
      <c r="CV27123" s="376"/>
    </row>
    <row r="27124" spans="1:100">
      <c r="A27124" s="374"/>
      <c r="C27124" s="374"/>
      <c r="CV27124" s="376"/>
    </row>
    <row r="27125" spans="1:100">
      <c r="A27125" s="374"/>
      <c r="C27125" s="374"/>
      <c r="CV27125" s="376"/>
    </row>
    <row r="27126" spans="1:100">
      <c r="A27126" s="374"/>
      <c r="C27126" s="374"/>
      <c r="CV27126" s="376"/>
    </row>
    <row r="27127" spans="1:100">
      <c r="A27127" s="374"/>
      <c r="C27127" s="374"/>
      <c r="CV27127" s="376"/>
    </row>
    <row r="27128" spans="1:100">
      <c r="A27128" s="374"/>
      <c r="C27128" s="374"/>
      <c r="CV27128" s="376"/>
    </row>
    <row r="27129" spans="1:100">
      <c r="A27129" s="374"/>
      <c r="C27129" s="374"/>
      <c r="CV27129" s="376"/>
    </row>
    <row r="27130" spans="1:100">
      <c r="A27130" s="374"/>
      <c r="C27130" s="374"/>
      <c r="CV27130" s="376"/>
    </row>
    <row r="27131" spans="1:100">
      <c r="A27131" s="374"/>
      <c r="C27131" s="374"/>
      <c r="CV27131" s="376"/>
    </row>
    <row r="27132" spans="1:100">
      <c r="A27132" s="374"/>
      <c r="C27132" s="374"/>
      <c r="CV27132" s="376"/>
    </row>
    <row r="27133" spans="1:100">
      <c r="A27133" s="374"/>
      <c r="C27133" s="374"/>
      <c r="CV27133" s="376"/>
    </row>
    <row r="27134" spans="1:100">
      <c r="A27134" s="374"/>
      <c r="C27134" s="374"/>
      <c r="CV27134" s="376"/>
    </row>
    <row r="27135" spans="1:100">
      <c r="A27135" s="374"/>
      <c r="C27135" s="374"/>
      <c r="CV27135" s="376"/>
    </row>
    <row r="27136" spans="1:100">
      <c r="A27136" s="374"/>
      <c r="C27136" s="374"/>
      <c r="CV27136" s="376"/>
    </row>
    <row r="27137" spans="1:100">
      <c r="A27137" s="374"/>
      <c r="C27137" s="374"/>
      <c r="CV27137" s="376"/>
    </row>
    <row r="27138" spans="1:100">
      <c r="A27138" s="374"/>
      <c r="C27138" s="374"/>
      <c r="CV27138" s="376"/>
    </row>
    <row r="27139" spans="1:100">
      <c r="A27139" s="374"/>
      <c r="C27139" s="374"/>
      <c r="CV27139" s="376"/>
    </row>
    <row r="27140" spans="1:100">
      <c r="A27140" s="374"/>
      <c r="C27140" s="374"/>
      <c r="CV27140" s="376"/>
    </row>
    <row r="27141" spans="1:100">
      <c r="A27141" s="374"/>
      <c r="C27141" s="374"/>
      <c r="CV27141" s="376"/>
    </row>
    <row r="27142" spans="1:100">
      <c r="A27142" s="374"/>
      <c r="C27142" s="374"/>
      <c r="CV27142" s="376"/>
    </row>
    <row r="27143" spans="1:100">
      <c r="A27143" s="374"/>
      <c r="C27143" s="374"/>
      <c r="CV27143" s="376"/>
    </row>
    <row r="27144" spans="1:100">
      <c r="A27144" s="374"/>
      <c r="C27144" s="374"/>
      <c r="CV27144" s="376"/>
    </row>
    <row r="27145" spans="1:100">
      <c r="A27145" s="374"/>
      <c r="C27145" s="374"/>
      <c r="CV27145" s="376"/>
    </row>
    <row r="27146" spans="1:100">
      <c r="A27146" s="374"/>
      <c r="C27146" s="374"/>
      <c r="CV27146" s="376"/>
    </row>
    <row r="27147" spans="1:100">
      <c r="A27147" s="374"/>
      <c r="C27147" s="374"/>
      <c r="CV27147" s="376"/>
    </row>
    <row r="27148" spans="1:100">
      <c r="A27148" s="374"/>
      <c r="C27148" s="374"/>
      <c r="CV27148" s="376"/>
    </row>
    <row r="27149" spans="1:100">
      <c r="A27149" s="374"/>
      <c r="C27149" s="374"/>
      <c r="CV27149" s="376"/>
    </row>
    <row r="27150" spans="1:100">
      <c r="A27150" s="374"/>
      <c r="C27150" s="374"/>
      <c r="CV27150" s="376"/>
    </row>
    <row r="27151" spans="1:100">
      <c r="A27151" s="374"/>
      <c r="C27151" s="374"/>
      <c r="CV27151" s="376"/>
    </row>
    <row r="27152" spans="1:100">
      <c r="A27152" s="374"/>
      <c r="C27152" s="374"/>
      <c r="CV27152" s="376"/>
    </row>
    <row r="27153" spans="1:100">
      <c r="A27153" s="374"/>
      <c r="C27153" s="374"/>
      <c r="CV27153" s="376"/>
    </row>
    <row r="27154" spans="1:100">
      <c r="A27154" s="374"/>
      <c r="C27154" s="374"/>
      <c r="CV27154" s="376"/>
    </row>
    <row r="27155" spans="1:100">
      <c r="A27155" s="374"/>
      <c r="C27155" s="374"/>
      <c r="CV27155" s="376"/>
    </row>
    <row r="27156" spans="1:100">
      <c r="A27156" s="374"/>
      <c r="C27156" s="374"/>
      <c r="CV27156" s="376"/>
    </row>
    <row r="27157" spans="1:100">
      <c r="A27157" s="374"/>
      <c r="C27157" s="374"/>
      <c r="CV27157" s="376"/>
    </row>
    <row r="27158" spans="1:100">
      <c r="A27158" s="374"/>
      <c r="C27158" s="374"/>
      <c r="CV27158" s="376"/>
    </row>
    <row r="27159" spans="1:100">
      <c r="A27159" s="374"/>
      <c r="C27159" s="374"/>
      <c r="CV27159" s="376"/>
    </row>
    <row r="27160" spans="1:100">
      <c r="A27160" s="374"/>
      <c r="C27160" s="374"/>
      <c r="CV27160" s="376"/>
    </row>
    <row r="27161" spans="1:100">
      <c r="A27161" s="374"/>
      <c r="C27161" s="374"/>
      <c r="CV27161" s="376"/>
    </row>
    <row r="27162" spans="1:100">
      <c r="A27162" s="374"/>
      <c r="C27162" s="374"/>
      <c r="CV27162" s="376"/>
    </row>
    <row r="27163" spans="1:100">
      <c r="A27163" s="374"/>
      <c r="C27163" s="374"/>
      <c r="CV27163" s="376"/>
    </row>
    <row r="27164" spans="1:100">
      <c r="A27164" s="374"/>
      <c r="C27164" s="374"/>
      <c r="CV27164" s="376"/>
    </row>
    <row r="27165" spans="1:100">
      <c r="A27165" s="374"/>
      <c r="C27165" s="374"/>
      <c r="CV27165" s="376"/>
    </row>
    <row r="27166" spans="1:100">
      <c r="A27166" s="374"/>
      <c r="C27166" s="374"/>
      <c r="CV27166" s="376"/>
    </row>
    <row r="27167" spans="1:100">
      <c r="A27167" s="374"/>
      <c r="C27167" s="374"/>
      <c r="CV27167" s="376"/>
    </row>
    <row r="27168" spans="1:100">
      <c r="A27168" s="374"/>
      <c r="C27168" s="374"/>
      <c r="CV27168" s="376"/>
    </row>
    <row r="27169" spans="1:100">
      <c r="A27169" s="374"/>
      <c r="C27169" s="374"/>
      <c r="CV27169" s="376"/>
    </row>
    <row r="27170" spans="1:100">
      <c r="A27170" s="374"/>
      <c r="C27170" s="374"/>
      <c r="CV27170" s="376"/>
    </row>
    <row r="27171" spans="1:100">
      <c r="A27171" s="374"/>
      <c r="C27171" s="374"/>
      <c r="CV27171" s="376"/>
    </row>
    <row r="27172" spans="1:100">
      <c r="A27172" s="374"/>
      <c r="C27172" s="374"/>
      <c r="CV27172" s="376"/>
    </row>
    <row r="27173" spans="1:100">
      <c r="A27173" s="374"/>
      <c r="C27173" s="374"/>
      <c r="CV27173" s="376"/>
    </row>
    <row r="27174" spans="1:100">
      <c r="A27174" s="374"/>
      <c r="C27174" s="374"/>
      <c r="CV27174" s="376"/>
    </row>
    <row r="27175" spans="1:100">
      <c r="A27175" s="374"/>
      <c r="C27175" s="374"/>
      <c r="CV27175" s="376"/>
    </row>
    <row r="27176" spans="1:100">
      <c r="A27176" s="374"/>
      <c r="C27176" s="374"/>
      <c r="CV27176" s="376"/>
    </row>
    <row r="27177" spans="1:100">
      <c r="A27177" s="374"/>
      <c r="C27177" s="374"/>
      <c r="CV27177" s="376"/>
    </row>
    <row r="27178" spans="1:100">
      <c r="A27178" s="374"/>
      <c r="C27178" s="374"/>
      <c r="CV27178" s="376"/>
    </row>
    <row r="27179" spans="1:100">
      <c r="A27179" s="374"/>
      <c r="C27179" s="374"/>
      <c r="CV27179" s="376"/>
    </row>
    <row r="27180" spans="1:100">
      <c r="A27180" s="374"/>
      <c r="C27180" s="374"/>
      <c r="CV27180" s="376"/>
    </row>
    <row r="27181" spans="1:100">
      <c r="A27181" s="374"/>
      <c r="C27181" s="374"/>
      <c r="CV27181" s="376"/>
    </row>
    <row r="27182" spans="1:100">
      <c r="A27182" s="374"/>
      <c r="C27182" s="374"/>
      <c r="CV27182" s="376"/>
    </row>
    <row r="27183" spans="1:100">
      <c r="A27183" s="374"/>
      <c r="C27183" s="374"/>
      <c r="CV27183" s="376"/>
    </row>
    <row r="27184" spans="1:100">
      <c r="A27184" s="374"/>
      <c r="C27184" s="374"/>
      <c r="CV27184" s="376"/>
    </row>
    <row r="27185" spans="1:100">
      <c r="A27185" s="374"/>
      <c r="C27185" s="374"/>
      <c r="CV27185" s="376"/>
    </row>
    <row r="27186" spans="1:100">
      <c r="A27186" s="374"/>
      <c r="C27186" s="374"/>
      <c r="CV27186" s="376"/>
    </row>
    <row r="27187" spans="1:100">
      <c r="A27187" s="374"/>
      <c r="C27187" s="374"/>
      <c r="CV27187" s="376"/>
    </row>
    <row r="27188" spans="1:100">
      <c r="A27188" s="374"/>
      <c r="C27188" s="374"/>
      <c r="CV27188" s="376"/>
    </row>
    <row r="27189" spans="1:100">
      <c r="A27189" s="374"/>
      <c r="C27189" s="374"/>
      <c r="CV27189" s="376"/>
    </row>
    <row r="27190" spans="1:100">
      <c r="A27190" s="374"/>
      <c r="C27190" s="374"/>
      <c r="CV27190" s="376"/>
    </row>
    <row r="27191" spans="1:100">
      <c r="A27191" s="374"/>
      <c r="C27191" s="374"/>
      <c r="CV27191" s="376"/>
    </row>
    <row r="27192" spans="1:100">
      <c r="A27192" s="374"/>
      <c r="C27192" s="374"/>
      <c r="CV27192" s="376"/>
    </row>
    <row r="27193" spans="1:100">
      <c r="A27193" s="374"/>
      <c r="C27193" s="374"/>
      <c r="CV27193" s="376"/>
    </row>
    <row r="27194" spans="1:100">
      <c r="A27194" s="374"/>
      <c r="C27194" s="374"/>
      <c r="CV27194" s="376"/>
    </row>
    <row r="27195" spans="1:100">
      <c r="A27195" s="374"/>
      <c r="C27195" s="374"/>
      <c r="CV27195" s="376"/>
    </row>
    <row r="27196" spans="1:100">
      <c r="A27196" s="374"/>
      <c r="C27196" s="374"/>
      <c r="CV27196" s="376"/>
    </row>
    <row r="27197" spans="1:100">
      <c r="A27197" s="374"/>
      <c r="C27197" s="374"/>
      <c r="CV27197" s="376"/>
    </row>
    <row r="27198" spans="1:100">
      <c r="A27198" s="374"/>
      <c r="C27198" s="374"/>
      <c r="CV27198" s="376"/>
    </row>
    <row r="27199" spans="1:100">
      <c r="A27199" s="374"/>
      <c r="C27199" s="374"/>
      <c r="CV27199" s="376"/>
    </row>
    <row r="27200" spans="1:100">
      <c r="A27200" s="374"/>
      <c r="C27200" s="374"/>
      <c r="CV27200" s="376"/>
    </row>
    <row r="27201" spans="1:100">
      <c r="A27201" s="374"/>
      <c r="C27201" s="374"/>
      <c r="CV27201" s="376"/>
    </row>
    <row r="27202" spans="1:100">
      <c r="A27202" s="374"/>
      <c r="C27202" s="374"/>
      <c r="CV27202" s="376"/>
    </row>
    <row r="27203" spans="1:100">
      <c r="A27203" s="374"/>
      <c r="C27203" s="374"/>
      <c r="CV27203" s="376"/>
    </row>
    <row r="27204" spans="1:100">
      <c r="A27204" s="374"/>
      <c r="C27204" s="374"/>
      <c r="CV27204" s="376"/>
    </row>
    <row r="27205" spans="1:100">
      <c r="A27205" s="374"/>
      <c r="C27205" s="374"/>
      <c r="CV27205" s="376"/>
    </row>
    <row r="27206" spans="1:100">
      <c r="A27206" s="374"/>
      <c r="C27206" s="374"/>
      <c r="CV27206" s="376"/>
    </row>
    <row r="27207" spans="1:100">
      <c r="A27207" s="374"/>
      <c r="C27207" s="374"/>
      <c r="CV27207" s="376"/>
    </row>
    <row r="27208" spans="1:100">
      <c r="A27208" s="374"/>
      <c r="C27208" s="374"/>
      <c r="CV27208" s="376"/>
    </row>
    <row r="27209" spans="1:100">
      <c r="A27209" s="374"/>
      <c r="C27209" s="374"/>
      <c r="CV27209" s="376"/>
    </row>
    <row r="27210" spans="1:100">
      <c r="A27210" s="374"/>
      <c r="C27210" s="374"/>
      <c r="CV27210" s="376"/>
    </row>
    <row r="27211" spans="1:100">
      <c r="A27211" s="374"/>
      <c r="C27211" s="374"/>
      <c r="CV27211" s="376"/>
    </row>
    <row r="27212" spans="1:100">
      <c r="A27212" s="374"/>
      <c r="C27212" s="374"/>
      <c r="CV27212" s="376"/>
    </row>
    <row r="27213" spans="1:100">
      <c r="A27213" s="374"/>
      <c r="C27213" s="374"/>
      <c r="CV27213" s="376"/>
    </row>
    <row r="27214" spans="1:100">
      <c r="A27214" s="374"/>
      <c r="C27214" s="374"/>
      <c r="CV27214" s="376"/>
    </row>
    <row r="27215" spans="1:100">
      <c r="A27215" s="374"/>
      <c r="C27215" s="374"/>
      <c r="CV27215" s="376"/>
    </row>
    <row r="27216" spans="1:100">
      <c r="A27216" s="374"/>
      <c r="C27216" s="374"/>
      <c r="CV27216" s="376"/>
    </row>
    <row r="27217" spans="1:100">
      <c r="A27217" s="374"/>
      <c r="C27217" s="374"/>
      <c r="CV27217" s="376"/>
    </row>
    <row r="27218" spans="1:100">
      <c r="A27218" s="374"/>
      <c r="C27218" s="374"/>
      <c r="CV27218" s="376"/>
    </row>
    <row r="27219" spans="1:100">
      <c r="A27219" s="374"/>
      <c r="C27219" s="374"/>
      <c r="CV27219" s="376"/>
    </row>
    <row r="27220" spans="1:100">
      <c r="A27220" s="374"/>
      <c r="C27220" s="374"/>
      <c r="CV27220" s="376"/>
    </row>
    <row r="27221" spans="1:100">
      <c r="A27221" s="374"/>
      <c r="C27221" s="374"/>
      <c r="CV27221" s="376"/>
    </row>
    <row r="27222" spans="1:100">
      <c r="A27222" s="374"/>
      <c r="C27222" s="374"/>
      <c r="CV27222" s="376"/>
    </row>
    <row r="27223" spans="1:100">
      <c r="A27223" s="374"/>
      <c r="C27223" s="374"/>
      <c r="CV27223" s="376"/>
    </row>
    <row r="27224" spans="1:100">
      <c r="A27224" s="374"/>
      <c r="C27224" s="374"/>
      <c r="CV27224" s="376"/>
    </row>
    <row r="27225" spans="1:100">
      <c r="A27225" s="374"/>
      <c r="C27225" s="374"/>
      <c r="CV27225" s="376"/>
    </row>
    <row r="27226" spans="1:100">
      <c r="A27226" s="374"/>
      <c r="C27226" s="374"/>
      <c r="CV27226" s="376"/>
    </row>
    <row r="27227" spans="1:100">
      <c r="A27227" s="374"/>
      <c r="C27227" s="374"/>
      <c r="CV27227" s="376"/>
    </row>
    <row r="27228" spans="1:100">
      <c r="A27228" s="374"/>
      <c r="C27228" s="374"/>
      <c r="CV27228" s="376"/>
    </row>
    <row r="27229" spans="1:100">
      <c r="A27229" s="374"/>
      <c r="C27229" s="374"/>
      <c r="CV27229" s="376"/>
    </row>
    <row r="27230" spans="1:100">
      <c r="A27230" s="374"/>
      <c r="C27230" s="374"/>
      <c r="CV27230" s="376"/>
    </row>
    <row r="27231" spans="1:100">
      <c r="A27231" s="374"/>
      <c r="C27231" s="374"/>
      <c r="CV27231" s="376"/>
    </row>
    <row r="27232" spans="1:100">
      <c r="A27232" s="374"/>
      <c r="C27232" s="374"/>
      <c r="CV27232" s="376"/>
    </row>
    <row r="27233" spans="1:100">
      <c r="A27233" s="374"/>
      <c r="C27233" s="374"/>
      <c r="CV27233" s="376"/>
    </row>
    <row r="27234" spans="1:100">
      <c r="A27234" s="374"/>
      <c r="C27234" s="374"/>
      <c r="CV27234" s="376"/>
    </row>
    <row r="27235" spans="1:100">
      <c r="A27235" s="374"/>
      <c r="C27235" s="374"/>
      <c r="CV27235" s="376"/>
    </row>
    <row r="27236" spans="1:100">
      <c r="A27236" s="374"/>
      <c r="C27236" s="374"/>
      <c r="CV27236" s="376"/>
    </row>
    <row r="27237" spans="1:100">
      <c r="A27237" s="374"/>
      <c r="C27237" s="374"/>
      <c r="CV27237" s="376"/>
    </row>
    <row r="27238" spans="1:100">
      <c r="A27238" s="374"/>
      <c r="C27238" s="374"/>
      <c r="CV27238" s="376"/>
    </row>
    <row r="27239" spans="1:100">
      <c r="A27239" s="374"/>
      <c r="C27239" s="374"/>
      <c r="CV27239" s="376"/>
    </row>
    <row r="27240" spans="1:100">
      <c r="A27240" s="374"/>
      <c r="C27240" s="374"/>
      <c r="CV27240" s="376"/>
    </row>
    <row r="27241" spans="1:100">
      <c r="A27241" s="374"/>
      <c r="C27241" s="374"/>
      <c r="CV27241" s="376"/>
    </row>
    <row r="27242" spans="1:100">
      <c r="A27242" s="374"/>
      <c r="C27242" s="374"/>
      <c r="CV27242" s="376"/>
    </row>
    <row r="27243" spans="1:100">
      <c r="A27243" s="374"/>
      <c r="C27243" s="374"/>
      <c r="CV27243" s="376"/>
    </row>
    <row r="27244" spans="1:100">
      <c r="A27244" s="374"/>
      <c r="C27244" s="374"/>
      <c r="CV27244" s="376"/>
    </row>
    <row r="27245" spans="1:100">
      <c r="A27245" s="374"/>
      <c r="C27245" s="374"/>
      <c r="CV27245" s="376"/>
    </row>
    <row r="27246" spans="1:100">
      <c r="A27246" s="374"/>
      <c r="C27246" s="374"/>
      <c r="CV27246" s="376"/>
    </row>
    <row r="27247" spans="1:100">
      <c r="A27247" s="374"/>
      <c r="C27247" s="374"/>
      <c r="CV27247" s="376"/>
    </row>
    <row r="27248" spans="1:100">
      <c r="A27248" s="374"/>
      <c r="C27248" s="374"/>
      <c r="CV27248" s="376"/>
    </row>
    <row r="27249" spans="1:100">
      <c r="A27249" s="374"/>
      <c r="C27249" s="374"/>
      <c r="CV27249" s="376"/>
    </row>
    <row r="27250" spans="1:100">
      <c r="A27250" s="374"/>
      <c r="C27250" s="374"/>
      <c r="CV27250" s="376"/>
    </row>
    <row r="27251" spans="1:100">
      <c r="A27251" s="374"/>
      <c r="C27251" s="374"/>
      <c r="CV27251" s="376"/>
    </row>
    <row r="27252" spans="1:100">
      <c r="A27252" s="374"/>
      <c r="C27252" s="374"/>
      <c r="CV27252" s="376"/>
    </row>
    <row r="27253" spans="1:100">
      <c r="A27253" s="374"/>
      <c r="C27253" s="374"/>
      <c r="CV27253" s="376"/>
    </row>
    <row r="27254" spans="1:100">
      <c r="A27254" s="374"/>
      <c r="C27254" s="374"/>
      <c r="CV27254" s="376"/>
    </row>
    <row r="27255" spans="1:100">
      <c r="A27255" s="374"/>
      <c r="C27255" s="374"/>
      <c r="CV27255" s="376"/>
    </row>
    <row r="27256" spans="1:100">
      <c r="A27256" s="374"/>
      <c r="C27256" s="374"/>
      <c r="CV27256" s="376"/>
    </row>
    <row r="27257" spans="1:100">
      <c r="A27257" s="374"/>
      <c r="C27257" s="374"/>
      <c r="CV27257" s="376"/>
    </row>
    <row r="27258" spans="1:100">
      <c r="A27258" s="374"/>
      <c r="C27258" s="374"/>
      <c r="CV27258" s="376"/>
    </row>
    <row r="27259" spans="1:100">
      <c r="A27259" s="374"/>
      <c r="C27259" s="374"/>
      <c r="CV27259" s="376"/>
    </row>
    <row r="27260" spans="1:100">
      <c r="A27260" s="374"/>
      <c r="C27260" s="374"/>
      <c r="CV27260" s="376"/>
    </row>
    <row r="27261" spans="1:100">
      <c r="A27261" s="374"/>
      <c r="C27261" s="374"/>
      <c r="CV27261" s="376"/>
    </row>
    <row r="27262" spans="1:100">
      <c r="A27262" s="374"/>
      <c r="C27262" s="374"/>
      <c r="CV27262" s="376"/>
    </row>
    <row r="27263" spans="1:100">
      <c r="A27263" s="374"/>
      <c r="C27263" s="374"/>
      <c r="CV27263" s="376"/>
    </row>
    <row r="27264" spans="1:100">
      <c r="A27264" s="374"/>
      <c r="C27264" s="374"/>
      <c r="CV27264" s="376"/>
    </row>
    <row r="27265" spans="1:100">
      <c r="A27265" s="374"/>
      <c r="C27265" s="374"/>
      <c r="CV27265" s="376"/>
    </row>
    <row r="27266" spans="1:100">
      <c r="A27266" s="374"/>
      <c r="C27266" s="374"/>
      <c r="CV27266" s="376"/>
    </row>
    <row r="27267" spans="1:100">
      <c r="A27267" s="374"/>
      <c r="C27267" s="374"/>
      <c r="CV27267" s="376"/>
    </row>
    <row r="27268" spans="1:100">
      <c r="A27268" s="374"/>
      <c r="C27268" s="374"/>
      <c r="CV27268" s="376"/>
    </row>
    <row r="27269" spans="1:100">
      <c r="A27269" s="374"/>
      <c r="C27269" s="374"/>
      <c r="CV27269" s="376"/>
    </row>
    <row r="27270" spans="1:100">
      <c r="A27270" s="374"/>
      <c r="C27270" s="374"/>
      <c r="CV27270" s="376"/>
    </row>
    <row r="27271" spans="1:100">
      <c r="A27271" s="374"/>
      <c r="C27271" s="374"/>
      <c r="CV27271" s="376"/>
    </row>
    <row r="27272" spans="1:100">
      <c r="A27272" s="374"/>
      <c r="C27272" s="374"/>
      <c r="CV27272" s="376"/>
    </row>
    <row r="27273" spans="1:100">
      <c r="A27273" s="374"/>
      <c r="C27273" s="374"/>
      <c r="CV27273" s="376"/>
    </row>
    <row r="27274" spans="1:100">
      <c r="A27274" s="374"/>
      <c r="C27274" s="374"/>
      <c r="CV27274" s="376"/>
    </row>
    <row r="27275" spans="1:100">
      <c r="A27275" s="374"/>
      <c r="C27275" s="374"/>
      <c r="CV27275" s="376"/>
    </row>
    <row r="27276" spans="1:100">
      <c r="A27276" s="374"/>
      <c r="C27276" s="374"/>
      <c r="CV27276" s="376"/>
    </row>
    <row r="27277" spans="1:100">
      <c r="A27277" s="374"/>
      <c r="C27277" s="374"/>
      <c r="CV27277" s="376"/>
    </row>
    <row r="27278" spans="1:100">
      <c r="A27278" s="374"/>
      <c r="C27278" s="374"/>
      <c r="CV27278" s="376"/>
    </row>
    <row r="27279" spans="1:100">
      <c r="A27279" s="374"/>
      <c r="C27279" s="374"/>
      <c r="CV27279" s="376"/>
    </row>
    <row r="27280" spans="1:100">
      <c r="A27280" s="374"/>
      <c r="C27280" s="374"/>
      <c r="CV27280" s="376"/>
    </row>
    <row r="27281" spans="1:100">
      <c r="A27281" s="374"/>
      <c r="C27281" s="374"/>
      <c r="CV27281" s="376"/>
    </row>
    <row r="27282" spans="1:100">
      <c r="A27282" s="374"/>
      <c r="C27282" s="374"/>
      <c r="CV27282" s="376"/>
    </row>
    <row r="27283" spans="1:100">
      <c r="A27283" s="374"/>
      <c r="C27283" s="374"/>
      <c r="CV27283" s="376"/>
    </row>
    <row r="27284" spans="1:100">
      <c r="A27284" s="374"/>
      <c r="C27284" s="374"/>
      <c r="CV27284" s="376"/>
    </row>
    <row r="27285" spans="1:100">
      <c r="A27285" s="374"/>
      <c r="C27285" s="374"/>
      <c r="CV27285" s="376"/>
    </row>
    <row r="27286" spans="1:100">
      <c r="A27286" s="374"/>
      <c r="C27286" s="374"/>
      <c r="CV27286" s="376"/>
    </row>
    <row r="27287" spans="1:100">
      <c r="A27287" s="374"/>
      <c r="C27287" s="374"/>
      <c r="CV27287" s="376"/>
    </row>
    <row r="27288" spans="1:100">
      <c r="A27288" s="374"/>
      <c r="C27288" s="374"/>
      <c r="CV27288" s="376"/>
    </row>
    <row r="27289" spans="1:100">
      <c r="A27289" s="374"/>
      <c r="C27289" s="374"/>
      <c r="CV27289" s="376"/>
    </row>
    <row r="27290" spans="1:100">
      <c r="A27290" s="374"/>
      <c r="C27290" s="374"/>
      <c r="CV27290" s="376"/>
    </row>
    <row r="27291" spans="1:100">
      <c r="A27291" s="374"/>
      <c r="C27291" s="374"/>
      <c r="CV27291" s="376"/>
    </row>
    <row r="27292" spans="1:100">
      <c r="A27292" s="374"/>
      <c r="C27292" s="374"/>
      <c r="CV27292" s="376"/>
    </row>
    <row r="27293" spans="1:100">
      <c r="A27293" s="374"/>
      <c r="C27293" s="374"/>
      <c r="CV27293" s="376"/>
    </row>
    <row r="27294" spans="1:100">
      <c r="A27294" s="374"/>
      <c r="C27294" s="374"/>
      <c r="CV27294" s="376"/>
    </row>
    <row r="27295" spans="1:100">
      <c r="A27295" s="374"/>
      <c r="C27295" s="374"/>
      <c r="CV27295" s="376"/>
    </row>
    <row r="27296" spans="1:100">
      <c r="A27296" s="374"/>
      <c r="C27296" s="374"/>
      <c r="CV27296" s="376"/>
    </row>
    <row r="27297" spans="1:100">
      <c r="A27297" s="374"/>
      <c r="C27297" s="374"/>
      <c r="CV27297" s="376"/>
    </row>
    <row r="27298" spans="1:100">
      <c r="A27298" s="374"/>
      <c r="C27298" s="374"/>
      <c r="CV27298" s="376"/>
    </row>
    <row r="27299" spans="1:100">
      <c r="A27299" s="374"/>
      <c r="C27299" s="374"/>
      <c r="CV27299" s="376"/>
    </row>
    <row r="27300" spans="1:100">
      <c r="A27300" s="374"/>
      <c r="C27300" s="374"/>
      <c r="CV27300" s="376"/>
    </row>
    <row r="27301" spans="1:100">
      <c r="A27301" s="374"/>
      <c r="C27301" s="374"/>
      <c r="CV27301" s="376"/>
    </row>
    <row r="27302" spans="1:100">
      <c r="A27302" s="374"/>
      <c r="C27302" s="374"/>
      <c r="CV27302" s="376"/>
    </row>
    <row r="27303" spans="1:100">
      <c r="A27303" s="374"/>
      <c r="C27303" s="374"/>
      <c r="CV27303" s="376"/>
    </row>
    <row r="27304" spans="1:100">
      <c r="A27304" s="374"/>
      <c r="C27304" s="374"/>
      <c r="CV27304" s="376"/>
    </row>
    <row r="27305" spans="1:100">
      <c r="A27305" s="374"/>
      <c r="C27305" s="374"/>
      <c r="CV27305" s="376"/>
    </row>
    <row r="27306" spans="1:100">
      <c r="A27306" s="374"/>
      <c r="C27306" s="374"/>
      <c r="CV27306" s="376"/>
    </row>
    <row r="27307" spans="1:100">
      <c r="A27307" s="374"/>
      <c r="C27307" s="374"/>
      <c r="CV27307" s="376"/>
    </row>
    <row r="27308" spans="1:100">
      <c r="A27308" s="374"/>
      <c r="C27308" s="374"/>
      <c r="CV27308" s="376"/>
    </row>
    <row r="27309" spans="1:100">
      <c r="A27309" s="374"/>
      <c r="C27309" s="374"/>
      <c r="CV27309" s="376"/>
    </row>
    <row r="27310" spans="1:100">
      <c r="A27310" s="374"/>
      <c r="C27310" s="374"/>
      <c r="CV27310" s="376"/>
    </row>
    <row r="27311" spans="1:100">
      <c r="A27311" s="374"/>
      <c r="C27311" s="374"/>
      <c r="CV27311" s="376"/>
    </row>
    <row r="27312" spans="1:100">
      <c r="A27312" s="374"/>
      <c r="C27312" s="374"/>
      <c r="CV27312" s="376"/>
    </row>
    <row r="27313" spans="1:100">
      <c r="A27313" s="374"/>
      <c r="C27313" s="374"/>
      <c r="CV27313" s="376"/>
    </row>
    <row r="27314" spans="1:100">
      <c r="A27314" s="374"/>
      <c r="C27314" s="374"/>
      <c r="CV27314" s="376"/>
    </row>
    <row r="27315" spans="1:100">
      <c r="A27315" s="374"/>
      <c r="C27315" s="374"/>
      <c r="CV27315" s="376"/>
    </row>
    <row r="27316" spans="1:100">
      <c r="A27316" s="374"/>
      <c r="C27316" s="374"/>
      <c r="CV27316" s="376"/>
    </row>
    <row r="27317" spans="1:100">
      <c r="A27317" s="374"/>
      <c r="C27317" s="374"/>
      <c r="CV27317" s="376"/>
    </row>
    <row r="27318" spans="1:100">
      <c r="A27318" s="374"/>
      <c r="C27318" s="374"/>
      <c r="CV27318" s="376"/>
    </row>
    <row r="27319" spans="1:100">
      <c r="A27319" s="374"/>
      <c r="C27319" s="374"/>
      <c r="CV27319" s="376"/>
    </row>
    <row r="27320" spans="1:100">
      <c r="A27320" s="374"/>
      <c r="C27320" s="374"/>
      <c r="CV27320" s="376"/>
    </row>
    <row r="27321" spans="1:100">
      <c r="A27321" s="374"/>
      <c r="C27321" s="374"/>
      <c r="CV27321" s="376"/>
    </row>
    <row r="27322" spans="1:100">
      <c r="A27322" s="374"/>
      <c r="C27322" s="374"/>
      <c r="CV27322" s="376"/>
    </row>
    <row r="27323" spans="1:100">
      <c r="A27323" s="374"/>
      <c r="C27323" s="374"/>
      <c r="CV27323" s="376"/>
    </row>
    <row r="27324" spans="1:100">
      <c r="A27324" s="374"/>
      <c r="C27324" s="374"/>
      <c r="CV27324" s="376"/>
    </row>
    <row r="27325" spans="1:100">
      <c r="A27325" s="374"/>
      <c r="C27325" s="374"/>
      <c r="CV27325" s="376"/>
    </row>
    <row r="27326" spans="1:100">
      <c r="A27326" s="374"/>
      <c r="C27326" s="374"/>
      <c r="CV27326" s="376"/>
    </row>
    <row r="27327" spans="1:100">
      <c r="A27327" s="374"/>
      <c r="C27327" s="374"/>
      <c r="CV27327" s="376"/>
    </row>
    <row r="27328" spans="1:100">
      <c r="A27328" s="374"/>
      <c r="C27328" s="374"/>
      <c r="CV27328" s="376"/>
    </row>
    <row r="27329" spans="1:100">
      <c r="A27329" s="374"/>
      <c r="C27329" s="374"/>
      <c r="CV27329" s="376"/>
    </row>
    <row r="27330" spans="1:100">
      <c r="A27330" s="374"/>
      <c r="C27330" s="374"/>
      <c r="CV27330" s="376"/>
    </row>
    <row r="27331" spans="1:100">
      <c r="A27331" s="374"/>
      <c r="C27331" s="374"/>
      <c r="CV27331" s="376"/>
    </row>
    <row r="27332" spans="1:100">
      <c r="A27332" s="374"/>
      <c r="C27332" s="374"/>
      <c r="CV27332" s="376"/>
    </row>
    <row r="27333" spans="1:100">
      <c r="A27333" s="374"/>
      <c r="C27333" s="374"/>
      <c r="CV27333" s="376"/>
    </row>
    <row r="27334" spans="1:100">
      <c r="A27334" s="374"/>
      <c r="C27334" s="374"/>
      <c r="CV27334" s="376"/>
    </row>
    <row r="27335" spans="1:100">
      <c r="A27335" s="374"/>
      <c r="C27335" s="374"/>
      <c r="CV27335" s="376"/>
    </row>
    <row r="27336" spans="1:100">
      <c r="A27336" s="374"/>
      <c r="C27336" s="374"/>
      <c r="CV27336" s="376"/>
    </row>
    <row r="27337" spans="1:100">
      <c r="A27337" s="374"/>
      <c r="C27337" s="374"/>
      <c r="CV27337" s="376"/>
    </row>
    <row r="27338" spans="1:100">
      <c r="A27338" s="374"/>
      <c r="C27338" s="374"/>
      <c r="CV27338" s="376"/>
    </row>
    <row r="27339" spans="1:100">
      <c r="A27339" s="374"/>
      <c r="C27339" s="374"/>
      <c r="CV27339" s="376"/>
    </row>
    <row r="27340" spans="1:100">
      <c r="A27340" s="374"/>
      <c r="C27340" s="374"/>
      <c r="CV27340" s="376"/>
    </row>
    <row r="27341" spans="1:100">
      <c r="A27341" s="374"/>
      <c r="C27341" s="374"/>
      <c r="CV27341" s="376"/>
    </row>
    <row r="27342" spans="1:100">
      <c r="A27342" s="374"/>
      <c r="C27342" s="374"/>
      <c r="CV27342" s="376"/>
    </row>
    <row r="27343" spans="1:100">
      <c r="A27343" s="374"/>
      <c r="C27343" s="374"/>
      <c r="CV27343" s="376"/>
    </row>
    <row r="27344" spans="1:100">
      <c r="A27344" s="374"/>
      <c r="C27344" s="374"/>
      <c r="CV27344" s="376"/>
    </row>
    <row r="27345" spans="1:100">
      <c r="A27345" s="374"/>
      <c r="C27345" s="374"/>
      <c r="CV27345" s="376"/>
    </row>
    <row r="27346" spans="1:100">
      <c r="A27346" s="374"/>
      <c r="C27346" s="374"/>
      <c r="CV27346" s="376"/>
    </row>
    <row r="27347" spans="1:100">
      <c r="A27347" s="374"/>
      <c r="C27347" s="374"/>
      <c r="CV27347" s="376"/>
    </row>
    <row r="27348" spans="1:100">
      <c r="A27348" s="374"/>
      <c r="C27348" s="374"/>
      <c r="CV27348" s="376"/>
    </row>
    <row r="27349" spans="1:100">
      <c r="A27349" s="374"/>
      <c r="C27349" s="374"/>
      <c r="CV27349" s="376"/>
    </row>
    <row r="27350" spans="1:100">
      <c r="A27350" s="374"/>
      <c r="C27350" s="374"/>
      <c r="CV27350" s="376"/>
    </row>
    <row r="27351" spans="1:100">
      <c r="A27351" s="374"/>
      <c r="C27351" s="374"/>
      <c r="CV27351" s="376"/>
    </row>
    <row r="27352" spans="1:100">
      <c r="A27352" s="374"/>
      <c r="C27352" s="374"/>
      <c r="CV27352" s="376"/>
    </row>
    <row r="27353" spans="1:100">
      <c r="A27353" s="374"/>
      <c r="C27353" s="374"/>
      <c r="CV27353" s="376"/>
    </row>
    <row r="27354" spans="1:100">
      <c r="A27354" s="374"/>
      <c r="C27354" s="374"/>
      <c r="CV27354" s="376"/>
    </row>
    <row r="27355" spans="1:100">
      <c r="A27355" s="374"/>
      <c r="C27355" s="374"/>
      <c r="CV27355" s="376"/>
    </row>
    <row r="27356" spans="1:100">
      <c r="A27356" s="374"/>
      <c r="C27356" s="374"/>
      <c r="CV27356" s="376"/>
    </row>
    <row r="27357" spans="1:100">
      <c r="A27357" s="374"/>
      <c r="C27357" s="374"/>
      <c r="CV27357" s="376"/>
    </row>
    <row r="27358" spans="1:100">
      <c r="A27358" s="374"/>
      <c r="C27358" s="374"/>
      <c r="CV27358" s="376"/>
    </row>
    <row r="27359" spans="1:100">
      <c r="A27359" s="374"/>
      <c r="C27359" s="374"/>
      <c r="CV27359" s="376"/>
    </row>
    <row r="27360" spans="1:100">
      <c r="A27360" s="374"/>
      <c r="C27360" s="374"/>
      <c r="CV27360" s="376"/>
    </row>
    <row r="27361" spans="1:100">
      <c r="A27361" s="374"/>
      <c r="C27361" s="374"/>
      <c r="CV27361" s="376"/>
    </row>
    <row r="27362" spans="1:100">
      <c r="A27362" s="374"/>
      <c r="C27362" s="374"/>
      <c r="CV27362" s="376"/>
    </row>
    <row r="27363" spans="1:100">
      <c r="A27363" s="374"/>
      <c r="C27363" s="374"/>
      <c r="CV27363" s="376"/>
    </row>
    <row r="27364" spans="1:100">
      <c r="A27364" s="374"/>
      <c r="C27364" s="374"/>
      <c r="CV27364" s="376"/>
    </row>
    <row r="27365" spans="1:100">
      <c r="A27365" s="374"/>
      <c r="C27365" s="374"/>
      <c r="CV27365" s="376"/>
    </row>
    <row r="27366" spans="1:100">
      <c r="A27366" s="374"/>
      <c r="C27366" s="374"/>
      <c r="CV27366" s="376"/>
    </row>
    <row r="27367" spans="1:100">
      <c r="A27367" s="374"/>
      <c r="C27367" s="374"/>
      <c r="CV27367" s="376"/>
    </row>
    <row r="27368" spans="1:100">
      <c r="A27368" s="374"/>
      <c r="C27368" s="374"/>
      <c r="CV27368" s="376"/>
    </row>
    <row r="27369" spans="1:100">
      <c r="A27369" s="374"/>
      <c r="C27369" s="374"/>
      <c r="CV27369" s="376"/>
    </row>
    <row r="27370" spans="1:100">
      <c r="A27370" s="374"/>
      <c r="C27370" s="374"/>
      <c r="CV27370" s="376"/>
    </row>
    <row r="27371" spans="1:100">
      <c r="A27371" s="374"/>
      <c r="C27371" s="374"/>
      <c r="CV27371" s="376"/>
    </row>
    <row r="27372" spans="1:100">
      <c r="A27372" s="374"/>
      <c r="C27372" s="374"/>
      <c r="CV27372" s="376"/>
    </row>
    <row r="27373" spans="1:100">
      <c r="A27373" s="374"/>
      <c r="C27373" s="374"/>
      <c r="CV27373" s="376"/>
    </row>
    <row r="27374" spans="1:100">
      <c r="A27374" s="374"/>
      <c r="C27374" s="374"/>
      <c r="CV27374" s="376"/>
    </row>
    <row r="27375" spans="1:100">
      <c r="A27375" s="374"/>
      <c r="C27375" s="374"/>
      <c r="CV27375" s="376"/>
    </row>
    <row r="27376" spans="1:100">
      <c r="A27376" s="374"/>
      <c r="C27376" s="374"/>
      <c r="CV27376" s="376"/>
    </row>
    <row r="27377" spans="1:100">
      <c r="A27377" s="374"/>
      <c r="C27377" s="374"/>
      <c r="CV27377" s="376"/>
    </row>
    <row r="27378" spans="1:100">
      <c r="A27378" s="374"/>
      <c r="C27378" s="374"/>
      <c r="CV27378" s="376"/>
    </row>
    <row r="27379" spans="1:100">
      <c r="A27379" s="374"/>
      <c r="C27379" s="374"/>
      <c r="CV27379" s="376"/>
    </row>
    <row r="27380" spans="1:100">
      <c r="A27380" s="374"/>
      <c r="C27380" s="374"/>
      <c r="CV27380" s="376"/>
    </row>
    <row r="27381" spans="1:100">
      <c r="A27381" s="374"/>
      <c r="C27381" s="374"/>
      <c r="CV27381" s="376"/>
    </row>
    <row r="27382" spans="1:100">
      <c r="A27382" s="374"/>
      <c r="C27382" s="374"/>
      <c r="CV27382" s="376"/>
    </row>
    <row r="27383" spans="1:100">
      <c r="A27383" s="374"/>
      <c r="C27383" s="374"/>
      <c r="CV27383" s="376"/>
    </row>
    <row r="27384" spans="1:100">
      <c r="A27384" s="374"/>
      <c r="C27384" s="374"/>
      <c r="CV27384" s="376"/>
    </row>
    <row r="27385" spans="1:100">
      <c r="A27385" s="374"/>
      <c r="C27385" s="374"/>
      <c r="CV27385" s="376"/>
    </row>
    <row r="27386" spans="1:100">
      <c r="A27386" s="374"/>
      <c r="C27386" s="374"/>
      <c r="CV27386" s="376"/>
    </row>
    <row r="27387" spans="1:100">
      <c r="A27387" s="374"/>
      <c r="C27387" s="374"/>
      <c r="CV27387" s="376"/>
    </row>
    <row r="27388" spans="1:100">
      <c r="A27388" s="374"/>
      <c r="C27388" s="374"/>
      <c r="CV27388" s="376"/>
    </row>
    <row r="27389" spans="1:100">
      <c r="A27389" s="374"/>
      <c r="C27389" s="374"/>
      <c r="CV27389" s="376"/>
    </row>
    <row r="27390" spans="1:100">
      <c r="A27390" s="374"/>
      <c r="C27390" s="374"/>
      <c r="CV27390" s="376"/>
    </row>
    <row r="27391" spans="1:100">
      <c r="A27391" s="374"/>
      <c r="C27391" s="374"/>
      <c r="CV27391" s="376"/>
    </row>
    <row r="27392" spans="1:100">
      <c r="A27392" s="374"/>
      <c r="C27392" s="374"/>
      <c r="CV27392" s="376"/>
    </row>
    <row r="27393" spans="1:100">
      <c r="A27393" s="374"/>
      <c r="C27393" s="374"/>
      <c r="CV27393" s="376"/>
    </row>
    <row r="27394" spans="1:100">
      <c r="A27394" s="374"/>
      <c r="C27394" s="374"/>
      <c r="CV27394" s="376"/>
    </row>
    <row r="27395" spans="1:100">
      <c r="A27395" s="374"/>
      <c r="C27395" s="374"/>
      <c r="CV27395" s="376"/>
    </row>
    <row r="27396" spans="1:100">
      <c r="A27396" s="374"/>
      <c r="C27396" s="374"/>
      <c r="CV27396" s="376"/>
    </row>
    <row r="27397" spans="1:100">
      <c r="A27397" s="374"/>
      <c r="C27397" s="374"/>
      <c r="CV27397" s="376"/>
    </row>
    <row r="27398" spans="1:100">
      <c r="A27398" s="374"/>
      <c r="C27398" s="374"/>
      <c r="CV27398" s="376"/>
    </row>
    <row r="27399" spans="1:100">
      <c r="A27399" s="374"/>
      <c r="C27399" s="374"/>
      <c r="CV27399" s="376"/>
    </row>
    <row r="27400" spans="1:100">
      <c r="A27400" s="374"/>
      <c r="C27400" s="374"/>
      <c r="CV27400" s="376"/>
    </row>
    <row r="27401" spans="1:100">
      <c r="A27401" s="374"/>
      <c r="C27401" s="374"/>
      <c r="CV27401" s="376"/>
    </row>
    <row r="27402" spans="1:100">
      <c r="A27402" s="374"/>
      <c r="C27402" s="374"/>
      <c r="CV27402" s="376"/>
    </row>
    <row r="27403" spans="1:100">
      <c r="A27403" s="374"/>
      <c r="C27403" s="374"/>
      <c r="CV27403" s="376"/>
    </row>
    <row r="27404" spans="1:100">
      <c r="A27404" s="374"/>
      <c r="C27404" s="374"/>
      <c r="CV27404" s="376"/>
    </row>
    <row r="27405" spans="1:100">
      <c r="A27405" s="374"/>
      <c r="C27405" s="374"/>
      <c r="CV27405" s="376"/>
    </row>
    <row r="27406" spans="1:100">
      <c r="A27406" s="374"/>
      <c r="C27406" s="374"/>
      <c r="CV27406" s="376"/>
    </row>
    <row r="27407" spans="1:100">
      <c r="A27407" s="374"/>
      <c r="C27407" s="374"/>
      <c r="CV27407" s="376"/>
    </row>
    <row r="27408" spans="1:100">
      <c r="A27408" s="374"/>
      <c r="C27408" s="374"/>
      <c r="CV27408" s="376"/>
    </row>
    <row r="27409" spans="1:100">
      <c r="A27409" s="374"/>
      <c r="C27409" s="374"/>
      <c r="CV27409" s="376"/>
    </row>
    <row r="27410" spans="1:100">
      <c r="A27410" s="374"/>
      <c r="C27410" s="374"/>
      <c r="CV27410" s="376"/>
    </row>
    <row r="27411" spans="1:100">
      <c r="A27411" s="374"/>
      <c r="C27411" s="374"/>
      <c r="CV27411" s="376"/>
    </row>
    <row r="27412" spans="1:100">
      <c r="A27412" s="374"/>
      <c r="C27412" s="374"/>
      <c r="CV27412" s="376"/>
    </row>
    <row r="27413" spans="1:100">
      <c r="A27413" s="374"/>
      <c r="C27413" s="374"/>
      <c r="CV27413" s="376"/>
    </row>
    <row r="27414" spans="1:100">
      <c r="A27414" s="374"/>
      <c r="C27414" s="374"/>
      <c r="CV27414" s="376"/>
    </row>
    <row r="27415" spans="1:100">
      <c r="A27415" s="374"/>
      <c r="C27415" s="374"/>
      <c r="CV27415" s="376"/>
    </row>
    <row r="27416" spans="1:100">
      <c r="A27416" s="374"/>
      <c r="C27416" s="374"/>
      <c r="CV27416" s="376"/>
    </row>
    <row r="27417" spans="1:100">
      <c r="A27417" s="374"/>
      <c r="C27417" s="374"/>
      <c r="CV27417" s="376"/>
    </row>
    <row r="27418" spans="1:100">
      <c r="A27418" s="374"/>
      <c r="C27418" s="374"/>
      <c r="CV27418" s="376"/>
    </row>
    <row r="27419" spans="1:100">
      <c r="A27419" s="374"/>
      <c r="C27419" s="374"/>
      <c r="CV27419" s="376"/>
    </row>
    <row r="27420" spans="1:100">
      <c r="A27420" s="374"/>
      <c r="C27420" s="374"/>
      <c r="CV27420" s="376"/>
    </row>
    <row r="27421" spans="1:100">
      <c r="A27421" s="374"/>
      <c r="C27421" s="374"/>
      <c r="CV27421" s="376"/>
    </row>
    <row r="27422" spans="1:100">
      <c r="A27422" s="374"/>
      <c r="C27422" s="374"/>
      <c r="CV27422" s="376"/>
    </row>
    <row r="27423" spans="1:100">
      <c r="A27423" s="374"/>
      <c r="C27423" s="374"/>
      <c r="CV27423" s="376"/>
    </row>
    <row r="27424" spans="1:100">
      <c r="A27424" s="374"/>
      <c r="C27424" s="374"/>
      <c r="CV27424" s="376"/>
    </row>
    <row r="27425" spans="1:100">
      <c r="A27425" s="374"/>
      <c r="C27425" s="374"/>
      <c r="CV27425" s="376"/>
    </row>
    <row r="27426" spans="1:100">
      <c r="A27426" s="374"/>
      <c r="C27426" s="374"/>
      <c r="CV27426" s="376"/>
    </row>
    <row r="27427" spans="1:100">
      <c r="A27427" s="374"/>
      <c r="C27427" s="374"/>
      <c r="CV27427" s="376"/>
    </row>
    <row r="27428" spans="1:100">
      <c r="A27428" s="374"/>
      <c r="C27428" s="374"/>
      <c r="CV27428" s="376"/>
    </row>
    <row r="27429" spans="1:100">
      <c r="A27429" s="374"/>
      <c r="C27429" s="374"/>
      <c r="CV27429" s="376"/>
    </row>
    <row r="27430" spans="1:100">
      <c r="A27430" s="374"/>
      <c r="C27430" s="374"/>
      <c r="CV27430" s="376"/>
    </row>
    <row r="27431" spans="1:100">
      <c r="A27431" s="374"/>
      <c r="C27431" s="374"/>
      <c r="CV27431" s="376"/>
    </row>
    <row r="27432" spans="1:100">
      <c r="A27432" s="374"/>
      <c r="C27432" s="374"/>
      <c r="CV27432" s="376"/>
    </row>
    <row r="27433" spans="1:100">
      <c r="A27433" s="374"/>
      <c r="C27433" s="374"/>
      <c r="CV27433" s="376"/>
    </row>
    <row r="27434" spans="1:100">
      <c r="A27434" s="374"/>
      <c r="C27434" s="374"/>
      <c r="CV27434" s="376"/>
    </row>
    <row r="27435" spans="1:100">
      <c r="A27435" s="374"/>
      <c r="C27435" s="374"/>
      <c r="CV27435" s="376"/>
    </row>
    <row r="27436" spans="1:100">
      <c r="A27436" s="374"/>
      <c r="C27436" s="374"/>
      <c r="CV27436" s="376"/>
    </row>
    <row r="27437" spans="1:100">
      <c r="A27437" s="374"/>
      <c r="C27437" s="374"/>
      <c r="CV27437" s="376"/>
    </row>
    <row r="27438" spans="1:100">
      <c r="A27438" s="374"/>
      <c r="C27438" s="374"/>
      <c r="CV27438" s="376"/>
    </row>
    <row r="27439" spans="1:100">
      <c r="A27439" s="374"/>
      <c r="C27439" s="374"/>
      <c r="CV27439" s="376"/>
    </row>
    <row r="27440" spans="1:100">
      <c r="A27440" s="374"/>
      <c r="C27440" s="374"/>
      <c r="CV27440" s="376"/>
    </row>
    <row r="27441" spans="1:100">
      <c r="A27441" s="374"/>
      <c r="C27441" s="374"/>
      <c r="CV27441" s="376"/>
    </row>
    <row r="27442" spans="1:100">
      <c r="A27442" s="374"/>
      <c r="C27442" s="374"/>
      <c r="CV27442" s="376"/>
    </row>
    <row r="27443" spans="1:100">
      <c r="A27443" s="374"/>
      <c r="C27443" s="374"/>
      <c r="CV27443" s="376"/>
    </row>
    <row r="27444" spans="1:100">
      <c r="A27444" s="374"/>
      <c r="C27444" s="374"/>
      <c r="CV27444" s="376"/>
    </row>
    <row r="27445" spans="1:100">
      <c r="A27445" s="374"/>
      <c r="C27445" s="374"/>
      <c r="CV27445" s="376"/>
    </row>
    <row r="27446" spans="1:100">
      <c r="A27446" s="374"/>
      <c r="C27446" s="374"/>
      <c r="CV27446" s="376"/>
    </row>
    <row r="27447" spans="1:100">
      <c r="A27447" s="374"/>
      <c r="C27447" s="374"/>
      <c r="CV27447" s="376"/>
    </row>
    <row r="27448" spans="1:100">
      <c r="A27448" s="374"/>
      <c r="C27448" s="374"/>
      <c r="CV27448" s="376"/>
    </row>
    <row r="27449" spans="1:100">
      <c r="A27449" s="374"/>
      <c r="C27449" s="374"/>
      <c r="CV27449" s="376"/>
    </row>
    <row r="27450" spans="1:100">
      <c r="A27450" s="374"/>
      <c r="C27450" s="374"/>
      <c r="CV27450" s="376"/>
    </row>
    <row r="27451" spans="1:100">
      <c r="A27451" s="374"/>
      <c r="C27451" s="374"/>
      <c r="CV27451" s="376"/>
    </row>
    <row r="27452" spans="1:100">
      <c r="A27452" s="374"/>
      <c r="C27452" s="374"/>
      <c r="CV27452" s="376"/>
    </row>
    <row r="27453" spans="1:100">
      <c r="A27453" s="374"/>
      <c r="C27453" s="374"/>
      <c r="CV27453" s="376"/>
    </row>
    <row r="27454" spans="1:100">
      <c r="A27454" s="374"/>
      <c r="C27454" s="374"/>
      <c r="CV27454" s="376"/>
    </row>
    <row r="27455" spans="1:100">
      <c r="A27455" s="374"/>
      <c r="C27455" s="374"/>
      <c r="CV27455" s="376"/>
    </row>
    <row r="27456" spans="1:100">
      <c r="A27456" s="374"/>
      <c r="C27456" s="374"/>
      <c r="CV27456" s="376"/>
    </row>
    <row r="27457" spans="1:100">
      <c r="A27457" s="374"/>
      <c r="C27457" s="374"/>
      <c r="CV27457" s="376"/>
    </row>
    <row r="27458" spans="1:100">
      <c r="A27458" s="374"/>
      <c r="C27458" s="374"/>
      <c r="CV27458" s="376"/>
    </row>
    <row r="27459" spans="1:100">
      <c r="A27459" s="374"/>
      <c r="C27459" s="374"/>
      <c r="CV27459" s="376"/>
    </row>
    <row r="27460" spans="1:100">
      <c r="A27460" s="374"/>
      <c r="C27460" s="374"/>
      <c r="CV27460" s="376"/>
    </row>
    <row r="27461" spans="1:100">
      <c r="A27461" s="374"/>
      <c r="C27461" s="374"/>
      <c r="CV27461" s="376"/>
    </row>
    <row r="27462" spans="1:100">
      <c r="A27462" s="374"/>
      <c r="C27462" s="374"/>
      <c r="CV27462" s="376"/>
    </row>
    <row r="27463" spans="1:100">
      <c r="A27463" s="374"/>
      <c r="C27463" s="374"/>
      <c r="CV27463" s="376"/>
    </row>
    <row r="27464" spans="1:100">
      <c r="A27464" s="374"/>
      <c r="C27464" s="374"/>
      <c r="CV27464" s="376"/>
    </row>
    <row r="27465" spans="1:100">
      <c r="A27465" s="374"/>
      <c r="C27465" s="374"/>
      <c r="CV27465" s="376"/>
    </row>
    <row r="27466" spans="1:100">
      <c r="A27466" s="374"/>
      <c r="C27466" s="374"/>
      <c r="CV27466" s="376"/>
    </row>
    <row r="27467" spans="1:100">
      <c r="A27467" s="374"/>
      <c r="C27467" s="374"/>
      <c r="CV27467" s="376"/>
    </row>
    <row r="27468" spans="1:100">
      <c r="A27468" s="374"/>
      <c r="C27468" s="374"/>
      <c r="CV27468" s="376"/>
    </row>
    <row r="27469" spans="1:100">
      <c r="A27469" s="374"/>
      <c r="C27469" s="374"/>
      <c r="CV27469" s="376"/>
    </row>
    <row r="27470" spans="1:100">
      <c r="A27470" s="374"/>
      <c r="C27470" s="374"/>
      <c r="CV27470" s="376"/>
    </row>
    <row r="27471" spans="1:100">
      <c r="A27471" s="374"/>
      <c r="C27471" s="374"/>
      <c r="CV27471" s="376"/>
    </row>
    <row r="27472" spans="1:100">
      <c r="A27472" s="374"/>
      <c r="C27472" s="374"/>
      <c r="CV27472" s="376"/>
    </row>
    <row r="27473" spans="1:100">
      <c r="A27473" s="374"/>
      <c r="C27473" s="374"/>
      <c r="CV27473" s="376"/>
    </row>
    <row r="27474" spans="1:100">
      <c r="A27474" s="374"/>
      <c r="C27474" s="374"/>
      <c r="CV27474" s="376"/>
    </row>
    <row r="27475" spans="1:100">
      <c r="A27475" s="374"/>
      <c r="C27475" s="374"/>
      <c r="CV27475" s="376"/>
    </row>
    <row r="27476" spans="1:100">
      <c r="A27476" s="374"/>
      <c r="C27476" s="374"/>
      <c r="CV27476" s="376"/>
    </row>
    <row r="27477" spans="1:100">
      <c r="A27477" s="374"/>
      <c r="C27477" s="374"/>
      <c r="CV27477" s="376"/>
    </row>
    <row r="27478" spans="1:100">
      <c r="A27478" s="374"/>
      <c r="C27478" s="374"/>
      <c r="CV27478" s="376"/>
    </row>
    <row r="27479" spans="1:100">
      <c r="A27479" s="374"/>
      <c r="C27479" s="374"/>
      <c r="CV27479" s="376"/>
    </row>
    <row r="27480" spans="1:100">
      <c r="A27480" s="374"/>
      <c r="C27480" s="374"/>
      <c r="CV27480" s="376"/>
    </row>
    <row r="27481" spans="1:100">
      <c r="A27481" s="374"/>
      <c r="C27481" s="374"/>
      <c r="CV27481" s="376"/>
    </row>
    <row r="27482" spans="1:100">
      <c r="A27482" s="374"/>
      <c r="C27482" s="374"/>
      <c r="CV27482" s="376"/>
    </row>
    <row r="27483" spans="1:100">
      <c r="A27483" s="374"/>
      <c r="C27483" s="374"/>
      <c r="CV27483" s="376"/>
    </row>
    <row r="27484" spans="1:100">
      <c r="A27484" s="374"/>
      <c r="C27484" s="374"/>
      <c r="CV27484" s="376"/>
    </row>
    <row r="27485" spans="1:100">
      <c r="A27485" s="374"/>
      <c r="C27485" s="374"/>
      <c r="CV27485" s="376"/>
    </row>
    <row r="27486" spans="1:100">
      <c r="A27486" s="374"/>
      <c r="C27486" s="374"/>
      <c r="CV27486" s="376"/>
    </row>
    <row r="27487" spans="1:100">
      <c r="A27487" s="374"/>
      <c r="C27487" s="374"/>
      <c r="CV27487" s="376"/>
    </row>
    <row r="27488" spans="1:100">
      <c r="A27488" s="374"/>
      <c r="C27488" s="374"/>
      <c r="CV27488" s="376"/>
    </row>
    <row r="27489" spans="1:100">
      <c r="A27489" s="374"/>
      <c r="C27489" s="374"/>
      <c r="CV27489" s="376"/>
    </row>
    <row r="27490" spans="1:100">
      <c r="A27490" s="374"/>
      <c r="C27490" s="374"/>
      <c r="CV27490" s="376"/>
    </row>
    <row r="27491" spans="1:100">
      <c r="A27491" s="374"/>
      <c r="C27491" s="374"/>
      <c r="CV27491" s="376"/>
    </row>
    <row r="27492" spans="1:100">
      <c r="A27492" s="374"/>
      <c r="C27492" s="374"/>
      <c r="CV27492" s="376"/>
    </row>
    <row r="27493" spans="1:100">
      <c r="A27493" s="374"/>
      <c r="C27493" s="374"/>
      <c r="CV27493" s="376"/>
    </row>
    <row r="27494" spans="1:100">
      <c r="A27494" s="374"/>
      <c r="C27494" s="374"/>
      <c r="CV27494" s="376"/>
    </row>
    <row r="27495" spans="1:100">
      <c r="A27495" s="374"/>
      <c r="C27495" s="374"/>
      <c r="CV27495" s="376"/>
    </row>
    <row r="27496" spans="1:100">
      <c r="A27496" s="374"/>
      <c r="C27496" s="374"/>
      <c r="CV27496" s="376"/>
    </row>
    <row r="27497" spans="1:100">
      <c r="A27497" s="374"/>
      <c r="C27497" s="374"/>
      <c r="CV27497" s="376"/>
    </row>
    <row r="27498" spans="1:100">
      <c r="A27498" s="374"/>
      <c r="C27498" s="374"/>
      <c r="CV27498" s="376"/>
    </row>
    <row r="27499" spans="1:100">
      <c r="A27499" s="374"/>
      <c r="C27499" s="374"/>
      <c r="CV27499" s="376"/>
    </row>
    <row r="27500" spans="1:100">
      <c r="A27500" s="374"/>
      <c r="C27500" s="374"/>
      <c r="CV27500" s="376"/>
    </row>
    <row r="27501" spans="1:100">
      <c r="A27501" s="374"/>
      <c r="C27501" s="374"/>
      <c r="CV27501" s="376"/>
    </row>
    <row r="27502" spans="1:100">
      <c r="A27502" s="374"/>
      <c r="C27502" s="374"/>
      <c r="CV27502" s="376"/>
    </row>
    <row r="27503" spans="1:100">
      <c r="A27503" s="374"/>
      <c r="C27503" s="374"/>
      <c r="CV27503" s="376"/>
    </row>
    <row r="27504" spans="1:100">
      <c r="A27504" s="374"/>
      <c r="C27504" s="374"/>
      <c r="CV27504" s="376"/>
    </row>
    <row r="27505" spans="1:100">
      <c r="A27505" s="374"/>
      <c r="C27505" s="374"/>
      <c r="CV27505" s="376"/>
    </row>
    <row r="27506" spans="1:100">
      <c r="A27506" s="374"/>
      <c r="C27506" s="374"/>
      <c r="CV27506" s="376"/>
    </row>
    <row r="27507" spans="1:100">
      <c r="A27507" s="374"/>
      <c r="C27507" s="374"/>
      <c r="CV27507" s="376"/>
    </row>
    <row r="27508" spans="1:100">
      <c r="A27508" s="374"/>
      <c r="C27508" s="374"/>
      <c r="CV27508" s="376"/>
    </row>
    <row r="27509" spans="1:100">
      <c r="A27509" s="374"/>
      <c r="C27509" s="374"/>
      <c r="CV27509" s="376"/>
    </row>
    <row r="27510" spans="1:100">
      <c r="A27510" s="374"/>
      <c r="C27510" s="374"/>
      <c r="CV27510" s="376"/>
    </row>
    <row r="27511" spans="1:100">
      <c r="A27511" s="374"/>
      <c r="C27511" s="374"/>
      <c r="CV27511" s="376"/>
    </row>
    <row r="27512" spans="1:100">
      <c r="A27512" s="374"/>
      <c r="C27512" s="374"/>
      <c r="CV27512" s="376"/>
    </row>
    <row r="27513" spans="1:100">
      <c r="A27513" s="374"/>
      <c r="C27513" s="374"/>
      <c r="CV27513" s="376"/>
    </row>
    <row r="27514" spans="1:100">
      <c r="A27514" s="374"/>
      <c r="C27514" s="374"/>
      <c r="CV27514" s="376"/>
    </row>
    <row r="27515" spans="1:100">
      <c r="A27515" s="374"/>
      <c r="C27515" s="374"/>
      <c r="CV27515" s="376"/>
    </row>
    <row r="27516" spans="1:100">
      <c r="A27516" s="374"/>
      <c r="C27516" s="374"/>
      <c r="CV27516" s="376"/>
    </row>
    <row r="27517" spans="1:100">
      <c r="A27517" s="374"/>
      <c r="C27517" s="374"/>
      <c r="CV27517" s="376"/>
    </row>
    <row r="27518" spans="1:100">
      <c r="A27518" s="374"/>
      <c r="C27518" s="374"/>
      <c r="CV27518" s="376"/>
    </row>
    <row r="27519" spans="1:100">
      <c r="A27519" s="374"/>
      <c r="C27519" s="374"/>
      <c r="CV27519" s="376"/>
    </row>
    <row r="27520" spans="1:100">
      <c r="A27520" s="374"/>
      <c r="C27520" s="374"/>
      <c r="CV27520" s="376"/>
    </row>
    <row r="27521" spans="1:100">
      <c r="A27521" s="374"/>
      <c r="C27521" s="374"/>
      <c r="CV27521" s="376"/>
    </row>
    <row r="27522" spans="1:100">
      <c r="A27522" s="374"/>
      <c r="C27522" s="374"/>
      <c r="CV27522" s="376"/>
    </row>
    <row r="27523" spans="1:100">
      <c r="A27523" s="374"/>
      <c r="C27523" s="374"/>
      <c r="CV27523" s="376"/>
    </row>
    <row r="27524" spans="1:100">
      <c r="A27524" s="374"/>
      <c r="C27524" s="374"/>
      <c r="CV27524" s="376"/>
    </row>
    <row r="27525" spans="1:100">
      <c r="A27525" s="374"/>
      <c r="C27525" s="374"/>
      <c r="CV27525" s="376"/>
    </row>
    <row r="27526" spans="1:100">
      <c r="A27526" s="374"/>
      <c r="C27526" s="374"/>
      <c r="CV27526" s="376"/>
    </row>
    <row r="27527" spans="1:100">
      <c r="A27527" s="374"/>
      <c r="C27527" s="374"/>
      <c r="CV27527" s="376"/>
    </row>
    <row r="27528" spans="1:100">
      <c r="A27528" s="374"/>
      <c r="C27528" s="374"/>
      <c r="CV27528" s="376"/>
    </row>
    <row r="27529" spans="1:100">
      <c r="A27529" s="374"/>
      <c r="C27529" s="374"/>
      <c r="CV27529" s="376"/>
    </row>
    <row r="27530" spans="1:100">
      <c r="A27530" s="374"/>
      <c r="C27530" s="374"/>
      <c r="CV27530" s="376"/>
    </row>
    <row r="27531" spans="1:100">
      <c r="A27531" s="374"/>
      <c r="C27531" s="374"/>
      <c r="CV27531" s="376"/>
    </row>
    <row r="27532" spans="1:100">
      <c r="A27532" s="374"/>
      <c r="C27532" s="374"/>
      <c r="CV27532" s="376"/>
    </row>
    <row r="27533" spans="1:100">
      <c r="A27533" s="374"/>
      <c r="C27533" s="374"/>
      <c r="CV27533" s="376"/>
    </row>
    <row r="27534" spans="1:100">
      <c r="A27534" s="374"/>
      <c r="C27534" s="374"/>
      <c r="CV27534" s="376"/>
    </row>
    <row r="27535" spans="1:100">
      <c r="A27535" s="374"/>
      <c r="C27535" s="374"/>
      <c r="CV27535" s="376"/>
    </row>
    <row r="27536" spans="1:100">
      <c r="A27536" s="374"/>
      <c r="C27536" s="374"/>
      <c r="CV27536" s="376"/>
    </row>
    <row r="27537" spans="1:100">
      <c r="A27537" s="374"/>
      <c r="C27537" s="374"/>
      <c r="CV27537" s="376"/>
    </row>
    <row r="27538" spans="1:100">
      <c r="A27538" s="374"/>
      <c r="C27538" s="374"/>
      <c r="CV27538" s="376"/>
    </row>
    <row r="27539" spans="1:100">
      <c r="A27539" s="374"/>
      <c r="C27539" s="374"/>
      <c r="CV27539" s="376"/>
    </row>
    <row r="27540" spans="1:100">
      <c r="A27540" s="374"/>
      <c r="C27540" s="374"/>
      <c r="CV27540" s="376"/>
    </row>
    <row r="27541" spans="1:100">
      <c r="A27541" s="374"/>
      <c r="C27541" s="374"/>
      <c r="CV27541" s="376"/>
    </row>
    <row r="27542" spans="1:100">
      <c r="A27542" s="374"/>
      <c r="C27542" s="374"/>
      <c r="CV27542" s="376"/>
    </row>
    <row r="27543" spans="1:100">
      <c r="A27543" s="374"/>
      <c r="C27543" s="374"/>
      <c r="CV27543" s="376"/>
    </row>
    <row r="27544" spans="1:100">
      <c r="A27544" s="374"/>
      <c r="C27544" s="374"/>
      <c r="CV27544" s="376"/>
    </row>
    <row r="27545" spans="1:100">
      <c r="A27545" s="374"/>
      <c r="C27545" s="374"/>
      <c r="CV27545" s="376"/>
    </row>
    <row r="27546" spans="1:100">
      <c r="A27546" s="374"/>
      <c r="C27546" s="374"/>
      <c r="CV27546" s="376"/>
    </row>
    <row r="27547" spans="1:100">
      <c r="A27547" s="374"/>
      <c r="C27547" s="374"/>
      <c r="CV27547" s="376"/>
    </row>
    <row r="27548" spans="1:100">
      <c r="A27548" s="374"/>
      <c r="C27548" s="374"/>
      <c r="CV27548" s="376"/>
    </row>
    <row r="27549" spans="1:100">
      <c r="A27549" s="374"/>
      <c r="C27549" s="374"/>
      <c r="CV27549" s="376"/>
    </row>
    <row r="27550" spans="1:100">
      <c r="A27550" s="374"/>
      <c r="C27550" s="374"/>
      <c r="CV27550" s="376"/>
    </row>
    <row r="27551" spans="1:100">
      <c r="A27551" s="374"/>
      <c r="C27551" s="374"/>
      <c r="CV27551" s="376"/>
    </row>
    <row r="27552" spans="1:100">
      <c r="A27552" s="374"/>
      <c r="C27552" s="374"/>
      <c r="CV27552" s="376"/>
    </row>
    <row r="27553" spans="1:100">
      <c r="A27553" s="374"/>
      <c r="C27553" s="374"/>
      <c r="CV27553" s="376"/>
    </row>
    <row r="27554" spans="1:100">
      <c r="A27554" s="374"/>
      <c r="C27554" s="374"/>
      <c r="CV27554" s="376"/>
    </row>
    <row r="27555" spans="1:100">
      <c r="A27555" s="374"/>
      <c r="C27555" s="374"/>
      <c r="CV27555" s="376"/>
    </row>
    <row r="27556" spans="1:100">
      <c r="A27556" s="374"/>
      <c r="C27556" s="374"/>
      <c r="CV27556" s="376"/>
    </row>
    <row r="27557" spans="1:100">
      <c r="A27557" s="374"/>
      <c r="C27557" s="374"/>
      <c r="CV27557" s="376"/>
    </row>
    <row r="27558" spans="1:100">
      <c r="A27558" s="374"/>
      <c r="C27558" s="374"/>
      <c r="CV27558" s="376"/>
    </row>
    <row r="27559" spans="1:100">
      <c r="A27559" s="374"/>
      <c r="C27559" s="374"/>
      <c r="CV27559" s="376"/>
    </row>
    <row r="27560" spans="1:100">
      <c r="A27560" s="374"/>
      <c r="C27560" s="374"/>
      <c r="CV27560" s="376"/>
    </row>
    <row r="27561" spans="1:100">
      <c r="A27561" s="374"/>
      <c r="C27561" s="374"/>
      <c r="CV27561" s="376"/>
    </row>
    <row r="27562" spans="1:100">
      <c r="A27562" s="374"/>
      <c r="C27562" s="374"/>
      <c r="CV27562" s="376"/>
    </row>
    <row r="27563" spans="1:100">
      <c r="A27563" s="374"/>
      <c r="C27563" s="374"/>
      <c r="CV27563" s="376"/>
    </row>
    <row r="27564" spans="1:100">
      <c r="A27564" s="374"/>
      <c r="C27564" s="374"/>
      <c r="CV27564" s="376"/>
    </row>
    <row r="27565" spans="1:100">
      <c r="A27565" s="374"/>
      <c r="C27565" s="374"/>
      <c r="CV27565" s="376"/>
    </row>
    <row r="27566" spans="1:100">
      <c r="A27566" s="374"/>
      <c r="C27566" s="374"/>
      <c r="CV27566" s="376"/>
    </row>
    <row r="27567" spans="1:100">
      <c r="A27567" s="374"/>
      <c r="C27567" s="374"/>
      <c r="CV27567" s="376"/>
    </row>
    <row r="27568" spans="1:100">
      <c r="A27568" s="374"/>
      <c r="C27568" s="374"/>
      <c r="CV27568" s="376"/>
    </row>
    <row r="27569" spans="1:100">
      <c r="A27569" s="374"/>
      <c r="C27569" s="374"/>
      <c r="CV27569" s="376"/>
    </row>
    <row r="27570" spans="1:100">
      <c r="A27570" s="374"/>
      <c r="C27570" s="374"/>
      <c r="CV27570" s="376"/>
    </row>
    <row r="27571" spans="1:100">
      <c r="A27571" s="374"/>
      <c r="C27571" s="374"/>
      <c r="CV27571" s="376"/>
    </row>
    <row r="27572" spans="1:100">
      <c r="A27572" s="374"/>
      <c r="C27572" s="374"/>
      <c r="CV27572" s="376"/>
    </row>
    <row r="27573" spans="1:100">
      <c r="A27573" s="374"/>
      <c r="C27573" s="374"/>
      <c r="CV27573" s="376"/>
    </row>
    <row r="27574" spans="1:100">
      <c r="A27574" s="374"/>
      <c r="C27574" s="374"/>
      <c r="CV27574" s="376"/>
    </row>
    <row r="27575" spans="1:100">
      <c r="A27575" s="374"/>
      <c r="C27575" s="374"/>
      <c r="CV27575" s="376"/>
    </row>
    <row r="27576" spans="1:100">
      <c r="A27576" s="374"/>
      <c r="C27576" s="374"/>
      <c r="CV27576" s="376"/>
    </row>
    <row r="27577" spans="1:100">
      <c r="A27577" s="374"/>
      <c r="C27577" s="374"/>
      <c r="CV27577" s="376"/>
    </row>
    <row r="27578" spans="1:100">
      <c r="A27578" s="374"/>
      <c r="C27578" s="374"/>
      <c r="CV27578" s="376"/>
    </row>
    <row r="27579" spans="1:100">
      <c r="A27579" s="374"/>
      <c r="C27579" s="374"/>
      <c r="CV27579" s="376"/>
    </row>
    <row r="27580" spans="1:100">
      <c r="A27580" s="374"/>
      <c r="C27580" s="374"/>
      <c r="CV27580" s="376"/>
    </row>
    <row r="27581" spans="1:100">
      <c r="A27581" s="374"/>
      <c r="C27581" s="374"/>
      <c r="CV27581" s="376"/>
    </row>
    <row r="27582" spans="1:100">
      <c r="A27582" s="374"/>
      <c r="C27582" s="374"/>
      <c r="CV27582" s="376"/>
    </row>
    <row r="27583" spans="1:100">
      <c r="A27583" s="374"/>
      <c r="C27583" s="374"/>
      <c r="CV27583" s="376"/>
    </row>
    <row r="27584" spans="1:100">
      <c r="A27584" s="374"/>
      <c r="C27584" s="374"/>
      <c r="CV27584" s="376"/>
    </row>
    <row r="27585" spans="1:100">
      <c r="A27585" s="374"/>
      <c r="C27585" s="374"/>
      <c r="CV27585" s="376"/>
    </row>
    <row r="27586" spans="1:100">
      <c r="A27586" s="374"/>
      <c r="C27586" s="374"/>
      <c r="CV27586" s="376"/>
    </row>
    <row r="27587" spans="1:100">
      <c r="A27587" s="374"/>
      <c r="C27587" s="374"/>
      <c r="CV27587" s="376"/>
    </row>
    <row r="27588" spans="1:100">
      <c r="A27588" s="374"/>
      <c r="C27588" s="374"/>
      <c r="CV27588" s="376"/>
    </row>
    <row r="27589" spans="1:100">
      <c r="A27589" s="374"/>
      <c r="C27589" s="374"/>
      <c r="CV27589" s="376"/>
    </row>
    <row r="27590" spans="1:100">
      <c r="A27590" s="374"/>
      <c r="C27590" s="374"/>
      <c r="CV27590" s="376"/>
    </row>
    <row r="27591" spans="1:100">
      <c r="A27591" s="374"/>
      <c r="C27591" s="374"/>
      <c r="CV27591" s="376"/>
    </row>
    <row r="27592" spans="1:100">
      <c r="A27592" s="374"/>
      <c r="C27592" s="374"/>
      <c r="CV27592" s="376"/>
    </row>
    <row r="27593" spans="1:100">
      <c r="A27593" s="374"/>
      <c r="C27593" s="374"/>
      <c r="CV27593" s="376"/>
    </row>
    <row r="27594" spans="1:100">
      <c r="A27594" s="374"/>
      <c r="C27594" s="374"/>
      <c r="CV27594" s="376"/>
    </row>
    <row r="27595" spans="1:100">
      <c r="A27595" s="374"/>
      <c r="C27595" s="374"/>
      <c r="CV27595" s="376"/>
    </row>
    <row r="27596" spans="1:100">
      <c r="A27596" s="374"/>
      <c r="C27596" s="374"/>
      <c r="CV27596" s="376"/>
    </row>
    <row r="27597" spans="1:100">
      <c r="A27597" s="374"/>
      <c r="C27597" s="374"/>
      <c r="CV27597" s="376"/>
    </row>
    <row r="27598" spans="1:100">
      <c r="A27598" s="374"/>
      <c r="C27598" s="374"/>
      <c r="CV27598" s="376"/>
    </row>
    <row r="27599" spans="1:100">
      <c r="A27599" s="374"/>
      <c r="C27599" s="374"/>
      <c r="CV27599" s="376"/>
    </row>
    <row r="27600" spans="1:100">
      <c r="A27600" s="374"/>
      <c r="C27600" s="374"/>
      <c r="CV27600" s="376"/>
    </row>
    <row r="27601" spans="1:100">
      <c r="A27601" s="374"/>
      <c r="C27601" s="374"/>
      <c r="CV27601" s="376"/>
    </row>
    <row r="27602" spans="1:100">
      <c r="A27602" s="374"/>
      <c r="C27602" s="374"/>
      <c r="CV27602" s="376"/>
    </row>
    <row r="27603" spans="1:100">
      <c r="A27603" s="374"/>
      <c r="C27603" s="374"/>
      <c r="CV27603" s="376"/>
    </row>
    <row r="27604" spans="1:100">
      <c r="A27604" s="374"/>
      <c r="C27604" s="374"/>
      <c r="CV27604" s="376"/>
    </row>
    <row r="27605" spans="1:100">
      <c r="A27605" s="374"/>
      <c r="C27605" s="374"/>
      <c r="CV27605" s="376"/>
    </row>
    <row r="27606" spans="1:100">
      <c r="A27606" s="374"/>
      <c r="C27606" s="374"/>
      <c r="CV27606" s="376"/>
    </row>
    <row r="27607" spans="1:100">
      <c r="A27607" s="374"/>
      <c r="C27607" s="374"/>
      <c r="CV27607" s="376"/>
    </row>
    <row r="27608" spans="1:100">
      <c r="A27608" s="374"/>
      <c r="C27608" s="374"/>
      <c r="CV27608" s="376"/>
    </row>
    <row r="27609" spans="1:100">
      <c r="A27609" s="374"/>
      <c r="C27609" s="374"/>
      <c r="CV27609" s="376"/>
    </row>
    <row r="27610" spans="1:100">
      <c r="A27610" s="374"/>
      <c r="C27610" s="374"/>
      <c r="CV27610" s="376"/>
    </row>
    <row r="27611" spans="1:100">
      <c r="A27611" s="374"/>
      <c r="C27611" s="374"/>
      <c r="CV27611" s="376"/>
    </row>
    <row r="27612" spans="1:100">
      <c r="A27612" s="374"/>
      <c r="C27612" s="374"/>
      <c r="CV27612" s="376"/>
    </row>
    <row r="27613" spans="1:100">
      <c r="A27613" s="374"/>
      <c r="C27613" s="374"/>
      <c r="CV27613" s="376"/>
    </row>
    <row r="27614" spans="1:100">
      <c r="A27614" s="374"/>
      <c r="C27614" s="374"/>
      <c r="CV27614" s="376"/>
    </row>
    <row r="27615" spans="1:100">
      <c r="A27615" s="374"/>
      <c r="C27615" s="374"/>
      <c r="CV27615" s="376"/>
    </row>
    <row r="27616" spans="1:100">
      <c r="A27616" s="374"/>
      <c r="C27616" s="374"/>
      <c r="CV27616" s="376"/>
    </row>
    <row r="27617" spans="1:100">
      <c r="A27617" s="374"/>
      <c r="C27617" s="374"/>
      <c r="CV27617" s="376"/>
    </row>
    <row r="27618" spans="1:100">
      <c r="A27618" s="374"/>
      <c r="C27618" s="374"/>
      <c r="CV27618" s="376"/>
    </row>
    <row r="27619" spans="1:100">
      <c r="A27619" s="374"/>
      <c r="C27619" s="374"/>
      <c r="CV27619" s="376"/>
    </row>
    <row r="27620" spans="1:100">
      <c r="A27620" s="374"/>
      <c r="C27620" s="374"/>
      <c r="CV27620" s="376"/>
    </row>
    <row r="27621" spans="1:100">
      <c r="A27621" s="374"/>
      <c r="C27621" s="374"/>
      <c r="CV27621" s="376"/>
    </row>
    <row r="27622" spans="1:100">
      <c r="A27622" s="374"/>
      <c r="C27622" s="374"/>
      <c r="CV27622" s="376"/>
    </row>
    <row r="27623" spans="1:100">
      <c r="A27623" s="374"/>
      <c r="C27623" s="374"/>
      <c r="CV27623" s="376"/>
    </row>
    <row r="27624" spans="1:100">
      <c r="A27624" s="374"/>
      <c r="C27624" s="374"/>
      <c r="CV27624" s="376"/>
    </row>
    <row r="27625" spans="1:100">
      <c r="A27625" s="374"/>
      <c r="C27625" s="374"/>
      <c r="CV27625" s="376"/>
    </row>
    <row r="27626" spans="1:100">
      <c r="A27626" s="374"/>
      <c r="C27626" s="374"/>
      <c r="CV27626" s="376"/>
    </row>
    <row r="27627" spans="1:100">
      <c r="A27627" s="374"/>
      <c r="C27627" s="374"/>
      <c r="CV27627" s="376"/>
    </row>
    <row r="27628" spans="1:100">
      <c r="A27628" s="374"/>
      <c r="C27628" s="374"/>
      <c r="CV27628" s="376"/>
    </row>
    <row r="27629" spans="1:100">
      <c r="A27629" s="374"/>
      <c r="C27629" s="374"/>
      <c r="CV27629" s="376"/>
    </row>
    <row r="27630" spans="1:100">
      <c r="A27630" s="374"/>
      <c r="C27630" s="374"/>
      <c r="CV27630" s="376"/>
    </row>
    <row r="27631" spans="1:100">
      <c r="A27631" s="374"/>
      <c r="C27631" s="374"/>
      <c r="CV27631" s="376"/>
    </row>
    <row r="27632" spans="1:100">
      <c r="A27632" s="374"/>
      <c r="C27632" s="374"/>
      <c r="CV27632" s="376"/>
    </row>
    <row r="27633" spans="1:100">
      <c r="A27633" s="374"/>
      <c r="C27633" s="374"/>
      <c r="CV27633" s="376"/>
    </row>
    <row r="27634" spans="1:100">
      <c r="A27634" s="374"/>
      <c r="C27634" s="374"/>
      <c r="CV27634" s="376"/>
    </row>
    <row r="27635" spans="1:100">
      <c r="A27635" s="374"/>
      <c r="C27635" s="374"/>
      <c r="CV27635" s="376"/>
    </row>
    <row r="27636" spans="1:100">
      <c r="A27636" s="374"/>
      <c r="C27636" s="374"/>
      <c r="CV27636" s="376"/>
    </row>
    <row r="27637" spans="1:100">
      <c r="A27637" s="374"/>
      <c r="C27637" s="374"/>
      <c r="CV27637" s="376"/>
    </row>
    <row r="27638" spans="1:100">
      <c r="A27638" s="374"/>
      <c r="C27638" s="374"/>
      <c r="CV27638" s="376"/>
    </row>
    <row r="27639" spans="1:100">
      <c r="A27639" s="374"/>
      <c r="C27639" s="374"/>
      <c r="CV27639" s="376"/>
    </row>
    <row r="27640" spans="1:100">
      <c r="A27640" s="374"/>
      <c r="C27640" s="374"/>
      <c r="CV27640" s="376"/>
    </row>
    <row r="27641" spans="1:100">
      <c r="A27641" s="374"/>
      <c r="C27641" s="374"/>
      <c r="CV27641" s="376"/>
    </row>
    <row r="27642" spans="1:100">
      <c r="A27642" s="374"/>
      <c r="C27642" s="374"/>
      <c r="CV27642" s="376"/>
    </row>
    <row r="27643" spans="1:100">
      <c r="A27643" s="374"/>
      <c r="C27643" s="374"/>
      <c r="CV27643" s="376"/>
    </row>
    <row r="27644" spans="1:100">
      <c r="A27644" s="374"/>
      <c r="C27644" s="374"/>
      <c r="CV27644" s="376"/>
    </row>
    <row r="27645" spans="1:100">
      <c r="A27645" s="374"/>
      <c r="C27645" s="374"/>
      <c r="CV27645" s="376"/>
    </row>
    <row r="27646" spans="1:100">
      <c r="A27646" s="374"/>
      <c r="C27646" s="374"/>
      <c r="CV27646" s="376"/>
    </row>
    <row r="27647" spans="1:100">
      <c r="A27647" s="374"/>
      <c r="C27647" s="374"/>
      <c r="CV27647" s="376"/>
    </row>
    <row r="27648" spans="1:100">
      <c r="A27648" s="374"/>
      <c r="C27648" s="374"/>
      <c r="CV27648" s="376"/>
    </row>
    <row r="27649" spans="1:100">
      <c r="A27649" s="374"/>
      <c r="C27649" s="374"/>
      <c r="CV27649" s="376"/>
    </row>
    <row r="27650" spans="1:100">
      <c r="A27650" s="374"/>
      <c r="C27650" s="374"/>
      <c r="CV27650" s="376"/>
    </row>
    <row r="27651" spans="1:100">
      <c r="A27651" s="374"/>
      <c r="C27651" s="374"/>
      <c r="CV27651" s="376"/>
    </row>
    <row r="27652" spans="1:100">
      <c r="A27652" s="374"/>
      <c r="C27652" s="374"/>
      <c r="CV27652" s="376"/>
    </row>
    <row r="27653" spans="1:100">
      <c r="A27653" s="374"/>
      <c r="C27653" s="374"/>
      <c r="CV27653" s="376"/>
    </row>
    <row r="27654" spans="1:100">
      <c r="A27654" s="374"/>
      <c r="C27654" s="374"/>
      <c r="CV27654" s="376"/>
    </row>
    <row r="27655" spans="1:100">
      <c r="A27655" s="374"/>
      <c r="C27655" s="374"/>
      <c r="CV27655" s="376"/>
    </row>
    <row r="27656" spans="1:100">
      <c r="A27656" s="374"/>
      <c r="C27656" s="374"/>
      <c r="CV27656" s="376"/>
    </row>
    <row r="27657" spans="1:100">
      <c r="A27657" s="374"/>
      <c r="C27657" s="374"/>
      <c r="CV27657" s="376"/>
    </row>
    <row r="27658" spans="1:100">
      <c r="A27658" s="374"/>
      <c r="C27658" s="374"/>
      <c r="CV27658" s="376"/>
    </row>
    <row r="27659" spans="1:100">
      <c r="A27659" s="374"/>
      <c r="C27659" s="374"/>
      <c r="CV27659" s="376"/>
    </row>
    <row r="27660" spans="1:100">
      <c r="A27660" s="374"/>
      <c r="C27660" s="374"/>
      <c r="CV27660" s="376"/>
    </row>
    <row r="27661" spans="1:100">
      <c r="A27661" s="374"/>
      <c r="C27661" s="374"/>
      <c r="CV27661" s="376"/>
    </row>
    <row r="27662" spans="1:100">
      <c r="A27662" s="374"/>
      <c r="C27662" s="374"/>
      <c r="CV27662" s="376"/>
    </row>
    <row r="27663" spans="1:100">
      <c r="A27663" s="374"/>
      <c r="C27663" s="374"/>
      <c r="CV27663" s="376"/>
    </row>
    <row r="27664" spans="1:100">
      <c r="A27664" s="374"/>
      <c r="C27664" s="374"/>
      <c r="CV27664" s="376"/>
    </row>
    <row r="27665" spans="1:100">
      <c r="A27665" s="374"/>
      <c r="C27665" s="374"/>
      <c r="CV27665" s="376"/>
    </row>
    <row r="27666" spans="1:100">
      <c r="A27666" s="374"/>
      <c r="C27666" s="374"/>
      <c r="CV27666" s="376"/>
    </row>
    <row r="27667" spans="1:100">
      <c r="A27667" s="374"/>
      <c r="C27667" s="374"/>
      <c r="CV27667" s="376"/>
    </row>
    <row r="27668" spans="1:100">
      <c r="A27668" s="374"/>
      <c r="C27668" s="374"/>
      <c r="CV27668" s="376"/>
    </row>
    <row r="27669" spans="1:100">
      <c r="A27669" s="374"/>
      <c r="C27669" s="374"/>
      <c r="CV27669" s="376"/>
    </row>
    <row r="27670" spans="1:100">
      <c r="A27670" s="374"/>
      <c r="C27670" s="374"/>
      <c r="CV27670" s="376"/>
    </row>
    <row r="27671" spans="1:100">
      <c r="A27671" s="374"/>
      <c r="C27671" s="374"/>
      <c r="CV27671" s="376"/>
    </row>
    <row r="27672" spans="1:100">
      <c r="A27672" s="374"/>
      <c r="C27672" s="374"/>
      <c r="CV27672" s="376"/>
    </row>
    <row r="27673" spans="1:100">
      <c r="A27673" s="374"/>
      <c r="C27673" s="374"/>
      <c r="CV27673" s="376"/>
    </row>
    <row r="27674" spans="1:100">
      <c r="A27674" s="374"/>
      <c r="C27674" s="374"/>
      <c r="CV27674" s="376"/>
    </row>
    <row r="27675" spans="1:100">
      <c r="A27675" s="374"/>
      <c r="C27675" s="374"/>
      <c r="CV27675" s="376"/>
    </row>
    <row r="27676" spans="1:100">
      <c r="A27676" s="374"/>
      <c r="C27676" s="374"/>
      <c r="CV27676" s="376"/>
    </row>
    <row r="27677" spans="1:100">
      <c r="A27677" s="374"/>
      <c r="C27677" s="374"/>
      <c r="CV27677" s="376"/>
    </row>
    <row r="27678" spans="1:100">
      <c r="A27678" s="374"/>
      <c r="C27678" s="374"/>
      <c r="CV27678" s="376"/>
    </row>
    <row r="27679" spans="1:100">
      <c r="A27679" s="374"/>
      <c r="C27679" s="374"/>
      <c r="CV27679" s="376"/>
    </row>
    <row r="27680" spans="1:100">
      <c r="A27680" s="374"/>
      <c r="C27680" s="374"/>
      <c r="CV27680" s="376"/>
    </row>
    <row r="27681" spans="1:100">
      <c r="A27681" s="374"/>
      <c r="C27681" s="374"/>
      <c r="CV27681" s="376"/>
    </row>
    <row r="27682" spans="1:100">
      <c r="A27682" s="374"/>
      <c r="C27682" s="374"/>
      <c r="CV27682" s="376"/>
    </row>
    <row r="27683" spans="1:100">
      <c r="A27683" s="374"/>
      <c r="C27683" s="374"/>
      <c r="CV27683" s="376"/>
    </row>
    <row r="27684" spans="1:100">
      <c r="A27684" s="374"/>
      <c r="C27684" s="374"/>
      <c r="CV27684" s="376"/>
    </row>
    <row r="27685" spans="1:100">
      <c r="A27685" s="374"/>
      <c r="C27685" s="374"/>
      <c r="CV27685" s="376"/>
    </row>
    <row r="27686" spans="1:100">
      <c r="A27686" s="374"/>
      <c r="C27686" s="374"/>
      <c r="CV27686" s="376"/>
    </row>
    <row r="27687" spans="1:100">
      <c r="A27687" s="374"/>
      <c r="C27687" s="374"/>
      <c r="CV27687" s="376"/>
    </row>
    <row r="27688" spans="1:100">
      <c r="A27688" s="374"/>
      <c r="C27688" s="374"/>
      <c r="CV27688" s="376"/>
    </row>
    <row r="27689" spans="1:100">
      <c r="A27689" s="374"/>
      <c r="C27689" s="374"/>
      <c r="CV27689" s="376"/>
    </row>
    <row r="27690" spans="1:100">
      <c r="A27690" s="374"/>
      <c r="C27690" s="374"/>
      <c r="CV27690" s="376"/>
    </row>
    <row r="27691" spans="1:100">
      <c r="A27691" s="374"/>
      <c r="C27691" s="374"/>
      <c r="CV27691" s="376"/>
    </row>
    <row r="27692" spans="1:100">
      <c r="A27692" s="374"/>
      <c r="C27692" s="374"/>
      <c r="CV27692" s="376"/>
    </row>
    <row r="27693" spans="1:100">
      <c r="A27693" s="374"/>
      <c r="C27693" s="374"/>
      <c r="CV27693" s="376"/>
    </row>
    <row r="27694" spans="1:100">
      <c r="A27694" s="374"/>
      <c r="C27694" s="374"/>
      <c r="CV27694" s="376"/>
    </row>
    <row r="27695" spans="1:100">
      <c r="A27695" s="374"/>
      <c r="C27695" s="374"/>
      <c r="CV27695" s="376"/>
    </row>
    <row r="27696" spans="1:100">
      <c r="A27696" s="374"/>
      <c r="C27696" s="374"/>
      <c r="CV27696" s="376"/>
    </row>
    <row r="27697" spans="1:100">
      <c r="A27697" s="374"/>
      <c r="C27697" s="374"/>
      <c r="CV27697" s="376"/>
    </row>
    <row r="27698" spans="1:100">
      <c r="A27698" s="374"/>
      <c r="C27698" s="374"/>
      <c r="CV27698" s="376"/>
    </row>
    <row r="27699" spans="1:100">
      <c r="A27699" s="374"/>
      <c r="C27699" s="374"/>
      <c r="CV27699" s="376"/>
    </row>
    <row r="27700" spans="1:100">
      <c r="A27700" s="374"/>
      <c r="C27700" s="374"/>
      <c r="CV27700" s="376"/>
    </row>
    <row r="27701" spans="1:100">
      <c r="A27701" s="374"/>
      <c r="C27701" s="374"/>
      <c r="CV27701" s="376"/>
    </row>
    <row r="27702" spans="1:100">
      <c r="A27702" s="374"/>
      <c r="C27702" s="374"/>
      <c r="CV27702" s="376"/>
    </row>
    <row r="27703" spans="1:100">
      <c r="A27703" s="374"/>
      <c r="C27703" s="374"/>
      <c r="CV27703" s="376"/>
    </row>
    <row r="27704" spans="1:100">
      <c r="A27704" s="374"/>
      <c r="C27704" s="374"/>
      <c r="CV27704" s="376"/>
    </row>
    <row r="27705" spans="1:100">
      <c r="A27705" s="374"/>
      <c r="C27705" s="374"/>
      <c r="CV27705" s="376"/>
    </row>
    <row r="27706" spans="1:100">
      <c r="A27706" s="374"/>
      <c r="C27706" s="374"/>
      <c r="CV27706" s="376"/>
    </row>
    <row r="27707" spans="1:100">
      <c r="A27707" s="374"/>
      <c r="C27707" s="374"/>
      <c r="CV27707" s="376"/>
    </row>
    <row r="27708" spans="1:100">
      <c r="A27708" s="374"/>
      <c r="C27708" s="374"/>
      <c r="CV27708" s="376"/>
    </row>
    <row r="27709" spans="1:100">
      <c r="A27709" s="374"/>
      <c r="C27709" s="374"/>
      <c r="CV27709" s="376"/>
    </row>
    <row r="27710" spans="1:100">
      <c r="A27710" s="374"/>
      <c r="C27710" s="374"/>
      <c r="CV27710" s="376"/>
    </row>
    <row r="27711" spans="1:100">
      <c r="A27711" s="374"/>
      <c r="C27711" s="374"/>
      <c r="CV27711" s="376"/>
    </row>
    <row r="27712" spans="1:100">
      <c r="A27712" s="374"/>
      <c r="C27712" s="374"/>
      <c r="CV27712" s="376"/>
    </row>
    <row r="27713" spans="1:100">
      <c r="A27713" s="374"/>
      <c r="C27713" s="374"/>
      <c r="CV27713" s="376"/>
    </row>
    <row r="27714" spans="1:100">
      <c r="A27714" s="374"/>
      <c r="C27714" s="374"/>
      <c r="CV27714" s="376"/>
    </row>
    <row r="27715" spans="1:100">
      <c r="A27715" s="374"/>
      <c r="C27715" s="374"/>
      <c r="CV27715" s="376"/>
    </row>
    <row r="27716" spans="1:100">
      <c r="A27716" s="374"/>
      <c r="C27716" s="374"/>
      <c r="CV27716" s="376"/>
    </row>
    <row r="27717" spans="1:100">
      <c r="A27717" s="374"/>
      <c r="C27717" s="374"/>
      <c r="CV27717" s="376"/>
    </row>
    <row r="27718" spans="1:100">
      <c r="A27718" s="374"/>
      <c r="C27718" s="374"/>
      <c r="CV27718" s="376"/>
    </row>
    <row r="27719" spans="1:100">
      <c r="A27719" s="374"/>
      <c r="C27719" s="374"/>
      <c r="CV27719" s="376"/>
    </row>
    <row r="27720" spans="1:100">
      <c r="A27720" s="374"/>
      <c r="C27720" s="374"/>
      <c r="CV27720" s="376"/>
    </row>
    <row r="27721" spans="1:100">
      <c r="A27721" s="374"/>
      <c r="C27721" s="374"/>
      <c r="CV27721" s="376"/>
    </row>
    <row r="27722" spans="1:100">
      <c r="A27722" s="374"/>
      <c r="C27722" s="374"/>
      <c r="CV27722" s="376"/>
    </row>
    <row r="27723" spans="1:100">
      <c r="A27723" s="374"/>
      <c r="C27723" s="374"/>
      <c r="CV27723" s="376"/>
    </row>
    <row r="27724" spans="1:100">
      <c r="A27724" s="374"/>
      <c r="C27724" s="374"/>
      <c r="CV27724" s="376"/>
    </row>
    <row r="27725" spans="1:100">
      <c r="A27725" s="374"/>
      <c r="C27725" s="374"/>
      <c r="CV27725" s="376"/>
    </row>
    <row r="27726" spans="1:100">
      <c r="A27726" s="374"/>
      <c r="C27726" s="374"/>
      <c r="CV27726" s="376"/>
    </row>
    <row r="27727" spans="1:100">
      <c r="A27727" s="374"/>
      <c r="C27727" s="374"/>
      <c r="CV27727" s="376"/>
    </row>
    <row r="27728" spans="1:100">
      <c r="A27728" s="374"/>
      <c r="C27728" s="374"/>
      <c r="CV27728" s="376"/>
    </row>
    <row r="27729" spans="1:100">
      <c r="A27729" s="374"/>
      <c r="C27729" s="374"/>
      <c r="CV27729" s="376"/>
    </row>
    <row r="27730" spans="1:100">
      <c r="A27730" s="374"/>
      <c r="C27730" s="374"/>
      <c r="CV27730" s="376"/>
    </row>
    <row r="27731" spans="1:100">
      <c r="A27731" s="374"/>
      <c r="C27731" s="374"/>
      <c r="CV27731" s="376"/>
    </row>
    <row r="27732" spans="1:100">
      <c r="A27732" s="374"/>
      <c r="C27732" s="374"/>
      <c r="CV27732" s="376"/>
    </row>
    <row r="27733" spans="1:100">
      <c r="A27733" s="374"/>
      <c r="C27733" s="374"/>
      <c r="CV27733" s="376"/>
    </row>
    <row r="27734" spans="1:100">
      <c r="A27734" s="374"/>
      <c r="C27734" s="374"/>
      <c r="CV27734" s="376"/>
    </row>
    <row r="27735" spans="1:100">
      <c r="A27735" s="374"/>
      <c r="C27735" s="374"/>
      <c r="CV27735" s="376"/>
    </row>
    <row r="27736" spans="1:100">
      <c r="A27736" s="374"/>
      <c r="C27736" s="374"/>
      <c r="CV27736" s="376"/>
    </row>
    <row r="27737" spans="1:100">
      <c r="A27737" s="374"/>
      <c r="C27737" s="374"/>
      <c r="CV27737" s="376"/>
    </row>
    <row r="27738" spans="1:100">
      <c r="A27738" s="374"/>
      <c r="C27738" s="374"/>
      <c r="CV27738" s="376"/>
    </row>
    <row r="27739" spans="1:100">
      <c r="A27739" s="374"/>
      <c r="C27739" s="374"/>
      <c r="CV27739" s="376"/>
    </row>
    <row r="27740" spans="1:100">
      <c r="A27740" s="374"/>
      <c r="C27740" s="374"/>
      <c r="CV27740" s="376"/>
    </row>
    <row r="27741" spans="1:100">
      <c r="A27741" s="374"/>
      <c r="C27741" s="374"/>
      <c r="CV27741" s="376"/>
    </row>
    <row r="27742" spans="1:100">
      <c r="A27742" s="374"/>
      <c r="C27742" s="374"/>
      <c r="CV27742" s="376"/>
    </row>
    <row r="27743" spans="1:100">
      <c r="A27743" s="374"/>
      <c r="C27743" s="374"/>
      <c r="CV27743" s="376"/>
    </row>
    <row r="27744" spans="1:100">
      <c r="A27744" s="374"/>
      <c r="C27744" s="374"/>
      <c r="CV27744" s="376"/>
    </row>
    <row r="27745" spans="1:100">
      <c r="A27745" s="374"/>
      <c r="C27745" s="374"/>
      <c r="CV27745" s="376"/>
    </row>
    <row r="27746" spans="1:100">
      <c r="A27746" s="374"/>
      <c r="C27746" s="374"/>
      <c r="CV27746" s="376"/>
    </row>
    <row r="27747" spans="1:100">
      <c r="A27747" s="374"/>
      <c r="C27747" s="374"/>
      <c r="CV27747" s="376"/>
    </row>
    <row r="27748" spans="1:100">
      <c r="A27748" s="374"/>
      <c r="C27748" s="374"/>
      <c r="CV27748" s="376"/>
    </row>
    <row r="27749" spans="1:100">
      <c r="A27749" s="374"/>
      <c r="C27749" s="374"/>
      <c r="CV27749" s="376"/>
    </row>
    <row r="27750" spans="1:100">
      <c r="A27750" s="374"/>
      <c r="C27750" s="374"/>
      <c r="CV27750" s="376"/>
    </row>
    <row r="27751" spans="1:100">
      <c r="A27751" s="374"/>
      <c r="C27751" s="374"/>
      <c r="CV27751" s="376"/>
    </row>
    <row r="27752" spans="1:100">
      <c r="A27752" s="374"/>
      <c r="C27752" s="374"/>
      <c r="CV27752" s="376"/>
    </row>
    <row r="27753" spans="1:100">
      <c r="A27753" s="374"/>
      <c r="C27753" s="374"/>
      <c r="CV27753" s="376"/>
    </row>
    <row r="27754" spans="1:100">
      <c r="A27754" s="374"/>
      <c r="C27754" s="374"/>
      <c r="CV27754" s="376"/>
    </row>
    <row r="27755" spans="1:100">
      <c r="A27755" s="374"/>
      <c r="C27755" s="374"/>
      <c r="CV27755" s="376"/>
    </row>
    <row r="27756" spans="1:100">
      <c r="A27756" s="374"/>
      <c r="C27756" s="374"/>
      <c r="CV27756" s="376"/>
    </row>
    <row r="27757" spans="1:100">
      <c r="A27757" s="374"/>
      <c r="C27757" s="374"/>
      <c r="CV27757" s="376"/>
    </row>
    <row r="27758" spans="1:100">
      <c r="A27758" s="374"/>
      <c r="C27758" s="374"/>
      <c r="CV27758" s="376"/>
    </row>
    <row r="27759" spans="1:100">
      <c r="A27759" s="374"/>
      <c r="C27759" s="374"/>
      <c r="CV27759" s="376"/>
    </row>
    <row r="27760" spans="1:100">
      <c r="A27760" s="374"/>
      <c r="C27760" s="374"/>
      <c r="CV27760" s="376"/>
    </row>
    <row r="27761" spans="1:100">
      <c r="A27761" s="374"/>
      <c r="C27761" s="374"/>
      <c r="CV27761" s="376"/>
    </row>
    <row r="27762" spans="1:100">
      <c r="A27762" s="374"/>
      <c r="C27762" s="374"/>
      <c r="CV27762" s="376"/>
    </row>
    <row r="27763" spans="1:100">
      <c r="A27763" s="374"/>
      <c r="C27763" s="374"/>
      <c r="CV27763" s="376"/>
    </row>
    <row r="27764" spans="1:100">
      <c r="A27764" s="374"/>
      <c r="C27764" s="374"/>
      <c r="CV27764" s="376"/>
    </row>
    <row r="27765" spans="1:100">
      <c r="A27765" s="374"/>
      <c r="C27765" s="374"/>
      <c r="CV27765" s="376"/>
    </row>
    <row r="27766" spans="1:100">
      <c r="A27766" s="374"/>
      <c r="C27766" s="374"/>
      <c r="CV27766" s="376"/>
    </row>
    <row r="27767" spans="1:100">
      <c r="A27767" s="374"/>
      <c r="C27767" s="374"/>
      <c r="CV27767" s="376"/>
    </row>
    <row r="27768" spans="1:100">
      <c r="A27768" s="374"/>
      <c r="C27768" s="374"/>
      <c r="CV27768" s="376"/>
    </row>
    <row r="27769" spans="1:100">
      <c r="A27769" s="374"/>
      <c r="C27769" s="374"/>
      <c r="CV27769" s="376"/>
    </row>
    <row r="27770" spans="1:100">
      <c r="A27770" s="374"/>
      <c r="C27770" s="374"/>
      <c r="CV27770" s="376"/>
    </row>
    <row r="27771" spans="1:100">
      <c r="A27771" s="374"/>
      <c r="C27771" s="374"/>
      <c r="CV27771" s="376"/>
    </row>
    <row r="27772" spans="1:100">
      <c r="A27772" s="374"/>
      <c r="C27772" s="374"/>
      <c r="CV27772" s="376"/>
    </row>
    <row r="27773" spans="1:100">
      <c r="A27773" s="374"/>
      <c r="C27773" s="374"/>
      <c r="CV27773" s="376"/>
    </row>
    <row r="27774" spans="1:100">
      <c r="A27774" s="374"/>
      <c r="C27774" s="374"/>
      <c r="CV27774" s="376"/>
    </row>
    <row r="27775" spans="1:100">
      <c r="A27775" s="374"/>
      <c r="C27775" s="374"/>
      <c r="CV27775" s="376"/>
    </row>
    <row r="27776" spans="1:100">
      <c r="A27776" s="374"/>
      <c r="C27776" s="374"/>
      <c r="CV27776" s="376"/>
    </row>
    <row r="27777" spans="1:100">
      <c r="A27777" s="374"/>
      <c r="C27777" s="374"/>
      <c r="CV27777" s="376"/>
    </row>
    <row r="27778" spans="1:100">
      <c r="A27778" s="374"/>
      <c r="C27778" s="374"/>
      <c r="CV27778" s="376"/>
    </row>
    <row r="27779" spans="1:100">
      <c r="A27779" s="374"/>
      <c r="C27779" s="374"/>
      <c r="CV27779" s="376"/>
    </row>
    <row r="27780" spans="1:100">
      <c r="A27780" s="374"/>
      <c r="C27780" s="374"/>
      <c r="CV27780" s="376"/>
    </row>
    <row r="27781" spans="1:100">
      <c r="A27781" s="374"/>
      <c r="C27781" s="374"/>
      <c r="CV27781" s="376"/>
    </row>
    <row r="27782" spans="1:100">
      <c r="A27782" s="374"/>
      <c r="C27782" s="374"/>
      <c r="CV27782" s="376"/>
    </row>
    <row r="27783" spans="1:100">
      <c r="A27783" s="374"/>
      <c r="C27783" s="374"/>
      <c r="CV27783" s="376"/>
    </row>
    <row r="27784" spans="1:100">
      <c r="A27784" s="374"/>
      <c r="C27784" s="374"/>
      <c r="CV27784" s="376"/>
    </row>
    <row r="27785" spans="1:100">
      <c r="A27785" s="374"/>
      <c r="C27785" s="374"/>
      <c r="CV27785" s="376"/>
    </row>
    <row r="27786" spans="1:100">
      <c r="A27786" s="374"/>
      <c r="C27786" s="374"/>
      <c r="CV27786" s="376"/>
    </row>
    <row r="27787" spans="1:100">
      <c r="A27787" s="374"/>
      <c r="C27787" s="374"/>
      <c r="CV27787" s="376"/>
    </row>
    <row r="27788" spans="1:100">
      <c r="A27788" s="374"/>
      <c r="C27788" s="374"/>
      <c r="CV27788" s="376"/>
    </row>
    <row r="27789" spans="1:100">
      <c r="A27789" s="374"/>
      <c r="C27789" s="374"/>
      <c r="CV27789" s="376"/>
    </row>
    <row r="27790" spans="1:100">
      <c r="A27790" s="374"/>
      <c r="C27790" s="374"/>
      <c r="CV27790" s="376"/>
    </row>
    <row r="27791" spans="1:100">
      <c r="A27791" s="374"/>
      <c r="C27791" s="374"/>
      <c r="CV27791" s="376"/>
    </row>
    <row r="27792" spans="1:100">
      <c r="A27792" s="374"/>
      <c r="C27792" s="374"/>
      <c r="CV27792" s="376"/>
    </row>
    <row r="27793" spans="1:100">
      <c r="A27793" s="374"/>
      <c r="C27793" s="374"/>
      <c r="CV27793" s="376"/>
    </row>
    <row r="27794" spans="1:100">
      <c r="A27794" s="374"/>
      <c r="C27794" s="374"/>
      <c r="CV27794" s="376"/>
    </row>
    <row r="27795" spans="1:100">
      <c r="A27795" s="374"/>
      <c r="C27795" s="374"/>
      <c r="CV27795" s="376"/>
    </row>
    <row r="27796" spans="1:100">
      <c r="A27796" s="374"/>
      <c r="C27796" s="374"/>
      <c r="CV27796" s="376"/>
    </row>
    <row r="27797" spans="1:100">
      <c r="A27797" s="374"/>
      <c r="C27797" s="374"/>
      <c r="CV27797" s="376"/>
    </row>
    <row r="27798" spans="1:100">
      <c r="A27798" s="374"/>
      <c r="C27798" s="374"/>
      <c r="CV27798" s="376"/>
    </row>
    <row r="27799" spans="1:100">
      <c r="A27799" s="374"/>
      <c r="C27799" s="374"/>
      <c r="CV27799" s="376"/>
    </row>
    <row r="27800" spans="1:100">
      <c r="A27800" s="374"/>
      <c r="C27800" s="374"/>
      <c r="CV27800" s="376"/>
    </row>
    <row r="27801" spans="1:100">
      <c r="A27801" s="374"/>
      <c r="C27801" s="374"/>
      <c r="CV27801" s="376"/>
    </row>
    <row r="27802" spans="1:100">
      <c r="A27802" s="374"/>
      <c r="C27802" s="374"/>
      <c r="CV27802" s="376"/>
    </row>
    <row r="27803" spans="1:100">
      <c r="A27803" s="374"/>
      <c r="C27803" s="374"/>
      <c r="CV27803" s="376"/>
    </row>
    <row r="27804" spans="1:100">
      <c r="A27804" s="374"/>
      <c r="C27804" s="374"/>
      <c r="CV27804" s="376"/>
    </row>
    <row r="27805" spans="1:100">
      <c r="A27805" s="374"/>
      <c r="C27805" s="374"/>
      <c r="CV27805" s="376"/>
    </row>
    <row r="27806" spans="1:100">
      <c r="A27806" s="374"/>
      <c r="C27806" s="374"/>
      <c r="CV27806" s="376"/>
    </row>
    <row r="27807" spans="1:100">
      <c r="A27807" s="374"/>
      <c r="C27807" s="374"/>
      <c r="CV27807" s="376"/>
    </row>
    <row r="27808" spans="1:100">
      <c r="A27808" s="374"/>
      <c r="C27808" s="374"/>
      <c r="CV27808" s="376"/>
    </row>
    <row r="27809" spans="1:100">
      <c r="A27809" s="374"/>
      <c r="C27809" s="374"/>
      <c r="CV27809" s="376"/>
    </row>
    <row r="27810" spans="1:100">
      <c r="A27810" s="374"/>
      <c r="C27810" s="374"/>
      <c r="CV27810" s="376"/>
    </row>
    <row r="27811" spans="1:100">
      <c r="A27811" s="374"/>
      <c r="C27811" s="374"/>
      <c r="CV27811" s="376"/>
    </row>
    <row r="27812" spans="1:100">
      <c r="A27812" s="374"/>
      <c r="C27812" s="374"/>
      <c r="CV27812" s="376"/>
    </row>
    <row r="27813" spans="1:100">
      <c r="A27813" s="374"/>
      <c r="C27813" s="374"/>
      <c r="CV27813" s="376"/>
    </row>
    <row r="27814" spans="1:100">
      <c r="A27814" s="374"/>
      <c r="C27814" s="374"/>
      <c r="CV27814" s="376"/>
    </row>
    <row r="27815" spans="1:100">
      <c r="A27815" s="374"/>
      <c r="C27815" s="374"/>
      <c r="CV27815" s="376"/>
    </row>
    <row r="27816" spans="1:100">
      <c r="A27816" s="374"/>
      <c r="C27816" s="374"/>
      <c r="CV27816" s="376"/>
    </row>
    <row r="27817" spans="1:100">
      <c r="A27817" s="374"/>
      <c r="C27817" s="374"/>
      <c r="CV27817" s="376"/>
    </row>
    <row r="27818" spans="1:100">
      <c r="A27818" s="374"/>
      <c r="C27818" s="374"/>
      <c r="CV27818" s="376"/>
    </row>
    <row r="27819" spans="1:100">
      <c r="A27819" s="374"/>
      <c r="C27819" s="374"/>
      <c r="CV27819" s="376"/>
    </row>
    <row r="27820" spans="1:100">
      <c r="A27820" s="374"/>
      <c r="C27820" s="374"/>
      <c r="CV27820" s="376"/>
    </row>
    <row r="27821" spans="1:100">
      <c r="A27821" s="374"/>
      <c r="C27821" s="374"/>
      <c r="CV27821" s="376"/>
    </row>
    <row r="27822" spans="1:100">
      <c r="A27822" s="374"/>
      <c r="C27822" s="374"/>
      <c r="CV27822" s="376"/>
    </row>
    <row r="27823" spans="1:100">
      <c r="A27823" s="374"/>
      <c r="C27823" s="374"/>
      <c r="CV27823" s="376"/>
    </row>
    <row r="27824" spans="1:100">
      <c r="A27824" s="374"/>
      <c r="C27824" s="374"/>
      <c r="CV27824" s="376"/>
    </row>
    <row r="27825" spans="1:100">
      <c r="A27825" s="374"/>
      <c r="C27825" s="374"/>
      <c r="CV27825" s="376"/>
    </row>
    <row r="27826" spans="1:100">
      <c r="A27826" s="374"/>
      <c r="C27826" s="374"/>
      <c r="CV27826" s="376"/>
    </row>
    <row r="27827" spans="1:100">
      <c r="A27827" s="374"/>
      <c r="C27827" s="374"/>
      <c r="CV27827" s="376"/>
    </row>
    <row r="27828" spans="1:100">
      <c r="A27828" s="374"/>
      <c r="C27828" s="374"/>
      <c r="CV27828" s="376"/>
    </row>
    <row r="27829" spans="1:100">
      <c r="A27829" s="374"/>
      <c r="C27829" s="374"/>
      <c r="CV27829" s="376"/>
    </row>
    <row r="27830" spans="1:100">
      <c r="A27830" s="374"/>
      <c r="C27830" s="374"/>
      <c r="CV27830" s="376"/>
    </row>
    <row r="27831" spans="1:100">
      <c r="A27831" s="374"/>
      <c r="C27831" s="374"/>
      <c r="CV27831" s="376"/>
    </row>
    <row r="27832" spans="1:100">
      <c r="A27832" s="374"/>
      <c r="C27832" s="374"/>
      <c r="CV27832" s="376"/>
    </row>
    <row r="27833" spans="1:100">
      <c r="A27833" s="374"/>
      <c r="C27833" s="374"/>
      <c r="CV27833" s="376"/>
    </row>
    <row r="27834" spans="1:100">
      <c r="A27834" s="374"/>
      <c r="C27834" s="374"/>
      <c r="CV27834" s="376"/>
    </row>
    <row r="27835" spans="1:100">
      <c r="A27835" s="374"/>
      <c r="C27835" s="374"/>
      <c r="CV27835" s="376"/>
    </row>
    <row r="27836" spans="1:100">
      <c r="A27836" s="374"/>
      <c r="C27836" s="374"/>
      <c r="CV27836" s="376"/>
    </row>
    <row r="27837" spans="1:100">
      <c r="A27837" s="374"/>
      <c r="C27837" s="374"/>
      <c r="CV27837" s="376"/>
    </row>
    <row r="27838" spans="1:100">
      <c r="A27838" s="374"/>
      <c r="C27838" s="374"/>
      <c r="CV27838" s="376"/>
    </row>
    <row r="27839" spans="1:100">
      <c r="A27839" s="374"/>
      <c r="C27839" s="374"/>
      <c r="CV27839" s="376"/>
    </row>
    <row r="27840" spans="1:100">
      <c r="A27840" s="374"/>
      <c r="C27840" s="374"/>
      <c r="CV27840" s="376"/>
    </row>
    <row r="27841" spans="1:100">
      <c r="A27841" s="374"/>
      <c r="C27841" s="374"/>
      <c r="CV27841" s="376"/>
    </row>
    <row r="27842" spans="1:100">
      <c r="A27842" s="374"/>
      <c r="C27842" s="374"/>
      <c r="CV27842" s="376"/>
    </row>
    <row r="27843" spans="1:100">
      <c r="A27843" s="374"/>
      <c r="C27843" s="374"/>
      <c r="CV27843" s="376"/>
    </row>
    <row r="27844" spans="1:100">
      <c r="A27844" s="374"/>
      <c r="C27844" s="374"/>
      <c r="CV27844" s="376"/>
    </row>
    <row r="27845" spans="1:100">
      <c r="A27845" s="374"/>
      <c r="C27845" s="374"/>
      <c r="CV27845" s="376"/>
    </row>
    <row r="27846" spans="1:100">
      <c r="A27846" s="374"/>
      <c r="C27846" s="374"/>
      <c r="CV27846" s="376"/>
    </row>
    <row r="27847" spans="1:100">
      <c r="A27847" s="374"/>
      <c r="C27847" s="374"/>
      <c r="CV27847" s="376"/>
    </row>
    <row r="27848" spans="1:100">
      <c r="A27848" s="374"/>
      <c r="C27848" s="374"/>
      <c r="CV27848" s="376"/>
    </row>
    <row r="27849" spans="1:100">
      <c r="A27849" s="374"/>
      <c r="C27849" s="374"/>
      <c r="CV27849" s="376"/>
    </row>
    <row r="27850" spans="1:100">
      <c r="A27850" s="374"/>
      <c r="C27850" s="374"/>
      <c r="CV27850" s="376"/>
    </row>
    <row r="27851" spans="1:100">
      <c r="A27851" s="374"/>
      <c r="C27851" s="374"/>
      <c r="CV27851" s="376"/>
    </row>
    <row r="27852" spans="1:100">
      <c r="A27852" s="374"/>
      <c r="C27852" s="374"/>
      <c r="CV27852" s="376"/>
    </row>
    <row r="27853" spans="1:100">
      <c r="A27853" s="374"/>
      <c r="C27853" s="374"/>
      <c r="CV27853" s="376"/>
    </row>
    <row r="27854" spans="1:100">
      <c r="A27854" s="374"/>
      <c r="C27854" s="374"/>
      <c r="CV27854" s="376"/>
    </row>
    <row r="27855" spans="1:100">
      <c r="A27855" s="374"/>
      <c r="C27855" s="374"/>
      <c r="CV27855" s="376"/>
    </row>
    <row r="27856" spans="1:100">
      <c r="A27856" s="374"/>
      <c r="C27856" s="374"/>
      <c r="CV27856" s="376"/>
    </row>
    <row r="27857" spans="1:100">
      <c r="A27857" s="374"/>
      <c r="C27857" s="374"/>
      <c r="CV27857" s="376"/>
    </row>
    <row r="27858" spans="1:100">
      <c r="A27858" s="374"/>
      <c r="C27858" s="374"/>
      <c r="CV27858" s="376"/>
    </row>
    <row r="27859" spans="1:100">
      <c r="A27859" s="374"/>
      <c r="C27859" s="374"/>
      <c r="CV27859" s="376"/>
    </row>
    <row r="27860" spans="1:100">
      <c r="A27860" s="374"/>
      <c r="C27860" s="374"/>
      <c r="CV27860" s="376"/>
    </row>
    <row r="27861" spans="1:100">
      <c r="A27861" s="374"/>
      <c r="C27861" s="374"/>
      <c r="CV27861" s="376"/>
    </row>
    <row r="27862" spans="1:100">
      <c r="A27862" s="374"/>
      <c r="C27862" s="374"/>
      <c r="CV27862" s="376"/>
    </row>
    <row r="27863" spans="1:100">
      <c r="A27863" s="374"/>
      <c r="C27863" s="374"/>
      <c r="CV27863" s="376"/>
    </row>
    <row r="27864" spans="1:100">
      <c r="A27864" s="374"/>
      <c r="C27864" s="374"/>
      <c r="CV27864" s="376"/>
    </row>
    <row r="27865" spans="1:100">
      <c r="A27865" s="374"/>
      <c r="C27865" s="374"/>
      <c r="CV27865" s="376"/>
    </row>
    <row r="27866" spans="1:100">
      <c r="A27866" s="374"/>
      <c r="C27866" s="374"/>
      <c r="CV27866" s="376"/>
    </row>
    <row r="27867" spans="1:100">
      <c r="A27867" s="374"/>
      <c r="C27867" s="374"/>
      <c r="CV27867" s="376"/>
    </row>
    <row r="27868" spans="1:100">
      <c r="A27868" s="374"/>
      <c r="C27868" s="374"/>
      <c r="CV27868" s="376"/>
    </row>
    <row r="27869" spans="1:100">
      <c r="A27869" s="374"/>
      <c r="C27869" s="374"/>
      <c r="CV27869" s="376"/>
    </row>
    <row r="27870" spans="1:100">
      <c r="A27870" s="374"/>
      <c r="C27870" s="374"/>
      <c r="CV27870" s="376"/>
    </row>
    <row r="27871" spans="1:100">
      <c r="A27871" s="374"/>
      <c r="C27871" s="374"/>
      <c r="CV27871" s="376"/>
    </row>
    <row r="27872" spans="1:100">
      <c r="A27872" s="374"/>
      <c r="C27872" s="374"/>
      <c r="CV27872" s="376"/>
    </row>
    <row r="27873" spans="1:100">
      <c r="A27873" s="374"/>
      <c r="C27873" s="374"/>
      <c r="CV27873" s="376"/>
    </row>
    <row r="27874" spans="1:100">
      <c r="A27874" s="374"/>
      <c r="C27874" s="374"/>
      <c r="CV27874" s="376"/>
    </row>
    <row r="27875" spans="1:100">
      <c r="A27875" s="374"/>
      <c r="C27875" s="374"/>
      <c r="CV27875" s="376"/>
    </row>
    <row r="27876" spans="1:100">
      <c r="A27876" s="374"/>
      <c r="C27876" s="374"/>
      <c r="CV27876" s="376"/>
    </row>
    <row r="27877" spans="1:100">
      <c r="A27877" s="374"/>
      <c r="C27877" s="374"/>
      <c r="CV27877" s="376"/>
    </row>
    <row r="27878" spans="1:100">
      <c r="A27878" s="374"/>
      <c r="C27878" s="374"/>
      <c r="CV27878" s="376"/>
    </row>
    <row r="27879" spans="1:100">
      <c r="A27879" s="374"/>
      <c r="C27879" s="374"/>
      <c r="CV27879" s="376"/>
    </row>
    <row r="27880" spans="1:100">
      <c r="A27880" s="374"/>
      <c r="C27880" s="374"/>
      <c r="CV27880" s="376"/>
    </row>
    <row r="27881" spans="1:100">
      <c r="A27881" s="374"/>
      <c r="C27881" s="374"/>
      <c r="CV27881" s="376"/>
    </row>
    <row r="27882" spans="1:100">
      <c r="A27882" s="374"/>
      <c r="C27882" s="374"/>
      <c r="CV27882" s="376"/>
    </row>
    <row r="27883" spans="1:100">
      <c r="A27883" s="374"/>
      <c r="C27883" s="374"/>
      <c r="CV27883" s="376"/>
    </row>
    <row r="27884" spans="1:100">
      <c r="A27884" s="374"/>
      <c r="C27884" s="374"/>
      <c r="CV27884" s="376"/>
    </row>
    <row r="27885" spans="1:100">
      <c r="A27885" s="374"/>
      <c r="C27885" s="374"/>
      <c r="CV27885" s="376"/>
    </row>
    <row r="27886" spans="1:100">
      <c r="A27886" s="374"/>
      <c r="C27886" s="374"/>
      <c r="CV27886" s="376"/>
    </row>
    <row r="27887" spans="1:100">
      <c r="A27887" s="374"/>
      <c r="C27887" s="374"/>
      <c r="CV27887" s="376"/>
    </row>
    <row r="27888" spans="1:100">
      <c r="A27888" s="374"/>
      <c r="C27888" s="374"/>
      <c r="CV27888" s="376"/>
    </row>
    <row r="27889" spans="1:100">
      <c r="A27889" s="374"/>
      <c r="C27889" s="374"/>
      <c r="CV27889" s="376"/>
    </row>
    <row r="27890" spans="1:100">
      <c r="A27890" s="374"/>
      <c r="C27890" s="374"/>
      <c r="CV27890" s="376"/>
    </row>
    <row r="27891" spans="1:100">
      <c r="A27891" s="374"/>
      <c r="C27891" s="374"/>
      <c r="CV27891" s="376"/>
    </row>
    <row r="27892" spans="1:100">
      <c r="A27892" s="374"/>
      <c r="C27892" s="374"/>
      <c r="CV27892" s="376"/>
    </row>
    <row r="27893" spans="1:100">
      <c r="A27893" s="374"/>
      <c r="C27893" s="374"/>
      <c r="CV27893" s="376"/>
    </row>
    <row r="27894" spans="1:100">
      <c r="A27894" s="374"/>
      <c r="C27894" s="374"/>
      <c r="CV27894" s="376"/>
    </row>
    <row r="27895" spans="1:100">
      <c r="A27895" s="374"/>
      <c r="C27895" s="374"/>
      <c r="CV27895" s="376"/>
    </row>
    <row r="27896" spans="1:100">
      <c r="A27896" s="374"/>
      <c r="C27896" s="374"/>
      <c r="CV27896" s="376"/>
    </row>
    <row r="27897" spans="1:100">
      <c r="A27897" s="374"/>
      <c r="C27897" s="374"/>
      <c r="CV27897" s="376"/>
    </row>
    <row r="27898" spans="1:100">
      <c r="A27898" s="374"/>
      <c r="C27898" s="374"/>
      <c r="CV27898" s="376"/>
    </row>
    <row r="27899" spans="1:100">
      <c r="A27899" s="374"/>
      <c r="C27899" s="374"/>
      <c r="CV27899" s="376"/>
    </row>
    <row r="27900" spans="1:100">
      <c r="A27900" s="374"/>
      <c r="C27900" s="374"/>
      <c r="CV27900" s="376"/>
    </row>
    <row r="27901" spans="1:100">
      <c r="A27901" s="374"/>
      <c r="C27901" s="374"/>
      <c r="CV27901" s="376"/>
    </row>
    <row r="27902" spans="1:100">
      <c r="A27902" s="374"/>
      <c r="C27902" s="374"/>
      <c r="CV27902" s="376"/>
    </row>
    <row r="27903" spans="1:100">
      <c r="A27903" s="374"/>
      <c r="C27903" s="374"/>
      <c r="CV27903" s="376"/>
    </row>
    <row r="27904" spans="1:100">
      <c r="A27904" s="374"/>
      <c r="C27904" s="374"/>
      <c r="CV27904" s="376"/>
    </row>
    <row r="27905" spans="1:100">
      <c r="A27905" s="374"/>
      <c r="C27905" s="374"/>
      <c r="CV27905" s="376"/>
    </row>
    <row r="27906" spans="1:100">
      <c r="A27906" s="374"/>
      <c r="C27906" s="374"/>
      <c r="CV27906" s="376"/>
    </row>
    <row r="27907" spans="1:100">
      <c r="A27907" s="374"/>
      <c r="C27907" s="374"/>
      <c r="CV27907" s="376"/>
    </row>
    <row r="27908" spans="1:100">
      <c r="A27908" s="374"/>
      <c r="C27908" s="374"/>
      <c r="CV27908" s="376"/>
    </row>
    <row r="27909" spans="1:100">
      <c r="A27909" s="374"/>
      <c r="C27909" s="374"/>
      <c r="CV27909" s="376"/>
    </row>
    <row r="27910" spans="1:100">
      <c r="A27910" s="374"/>
      <c r="C27910" s="374"/>
      <c r="CV27910" s="376"/>
    </row>
    <row r="27911" spans="1:100">
      <c r="A27911" s="374"/>
      <c r="C27911" s="374"/>
      <c r="CV27911" s="376"/>
    </row>
    <row r="27912" spans="1:100">
      <c r="A27912" s="374"/>
      <c r="C27912" s="374"/>
      <c r="CV27912" s="376"/>
    </row>
    <row r="27913" spans="1:100">
      <c r="A27913" s="374"/>
      <c r="C27913" s="374"/>
      <c r="CV27913" s="376"/>
    </row>
    <row r="27914" spans="1:100">
      <c r="A27914" s="374"/>
      <c r="C27914" s="374"/>
      <c r="CV27914" s="376"/>
    </row>
    <row r="27915" spans="1:100">
      <c r="A27915" s="374"/>
      <c r="C27915" s="374"/>
      <c r="CV27915" s="376"/>
    </row>
    <row r="27916" spans="1:100">
      <c r="A27916" s="374"/>
      <c r="C27916" s="374"/>
      <c r="CV27916" s="376"/>
    </row>
    <row r="27917" spans="1:100">
      <c r="A27917" s="374"/>
      <c r="C27917" s="374"/>
      <c r="CV27917" s="376"/>
    </row>
    <row r="27918" spans="1:100">
      <c r="A27918" s="374"/>
      <c r="C27918" s="374"/>
      <c r="CV27918" s="376"/>
    </row>
    <row r="27919" spans="1:100">
      <c r="A27919" s="374"/>
      <c r="C27919" s="374"/>
      <c r="CV27919" s="376"/>
    </row>
    <row r="27920" spans="1:100">
      <c r="A27920" s="374"/>
      <c r="C27920" s="374"/>
      <c r="CV27920" s="376"/>
    </row>
    <row r="27921" spans="1:100">
      <c r="A27921" s="374"/>
      <c r="C27921" s="374"/>
      <c r="CV27921" s="376"/>
    </row>
    <row r="27922" spans="1:100">
      <c r="A27922" s="374"/>
      <c r="C27922" s="374"/>
      <c r="CV27922" s="376"/>
    </row>
    <row r="27923" spans="1:100">
      <c r="A27923" s="374"/>
      <c r="C27923" s="374"/>
      <c r="CV27923" s="376"/>
    </row>
    <row r="27924" spans="1:100">
      <c r="A27924" s="374"/>
      <c r="C27924" s="374"/>
      <c r="CV27924" s="376"/>
    </row>
    <row r="27925" spans="1:100">
      <c r="A27925" s="374"/>
      <c r="C27925" s="374"/>
      <c r="CV27925" s="376"/>
    </row>
    <row r="27926" spans="1:100">
      <c r="A27926" s="374"/>
      <c r="C27926" s="374"/>
      <c r="CV27926" s="376"/>
    </row>
    <row r="27927" spans="1:100">
      <c r="A27927" s="374"/>
      <c r="C27927" s="374"/>
      <c r="CV27927" s="376"/>
    </row>
    <row r="27928" spans="1:100">
      <c r="A27928" s="374"/>
      <c r="C27928" s="374"/>
      <c r="CV27928" s="376"/>
    </row>
    <row r="27929" spans="1:100">
      <c r="A27929" s="374"/>
      <c r="C27929" s="374"/>
      <c r="CV27929" s="376"/>
    </row>
    <row r="27930" spans="1:100">
      <c r="A27930" s="374"/>
      <c r="C27930" s="374"/>
      <c r="CV27930" s="376"/>
    </row>
    <row r="27931" spans="1:100">
      <c r="A27931" s="374"/>
      <c r="C27931" s="374"/>
      <c r="CV27931" s="376"/>
    </row>
    <row r="27932" spans="1:100">
      <c r="A27932" s="374"/>
      <c r="C27932" s="374"/>
      <c r="CV27932" s="376"/>
    </row>
    <row r="27933" spans="1:100">
      <c r="A27933" s="374"/>
      <c r="C27933" s="374"/>
      <c r="CV27933" s="376"/>
    </row>
    <row r="27934" spans="1:100">
      <c r="A27934" s="374"/>
      <c r="C27934" s="374"/>
      <c r="CV27934" s="376"/>
    </row>
    <row r="27935" spans="1:100">
      <c r="A27935" s="374"/>
      <c r="C27935" s="374"/>
      <c r="CV27935" s="376"/>
    </row>
    <row r="27936" spans="1:100">
      <c r="A27936" s="374"/>
      <c r="C27936" s="374"/>
      <c r="CV27936" s="376"/>
    </row>
    <row r="27937" spans="1:100">
      <c r="A27937" s="374"/>
      <c r="C27937" s="374"/>
      <c r="CV27937" s="376"/>
    </row>
    <row r="27938" spans="1:100">
      <c r="A27938" s="374"/>
      <c r="C27938" s="374"/>
      <c r="CV27938" s="376"/>
    </row>
    <row r="27939" spans="1:100">
      <c r="A27939" s="374"/>
      <c r="C27939" s="374"/>
      <c r="CV27939" s="376"/>
    </row>
    <row r="27940" spans="1:100">
      <c r="A27940" s="374"/>
      <c r="C27940" s="374"/>
      <c r="CV27940" s="376"/>
    </row>
    <row r="27941" spans="1:100">
      <c r="A27941" s="374"/>
      <c r="C27941" s="374"/>
      <c r="CV27941" s="376"/>
    </row>
    <row r="27942" spans="1:100">
      <c r="A27942" s="374"/>
      <c r="C27942" s="374"/>
      <c r="CV27942" s="376"/>
    </row>
    <row r="27943" spans="1:100">
      <c r="A27943" s="374"/>
      <c r="C27943" s="374"/>
      <c r="CV27943" s="376"/>
    </row>
    <row r="27944" spans="1:100">
      <c r="A27944" s="374"/>
      <c r="C27944" s="374"/>
      <c r="CV27944" s="376"/>
    </row>
    <row r="27945" spans="1:100">
      <c r="A27945" s="374"/>
      <c r="C27945" s="374"/>
      <c r="CV27945" s="376"/>
    </row>
    <row r="27946" spans="1:100">
      <c r="A27946" s="374"/>
      <c r="C27946" s="374"/>
      <c r="CV27946" s="376"/>
    </row>
    <row r="27947" spans="1:100">
      <c r="A27947" s="374"/>
      <c r="C27947" s="374"/>
      <c r="CV27947" s="376"/>
    </row>
    <row r="27948" spans="1:100">
      <c r="A27948" s="374"/>
      <c r="C27948" s="374"/>
      <c r="CV27948" s="376"/>
    </row>
    <row r="27949" spans="1:100">
      <c r="A27949" s="374"/>
      <c r="C27949" s="374"/>
      <c r="CV27949" s="376"/>
    </row>
    <row r="27950" spans="1:100">
      <c r="A27950" s="374"/>
      <c r="C27950" s="374"/>
      <c r="CV27950" s="376"/>
    </row>
    <row r="27951" spans="1:100">
      <c r="A27951" s="374"/>
      <c r="C27951" s="374"/>
      <c r="CV27951" s="376"/>
    </row>
    <row r="27952" spans="1:100">
      <c r="A27952" s="374"/>
      <c r="C27952" s="374"/>
      <c r="CV27952" s="376"/>
    </row>
    <row r="27953" spans="1:100">
      <c r="A27953" s="374"/>
      <c r="C27953" s="374"/>
      <c r="CV27953" s="376"/>
    </row>
    <row r="27954" spans="1:100">
      <c r="A27954" s="374"/>
      <c r="C27954" s="374"/>
      <c r="CV27954" s="376"/>
    </row>
    <row r="27955" spans="1:100">
      <c r="A27955" s="374"/>
      <c r="C27955" s="374"/>
      <c r="CV27955" s="376"/>
    </row>
    <row r="27956" spans="1:100">
      <c r="A27956" s="374"/>
      <c r="C27956" s="374"/>
      <c r="CV27956" s="376"/>
    </row>
    <row r="27957" spans="1:100">
      <c r="A27957" s="374"/>
      <c r="C27957" s="374"/>
      <c r="CV27957" s="376"/>
    </row>
    <row r="27958" spans="1:100">
      <c r="A27958" s="374"/>
      <c r="C27958" s="374"/>
      <c r="CV27958" s="376"/>
    </row>
    <row r="27959" spans="1:100">
      <c r="A27959" s="374"/>
      <c r="C27959" s="374"/>
      <c r="CV27959" s="376"/>
    </row>
    <row r="27960" spans="1:100">
      <c r="A27960" s="374"/>
      <c r="C27960" s="374"/>
      <c r="CV27960" s="376"/>
    </row>
    <row r="27961" spans="1:100">
      <c r="A27961" s="374"/>
      <c r="C27961" s="374"/>
      <c r="CV27961" s="376"/>
    </row>
    <row r="27962" spans="1:100">
      <c r="A27962" s="374"/>
      <c r="C27962" s="374"/>
      <c r="CV27962" s="376"/>
    </row>
    <row r="27963" spans="1:100">
      <c r="A27963" s="374"/>
      <c r="C27963" s="374"/>
      <c r="CV27963" s="376"/>
    </row>
    <row r="27964" spans="1:100">
      <c r="A27964" s="374"/>
      <c r="C27964" s="374"/>
      <c r="CV27964" s="376"/>
    </row>
    <row r="27965" spans="1:100">
      <c r="A27965" s="374"/>
      <c r="C27965" s="374"/>
      <c r="CV27965" s="376"/>
    </row>
    <row r="27966" spans="1:100">
      <c r="A27966" s="374"/>
      <c r="C27966" s="374"/>
      <c r="CV27966" s="376"/>
    </row>
    <row r="27967" spans="1:100">
      <c r="A27967" s="374"/>
      <c r="C27967" s="374"/>
      <c r="CV27967" s="376"/>
    </row>
    <row r="27968" spans="1:100">
      <c r="A27968" s="374"/>
      <c r="C27968" s="374"/>
      <c r="CV27968" s="376"/>
    </row>
    <row r="27969" spans="1:100">
      <c r="A27969" s="374"/>
      <c r="C27969" s="374"/>
      <c r="CV27969" s="376"/>
    </row>
    <row r="27970" spans="1:100">
      <c r="A27970" s="374"/>
      <c r="C27970" s="374"/>
      <c r="CV27970" s="376"/>
    </row>
    <row r="27971" spans="1:100">
      <c r="A27971" s="374"/>
      <c r="C27971" s="374"/>
      <c r="CV27971" s="376"/>
    </row>
    <row r="27972" spans="1:100">
      <c r="A27972" s="374"/>
      <c r="C27972" s="374"/>
      <c r="CV27972" s="376"/>
    </row>
    <row r="27973" spans="1:100">
      <c r="A27973" s="374"/>
      <c r="C27973" s="374"/>
      <c r="CV27973" s="376"/>
    </row>
    <row r="27974" spans="1:100">
      <c r="A27974" s="374"/>
      <c r="C27974" s="374"/>
      <c r="CV27974" s="376"/>
    </row>
    <row r="27975" spans="1:100">
      <c r="A27975" s="374"/>
      <c r="C27975" s="374"/>
      <c r="CV27975" s="376"/>
    </row>
    <row r="27976" spans="1:100">
      <c r="A27976" s="374"/>
      <c r="C27976" s="374"/>
      <c r="CV27976" s="376"/>
    </row>
    <row r="27977" spans="1:100">
      <c r="A27977" s="374"/>
      <c r="C27977" s="374"/>
      <c r="CV27977" s="376"/>
    </row>
    <row r="27978" spans="1:100">
      <c r="A27978" s="374"/>
      <c r="C27978" s="374"/>
      <c r="CV27978" s="376"/>
    </row>
    <row r="27979" spans="1:100">
      <c r="A27979" s="374"/>
      <c r="C27979" s="374"/>
      <c r="CV27979" s="376"/>
    </row>
    <row r="27980" spans="1:100">
      <c r="A27980" s="374"/>
      <c r="C27980" s="374"/>
      <c r="CV27980" s="376"/>
    </row>
    <row r="27981" spans="1:100">
      <c r="A27981" s="374"/>
      <c r="C27981" s="374"/>
      <c r="CV27981" s="376"/>
    </row>
    <row r="27982" spans="1:100">
      <c r="A27982" s="374"/>
      <c r="C27982" s="374"/>
      <c r="CV27982" s="376"/>
    </row>
    <row r="27983" spans="1:100">
      <c r="A27983" s="374"/>
      <c r="C27983" s="374"/>
      <c r="CV27983" s="376"/>
    </row>
    <row r="27984" spans="1:100">
      <c r="A27984" s="374"/>
      <c r="C27984" s="374"/>
      <c r="CV27984" s="376"/>
    </row>
    <row r="27985" spans="1:100">
      <c r="A27985" s="374"/>
      <c r="C27985" s="374"/>
      <c r="CV27985" s="376"/>
    </row>
    <row r="27986" spans="1:100">
      <c r="A27986" s="374"/>
      <c r="C27986" s="374"/>
      <c r="CV27986" s="376"/>
    </row>
    <row r="27987" spans="1:100">
      <c r="A27987" s="374"/>
      <c r="C27987" s="374"/>
      <c r="CV27987" s="376"/>
    </row>
    <row r="27988" spans="1:100">
      <c r="A27988" s="374"/>
      <c r="C27988" s="374"/>
      <c r="CV27988" s="376"/>
    </row>
    <row r="27989" spans="1:100">
      <c r="A27989" s="374"/>
      <c r="C27989" s="374"/>
      <c r="CV27989" s="376"/>
    </row>
    <row r="27990" spans="1:100">
      <c r="A27990" s="374"/>
      <c r="C27990" s="374"/>
      <c r="CV27990" s="376"/>
    </row>
    <row r="27991" spans="1:100">
      <c r="A27991" s="374"/>
      <c r="C27991" s="374"/>
      <c r="CV27991" s="376"/>
    </row>
    <row r="27992" spans="1:100">
      <c r="A27992" s="374"/>
      <c r="C27992" s="374"/>
      <c r="CV27992" s="376"/>
    </row>
    <row r="27993" spans="1:100">
      <c r="A27993" s="374"/>
      <c r="C27993" s="374"/>
      <c r="CV27993" s="376"/>
    </row>
    <row r="27994" spans="1:100">
      <c r="A27994" s="374"/>
      <c r="C27994" s="374"/>
      <c r="CV27994" s="376"/>
    </row>
    <row r="27995" spans="1:100">
      <c r="A27995" s="374"/>
      <c r="C27995" s="374"/>
      <c r="CV27995" s="376"/>
    </row>
    <row r="27996" spans="1:100">
      <c r="A27996" s="374"/>
      <c r="C27996" s="374"/>
      <c r="CV27996" s="376"/>
    </row>
    <row r="27997" spans="1:100">
      <c r="A27997" s="374"/>
      <c r="C27997" s="374"/>
      <c r="CV27997" s="376"/>
    </row>
    <row r="27998" spans="1:100">
      <c r="A27998" s="374"/>
      <c r="C27998" s="374"/>
      <c r="CV27998" s="376"/>
    </row>
    <row r="27999" spans="1:100">
      <c r="A27999" s="374"/>
      <c r="C27999" s="374"/>
      <c r="CV27999" s="376"/>
    </row>
    <row r="28000" spans="1:100">
      <c r="A28000" s="374"/>
      <c r="C28000" s="374"/>
      <c r="CV28000" s="376"/>
    </row>
    <row r="28001" spans="1:100">
      <c r="A28001" s="374"/>
      <c r="C28001" s="374"/>
      <c r="CV28001" s="376"/>
    </row>
    <row r="28002" spans="1:100">
      <c r="A28002" s="374"/>
      <c r="C28002" s="374"/>
      <c r="CV28002" s="376"/>
    </row>
    <row r="28003" spans="1:100">
      <c r="A28003" s="374"/>
      <c r="C28003" s="374"/>
      <c r="CV28003" s="376"/>
    </row>
    <row r="28004" spans="1:100">
      <c r="A28004" s="374"/>
      <c r="C28004" s="374"/>
      <c r="CV28004" s="376"/>
    </row>
    <row r="28005" spans="1:100">
      <c r="A28005" s="374"/>
      <c r="C28005" s="374"/>
      <c r="CV28005" s="376"/>
    </row>
    <row r="28006" spans="1:100">
      <c r="A28006" s="374"/>
      <c r="C28006" s="374"/>
      <c r="CV28006" s="376"/>
    </row>
    <row r="28007" spans="1:100">
      <c r="A28007" s="374"/>
      <c r="C28007" s="374"/>
      <c r="CV28007" s="376"/>
    </row>
    <row r="28008" spans="1:100">
      <c r="A28008" s="374"/>
      <c r="C28008" s="374"/>
      <c r="CV28008" s="376"/>
    </row>
    <row r="28009" spans="1:100">
      <c r="A28009" s="374"/>
      <c r="C28009" s="374"/>
      <c r="CV28009" s="376"/>
    </row>
    <row r="28010" spans="1:100">
      <c r="A28010" s="374"/>
      <c r="C28010" s="374"/>
      <c r="CV28010" s="376"/>
    </row>
    <row r="28011" spans="1:100">
      <c r="A28011" s="374"/>
      <c r="C28011" s="374"/>
      <c r="CV28011" s="376"/>
    </row>
    <row r="28012" spans="1:100">
      <c r="A28012" s="374"/>
      <c r="C28012" s="374"/>
      <c r="CV28012" s="376"/>
    </row>
    <row r="28013" spans="1:100">
      <c r="A28013" s="374"/>
      <c r="C28013" s="374"/>
      <c r="CV28013" s="376"/>
    </row>
    <row r="28014" spans="1:100">
      <c r="A28014" s="374"/>
      <c r="C28014" s="374"/>
      <c r="CV28014" s="376"/>
    </row>
    <row r="28015" spans="1:100">
      <c r="A28015" s="374"/>
      <c r="C28015" s="374"/>
      <c r="CV28015" s="376"/>
    </row>
    <row r="28016" spans="1:100">
      <c r="A28016" s="374"/>
      <c r="C28016" s="374"/>
      <c r="CV28016" s="376"/>
    </row>
    <row r="28017" spans="1:100">
      <c r="A28017" s="374"/>
      <c r="C28017" s="374"/>
      <c r="CV28017" s="376"/>
    </row>
    <row r="28018" spans="1:100">
      <c r="A28018" s="374"/>
      <c r="C28018" s="374"/>
      <c r="CV28018" s="376"/>
    </row>
    <row r="28019" spans="1:100">
      <c r="A28019" s="374"/>
      <c r="C28019" s="374"/>
      <c r="CV28019" s="376"/>
    </row>
    <row r="28020" spans="1:100">
      <c r="A28020" s="374"/>
      <c r="C28020" s="374"/>
      <c r="CV28020" s="376"/>
    </row>
    <row r="28021" spans="1:100">
      <c r="A28021" s="374"/>
      <c r="C28021" s="374"/>
      <c r="CV28021" s="376"/>
    </row>
    <row r="28022" spans="1:100">
      <c r="A28022" s="374"/>
      <c r="C28022" s="374"/>
      <c r="CV28022" s="376"/>
    </row>
    <row r="28023" spans="1:100">
      <c r="A28023" s="374"/>
      <c r="C28023" s="374"/>
      <c r="CV28023" s="376"/>
    </row>
    <row r="28024" spans="1:100">
      <c r="A28024" s="374"/>
      <c r="C28024" s="374"/>
      <c r="CV28024" s="376"/>
    </row>
    <row r="28025" spans="1:100">
      <c r="A28025" s="374"/>
      <c r="C28025" s="374"/>
      <c r="CV28025" s="376"/>
    </row>
    <row r="28026" spans="1:100">
      <c r="A28026" s="374"/>
      <c r="C28026" s="374"/>
      <c r="CV28026" s="376"/>
    </row>
    <row r="28027" spans="1:100">
      <c r="A28027" s="374"/>
      <c r="C28027" s="374"/>
      <c r="CV28027" s="376"/>
    </row>
    <row r="28028" spans="1:100">
      <c r="A28028" s="374"/>
      <c r="C28028" s="374"/>
      <c r="CV28028" s="376"/>
    </row>
    <row r="28029" spans="1:100">
      <c r="A28029" s="374"/>
      <c r="C28029" s="374"/>
      <c r="CV28029" s="376"/>
    </row>
    <row r="28030" spans="1:100">
      <c r="A28030" s="374"/>
      <c r="C28030" s="374"/>
      <c r="CV28030" s="376"/>
    </row>
    <row r="28031" spans="1:100">
      <c r="A28031" s="374"/>
      <c r="C28031" s="374"/>
      <c r="CV28031" s="376"/>
    </row>
    <row r="28032" spans="1:100">
      <c r="A28032" s="374"/>
      <c r="C28032" s="374"/>
      <c r="CV28032" s="376"/>
    </row>
    <row r="28033" spans="1:100">
      <c r="A28033" s="374"/>
      <c r="C28033" s="374"/>
      <c r="CV28033" s="376"/>
    </row>
    <row r="28034" spans="1:100">
      <c r="A28034" s="374"/>
      <c r="C28034" s="374"/>
      <c r="CV28034" s="376"/>
    </row>
    <row r="28035" spans="1:100">
      <c r="A28035" s="374"/>
      <c r="C28035" s="374"/>
      <c r="CV28035" s="376"/>
    </row>
    <row r="28036" spans="1:100">
      <c r="A28036" s="374"/>
      <c r="C28036" s="374"/>
      <c r="CV28036" s="376"/>
    </row>
    <row r="28037" spans="1:100">
      <c r="A28037" s="374"/>
      <c r="C28037" s="374"/>
      <c r="CV28037" s="376"/>
    </row>
    <row r="28038" spans="1:100">
      <c r="A28038" s="374"/>
      <c r="C28038" s="374"/>
      <c r="CV28038" s="376"/>
    </row>
    <row r="28039" spans="1:100">
      <c r="A28039" s="374"/>
      <c r="C28039" s="374"/>
      <c r="CV28039" s="376"/>
    </row>
    <row r="28040" spans="1:100">
      <c r="A28040" s="374"/>
      <c r="C28040" s="374"/>
      <c r="CV28040" s="376"/>
    </row>
    <row r="28041" spans="1:100">
      <c r="A28041" s="374"/>
      <c r="C28041" s="374"/>
      <c r="CV28041" s="376"/>
    </row>
    <row r="28042" spans="1:100">
      <c r="A28042" s="374"/>
      <c r="C28042" s="374"/>
      <c r="CV28042" s="376"/>
    </row>
    <row r="28043" spans="1:100">
      <c r="A28043" s="374"/>
      <c r="C28043" s="374"/>
      <c r="CV28043" s="376"/>
    </row>
    <row r="28044" spans="1:100">
      <c r="A28044" s="374"/>
      <c r="C28044" s="374"/>
      <c r="CV28044" s="376"/>
    </row>
    <row r="28045" spans="1:100">
      <c r="A28045" s="374"/>
      <c r="C28045" s="374"/>
      <c r="CV28045" s="376"/>
    </row>
    <row r="28046" spans="1:100">
      <c r="A28046" s="374"/>
      <c r="C28046" s="374"/>
      <c r="CV28046" s="376"/>
    </row>
    <row r="28047" spans="1:100">
      <c r="A28047" s="374"/>
      <c r="C28047" s="374"/>
      <c r="CV28047" s="376"/>
    </row>
    <row r="28048" spans="1:100">
      <c r="A28048" s="374"/>
      <c r="C28048" s="374"/>
      <c r="CV28048" s="376"/>
    </row>
    <row r="28049" spans="1:100">
      <c r="A28049" s="374"/>
      <c r="C28049" s="374"/>
      <c r="CV28049" s="376"/>
    </row>
    <row r="28050" spans="1:100">
      <c r="A28050" s="374"/>
      <c r="C28050" s="374"/>
      <c r="CV28050" s="376"/>
    </row>
    <row r="28051" spans="1:100">
      <c r="A28051" s="374"/>
      <c r="C28051" s="374"/>
      <c r="CV28051" s="376"/>
    </row>
    <row r="28052" spans="1:100">
      <c r="A28052" s="374"/>
      <c r="C28052" s="374"/>
      <c r="CV28052" s="376"/>
    </row>
    <row r="28053" spans="1:100">
      <c r="A28053" s="374"/>
      <c r="C28053" s="374"/>
      <c r="CV28053" s="376"/>
    </row>
    <row r="28054" spans="1:100">
      <c r="A28054" s="374"/>
      <c r="C28054" s="374"/>
      <c r="CV28054" s="376"/>
    </row>
    <row r="28055" spans="1:100">
      <c r="A28055" s="374"/>
      <c r="C28055" s="374"/>
      <c r="CV28055" s="376"/>
    </row>
    <row r="28056" spans="1:100">
      <c r="A28056" s="374"/>
      <c r="C28056" s="374"/>
      <c r="CV28056" s="376"/>
    </row>
    <row r="28057" spans="1:100">
      <c r="A28057" s="374"/>
      <c r="C28057" s="374"/>
      <c r="CV28057" s="376"/>
    </row>
    <row r="28058" spans="1:100">
      <c r="A28058" s="374"/>
      <c r="C28058" s="374"/>
      <c r="CV28058" s="376"/>
    </row>
    <row r="28059" spans="1:100">
      <c r="A28059" s="374"/>
      <c r="C28059" s="374"/>
      <c r="CV28059" s="376"/>
    </row>
    <row r="28060" spans="1:100">
      <c r="A28060" s="374"/>
      <c r="C28060" s="374"/>
      <c r="CV28060" s="376"/>
    </row>
    <row r="28061" spans="1:100">
      <c r="A28061" s="374"/>
      <c r="C28061" s="374"/>
      <c r="CV28061" s="376"/>
    </row>
    <row r="28062" spans="1:100">
      <c r="A28062" s="374"/>
      <c r="C28062" s="374"/>
      <c r="CV28062" s="376"/>
    </row>
    <row r="28063" spans="1:100">
      <c r="A28063" s="374"/>
      <c r="C28063" s="374"/>
      <c r="CV28063" s="376"/>
    </row>
    <row r="28064" spans="1:100">
      <c r="A28064" s="374"/>
      <c r="C28064" s="374"/>
      <c r="CV28064" s="376"/>
    </row>
    <row r="28065" spans="1:100">
      <c r="A28065" s="374"/>
      <c r="C28065" s="374"/>
      <c r="CV28065" s="376"/>
    </row>
    <row r="28066" spans="1:100">
      <c r="A28066" s="374"/>
      <c r="C28066" s="374"/>
      <c r="CV28066" s="376"/>
    </row>
    <row r="28067" spans="1:100">
      <c r="A28067" s="374"/>
      <c r="C28067" s="374"/>
      <c r="CV28067" s="376"/>
    </row>
    <row r="28068" spans="1:100">
      <c r="A28068" s="374"/>
      <c r="C28068" s="374"/>
      <c r="CV28068" s="376"/>
    </row>
    <row r="28069" spans="1:100">
      <c r="A28069" s="374"/>
      <c r="C28069" s="374"/>
      <c r="CV28069" s="376"/>
    </row>
    <row r="28070" spans="1:100">
      <c r="A28070" s="374"/>
      <c r="C28070" s="374"/>
      <c r="CV28070" s="376"/>
    </row>
    <row r="28071" spans="1:100">
      <c r="A28071" s="374"/>
      <c r="C28071" s="374"/>
      <c r="CV28071" s="376"/>
    </row>
    <row r="28072" spans="1:100">
      <c r="A28072" s="374"/>
      <c r="C28072" s="374"/>
      <c r="CV28072" s="376"/>
    </row>
    <row r="28073" spans="1:100">
      <c r="A28073" s="374"/>
      <c r="C28073" s="374"/>
      <c r="CV28073" s="376"/>
    </row>
    <row r="28074" spans="1:100">
      <c r="A28074" s="374"/>
      <c r="C28074" s="374"/>
      <c r="CV28074" s="376"/>
    </row>
    <row r="28075" spans="1:100">
      <c r="A28075" s="374"/>
      <c r="C28075" s="374"/>
      <c r="CV28075" s="376"/>
    </row>
    <row r="28076" spans="1:100">
      <c r="A28076" s="374"/>
      <c r="C28076" s="374"/>
      <c r="CV28076" s="376"/>
    </row>
    <row r="28077" spans="1:100">
      <c r="A28077" s="374"/>
      <c r="C28077" s="374"/>
      <c r="CV28077" s="376"/>
    </row>
    <row r="28078" spans="1:100">
      <c r="A28078" s="374"/>
      <c r="C28078" s="374"/>
      <c r="CV28078" s="376"/>
    </row>
    <row r="28079" spans="1:100">
      <c r="A28079" s="374"/>
      <c r="C28079" s="374"/>
      <c r="CV28079" s="376"/>
    </row>
    <row r="28080" spans="1:100">
      <c r="A28080" s="374"/>
      <c r="C28080" s="374"/>
      <c r="CV28080" s="376"/>
    </row>
    <row r="28081" spans="1:100">
      <c r="A28081" s="374"/>
      <c r="C28081" s="374"/>
      <c r="CV28081" s="376"/>
    </row>
    <row r="28082" spans="1:100">
      <c r="A28082" s="374"/>
      <c r="C28082" s="374"/>
      <c r="CV28082" s="376"/>
    </row>
    <row r="28083" spans="1:100">
      <c r="A28083" s="374"/>
      <c r="C28083" s="374"/>
      <c r="CV28083" s="376"/>
    </row>
    <row r="28084" spans="1:100">
      <c r="A28084" s="374"/>
      <c r="C28084" s="374"/>
      <c r="CV28084" s="376"/>
    </row>
    <row r="28085" spans="1:100">
      <c r="A28085" s="374"/>
      <c r="C28085" s="374"/>
      <c r="CV28085" s="376"/>
    </row>
    <row r="28086" spans="1:100">
      <c r="A28086" s="374"/>
      <c r="C28086" s="374"/>
      <c r="CV28086" s="376"/>
    </row>
    <row r="28087" spans="1:100">
      <c r="A28087" s="374"/>
      <c r="C28087" s="374"/>
      <c r="CV28087" s="376"/>
    </row>
    <row r="28088" spans="1:100">
      <c r="A28088" s="374"/>
      <c r="C28088" s="374"/>
      <c r="CV28088" s="376"/>
    </row>
    <row r="28089" spans="1:100">
      <c r="A28089" s="374"/>
      <c r="C28089" s="374"/>
      <c r="CV28089" s="376"/>
    </row>
    <row r="28090" spans="1:100">
      <c r="A28090" s="374"/>
      <c r="C28090" s="374"/>
      <c r="CV28090" s="376"/>
    </row>
    <row r="28091" spans="1:100">
      <c r="A28091" s="374"/>
      <c r="C28091" s="374"/>
      <c r="CV28091" s="376"/>
    </row>
    <row r="28092" spans="1:100">
      <c r="A28092" s="374"/>
      <c r="C28092" s="374"/>
      <c r="CV28092" s="376"/>
    </row>
    <row r="28093" spans="1:100">
      <c r="A28093" s="374"/>
      <c r="C28093" s="374"/>
      <c r="CV28093" s="376"/>
    </row>
    <row r="28094" spans="1:100">
      <c r="A28094" s="374"/>
      <c r="C28094" s="374"/>
      <c r="CV28094" s="376"/>
    </row>
    <row r="28095" spans="1:100">
      <c r="A28095" s="374"/>
      <c r="C28095" s="374"/>
      <c r="CV28095" s="376"/>
    </row>
    <row r="28096" spans="1:100">
      <c r="A28096" s="374"/>
      <c r="C28096" s="374"/>
      <c r="CV28096" s="376"/>
    </row>
    <row r="28097" spans="1:100">
      <c r="A28097" s="374"/>
      <c r="C28097" s="374"/>
      <c r="CV28097" s="376"/>
    </row>
    <row r="28098" spans="1:100">
      <c r="A28098" s="374"/>
      <c r="C28098" s="374"/>
      <c r="CV28098" s="376"/>
    </row>
    <row r="28099" spans="1:100">
      <c r="A28099" s="374"/>
      <c r="C28099" s="374"/>
      <c r="CV28099" s="376"/>
    </row>
    <row r="28100" spans="1:100">
      <c r="A28100" s="374"/>
      <c r="C28100" s="374"/>
      <c r="CV28100" s="376"/>
    </row>
    <row r="28101" spans="1:100">
      <c r="A28101" s="374"/>
      <c r="C28101" s="374"/>
      <c r="CV28101" s="376"/>
    </row>
    <row r="28102" spans="1:100">
      <c r="A28102" s="374"/>
      <c r="C28102" s="374"/>
      <c r="CV28102" s="376"/>
    </row>
    <row r="28103" spans="1:100">
      <c r="A28103" s="374"/>
      <c r="C28103" s="374"/>
      <c r="CV28103" s="376"/>
    </row>
    <row r="28104" spans="1:100">
      <c r="A28104" s="374"/>
      <c r="C28104" s="374"/>
      <c r="CV28104" s="376"/>
    </row>
    <row r="28105" spans="1:100">
      <c r="A28105" s="374"/>
      <c r="C28105" s="374"/>
      <c r="CV28105" s="376"/>
    </row>
    <row r="28106" spans="1:100">
      <c r="A28106" s="374"/>
      <c r="C28106" s="374"/>
      <c r="CV28106" s="376"/>
    </row>
    <row r="28107" spans="1:100">
      <c r="A28107" s="374"/>
      <c r="C28107" s="374"/>
      <c r="CV28107" s="376"/>
    </row>
    <row r="28108" spans="1:100">
      <c r="A28108" s="374"/>
      <c r="C28108" s="374"/>
      <c r="CV28108" s="376"/>
    </row>
    <row r="28109" spans="1:100">
      <c r="A28109" s="374"/>
      <c r="C28109" s="374"/>
      <c r="CV28109" s="376"/>
    </row>
    <row r="28110" spans="1:100">
      <c r="A28110" s="374"/>
      <c r="C28110" s="374"/>
      <c r="CV28110" s="376"/>
    </row>
    <row r="28111" spans="1:100">
      <c r="A28111" s="374"/>
      <c r="C28111" s="374"/>
      <c r="CV28111" s="376"/>
    </row>
    <row r="28112" spans="1:100">
      <c r="A28112" s="374"/>
      <c r="C28112" s="374"/>
      <c r="CV28112" s="376"/>
    </row>
    <row r="28113" spans="1:100">
      <c r="A28113" s="374"/>
      <c r="C28113" s="374"/>
      <c r="CV28113" s="376"/>
    </row>
    <row r="28114" spans="1:100">
      <c r="A28114" s="374"/>
      <c r="C28114" s="374"/>
      <c r="CV28114" s="376"/>
    </row>
    <row r="28115" spans="1:100">
      <c r="A28115" s="374"/>
      <c r="C28115" s="374"/>
      <c r="CV28115" s="376"/>
    </row>
    <row r="28116" spans="1:100">
      <c r="A28116" s="374"/>
      <c r="C28116" s="374"/>
      <c r="CV28116" s="376"/>
    </row>
    <row r="28117" spans="1:100">
      <c r="A28117" s="374"/>
      <c r="C28117" s="374"/>
      <c r="CV28117" s="376"/>
    </row>
    <row r="28118" spans="1:100">
      <c r="A28118" s="374"/>
      <c r="C28118" s="374"/>
      <c r="CV28118" s="376"/>
    </row>
    <row r="28119" spans="1:100">
      <c r="A28119" s="374"/>
      <c r="C28119" s="374"/>
      <c r="CV28119" s="376"/>
    </row>
    <row r="28120" spans="1:100">
      <c r="A28120" s="374"/>
      <c r="C28120" s="374"/>
      <c r="CV28120" s="376"/>
    </row>
    <row r="28121" spans="1:100">
      <c r="A28121" s="374"/>
      <c r="C28121" s="374"/>
      <c r="CV28121" s="376"/>
    </row>
    <row r="28122" spans="1:100">
      <c r="A28122" s="374"/>
      <c r="C28122" s="374"/>
      <c r="CV28122" s="376"/>
    </row>
    <row r="28123" spans="1:100">
      <c r="A28123" s="374"/>
      <c r="C28123" s="374"/>
      <c r="CV28123" s="376"/>
    </row>
    <row r="28124" spans="1:100">
      <c r="A28124" s="374"/>
      <c r="C28124" s="374"/>
      <c r="CV28124" s="376"/>
    </row>
    <row r="28125" spans="1:100">
      <c r="A28125" s="374"/>
      <c r="C28125" s="374"/>
      <c r="CV28125" s="376"/>
    </row>
    <row r="28126" spans="1:100">
      <c r="A28126" s="374"/>
      <c r="C28126" s="374"/>
      <c r="CV28126" s="376"/>
    </row>
    <row r="28127" spans="1:100">
      <c r="A28127" s="374"/>
      <c r="C28127" s="374"/>
      <c r="CV28127" s="376"/>
    </row>
    <row r="28128" spans="1:100">
      <c r="A28128" s="374"/>
      <c r="C28128" s="374"/>
      <c r="CV28128" s="376"/>
    </row>
    <row r="28129" spans="1:100">
      <c r="A28129" s="374"/>
      <c r="C28129" s="374"/>
      <c r="CV28129" s="376"/>
    </row>
    <row r="28130" spans="1:100">
      <c r="A28130" s="374"/>
      <c r="C28130" s="374"/>
      <c r="CV28130" s="376"/>
    </row>
    <row r="28131" spans="1:100">
      <c r="A28131" s="374"/>
      <c r="C28131" s="374"/>
      <c r="CV28131" s="376"/>
    </row>
    <row r="28132" spans="1:100">
      <c r="A28132" s="374"/>
      <c r="C28132" s="374"/>
      <c r="CV28132" s="376"/>
    </row>
    <row r="28133" spans="1:100">
      <c r="A28133" s="374"/>
      <c r="C28133" s="374"/>
      <c r="CV28133" s="376"/>
    </row>
    <row r="28134" spans="1:100">
      <c r="A28134" s="374"/>
      <c r="C28134" s="374"/>
      <c r="CV28134" s="376"/>
    </row>
    <row r="28135" spans="1:100">
      <c r="A28135" s="374"/>
      <c r="C28135" s="374"/>
      <c r="CV28135" s="376"/>
    </row>
    <row r="28136" spans="1:100">
      <c r="A28136" s="374"/>
      <c r="C28136" s="374"/>
      <c r="CV28136" s="376"/>
    </row>
    <row r="28137" spans="1:100">
      <c r="A28137" s="374"/>
      <c r="C28137" s="374"/>
      <c r="CV28137" s="376"/>
    </row>
    <row r="28138" spans="1:100">
      <c r="A28138" s="374"/>
      <c r="C28138" s="374"/>
      <c r="CV28138" s="376"/>
    </row>
    <row r="28139" spans="1:100">
      <c r="A28139" s="374"/>
      <c r="C28139" s="374"/>
      <c r="CV28139" s="376"/>
    </row>
    <row r="28140" spans="1:100">
      <c r="A28140" s="374"/>
      <c r="C28140" s="374"/>
      <c r="CV28140" s="376"/>
    </row>
    <row r="28141" spans="1:100">
      <c r="A28141" s="374"/>
      <c r="C28141" s="374"/>
      <c r="CV28141" s="376"/>
    </row>
    <row r="28142" spans="1:100">
      <c r="A28142" s="374"/>
      <c r="C28142" s="374"/>
      <c r="CV28142" s="376"/>
    </row>
    <row r="28143" spans="1:100">
      <c r="A28143" s="374"/>
      <c r="C28143" s="374"/>
      <c r="CV28143" s="376"/>
    </row>
    <row r="28144" spans="1:100">
      <c r="A28144" s="374"/>
      <c r="C28144" s="374"/>
      <c r="CV28144" s="376"/>
    </row>
    <row r="28145" spans="1:100">
      <c r="A28145" s="374"/>
      <c r="C28145" s="374"/>
      <c r="CV28145" s="376"/>
    </row>
    <row r="28146" spans="1:100">
      <c r="A28146" s="374"/>
      <c r="C28146" s="374"/>
      <c r="CV28146" s="376"/>
    </row>
    <row r="28147" spans="1:100">
      <c r="A28147" s="374"/>
      <c r="C28147" s="374"/>
      <c r="CV28147" s="376"/>
    </row>
    <row r="28148" spans="1:100">
      <c r="A28148" s="374"/>
      <c r="C28148" s="374"/>
      <c r="CV28148" s="376"/>
    </row>
    <row r="28149" spans="1:100">
      <c r="A28149" s="374"/>
      <c r="C28149" s="374"/>
      <c r="CV28149" s="376"/>
    </row>
    <row r="28150" spans="1:100">
      <c r="A28150" s="374"/>
      <c r="C28150" s="374"/>
      <c r="CV28150" s="376"/>
    </row>
    <row r="28151" spans="1:100">
      <c r="A28151" s="374"/>
      <c r="C28151" s="374"/>
      <c r="CV28151" s="376"/>
    </row>
    <row r="28152" spans="1:100">
      <c r="A28152" s="374"/>
      <c r="C28152" s="374"/>
      <c r="CV28152" s="376"/>
    </row>
    <row r="28153" spans="1:100">
      <c r="A28153" s="374"/>
      <c r="C28153" s="374"/>
      <c r="CV28153" s="376"/>
    </row>
    <row r="28154" spans="1:100">
      <c r="A28154" s="374"/>
      <c r="C28154" s="374"/>
      <c r="CV28154" s="376"/>
    </row>
    <row r="28155" spans="1:100">
      <c r="A28155" s="374"/>
      <c r="C28155" s="374"/>
      <c r="CV28155" s="376"/>
    </row>
    <row r="28156" spans="1:100">
      <c r="A28156" s="374"/>
      <c r="C28156" s="374"/>
      <c r="CV28156" s="376"/>
    </row>
    <row r="28157" spans="1:100">
      <c r="A28157" s="374"/>
      <c r="C28157" s="374"/>
      <c r="CV28157" s="376"/>
    </row>
    <row r="28158" spans="1:100">
      <c r="A28158" s="374"/>
      <c r="C28158" s="374"/>
      <c r="CV28158" s="376"/>
    </row>
    <row r="28159" spans="1:100">
      <c r="A28159" s="374"/>
      <c r="C28159" s="374"/>
      <c r="CV28159" s="376"/>
    </row>
    <row r="28160" spans="1:100">
      <c r="A28160" s="374"/>
      <c r="C28160" s="374"/>
      <c r="CV28160" s="376"/>
    </row>
    <row r="28161" spans="1:100">
      <c r="A28161" s="374"/>
      <c r="C28161" s="374"/>
      <c r="CV28161" s="376"/>
    </row>
    <row r="28162" spans="1:100">
      <c r="A28162" s="374"/>
      <c r="C28162" s="374"/>
      <c r="CV28162" s="376"/>
    </row>
    <row r="28163" spans="1:100">
      <c r="A28163" s="374"/>
      <c r="C28163" s="374"/>
      <c r="CV28163" s="376"/>
    </row>
    <row r="28164" spans="1:100">
      <c r="A28164" s="374"/>
      <c r="C28164" s="374"/>
      <c r="CV28164" s="376"/>
    </row>
    <row r="28165" spans="1:100">
      <c r="A28165" s="374"/>
      <c r="C28165" s="374"/>
      <c r="CV28165" s="376"/>
    </row>
    <row r="28166" spans="1:100">
      <c r="A28166" s="374"/>
      <c r="C28166" s="374"/>
      <c r="CV28166" s="376"/>
    </row>
    <row r="28167" spans="1:100">
      <c r="A28167" s="374"/>
      <c r="C28167" s="374"/>
      <c r="CV28167" s="376"/>
    </row>
    <row r="28168" spans="1:100">
      <c r="A28168" s="374"/>
      <c r="C28168" s="374"/>
      <c r="CV28168" s="376"/>
    </row>
    <row r="28169" spans="1:100">
      <c r="A28169" s="374"/>
      <c r="C28169" s="374"/>
      <c r="CV28169" s="376"/>
    </row>
    <row r="28170" spans="1:100">
      <c r="A28170" s="374"/>
      <c r="C28170" s="374"/>
      <c r="CV28170" s="376"/>
    </row>
    <row r="28171" spans="1:100">
      <c r="A28171" s="374"/>
      <c r="C28171" s="374"/>
      <c r="CV28171" s="376"/>
    </row>
    <row r="28172" spans="1:100">
      <c r="A28172" s="374"/>
      <c r="C28172" s="374"/>
      <c r="CV28172" s="376"/>
    </row>
    <row r="28173" spans="1:100">
      <c r="A28173" s="374"/>
      <c r="C28173" s="374"/>
      <c r="CV28173" s="376"/>
    </row>
    <row r="28174" spans="1:100">
      <c r="A28174" s="374"/>
      <c r="C28174" s="374"/>
      <c r="CV28174" s="376"/>
    </row>
    <row r="28175" spans="1:100">
      <c r="A28175" s="374"/>
      <c r="C28175" s="374"/>
      <c r="CV28175" s="376"/>
    </row>
    <row r="28176" spans="1:100">
      <c r="A28176" s="374"/>
      <c r="C28176" s="374"/>
      <c r="CV28176" s="376"/>
    </row>
    <row r="28177" spans="1:100">
      <c r="A28177" s="374"/>
      <c r="C28177" s="374"/>
      <c r="CV28177" s="376"/>
    </row>
    <row r="28178" spans="1:100">
      <c r="A28178" s="374"/>
      <c r="C28178" s="374"/>
      <c r="CV28178" s="376"/>
    </row>
    <row r="28179" spans="1:100">
      <c r="A28179" s="374"/>
      <c r="C28179" s="374"/>
      <c r="CV28179" s="376"/>
    </row>
    <row r="28180" spans="1:100">
      <c r="A28180" s="374"/>
      <c r="C28180" s="374"/>
      <c r="CV28180" s="376"/>
    </row>
    <row r="28181" spans="1:100">
      <c r="A28181" s="374"/>
      <c r="C28181" s="374"/>
      <c r="CV28181" s="376"/>
    </row>
    <row r="28182" spans="1:100">
      <c r="A28182" s="374"/>
      <c r="C28182" s="374"/>
      <c r="CV28182" s="376"/>
    </row>
    <row r="28183" spans="1:100">
      <c r="A28183" s="374"/>
      <c r="C28183" s="374"/>
      <c r="CV28183" s="376"/>
    </row>
    <row r="28184" spans="1:100">
      <c r="A28184" s="374"/>
      <c r="C28184" s="374"/>
      <c r="CV28184" s="376"/>
    </row>
    <row r="28185" spans="1:100">
      <c r="A28185" s="374"/>
      <c r="C28185" s="374"/>
      <c r="CV28185" s="376"/>
    </row>
    <row r="28186" spans="1:100">
      <c r="A28186" s="374"/>
      <c r="C28186" s="374"/>
      <c r="CV28186" s="376"/>
    </row>
    <row r="28187" spans="1:100">
      <c r="A28187" s="374"/>
      <c r="C28187" s="374"/>
      <c r="CV28187" s="376"/>
    </row>
    <row r="28188" spans="1:100">
      <c r="A28188" s="374"/>
      <c r="C28188" s="374"/>
      <c r="CV28188" s="376"/>
    </row>
    <row r="28189" spans="1:100">
      <c r="A28189" s="374"/>
      <c r="C28189" s="374"/>
      <c r="CV28189" s="376"/>
    </row>
    <row r="28190" spans="1:100">
      <c r="A28190" s="374"/>
      <c r="C28190" s="374"/>
      <c r="CV28190" s="376"/>
    </row>
    <row r="28191" spans="1:100">
      <c r="A28191" s="374"/>
      <c r="C28191" s="374"/>
      <c r="CV28191" s="376"/>
    </row>
    <row r="28192" spans="1:100">
      <c r="A28192" s="374"/>
      <c r="C28192" s="374"/>
      <c r="CV28192" s="376"/>
    </row>
    <row r="28193" spans="1:100">
      <c r="A28193" s="374"/>
      <c r="C28193" s="374"/>
      <c r="CV28193" s="376"/>
    </row>
    <row r="28194" spans="1:100">
      <c r="A28194" s="374"/>
      <c r="C28194" s="374"/>
      <c r="CV28194" s="376"/>
    </row>
    <row r="28195" spans="1:100">
      <c r="A28195" s="374"/>
      <c r="C28195" s="374"/>
      <c r="CV28195" s="376"/>
    </row>
    <row r="28196" spans="1:100">
      <c r="A28196" s="374"/>
      <c r="C28196" s="374"/>
      <c r="CV28196" s="376"/>
    </row>
    <row r="28197" spans="1:100">
      <c r="A28197" s="374"/>
      <c r="C28197" s="374"/>
      <c r="CV28197" s="376"/>
    </row>
    <row r="28198" spans="1:100">
      <c r="A28198" s="374"/>
      <c r="C28198" s="374"/>
      <c r="CV28198" s="376"/>
    </row>
    <row r="28199" spans="1:100">
      <c r="A28199" s="374"/>
      <c r="C28199" s="374"/>
      <c r="CV28199" s="376"/>
    </row>
    <row r="28200" spans="1:100">
      <c r="A28200" s="374"/>
      <c r="C28200" s="374"/>
      <c r="CV28200" s="376"/>
    </row>
    <row r="28201" spans="1:100">
      <c r="A28201" s="374"/>
      <c r="C28201" s="374"/>
      <c r="CV28201" s="376"/>
    </row>
    <row r="28202" spans="1:100">
      <c r="A28202" s="374"/>
      <c r="C28202" s="374"/>
      <c r="CV28202" s="376"/>
    </row>
    <row r="28203" spans="1:100">
      <c r="A28203" s="374"/>
      <c r="C28203" s="374"/>
      <c r="CV28203" s="376"/>
    </row>
    <row r="28204" spans="1:100">
      <c r="A28204" s="374"/>
      <c r="C28204" s="374"/>
      <c r="CV28204" s="376"/>
    </row>
    <row r="28205" spans="1:100">
      <c r="A28205" s="374"/>
      <c r="C28205" s="374"/>
      <c r="CV28205" s="376"/>
    </row>
    <row r="28206" spans="1:100">
      <c r="A28206" s="374"/>
      <c r="C28206" s="374"/>
      <c r="CV28206" s="376"/>
    </row>
    <row r="28207" spans="1:100">
      <c r="A28207" s="374"/>
      <c r="C28207" s="374"/>
      <c r="CV28207" s="376"/>
    </row>
    <row r="28208" spans="1:100">
      <c r="A28208" s="374"/>
      <c r="C28208" s="374"/>
      <c r="CV28208" s="376"/>
    </row>
    <row r="28209" spans="1:100">
      <c r="A28209" s="374"/>
      <c r="C28209" s="374"/>
      <c r="CV28209" s="376"/>
    </row>
    <row r="28210" spans="1:100">
      <c r="A28210" s="374"/>
      <c r="C28210" s="374"/>
      <c r="CV28210" s="376"/>
    </row>
    <row r="28211" spans="1:100">
      <c r="A28211" s="374"/>
      <c r="C28211" s="374"/>
      <c r="CV28211" s="376"/>
    </row>
    <row r="28212" spans="1:100">
      <c r="A28212" s="374"/>
      <c r="C28212" s="374"/>
      <c r="CV28212" s="376"/>
    </row>
    <row r="28213" spans="1:100">
      <c r="A28213" s="374"/>
      <c r="C28213" s="374"/>
      <c r="CV28213" s="376"/>
    </row>
    <row r="28214" spans="1:100">
      <c r="A28214" s="374"/>
      <c r="C28214" s="374"/>
      <c r="CV28214" s="376"/>
    </row>
    <row r="28215" spans="1:100">
      <c r="A28215" s="374"/>
      <c r="C28215" s="374"/>
      <c r="CV28215" s="376"/>
    </row>
    <row r="28216" spans="1:100">
      <c r="A28216" s="374"/>
      <c r="C28216" s="374"/>
      <c r="CV28216" s="376"/>
    </row>
    <row r="28217" spans="1:100">
      <c r="A28217" s="374"/>
      <c r="C28217" s="374"/>
      <c r="CV28217" s="376"/>
    </row>
    <row r="28218" spans="1:100">
      <c r="A28218" s="374"/>
      <c r="C28218" s="374"/>
      <c r="CV28218" s="376"/>
    </row>
    <row r="28219" spans="1:100">
      <c r="A28219" s="374"/>
      <c r="C28219" s="374"/>
      <c r="CV28219" s="376"/>
    </row>
    <row r="28220" spans="1:100">
      <c r="A28220" s="374"/>
      <c r="C28220" s="374"/>
      <c r="CV28220" s="376"/>
    </row>
    <row r="28221" spans="1:100">
      <c r="A28221" s="374"/>
      <c r="C28221" s="374"/>
      <c r="CV28221" s="376"/>
    </row>
    <row r="28222" spans="1:100">
      <c r="A28222" s="374"/>
      <c r="C28222" s="374"/>
      <c r="CV28222" s="376"/>
    </row>
    <row r="28223" spans="1:100">
      <c r="A28223" s="374"/>
      <c r="C28223" s="374"/>
      <c r="CV28223" s="376"/>
    </row>
    <row r="28224" spans="1:100">
      <c r="A28224" s="374"/>
      <c r="C28224" s="374"/>
      <c r="CV28224" s="376"/>
    </row>
    <row r="28225" spans="1:100">
      <c r="A28225" s="374"/>
      <c r="C28225" s="374"/>
      <c r="CV28225" s="376"/>
    </row>
    <row r="28226" spans="1:100">
      <c r="A28226" s="374"/>
      <c r="C28226" s="374"/>
      <c r="CV28226" s="376"/>
    </row>
    <row r="28227" spans="1:100">
      <c r="A28227" s="374"/>
      <c r="C28227" s="374"/>
      <c r="CV28227" s="376"/>
    </row>
    <row r="28228" spans="1:100">
      <c r="A28228" s="374"/>
      <c r="C28228" s="374"/>
      <c r="CV28228" s="376"/>
    </row>
    <row r="28229" spans="1:100">
      <c r="A28229" s="374"/>
      <c r="C28229" s="374"/>
      <c r="CV28229" s="376"/>
    </row>
    <row r="28230" spans="1:100">
      <c r="A28230" s="374"/>
      <c r="C28230" s="374"/>
      <c r="CV28230" s="376"/>
    </row>
    <row r="28231" spans="1:100">
      <c r="A28231" s="374"/>
      <c r="C28231" s="374"/>
      <c r="CV28231" s="376"/>
    </row>
    <row r="28232" spans="1:100">
      <c r="A28232" s="374"/>
      <c r="C28232" s="374"/>
      <c r="CV28232" s="376"/>
    </row>
    <row r="28233" spans="1:100">
      <c r="A28233" s="374"/>
      <c r="C28233" s="374"/>
      <c r="CV28233" s="376"/>
    </row>
    <row r="28234" spans="1:100">
      <c r="A28234" s="374"/>
      <c r="C28234" s="374"/>
      <c r="CV28234" s="376"/>
    </row>
    <row r="28235" spans="1:100">
      <c r="A28235" s="374"/>
      <c r="C28235" s="374"/>
      <c r="CV28235" s="376"/>
    </row>
    <row r="28236" spans="1:100">
      <c r="A28236" s="374"/>
      <c r="C28236" s="374"/>
      <c r="CV28236" s="376"/>
    </row>
    <row r="28237" spans="1:100">
      <c r="A28237" s="374"/>
      <c r="C28237" s="374"/>
      <c r="CV28237" s="376"/>
    </row>
    <row r="28238" spans="1:100">
      <c r="A28238" s="374"/>
      <c r="C28238" s="374"/>
      <c r="CV28238" s="376"/>
    </row>
    <row r="28239" spans="1:100">
      <c r="A28239" s="374"/>
      <c r="C28239" s="374"/>
      <c r="CV28239" s="376"/>
    </row>
    <row r="28240" spans="1:100">
      <c r="A28240" s="374"/>
      <c r="C28240" s="374"/>
      <c r="CV28240" s="376"/>
    </row>
    <row r="28241" spans="1:100">
      <c r="A28241" s="374"/>
      <c r="C28241" s="374"/>
      <c r="CV28241" s="376"/>
    </row>
    <row r="28242" spans="1:100">
      <c r="A28242" s="374"/>
      <c r="C28242" s="374"/>
      <c r="CV28242" s="376"/>
    </row>
    <row r="28243" spans="1:100">
      <c r="A28243" s="374"/>
      <c r="C28243" s="374"/>
      <c r="CV28243" s="376"/>
    </row>
    <row r="28244" spans="1:100">
      <c r="A28244" s="374"/>
      <c r="C28244" s="374"/>
      <c r="CV28244" s="376"/>
    </row>
    <row r="28245" spans="1:100">
      <c r="A28245" s="374"/>
      <c r="C28245" s="374"/>
      <c r="CV28245" s="376"/>
    </row>
    <row r="28246" spans="1:100">
      <c r="A28246" s="374"/>
      <c r="C28246" s="374"/>
      <c r="CV28246" s="376"/>
    </row>
    <row r="28247" spans="1:100">
      <c r="A28247" s="374"/>
      <c r="C28247" s="374"/>
      <c r="CV28247" s="376"/>
    </row>
    <row r="28248" spans="1:100">
      <c r="A28248" s="374"/>
      <c r="C28248" s="374"/>
      <c r="CV28248" s="376"/>
    </row>
    <row r="28249" spans="1:100">
      <c r="A28249" s="374"/>
      <c r="C28249" s="374"/>
      <c r="CV28249" s="376"/>
    </row>
    <row r="28250" spans="1:100">
      <c r="A28250" s="374"/>
      <c r="C28250" s="374"/>
      <c r="CV28250" s="376"/>
    </row>
    <row r="28251" spans="1:100">
      <c r="A28251" s="374"/>
      <c r="C28251" s="374"/>
      <c r="CV28251" s="376"/>
    </row>
    <row r="28252" spans="1:100">
      <c r="A28252" s="374"/>
      <c r="C28252" s="374"/>
      <c r="CV28252" s="376"/>
    </row>
    <row r="28253" spans="1:100">
      <c r="A28253" s="374"/>
      <c r="C28253" s="374"/>
      <c r="CV28253" s="376"/>
    </row>
    <row r="28254" spans="1:100">
      <c r="A28254" s="374"/>
      <c r="C28254" s="374"/>
      <c r="CV28254" s="376"/>
    </row>
    <row r="28255" spans="1:100">
      <c r="A28255" s="374"/>
      <c r="C28255" s="374"/>
      <c r="CV28255" s="376"/>
    </row>
    <row r="28256" spans="1:100">
      <c r="A28256" s="374"/>
      <c r="C28256" s="374"/>
      <c r="CV28256" s="376"/>
    </row>
    <row r="28257" spans="1:100">
      <c r="A28257" s="374"/>
      <c r="C28257" s="374"/>
      <c r="CV28257" s="376"/>
    </row>
    <row r="28258" spans="1:100">
      <c r="A28258" s="374"/>
      <c r="C28258" s="374"/>
      <c r="CV28258" s="376"/>
    </row>
    <row r="28259" spans="1:100">
      <c r="A28259" s="374"/>
      <c r="C28259" s="374"/>
      <c r="CV28259" s="376"/>
    </row>
    <row r="28260" spans="1:100">
      <c r="A28260" s="374"/>
      <c r="C28260" s="374"/>
      <c r="CV28260" s="376"/>
    </row>
    <row r="28261" spans="1:100">
      <c r="A28261" s="374"/>
      <c r="C28261" s="374"/>
      <c r="CV28261" s="376"/>
    </row>
    <row r="28262" spans="1:100">
      <c r="A28262" s="374"/>
      <c r="C28262" s="374"/>
      <c r="CV28262" s="376"/>
    </row>
    <row r="28263" spans="1:100">
      <c r="A28263" s="374"/>
      <c r="C28263" s="374"/>
      <c r="CV28263" s="376"/>
    </row>
    <row r="28264" spans="1:100">
      <c r="A28264" s="374"/>
      <c r="C28264" s="374"/>
      <c r="CV28264" s="376"/>
    </row>
    <row r="28265" spans="1:100">
      <c r="A28265" s="374"/>
      <c r="C28265" s="374"/>
      <c r="CV28265" s="376"/>
    </row>
    <row r="28266" spans="1:100">
      <c r="A28266" s="374"/>
      <c r="C28266" s="374"/>
      <c r="CV28266" s="376"/>
    </row>
    <row r="28267" spans="1:100">
      <c r="A28267" s="374"/>
      <c r="C28267" s="374"/>
      <c r="CV28267" s="376"/>
    </row>
    <row r="28268" spans="1:100">
      <c r="A28268" s="374"/>
      <c r="C28268" s="374"/>
      <c r="CV28268" s="376"/>
    </row>
    <row r="28269" spans="1:100">
      <c r="A28269" s="374"/>
      <c r="C28269" s="374"/>
      <c r="CV28269" s="376"/>
    </row>
    <row r="28270" spans="1:100">
      <c r="A28270" s="374"/>
      <c r="C28270" s="374"/>
      <c r="CV28270" s="376"/>
    </row>
    <row r="28271" spans="1:100">
      <c r="A28271" s="374"/>
      <c r="C28271" s="374"/>
      <c r="CV28271" s="376"/>
    </row>
    <row r="28272" spans="1:100">
      <c r="A28272" s="374"/>
      <c r="C28272" s="374"/>
      <c r="CV28272" s="376"/>
    </row>
    <row r="28273" spans="1:100">
      <c r="A28273" s="374"/>
      <c r="C28273" s="374"/>
      <c r="CV28273" s="376"/>
    </row>
    <row r="28274" spans="1:100">
      <c r="A28274" s="374"/>
      <c r="C28274" s="374"/>
      <c r="CV28274" s="376"/>
    </row>
    <row r="28275" spans="1:100">
      <c r="A28275" s="374"/>
      <c r="C28275" s="374"/>
      <c r="CV28275" s="376"/>
    </row>
    <row r="28276" spans="1:100">
      <c r="A28276" s="374"/>
      <c r="C28276" s="374"/>
      <c r="CV28276" s="376"/>
    </row>
    <row r="28277" spans="1:100">
      <c r="A28277" s="374"/>
      <c r="C28277" s="374"/>
      <c r="CV28277" s="376"/>
    </row>
    <row r="28278" spans="1:100">
      <c r="A28278" s="374"/>
      <c r="C28278" s="374"/>
      <c r="CV28278" s="376"/>
    </row>
    <row r="28279" spans="1:100">
      <c r="A28279" s="374"/>
      <c r="C28279" s="374"/>
      <c r="CV28279" s="376"/>
    </row>
    <row r="28280" spans="1:100">
      <c r="A28280" s="374"/>
      <c r="C28280" s="374"/>
      <c r="CV28280" s="376"/>
    </row>
    <row r="28281" spans="1:100">
      <c r="A28281" s="374"/>
      <c r="C28281" s="374"/>
      <c r="CV28281" s="376"/>
    </row>
    <row r="28282" spans="1:100">
      <c r="A28282" s="374"/>
      <c r="C28282" s="374"/>
      <c r="CV28282" s="376"/>
    </row>
    <row r="28283" spans="1:100">
      <c r="A28283" s="374"/>
      <c r="C28283" s="374"/>
      <c r="CV28283" s="376"/>
    </row>
    <row r="28284" spans="1:100">
      <c r="A28284" s="374"/>
      <c r="C28284" s="374"/>
      <c r="CV28284" s="376"/>
    </row>
    <row r="28285" spans="1:100">
      <c r="A28285" s="374"/>
      <c r="C28285" s="374"/>
      <c r="CV28285" s="376"/>
    </row>
    <row r="28286" spans="1:100">
      <c r="A28286" s="374"/>
      <c r="C28286" s="374"/>
      <c r="CV28286" s="376"/>
    </row>
    <row r="28287" spans="1:100">
      <c r="A28287" s="374"/>
      <c r="C28287" s="374"/>
      <c r="CV28287" s="376"/>
    </row>
    <row r="28288" spans="1:100">
      <c r="A28288" s="374"/>
      <c r="C28288" s="374"/>
      <c r="CV28288" s="376"/>
    </row>
    <row r="28289" spans="1:100">
      <c r="A28289" s="374"/>
      <c r="C28289" s="374"/>
      <c r="CV28289" s="376"/>
    </row>
    <row r="28290" spans="1:100">
      <c r="A28290" s="374"/>
      <c r="C28290" s="374"/>
      <c r="CV28290" s="376"/>
    </row>
    <row r="28291" spans="1:100">
      <c r="A28291" s="374"/>
      <c r="C28291" s="374"/>
      <c r="CV28291" s="376"/>
    </row>
    <row r="28292" spans="1:100">
      <c r="A28292" s="374"/>
      <c r="C28292" s="374"/>
      <c r="CV28292" s="376"/>
    </row>
    <row r="28293" spans="1:100">
      <c r="A28293" s="374"/>
      <c r="C28293" s="374"/>
      <c r="CV28293" s="376"/>
    </row>
    <row r="28294" spans="1:100">
      <c r="A28294" s="374"/>
      <c r="C28294" s="374"/>
      <c r="CV28294" s="376"/>
    </row>
    <row r="28295" spans="1:100">
      <c r="A28295" s="374"/>
      <c r="C28295" s="374"/>
      <c r="CV28295" s="376"/>
    </row>
    <row r="28296" spans="1:100">
      <c r="A28296" s="374"/>
      <c r="C28296" s="374"/>
      <c r="CV28296" s="376"/>
    </row>
    <row r="28297" spans="1:100">
      <c r="A28297" s="374"/>
      <c r="C28297" s="374"/>
      <c r="CV28297" s="376"/>
    </row>
    <row r="28298" spans="1:100">
      <c r="A28298" s="374"/>
      <c r="C28298" s="374"/>
      <c r="CV28298" s="376"/>
    </row>
    <row r="28299" spans="1:100">
      <c r="A28299" s="374"/>
      <c r="C28299" s="374"/>
      <c r="CV28299" s="376"/>
    </row>
    <row r="28300" spans="1:100">
      <c r="A28300" s="374"/>
      <c r="C28300" s="374"/>
      <c r="CV28300" s="376"/>
    </row>
    <row r="28301" spans="1:100">
      <c r="A28301" s="374"/>
      <c r="C28301" s="374"/>
      <c r="CV28301" s="376"/>
    </row>
    <row r="28302" spans="1:100">
      <c r="A28302" s="374"/>
      <c r="C28302" s="374"/>
      <c r="CV28302" s="376"/>
    </row>
    <row r="28303" spans="1:100">
      <c r="A28303" s="374"/>
      <c r="C28303" s="374"/>
      <c r="CV28303" s="376"/>
    </row>
    <row r="28304" spans="1:100">
      <c r="A28304" s="374"/>
      <c r="C28304" s="374"/>
      <c r="CV28304" s="376"/>
    </row>
    <row r="28305" spans="1:100">
      <c r="A28305" s="374"/>
      <c r="C28305" s="374"/>
      <c r="CV28305" s="376"/>
    </row>
    <row r="28306" spans="1:100">
      <c r="A28306" s="374"/>
      <c r="C28306" s="374"/>
      <c r="CV28306" s="376"/>
    </row>
    <row r="28307" spans="1:100">
      <c r="A28307" s="374"/>
      <c r="C28307" s="374"/>
      <c r="CV28307" s="376"/>
    </row>
    <row r="28308" spans="1:100">
      <c r="A28308" s="374"/>
      <c r="C28308" s="374"/>
      <c r="CV28308" s="376"/>
    </row>
    <row r="28309" spans="1:100">
      <c r="A28309" s="374"/>
      <c r="C28309" s="374"/>
      <c r="CV28309" s="376"/>
    </row>
    <row r="28310" spans="1:100">
      <c r="A28310" s="374"/>
      <c r="C28310" s="374"/>
      <c r="CV28310" s="376"/>
    </row>
    <row r="28311" spans="1:100">
      <c r="A28311" s="374"/>
      <c r="C28311" s="374"/>
      <c r="CV28311" s="376"/>
    </row>
    <row r="28312" spans="1:100">
      <c r="A28312" s="374"/>
      <c r="C28312" s="374"/>
      <c r="CV28312" s="376"/>
    </row>
    <row r="28313" spans="1:100">
      <c r="A28313" s="374"/>
      <c r="C28313" s="374"/>
      <c r="CV28313" s="376"/>
    </row>
    <row r="28314" spans="1:100">
      <c r="A28314" s="374"/>
      <c r="C28314" s="374"/>
      <c r="CV28314" s="376"/>
    </row>
    <row r="28315" spans="1:100">
      <c r="A28315" s="374"/>
      <c r="C28315" s="374"/>
      <c r="CV28315" s="376"/>
    </row>
    <row r="28316" spans="1:100">
      <c r="A28316" s="374"/>
      <c r="C28316" s="374"/>
      <c r="CV28316" s="376"/>
    </row>
    <row r="28317" spans="1:100">
      <c r="A28317" s="374"/>
      <c r="C28317" s="374"/>
      <c r="CV28317" s="376"/>
    </row>
    <row r="28318" spans="1:100">
      <c r="A28318" s="374"/>
      <c r="C28318" s="374"/>
      <c r="CV28318" s="376"/>
    </row>
    <row r="28319" spans="1:100">
      <c r="A28319" s="374"/>
      <c r="C28319" s="374"/>
      <c r="CV28319" s="376"/>
    </row>
    <row r="28320" spans="1:100">
      <c r="A28320" s="374"/>
      <c r="C28320" s="374"/>
      <c r="CV28320" s="376"/>
    </row>
    <row r="28321" spans="1:100">
      <c r="A28321" s="374"/>
      <c r="C28321" s="374"/>
      <c r="CV28321" s="376"/>
    </row>
    <row r="28322" spans="1:100">
      <c r="A28322" s="374"/>
      <c r="C28322" s="374"/>
      <c r="CV28322" s="376"/>
    </row>
    <row r="28323" spans="1:100">
      <c r="A28323" s="374"/>
      <c r="C28323" s="374"/>
      <c r="CV28323" s="376"/>
    </row>
    <row r="28324" spans="1:100">
      <c r="A28324" s="374"/>
      <c r="C28324" s="374"/>
      <c r="CV28324" s="376"/>
    </row>
    <row r="28325" spans="1:100">
      <c r="A28325" s="374"/>
      <c r="C28325" s="374"/>
      <c r="CV28325" s="376"/>
    </row>
    <row r="28326" spans="1:100">
      <c r="A28326" s="374"/>
      <c r="C28326" s="374"/>
      <c r="CV28326" s="376"/>
    </row>
    <row r="28327" spans="1:100">
      <c r="A28327" s="374"/>
      <c r="C28327" s="374"/>
      <c r="CV28327" s="376"/>
    </row>
    <row r="28328" spans="1:100">
      <c r="A28328" s="374"/>
      <c r="C28328" s="374"/>
      <c r="CV28328" s="376"/>
    </row>
    <row r="28329" spans="1:100">
      <c r="A28329" s="374"/>
      <c r="C28329" s="374"/>
      <c r="CV28329" s="376"/>
    </row>
    <row r="28330" spans="1:100">
      <c r="A28330" s="374"/>
      <c r="C28330" s="374"/>
      <c r="CV28330" s="376"/>
    </row>
    <row r="28331" spans="1:100">
      <c r="A28331" s="374"/>
      <c r="C28331" s="374"/>
      <c r="CV28331" s="376"/>
    </row>
    <row r="28332" spans="1:100">
      <c r="A28332" s="374"/>
      <c r="C28332" s="374"/>
      <c r="CV28332" s="376"/>
    </row>
    <row r="28333" spans="1:100">
      <c r="A28333" s="374"/>
      <c r="C28333" s="374"/>
      <c r="CV28333" s="376"/>
    </row>
    <row r="28334" spans="1:100">
      <c r="A28334" s="374"/>
      <c r="C28334" s="374"/>
      <c r="CV28334" s="376"/>
    </row>
    <row r="28335" spans="1:100">
      <c r="A28335" s="374"/>
      <c r="C28335" s="374"/>
      <c r="CV28335" s="376"/>
    </row>
    <row r="28336" spans="1:100">
      <c r="A28336" s="374"/>
      <c r="C28336" s="374"/>
      <c r="CV28336" s="376"/>
    </row>
    <row r="28337" spans="1:100">
      <c r="A28337" s="374"/>
      <c r="C28337" s="374"/>
      <c r="CV28337" s="376"/>
    </row>
    <row r="28338" spans="1:100">
      <c r="A28338" s="374"/>
      <c r="C28338" s="374"/>
      <c r="CV28338" s="376"/>
    </row>
    <row r="28339" spans="1:100">
      <c r="A28339" s="374"/>
      <c r="C28339" s="374"/>
      <c r="CV28339" s="376"/>
    </row>
    <row r="28340" spans="1:100">
      <c r="A28340" s="374"/>
      <c r="C28340" s="374"/>
      <c r="CV28340" s="376"/>
    </row>
    <row r="28341" spans="1:100">
      <c r="A28341" s="374"/>
      <c r="C28341" s="374"/>
      <c r="CV28341" s="376"/>
    </row>
    <row r="28342" spans="1:100">
      <c r="A28342" s="374"/>
      <c r="C28342" s="374"/>
      <c r="CV28342" s="376"/>
    </row>
    <row r="28343" spans="1:100">
      <c r="A28343" s="374"/>
      <c r="C28343" s="374"/>
      <c r="CV28343" s="376"/>
    </row>
    <row r="28344" spans="1:100">
      <c r="A28344" s="374"/>
      <c r="C28344" s="374"/>
      <c r="CV28344" s="376"/>
    </row>
    <row r="28345" spans="1:100">
      <c r="A28345" s="374"/>
      <c r="C28345" s="374"/>
      <c r="CV28345" s="376"/>
    </row>
    <row r="28346" spans="1:100">
      <c r="A28346" s="374"/>
      <c r="C28346" s="374"/>
      <c r="CV28346" s="376"/>
    </row>
    <row r="28347" spans="1:100">
      <c r="A28347" s="374"/>
      <c r="C28347" s="374"/>
      <c r="CV28347" s="376"/>
    </row>
    <row r="28348" spans="1:100">
      <c r="A28348" s="374"/>
      <c r="C28348" s="374"/>
      <c r="CV28348" s="376"/>
    </row>
    <row r="28349" spans="1:100">
      <c r="A28349" s="374"/>
      <c r="C28349" s="374"/>
      <c r="CV28349" s="376"/>
    </row>
    <row r="28350" spans="1:100">
      <c r="A28350" s="374"/>
      <c r="C28350" s="374"/>
      <c r="CV28350" s="376"/>
    </row>
    <row r="28351" spans="1:100">
      <c r="A28351" s="374"/>
      <c r="C28351" s="374"/>
      <c r="CV28351" s="376"/>
    </row>
    <row r="28352" spans="1:100">
      <c r="A28352" s="374"/>
      <c r="C28352" s="374"/>
      <c r="CV28352" s="376"/>
    </row>
    <row r="28353" spans="1:100">
      <c r="A28353" s="374"/>
      <c r="C28353" s="374"/>
      <c r="CV28353" s="376"/>
    </row>
    <row r="28354" spans="1:100">
      <c r="A28354" s="374"/>
      <c r="C28354" s="374"/>
      <c r="CV28354" s="376"/>
    </row>
    <row r="28355" spans="1:100">
      <c r="A28355" s="374"/>
      <c r="C28355" s="374"/>
      <c r="CV28355" s="376"/>
    </row>
    <row r="28356" spans="1:100">
      <c r="A28356" s="374"/>
      <c r="C28356" s="374"/>
      <c r="CV28356" s="376"/>
    </row>
    <row r="28357" spans="1:100">
      <c r="A28357" s="374"/>
      <c r="C28357" s="374"/>
      <c r="CV28357" s="376"/>
    </row>
    <row r="28358" spans="1:100">
      <c r="A28358" s="374"/>
      <c r="C28358" s="374"/>
      <c r="CV28358" s="376"/>
    </row>
    <row r="28359" spans="1:100">
      <c r="A28359" s="374"/>
      <c r="C28359" s="374"/>
      <c r="CV28359" s="376"/>
    </row>
    <row r="28360" spans="1:100">
      <c r="A28360" s="374"/>
      <c r="C28360" s="374"/>
      <c r="CV28360" s="376"/>
    </row>
    <row r="28361" spans="1:100">
      <c r="A28361" s="374"/>
      <c r="C28361" s="374"/>
      <c r="CV28361" s="376"/>
    </row>
    <row r="28362" spans="1:100">
      <c r="A28362" s="374"/>
      <c r="C28362" s="374"/>
      <c r="CV28362" s="376"/>
    </row>
    <row r="28363" spans="1:100">
      <c r="A28363" s="374"/>
      <c r="C28363" s="374"/>
      <c r="CV28363" s="376"/>
    </row>
    <row r="28364" spans="1:100">
      <c r="A28364" s="374"/>
      <c r="C28364" s="374"/>
      <c r="CV28364" s="376"/>
    </row>
    <row r="28365" spans="1:100">
      <c r="A28365" s="374"/>
      <c r="C28365" s="374"/>
      <c r="CV28365" s="376"/>
    </row>
    <row r="28366" spans="1:100">
      <c r="A28366" s="374"/>
      <c r="C28366" s="374"/>
      <c r="CV28366" s="376"/>
    </row>
    <row r="28367" spans="1:100">
      <c r="A28367" s="374"/>
      <c r="C28367" s="374"/>
      <c r="CV28367" s="376"/>
    </row>
    <row r="28368" spans="1:100">
      <c r="A28368" s="374"/>
      <c r="C28368" s="374"/>
      <c r="CV28368" s="376"/>
    </row>
    <row r="28369" spans="1:100">
      <c r="A28369" s="374"/>
      <c r="C28369" s="374"/>
      <c r="CV28369" s="376"/>
    </row>
    <row r="28370" spans="1:100">
      <c r="A28370" s="374"/>
      <c r="C28370" s="374"/>
      <c r="CV28370" s="376"/>
    </row>
    <row r="28371" spans="1:100">
      <c r="A28371" s="374"/>
      <c r="C28371" s="374"/>
      <c r="CV28371" s="376"/>
    </row>
    <row r="28372" spans="1:100">
      <c r="A28372" s="374"/>
      <c r="C28372" s="374"/>
      <c r="CV28372" s="376"/>
    </row>
    <row r="28373" spans="1:100">
      <c r="A28373" s="374"/>
      <c r="C28373" s="374"/>
      <c r="CV28373" s="376"/>
    </row>
    <row r="28374" spans="1:100">
      <c r="A28374" s="374"/>
      <c r="C28374" s="374"/>
      <c r="CV28374" s="376"/>
    </row>
    <row r="28375" spans="1:100">
      <c r="A28375" s="374"/>
      <c r="C28375" s="374"/>
      <c r="CV28375" s="376"/>
    </row>
    <row r="28376" spans="1:100">
      <c r="A28376" s="374"/>
      <c r="C28376" s="374"/>
      <c r="CV28376" s="376"/>
    </row>
    <row r="28377" spans="1:100">
      <c r="A28377" s="374"/>
      <c r="C28377" s="374"/>
      <c r="CV28377" s="376"/>
    </row>
    <row r="28378" spans="1:100">
      <c r="A28378" s="374"/>
      <c r="C28378" s="374"/>
      <c r="CV28378" s="376"/>
    </row>
    <row r="28379" spans="1:100">
      <c r="A28379" s="374"/>
      <c r="C28379" s="374"/>
      <c r="CV28379" s="376"/>
    </row>
    <row r="28380" spans="1:100">
      <c r="A28380" s="374"/>
      <c r="C28380" s="374"/>
      <c r="CV28380" s="376"/>
    </row>
    <row r="28381" spans="1:100">
      <c r="A28381" s="374"/>
      <c r="C28381" s="374"/>
      <c r="CV28381" s="376"/>
    </row>
    <row r="28382" spans="1:100">
      <c r="A28382" s="374"/>
      <c r="C28382" s="374"/>
      <c r="CV28382" s="376"/>
    </row>
    <row r="28383" spans="1:100">
      <c r="A28383" s="374"/>
      <c r="C28383" s="374"/>
      <c r="CV28383" s="376"/>
    </row>
    <row r="28384" spans="1:100">
      <c r="A28384" s="374"/>
      <c r="C28384" s="374"/>
      <c r="CV28384" s="376"/>
    </row>
    <row r="28385" spans="1:100">
      <c r="A28385" s="374"/>
      <c r="C28385" s="374"/>
      <c r="CV28385" s="376"/>
    </row>
    <row r="28386" spans="1:100">
      <c r="A28386" s="374"/>
      <c r="C28386" s="374"/>
      <c r="CV28386" s="376"/>
    </row>
    <row r="28387" spans="1:100">
      <c r="A28387" s="374"/>
      <c r="C28387" s="374"/>
      <c r="CV28387" s="376"/>
    </row>
    <row r="28388" spans="1:100">
      <c r="A28388" s="374"/>
      <c r="C28388" s="374"/>
      <c r="CV28388" s="376"/>
    </row>
    <row r="28389" spans="1:100">
      <c r="A28389" s="374"/>
      <c r="C28389" s="374"/>
      <c r="CV28389" s="376"/>
    </row>
    <row r="28390" spans="1:100">
      <c r="A28390" s="374"/>
      <c r="C28390" s="374"/>
      <c r="CV28390" s="376"/>
    </row>
    <row r="28391" spans="1:100">
      <c r="A28391" s="374"/>
      <c r="C28391" s="374"/>
      <c r="CV28391" s="376"/>
    </row>
    <row r="28392" spans="1:100">
      <c r="A28392" s="374"/>
      <c r="C28392" s="374"/>
      <c r="CV28392" s="376"/>
    </row>
    <row r="28393" spans="1:100">
      <c r="A28393" s="374"/>
      <c r="C28393" s="374"/>
      <c r="CV28393" s="376"/>
    </row>
    <row r="28394" spans="1:100">
      <c r="A28394" s="374"/>
      <c r="C28394" s="374"/>
      <c r="CV28394" s="376"/>
    </row>
    <row r="28395" spans="1:100">
      <c r="A28395" s="374"/>
      <c r="C28395" s="374"/>
      <c r="CV28395" s="376"/>
    </row>
    <row r="28396" spans="1:100">
      <c r="A28396" s="374"/>
      <c r="C28396" s="374"/>
      <c r="CV28396" s="376"/>
    </row>
    <row r="28397" spans="1:100">
      <c r="A28397" s="374"/>
      <c r="C28397" s="374"/>
      <c r="CV28397" s="376"/>
    </row>
    <row r="28398" spans="1:100">
      <c r="A28398" s="374"/>
      <c r="C28398" s="374"/>
      <c r="CV28398" s="376"/>
    </row>
    <row r="28399" spans="1:100">
      <c r="A28399" s="374"/>
      <c r="C28399" s="374"/>
      <c r="CV28399" s="376"/>
    </row>
    <row r="28400" spans="1:100">
      <c r="A28400" s="374"/>
      <c r="C28400" s="374"/>
      <c r="CV28400" s="376"/>
    </row>
    <row r="28401" spans="1:100">
      <c r="A28401" s="374"/>
      <c r="C28401" s="374"/>
      <c r="CV28401" s="376"/>
    </row>
    <row r="28402" spans="1:100">
      <c r="A28402" s="374"/>
      <c r="C28402" s="374"/>
      <c r="CV28402" s="376"/>
    </row>
    <row r="28403" spans="1:100">
      <c r="A28403" s="374"/>
      <c r="C28403" s="374"/>
      <c r="CV28403" s="376"/>
    </row>
    <row r="28404" spans="1:100">
      <c r="A28404" s="374"/>
      <c r="C28404" s="374"/>
      <c r="CV28404" s="376"/>
    </row>
    <row r="28405" spans="1:100">
      <c r="A28405" s="374"/>
      <c r="C28405" s="374"/>
      <c r="CV28405" s="376"/>
    </row>
    <row r="28406" spans="1:100">
      <c r="A28406" s="374"/>
      <c r="C28406" s="374"/>
      <c r="CV28406" s="376"/>
    </row>
    <row r="28407" spans="1:100">
      <c r="A28407" s="374"/>
      <c r="C28407" s="374"/>
      <c r="CV28407" s="376"/>
    </row>
    <row r="28408" spans="1:100">
      <c r="A28408" s="374"/>
      <c r="C28408" s="374"/>
      <c r="CV28408" s="376"/>
    </row>
    <row r="28409" spans="1:100">
      <c r="A28409" s="374"/>
      <c r="C28409" s="374"/>
      <c r="CV28409" s="376"/>
    </row>
    <row r="28410" spans="1:100">
      <c r="A28410" s="374"/>
      <c r="C28410" s="374"/>
      <c r="CV28410" s="376"/>
    </row>
    <row r="28411" spans="1:100">
      <c r="A28411" s="374"/>
      <c r="C28411" s="374"/>
      <c r="CV28411" s="376"/>
    </row>
    <row r="28412" spans="1:100">
      <c r="A28412" s="374"/>
      <c r="C28412" s="374"/>
      <c r="CV28412" s="376"/>
    </row>
    <row r="28413" spans="1:100">
      <c r="A28413" s="374"/>
      <c r="C28413" s="374"/>
      <c r="CV28413" s="376"/>
    </row>
    <row r="28414" spans="1:100">
      <c r="A28414" s="374"/>
      <c r="C28414" s="374"/>
      <c r="CV28414" s="376"/>
    </row>
    <row r="28415" spans="1:100">
      <c r="A28415" s="374"/>
      <c r="C28415" s="374"/>
      <c r="CV28415" s="376"/>
    </row>
    <row r="28416" spans="1:100">
      <c r="A28416" s="374"/>
      <c r="C28416" s="374"/>
      <c r="CV28416" s="376"/>
    </row>
    <row r="28417" spans="1:100">
      <c r="A28417" s="374"/>
      <c r="C28417" s="374"/>
      <c r="CV28417" s="376"/>
    </row>
    <row r="28418" spans="1:100">
      <c r="A28418" s="374"/>
      <c r="C28418" s="374"/>
      <c r="CV28418" s="376"/>
    </row>
    <row r="28419" spans="1:100">
      <c r="A28419" s="374"/>
      <c r="C28419" s="374"/>
      <c r="CV28419" s="376"/>
    </row>
    <row r="28420" spans="1:100">
      <c r="A28420" s="374"/>
      <c r="C28420" s="374"/>
      <c r="CV28420" s="376"/>
    </row>
    <row r="28421" spans="1:100">
      <c r="A28421" s="374"/>
      <c r="C28421" s="374"/>
      <c r="CV28421" s="376"/>
    </row>
    <row r="28422" spans="1:100">
      <c r="A28422" s="374"/>
      <c r="C28422" s="374"/>
      <c r="CV28422" s="376"/>
    </row>
    <row r="28423" spans="1:100">
      <c r="A28423" s="374"/>
      <c r="C28423" s="374"/>
      <c r="CV28423" s="376"/>
    </row>
    <row r="28424" spans="1:100">
      <c r="A28424" s="374"/>
      <c r="C28424" s="374"/>
      <c r="CV28424" s="376"/>
    </row>
    <row r="28425" spans="1:100">
      <c r="A28425" s="374"/>
      <c r="C28425" s="374"/>
      <c r="CV28425" s="376"/>
    </row>
    <row r="28426" spans="1:100">
      <c r="A28426" s="374"/>
      <c r="C28426" s="374"/>
      <c r="CV28426" s="376"/>
    </row>
    <row r="28427" spans="1:100">
      <c r="A28427" s="374"/>
      <c r="C28427" s="374"/>
      <c r="CV28427" s="376"/>
    </row>
    <row r="28428" spans="1:100">
      <c r="A28428" s="374"/>
      <c r="C28428" s="374"/>
      <c r="CV28428" s="376"/>
    </row>
    <row r="28429" spans="1:100">
      <c r="A28429" s="374"/>
      <c r="C28429" s="374"/>
      <c r="CV28429" s="376"/>
    </row>
    <row r="28430" spans="1:100">
      <c r="A28430" s="374"/>
      <c r="C28430" s="374"/>
      <c r="CV28430" s="376"/>
    </row>
    <row r="28431" spans="1:100">
      <c r="A28431" s="374"/>
      <c r="C28431" s="374"/>
      <c r="CV28431" s="376"/>
    </row>
    <row r="28432" spans="1:100">
      <c r="A28432" s="374"/>
      <c r="C28432" s="374"/>
      <c r="CV28432" s="376"/>
    </row>
    <row r="28433" spans="1:100">
      <c r="A28433" s="374"/>
      <c r="C28433" s="374"/>
      <c r="CV28433" s="376"/>
    </row>
    <row r="28434" spans="1:100">
      <c r="A28434" s="374"/>
      <c r="C28434" s="374"/>
      <c r="CV28434" s="376"/>
    </row>
    <row r="28435" spans="1:100">
      <c r="A28435" s="374"/>
      <c r="C28435" s="374"/>
      <c r="CV28435" s="376"/>
    </row>
    <row r="28436" spans="1:100">
      <c r="A28436" s="374"/>
      <c r="C28436" s="374"/>
      <c r="CV28436" s="376"/>
    </row>
    <row r="28437" spans="1:100">
      <c r="A28437" s="374"/>
      <c r="C28437" s="374"/>
      <c r="CV28437" s="376"/>
    </row>
    <row r="28438" spans="1:100">
      <c r="A28438" s="374"/>
      <c r="C28438" s="374"/>
      <c r="CV28438" s="376"/>
    </row>
    <row r="28439" spans="1:100">
      <c r="A28439" s="374"/>
      <c r="C28439" s="374"/>
      <c r="CV28439" s="376"/>
    </row>
    <row r="28440" spans="1:100">
      <c r="A28440" s="374"/>
      <c r="C28440" s="374"/>
      <c r="CV28440" s="376"/>
    </row>
    <row r="28441" spans="1:100">
      <c r="A28441" s="374"/>
      <c r="C28441" s="374"/>
      <c r="CV28441" s="376"/>
    </row>
    <row r="28442" spans="1:100">
      <c r="A28442" s="374"/>
      <c r="C28442" s="374"/>
      <c r="CV28442" s="376"/>
    </row>
    <row r="28443" spans="1:100">
      <c r="A28443" s="374"/>
      <c r="C28443" s="374"/>
      <c r="CV28443" s="376"/>
    </row>
    <row r="28444" spans="1:100">
      <c r="A28444" s="374"/>
      <c r="C28444" s="374"/>
      <c r="CV28444" s="376"/>
    </row>
    <row r="28445" spans="1:100">
      <c r="A28445" s="374"/>
      <c r="C28445" s="374"/>
      <c r="CV28445" s="376"/>
    </row>
    <row r="28446" spans="1:100">
      <c r="A28446" s="374"/>
      <c r="C28446" s="374"/>
      <c r="CV28446" s="376"/>
    </row>
    <row r="28447" spans="1:100">
      <c r="A28447" s="374"/>
      <c r="C28447" s="374"/>
      <c r="CV28447" s="376"/>
    </row>
    <row r="28448" spans="1:100">
      <c r="A28448" s="374"/>
      <c r="C28448" s="374"/>
      <c r="CV28448" s="376"/>
    </row>
    <row r="28449" spans="1:100">
      <c r="A28449" s="374"/>
      <c r="C28449" s="374"/>
      <c r="CV28449" s="376"/>
    </row>
    <row r="28450" spans="1:100">
      <c r="A28450" s="374"/>
      <c r="C28450" s="374"/>
      <c r="CV28450" s="376"/>
    </row>
    <row r="28451" spans="1:100">
      <c r="A28451" s="374"/>
      <c r="C28451" s="374"/>
      <c r="CV28451" s="376"/>
    </row>
    <row r="28452" spans="1:100">
      <c r="A28452" s="374"/>
      <c r="C28452" s="374"/>
      <c r="CV28452" s="376"/>
    </row>
    <row r="28453" spans="1:100">
      <c r="A28453" s="374"/>
      <c r="C28453" s="374"/>
      <c r="CV28453" s="376"/>
    </row>
    <row r="28454" spans="1:100">
      <c r="A28454" s="374"/>
      <c r="C28454" s="374"/>
      <c r="CV28454" s="376"/>
    </row>
    <row r="28455" spans="1:100">
      <c r="A28455" s="374"/>
      <c r="C28455" s="374"/>
      <c r="CV28455" s="376"/>
    </row>
    <row r="28456" spans="1:100">
      <c r="A28456" s="374"/>
      <c r="C28456" s="374"/>
      <c r="CV28456" s="376"/>
    </row>
    <row r="28457" spans="1:100">
      <c r="A28457" s="374"/>
      <c r="C28457" s="374"/>
      <c r="CV28457" s="376"/>
    </row>
    <row r="28458" spans="1:100">
      <c r="A28458" s="374"/>
      <c r="C28458" s="374"/>
      <c r="CV28458" s="376"/>
    </row>
    <row r="28459" spans="1:100">
      <c r="A28459" s="374"/>
      <c r="C28459" s="374"/>
      <c r="CV28459" s="376"/>
    </row>
    <row r="28460" spans="1:100">
      <c r="A28460" s="374"/>
      <c r="C28460" s="374"/>
      <c r="CV28460" s="376"/>
    </row>
    <row r="28461" spans="1:100">
      <c r="A28461" s="374"/>
      <c r="C28461" s="374"/>
      <c r="CV28461" s="376"/>
    </row>
    <row r="28462" spans="1:100">
      <c r="A28462" s="374"/>
      <c r="C28462" s="374"/>
      <c r="CV28462" s="376"/>
    </row>
    <row r="28463" spans="1:100">
      <c r="A28463" s="374"/>
      <c r="C28463" s="374"/>
      <c r="CV28463" s="376"/>
    </row>
    <row r="28464" spans="1:100">
      <c r="A28464" s="374"/>
      <c r="C28464" s="374"/>
      <c r="CV28464" s="376"/>
    </row>
    <row r="28465" spans="1:100">
      <c r="A28465" s="374"/>
      <c r="C28465" s="374"/>
      <c r="CV28465" s="376"/>
    </row>
    <row r="28466" spans="1:100">
      <c r="A28466" s="374"/>
      <c r="C28466" s="374"/>
      <c r="CV28466" s="376"/>
    </row>
    <row r="28467" spans="1:100">
      <c r="A28467" s="374"/>
      <c r="C28467" s="374"/>
      <c r="CV28467" s="376"/>
    </row>
    <row r="28468" spans="1:100">
      <c r="A28468" s="374"/>
      <c r="C28468" s="374"/>
      <c r="CV28468" s="376"/>
    </row>
    <row r="28469" spans="1:100">
      <c r="A28469" s="374"/>
      <c r="C28469" s="374"/>
      <c r="CV28469" s="376"/>
    </row>
    <row r="28470" spans="1:100">
      <c r="A28470" s="374"/>
      <c r="C28470" s="374"/>
      <c r="CV28470" s="376"/>
    </row>
    <row r="28471" spans="1:100">
      <c r="A28471" s="374"/>
      <c r="C28471" s="374"/>
      <c r="CV28471" s="376"/>
    </row>
    <row r="28472" spans="1:100">
      <c r="A28472" s="374"/>
      <c r="C28472" s="374"/>
      <c r="CV28472" s="376"/>
    </row>
    <row r="28473" spans="1:100">
      <c r="A28473" s="374"/>
      <c r="C28473" s="374"/>
      <c r="CV28473" s="376"/>
    </row>
    <row r="28474" spans="1:100">
      <c r="A28474" s="374"/>
      <c r="C28474" s="374"/>
      <c r="CV28474" s="376"/>
    </row>
    <row r="28475" spans="1:100">
      <c r="A28475" s="374"/>
      <c r="C28475" s="374"/>
      <c r="CV28475" s="376"/>
    </row>
    <row r="28476" spans="1:100">
      <c r="A28476" s="374"/>
      <c r="C28476" s="374"/>
      <c r="CV28476" s="376"/>
    </row>
    <row r="28477" spans="1:100">
      <c r="A28477" s="374"/>
      <c r="C28477" s="374"/>
      <c r="CV28477" s="376"/>
    </row>
    <row r="28478" spans="1:100">
      <c r="A28478" s="374"/>
      <c r="C28478" s="374"/>
      <c r="CV28478" s="376"/>
    </row>
    <row r="28479" spans="1:100">
      <c r="A28479" s="374"/>
      <c r="C28479" s="374"/>
      <c r="CV28479" s="376"/>
    </row>
    <row r="28480" spans="1:100">
      <c r="A28480" s="374"/>
      <c r="C28480" s="374"/>
      <c r="CV28480" s="376"/>
    </row>
    <row r="28481" spans="1:100">
      <c r="A28481" s="374"/>
      <c r="C28481" s="374"/>
      <c r="CV28481" s="376"/>
    </row>
    <row r="28482" spans="1:100">
      <c r="A28482" s="374"/>
      <c r="C28482" s="374"/>
      <c r="CV28482" s="376"/>
    </row>
    <row r="28483" spans="1:100">
      <c r="A28483" s="374"/>
      <c r="C28483" s="374"/>
      <c r="CV28483" s="376"/>
    </row>
    <row r="28484" spans="1:100">
      <c r="A28484" s="374"/>
      <c r="C28484" s="374"/>
      <c r="CV28484" s="376"/>
    </row>
    <row r="28485" spans="1:100">
      <c r="A28485" s="374"/>
      <c r="C28485" s="374"/>
      <c r="CV28485" s="376"/>
    </row>
    <row r="28486" spans="1:100">
      <c r="A28486" s="374"/>
      <c r="C28486" s="374"/>
      <c r="CV28486" s="376"/>
    </row>
    <row r="28487" spans="1:100">
      <c r="A28487" s="374"/>
      <c r="C28487" s="374"/>
      <c r="CV28487" s="376"/>
    </row>
    <row r="28488" spans="1:100">
      <c r="A28488" s="374"/>
      <c r="C28488" s="374"/>
      <c r="CV28488" s="376"/>
    </row>
    <row r="28489" spans="1:100">
      <c r="A28489" s="374"/>
      <c r="C28489" s="374"/>
      <c r="CV28489" s="376"/>
    </row>
    <row r="28490" spans="1:100">
      <c r="A28490" s="374"/>
      <c r="C28490" s="374"/>
      <c r="CV28490" s="376"/>
    </row>
    <row r="28491" spans="1:100">
      <c r="A28491" s="374"/>
      <c r="C28491" s="374"/>
      <c r="CV28491" s="376"/>
    </row>
    <row r="28492" spans="1:100">
      <c r="A28492" s="374"/>
      <c r="C28492" s="374"/>
      <c r="CV28492" s="376"/>
    </row>
    <row r="28493" spans="1:100">
      <c r="A28493" s="374"/>
      <c r="C28493" s="374"/>
      <c r="CV28493" s="376"/>
    </row>
    <row r="28494" spans="1:100">
      <c r="A28494" s="374"/>
      <c r="C28494" s="374"/>
      <c r="CV28494" s="376"/>
    </row>
    <row r="28495" spans="1:100">
      <c r="A28495" s="374"/>
      <c r="C28495" s="374"/>
      <c r="CV28495" s="376"/>
    </row>
    <row r="28496" spans="1:100">
      <c r="A28496" s="374"/>
      <c r="C28496" s="374"/>
      <c r="CV28496" s="376"/>
    </row>
    <row r="28497" spans="1:100">
      <c r="A28497" s="374"/>
      <c r="C28497" s="374"/>
      <c r="CV28497" s="376"/>
    </row>
    <row r="28498" spans="1:100">
      <c r="A28498" s="374"/>
      <c r="C28498" s="374"/>
      <c r="CV28498" s="376"/>
    </row>
    <row r="28499" spans="1:100">
      <c r="A28499" s="374"/>
      <c r="C28499" s="374"/>
      <c r="CV28499" s="376"/>
    </row>
    <row r="28500" spans="1:100">
      <c r="A28500" s="374"/>
      <c r="C28500" s="374"/>
      <c r="CV28500" s="376"/>
    </row>
    <row r="28501" spans="1:100">
      <c r="A28501" s="374"/>
      <c r="C28501" s="374"/>
      <c r="CV28501" s="376"/>
    </row>
    <row r="28502" spans="1:100">
      <c r="A28502" s="374"/>
      <c r="C28502" s="374"/>
      <c r="CV28502" s="376"/>
    </row>
    <row r="28503" spans="1:100">
      <c r="A28503" s="374"/>
      <c r="C28503" s="374"/>
      <c r="CV28503" s="376"/>
    </row>
    <row r="28504" spans="1:100">
      <c r="A28504" s="374"/>
      <c r="C28504" s="374"/>
      <c r="CV28504" s="376"/>
    </row>
    <row r="28505" spans="1:100">
      <c r="A28505" s="374"/>
      <c r="C28505" s="374"/>
      <c r="CV28505" s="376"/>
    </row>
    <row r="28506" spans="1:100">
      <c r="A28506" s="374"/>
      <c r="C28506" s="374"/>
      <c r="CV28506" s="376"/>
    </row>
    <row r="28507" spans="1:100">
      <c r="A28507" s="374"/>
      <c r="C28507" s="374"/>
      <c r="CV28507" s="376"/>
    </row>
    <row r="28508" spans="1:100">
      <c r="A28508" s="374"/>
      <c r="C28508" s="374"/>
      <c r="CV28508" s="376"/>
    </row>
    <row r="28509" spans="1:100">
      <c r="A28509" s="374"/>
      <c r="C28509" s="374"/>
      <c r="CV28509" s="376"/>
    </row>
    <row r="28510" spans="1:100">
      <c r="A28510" s="374"/>
      <c r="C28510" s="374"/>
      <c r="CV28510" s="376"/>
    </row>
    <row r="28511" spans="1:100">
      <c r="A28511" s="374"/>
      <c r="C28511" s="374"/>
      <c r="CV28511" s="376"/>
    </row>
    <row r="28512" spans="1:100">
      <c r="A28512" s="374"/>
      <c r="C28512" s="374"/>
      <c r="CV28512" s="376"/>
    </row>
    <row r="28513" spans="1:100">
      <c r="A28513" s="374"/>
      <c r="C28513" s="374"/>
      <c r="CV28513" s="376"/>
    </row>
    <row r="28514" spans="1:100">
      <c r="A28514" s="374"/>
      <c r="C28514" s="374"/>
      <c r="CV28514" s="376"/>
    </row>
    <row r="28515" spans="1:100">
      <c r="A28515" s="374"/>
      <c r="C28515" s="374"/>
      <c r="CV28515" s="376"/>
    </row>
    <row r="28516" spans="1:100">
      <c r="A28516" s="374"/>
      <c r="C28516" s="374"/>
      <c r="CV28516" s="376"/>
    </row>
    <row r="28517" spans="1:100">
      <c r="A28517" s="374"/>
      <c r="C28517" s="374"/>
      <c r="CV28517" s="376"/>
    </row>
    <row r="28518" spans="1:100">
      <c r="A28518" s="374"/>
      <c r="C28518" s="374"/>
      <c r="CV28518" s="376"/>
    </row>
    <row r="28519" spans="1:100">
      <c r="A28519" s="374"/>
      <c r="C28519" s="374"/>
      <c r="CV28519" s="376"/>
    </row>
    <row r="28520" spans="1:100">
      <c r="A28520" s="374"/>
      <c r="C28520" s="374"/>
      <c r="CV28520" s="376"/>
    </row>
    <row r="28521" spans="1:100">
      <c r="A28521" s="374"/>
      <c r="C28521" s="374"/>
      <c r="CV28521" s="376"/>
    </row>
    <row r="28522" spans="1:100">
      <c r="A28522" s="374"/>
      <c r="C28522" s="374"/>
      <c r="CV28522" s="376"/>
    </row>
    <row r="28523" spans="1:100">
      <c r="A28523" s="374"/>
      <c r="C28523" s="374"/>
      <c r="CV28523" s="376"/>
    </row>
    <row r="28524" spans="1:100">
      <c r="A28524" s="374"/>
      <c r="C28524" s="374"/>
      <c r="CV28524" s="376"/>
    </row>
    <row r="28525" spans="1:100">
      <c r="A28525" s="374"/>
      <c r="C28525" s="374"/>
      <c r="CV28525" s="376"/>
    </row>
    <row r="28526" spans="1:100">
      <c r="A28526" s="374"/>
      <c r="C28526" s="374"/>
      <c r="CV28526" s="376"/>
    </row>
    <row r="28527" spans="1:100">
      <c r="A28527" s="374"/>
      <c r="C28527" s="374"/>
      <c r="CV28527" s="376"/>
    </row>
    <row r="28528" spans="1:100">
      <c r="A28528" s="374"/>
      <c r="C28528" s="374"/>
      <c r="CV28528" s="376"/>
    </row>
    <row r="28529" spans="1:100">
      <c r="A28529" s="374"/>
      <c r="C28529" s="374"/>
      <c r="CV28529" s="376"/>
    </row>
    <row r="28530" spans="1:100">
      <c r="A28530" s="374"/>
      <c r="C28530" s="374"/>
      <c r="CV28530" s="376"/>
    </row>
    <row r="28531" spans="1:100">
      <c r="A28531" s="374"/>
      <c r="C28531" s="374"/>
      <c r="CV28531" s="376"/>
    </row>
    <row r="28532" spans="1:100">
      <c r="A28532" s="374"/>
      <c r="C28532" s="374"/>
      <c r="CV28532" s="376"/>
    </row>
    <row r="28533" spans="1:100">
      <c r="A28533" s="374"/>
      <c r="C28533" s="374"/>
      <c r="CV28533" s="376"/>
    </row>
    <row r="28534" spans="1:100">
      <c r="A28534" s="374"/>
      <c r="C28534" s="374"/>
      <c r="CV28534" s="376"/>
    </row>
    <row r="28535" spans="1:100">
      <c r="A28535" s="374"/>
      <c r="C28535" s="374"/>
      <c r="CV28535" s="376"/>
    </row>
    <row r="28536" spans="1:100">
      <c r="A28536" s="374"/>
      <c r="C28536" s="374"/>
      <c r="CV28536" s="376"/>
    </row>
    <row r="28537" spans="1:100">
      <c r="A28537" s="374"/>
      <c r="C28537" s="374"/>
      <c r="CV28537" s="376"/>
    </row>
    <row r="28538" spans="1:100">
      <c r="A28538" s="374"/>
      <c r="C28538" s="374"/>
      <c r="CV28538" s="376"/>
    </row>
    <row r="28539" spans="1:100">
      <c r="A28539" s="374"/>
      <c r="C28539" s="374"/>
      <c r="CV28539" s="376"/>
    </row>
    <row r="28540" spans="1:100">
      <c r="A28540" s="374"/>
      <c r="C28540" s="374"/>
      <c r="CV28540" s="376"/>
    </row>
    <row r="28541" spans="1:100">
      <c r="A28541" s="374"/>
      <c r="C28541" s="374"/>
      <c r="CV28541" s="376"/>
    </row>
    <row r="28542" spans="1:100">
      <c r="A28542" s="374"/>
      <c r="C28542" s="374"/>
      <c r="CV28542" s="376"/>
    </row>
    <row r="28543" spans="1:100">
      <c r="A28543" s="374"/>
      <c r="C28543" s="374"/>
      <c r="CV28543" s="376"/>
    </row>
    <row r="28544" spans="1:100">
      <c r="A28544" s="374"/>
      <c r="C28544" s="374"/>
      <c r="CV28544" s="376"/>
    </row>
    <row r="28545" spans="1:100">
      <c r="A28545" s="374"/>
      <c r="C28545" s="374"/>
      <c r="CV28545" s="376"/>
    </row>
    <row r="28546" spans="1:100">
      <c r="A28546" s="374"/>
      <c r="C28546" s="374"/>
      <c r="CV28546" s="376"/>
    </row>
    <row r="28547" spans="1:100">
      <c r="A28547" s="374"/>
      <c r="C28547" s="374"/>
      <c r="CV28547" s="376"/>
    </row>
    <row r="28548" spans="1:100">
      <c r="A28548" s="374"/>
      <c r="C28548" s="374"/>
      <c r="CV28548" s="376"/>
    </row>
    <row r="28549" spans="1:100">
      <c r="A28549" s="374"/>
      <c r="C28549" s="374"/>
      <c r="CV28549" s="376"/>
    </row>
    <row r="28550" spans="1:100">
      <c r="A28550" s="374"/>
      <c r="C28550" s="374"/>
      <c r="CV28550" s="376"/>
    </row>
    <row r="28551" spans="1:100">
      <c r="A28551" s="374"/>
      <c r="C28551" s="374"/>
      <c r="CV28551" s="376"/>
    </row>
    <row r="28552" spans="1:100">
      <c r="A28552" s="374"/>
      <c r="C28552" s="374"/>
      <c r="CV28552" s="376"/>
    </row>
    <row r="28553" spans="1:100">
      <c r="A28553" s="374"/>
      <c r="C28553" s="374"/>
      <c r="CV28553" s="376"/>
    </row>
    <row r="28554" spans="1:100">
      <c r="A28554" s="374"/>
      <c r="C28554" s="374"/>
      <c r="CV28554" s="376"/>
    </row>
    <row r="28555" spans="1:100">
      <c r="A28555" s="374"/>
      <c r="C28555" s="374"/>
      <c r="CV28555" s="376"/>
    </row>
    <row r="28556" spans="1:100">
      <c r="A28556" s="374"/>
      <c r="C28556" s="374"/>
      <c r="CV28556" s="376"/>
    </row>
    <row r="28557" spans="1:100">
      <c r="A28557" s="374"/>
      <c r="C28557" s="374"/>
      <c r="CV28557" s="376"/>
    </row>
    <row r="28558" spans="1:100">
      <c r="A28558" s="374"/>
      <c r="C28558" s="374"/>
      <c r="CV28558" s="376"/>
    </row>
    <row r="28559" spans="1:100">
      <c r="A28559" s="374"/>
      <c r="C28559" s="374"/>
      <c r="CV28559" s="376"/>
    </row>
    <row r="28560" spans="1:100">
      <c r="A28560" s="374"/>
      <c r="C28560" s="374"/>
      <c r="CV28560" s="376"/>
    </row>
    <row r="28561" spans="1:100">
      <c r="A28561" s="374"/>
      <c r="C28561" s="374"/>
      <c r="CV28561" s="376"/>
    </row>
    <row r="28562" spans="1:100">
      <c r="A28562" s="374"/>
      <c r="C28562" s="374"/>
      <c r="CV28562" s="376"/>
    </row>
    <row r="28563" spans="1:100">
      <c r="A28563" s="374"/>
      <c r="C28563" s="374"/>
      <c r="CV28563" s="376"/>
    </row>
    <row r="28564" spans="1:100">
      <c r="A28564" s="374"/>
      <c r="C28564" s="374"/>
      <c r="CV28564" s="376"/>
    </row>
    <row r="28565" spans="1:100">
      <c r="A28565" s="374"/>
      <c r="C28565" s="374"/>
      <c r="CV28565" s="376"/>
    </row>
    <row r="28566" spans="1:100">
      <c r="A28566" s="374"/>
      <c r="C28566" s="374"/>
      <c r="CV28566" s="376"/>
    </row>
    <row r="28567" spans="1:100">
      <c r="A28567" s="374"/>
      <c r="C28567" s="374"/>
      <c r="CV28567" s="376"/>
    </row>
    <row r="28568" spans="1:100">
      <c r="A28568" s="374"/>
      <c r="C28568" s="374"/>
      <c r="CV28568" s="376"/>
    </row>
    <row r="28569" spans="1:100">
      <c r="A28569" s="374"/>
      <c r="C28569" s="374"/>
      <c r="CV28569" s="376"/>
    </row>
    <row r="28570" spans="1:100">
      <c r="A28570" s="374"/>
      <c r="C28570" s="374"/>
      <c r="CV28570" s="376"/>
    </row>
    <row r="28571" spans="1:100">
      <c r="A28571" s="374"/>
      <c r="C28571" s="374"/>
      <c r="CV28571" s="376"/>
    </row>
    <row r="28572" spans="1:100">
      <c r="A28572" s="374"/>
      <c r="C28572" s="374"/>
      <c r="CV28572" s="376"/>
    </row>
    <row r="28573" spans="1:100">
      <c r="A28573" s="374"/>
      <c r="C28573" s="374"/>
      <c r="CV28573" s="376"/>
    </row>
    <row r="28574" spans="1:100">
      <c r="A28574" s="374"/>
      <c r="C28574" s="374"/>
      <c r="CV28574" s="376"/>
    </row>
    <row r="28575" spans="1:100">
      <c r="A28575" s="374"/>
      <c r="C28575" s="374"/>
      <c r="CV28575" s="376"/>
    </row>
    <row r="28576" spans="1:100">
      <c r="A28576" s="374"/>
      <c r="C28576" s="374"/>
      <c r="CV28576" s="376"/>
    </row>
    <row r="28577" spans="1:100">
      <c r="A28577" s="374"/>
      <c r="C28577" s="374"/>
      <c r="CV28577" s="376"/>
    </row>
    <row r="28578" spans="1:100">
      <c r="A28578" s="374"/>
      <c r="C28578" s="374"/>
      <c r="CV28578" s="376"/>
    </row>
    <row r="28579" spans="1:100">
      <c r="A28579" s="374"/>
      <c r="C28579" s="374"/>
      <c r="CV28579" s="376"/>
    </row>
    <row r="28580" spans="1:100">
      <c r="A28580" s="374"/>
      <c r="C28580" s="374"/>
      <c r="CV28580" s="376"/>
    </row>
    <row r="28581" spans="1:100">
      <c r="A28581" s="374"/>
      <c r="C28581" s="374"/>
      <c r="CV28581" s="376"/>
    </row>
    <row r="28582" spans="1:100">
      <c r="A28582" s="374"/>
      <c r="C28582" s="374"/>
      <c r="CV28582" s="376"/>
    </row>
    <row r="28583" spans="1:100">
      <c r="A28583" s="374"/>
      <c r="C28583" s="374"/>
      <c r="CV28583" s="376"/>
    </row>
    <row r="28584" spans="1:100">
      <c r="A28584" s="374"/>
      <c r="C28584" s="374"/>
      <c r="CV28584" s="376"/>
    </row>
    <row r="28585" spans="1:100">
      <c r="A28585" s="374"/>
      <c r="C28585" s="374"/>
      <c r="CV28585" s="376"/>
    </row>
    <row r="28586" spans="1:100">
      <c r="A28586" s="374"/>
      <c r="C28586" s="374"/>
      <c r="CV28586" s="376"/>
    </row>
    <row r="28587" spans="1:100">
      <c r="A28587" s="374"/>
      <c r="C28587" s="374"/>
      <c r="CV28587" s="376"/>
    </row>
    <row r="28588" spans="1:100">
      <c r="A28588" s="374"/>
      <c r="C28588" s="374"/>
      <c r="CV28588" s="376"/>
    </row>
    <row r="28589" spans="1:100">
      <c r="A28589" s="374"/>
      <c r="C28589" s="374"/>
      <c r="CV28589" s="376"/>
    </row>
    <row r="28590" spans="1:100">
      <c r="A28590" s="374"/>
      <c r="C28590" s="374"/>
      <c r="CV28590" s="376"/>
    </row>
    <row r="28591" spans="1:100">
      <c r="A28591" s="374"/>
      <c r="C28591" s="374"/>
      <c r="CV28591" s="376"/>
    </row>
    <row r="28592" spans="1:100">
      <c r="A28592" s="374"/>
      <c r="C28592" s="374"/>
      <c r="CV28592" s="376"/>
    </row>
    <row r="28593" spans="1:100">
      <c r="A28593" s="374"/>
      <c r="C28593" s="374"/>
      <c r="CV28593" s="376"/>
    </row>
    <row r="28594" spans="1:100">
      <c r="A28594" s="374"/>
      <c r="C28594" s="374"/>
      <c r="CV28594" s="376"/>
    </row>
    <row r="28595" spans="1:100">
      <c r="A28595" s="374"/>
      <c r="C28595" s="374"/>
      <c r="CV28595" s="376"/>
    </row>
    <row r="28596" spans="1:100">
      <c r="A28596" s="374"/>
      <c r="C28596" s="374"/>
      <c r="CV28596" s="376"/>
    </row>
    <row r="28597" spans="1:100">
      <c r="A28597" s="374"/>
      <c r="C28597" s="374"/>
      <c r="CV28597" s="376"/>
    </row>
    <row r="28598" spans="1:100">
      <c r="A28598" s="374"/>
      <c r="C28598" s="374"/>
      <c r="CV28598" s="376"/>
    </row>
    <row r="28599" spans="1:100">
      <c r="A28599" s="374"/>
      <c r="C28599" s="374"/>
      <c r="CV28599" s="376"/>
    </row>
    <row r="28600" spans="1:100">
      <c r="A28600" s="374"/>
      <c r="C28600" s="374"/>
      <c r="CV28600" s="376"/>
    </row>
    <row r="28601" spans="1:100">
      <c r="A28601" s="374"/>
      <c r="C28601" s="374"/>
      <c r="CV28601" s="376"/>
    </row>
    <row r="28602" spans="1:100">
      <c r="A28602" s="374"/>
      <c r="C28602" s="374"/>
      <c r="CV28602" s="376"/>
    </row>
    <row r="28603" spans="1:100">
      <c r="A28603" s="374"/>
      <c r="C28603" s="374"/>
      <c r="CV28603" s="376"/>
    </row>
    <row r="28604" spans="1:100">
      <c r="A28604" s="374"/>
      <c r="C28604" s="374"/>
      <c r="CV28604" s="376"/>
    </row>
    <row r="28605" spans="1:100">
      <c r="A28605" s="374"/>
      <c r="C28605" s="374"/>
      <c r="CV28605" s="376"/>
    </row>
    <row r="28606" spans="1:100">
      <c r="A28606" s="374"/>
      <c r="C28606" s="374"/>
      <c r="CV28606" s="376"/>
    </row>
    <row r="28607" spans="1:100">
      <c r="A28607" s="374"/>
      <c r="C28607" s="374"/>
      <c r="CV28607" s="376"/>
    </row>
    <row r="28608" spans="1:100">
      <c r="A28608" s="374"/>
      <c r="C28608" s="374"/>
      <c r="CV28608" s="376"/>
    </row>
    <row r="28609" spans="1:100">
      <c r="A28609" s="374"/>
      <c r="C28609" s="374"/>
      <c r="CV28609" s="376"/>
    </row>
    <row r="28610" spans="1:100">
      <c r="A28610" s="374"/>
      <c r="C28610" s="374"/>
      <c r="CV28610" s="376"/>
    </row>
    <row r="28611" spans="1:100">
      <c r="A28611" s="374"/>
      <c r="C28611" s="374"/>
      <c r="CV28611" s="376"/>
    </row>
    <row r="28612" spans="1:100">
      <c r="A28612" s="374"/>
      <c r="C28612" s="374"/>
      <c r="CV28612" s="376"/>
    </row>
    <row r="28613" spans="1:100">
      <c r="A28613" s="374"/>
      <c r="C28613" s="374"/>
      <c r="CV28613" s="376"/>
    </row>
    <row r="28614" spans="1:100">
      <c r="A28614" s="374"/>
      <c r="C28614" s="374"/>
      <c r="CV28614" s="376"/>
    </row>
    <row r="28615" spans="1:100">
      <c r="A28615" s="374"/>
      <c r="C28615" s="374"/>
      <c r="CV28615" s="376"/>
    </row>
    <row r="28616" spans="1:100">
      <c r="A28616" s="374"/>
      <c r="C28616" s="374"/>
      <c r="CV28616" s="376"/>
    </row>
    <row r="28617" spans="1:100">
      <c r="A28617" s="374"/>
      <c r="C28617" s="374"/>
      <c r="CV28617" s="376"/>
    </row>
    <row r="28618" spans="1:100">
      <c r="A28618" s="374"/>
      <c r="C28618" s="374"/>
      <c r="CV28618" s="376"/>
    </row>
    <row r="28619" spans="1:100">
      <c r="A28619" s="374"/>
      <c r="C28619" s="374"/>
      <c r="CV28619" s="376"/>
    </row>
    <row r="28620" spans="1:100">
      <c r="A28620" s="374"/>
      <c r="C28620" s="374"/>
      <c r="CV28620" s="376"/>
    </row>
    <row r="28621" spans="1:100">
      <c r="A28621" s="374"/>
      <c r="C28621" s="374"/>
      <c r="CV28621" s="376"/>
    </row>
    <row r="28622" spans="1:100">
      <c r="A28622" s="374"/>
      <c r="C28622" s="374"/>
      <c r="CV28622" s="376"/>
    </row>
    <row r="28623" spans="1:100">
      <c r="A28623" s="374"/>
      <c r="C28623" s="374"/>
      <c r="CV28623" s="376"/>
    </row>
    <row r="28624" spans="1:100">
      <c r="A28624" s="374"/>
      <c r="C28624" s="374"/>
      <c r="CV28624" s="376"/>
    </row>
    <row r="28625" spans="1:100">
      <c r="A28625" s="374"/>
      <c r="C28625" s="374"/>
      <c r="CV28625" s="376"/>
    </row>
    <row r="28626" spans="1:100">
      <c r="A28626" s="374"/>
      <c r="C28626" s="374"/>
      <c r="CV28626" s="376"/>
    </row>
    <row r="28627" spans="1:100">
      <c r="A28627" s="374"/>
      <c r="C28627" s="374"/>
      <c r="CV28627" s="376"/>
    </row>
    <row r="28628" spans="1:100">
      <c r="A28628" s="374"/>
      <c r="C28628" s="374"/>
      <c r="CV28628" s="376"/>
    </row>
    <row r="28629" spans="1:100">
      <c r="A28629" s="374"/>
      <c r="C28629" s="374"/>
      <c r="CV28629" s="376"/>
    </row>
    <row r="28630" spans="1:100">
      <c r="A28630" s="374"/>
      <c r="C28630" s="374"/>
      <c r="CV28630" s="376"/>
    </row>
    <row r="28631" spans="1:100">
      <c r="A28631" s="374"/>
      <c r="C28631" s="374"/>
      <c r="CV28631" s="376"/>
    </row>
    <row r="28632" spans="1:100">
      <c r="A28632" s="374"/>
      <c r="C28632" s="374"/>
      <c r="CV28632" s="376"/>
    </row>
    <row r="28633" spans="1:100">
      <c r="A28633" s="374"/>
      <c r="C28633" s="374"/>
      <c r="CV28633" s="376"/>
    </row>
    <row r="28634" spans="1:100">
      <c r="A28634" s="374"/>
      <c r="C28634" s="374"/>
      <c r="CV28634" s="376"/>
    </row>
    <row r="28635" spans="1:100">
      <c r="A28635" s="374"/>
      <c r="C28635" s="374"/>
      <c r="CV28635" s="376"/>
    </row>
    <row r="28636" spans="1:100">
      <c r="A28636" s="374"/>
      <c r="C28636" s="374"/>
      <c r="CV28636" s="376"/>
    </row>
    <row r="28637" spans="1:100">
      <c r="A28637" s="374"/>
      <c r="C28637" s="374"/>
      <c r="CV28637" s="376"/>
    </row>
    <row r="28638" spans="1:100">
      <c r="A28638" s="374"/>
      <c r="C28638" s="374"/>
      <c r="CV28638" s="376"/>
    </row>
    <row r="28639" spans="1:100">
      <c r="A28639" s="374"/>
      <c r="C28639" s="374"/>
      <c r="CV28639" s="376"/>
    </row>
    <row r="28640" spans="1:100">
      <c r="A28640" s="374"/>
      <c r="C28640" s="374"/>
      <c r="CV28640" s="376"/>
    </row>
    <row r="28641" spans="1:100">
      <c r="A28641" s="374"/>
      <c r="C28641" s="374"/>
      <c r="CV28641" s="376"/>
    </row>
    <row r="28642" spans="1:100">
      <c r="A28642" s="374"/>
      <c r="C28642" s="374"/>
      <c r="CV28642" s="376"/>
    </row>
    <row r="28643" spans="1:100">
      <c r="A28643" s="374"/>
      <c r="C28643" s="374"/>
      <c r="CV28643" s="376"/>
    </row>
    <row r="28644" spans="1:100">
      <c r="A28644" s="374"/>
      <c r="C28644" s="374"/>
      <c r="CV28644" s="376"/>
    </row>
    <row r="28645" spans="1:100">
      <c r="A28645" s="374"/>
      <c r="C28645" s="374"/>
      <c r="CV28645" s="376"/>
    </row>
    <row r="28646" spans="1:100">
      <c r="A28646" s="374"/>
      <c r="C28646" s="374"/>
      <c r="CV28646" s="376"/>
    </row>
    <row r="28647" spans="1:100">
      <c r="A28647" s="374"/>
      <c r="C28647" s="374"/>
      <c r="CV28647" s="376"/>
    </row>
    <row r="28648" spans="1:100">
      <c r="A28648" s="374"/>
      <c r="C28648" s="374"/>
      <c r="CV28648" s="376"/>
    </row>
    <row r="28649" spans="1:100">
      <c r="A28649" s="374"/>
      <c r="C28649" s="374"/>
      <c r="CV28649" s="376"/>
    </row>
    <row r="28650" spans="1:100">
      <c r="A28650" s="374"/>
      <c r="C28650" s="374"/>
      <c r="CV28650" s="376"/>
    </row>
    <row r="28651" spans="1:100">
      <c r="A28651" s="374"/>
      <c r="C28651" s="374"/>
      <c r="CV28651" s="376"/>
    </row>
    <row r="28652" spans="1:100">
      <c r="A28652" s="374"/>
      <c r="C28652" s="374"/>
      <c r="CV28652" s="376"/>
    </row>
    <row r="28653" spans="1:100">
      <c r="A28653" s="374"/>
      <c r="C28653" s="374"/>
      <c r="CV28653" s="376"/>
    </row>
    <row r="28654" spans="1:100">
      <c r="A28654" s="374"/>
      <c r="C28654" s="374"/>
      <c r="CV28654" s="376"/>
    </row>
    <row r="28655" spans="1:100">
      <c r="A28655" s="374"/>
      <c r="C28655" s="374"/>
      <c r="CV28655" s="376"/>
    </row>
    <row r="28656" spans="1:100">
      <c r="A28656" s="374"/>
      <c r="C28656" s="374"/>
      <c r="CV28656" s="376"/>
    </row>
    <row r="28657" spans="1:100">
      <c r="A28657" s="374"/>
      <c r="C28657" s="374"/>
      <c r="CV28657" s="376"/>
    </row>
    <row r="28658" spans="1:100">
      <c r="A28658" s="374"/>
      <c r="C28658" s="374"/>
      <c r="CV28658" s="376"/>
    </row>
    <row r="28659" spans="1:100">
      <c r="A28659" s="374"/>
      <c r="C28659" s="374"/>
      <c r="CV28659" s="376"/>
    </row>
    <row r="28660" spans="1:100">
      <c r="A28660" s="374"/>
      <c r="C28660" s="374"/>
      <c r="CV28660" s="376"/>
    </row>
    <row r="28661" spans="1:100">
      <c r="A28661" s="374"/>
      <c r="C28661" s="374"/>
      <c r="CV28661" s="376"/>
    </row>
    <row r="28662" spans="1:100">
      <c r="A28662" s="374"/>
      <c r="C28662" s="374"/>
      <c r="CV28662" s="376"/>
    </row>
    <row r="28663" spans="1:100">
      <c r="A28663" s="374"/>
      <c r="C28663" s="374"/>
      <c r="CV28663" s="376"/>
    </row>
    <row r="28664" spans="1:100">
      <c r="A28664" s="374"/>
      <c r="C28664" s="374"/>
      <c r="CV28664" s="376"/>
    </row>
    <row r="28665" spans="1:100">
      <c r="A28665" s="374"/>
      <c r="C28665" s="374"/>
      <c r="CV28665" s="376"/>
    </row>
    <row r="28666" spans="1:100">
      <c r="A28666" s="374"/>
      <c r="C28666" s="374"/>
      <c r="CV28666" s="376"/>
    </row>
    <row r="28667" spans="1:100">
      <c r="A28667" s="374"/>
      <c r="C28667" s="374"/>
      <c r="CV28667" s="376"/>
    </row>
    <row r="28668" spans="1:100">
      <c r="A28668" s="374"/>
      <c r="C28668" s="374"/>
      <c r="CV28668" s="376"/>
    </row>
    <row r="28669" spans="1:100">
      <c r="A28669" s="374"/>
      <c r="C28669" s="374"/>
      <c r="CV28669" s="376"/>
    </row>
    <row r="28670" spans="1:100">
      <c r="A28670" s="374"/>
      <c r="C28670" s="374"/>
      <c r="CV28670" s="376"/>
    </row>
    <row r="28671" spans="1:100">
      <c r="A28671" s="374"/>
      <c r="C28671" s="374"/>
      <c r="CV28671" s="376"/>
    </row>
    <row r="28672" spans="1:100">
      <c r="A28672" s="374"/>
      <c r="C28672" s="374"/>
      <c r="CV28672" s="376"/>
    </row>
    <row r="28673" spans="1:100">
      <c r="A28673" s="374"/>
      <c r="C28673" s="374"/>
      <c r="CV28673" s="376"/>
    </row>
    <row r="28674" spans="1:100">
      <c r="A28674" s="374"/>
      <c r="C28674" s="374"/>
      <c r="CV28674" s="376"/>
    </row>
    <row r="28675" spans="1:100">
      <c r="A28675" s="374"/>
      <c r="C28675" s="374"/>
      <c r="CV28675" s="376"/>
    </row>
    <row r="28676" spans="1:100">
      <c r="A28676" s="374"/>
      <c r="C28676" s="374"/>
      <c r="CV28676" s="376"/>
    </row>
    <row r="28677" spans="1:100">
      <c r="A28677" s="374"/>
      <c r="C28677" s="374"/>
      <c r="CV28677" s="376"/>
    </row>
    <row r="28678" spans="1:100">
      <c r="A28678" s="374"/>
      <c r="C28678" s="374"/>
      <c r="CV28678" s="376"/>
    </row>
    <row r="28679" spans="1:100">
      <c r="A28679" s="374"/>
      <c r="C28679" s="374"/>
      <c r="CV28679" s="376"/>
    </row>
    <row r="28680" spans="1:100">
      <c r="A28680" s="374"/>
      <c r="C28680" s="374"/>
      <c r="CV28680" s="376"/>
    </row>
    <row r="28681" spans="1:100">
      <c r="A28681" s="374"/>
      <c r="C28681" s="374"/>
      <c r="CV28681" s="376"/>
    </row>
    <row r="28682" spans="1:100">
      <c r="A28682" s="374"/>
      <c r="C28682" s="374"/>
      <c r="CV28682" s="376"/>
    </row>
    <row r="28683" spans="1:100">
      <c r="A28683" s="374"/>
      <c r="C28683" s="374"/>
      <c r="CV28683" s="376"/>
    </row>
    <row r="28684" spans="1:100">
      <c r="A28684" s="374"/>
      <c r="C28684" s="374"/>
      <c r="CV28684" s="376"/>
    </row>
    <row r="28685" spans="1:100">
      <c r="A28685" s="374"/>
      <c r="C28685" s="374"/>
      <c r="CV28685" s="376"/>
    </row>
    <row r="28686" spans="1:100">
      <c r="A28686" s="374"/>
      <c r="C28686" s="374"/>
      <c r="CV28686" s="376"/>
    </row>
    <row r="28687" spans="1:100">
      <c r="A28687" s="374"/>
      <c r="C28687" s="374"/>
      <c r="CV28687" s="376"/>
    </row>
    <row r="28688" spans="1:100">
      <c r="A28688" s="374"/>
      <c r="C28688" s="374"/>
      <c r="CV28688" s="376"/>
    </row>
    <row r="28689" spans="1:100">
      <c r="A28689" s="374"/>
      <c r="C28689" s="374"/>
      <c r="CV28689" s="376"/>
    </row>
    <row r="28690" spans="1:100">
      <c r="A28690" s="374"/>
      <c r="C28690" s="374"/>
      <c r="CV28690" s="376"/>
    </row>
    <row r="28691" spans="1:100">
      <c r="A28691" s="374"/>
      <c r="C28691" s="374"/>
      <c r="CV28691" s="376"/>
    </row>
    <row r="28692" spans="1:100">
      <c r="A28692" s="374"/>
      <c r="C28692" s="374"/>
      <c r="CV28692" s="376"/>
    </row>
    <row r="28693" spans="1:100">
      <c r="A28693" s="374"/>
      <c r="C28693" s="374"/>
      <c r="CV28693" s="376"/>
    </row>
    <row r="28694" spans="1:100">
      <c r="A28694" s="374"/>
      <c r="C28694" s="374"/>
      <c r="CV28694" s="376"/>
    </row>
    <row r="28695" spans="1:100">
      <c r="A28695" s="374"/>
      <c r="C28695" s="374"/>
      <c r="CV28695" s="376"/>
    </row>
    <row r="28696" spans="1:100">
      <c r="A28696" s="374"/>
      <c r="C28696" s="374"/>
      <c r="CV28696" s="376"/>
    </row>
    <row r="28697" spans="1:100">
      <c r="A28697" s="374"/>
      <c r="C28697" s="374"/>
      <c r="CV28697" s="376"/>
    </row>
    <row r="28698" spans="1:100">
      <c r="A28698" s="374"/>
      <c r="C28698" s="374"/>
      <c r="CV28698" s="376"/>
    </row>
    <row r="28699" spans="1:100">
      <c r="A28699" s="374"/>
      <c r="C28699" s="374"/>
      <c r="CV28699" s="376"/>
    </row>
    <row r="28700" spans="1:100">
      <c r="A28700" s="374"/>
      <c r="C28700" s="374"/>
      <c r="CV28700" s="376"/>
    </row>
    <row r="28701" spans="1:100">
      <c r="A28701" s="374"/>
      <c r="C28701" s="374"/>
      <c r="CV28701" s="376"/>
    </row>
    <row r="28702" spans="1:100">
      <c r="A28702" s="374"/>
      <c r="C28702" s="374"/>
      <c r="CV28702" s="376"/>
    </row>
    <row r="28703" spans="1:100">
      <c r="A28703" s="374"/>
      <c r="C28703" s="374"/>
      <c r="CV28703" s="376"/>
    </row>
    <row r="28704" spans="1:100">
      <c r="A28704" s="374"/>
      <c r="C28704" s="374"/>
      <c r="CV28704" s="376"/>
    </row>
    <row r="28705" spans="1:100">
      <c r="A28705" s="374"/>
      <c r="C28705" s="374"/>
      <c r="CV28705" s="376"/>
    </row>
    <row r="28706" spans="1:100">
      <c r="A28706" s="374"/>
      <c r="C28706" s="374"/>
      <c r="CV28706" s="376"/>
    </row>
    <row r="28707" spans="1:100">
      <c r="A28707" s="374"/>
      <c r="C28707" s="374"/>
      <c r="CV28707" s="376"/>
    </row>
    <row r="28708" spans="1:100">
      <c r="A28708" s="374"/>
      <c r="C28708" s="374"/>
      <c r="CV28708" s="376"/>
    </row>
    <row r="28709" spans="1:100">
      <c r="A28709" s="374"/>
      <c r="C28709" s="374"/>
      <c r="CV28709" s="376"/>
    </row>
    <row r="28710" spans="1:100">
      <c r="A28710" s="374"/>
      <c r="C28710" s="374"/>
      <c r="CV28710" s="376"/>
    </row>
    <row r="28711" spans="1:100">
      <c r="A28711" s="374"/>
      <c r="C28711" s="374"/>
      <c r="CV28711" s="376"/>
    </row>
    <row r="28712" spans="1:100">
      <c r="A28712" s="374"/>
      <c r="C28712" s="374"/>
      <c r="CV28712" s="376"/>
    </row>
    <row r="28713" spans="1:100">
      <c r="A28713" s="374"/>
      <c r="C28713" s="374"/>
      <c r="CV28713" s="376"/>
    </row>
    <row r="28714" spans="1:100">
      <c r="A28714" s="374"/>
      <c r="C28714" s="374"/>
      <c r="CV28714" s="376"/>
    </row>
    <row r="28715" spans="1:100">
      <c r="A28715" s="374"/>
      <c r="C28715" s="374"/>
      <c r="CV28715" s="376"/>
    </row>
    <row r="28716" spans="1:100">
      <c r="A28716" s="374"/>
      <c r="C28716" s="374"/>
      <c r="CV28716" s="376"/>
    </row>
    <row r="28717" spans="1:100">
      <c r="A28717" s="374"/>
      <c r="C28717" s="374"/>
      <c r="CV28717" s="376"/>
    </row>
    <row r="28718" spans="1:100">
      <c r="A28718" s="374"/>
      <c r="C28718" s="374"/>
      <c r="CV28718" s="376"/>
    </row>
    <row r="28719" spans="1:100">
      <c r="A28719" s="374"/>
      <c r="C28719" s="374"/>
      <c r="CV28719" s="376"/>
    </row>
    <row r="28720" spans="1:100">
      <c r="A28720" s="374"/>
      <c r="C28720" s="374"/>
      <c r="CV28720" s="376"/>
    </row>
    <row r="28721" spans="1:100">
      <c r="A28721" s="374"/>
      <c r="C28721" s="374"/>
      <c r="CV28721" s="376"/>
    </row>
    <row r="28722" spans="1:100">
      <c r="A28722" s="374"/>
      <c r="C28722" s="374"/>
      <c r="CV28722" s="376"/>
    </row>
    <row r="28723" spans="1:100">
      <c r="A28723" s="374"/>
      <c r="C28723" s="374"/>
      <c r="CV28723" s="376"/>
    </row>
    <row r="28724" spans="1:100">
      <c r="A28724" s="374"/>
      <c r="C28724" s="374"/>
      <c r="CV28724" s="376"/>
    </row>
    <row r="28725" spans="1:100">
      <c r="A28725" s="374"/>
      <c r="C28725" s="374"/>
      <c r="CV28725" s="376"/>
    </row>
    <row r="28726" spans="1:100">
      <c r="A28726" s="374"/>
      <c r="C28726" s="374"/>
      <c r="CV28726" s="376"/>
    </row>
    <row r="28727" spans="1:100">
      <c r="A28727" s="374"/>
      <c r="C28727" s="374"/>
      <c r="CV28727" s="376"/>
    </row>
    <row r="28728" spans="1:100">
      <c r="A28728" s="374"/>
      <c r="C28728" s="374"/>
      <c r="CV28728" s="376"/>
    </row>
    <row r="28729" spans="1:100">
      <c r="A28729" s="374"/>
      <c r="C28729" s="374"/>
      <c r="CV28729" s="376"/>
    </row>
    <row r="28730" spans="1:100">
      <c r="A28730" s="374"/>
      <c r="C28730" s="374"/>
      <c r="CV28730" s="376"/>
    </row>
    <row r="28731" spans="1:100">
      <c r="A28731" s="374"/>
      <c r="C28731" s="374"/>
      <c r="CV28731" s="376"/>
    </row>
    <row r="28732" spans="1:100">
      <c r="A28732" s="374"/>
      <c r="C28732" s="374"/>
      <c r="CV28732" s="376"/>
    </row>
    <row r="28733" spans="1:100">
      <c r="A28733" s="374"/>
      <c r="C28733" s="374"/>
      <c r="CV28733" s="376"/>
    </row>
    <row r="28734" spans="1:100">
      <c r="A28734" s="374"/>
      <c r="C28734" s="374"/>
      <c r="CV28734" s="376"/>
    </row>
    <row r="28735" spans="1:100">
      <c r="A28735" s="374"/>
      <c r="C28735" s="374"/>
      <c r="CV28735" s="376"/>
    </row>
    <row r="28736" spans="1:100">
      <c r="A28736" s="374"/>
      <c r="C28736" s="374"/>
      <c r="CV28736" s="376"/>
    </row>
    <row r="28737" spans="1:100">
      <c r="A28737" s="374"/>
      <c r="C28737" s="374"/>
      <c r="CV28737" s="376"/>
    </row>
    <row r="28738" spans="1:100">
      <c r="A28738" s="374"/>
      <c r="C28738" s="374"/>
      <c r="CV28738" s="376"/>
    </row>
    <row r="28739" spans="1:100">
      <c r="A28739" s="374"/>
      <c r="C28739" s="374"/>
      <c r="CV28739" s="376"/>
    </row>
    <row r="28740" spans="1:100">
      <c r="A28740" s="374"/>
      <c r="C28740" s="374"/>
      <c r="CV28740" s="376"/>
    </row>
    <row r="28741" spans="1:100">
      <c r="A28741" s="374"/>
      <c r="C28741" s="374"/>
      <c r="CV28741" s="376"/>
    </row>
    <row r="28742" spans="1:100">
      <c r="A28742" s="374"/>
      <c r="C28742" s="374"/>
      <c r="CV28742" s="376"/>
    </row>
    <row r="28743" spans="1:100">
      <c r="A28743" s="374"/>
      <c r="C28743" s="374"/>
      <c r="CV28743" s="376"/>
    </row>
    <row r="28744" spans="1:100">
      <c r="A28744" s="374"/>
      <c r="C28744" s="374"/>
      <c r="CV28744" s="376"/>
    </row>
    <row r="28745" spans="1:100">
      <c r="A28745" s="374"/>
      <c r="C28745" s="374"/>
      <c r="CV28745" s="376"/>
    </row>
    <row r="28746" spans="1:100">
      <c r="A28746" s="374"/>
      <c r="C28746" s="374"/>
      <c r="CV28746" s="376"/>
    </row>
    <row r="28747" spans="1:100">
      <c r="A28747" s="374"/>
      <c r="C28747" s="374"/>
      <c r="CV28747" s="376"/>
    </row>
    <row r="28748" spans="1:100">
      <c r="A28748" s="374"/>
      <c r="C28748" s="374"/>
      <c r="CV28748" s="376"/>
    </row>
    <row r="28749" spans="1:100">
      <c r="A28749" s="374"/>
      <c r="C28749" s="374"/>
      <c r="CV28749" s="376"/>
    </row>
    <row r="28750" spans="1:100">
      <c r="A28750" s="374"/>
      <c r="C28750" s="374"/>
      <c r="CV28750" s="376"/>
    </row>
    <row r="28751" spans="1:100">
      <c r="A28751" s="374"/>
      <c r="C28751" s="374"/>
      <c r="CV28751" s="376"/>
    </row>
    <row r="28752" spans="1:100">
      <c r="A28752" s="374"/>
      <c r="C28752" s="374"/>
      <c r="CV28752" s="376"/>
    </row>
    <row r="28753" spans="1:100">
      <c r="A28753" s="374"/>
      <c r="C28753" s="374"/>
      <c r="CV28753" s="376"/>
    </row>
    <row r="28754" spans="1:100">
      <c r="A28754" s="374"/>
      <c r="C28754" s="374"/>
      <c r="CV28754" s="376"/>
    </row>
    <row r="28755" spans="1:100">
      <c r="A28755" s="374"/>
      <c r="C28755" s="374"/>
      <c r="CV28755" s="376"/>
    </row>
    <row r="28756" spans="1:100">
      <c r="A28756" s="374"/>
      <c r="C28756" s="374"/>
      <c r="CV28756" s="376"/>
    </row>
    <row r="28757" spans="1:100">
      <c r="A28757" s="374"/>
      <c r="C28757" s="374"/>
      <c r="CV28757" s="376"/>
    </row>
    <row r="28758" spans="1:100">
      <c r="A28758" s="374"/>
      <c r="C28758" s="374"/>
      <c r="CV28758" s="376"/>
    </row>
    <row r="28759" spans="1:100">
      <c r="A28759" s="374"/>
      <c r="C28759" s="374"/>
      <c r="CV28759" s="376"/>
    </row>
    <row r="28760" spans="1:100">
      <c r="A28760" s="374"/>
      <c r="C28760" s="374"/>
      <c r="CV28760" s="376"/>
    </row>
    <row r="28761" spans="1:100">
      <c r="A28761" s="374"/>
      <c r="C28761" s="374"/>
      <c r="CV28761" s="376"/>
    </row>
    <row r="28762" spans="1:100">
      <c r="A28762" s="374"/>
      <c r="C28762" s="374"/>
      <c r="CV28762" s="376"/>
    </row>
    <row r="28763" spans="1:100">
      <c r="A28763" s="374"/>
      <c r="C28763" s="374"/>
      <c r="CV28763" s="376"/>
    </row>
    <row r="28764" spans="1:100">
      <c r="A28764" s="374"/>
      <c r="C28764" s="374"/>
      <c r="CV28764" s="376"/>
    </row>
    <row r="28765" spans="1:100">
      <c r="A28765" s="374"/>
      <c r="C28765" s="374"/>
      <c r="CV28765" s="376"/>
    </row>
    <row r="28766" spans="1:100">
      <c r="A28766" s="374"/>
      <c r="C28766" s="374"/>
      <c r="CV28766" s="376"/>
    </row>
    <row r="28767" spans="1:100">
      <c r="A28767" s="374"/>
      <c r="C28767" s="374"/>
      <c r="CV28767" s="376"/>
    </row>
    <row r="28768" spans="1:100">
      <c r="A28768" s="374"/>
      <c r="C28768" s="374"/>
      <c r="CV28768" s="376"/>
    </row>
    <row r="28769" spans="1:100">
      <c r="A28769" s="374"/>
      <c r="C28769" s="374"/>
      <c r="CV28769" s="376"/>
    </row>
    <row r="28770" spans="1:100">
      <c r="A28770" s="374"/>
      <c r="C28770" s="374"/>
      <c r="CV28770" s="376"/>
    </row>
    <row r="28771" spans="1:100">
      <c r="A28771" s="374"/>
      <c r="C28771" s="374"/>
      <c r="CV28771" s="376"/>
    </row>
    <row r="28772" spans="1:100">
      <c r="A28772" s="374"/>
      <c r="C28772" s="374"/>
      <c r="CV28772" s="376"/>
    </row>
    <row r="28773" spans="1:100">
      <c r="A28773" s="374"/>
      <c r="C28773" s="374"/>
      <c r="CV28773" s="376"/>
    </row>
    <row r="28774" spans="1:100">
      <c r="A28774" s="374"/>
      <c r="C28774" s="374"/>
      <c r="CV28774" s="376"/>
    </row>
    <row r="28775" spans="1:100">
      <c r="A28775" s="374"/>
      <c r="C28775" s="374"/>
      <c r="CV28775" s="376"/>
    </row>
    <row r="28776" spans="1:100">
      <c r="A28776" s="374"/>
      <c r="C28776" s="374"/>
      <c r="CV28776" s="376"/>
    </row>
    <row r="28777" spans="1:100">
      <c r="A28777" s="374"/>
      <c r="C28777" s="374"/>
      <c r="CV28777" s="376"/>
    </row>
    <row r="28778" spans="1:100">
      <c r="A28778" s="374"/>
      <c r="C28778" s="374"/>
      <c r="CV28778" s="376"/>
    </row>
    <row r="28779" spans="1:100">
      <c r="A28779" s="374"/>
      <c r="C28779" s="374"/>
      <c r="CV28779" s="376"/>
    </row>
    <row r="28780" spans="1:100">
      <c r="A28780" s="374"/>
      <c r="C28780" s="374"/>
      <c r="CV28780" s="376"/>
    </row>
    <row r="28781" spans="1:100">
      <c r="A28781" s="374"/>
      <c r="C28781" s="374"/>
      <c r="CV28781" s="376"/>
    </row>
    <row r="28782" spans="1:100">
      <c r="A28782" s="374"/>
      <c r="C28782" s="374"/>
      <c r="CV28782" s="376"/>
    </row>
    <row r="28783" spans="1:100">
      <c r="A28783" s="374"/>
      <c r="C28783" s="374"/>
      <c r="CV28783" s="376"/>
    </row>
    <row r="28784" spans="1:100">
      <c r="A28784" s="374"/>
      <c r="C28784" s="374"/>
      <c r="CV28784" s="376"/>
    </row>
    <row r="28785" spans="1:100">
      <c r="A28785" s="374"/>
      <c r="C28785" s="374"/>
      <c r="CV28785" s="376"/>
    </row>
    <row r="28786" spans="1:100">
      <c r="A28786" s="374"/>
      <c r="C28786" s="374"/>
      <c r="CV28786" s="376"/>
    </row>
    <row r="28787" spans="1:100">
      <c r="A28787" s="374"/>
      <c r="C28787" s="374"/>
      <c r="CV28787" s="376"/>
    </row>
    <row r="28788" spans="1:100">
      <c r="A28788" s="374"/>
      <c r="C28788" s="374"/>
      <c r="CV28788" s="376"/>
    </row>
    <row r="28789" spans="1:100">
      <c r="A28789" s="374"/>
      <c r="C28789" s="374"/>
      <c r="CV28789" s="376"/>
    </row>
    <row r="28790" spans="1:100">
      <c r="A28790" s="374"/>
      <c r="C28790" s="374"/>
      <c r="CV28790" s="376"/>
    </row>
    <row r="28791" spans="1:100">
      <c r="A28791" s="374"/>
      <c r="C28791" s="374"/>
      <c r="CV28791" s="376"/>
    </row>
    <row r="28792" spans="1:100">
      <c r="A28792" s="374"/>
      <c r="C28792" s="374"/>
      <c r="CV28792" s="376"/>
    </row>
    <row r="28793" spans="1:100">
      <c r="A28793" s="374"/>
      <c r="C28793" s="374"/>
      <c r="CV28793" s="376"/>
    </row>
    <row r="28794" spans="1:100">
      <c r="A28794" s="374"/>
      <c r="C28794" s="374"/>
      <c r="CV28794" s="376"/>
    </row>
    <row r="28795" spans="1:100">
      <c r="A28795" s="374"/>
      <c r="C28795" s="374"/>
      <c r="CV28795" s="376"/>
    </row>
    <row r="28796" spans="1:100">
      <c r="A28796" s="374"/>
      <c r="C28796" s="374"/>
      <c r="CV28796" s="376"/>
    </row>
    <row r="28797" spans="1:100">
      <c r="A28797" s="374"/>
      <c r="C28797" s="374"/>
      <c r="CV28797" s="376"/>
    </row>
    <row r="28798" spans="1:100">
      <c r="A28798" s="374"/>
      <c r="C28798" s="374"/>
      <c r="CV28798" s="376"/>
    </row>
    <row r="28799" spans="1:100">
      <c r="A28799" s="374"/>
      <c r="C28799" s="374"/>
      <c r="CV28799" s="376"/>
    </row>
    <row r="28800" spans="1:100">
      <c r="A28800" s="374"/>
      <c r="C28800" s="374"/>
      <c r="CV28800" s="376"/>
    </row>
    <row r="28801" spans="1:100">
      <c r="A28801" s="374"/>
      <c r="C28801" s="374"/>
      <c r="CV28801" s="376"/>
    </row>
    <row r="28802" spans="1:100">
      <c r="A28802" s="374"/>
      <c r="C28802" s="374"/>
      <c r="CV28802" s="376"/>
    </row>
    <row r="28803" spans="1:100">
      <c r="A28803" s="374"/>
      <c r="C28803" s="374"/>
      <c r="CV28803" s="376"/>
    </row>
    <row r="28804" spans="1:100">
      <c r="A28804" s="374"/>
      <c r="C28804" s="374"/>
      <c r="CV28804" s="376"/>
    </row>
    <row r="28805" spans="1:100">
      <c r="A28805" s="374"/>
      <c r="C28805" s="374"/>
      <c r="CV28805" s="376"/>
    </row>
    <row r="28806" spans="1:100">
      <c r="A28806" s="374"/>
      <c r="C28806" s="374"/>
      <c r="CV28806" s="376"/>
    </row>
    <row r="28807" spans="1:100">
      <c r="A28807" s="374"/>
      <c r="C28807" s="374"/>
      <c r="CV28807" s="376"/>
    </row>
    <row r="28808" spans="1:100">
      <c r="A28808" s="374"/>
      <c r="C28808" s="374"/>
      <c r="CV28808" s="376"/>
    </row>
    <row r="28809" spans="1:100">
      <c r="A28809" s="374"/>
      <c r="C28809" s="374"/>
      <c r="CV28809" s="376"/>
    </row>
    <row r="28810" spans="1:100">
      <c r="A28810" s="374"/>
      <c r="C28810" s="374"/>
      <c r="CV28810" s="376"/>
    </row>
    <row r="28811" spans="1:100">
      <c r="A28811" s="374"/>
      <c r="C28811" s="374"/>
      <c r="CV28811" s="376"/>
    </row>
    <row r="28812" spans="1:100">
      <c r="A28812" s="374"/>
      <c r="C28812" s="374"/>
      <c r="CV28812" s="376"/>
    </row>
    <row r="28813" spans="1:100">
      <c r="A28813" s="374"/>
      <c r="C28813" s="374"/>
      <c r="CV28813" s="376"/>
    </row>
    <row r="28814" spans="1:100">
      <c r="A28814" s="374"/>
      <c r="C28814" s="374"/>
      <c r="CV28814" s="376"/>
    </row>
    <row r="28815" spans="1:100">
      <c r="A28815" s="374"/>
      <c r="C28815" s="374"/>
      <c r="CV28815" s="376"/>
    </row>
    <row r="28816" spans="1:100">
      <c r="A28816" s="374"/>
      <c r="C28816" s="374"/>
      <c r="CV28816" s="376"/>
    </row>
    <row r="28817" spans="1:100">
      <c r="A28817" s="374"/>
      <c r="C28817" s="374"/>
      <c r="CV28817" s="376"/>
    </row>
    <row r="28818" spans="1:100">
      <c r="A28818" s="374"/>
      <c r="C28818" s="374"/>
      <c r="CV28818" s="376"/>
    </row>
    <row r="28819" spans="1:100">
      <c r="A28819" s="374"/>
      <c r="C28819" s="374"/>
      <c r="CV28819" s="376"/>
    </row>
    <row r="28820" spans="1:100">
      <c r="A28820" s="374"/>
      <c r="C28820" s="374"/>
      <c r="CV28820" s="376"/>
    </row>
    <row r="28821" spans="1:100">
      <c r="A28821" s="374"/>
      <c r="C28821" s="374"/>
      <c r="CV28821" s="376"/>
    </row>
    <row r="28822" spans="1:100">
      <c r="A28822" s="374"/>
      <c r="C28822" s="374"/>
      <c r="CV28822" s="376"/>
    </row>
    <row r="28823" spans="1:100">
      <c r="A28823" s="374"/>
      <c r="C28823" s="374"/>
      <c r="CV28823" s="376"/>
    </row>
    <row r="28824" spans="1:100">
      <c r="A28824" s="374"/>
      <c r="C28824" s="374"/>
      <c r="CV28824" s="376"/>
    </row>
    <row r="28825" spans="1:100">
      <c r="A28825" s="374"/>
      <c r="C28825" s="374"/>
      <c r="CV28825" s="376"/>
    </row>
    <row r="28826" spans="1:100">
      <c r="A28826" s="374"/>
      <c r="C28826" s="374"/>
      <c r="CV28826" s="376"/>
    </row>
    <row r="28827" spans="1:100">
      <c r="A28827" s="374"/>
      <c r="C28827" s="374"/>
      <c r="CV28827" s="376"/>
    </row>
    <row r="28828" spans="1:100">
      <c r="A28828" s="374"/>
      <c r="C28828" s="374"/>
      <c r="CV28828" s="376"/>
    </row>
    <row r="28829" spans="1:100">
      <c r="A28829" s="374"/>
      <c r="C28829" s="374"/>
      <c r="CV28829" s="376"/>
    </row>
    <row r="28830" spans="1:100">
      <c r="A28830" s="374"/>
      <c r="C28830" s="374"/>
      <c r="CV28830" s="376"/>
    </row>
    <row r="28831" spans="1:100">
      <c r="A28831" s="374"/>
      <c r="C28831" s="374"/>
      <c r="CV28831" s="376"/>
    </row>
    <row r="28832" spans="1:100">
      <c r="A28832" s="374"/>
      <c r="C28832" s="374"/>
      <c r="CV28832" s="376"/>
    </row>
    <row r="28833" spans="1:100">
      <c r="A28833" s="374"/>
      <c r="C28833" s="374"/>
      <c r="CV28833" s="376"/>
    </row>
    <row r="28834" spans="1:100">
      <c r="A28834" s="374"/>
      <c r="C28834" s="374"/>
      <c r="CV28834" s="376"/>
    </row>
    <row r="28835" spans="1:100">
      <c r="A28835" s="374"/>
      <c r="C28835" s="374"/>
      <c r="CV28835" s="376"/>
    </row>
    <row r="28836" spans="1:100">
      <c r="A28836" s="374"/>
      <c r="C28836" s="374"/>
      <c r="CV28836" s="376"/>
    </row>
    <row r="28837" spans="1:100">
      <c r="A28837" s="374"/>
      <c r="C28837" s="374"/>
      <c r="CV28837" s="376"/>
    </row>
    <row r="28838" spans="1:100">
      <c r="A28838" s="374"/>
      <c r="C28838" s="374"/>
      <c r="CV28838" s="376"/>
    </row>
    <row r="28839" spans="1:100">
      <c r="A28839" s="374"/>
      <c r="C28839" s="374"/>
      <c r="CV28839" s="376"/>
    </row>
    <row r="28840" spans="1:100">
      <c r="A28840" s="374"/>
      <c r="C28840" s="374"/>
      <c r="CV28840" s="376"/>
    </row>
    <row r="28841" spans="1:100">
      <c r="A28841" s="374"/>
      <c r="C28841" s="374"/>
      <c r="CV28841" s="376"/>
    </row>
    <row r="28842" spans="1:100">
      <c r="A28842" s="374"/>
      <c r="C28842" s="374"/>
      <c r="CV28842" s="376"/>
    </row>
    <row r="28843" spans="1:100">
      <c r="A28843" s="374"/>
      <c r="C28843" s="374"/>
      <c r="CV28843" s="376"/>
    </row>
    <row r="28844" spans="1:100">
      <c r="A28844" s="374"/>
      <c r="C28844" s="374"/>
      <c r="CV28844" s="376"/>
    </row>
    <row r="28845" spans="1:100">
      <c r="A28845" s="374"/>
      <c r="C28845" s="374"/>
      <c r="CV28845" s="376"/>
    </row>
    <row r="28846" spans="1:100">
      <c r="A28846" s="374"/>
      <c r="C28846" s="374"/>
      <c r="CV28846" s="376"/>
    </row>
    <row r="28847" spans="1:100">
      <c r="A28847" s="374"/>
      <c r="C28847" s="374"/>
      <c r="CV28847" s="376"/>
    </row>
    <row r="28848" spans="1:100">
      <c r="A28848" s="374"/>
      <c r="C28848" s="374"/>
      <c r="CV28848" s="376"/>
    </row>
    <row r="28849" spans="1:100">
      <c r="A28849" s="374"/>
      <c r="C28849" s="374"/>
      <c r="CV28849" s="376"/>
    </row>
    <row r="28850" spans="1:100">
      <c r="A28850" s="374"/>
      <c r="C28850" s="374"/>
      <c r="CV28850" s="376"/>
    </row>
    <row r="28851" spans="1:100">
      <c r="A28851" s="374"/>
      <c r="C28851" s="374"/>
      <c r="CV28851" s="376"/>
    </row>
    <row r="28852" spans="1:100">
      <c r="A28852" s="374"/>
      <c r="C28852" s="374"/>
      <c r="CV28852" s="376"/>
    </row>
    <row r="28853" spans="1:100">
      <c r="A28853" s="374"/>
      <c r="C28853" s="374"/>
      <c r="CV28853" s="376"/>
    </row>
    <row r="28854" spans="1:100">
      <c r="A28854" s="374"/>
      <c r="C28854" s="374"/>
      <c r="CV28854" s="376"/>
    </row>
    <row r="28855" spans="1:100">
      <c r="A28855" s="374"/>
      <c r="C28855" s="374"/>
      <c r="CV28855" s="376"/>
    </row>
    <row r="28856" spans="1:100">
      <c r="A28856" s="374"/>
      <c r="C28856" s="374"/>
      <c r="CV28856" s="376"/>
    </row>
    <row r="28857" spans="1:100">
      <c r="A28857" s="374"/>
      <c r="C28857" s="374"/>
      <c r="CV28857" s="376"/>
    </row>
    <row r="28858" spans="1:100">
      <c r="A28858" s="374"/>
      <c r="C28858" s="374"/>
      <c r="CV28858" s="376"/>
    </row>
    <row r="28859" spans="1:100">
      <c r="A28859" s="374"/>
      <c r="C28859" s="374"/>
      <c r="CV28859" s="376"/>
    </row>
    <row r="28860" spans="1:100">
      <c r="A28860" s="374"/>
      <c r="C28860" s="374"/>
      <c r="CV28860" s="376"/>
    </row>
    <row r="28861" spans="1:100">
      <c r="A28861" s="374"/>
      <c r="C28861" s="374"/>
      <c r="CV28861" s="376"/>
    </row>
    <row r="28862" spans="1:100">
      <c r="A28862" s="374"/>
      <c r="C28862" s="374"/>
      <c r="CV28862" s="376"/>
    </row>
    <row r="28863" spans="1:100">
      <c r="A28863" s="374"/>
      <c r="C28863" s="374"/>
      <c r="CV28863" s="376"/>
    </row>
    <row r="28864" spans="1:100">
      <c r="A28864" s="374"/>
      <c r="C28864" s="374"/>
      <c r="CV28864" s="376"/>
    </row>
    <row r="28865" spans="1:100">
      <c r="A28865" s="374"/>
      <c r="C28865" s="374"/>
      <c r="CV28865" s="376"/>
    </row>
    <row r="28866" spans="1:100">
      <c r="A28866" s="374"/>
      <c r="C28866" s="374"/>
      <c r="CV28866" s="376"/>
    </row>
    <row r="28867" spans="1:100">
      <c r="A28867" s="374"/>
      <c r="C28867" s="374"/>
      <c r="CV28867" s="376"/>
    </row>
    <row r="28868" spans="1:100">
      <c r="A28868" s="374"/>
      <c r="C28868" s="374"/>
      <c r="CV28868" s="376"/>
    </row>
    <row r="28869" spans="1:100">
      <c r="A28869" s="374"/>
      <c r="C28869" s="374"/>
      <c r="CV28869" s="376"/>
    </row>
    <row r="28870" spans="1:100">
      <c r="A28870" s="374"/>
      <c r="C28870" s="374"/>
      <c r="CV28870" s="376"/>
    </row>
    <row r="28871" spans="1:100">
      <c r="A28871" s="374"/>
      <c r="C28871" s="374"/>
      <c r="CV28871" s="376"/>
    </row>
    <row r="28872" spans="1:100">
      <c r="A28872" s="374"/>
      <c r="C28872" s="374"/>
      <c r="CV28872" s="376"/>
    </row>
    <row r="28873" spans="1:100">
      <c r="A28873" s="374"/>
      <c r="C28873" s="374"/>
      <c r="CV28873" s="376"/>
    </row>
    <row r="28874" spans="1:100">
      <c r="A28874" s="374"/>
      <c r="C28874" s="374"/>
      <c r="CV28874" s="376"/>
    </row>
    <row r="28875" spans="1:100">
      <c r="A28875" s="374"/>
      <c r="C28875" s="374"/>
      <c r="CV28875" s="376"/>
    </row>
    <row r="28876" spans="1:100">
      <c r="A28876" s="374"/>
      <c r="C28876" s="374"/>
      <c r="CV28876" s="376"/>
    </row>
    <row r="28877" spans="1:100">
      <c r="A28877" s="374"/>
      <c r="C28877" s="374"/>
      <c r="CV28877" s="376"/>
    </row>
    <row r="28878" spans="1:100">
      <c r="A28878" s="374"/>
      <c r="C28878" s="374"/>
      <c r="CV28878" s="376"/>
    </row>
    <row r="28879" spans="1:100">
      <c r="A28879" s="374"/>
      <c r="C28879" s="374"/>
      <c r="CV28879" s="376"/>
    </row>
    <row r="28880" spans="1:100">
      <c r="A28880" s="374"/>
      <c r="C28880" s="374"/>
      <c r="CV28880" s="376"/>
    </row>
    <row r="28881" spans="1:100">
      <c r="A28881" s="374"/>
      <c r="C28881" s="374"/>
      <c r="CV28881" s="376"/>
    </row>
    <row r="28882" spans="1:100">
      <c r="A28882" s="374"/>
      <c r="C28882" s="374"/>
      <c r="CV28882" s="376"/>
    </row>
    <row r="28883" spans="1:100">
      <c r="A28883" s="374"/>
      <c r="C28883" s="374"/>
      <c r="CV28883" s="376"/>
    </row>
    <row r="28884" spans="1:100">
      <c r="A28884" s="374"/>
      <c r="C28884" s="374"/>
      <c r="CV28884" s="376"/>
    </row>
    <row r="28885" spans="1:100">
      <c r="A28885" s="374"/>
      <c r="C28885" s="374"/>
      <c r="CV28885" s="376"/>
    </row>
    <row r="28886" spans="1:100">
      <c r="A28886" s="374"/>
      <c r="C28886" s="374"/>
      <c r="CV28886" s="376"/>
    </row>
    <row r="28887" spans="1:100">
      <c r="A28887" s="374"/>
      <c r="C28887" s="374"/>
      <c r="CV28887" s="376"/>
    </row>
    <row r="28888" spans="1:100">
      <c r="A28888" s="374"/>
      <c r="C28888" s="374"/>
      <c r="CV28888" s="376"/>
    </row>
    <row r="28889" spans="1:100">
      <c r="A28889" s="374"/>
      <c r="C28889" s="374"/>
      <c r="CV28889" s="376"/>
    </row>
    <row r="28890" spans="1:100">
      <c r="A28890" s="374"/>
      <c r="C28890" s="374"/>
      <c r="CV28890" s="376"/>
    </row>
    <row r="28891" spans="1:100">
      <c r="A28891" s="374"/>
      <c r="C28891" s="374"/>
      <c r="CV28891" s="376"/>
    </row>
    <row r="28892" spans="1:100">
      <c r="A28892" s="374"/>
      <c r="C28892" s="374"/>
      <c r="CV28892" s="376"/>
    </row>
    <row r="28893" spans="1:100">
      <c r="A28893" s="374"/>
      <c r="C28893" s="374"/>
      <c r="CV28893" s="376"/>
    </row>
    <row r="28894" spans="1:100">
      <c r="A28894" s="374"/>
      <c r="C28894" s="374"/>
      <c r="CV28894" s="376"/>
    </row>
    <row r="28895" spans="1:100">
      <c r="A28895" s="374"/>
      <c r="C28895" s="374"/>
      <c r="CV28895" s="376"/>
    </row>
    <row r="28896" spans="1:100">
      <c r="A28896" s="374"/>
      <c r="C28896" s="374"/>
      <c r="CV28896" s="376"/>
    </row>
    <row r="28897" spans="1:100">
      <c r="A28897" s="374"/>
      <c r="C28897" s="374"/>
      <c r="CV28897" s="376"/>
    </row>
    <row r="28898" spans="1:100">
      <c r="A28898" s="374"/>
      <c r="C28898" s="374"/>
      <c r="CV28898" s="376"/>
    </row>
    <row r="28899" spans="1:100">
      <c r="A28899" s="374"/>
      <c r="C28899" s="374"/>
      <c r="CV28899" s="376"/>
    </row>
    <row r="28900" spans="1:100">
      <c r="A28900" s="374"/>
      <c r="C28900" s="374"/>
      <c r="CV28900" s="376"/>
    </row>
    <row r="28901" spans="1:100">
      <c r="A28901" s="374"/>
      <c r="C28901" s="374"/>
      <c r="CV28901" s="376"/>
    </row>
    <row r="28902" spans="1:100">
      <c r="A28902" s="374"/>
      <c r="C28902" s="374"/>
      <c r="CV28902" s="376"/>
    </row>
    <row r="28903" spans="1:100">
      <c r="A28903" s="374"/>
      <c r="C28903" s="374"/>
      <c r="CV28903" s="376"/>
    </row>
    <row r="28904" spans="1:100">
      <c r="A28904" s="374"/>
      <c r="C28904" s="374"/>
      <c r="CV28904" s="376"/>
    </row>
    <row r="28905" spans="1:100">
      <c r="A28905" s="374"/>
      <c r="C28905" s="374"/>
      <c r="CV28905" s="376"/>
    </row>
    <row r="28906" spans="1:100">
      <c r="A28906" s="374"/>
      <c r="C28906" s="374"/>
      <c r="CV28906" s="376"/>
    </row>
    <row r="28907" spans="1:100">
      <c r="A28907" s="374"/>
      <c r="C28907" s="374"/>
      <c r="CV28907" s="376"/>
    </row>
    <row r="28908" spans="1:100">
      <c r="A28908" s="374"/>
      <c r="C28908" s="374"/>
      <c r="CV28908" s="376"/>
    </row>
    <row r="28909" spans="1:100">
      <c r="A28909" s="374"/>
      <c r="C28909" s="374"/>
      <c r="CV28909" s="376"/>
    </row>
    <row r="28910" spans="1:100">
      <c r="A28910" s="374"/>
      <c r="C28910" s="374"/>
      <c r="CV28910" s="376"/>
    </row>
    <row r="28911" spans="1:100">
      <c r="A28911" s="374"/>
      <c r="C28911" s="374"/>
      <c r="CV28911" s="376"/>
    </row>
    <row r="28912" spans="1:100">
      <c r="A28912" s="374"/>
      <c r="C28912" s="374"/>
      <c r="CV28912" s="376"/>
    </row>
    <row r="28913" spans="1:100">
      <c r="A28913" s="374"/>
      <c r="C28913" s="374"/>
      <c r="CV28913" s="376"/>
    </row>
    <row r="28914" spans="1:100">
      <c r="A28914" s="374"/>
      <c r="C28914" s="374"/>
      <c r="CV28914" s="376"/>
    </row>
    <row r="28915" spans="1:100">
      <c r="A28915" s="374"/>
      <c r="C28915" s="374"/>
      <c r="CV28915" s="376"/>
    </row>
    <row r="28916" spans="1:100">
      <c r="A28916" s="374"/>
      <c r="C28916" s="374"/>
      <c r="CV28916" s="376"/>
    </row>
    <row r="28917" spans="1:100">
      <c r="A28917" s="374"/>
      <c r="C28917" s="374"/>
      <c r="CV28917" s="376"/>
    </row>
    <row r="28918" spans="1:100">
      <c r="A28918" s="374"/>
      <c r="C28918" s="374"/>
      <c r="CV28918" s="376"/>
    </row>
    <row r="28919" spans="1:100">
      <c r="A28919" s="374"/>
      <c r="C28919" s="374"/>
      <c r="CV28919" s="376"/>
    </row>
    <row r="28920" spans="1:100">
      <c r="A28920" s="374"/>
      <c r="C28920" s="374"/>
      <c r="CV28920" s="376"/>
    </row>
    <row r="28921" spans="1:100">
      <c r="A28921" s="374"/>
      <c r="C28921" s="374"/>
      <c r="CV28921" s="376"/>
    </row>
    <row r="28922" spans="1:100">
      <c r="A28922" s="374"/>
      <c r="C28922" s="374"/>
      <c r="CV28922" s="376"/>
    </row>
    <row r="28923" spans="1:100">
      <c r="A28923" s="374"/>
      <c r="C28923" s="374"/>
      <c r="CV28923" s="376"/>
    </row>
    <row r="28924" spans="1:100">
      <c r="A28924" s="374"/>
      <c r="C28924" s="374"/>
      <c r="CV28924" s="376"/>
    </row>
    <row r="28925" spans="1:100">
      <c r="A28925" s="374"/>
      <c r="C28925" s="374"/>
      <c r="CV28925" s="376"/>
    </row>
    <row r="28926" spans="1:100">
      <c r="A28926" s="374"/>
      <c r="C28926" s="374"/>
      <c r="CV28926" s="376"/>
    </row>
    <row r="28927" spans="1:100">
      <c r="A28927" s="374"/>
      <c r="C28927" s="374"/>
      <c r="CV28927" s="376"/>
    </row>
    <row r="28928" spans="1:100">
      <c r="A28928" s="374"/>
      <c r="C28928" s="374"/>
      <c r="CV28928" s="376"/>
    </row>
    <row r="28929" spans="1:100">
      <c r="A28929" s="374"/>
      <c r="C28929" s="374"/>
      <c r="CV28929" s="376"/>
    </row>
    <row r="28930" spans="1:100">
      <c r="A28930" s="374"/>
      <c r="C28930" s="374"/>
      <c r="CV28930" s="376"/>
    </row>
    <row r="28931" spans="1:100">
      <c r="A28931" s="374"/>
      <c r="C28931" s="374"/>
      <c r="CV28931" s="376"/>
    </row>
    <row r="28932" spans="1:100">
      <c r="A28932" s="374"/>
      <c r="C28932" s="374"/>
      <c r="CV28932" s="376"/>
    </row>
    <row r="28933" spans="1:100">
      <c r="A28933" s="374"/>
      <c r="C28933" s="374"/>
      <c r="CV28933" s="376"/>
    </row>
    <row r="28934" spans="1:100">
      <c r="A28934" s="374"/>
      <c r="C28934" s="374"/>
      <c r="CV28934" s="376"/>
    </row>
    <row r="28935" spans="1:100">
      <c r="A28935" s="374"/>
      <c r="C28935" s="374"/>
      <c r="CV28935" s="376"/>
    </row>
    <row r="28936" spans="1:100">
      <c r="A28936" s="374"/>
      <c r="C28936" s="374"/>
      <c r="CV28936" s="376"/>
    </row>
    <row r="28937" spans="1:100">
      <c r="A28937" s="374"/>
      <c r="C28937" s="374"/>
      <c r="CV28937" s="376"/>
    </row>
    <row r="28938" spans="1:100">
      <c r="A28938" s="374"/>
      <c r="C28938" s="374"/>
      <c r="CV28938" s="376"/>
    </row>
    <row r="28939" spans="1:100">
      <c r="A28939" s="374"/>
      <c r="C28939" s="374"/>
      <c r="CV28939" s="376"/>
    </row>
    <row r="28940" spans="1:100">
      <c r="A28940" s="374"/>
      <c r="C28940" s="374"/>
      <c r="CV28940" s="376"/>
    </row>
    <row r="28941" spans="1:100">
      <c r="A28941" s="374"/>
      <c r="C28941" s="374"/>
      <c r="CV28941" s="376"/>
    </row>
    <row r="28942" spans="1:100">
      <c r="A28942" s="374"/>
      <c r="C28942" s="374"/>
      <c r="CV28942" s="376"/>
    </row>
    <row r="28943" spans="1:100">
      <c r="A28943" s="374"/>
      <c r="C28943" s="374"/>
      <c r="CV28943" s="376"/>
    </row>
    <row r="28944" spans="1:100">
      <c r="A28944" s="374"/>
      <c r="C28944" s="374"/>
      <c r="CV28944" s="376"/>
    </row>
    <row r="28945" spans="1:100">
      <c r="A28945" s="374"/>
      <c r="C28945" s="374"/>
      <c r="CV28945" s="376"/>
    </row>
    <row r="28946" spans="1:100">
      <c r="A28946" s="374"/>
      <c r="C28946" s="374"/>
      <c r="CV28946" s="376"/>
    </row>
    <row r="28947" spans="1:100">
      <c r="A28947" s="374"/>
      <c r="C28947" s="374"/>
      <c r="CV28947" s="376"/>
    </row>
    <row r="28948" spans="1:100">
      <c r="A28948" s="374"/>
      <c r="C28948" s="374"/>
      <c r="CV28948" s="376"/>
    </row>
    <row r="28949" spans="1:100">
      <c r="A28949" s="374"/>
      <c r="C28949" s="374"/>
      <c r="CV28949" s="376"/>
    </row>
    <row r="28950" spans="1:100">
      <c r="A28950" s="374"/>
      <c r="C28950" s="374"/>
      <c r="CV28950" s="376"/>
    </row>
    <row r="28951" spans="1:100">
      <c r="A28951" s="374"/>
      <c r="C28951" s="374"/>
      <c r="CV28951" s="376"/>
    </row>
    <row r="28952" spans="1:100">
      <c r="A28952" s="374"/>
      <c r="C28952" s="374"/>
      <c r="CV28952" s="376"/>
    </row>
    <row r="28953" spans="1:100">
      <c r="A28953" s="374"/>
      <c r="C28953" s="374"/>
      <c r="CV28953" s="376"/>
    </row>
    <row r="28954" spans="1:100">
      <c r="A28954" s="374"/>
      <c r="C28954" s="374"/>
      <c r="CV28954" s="376"/>
    </row>
    <row r="28955" spans="1:100">
      <c r="A28955" s="374"/>
      <c r="C28955" s="374"/>
      <c r="CV28955" s="376"/>
    </row>
    <row r="28956" spans="1:100">
      <c r="A28956" s="374"/>
      <c r="C28956" s="374"/>
      <c r="CV28956" s="376"/>
    </row>
    <row r="28957" spans="1:100">
      <c r="A28957" s="374"/>
      <c r="C28957" s="374"/>
      <c r="CV28957" s="376"/>
    </row>
    <row r="28958" spans="1:100">
      <c r="A28958" s="374"/>
      <c r="C28958" s="374"/>
      <c r="CV28958" s="376"/>
    </row>
    <row r="28959" spans="1:100">
      <c r="A28959" s="374"/>
      <c r="C28959" s="374"/>
      <c r="CV28959" s="376"/>
    </row>
    <row r="28960" spans="1:100">
      <c r="A28960" s="374"/>
      <c r="C28960" s="374"/>
      <c r="CV28960" s="376"/>
    </row>
    <row r="28961" spans="1:100">
      <c r="A28961" s="374"/>
      <c r="C28961" s="374"/>
      <c r="CV28961" s="376"/>
    </row>
    <row r="28962" spans="1:100">
      <c r="A28962" s="374"/>
      <c r="C28962" s="374"/>
      <c r="CV28962" s="376"/>
    </row>
    <row r="28963" spans="1:100">
      <c r="A28963" s="374"/>
      <c r="C28963" s="374"/>
      <c r="CV28963" s="376"/>
    </row>
    <row r="28964" spans="1:100">
      <c r="A28964" s="374"/>
      <c r="C28964" s="374"/>
      <c r="CV28964" s="376"/>
    </row>
    <row r="28965" spans="1:100">
      <c r="A28965" s="374"/>
      <c r="C28965" s="374"/>
      <c r="CV28965" s="376"/>
    </row>
    <row r="28966" spans="1:100">
      <c r="A28966" s="374"/>
      <c r="C28966" s="374"/>
      <c r="CV28966" s="376"/>
    </row>
    <row r="28967" spans="1:100">
      <c r="A28967" s="374"/>
      <c r="C28967" s="374"/>
      <c r="CV28967" s="376"/>
    </row>
    <row r="28968" spans="1:100">
      <c r="A28968" s="374"/>
      <c r="C28968" s="374"/>
      <c r="CV28968" s="376"/>
    </row>
    <row r="28969" spans="1:100">
      <c r="A28969" s="374"/>
      <c r="C28969" s="374"/>
      <c r="CV28969" s="376"/>
    </row>
    <row r="28970" spans="1:100">
      <c r="A28970" s="374"/>
      <c r="C28970" s="374"/>
      <c r="CV28970" s="376"/>
    </row>
    <row r="28971" spans="1:100">
      <c r="A28971" s="374"/>
      <c r="C28971" s="374"/>
      <c r="CV28971" s="376"/>
    </row>
    <row r="28972" spans="1:100">
      <c r="A28972" s="374"/>
      <c r="C28972" s="374"/>
      <c r="CV28972" s="376"/>
    </row>
    <row r="28973" spans="1:100">
      <c r="A28973" s="374"/>
      <c r="C28973" s="374"/>
      <c r="CV28973" s="376"/>
    </row>
    <row r="28974" spans="1:100">
      <c r="A28974" s="374"/>
      <c r="C28974" s="374"/>
      <c r="CV28974" s="376"/>
    </row>
    <row r="28975" spans="1:100">
      <c r="A28975" s="374"/>
      <c r="C28975" s="374"/>
      <c r="CV28975" s="376"/>
    </row>
    <row r="28976" spans="1:100">
      <c r="A28976" s="374"/>
      <c r="C28976" s="374"/>
      <c r="CV28976" s="376"/>
    </row>
    <row r="28977" spans="1:100">
      <c r="A28977" s="374"/>
      <c r="C28977" s="374"/>
      <c r="CV28977" s="376"/>
    </row>
    <row r="28978" spans="1:100">
      <c r="A28978" s="374"/>
      <c r="C28978" s="374"/>
      <c r="CV28978" s="376"/>
    </row>
    <row r="28979" spans="1:100">
      <c r="A28979" s="374"/>
      <c r="C28979" s="374"/>
      <c r="CV28979" s="376"/>
    </row>
    <row r="28980" spans="1:100">
      <c r="A28980" s="374"/>
      <c r="C28980" s="374"/>
      <c r="CV28980" s="376"/>
    </row>
    <row r="28981" spans="1:100">
      <c r="A28981" s="374"/>
      <c r="C28981" s="374"/>
      <c r="CV28981" s="376"/>
    </row>
    <row r="28982" spans="1:100">
      <c r="A28982" s="374"/>
      <c r="C28982" s="374"/>
      <c r="CV28982" s="376"/>
    </row>
    <row r="28983" spans="1:100">
      <c r="A28983" s="374"/>
      <c r="C28983" s="374"/>
      <c r="CV28983" s="376"/>
    </row>
    <row r="28984" spans="1:100">
      <c r="A28984" s="374"/>
      <c r="C28984" s="374"/>
      <c r="CV28984" s="376"/>
    </row>
    <row r="28985" spans="1:100">
      <c r="A28985" s="374"/>
      <c r="C28985" s="374"/>
      <c r="CV28985" s="376"/>
    </row>
    <row r="28986" spans="1:100">
      <c r="A28986" s="374"/>
      <c r="C28986" s="374"/>
      <c r="CV28986" s="376"/>
    </row>
    <row r="28987" spans="1:100">
      <c r="A28987" s="374"/>
      <c r="C28987" s="374"/>
      <c r="CV28987" s="376"/>
    </row>
    <row r="28988" spans="1:100">
      <c r="A28988" s="374"/>
      <c r="C28988" s="374"/>
      <c r="CV28988" s="376"/>
    </row>
    <row r="28989" spans="1:100">
      <c r="A28989" s="374"/>
      <c r="C28989" s="374"/>
      <c r="CV28989" s="376"/>
    </row>
    <row r="28990" spans="1:100">
      <c r="A28990" s="374"/>
      <c r="C28990" s="374"/>
      <c r="CV28990" s="376"/>
    </row>
    <row r="28991" spans="1:100">
      <c r="A28991" s="374"/>
      <c r="C28991" s="374"/>
      <c r="CV28991" s="376"/>
    </row>
    <row r="28992" spans="1:100">
      <c r="A28992" s="374"/>
      <c r="C28992" s="374"/>
      <c r="CV28992" s="376"/>
    </row>
    <row r="28993" spans="1:100">
      <c r="A28993" s="374"/>
      <c r="C28993" s="374"/>
      <c r="CV28993" s="376"/>
    </row>
    <row r="28994" spans="1:100">
      <c r="A28994" s="374"/>
      <c r="C28994" s="374"/>
      <c r="CV28994" s="376"/>
    </row>
    <row r="28995" spans="1:100">
      <c r="A28995" s="374"/>
      <c r="C28995" s="374"/>
      <c r="CV28995" s="376"/>
    </row>
    <row r="28996" spans="1:100">
      <c r="A28996" s="374"/>
      <c r="C28996" s="374"/>
      <c r="CV28996" s="376"/>
    </row>
    <row r="28997" spans="1:100">
      <c r="A28997" s="374"/>
      <c r="C28997" s="374"/>
      <c r="CV28997" s="376"/>
    </row>
    <row r="28998" spans="1:100">
      <c r="A28998" s="374"/>
      <c r="C28998" s="374"/>
      <c r="CV28998" s="376"/>
    </row>
    <row r="28999" spans="1:100">
      <c r="A28999" s="374"/>
      <c r="C28999" s="374"/>
      <c r="CV28999" s="376"/>
    </row>
    <row r="29000" spans="1:100">
      <c r="A29000" s="374"/>
      <c r="C29000" s="374"/>
      <c r="CV29000" s="376"/>
    </row>
    <row r="29001" spans="1:100">
      <c r="A29001" s="374"/>
      <c r="C29001" s="374"/>
      <c r="CV29001" s="376"/>
    </row>
    <row r="29002" spans="1:100">
      <c r="A29002" s="374"/>
      <c r="C29002" s="374"/>
      <c r="CV29002" s="376"/>
    </row>
    <row r="29003" spans="1:100">
      <c r="A29003" s="374"/>
      <c r="C29003" s="374"/>
      <c r="CV29003" s="376"/>
    </row>
    <row r="29004" spans="1:100">
      <c r="A29004" s="374"/>
      <c r="C29004" s="374"/>
      <c r="CV29004" s="376"/>
    </row>
    <row r="29005" spans="1:100">
      <c r="A29005" s="374"/>
      <c r="C29005" s="374"/>
      <c r="CV29005" s="376"/>
    </row>
    <row r="29006" spans="1:100">
      <c r="A29006" s="374"/>
      <c r="C29006" s="374"/>
      <c r="CV29006" s="376"/>
    </row>
    <row r="29007" spans="1:100">
      <c r="A29007" s="374"/>
      <c r="C29007" s="374"/>
      <c r="CV29007" s="376"/>
    </row>
    <row r="29008" spans="1:100">
      <c r="A29008" s="374"/>
      <c r="C29008" s="374"/>
      <c r="CV29008" s="376"/>
    </row>
    <row r="29009" spans="1:100">
      <c r="A29009" s="374"/>
      <c r="C29009" s="374"/>
      <c r="CV29009" s="376"/>
    </row>
    <row r="29010" spans="1:100">
      <c r="A29010" s="374"/>
      <c r="C29010" s="374"/>
      <c r="CV29010" s="376"/>
    </row>
    <row r="29011" spans="1:100">
      <c r="A29011" s="374"/>
      <c r="C29011" s="374"/>
      <c r="CV29011" s="376"/>
    </row>
    <row r="29012" spans="1:100">
      <c r="A29012" s="374"/>
      <c r="C29012" s="374"/>
      <c r="CV29012" s="376"/>
    </row>
    <row r="29013" spans="1:100">
      <c r="A29013" s="374"/>
      <c r="C29013" s="374"/>
      <c r="CV29013" s="376"/>
    </row>
    <row r="29014" spans="1:100">
      <c r="A29014" s="374"/>
      <c r="C29014" s="374"/>
      <c r="CV29014" s="376"/>
    </row>
    <row r="29015" spans="1:100">
      <c r="A29015" s="374"/>
      <c r="C29015" s="374"/>
      <c r="CV29015" s="376"/>
    </row>
    <row r="29016" spans="1:100">
      <c r="A29016" s="374"/>
      <c r="C29016" s="374"/>
      <c r="CV29016" s="376"/>
    </row>
    <row r="29017" spans="1:100">
      <c r="A29017" s="374"/>
      <c r="C29017" s="374"/>
      <c r="CV29017" s="376"/>
    </row>
    <row r="29018" spans="1:100">
      <c r="A29018" s="374"/>
      <c r="C29018" s="374"/>
      <c r="CV29018" s="376"/>
    </row>
    <row r="29019" spans="1:100">
      <c r="A29019" s="374"/>
      <c r="C29019" s="374"/>
      <c r="CV29019" s="376"/>
    </row>
    <row r="29020" spans="1:100">
      <c r="A29020" s="374"/>
      <c r="C29020" s="374"/>
      <c r="CV29020" s="376"/>
    </row>
    <row r="29021" spans="1:100">
      <c r="A29021" s="374"/>
      <c r="C29021" s="374"/>
      <c r="CV29021" s="376"/>
    </row>
    <row r="29022" spans="1:100">
      <c r="A29022" s="374"/>
      <c r="C29022" s="374"/>
      <c r="CV29022" s="376"/>
    </row>
    <row r="29023" spans="1:100">
      <c r="A29023" s="374"/>
      <c r="C29023" s="374"/>
      <c r="CV29023" s="376"/>
    </row>
    <row r="29024" spans="1:100">
      <c r="A29024" s="374"/>
      <c r="C29024" s="374"/>
      <c r="CV29024" s="376"/>
    </row>
    <row r="29025" spans="1:100">
      <c r="A29025" s="374"/>
      <c r="C29025" s="374"/>
      <c r="CV29025" s="376"/>
    </row>
    <row r="29026" spans="1:100">
      <c r="A29026" s="374"/>
      <c r="C29026" s="374"/>
      <c r="CV29026" s="376"/>
    </row>
    <row r="29027" spans="1:100">
      <c r="A29027" s="374"/>
      <c r="C29027" s="374"/>
      <c r="CV29027" s="376"/>
    </row>
    <row r="29028" spans="1:100">
      <c r="A29028" s="374"/>
      <c r="C29028" s="374"/>
      <c r="CV29028" s="376"/>
    </row>
    <row r="29029" spans="1:100">
      <c r="A29029" s="374"/>
      <c r="C29029" s="374"/>
      <c r="CV29029" s="376"/>
    </row>
    <row r="29030" spans="1:100">
      <c r="A29030" s="374"/>
      <c r="C29030" s="374"/>
      <c r="CV29030" s="376"/>
    </row>
    <row r="29031" spans="1:100">
      <c r="A29031" s="374"/>
      <c r="C29031" s="374"/>
      <c r="CV29031" s="376"/>
    </row>
    <row r="29032" spans="1:100">
      <c r="A29032" s="374"/>
      <c r="C29032" s="374"/>
      <c r="CV29032" s="376"/>
    </row>
    <row r="29033" spans="1:100">
      <c r="A29033" s="374"/>
      <c r="C29033" s="374"/>
      <c r="CV29033" s="376"/>
    </row>
    <row r="29034" spans="1:100">
      <c r="A29034" s="374"/>
      <c r="C29034" s="374"/>
      <c r="CV29034" s="376"/>
    </row>
    <row r="29035" spans="1:100">
      <c r="A29035" s="374"/>
      <c r="C29035" s="374"/>
      <c r="CV29035" s="376"/>
    </row>
    <row r="29036" spans="1:100">
      <c r="A29036" s="374"/>
      <c r="C29036" s="374"/>
      <c r="CV29036" s="376"/>
    </row>
    <row r="29037" spans="1:100">
      <c r="A29037" s="374"/>
      <c r="C29037" s="374"/>
      <c r="CV29037" s="376"/>
    </row>
    <row r="29038" spans="1:100">
      <c r="A29038" s="374"/>
      <c r="C29038" s="374"/>
      <c r="CV29038" s="376"/>
    </row>
    <row r="29039" spans="1:100">
      <c r="A29039" s="374"/>
      <c r="C29039" s="374"/>
      <c r="CV29039" s="376"/>
    </row>
    <row r="29040" spans="1:100">
      <c r="A29040" s="374"/>
      <c r="C29040" s="374"/>
      <c r="CV29040" s="376"/>
    </row>
    <row r="29041" spans="1:100">
      <c r="A29041" s="374"/>
      <c r="C29041" s="374"/>
      <c r="CV29041" s="376"/>
    </row>
    <row r="29042" spans="1:100">
      <c r="A29042" s="374"/>
      <c r="C29042" s="374"/>
      <c r="CV29042" s="376"/>
    </row>
    <row r="29043" spans="1:100">
      <c r="A29043" s="374"/>
      <c r="C29043" s="374"/>
      <c r="CV29043" s="376"/>
    </row>
    <row r="29044" spans="1:100">
      <c r="A29044" s="374"/>
      <c r="C29044" s="374"/>
      <c r="CV29044" s="376"/>
    </row>
    <row r="29045" spans="1:100">
      <c r="A29045" s="374"/>
      <c r="C29045" s="374"/>
      <c r="CV29045" s="376"/>
    </row>
    <row r="29046" spans="1:100">
      <c r="A29046" s="374"/>
      <c r="C29046" s="374"/>
      <c r="CV29046" s="376"/>
    </row>
    <row r="29047" spans="1:100">
      <c r="A29047" s="374"/>
      <c r="C29047" s="374"/>
      <c r="CV29047" s="376"/>
    </row>
    <row r="29048" spans="1:100">
      <c r="A29048" s="374"/>
      <c r="C29048" s="374"/>
      <c r="CV29048" s="376"/>
    </row>
    <row r="29049" spans="1:100">
      <c r="A29049" s="374"/>
      <c r="C29049" s="374"/>
      <c r="CV29049" s="376"/>
    </row>
    <row r="29050" spans="1:100">
      <c r="A29050" s="374"/>
      <c r="C29050" s="374"/>
      <c r="CV29050" s="376"/>
    </row>
    <row r="29051" spans="1:100">
      <c r="A29051" s="374"/>
      <c r="C29051" s="374"/>
      <c r="CV29051" s="376"/>
    </row>
    <row r="29052" spans="1:100">
      <c r="A29052" s="374"/>
      <c r="C29052" s="374"/>
      <c r="CV29052" s="376"/>
    </row>
    <row r="29053" spans="1:100">
      <c r="A29053" s="374"/>
      <c r="C29053" s="374"/>
      <c r="CV29053" s="376"/>
    </row>
    <row r="29054" spans="1:100">
      <c r="A29054" s="374"/>
      <c r="C29054" s="374"/>
      <c r="CV29054" s="376"/>
    </row>
    <row r="29055" spans="1:100">
      <c r="A29055" s="374"/>
      <c r="C29055" s="374"/>
      <c r="CV29055" s="376"/>
    </row>
    <row r="29056" spans="1:100">
      <c r="A29056" s="374"/>
      <c r="C29056" s="374"/>
      <c r="CV29056" s="376"/>
    </row>
    <row r="29057" spans="1:100">
      <c r="A29057" s="374"/>
      <c r="C29057" s="374"/>
      <c r="CV29057" s="376"/>
    </row>
    <row r="29058" spans="1:100">
      <c r="A29058" s="374"/>
      <c r="C29058" s="374"/>
      <c r="CV29058" s="376"/>
    </row>
    <row r="29059" spans="1:100">
      <c r="A29059" s="374"/>
      <c r="C29059" s="374"/>
      <c r="CV29059" s="376"/>
    </row>
    <row r="29060" spans="1:100">
      <c r="A29060" s="374"/>
      <c r="C29060" s="374"/>
      <c r="CV29060" s="376"/>
    </row>
    <row r="29061" spans="1:100">
      <c r="A29061" s="374"/>
      <c r="C29061" s="374"/>
      <c r="CV29061" s="376"/>
    </row>
    <row r="29062" spans="1:100">
      <c r="A29062" s="374"/>
      <c r="C29062" s="374"/>
      <c r="CV29062" s="376"/>
    </row>
    <row r="29063" spans="1:100">
      <c r="A29063" s="374"/>
      <c r="C29063" s="374"/>
      <c r="CV29063" s="376"/>
    </row>
    <row r="29064" spans="1:100">
      <c r="A29064" s="374"/>
      <c r="C29064" s="374"/>
      <c r="CV29064" s="376"/>
    </row>
    <row r="29065" spans="1:100">
      <c r="A29065" s="374"/>
      <c r="C29065" s="374"/>
      <c r="CV29065" s="376"/>
    </row>
    <row r="29066" spans="1:100">
      <c r="A29066" s="374"/>
      <c r="C29066" s="374"/>
      <c r="CV29066" s="376"/>
    </row>
    <row r="29067" spans="1:100">
      <c r="A29067" s="374"/>
      <c r="C29067" s="374"/>
      <c r="CV29067" s="376"/>
    </row>
    <row r="29068" spans="1:100">
      <c r="A29068" s="374"/>
      <c r="C29068" s="374"/>
      <c r="CV29068" s="376"/>
    </row>
    <row r="29069" spans="1:100">
      <c r="A29069" s="374"/>
      <c r="C29069" s="374"/>
      <c r="CV29069" s="376"/>
    </row>
    <row r="29070" spans="1:100">
      <c r="A29070" s="374"/>
      <c r="C29070" s="374"/>
      <c r="CV29070" s="376"/>
    </row>
    <row r="29071" spans="1:100">
      <c r="A29071" s="374"/>
      <c r="C29071" s="374"/>
      <c r="CV29071" s="376"/>
    </row>
    <row r="29072" spans="1:100">
      <c r="A29072" s="374"/>
      <c r="C29072" s="374"/>
      <c r="CV29072" s="376"/>
    </row>
    <row r="29073" spans="1:100">
      <c r="A29073" s="374"/>
      <c r="C29073" s="374"/>
      <c r="CV29073" s="376"/>
    </row>
    <row r="29074" spans="1:100">
      <c r="A29074" s="374"/>
      <c r="C29074" s="374"/>
      <c r="CV29074" s="376"/>
    </row>
    <row r="29075" spans="1:100">
      <c r="A29075" s="374"/>
      <c r="C29075" s="374"/>
      <c r="CV29075" s="376"/>
    </row>
    <row r="29076" spans="1:100">
      <c r="A29076" s="374"/>
      <c r="C29076" s="374"/>
      <c r="CV29076" s="376"/>
    </row>
    <row r="29077" spans="1:100">
      <c r="A29077" s="374"/>
      <c r="C29077" s="374"/>
      <c r="CV29077" s="376"/>
    </row>
    <row r="29078" spans="1:100">
      <c r="A29078" s="374"/>
      <c r="C29078" s="374"/>
      <c r="CV29078" s="376"/>
    </row>
    <row r="29079" spans="1:100">
      <c r="A29079" s="374"/>
      <c r="C29079" s="374"/>
      <c r="CV29079" s="376"/>
    </row>
    <row r="29080" spans="1:100">
      <c r="A29080" s="374"/>
      <c r="C29080" s="374"/>
      <c r="CV29080" s="376"/>
    </row>
    <row r="29081" spans="1:100">
      <c r="A29081" s="374"/>
      <c r="C29081" s="374"/>
      <c r="CV29081" s="376"/>
    </row>
    <row r="29082" spans="1:100">
      <c r="A29082" s="374"/>
      <c r="C29082" s="374"/>
      <c r="CV29082" s="376"/>
    </row>
    <row r="29083" spans="1:100">
      <c r="A29083" s="374"/>
      <c r="C29083" s="374"/>
      <c r="CV29083" s="376"/>
    </row>
    <row r="29084" spans="1:100">
      <c r="A29084" s="374"/>
      <c r="C29084" s="374"/>
      <c r="CV29084" s="376"/>
    </row>
    <row r="29085" spans="1:100">
      <c r="A29085" s="374"/>
      <c r="C29085" s="374"/>
      <c r="CV29085" s="376"/>
    </row>
    <row r="29086" spans="1:100">
      <c r="A29086" s="374"/>
      <c r="C29086" s="374"/>
      <c r="CV29086" s="376"/>
    </row>
    <row r="29087" spans="1:100">
      <c r="A29087" s="374"/>
      <c r="C29087" s="374"/>
      <c r="CV29087" s="376"/>
    </row>
    <row r="29088" spans="1:100">
      <c r="A29088" s="374"/>
      <c r="C29088" s="374"/>
      <c r="CV29088" s="376"/>
    </row>
    <row r="29089" spans="1:100">
      <c r="A29089" s="374"/>
      <c r="C29089" s="374"/>
      <c r="CV29089" s="376"/>
    </row>
    <row r="29090" spans="1:100">
      <c r="A29090" s="374"/>
      <c r="C29090" s="374"/>
      <c r="CV29090" s="376"/>
    </row>
    <row r="29091" spans="1:100">
      <c r="A29091" s="374"/>
      <c r="C29091" s="374"/>
      <c r="CV29091" s="376"/>
    </row>
    <row r="29092" spans="1:100">
      <c r="A29092" s="374"/>
      <c r="C29092" s="374"/>
      <c r="CV29092" s="376"/>
    </row>
    <row r="29093" spans="1:100">
      <c r="A29093" s="374"/>
      <c r="C29093" s="374"/>
      <c r="CV29093" s="376"/>
    </row>
    <row r="29094" spans="1:100">
      <c r="A29094" s="374"/>
      <c r="C29094" s="374"/>
      <c r="CV29094" s="376"/>
    </row>
    <row r="29095" spans="1:100">
      <c r="A29095" s="374"/>
      <c r="C29095" s="374"/>
      <c r="CV29095" s="376"/>
    </row>
    <row r="29096" spans="1:100">
      <c r="A29096" s="374"/>
      <c r="C29096" s="374"/>
      <c r="CV29096" s="376"/>
    </row>
    <row r="29097" spans="1:100">
      <c r="A29097" s="374"/>
      <c r="C29097" s="374"/>
      <c r="CV29097" s="376"/>
    </row>
    <row r="29098" spans="1:100">
      <c r="A29098" s="374"/>
      <c r="C29098" s="374"/>
      <c r="CV29098" s="376"/>
    </row>
    <row r="29099" spans="1:100">
      <c r="A29099" s="374"/>
      <c r="C29099" s="374"/>
      <c r="CV29099" s="376"/>
    </row>
    <row r="29100" spans="1:100">
      <c r="A29100" s="374"/>
      <c r="C29100" s="374"/>
      <c r="CV29100" s="376"/>
    </row>
    <row r="29101" spans="1:100">
      <c r="A29101" s="374"/>
      <c r="C29101" s="374"/>
      <c r="CV29101" s="376"/>
    </row>
    <row r="29102" spans="1:100">
      <c r="A29102" s="374"/>
      <c r="C29102" s="374"/>
      <c r="CV29102" s="376"/>
    </row>
    <row r="29103" spans="1:100">
      <c r="A29103" s="374"/>
      <c r="C29103" s="374"/>
      <c r="CV29103" s="376"/>
    </row>
    <row r="29104" spans="1:100">
      <c r="A29104" s="374"/>
      <c r="C29104" s="374"/>
      <c r="CV29104" s="376"/>
    </row>
    <row r="29105" spans="1:100">
      <c r="A29105" s="374"/>
      <c r="C29105" s="374"/>
      <c r="CV29105" s="376"/>
    </row>
    <row r="29106" spans="1:100">
      <c r="A29106" s="374"/>
      <c r="C29106" s="374"/>
      <c r="CV29106" s="376"/>
    </row>
    <row r="29107" spans="1:100">
      <c r="A29107" s="374"/>
      <c r="C29107" s="374"/>
      <c r="CV29107" s="376"/>
    </row>
    <row r="29108" spans="1:100">
      <c r="A29108" s="374"/>
      <c r="C29108" s="374"/>
      <c r="CV29108" s="376"/>
    </row>
    <row r="29109" spans="1:100">
      <c r="A29109" s="374"/>
      <c r="C29109" s="374"/>
      <c r="CV29109" s="376"/>
    </row>
    <row r="29110" spans="1:100">
      <c r="A29110" s="374"/>
      <c r="C29110" s="374"/>
      <c r="CV29110" s="376"/>
    </row>
    <row r="29111" spans="1:100">
      <c r="A29111" s="374"/>
      <c r="C29111" s="374"/>
      <c r="CV29111" s="376"/>
    </row>
    <row r="29112" spans="1:100">
      <c r="A29112" s="374"/>
      <c r="C29112" s="374"/>
      <c r="CV29112" s="376"/>
    </row>
    <row r="29113" spans="1:100">
      <c r="A29113" s="374"/>
      <c r="C29113" s="374"/>
      <c r="CV29113" s="376"/>
    </row>
    <row r="29114" spans="1:100">
      <c r="A29114" s="374"/>
      <c r="C29114" s="374"/>
      <c r="CV29114" s="376"/>
    </row>
    <row r="29115" spans="1:100">
      <c r="A29115" s="374"/>
      <c r="C29115" s="374"/>
      <c r="CV29115" s="376"/>
    </row>
    <row r="29116" spans="1:100">
      <c r="A29116" s="374"/>
      <c r="C29116" s="374"/>
      <c r="CV29116" s="376"/>
    </row>
    <row r="29117" spans="1:100">
      <c r="A29117" s="374"/>
      <c r="C29117" s="374"/>
      <c r="CV29117" s="376"/>
    </row>
    <row r="29118" spans="1:100">
      <c r="A29118" s="374"/>
      <c r="C29118" s="374"/>
      <c r="CV29118" s="376"/>
    </row>
    <row r="29119" spans="1:100">
      <c r="A29119" s="374"/>
      <c r="C29119" s="374"/>
      <c r="CV29119" s="376"/>
    </row>
    <row r="29120" spans="1:100">
      <c r="A29120" s="374"/>
      <c r="C29120" s="374"/>
      <c r="CV29120" s="376"/>
    </row>
    <row r="29121" spans="1:100">
      <c r="A29121" s="374"/>
      <c r="C29121" s="374"/>
      <c r="CV29121" s="376"/>
    </row>
    <row r="29122" spans="1:100">
      <c r="A29122" s="374"/>
      <c r="C29122" s="374"/>
      <c r="CV29122" s="376"/>
    </row>
    <row r="29123" spans="1:100">
      <c r="A29123" s="374"/>
      <c r="C29123" s="374"/>
      <c r="CV29123" s="376"/>
    </row>
    <row r="29124" spans="1:100">
      <c r="A29124" s="374"/>
      <c r="C29124" s="374"/>
      <c r="CV29124" s="376"/>
    </row>
    <row r="29125" spans="1:100">
      <c r="A29125" s="374"/>
      <c r="C29125" s="374"/>
      <c r="CV29125" s="376"/>
    </row>
    <row r="29126" spans="1:100">
      <c r="A29126" s="374"/>
      <c r="C29126" s="374"/>
      <c r="CV29126" s="376"/>
    </row>
    <row r="29127" spans="1:100">
      <c r="A29127" s="374"/>
      <c r="C29127" s="374"/>
      <c r="CV29127" s="376"/>
    </row>
    <row r="29128" spans="1:100">
      <c r="A29128" s="374"/>
      <c r="C29128" s="374"/>
      <c r="CV29128" s="376"/>
    </row>
    <row r="29129" spans="1:100">
      <c r="A29129" s="374"/>
      <c r="C29129" s="374"/>
      <c r="CV29129" s="376"/>
    </row>
    <row r="29130" spans="1:100">
      <c r="A29130" s="374"/>
      <c r="C29130" s="374"/>
      <c r="CV29130" s="376"/>
    </row>
    <row r="29131" spans="1:100">
      <c r="A29131" s="374"/>
      <c r="C29131" s="374"/>
      <c r="CV29131" s="376"/>
    </row>
    <row r="29132" spans="1:100">
      <c r="A29132" s="374"/>
      <c r="C29132" s="374"/>
      <c r="CV29132" s="376"/>
    </row>
    <row r="29133" spans="1:100">
      <c r="A29133" s="374"/>
      <c r="C29133" s="374"/>
      <c r="CV29133" s="376"/>
    </row>
    <row r="29134" spans="1:100">
      <c r="A29134" s="374"/>
      <c r="C29134" s="374"/>
      <c r="CV29134" s="376"/>
    </row>
    <row r="29135" spans="1:100">
      <c r="A29135" s="374"/>
      <c r="C29135" s="374"/>
      <c r="CV29135" s="376"/>
    </row>
    <row r="29136" spans="1:100">
      <c r="A29136" s="374"/>
      <c r="C29136" s="374"/>
      <c r="CV29136" s="376"/>
    </row>
    <row r="29137" spans="1:100">
      <c r="A29137" s="374"/>
      <c r="C29137" s="374"/>
      <c r="CV29137" s="376"/>
    </row>
    <row r="29138" spans="1:100">
      <c r="A29138" s="374"/>
      <c r="C29138" s="374"/>
      <c r="CV29138" s="376"/>
    </row>
    <row r="29139" spans="1:100">
      <c r="A29139" s="374"/>
      <c r="C29139" s="374"/>
      <c r="CV29139" s="376"/>
    </row>
    <row r="29140" spans="1:100">
      <c r="A29140" s="374"/>
      <c r="C29140" s="374"/>
      <c r="CV29140" s="376"/>
    </row>
    <row r="29141" spans="1:100">
      <c r="A29141" s="374"/>
      <c r="C29141" s="374"/>
      <c r="CV29141" s="376"/>
    </row>
    <row r="29142" spans="1:100">
      <c r="A29142" s="374"/>
      <c r="C29142" s="374"/>
      <c r="CV29142" s="376"/>
    </row>
    <row r="29143" spans="1:100">
      <c r="A29143" s="374"/>
      <c r="C29143" s="374"/>
      <c r="CV29143" s="376"/>
    </row>
    <row r="29144" spans="1:100">
      <c r="A29144" s="374"/>
      <c r="C29144" s="374"/>
      <c r="CV29144" s="376"/>
    </row>
    <row r="29145" spans="1:100">
      <c r="A29145" s="374"/>
      <c r="C29145" s="374"/>
      <c r="CV29145" s="376"/>
    </row>
    <row r="29146" spans="1:100">
      <c r="A29146" s="374"/>
      <c r="C29146" s="374"/>
      <c r="CV29146" s="376"/>
    </row>
    <row r="29147" spans="1:100">
      <c r="A29147" s="374"/>
      <c r="C29147" s="374"/>
      <c r="CV29147" s="376"/>
    </row>
    <row r="29148" spans="1:100">
      <c r="A29148" s="374"/>
      <c r="C29148" s="374"/>
      <c r="CV29148" s="376"/>
    </row>
    <row r="29149" spans="1:100">
      <c r="A29149" s="374"/>
      <c r="C29149" s="374"/>
      <c r="CV29149" s="376"/>
    </row>
    <row r="29150" spans="1:100">
      <c r="A29150" s="374"/>
      <c r="C29150" s="374"/>
      <c r="CV29150" s="376"/>
    </row>
    <row r="29151" spans="1:100">
      <c r="A29151" s="374"/>
      <c r="C29151" s="374"/>
      <c r="CV29151" s="376"/>
    </row>
    <row r="29152" spans="1:100">
      <c r="A29152" s="374"/>
      <c r="C29152" s="374"/>
      <c r="CV29152" s="376"/>
    </row>
    <row r="29153" spans="1:100">
      <c r="A29153" s="374"/>
      <c r="C29153" s="374"/>
      <c r="CV29153" s="376"/>
    </row>
    <row r="29154" spans="1:100">
      <c r="A29154" s="374"/>
      <c r="C29154" s="374"/>
      <c r="CV29154" s="376"/>
    </row>
    <row r="29155" spans="1:100">
      <c r="A29155" s="374"/>
      <c r="C29155" s="374"/>
      <c r="CV29155" s="376"/>
    </row>
    <row r="29156" spans="1:100">
      <c r="A29156" s="374"/>
      <c r="C29156" s="374"/>
      <c r="CV29156" s="376"/>
    </row>
    <row r="29157" spans="1:100">
      <c r="A29157" s="374"/>
      <c r="C29157" s="374"/>
      <c r="CV29157" s="376"/>
    </row>
    <row r="29158" spans="1:100">
      <c r="A29158" s="374"/>
      <c r="C29158" s="374"/>
      <c r="CV29158" s="376"/>
    </row>
    <row r="29159" spans="1:100">
      <c r="A29159" s="374"/>
      <c r="C29159" s="374"/>
      <c r="CV29159" s="376"/>
    </row>
    <row r="29160" spans="1:100">
      <c r="A29160" s="374"/>
      <c r="C29160" s="374"/>
      <c r="CV29160" s="376"/>
    </row>
    <row r="29161" spans="1:100">
      <c r="A29161" s="374"/>
      <c r="C29161" s="374"/>
      <c r="CV29161" s="376"/>
    </row>
    <row r="29162" spans="1:100">
      <c r="A29162" s="374"/>
      <c r="C29162" s="374"/>
      <c r="CV29162" s="376"/>
    </row>
    <row r="29163" spans="1:100">
      <c r="A29163" s="374"/>
      <c r="C29163" s="374"/>
      <c r="CV29163" s="376"/>
    </row>
    <row r="29164" spans="1:100">
      <c r="A29164" s="374"/>
      <c r="C29164" s="374"/>
      <c r="CV29164" s="376"/>
    </row>
    <row r="29165" spans="1:100">
      <c r="A29165" s="374"/>
      <c r="C29165" s="374"/>
      <c r="CV29165" s="376"/>
    </row>
    <row r="29166" spans="1:100">
      <c r="A29166" s="374"/>
      <c r="C29166" s="374"/>
      <c r="CV29166" s="376"/>
    </row>
    <row r="29167" spans="1:100">
      <c r="A29167" s="374"/>
      <c r="C29167" s="374"/>
      <c r="CV29167" s="376"/>
    </row>
    <row r="29168" spans="1:100">
      <c r="A29168" s="374"/>
      <c r="C29168" s="374"/>
      <c r="CV29168" s="376"/>
    </row>
    <row r="29169" spans="1:100">
      <c r="A29169" s="374"/>
      <c r="C29169" s="374"/>
      <c r="CV29169" s="376"/>
    </row>
    <row r="29170" spans="1:100">
      <c r="A29170" s="374"/>
      <c r="C29170" s="374"/>
      <c r="CV29170" s="376"/>
    </row>
    <row r="29171" spans="1:100">
      <c r="A29171" s="374"/>
      <c r="C29171" s="374"/>
      <c r="CV29171" s="376"/>
    </row>
    <row r="29172" spans="1:100">
      <c r="A29172" s="374"/>
      <c r="C29172" s="374"/>
      <c r="CV29172" s="376"/>
    </row>
    <row r="29173" spans="1:100">
      <c r="A29173" s="374"/>
      <c r="C29173" s="374"/>
      <c r="CV29173" s="376"/>
    </row>
    <row r="29174" spans="1:100">
      <c r="A29174" s="374"/>
      <c r="C29174" s="374"/>
      <c r="CV29174" s="376"/>
    </row>
    <row r="29175" spans="1:100">
      <c r="A29175" s="374"/>
      <c r="C29175" s="374"/>
      <c r="CV29175" s="376"/>
    </row>
    <row r="29176" spans="1:100">
      <c r="A29176" s="374"/>
      <c r="C29176" s="374"/>
      <c r="CV29176" s="376"/>
    </row>
    <row r="29177" spans="1:100">
      <c r="A29177" s="374"/>
      <c r="C29177" s="374"/>
      <c r="CV29177" s="376"/>
    </row>
    <row r="29178" spans="1:100">
      <c r="A29178" s="374"/>
      <c r="C29178" s="374"/>
      <c r="CV29178" s="376"/>
    </row>
    <row r="29179" spans="1:100">
      <c r="A29179" s="374"/>
      <c r="C29179" s="374"/>
      <c r="CV29179" s="376"/>
    </row>
    <row r="29180" spans="1:100">
      <c r="A29180" s="374"/>
      <c r="C29180" s="374"/>
      <c r="CV29180" s="376"/>
    </row>
    <row r="29181" spans="1:100">
      <c r="A29181" s="374"/>
      <c r="C29181" s="374"/>
      <c r="CV29181" s="376"/>
    </row>
    <row r="29182" spans="1:100">
      <c r="A29182" s="374"/>
      <c r="C29182" s="374"/>
      <c r="CV29182" s="376"/>
    </row>
    <row r="29183" spans="1:100">
      <c r="A29183" s="374"/>
      <c r="C29183" s="374"/>
      <c r="CV29183" s="376"/>
    </row>
    <row r="29184" spans="1:100">
      <c r="A29184" s="374"/>
      <c r="C29184" s="374"/>
      <c r="CV29184" s="376"/>
    </row>
    <row r="29185" spans="1:100">
      <c r="A29185" s="374"/>
      <c r="C29185" s="374"/>
      <c r="CV29185" s="376"/>
    </row>
    <row r="29186" spans="1:100">
      <c r="A29186" s="374"/>
      <c r="C29186" s="374"/>
      <c r="CV29186" s="376"/>
    </row>
    <row r="29187" spans="1:100">
      <c r="A29187" s="374"/>
      <c r="C29187" s="374"/>
      <c r="CV29187" s="376"/>
    </row>
    <row r="29188" spans="1:100">
      <c r="A29188" s="374"/>
      <c r="C29188" s="374"/>
      <c r="CV29188" s="376"/>
    </row>
    <row r="29189" spans="1:100">
      <c r="A29189" s="374"/>
      <c r="C29189" s="374"/>
      <c r="CV29189" s="376"/>
    </row>
    <row r="29190" spans="1:100">
      <c r="A29190" s="374"/>
      <c r="C29190" s="374"/>
      <c r="CV29190" s="376"/>
    </row>
    <row r="29191" spans="1:100">
      <c r="A29191" s="374"/>
      <c r="C29191" s="374"/>
      <c r="CV29191" s="376"/>
    </row>
    <row r="29192" spans="1:100">
      <c r="A29192" s="374"/>
      <c r="C29192" s="374"/>
      <c r="CV29192" s="376"/>
    </row>
    <row r="29193" spans="1:100">
      <c r="A29193" s="374"/>
      <c r="C29193" s="374"/>
      <c r="CV29193" s="376"/>
    </row>
    <row r="29194" spans="1:100">
      <c r="A29194" s="374"/>
      <c r="C29194" s="374"/>
      <c r="CV29194" s="376"/>
    </row>
    <row r="29195" spans="1:100">
      <c r="A29195" s="374"/>
      <c r="C29195" s="374"/>
      <c r="CV29195" s="376"/>
    </row>
    <row r="29196" spans="1:100">
      <c r="A29196" s="374"/>
      <c r="C29196" s="374"/>
      <c r="CV29196" s="376"/>
    </row>
    <row r="29197" spans="1:100">
      <c r="A29197" s="374"/>
      <c r="C29197" s="374"/>
      <c r="CV29197" s="376"/>
    </row>
    <row r="29198" spans="1:100">
      <c r="A29198" s="374"/>
      <c r="C29198" s="374"/>
      <c r="CV29198" s="376"/>
    </row>
    <row r="29199" spans="1:100">
      <c r="A29199" s="374"/>
      <c r="C29199" s="374"/>
      <c r="CV29199" s="376"/>
    </row>
    <row r="29200" spans="1:100">
      <c r="A29200" s="374"/>
      <c r="C29200" s="374"/>
      <c r="CV29200" s="376"/>
    </row>
    <row r="29201" spans="1:100">
      <c r="A29201" s="374"/>
      <c r="C29201" s="374"/>
      <c r="CV29201" s="376"/>
    </row>
    <row r="29202" spans="1:100">
      <c r="A29202" s="374"/>
      <c r="C29202" s="374"/>
      <c r="CV29202" s="376"/>
    </row>
    <row r="29203" spans="1:100">
      <c r="A29203" s="374"/>
      <c r="C29203" s="374"/>
      <c r="CV29203" s="376"/>
    </row>
    <row r="29204" spans="1:100">
      <c r="A29204" s="374"/>
      <c r="C29204" s="374"/>
      <c r="CV29204" s="376"/>
    </row>
    <row r="29205" spans="1:100">
      <c r="A29205" s="374"/>
      <c r="C29205" s="374"/>
      <c r="CV29205" s="376"/>
    </row>
    <row r="29206" spans="1:100">
      <c r="A29206" s="374"/>
      <c r="C29206" s="374"/>
      <c r="CV29206" s="376"/>
    </row>
    <row r="29207" spans="1:100">
      <c r="A29207" s="374"/>
      <c r="C29207" s="374"/>
      <c r="CV29207" s="376"/>
    </row>
    <row r="29208" spans="1:100">
      <c r="A29208" s="374"/>
      <c r="C29208" s="374"/>
      <c r="CV29208" s="376"/>
    </row>
    <row r="29209" spans="1:100">
      <c r="A29209" s="374"/>
      <c r="C29209" s="374"/>
      <c r="CV29209" s="376"/>
    </row>
    <row r="29210" spans="1:100">
      <c r="A29210" s="374"/>
      <c r="C29210" s="374"/>
      <c r="CV29210" s="376"/>
    </row>
    <row r="29211" spans="1:100">
      <c r="A29211" s="374"/>
      <c r="C29211" s="374"/>
      <c r="CV29211" s="376"/>
    </row>
    <row r="29212" spans="1:100">
      <c r="A29212" s="374"/>
      <c r="C29212" s="374"/>
      <c r="CV29212" s="376"/>
    </row>
    <row r="29213" spans="1:100">
      <c r="A29213" s="374"/>
      <c r="C29213" s="374"/>
      <c r="CV29213" s="376"/>
    </row>
    <row r="29214" spans="1:100">
      <c r="A29214" s="374"/>
      <c r="C29214" s="374"/>
      <c r="CV29214" s="376"/>
    </row>
    <row r="29215" spans="1:100">
      <c r="A29215" s="374"/>
      <c r="C29215" s="374"/>
      <c r="CV29215" s="376"/>
    </row>
    <row r="29216" spans="1:100">
      <c r="A29216" s="374"/>
      <c r="C29216" s="374"/>
      <c r="CV29216" s="376"/>
    </row>
    <row r="29217" spans="1:100">
      <c r="A29217" s="374"/>
      <c r="C29217" s="374"/>
      <c r="CV29217" s="376"/>
    </row>
    <row r="29218" spans="1:100">
      <c r="A29218" s="374"/>
      <c r="C29218" s="374"/>
      <c r="CV29218" s="376"/>
    </row>
    <row r="29219" spans="1:100">
      <c r="A29219" s="374"/>
      <c r="C29219" s="374"/>
      <c r="CV29219" s="376"/>
    </row>
    <row r="29220" spans="1:100">
      <c r="A29220" s="374"/>
      <c r="C29220" s="374"/>
      <c r="CV29220" s="376"/>
    </row>
    <row r="29221" spans="1:100">
      <c r="A29221" s="374"/>
      <c r="C29221" s="374"/>
      <c r="CV29221" s="376"/>
    </row>
    <row r="29222" spans="1:100">
      <c r="A29222" s="374"/>
      <c r="C29222" s="374"/>
      <c r="CV29222" s="376"/>
    </row>
    <row r="29223" spans="1:100">
      <c r="A29223" s="374"/>
      <c r="C29223" s="374"/>
      <c r="CV29223" s="376"/>
    </row>
    <row r="29224" spans="1:100">
      <c r="A29224" s="374"/>
      <c r="C29224" s="374"/>
      <c r="CV29224" s="376"/>
    </row>
    <row r="29225" spans="1:100">
      <c r="A29225" s="374"/>
      <c r="C29225" s="374"/>
      <c r="CV29225" s="376"/>
    </row>
    <row r="29226" spans="1:100">
      <c r="A29226" s="374"/>
      <c r="C29226" s="374"/>
      <c r="CV29226" s="376"/>
    </row>
    <row r="29227" spans="1:100">
      <c r="A29227" s="374"/>
      <c r="C29227" s="374"/>
      <c r="CV29227" s="376"/>
    </row>
    <row r="29228" spans="1:100">
      <c r="A29228" s="374"/>
      <c r="C29228" s="374"/>
      <c r="CV29228" s="376"/>
    </row>
    <row r="29229" spans="1:100">
      <c r="A29229" s="374"/>
      <c r="C29229" s="374"/>
      <c r="CV29229" s="376"/>
    </row>
    <row r="29230" spans="1:100">
      <c r="A29230" s="374"/>
      <c r="C29230" s="374"/>
      <c r="CV29230" s="376"/>
    </row>
    <row r="29231" spans="1:100">
      <c r="A29231" s="374"/>
      <c r="C29231" s="374"/>
      <c r="CV29231" s="376"/>
    </row>
    <row r="29232" spans="1:100">
      <c r="A29232" s="374"/>
      <c r="C29232" s="374"/>
      <c r="CV29232" s="376"/>
    </row>
    <row r="29233" spans="1:100">
      <c r="A29233" s="374"/>
      <c r="C29233" s="374"/>
      <c r="CV29233" s="376"/>
    </row>
    <row r="29234" spans="1:100">
      <c r="A29234" s="374"/>
      <c r="C29234" s="374"/>
      <c r="CV29234" s="376"/>
    </row>
    <row r="29235" spans="1:100">
      <c r="A29235" s="374"/>
      <c r="C29235" s="374"/>
      <c r="CV29235" s="376"/>
    </row>
    <row r="29236" spans="1:100">
      <c r="A29236" s="374"/>
      <c r="C29236" s="374"/>
      <c r="CV29236" s="376"/>
    </row>
    <row r="29237" spans="1:100">
      <c r="A29237" s="374"/>
      <c r="C29237" s="374"/>
      <c r="CV29237" s="376"/>
    </row>
    <row r="29238" spans="1:100">
      <c r="A29238" s="374"/>
      <c r="C29238" s="374"/>
      <c r="CV29238" s="376"/>
    </row>
    <row r="29239" spans="1:100">
      <c r="A29239" s="374"/>
      <c r="C29239" s="374"/>
      <c r="CV29239" s="376"/>
    </row>
    <row r="29240" spans="1:100">
      <c r="A29240" s="374"/>
      <c r="C29240" s="374"/>
      <c r="CV29240" s="376"/>
    </row>
    <row r="29241" spans="1:100">
      <c r="A29241" s="374"/>
      <c r="C29241" s="374"/>
      <c r="CV29241" s="376"/>
    </row>
    <row r="29242" spans="1:100">
      <c r="A29242" s="374"/>
      <c r="C29242" s="374"/>
      <c r="CV29242" s="376"/>
    </row>
    <row r="29243" spans="1:100">
      <c r="A29243" s="374"/>
      <c r="C29243" s="374"/>
      <c r="CV29243" s="376"/>
    </row>
    <row r="29244" spans="1:100">
      <c r="A29244" s="374"/>
      <c r="C29244" s="374"/>
      <c r="CV29244" s="376"/>
    </row>
    <row r="29245" spans="1:100">
      <c r="A29245" s="374"/>
      <c r="C29245" s="374"/>
      <c r="CV29245" s="376"/>
    </row>
    <row r="29246" spans="1:100">
      <c r="A29246" s="374"/>
      <c r="C29246" s="374"/>
      <c r="CV29246" s="376"/>
    </row>
    <row r="29247" spans="1:100">
      <c r="A29247" s="374"/>
      <c r="C29247" s="374"/>
      <c r="CV29247" s="376"/>
    </row>
    <row r="29248" spans="1:100">
      <c r="A29248" s="374"/>
      <c r="C29248" s="374"/>
      <c r="CV29248" s="376"/>
    </row>
    <row r="29249" spans="1:100">
      <c r="A29249" s="374"/>
      <c r="C29249" s="374"/>
      <c r="CV29249" s="376"/>
    </row>
    <row r="29250" spans="1:100">
      <c r="A29250" s="374"/>
      <c r="C29250" s="374"/>
      <c r="CV29250" s="376"/>
    </row>
    <row r="29251" spans="1:100">
      <c r="A29251" s="374"/>
      <c r="C29251" s="374"/>
      <c r="CV29251" s="376"/>
    </row>
    <row r="29252" spans="1:100">
      <c r="A29252" s="374"/>
      <c r="C29252" s="374"/>
      <c r="CV29252" s="376"/>
    </row>
    <row r="29253" spans="1:100">
      <c r="A29253" s="374"/>
      <c r="C29253" s="374"/>
      <c r="CV29253" s="376"/>
    </row>
    <row r="29254" spans="1:100">
      <c r="A29254" s="374"/>
      <c r="C29254" s="374"/>
      <c r="CV29254" s="376"/>
    </row>
    <row r="29255" spans="1:100">
      <c r="A29255" s="374"/>
      <c r="C29255" s="374"/>
      <c r="CV29255" s="376"/>
    </row>
    <row r="29256" spans="1:100">
      <c r="A29256" s="374"/>
      <c r="C29256" s="374"/>
      <c r="CV29256" s="376"/>
    </row>
    <row r="29257" spans="1:100">
      <c r="A29257" s="374"/>
      <c r="C29257" s="374"/>
      <c r="CV29257" s="376"/>
    </row>
    <row r="29258" spans="1:100">
      <c r="A29258" s="374"/>
      <c r="C29258" s="374"/>
      <c r="CV29258" s="376"/>
    </row>
    <row r="29259" spans="1:100">
      <c r="A29259" s="374"/>
      <c r="C29259" s="374"/>
      <c r="CV29259" s="376"/>
    </row>
    <row r="29260" spans="1:100">
      <c r="A29260" s="374"/>
      <c r="C29260" s="374"/>
      <c r="CV29260" s="376"/>
    </row>
    <row r="29261" spans="1:100">
      <c r="A29261" s="374"/>
      <c r="C29261" s="374"/>
      <c r="CV29261" s="376"/>
    </row>
    <row r="29262" spans="1:100">
      <c r="A29262" s="374"/>
      <c r="C29262" s="374"/>
      <c r="CV29262" s="376"/>
    </row>
    <row r="29263" spans="1:100">
      <c r="A29263" s="374"/>
      <c r="C29263" s="374"/>
      <c r="CV29263" s="376"/>
    </row>
    <row r="29264" spans="1:100">
      <c r="A29264" s="374"/>
      <c r="C29264" s="374"/>
      <c r="CV29264" s="376"/>
    </row>
    <row r="29265" spans="1:100">
      <c r="A29265" s="374"/>
      <c r="C29265" s="374"/>
      <c r="CV29265" s="376"/>
    </row>
    <row r="29266" spans="1:100">
      <c r="A29266" s="374"/>
      <c r="C29266" s="374"/>
      <c r="CV29266" s="376"/>
    </row>
    <row r="29267" spans="1:100">
      <c r="A29267" s="374"/>
      <c r="C29267" s="374"/>
      <c r="CV29267" s="376"/>
    </row>
    <row r="29268" spans="1:100">
      <c r="A29268" s="374"/>
      <c r="C29268" s="374"/>
      <c r="CV29268" s="376"/>
    </row>
    <row r="29269" spans="1:100">
      <c r="A29269" s="374"/>
      <c r="C29269" s="374"/>
      <c r="CV29269" s="376"/>
    </row>
    <row r="29270" spans="1:100">
      <c r="A29270" s="374"/>
      <c r="C29270" s="374"/>
      <c r="CV29270" s="376"/>
    </row>
    <row r="29271" spans="1:100">
      <c r="A29271" s="374"/>
      <c r="C29271" s="374"/>
      <c r="CV29271" s="376"/>
    </row>
    <row r="29272" spans="1:100">
      <c r="A29272" s="374"/>
      <c r="C29272" s="374"/>
      <c r="CV29272" s="376"/>
    </row>
    <row r="29273" spans="1:100">
      <c r="A29273" s="374"/>
      <c r="C29273" s="374"/>
      <c r="CV29273" s="376"/>
    </row>
    <row r="29274" spans="1:100">
      <c r="A29274" s="374"/>
      <c r="C29274" s="374"/>
      <c r="CV29274" s="376"/>
    </row>
    <row r="29275" spans="1:100">
      <c r="A29275" s="374"/>
      <c r="C29275" s="374"/>
      <c r="CV29275" s="376"/>
    </row>
    <row r="29276" spans="1:100">
      <c r="A29276" s="374"/>
      <c r="C29276" s="374"/>
      <c r="CV29276" s="376"/>
    </row>
    <row r="29277" spans="1:100">
      <c r="A29277" s="374"/>
      <c r="C29277" s="374"/>
      <c r="CV29277" s="376"/>
    </row>
    <row r="29278" spans="1:100">
      <c r="A29278" s="374"/>
      <c r="C29278" s="374"/>
      <c r="CV29278" s="376"/>
    </row>
    <row r="29279" spans="1:100">
      <c r="A29279" s="374"/>
      <c r="C29279" s="374"/>
      <c r="CV29279" s="376"/>
    </row>
    <row r="29280" spans="1:100">
      <c r="A29280" s="374"/>
      <c r="C29280" s="374"/>
      <c r="CV29280" s="376"/>
    </row>
    <row r="29281" spans="1:100">
      <c r="A29281" s="374"/>
      <c r="C29281" s="374"/>
      <c r="CV29281" s="376"/>
    </row>
    <row r="29282" spans="1:100">
      <c r="A29282" s="374"/>
      <c r="C29282" s="374"/>
      <c r="CV29282" s="376"/>
    </row>
    <row r="29283" spans="1:100">
      <c r="A29283" s="374"/>
      <c r="C29283" s="374"/>
      <c r="CV29283" s="376"/>
    </row>
    <row r="29284" spans="1:100">
      <c r="A29284" s="374"/>
      <c r="C29284" s="374"/>
      <c r="CV29284" s="376"/>
    </row>
    <row r="29285" spans="1:100">
      <c r="A29285" s="374"/>
      <c r="C29285" s="374"/>
      <c r="CV29285" s="376"/>
    </row>
    <row r="29286" spans="1:100">
      <c r="A29286" s="374"/>
      <c r="C29286" s="374"/>
      <c r="CV29286" s="376"/>
    </row>
    <row r="29287" spans="1:100">
      <c r="A29287" s="374"/>
      <c r="C29287" s="374"/>
      <c r="CV29287" s="376"/>
    </row>
    <row r="29288" spans="1:100">
      <c r="A29288" s="374"/>
      <c r="C29288" s="374"/>
      <c r="CV29288" s="376"/>
    </row>
    <row r="29289" spans="1:100">
      <c r="A29289" s="374"/>
      <c r="C29289" s="374"/>
      <c r="CV29289" s="376"/>
    </row>
    <row r="29290" spans="1:100">
      <c r="A29290" s="374"/>
      <c r="C29290" s="374"/>
      <c r="CV29290" s="376"/>
    </row>
    <row r="29291" spans="1:100">
      <c r="A29291" s="374"/>
      <c r="C29291" s="374"/>
      <c r="CV29291" s="376"/>
    </row>
    <row r="29292" spans="1:100">
      <c r="A29292" s="374"/>
      <c r="C29292" s="374"/>
      <c r="CV29292" s="376"/>
    </row>
    <row r="29293" spans="1:100">
      <c r="A29293" s="374"/>
      <c r="C29293" s="374"/>
      <c r="CV29293" s="376"/>
    </row>
    <row r="29294" spans="1:100">
      <c r="A29294" s="374"/>
      <c r="C29294" s="374"/>
      <c r="CV29294" s="376"/>
    </row>
    <row r="29295" spans="1:100">
      <c r="A29295" s="374"/>
      <c r="C29295" s="374"/>
      <c r="CV29295" s="376"/>
    </row>
    <row r="29296" spans="1:100">
      <c r="A29296" s="374"/>
      <c r="C29296" s="374"/>
      <c r="CV29296" s="376"/>
    </row>
    <row r="29297" spans="1:100">
      <c r="A29297" s="374"/>
      <c r="C29297" s="374"/>
      <c r="CV29297" s="376"/>
    </row>
    <row r="29298" spans="1:100">
      <c r="A29298" s="374"/>
      <c r="C29298" s="374"/>
      <c r="CV29298" s="376"/>
    </row>
    <row r="29299" spans="1:100">
      <c r="A29299" s="374"/>
      <c r="C29299" s="374"/>
      <c r="CV29299" s="376"/>
    </row>
    <row r="29300" spans="1:100">
      <c r="A29300" s="374"/>
      <c r="C29300" s="374"/>
      <c r="CV29300" s="376"/>
    </row>
    <row r="29301" spans="1:100">
      <c r="A29301" s="374"/>
      <c r="C29301" s="374"/>
      <c r="CV29301" s="376"/>
    </row>
    <row r="29302" spans="1:100">
      <c r="A29302" s="374"/>
      <c r="C29302" s="374"/>
      <c r="CV29302" s="376"/>
    </row>
    <row r="29303" spans="1:100">
      <c r="A29303" s="374"/>
      <c r="C29303" s="374"/>
      <c r="CV29303" s="376"/>
    </row>
    <row r="29304" spans="1:100">
      <c r="A29304" s="374"/>
      <c r="C29304" s="374"/>
      <c r="CV29304" s="376"/>
    </row>
    <row r="29305" spans="1:100">
      <c r="A29305" s="374"/>
      <c r="C29305" s="374"/>
      <c r="CV29305" s="376"/>
    </row>
    <row r="29306" spans="1:100">
      <c r="A29306" s="374"/>
      <c r="C29306" s="374"/>
      <c r="CV29306" s="376"/>
    </row>
    <row r="29307" spans="1:100">
      <c r="A29307" s="374"/>
      <c r="C29307" s="374"/>
      <c r="CV29307" s="376"/>
    </row>
    <row r="29308" spans="1:100">
      <c r="A29308" s="374"/>
      <c r="C29308" s="374"/>
      <c r="CV29308" s="376"/>
    </row>
    <row r="29309" spans="1:100">
      <c r="A29309" s="374"/>
      <c r="C29309" s="374"/>
      <c r="CV29309" s="376"/>
    </row>
    <row r="29310" spans="1:100">
      <c r="A29310" s="374"/>
      <c r="C29310" s="374"/>
      <c r="CV29310" s="376"/>
    </row>
    <row r="29311" spans="1:100">
      <c r="A29311" s="374"/>
      <c r="C29311" s="374"/>
      <c r="CV29311" s="376"/>
    </row>
    <row r="29312" spans="1:100">
      <c r="A29312" s="374"/>
      <c r="C29312" s="374"/>
      <c r="CV29312" s="376"/>
    </row>
    <row r="29313" spans="1:100">
      <c r="A29313" s="374"/>
      <c r="C29313" s="374"/>
      <c r="CV29313" s="376"/>
    </row>
    <row r="29314" spans="1:100">
      <c r="A29314" s="374"/>
      <c r="C29314" s="374"/>
      <c r="CV29314" s="376"/>
    </row>
    <row r="29315" spans="1:100">
      <c r="A29315" s="374"/>
      <c r="C29315" s="374"/>
      <c r="CV29315" s="376"/>
    </row>
    <row r="29316" spans="1:100">
      <c r="A29316" s="374"/>
      <c r="C29316" s="374"/>
      <c r="CV29316" s="376"/>
    </row>
    <row r="29317" spans="1:100">
      <c r="A29317" s="374"/>
      <c r="C29317" s="374"/>
      <c r="CV29317" s="376"/>
    </row>
    <row r="29318" spans="1:100">
      <c r="A29318" s="374"/>
      <c r="C29318" s="374"/>
      <c r="CV29318" s="376"/>
    </row>
    <row r="29319" spans="1:100">
      <c r="A29319" s="374"/>
      <c r="C29319" s="374"/>
      <c r="CV29319" s="376"/>
    </row>
    <row r="29320" spans="1:100">
      <c r="A29320" s="374"/>
      <c r="C29320" s="374"/>
      <c r="CV29320" s="376"/>
    </row>
    <row r="29321" spans="1:100">
      <c r="A29321" s="374"/>
      <c r="C29321" s="374"/>
      <c r="CV29321" s="376"/>
    </row>
    <row r="29322" spans="1:100">
      <c r="A29322" s="374"/>
      <c r="C29322" s="374"/>
      <c r="CV29322" s="376"/>
    </row>
    <row r="29323" spans="1:100">
      <c r="A29323" s="374"/>
      <c r="C29323" s="374"/>
      <c r="CV29323" s="376"/>
    </row>
    <row r="29324" spans="1:100">
      <c r="A29324" s="374"/>
      <c r="C29324" s="374"/>
      <c r="CV29324" s="376"/>
    </row>
    <row r="29325" spans="1:100">
      <c r="A29325" s="374"/>
      <c r="C29325" s="374"/>
      <c r="CV29325" s="376"/>
    </row>
    <row r="29326" spans="1:100">
      <c r="A29326" s="374"/>
      <c r="C29326" s="374"/>
      <c r="CV29326" s="376"/>
    </row>
    <row r="29327" spans="1:100">
      <c r="A29327" s="374"/>
      <c r="C29327" s="374"/>
      <c r="CV29327" s="376"/>
    </row>
    <row r="29328" spans="1:100">
      <c r="A29328" s="374"/>
      <c r="C29328" s="374"/>
      <c r="CV29328" s="376"/>
    </row>
    <row r="29329" spans="1:100">
      <c r="A29329" s="374"/>
      <c r="C29329" s="374"/>
      <c r="CV29329" s="376"/>
    </row>
    <row r="29330" spans="1:100">
      <c r="A29330" s="374"/>
      <c r="C29330" s="374"/>
      <c r="CV29330" s="376"/>
    </row>
    <row r="29331" spans="1:100">
      <c r="A29331" s="374"/>
      <c r="C29331" s="374"/>
      <c r="CV29331" s="376"/>
    </row>
    <row r="29332" spans="1:100">
      <c r="A29332" s="374"/>
      <c r="C29332" s="374"/>
      <c r="CV29332" s="376"/>
    </row>
    <row r="29333" spans="1:100">
      <c r="A29333" s="374"/>
      <c r="C29333" s="374"/>
      <c r="CV29333" s="376"/>
    </row>
    <row r="29334" spans="1:100">
      <c r="A29334" s="374"/>
      <c r="C29334" s="374"/>
      <c r="CV29334" s="376"/>
    </row>
    <row r="29335" spans="1:100">
      <c r="A29335" s="374"/>
      <c r="C29335" s="374"/>
      <c r="CV29335" s="376"/>
    </row>
    <row r="29336" spans="1:100">
      <c r="A29336" s="374"/>
      <c r="C29336" s="374"/>
      <c r="CV29336" s="376"/>
    </row>
    <row r="29337" spans="1:100">
      <c r="A29337" s="374"/>
      <c r="C29337" s="374"/>
      <c r="CV29337" s="376"/>
    </row>
    <row r="29338" spans="1:100">
      <c r="A29338" s="374"/>
      <c r="C29338" s="374"/>
      <c r="CV29338" s="376"/>
    </row>
    <row r="29339" spans="1:100">
      <c r="A29339" s="374"/>
      <c r="C29339" s="374"/>
      <c r="CV29339" s="376"/>
    </row>
    <row r="29340" spans="1:100">
      <c r="A29340" s="374"/>
      <c r="C29340" s="374"/>
      <c r="CV29340" s="376"/>
    </row>
    <row r="29341" spans="1:100">
      <c r="A29341" s="374"/>
      <c r="C29341" s="374"/>
      <c r="CV29341" s="376"/>
    </row>
    <row r="29342" spans="1:100">
      <c r="A29342" s="374"/>
      <c r="C29342" s="374"/>
      <c r="CV29342" s="376"/>
    </row>
    <row r="29343" spans="1:100">
      <c r="A29343" s="374"/>
      <c r="C29343" s="374"/>
      <c r="CV29343" s="376"/>
    </row>
    <row r="29344" spans="1:100">
      <c r="A29344" s="374"/>
      <c r="C29344" s="374"/>
      <c r="CV29344" s="376"/>
    </row>
    <row r="29345" spans="1:100">
      <c r="A29345" s="374"/>
      <c r="C29345" s="374"/>
      <c r="CV29345" s="376"/>
    </row>
    <row r="29346" spans="1:100">
      <c r="A29346" s="374"/>
      <c r="C29346" s="374"/>
      <c r="CV29346" s="376"/>
    </row>
    <row r="29347" spans="1:100">
      <c r="A29347" s="374"/>
      <c r="C29347" s="374"/>
      <c r="CV29347" s="376"/>
    </row>
    <row r="29348" spans="1:100">
      <c r="A29348" s="374"/>
      <c r="C29348" s="374"/>
      <c r="CV29348" s="376"/>
    </row>
    <row r="29349" spans="1:100">
      <c r="A29349" s="374"/>
      <c r="C29349" s="374"/>
      <c r="CV29349" s="376"/>
    </row>
    <row r="29350" spans="1:100">
      <c r="A29350" s="374"/>
      <c r="C29350" s="374"/>
      <c r="CV29350" s="376"/>
    </row>
    <row r="29351" spans="1:100">
      <c r="A29351" s="374"/>
      <c r="C29351" s="374"/>
      <c r="CV29351" s="376"/>
    </row>
    <row r="29352" spans="1:100">
      <c r="A29352" s="374"/>
      <c r="C29352" s="374"/>
      <c r="CV29352" s="376"/>
    </row>
    <row r="29353" spans="1:100">
      <c r="A29353" s="374"/>
      <c r="C29353" s="374"/>
      <c r="CV29353" s="376"/>
    </row>
    <row r="29354" spans="1:100">
      <c r="A29354" s="374"/>
      <c r="C29354" s="374"/>
      <c r="CV29354" s="376"/>
    </row>
    <row r="29355" spans="1:100">
      <c r="A29355" s="374"/>
      <c r="C29355" s="374"/>
      <c r="CV29355" s="376"/>
    </row>
    <row r="29356" spans="1:100">
      <c r="A29356" s="374"/>
      <c r="C29356" s="374"/>
      <c r="CV29356" s="376"/>
    </row>
    <row r="29357" spans="1:100">
      <c r="A29357" s="374"/>
      <c r="C29357" s="374"/>
      <c r="CV29357" s="376"/>
    </row>
    <row r="29358" spans="1:100">
      <c r="A29358" s="374"/>
      <c r="C29358" s="374"/>
      <c r="CV29358" s="376"/>
    </row>
    <row r="29359" spans="1:100">
      <c r="A29359" s="374"/>
      <c r="C29359" s="374"/>
      <c r="CV29359" s="376"/>
    </row>
    <row r="29360" spans="1:100">
      <c r="A29360" s="374"/>
      <c r="C29360" s="374"/>
      <c r="CV29360" s="376"/>
    </row>
    <row r="29361" spans="1:100">
      <c r="A29361" s="374"/>
      <c r="C29361" s="374"/>
      <c r="CV29361" s="376"/>
    </row>
    <row r="29362" spans="1:100">
      <c r="A29362" s="374"/>
      <c r="C29362" s="374"/>
      <c r="CV29362" s="376"/>
    </row>
    <row r="29363" spans="1:100">
      <c r="A29363" s="374"/>
      <c r="C29363" s="374"/>
      <c r="CV29363" s="376"/>
    </row>
    <row r="29364" spans="1:100">
      <c r="A29364" s="374"/>
      <c r="C29364" s="374"/>
      <c r="CV29364" s="376"/>
    </row>
    <row r="29365" spans="1:100">
      <c r="A29365" s="374"/>
      <c r="C29365" s="374"/>
      <c r="CV29365" s="376"/>
    </row>
    <row r="29366" spans="1:100">
      <c r="A29366" s="374"/>
      <c r="C29366" s="374"/>
      <c r="CV29366" s="376"/>
    </row>
    <row r="29367" spans="1:100">
      <c r="A29367" s="374"/>
      <c r="C29367" s="374"/>
      <c r="CV29367" s="376"/>
    </row>
    <row r="29368" spans="1:100">
      <c r="A29368" s="374"/>
      <c r="C29368" s="374"/>
      <c r="CV29368" s="376"/>
    </row>
    <row r="29369" spans="1:100">
      <c r="A29369" s="374"/>
      <c r="C29369" s="374"/>
      <c r="CV29369" s="376"/>
    </row>
    <row r="29370" spans="1:100">
      <c r="A29370" s="374"/>
      <c r="C29370" s="374"/>
      <c r="CV29370" s="376"/>
    </row>
    <row r="29371" spans="1:100">
      <c r="A29371" s="374"/>
      <c r="C29371" s="374"/>
      <c r="CV29371" s="376"/>
    </row>
    <row r="29372" spans="1:100">
      <c r="A29372" s="374"/>
      <c r="C29372" s="374"/>
      <c r="CV29372" s="376"/>
    </row>
    <row r="29373" spans="1:100">
      <c r="A29373" s="374"/>
      <c r="C29373" s="374"/>
      <c r="CV29373" s="376"/>
    </row>
    <row r="29374" spans="1:100">
      <c r="A29374" s="374"/>
      <c r="C29374" s="374"/>
      <c r="CV29374" s="376"/>
    </row>
    <row r="29375" spans="1:100">
      <c r="A29375" s="374"/>
      <c r="C29375" s="374"/>
      <c r="CV29375" s="376"/>
    </row>
    <row r="29376" spans="1:100">
      <c r="A29376" s="374"/>
      <c r="C29376" s="374"/>
      <c r="CV29376" s="376"/>
    </row>
    <row r="29377" spans="1:100">
      <c r="A29377" s="374"/>
      <c r="C29377" s="374"/>
      <c r="CV29377" s="376"/>
    </row>
    <row r="29378" spans="1:100">
      <c r="A29378" s="374"/>
      <c r="C29378" s="374"/>
      <c r="CV29378" s="376"/>
    </row>
    <row r="29379" spans="1:100">
      <c r="A29379" s="374"/>
      <c r="C29379" s="374"/>
      <c r="CV29379" s="376"/>
    </row>
    <row r="29380" spans="1:100">
      <c r="A29380" s="374"/>
      <c r="C29380" s="374"/>
      <c r="CV29380" s="376"/>
    </row>
    <row r="29381" spans="1:100">
      <c r="A29381" s="374"/>
      <c r="C29381" s="374"/>
      <c r="CV29381" s="376"/>
    </row>
    <row r="29382" spans="1:100">
      <c r="A29382" s="374"/>
      <c r="C29382" s="374"/>
      <c r="CV29382" s="376"/>
    </row>
    <row r="29383" spans="1:100">
      <c r="A29383" s="374"/>
      <c r="C29383" s="374"/>
      <c r="CV29383" s="376"/>
    </row>
    <row r="29384" spans="1:100">
      <c r="A29384" s="374"/>
      <c r="C29384" s="374"/>
      <c r="CV29384" s="376"/>
    </row>
    <row r="29385" spans="1:100">
      <c r="A29385" s="374"/>
      <c r="C29385" s="374"/>
      <c r="CV29385" s="376"/>
    </row>
    <row r="29386" spans="1:100">
      <c r="A29386" s="374"/>
      <c r="C29386" s="374"/>
      <c r="CV29386" s="376"/>
    </row>
    <row r="29387" spans="1:100">
      <c r="A29387" s="374"/>
      <c r="C29387" s="374"/>
      <c r="CV29387" s="376"/>
    </row>
    <row r="29388" spans="1:100">
      <c r="A29388" s="374"/>
      <c r="C29388" s="374"/>
      <c r="CV29388" s="376"/>
    </row>
    <row r="29389" spans="1:100">
      <c r="A29389" s="374"/>
      <c r="C29389" s="374"/>
      <c r="CV29389" s="376"/>
    </row>
    <row r="29390" spans="1:100">
      <c r="A29390" s="374"/>
      <c r="C29390" s="374"/>
      <c r="CV29390" s="376"/>
    </row>
    <row r="29391" spans="1:100">
      <c r="A29391" s="374"/>
      <c r="C29391" s="374"/>
      <c r="CV29391" s="376"/>
    </row>
    <row r="29392" spans="1:100">
      <c r="A29392" s="374"/>
      <c r="C29392" s="374"/>
      <c r="CV29392" s="376"/>
    </row>
    <row r="29393" spans="1:100">
      <c r="A29393" s="374"/>
      <c r="C29393" s="374"/>
      <c r="CV29393" s="376"/>
    </row>
    <row r="29394" spans="1:100">
      <c r="A29394" s="374"/>
      <c r="C29394" s="374"/>
      <c r="CV29394" s="376"/>
    </row>
    <row r="29395" spans="1:100">
      <c r="A29395" s="374"/>
      <c r="C29395" s="374"/>
      <c r="CV29395" s="376"/>
    </row>
    <row r="29396" spans="1:100">
      <c r="A29396" s="374"/>
      <c r="C29396" s="374"/>
      <c r="CV29396" s="376"/>
    </row>
    <row r="29397" spans="1:100">
      <c r="A29397" s="374"/>
      <c r="C29397" s="374"/>
      <c r="CV29397" s="376"/>
    </row>
    <row r="29398" spans="1:100">
      <c r="A29398" s="374"/>
      <c r="C29398" s="374"/>
      <c r="CV29398" s="376"/>
    </row>
    <row r="29399" spans="1:100">
      <c r="A29399" s="374"/>
      <c r="C29399" s="374"/>
      <c r="CV29399" s="376"/>
    </row>
    <row r="29400" spans="1:100">
      <c r="A29400" s="374"/>
      <c r="C29400" s="374"/>
      <c r="CV29400" s="376"/>
    </row>
    <row r="29401" spans="1:100">
      <c r="A29401" s="374"/>
      <c r="C29401" s="374"/>
      <c r="CV29401" s="376"/>
    </row>
    <row r="29402" spans="1:100">
      <c r="A29402" s="374"/>
      <c r="C29402" s="374"/>
      <c r="CV29402" s="376"/>
    </row>
    <row r="29403" spans="1:100">
      <c r="A29403" s="374"/>
      <c r="C29403" s="374"/>
      <c r="CV29403" s="376"/>
    </row>
    <row r="29404" spans="1:100">
      <c r="A29404" s="374"/>
      <c r="C29404" s="374"/>
      <c r="CV29404" s="376"/>
    </row>
    <row r="29405" spans="1:100">
      <c r="A29405" s="374"/>
      <c r="C29405" s="374"/>
      <c r="CV29405" s="376"/>
    </row>
    <row r="29406" spans="1:100">
      <c r="A29406" s="374"/>
      <c r="C29406" s="374"/>
      <c r="CV29406" s="376"/>
    </row>
    <row r="29407" spans="1:100">
      <c r="A29407" s="374"/>
      <c r="C29407" s="374"/>
      <c r="CV29407" s="376"/>
    </row>
    <row r="29408" spans="1:100">
      <c r="A29408" s="374"/>
      <c r="C29408" s="374"/>
      <c r="CV29408" s="376"/>
    </row>
    <row r="29409" spans="1:100">
      <c r="A29409" s="374"/>
      <c r="C29409" s="374"/>
      <c r="CV29409" s="376"/>
    </row>
    <row r="29410" spans="1:100">
      <c r="A29410" s="374"/>
      <c r="C29410" s="374"/>
      <c r="CV29410" s="376"/>
    </row>
    <row r="29411" spans="1:100">
      <c r="A29411" s="374"/>
      <c r="C29411" s="374"/>
      <c r="CV29411" s="376"/>
    </row>
    <row r="29412" spans="1:100">
      <c r="A29412" s="374"/>
      <c r="C29412" s="374"/>
      <c r="CV29412" s="376"/>
    </row>
    <row r="29413" spans="1:100">
      <c r="A29413" s="374"/>
      <c r="C29413" s="374"/>
      <c r="CV29413" s="376"/>
    </row>
    <row r="29414" spans="1:100">
      <c r="A29414" s="374"/>
      <c r="C29414" s="374"/>
      <c r="CV29414" s="376"/>
    </row>
    <row r="29415" spans="1:100">
      <c r="A29415" s="374"/>
      <c r="C29415" s="374"/>
      <c r="CV29415" s="376"/>
    </row>
    <row r="29416" spans="1:100">
      <c r="A29416" s="374"/>
      <c r="C29416" s="374"/>
      <c r="CV29416" s="376"/>
    </row>
    <row r="29417" spans="1:100">
      <c r="A29417" s="374"/>
      <c r="C29417" s="374"/>
      <c r="CV29417" s="376"/>
    </row>
    <row r="29418" spans="1:100">
      <c r="A29418" s="374"/>
      <c r="C29418" s="374"/>
      <c r="CV29418" s="376"/>
    </row>
    <row r="29419" spans="1:100">
      <c r="A29419" s="374"/>
      <c r="C29419" s="374"/>
      <c r="CV29419" s="376"/>
    </row>
    <row r="29420" spans="1:100">
      <c r="A29420" s="374"/>
      <c r="C29420" s="374"/>
      <c r="CV29420" s="376"/>
    </row>
    <row r="29421" spans="1:100">
      <c r="A29421" s="374"/>
      <c r="C29421" s="374"/>
      <c r="CV29421" s="376"/>
    </row>
    <row r="29422" spans="1:100">
      <c r="A29422" s="374"/>
      <c r="C29422" s="374"/>
      <c r="CV29422" s="376"/>
    </row>
    <row r="29423" spans="1:100">
      <c r="A29423" s="374"/>
      <c r="C29423" s="374"/>
      <c r="CV29423" s="376"/>
    </row>
    <row r="29424" spans="1:100">
      <c r="A29424" s="374"/>
      <c r="C29424" s="374"/>
      <c r="CV29424" s="376"/>
    </row>
    <row r="29425" spans="1:100">
      <c r="A29425" s="374"/>
      <c r="C29425" s="374"/>
      <c r="CV29425" s="376"/>
    </row>
    <row r="29426" spans="1:100">
      <c r="A29426" s="374"/>
      <c r="C29426" s="374"/>
      <c r="CV29426" s="376"/>
    </row>
    <row r="29427" spans="1:100">
      <c r="A29427" s="374"/>
      <c r="C29427" s="374"/>
      <c r="CV29427" s="376"/>
    </row>
    <row r="29428" spans="1:100">
      <c r="A29428" s="374"/>
      <c r="C29428" s="374"/>
      <c r="CV29428" s="376"/>
    </row>
    <row r="29429" spans="1:100">
      <c r="A29429" s="374"/>
      <c r="C29429" s="374"/>
      <c r="CV29429" s="376"/>
    </row>
    <row r="29430" spans="1:100">
      <c r="A29430" s="374"/>
      <c r="C29430" s="374"/>
      <c r="CV29430" s="376"/>
    </row>
    <row r="29431" spans="1:100">
      <c r="A29431" s="374"/>
      <c r="C29431" s="374"/>
      <c r="CV29431" s="376"/>
    </row>
    <row r="29432" spans="1:100">
      <c r="A29432" s="374"/>
      <c r="C29432" s="374"/>
      <c r="CV29432" s="376"/>
    </row>
    <row r="29433" spans="1:100">
      <c r="A29433" s="374"/>
      <c r="C29433" s="374"/>
      <c r="CV29433" s="376"/>
    </row>
    <row r="29434" spans="1:100">
      <c r="A29434" s="374"/>
      <c r="C29434" s="374"/>
      <c r="CV29434" s="376"/>
    </row>
    <row r="29435" spans="1:100">
      <c r="A29435" s="374"/>
      <c r="C29435" s="374"/>
      <c r="CV29435" s="376"/>
    </row>
    <row r="29436" spans="1:100">
      <c r="A29436" s="374"/>
      <c r="C29436" s="374"/>
      <c r="CV29436" s="376"/>
    </row>
    <row r="29437" spans="1:100">
      <c r="A29437" s="374"/>
      <c r="C29437" s="374"/>
      <c r="CV29437" s="376"/>
    </row>
    <row r="29438" spans="1:100">
      <c r="A29438" s="374"/>
      <c r="C29438" s="374"/>
      <c r="CV29438" s="376"/>
    </row>
    <row r="29439" spans="1:100">
      <c r="A29439" s="374"/>
      <c r="C29439" s="374"/>
      <c r="CV29439" s="376"/>
    </row>
    <row r="29440" spans="1:100">
      <c r="A29440" s="374"/>
      <c r="C29440" s="374"/>
      <c r="CV29440" s="376"/>
    </row>
    <row r="29441" spans="1:100">
      <c r="A29441" s="374"/>
      <c r="C29441" s="374"/>
      <c r="CV29441" s="376"/>
    </row>
    <row r="29442" spans="1:100">
      <c r="A29442" s="374"/>
      <c r="C29442" s="374"/>
      <c r="CV29442" s="376"/>
    </row>
    <row r="29443" spans="1:100">
      <c r="A29443" s="374"/>
      <c r="C29443" s="374"/>
      <c r="CV29443" s="376"/>
    </row>
    <row r="29444" spans="1:100">
      <c r="A29444" s="374"/>
      <c r="C29444" s="374"/>
      <c r="CV29444" s="376"/>
    </row>
    <row r="29445" spans="1:100">
      <c r="A29445" s="374"/>
      <c r="C29445" s="374"/>
      <c r="CV29445" s="376"/>
    </row>
    <row r="29446" spans="1:100">
      <c r="A29446" s="374"/>
      <c r="C29446" s="374"/>
      <c r="CV29446" s="376"/>
    </row>
    <row r="29447" spans="1:100">
      <c r="A29447" s="374"/>
      <c r="C29447" s="374"/>
      <c r="CV29447" s="376"/>
    </row>
    <row r="29448" spans="1:100">
      <c r="A29448" s="374"/>
      <c r="C29448" s="374"/>
      <c r="CV29448" s="376"/>
    </row>
    <row r="29449" spans="1:100">
      <c r="A29449" s="374"/>
      <c r="C29449" s="374"/>
      <c r="CV29449" s="376"/>
    </row>
    <row r="29450" spans="1:100">
      <c r="A29450" s="374"/>
      <c r="C29450" s="374"/>
      <c r="CV29450" s="376"/>
    </row>
    <row r="29451" spans="1:100">
      <c r="A29451" s="374"/>
      <c r="C29451" s="374"/>
      <c r="CV29451" s="376"/>
    </row>
    <row r="29452" spans="1:100">
      <c r="A29452" s="374"/>
      <c r="C29452" s="374"/>
      <c r="CV29452" s="376"/>
    </row>
    <row r="29453" spans="1:100">
      <c r="A29453" s="374"/>
      <c r="C29453" s="374"/>
      <c r="CV29453" s="376"/>
    </row>
    <row r="29454" spans="1:100">
      <c r="A29454" s="374"/>
      <c r="C29454" s="374"/>
      <c r="CV29454" s="376"/>
    </row>
    <row r="29455" spans="1:100">
      <c r="A29455" s="374"/>
      <c r="C29455" s="374"/>
      <c r="CV29455" s="376"/>
    </row>
    <row r="29456" spans="1:100">
      <c r="A29456" s="374"/>
      <c r="C29456" s="374"/>
      <c r="CV29456" s="376"/>
    </row>
    <row r="29457" spans="1:100">
      <c r="A29457" s="374"/>
      <c r="C29457" s="374"/>
      <c r="CV29457" s="376"/>
    </row>
    <row r="29458" spans="1:100">
      <c r="A29458" s="374"/>
      <c r="C29458" s="374"/>
      <c r="CV29458" s="376"/>
    </row>
    <row r="29459" spans="1:100">
      <c r="A29459" s="374"/>
      <c r="C29459" s="374"/>
      <c r="CV29459" s="376"/>
    </row>
    <row r="29460" spans="1:100">
      <c r="A29460" s="374"/>
      <c r="C29460" s="374"/>
      <c r="CV29460" s="376"/>
    </row>
    <row r="29461" spans="1:100">
      <c r="A29461" s="374"/>
      <c r="C29461" s="374"/>
      <c r="CV29461" s="376"/>
    </row>
    <row r="29462" spans="1:100">
      <c r="A29462" s="374"/>
      <c r="C29462" s="374"/>
      <c r="CV29462" s="376"/>
    </row>
    <row r="29463" spans="1:100">
      <c r="A29463" s="374"/>
      <c r="C29463" s="374"/>
      <c r="CV29463" s="376"/>
    </row>
    <row r="29464" spans="1:100">
      <c r="A29464" s="374"/>
      <c r="C29464" s="374"/>
      <c r="CV29464" s="376"/>
    </row>
    <row r="29465" spans="1:100">
      <c r="A29465" s="374"/>
      <c r="C29465" s="374"/>
      <c r="CV29465" s="376"/>
    </row>
    <row r="29466" spans="1:100">
      <c r="A29466" s="374"/>
      <c r="C29466" s="374"/>
      <c r="CV29466" s="376"/>
    </row>
    <row r="29467" spans="1:100">
      <c r="A29467" s="374"/>
      <c r="C29467" s="374"/>
      <c r="CV29467" s="376"/>
    </row>
    <row r="29468" spans="1:100">
      <c r="A29468" s="374"/>
      <c r="C29468" s="374"/>
      <c r="CV29468" s="376"/>
    </row>
    <row r="29469" spans="1:100">
      <c r="A29469" s="374"/>
      <c r="C29469" s="374"/>
      <c r="CV29469" s="376"/>
    </row>
    <row r="29470" spans="1:100">
      <c r="A29470" s="374"/>
      <c r="C29470" s="374"/>
      <c r="CV29470" s="376"/>
    </row>
    <row r="29471" spans="1:100">
      <c r="A29471" s="374"/>
      <c r="C29471" s="374"/>
      <c r="CV29471" s="376"/>
    </row>
    <row r="29472" spans="1:100">
      <c r="A29472" s="374"/>
      <c r="C29472" s="374"/>
      <c r="CV29472" s="376"/>
    </row>
    <row r="29473" spans="1:100">
      <c r="A29473" s="374"/>
      <c r="C29473" s="374"/>
      <c r="CV29473" s="376"/>
    </row>
    <row r="29474" spans="1:100">
      <c r="A29474" s="374"/>
      <c r="C29474" s="374"/>
      <c r="CV29474" s="376"/>
    </row>
    <row r="29475" spans="1:100">
      <c r="A29475" s="374"/>
      <c r="C29475" s="374"/>
      <c r="CV29475" s="376"/>
    </row>
    <row r="29476" spans="1:100">
      <c r="A29476" s="374"/>
      <c r="C29476" s="374"/>
      <c r="CV29476" s="376"/>
    </row>
    <row r="29477" spans="1:100">
      <c r="A29477" s="374"/>
      <c r="C29477" s="374"/>
      <c r="CV29477" s="376"/>
    </row>
    <row r="29478" spans="1:100">
      <c r="A29478" s="374"/>
      <c r="C29478" s="374"/>
      <c r="CV29478" s="376"/>
    </row>
    <row r="29479" spans="1:100">
      <c r="A29479" s="374"/>
      <c r="C29479" s="374"/>
      <c r="CV29479" s="376"/>
    </row>
    <row r="29480" spans="1:100">
      <c r="A29480" s="374"/>
      <c r="C29480" s="374"/>
      <c r="CV29480" s="376"/>
    </row>
    <row r="29481" spans="1:100">
      <c r="A29481" s="374"/>
      <c r="C29481" s="374"/>
      <c r="CV29481" s="376"/>
    </row>
    <row r="29482" spans="1:100">
      <c r="A29482" s="374"/>
      <c r="C29482" s="374"/>
      <c r="CV29482" s="376"/>
    </row>
    <row r="29483" spans="1:100">
      <c r="A29483" s="374"/>
      <c r="C29483" s="374"/>
      <c r="CV29483" s="376"/>
    </row>
    <row r="29484" spans="1:100">
      <c r="A29484" s="374"/>
      <c r="C29484" s="374"/>
      <c r="CV29484" s="376"/>
    </row>
    <row r="29485" spans="1:100">
      <c r="A29485" s="374"/>
      <c r="C29485" s="374"/>
      <c r="CV29485" s="376"/>
    </row>
    <row r="29486" spans="1:100">
      <c r="A29486" s="374"/>
      <c r="C29486" s="374"/>
      <c r="CV29486" s="376"/>
    </row>
    <row r="29487" spans="1:100">
      <c r="A29487" s="374"/>
      <c r="C29487" s="374"/>
      <c r="CV29487" s="376"/>
    </row>
    <row r="29488" spans="1:100">
      <c r="A29488" s="374"/>
      <c r="C29488" s="374"/>
      <c r="CV29488" s="376"/>
    </row>
    <row r="29489" spans="1:100">
      <c r="A29489" s="374"/>
      <c r="C29489" s="374"/>
      <c r="CV29489" s="376"/>
    </row>
    <row r="29490" spans="1:100">
      <c r="A29490" s="374"/>
      <c r="C29490" s="374"/>
      <c r="CV29490" s="376"/>
    </row>
    <row r="29491" spans="1:100">
      <c r="A29491" s="374"/>
      <c r="C29491" s="374"/>
      <c r="CV29491" s="376"/>
    </row>
    <row r="29492" spans="1:100">
      <c r="A29492" s="374"/>
      <c r="C29492" s="374"/>
      <c r="CV29492" s="376"/>
    </row>
    <row r="29493" spans="1:100">
      <c r="A29493" s="374"/>
      <c r="C29493" s="374"/>
      <c r="CV29493" s="376"/>
    </row>
    <row r="29494" spans="1:100">
      <c r="A29494" s="374"/>
      <c r="C29494" s="374"/>
      <c r="CV29494" s="376"/>
    </row>
    <row r="29495" spans="1:100">
      <c r="A29495" s="374"/>
      <c r="C29495" s="374"/>
      <c r="CV29495" s="376"/>
    </row>
    <row r="29496" spans="1:100">
      <c r="A29496" s="374"/>
      <c r="C29496" s="374"/>
      <c r="CV29496" s="376"/>
    </row>
    <row r="29497" spans="1:100">
      <c r="A29497" s="374"/>
      <c r="C29497" s="374"/>
      <c r="CV29497" s="376"/>
    </row>
    <row r="29498" spans="1:100">
      <c r="A29498" s="374"/>
      <c r="C29498" s="374"/>
      <c r="CV29498" s="376"/>
    </row>
    <row r="29499" spans="1:100">
      <c r="A29499" s="374"/>
      <c r="C29499" s="374"/>
      <c r="CV29499" s="376"/>
    </row>
    <row r="29500" spans="1:100">
      <c r="A29500" s="374"/>
      <c r="C29500" s="374"/>
      <c r="CV29500" s="376"/>
    </row>
    <row r="29501" spans="1:100">
      <c r="A29501" s="374"/>
      <c r="C29501" s="374"/>
      <c r="CV29501" s="376"/>
    </row>
    <row r="29502" spans="1:100">
      <c r="A29502" s="374"/>
      <c r="C29502" s="374"/>
      <c r="CV29502" s="376"/>
    </row>
    <row r="29503" spans="1:100">
      <c r="A29503" s="374"/>
      <c r="C29503" s="374"/>
      <c r="CV29503" s="376"/>
    </row>
    <row r="29504" spans="1:100">
      <c r="A29504" s="374"/>
      <c r="C29504" s="374"/>
      <c r="CV29504" s="376"/>
    </row>
    <row r="29505" spans="1:100">
      <c r="A29505" s="374"/>
      <c r="C29505" s="374"/>
      <c r="CV29505" s="376"/>
    </row>
    <row r="29506" spans="1:100">
      <c r="A29506" s="374"/>
      <c r="C29506" s="374"/>
      <c r="CV29506" s="376"/>
    </row>
    <row r="29507" spans="1:100">
      <c r="A29507" s="374"/>
      <c r="C29507" s="374"/>
      <c r="CV29507" s="376"/>
    </row>
    <row r="29508" spans="1:100">
      <c r="A29508" s="374"/>
      <c r="C29508" s="374"/>
      <c r="CV29508" s="376"/>
    </row>
    <row r="29509" spans="1:100">
      <c r="A29509" s="374"/>
      <c r="C29509" s="374"/>
      <c r="CV29509" s="376"/>
    </row>
    <row r="29510" spans="1:100">
      <c r="A29510" s="374"/>
      <c r="C29510" s="374"/>
      <c r="CV29510" s="376"/>
    </row>
    <row r="29511" spans="1:100">
      <c r="A29511" s="374"/>
      <c r="C29511" s="374"/>
      <c r="CV29511" s="376"/>
    </row>
    <row r="29512" spans="1:100">
      <c r="A29512" s="374"/>
      <c r="C29512" s="374"/>
      <c r="CV29512" s="376"/>
    </row>
    <row r="29513" spans="1:100">
      <c r="A29513" s="374"/>
      <c r="C29513" s="374"/>
      <c r="CV29513" s="376"/>
    </row>
    <row r="29514" spans="1:100">
      <c r="A29514" s="374"/>
      <c r="C29514" s="374"/>
      <c r="CV29514" s="376"/>
    </row>
    <row r="29515" spans="1:100">
      <c r="A29515" s="374"/>
      <c r="C29515" s="374"/>
      <c r="CV29515" s="376"/>
    </row>
    <row r="29516" spans="1:100">
      <c r="A29516" s="374"/>
      <c r="C29516" s="374"/>
      <c r="CV29516" s="376"/>
    </row>
    <row r="29517" spans="1:100">
      <c r="A29517" s="374"/>
      <c r="C29517" s="374"/>
      <c r="CV29517" s="376"/>
    </row>
    <row r="29518" spans="1:100">
      <c r="A29518" s="374"/>
      <c r="C29518" s="374"/>
      <c r="CV29518" s="376"/>
    </row>
    <row r="29519" spans="1:100">
      <c r="A29519" s="374"/>
      <c r="C29519" s="374"/>
      <c r="CV29519" s="376"/>
    </row>
    <row r="29520" spans="1:100">
      <c r="A29520" s="374"/>
      <c r="C29520" s="374"/>
      <c r="CV29520" s="376"/>
    </row>
    <row r="29521" spans="1:100">
      <c r="A29521" s="374"/>
      <c r="C29521" s="374"/>
      <c r="CV29521" s="376"/>
    </row>
    <row r="29522" spans="1:100">
      <c r="A29522" s="374"/>
      <c r="C29522" s="374"/>
      <c r="CV29522" s="376"/>
    </row>
    <row r="29523" spans="1:100">
      <c r="A29523" s="374"/>
      <c r="C29523" s="374"/>
      <c r="CV29523" s="376"/>
    </row>
    <row r="29524" spans="1:100">
      <c r="A29524" s="374"/>
      <c r="C29524" s="374"/>
      <c r="CV29524" s="376"/>
    </row>
    <row r="29525" spans="1:100">
      <c r="A29525" s="374"/>
      <c r="C29525" s="374"/>
      <c r="CV29525" s="376"/>
    </row>
    <row r="29526" spans="1:100">
      <c r="A29526" s="374"/>
      <c r="C29526" s="374"/>
      <c r="CV29526" s="376"/>
    </row>
    <row r="29527" spans="1:100">
      <c r="A29527" s="374"/>
      <c r="C29527" s="374"/>
      <c r="CV29527" s="376"/>
    </row>
    <row r="29528" spans="1:100">
      <c r="A29528" s="374"/>
      <c r="C29528" s="374"/>
      <c r="CV29528" s="376"/>
    </row>
    <row r="29529" spans="1:100">
      <c r="A29529" s="374"/>
      <c r="C29529" s="374"/>
      <c r="CV29529" s="376"/>
    </row>
    <row r="29530" spans="1:100">
      <c r="A29530" s="374"/>
      <c r="C29530" s="374"/>
      <c r="CV29530" s="376"/>
    </row>
    <row r="29531" spans="1:100">
      <c r="A29531" s="374"/>
      <c r="C29531" s="374"/>
      <c r="CV29531" s="376"/>
    </row>
    <row r="29532" spans="1:100">
      <c r="A29532" s="374"/>
      <c r="C29532" s="374"/>
      <c r="CV29532" s="376"/>
    </row>
    <row r="29533" spans="1:100">
      <c r="A29533" s="374"/>
      <c r="C29533" s="374"/>
      <c r="CV29533" s="376"/>
    </row>
    <row r="29534" spans="1:100">
      <c r="A29534" s="374"/>
      <c r="C29534" s="374"/>
      <c r="CV29534" s="376"/>
    </row>
    <row r="29535" spans="1:100">
      <c r="A29535" s="374"/>
      <c r="C29535" s="374"/>
      <c r="CV29535" s="376"/>
    </row>
    <row r="29536" spans="1:100">
      <c r="A29536" s="374"/>
      <c r="C29536" s="374"/>
      <c r="CV29536" s="376"/>
    </row>
    <row r="29537" spans="1:100">
      <c r="A29537" s="374"/>
      <c r="C29537" s="374"/>
      <c r="CV29537" s="376"/>
    </row>
    <row r="29538" spans="1:100">
      <c r="A29538" s="374"/>
      <c r="C29538" s="374"/>
      <c r="CV29538" s="376"/>
    </row>
    <row r="29539" spans="1:100">
      <c r="A29539" s="374"/>
      <c r="C29539" s="374"/>
      <c r="CV29539" s="376"/>
    </row>
    <row r="29540" spans="1:100">
      <c r="A29540" s="374"/>
      <c r="C29540" s="374"/>
      <c r="CV29540" s="376"/>
    </row>
    <row r="29541" spans="1:100">
      <c r="A29541" s="374"/>
      <c r="C29541" s="374"/>
      <c r="CV29541" s="376"/>
    </row>
    <row r="29542" spans="1:100">
      <c r="A29542" s="374"/>
      <c r="C29542" s="374"/>
      <c r="CV29542" s="376"/>
    </row>
    <row r="29543" spans="1:100">
      <c r="A29543" s="374"/>
      <c r="C29543" s="374"/>
      <c r="CV29543" s="376"/>
    </row>
    <row r="29544" spans="1:100">
      <c r="A29544" s="374"/>
      <c r="C29544" s="374"/>
      <c r="CV29544" s="376"/>
    </row>
    <row r="29545" spans="1:100">
      <c r="A29545" s="374"/>
      <c r="C29545" s="374"/>
      <c r="CV29545" s="376"/>
    </row>
    <row r="29546" spans="1:100">
      <c r="A29546" s="374"/>
      <c r="C29546" s="374"/>
      <c r="CV29546" s="376"/>
    </row>
    <row r="29547" spans="1:100">
      <c r="A29547" s="374"/>
      <c r="C29547" s="374"/>
      <c r="CV29547" s="376"/>
    </row>
    <row r="29548" spans="1:100">
      <c r="A29548" s="374"/>
      <c r="C29548" s="374"/>
      <c r="CV29548" s="376"/>
    </row>
    <row r="29549" spans="1:100">
      <c r="A29549" s="374"/>
      <c r="C29549" s="374"/>
      <c r="CV29549" s="376"/>
    </row>
    <row r="29550" spans="1:100">
      <c r="A29550" s="374"/>
      <c r="C29550" s="374"/>
      <c r="CV29550" s="376"/>
    </row>
    <row r="29551" spans="1:100">
      <c r="A29551" s="374"/>
      <c r="C29551" s="374"/>
      <c r="CV29551" s="376"/>
    </row>
    <row r="29552" spans="1:100">
      <c r="A29552" s="374"/>
      <c r="C29552" s="374"/>
      <c r="CV29552" s="376"/>
    </row>
    <row r="29553" spans="1:100">
      <c r="A29553" s="374"/>
      <c r="C29553" s="374"/>
      <c r="CV29553" s="376"/>
    </row>
    <row r="29554" spans="1:100">
      <c r="A29554" s="374"/>
      <c r="C29554" s="374"/>
      <c r="CV29554" s="376"/>
    </row>
    <row r="29555" spans="1:100">
      <c r="A29555" s="374"/>
      <c r="C29555" s="374"/>
      <c r="CV29555" s="376"/>
    </row>
    <row r="29556" spans="1:100">
      <c r="A29556" s="374"/>
      <c r="C29556" s="374"/>
      <c r="CV29556" s="376"/>
    </row>
    <row r="29557" spans="1:100">
      <c r="A29557" s="374"/>
      <c r="C29557" s="374"/>
      <c r="CV29557" s="376"/>
    </row>
    <row r="29558" spans="1:100">
      <c r="A29558" s="374"/>
      <c r="C29558" s="374"/>
      <c r="CV29558" s="376"/>
    </row>
    <row r="29559" spans="1:100">
      <c r="A29559" s="374"/>
      <c r="C29559" s="374"/>
      <c r="CV29559" s="376"/>
    </row>
    <row r="29560" spans="1:100">
      <c r="A29560" s="374"/>
      <c r="C29560" s="374"/>
      <c r="CV29560" s="376"/>
    </row>
    <row r="29561" spans="1:100">
      <c r="A29561" s="374"/>
      <c r="C29561" s="374"/>
      <c r="CV29561" s="376"/>
    </row>
    <row r="29562" spans="1:100">
      <c r="A29562" s="374"/>
      <c r="C29562" s="374"/>
      <c r="CV29562" s="376"/>
    </row>
    <row r="29563" spans="1:100">
      <c r="A29563" s="374"/>
      <c r="C29563" s="374"/>
      <c r="CV29563" s="376"/>
    </row>
    <row r="29564" spans="1:100">
      <c r="A29564" s="374"/>
      <c r="C29564" s="374"/>
      <c r="CV29564" s="376"/>
    </row>
    <row r="29565" spans="1:100">
      <c r="A29565" s="374"/>
      <c r="C29565" s="374"/>
      <c r="CV29565" s="376"/>
    </row>
    <row r="29566" spans="1:100">
      <c r="A29566" s="374"/>
      <c r="C29566" s="374"/>
      <c r="CV29566" s="376"/>
    </row>
    <row r="29567" spans="1:100">
      <c r="A29567" s="374"/>
      <c r="C29567" s="374"/>
      <c r="CV29567" s="376"/>
    </row>
    <row r="29568" spans="1:100">
      <c r="A29568" s="374"/>
      <c r="C29568" s="374"/>
      <c r="CV29568" s="376"/>
    </row>
    <row r="29569" spans="1:100">
      <c r="A29569" s="374"/>
      <c r="C29569" s="374"/>
      <c r="CV29569" s="376"/>
    </row>
    <row r="29570" spans="1:100">
      <c r="A29570" s="374"/>
      <c r="C29570" s="374"/>
      <c r="CV29570" s="376"/>
    </row>
    <row r="29571" spans="1:100">
      <c r="A29571" s="374"/>
      <c r="C29571" s="374"/>
      <c r="CV29571" s="376"/>
    </row>
    <row r="29572" spans="1:100">
      <c r="A29572" s="374"/>
      <c r="C29572" s="374"/>
      <c r="CV29572" s="376"/>
    </row>
    <row r="29573" spans="1:100">
      <c r="A29573" s="374"/>
      <c r="C29573" s="374"/>
      <c r="CV29573" s="376"/>
    </row>
    <row r="29574" spans="1:100">
      <c r="A29574" s="374"/>
      <c r="C29574" s="374"/>
      <c r="CV29574" s="376"/>
    </row>
    <row r="29575" spans="1:100">
      <c r="A29575" s="374"/>
      <c r="C29575" s="374"/>
      <c r="CV29575" s="376"/>
    </row>
    <row r="29576" spans="1:100">
      <c r="A29576" s="374"/>
      <c r="C29576" s="374"/>
      <c r="CV29576" s="376"/>
    </row>
    <row r="29577" spans="1:100">
      <c r="A29577" s="374"/>
      <c r="C29577" s="374"/>
      <c r="CV29577" s="376"/>
    </row>
    <row r="29578" spans="1:100">
      <c r="A29578" s="374"/>
      <c r="C29578" s="374"/>
      <c r="CV29578" s="376"/>
    </row>
    <row r="29579" spans="1:100">
      <c r="A29579" s="374"/>
      <c r="C29579" s="374"/>
      <c r="CV29579" s="376"/>
    </row>
    <row r="29580" spans="1:100">
      <c r="A29580" s="374"/>
      <c r="C29580" s="374"/>
      <c r="CV29580" s="376"/>
    </row>
    <row r="29581" spans="1:100">
      <c r="A29581" s="374"/>
      <c r="C29581" s="374"/>
      <c r="CV29581" s="376"/>
    </row>
    <row r="29582" spans="1:100">
      <c r="A29582" s="374"/>
      <c r="C29582" s="374"/>
      <c r="CV29582" s="376"/>
    </row>
    <row r="29583" spans="1:100">
      <c r="A29583" s="374"/>
      <c r="C29583" s="374"/>
      <c r="CV29583" s="376"/>
    </row>
    <row r="29584" spans="1:100">
      <c r="A29584" s="374"/>
      <c r="C29584" s="374"/>
      <c r="CV29584" s="376"/>
    </row>
    <row r="29585" spans="1:100">
      <c r="A29585" s="374"/>
      <c r="C29585" s="374"/>
      <c r="CV29585" s="376"/>
    </row>
    <row r="29586" spans="1:100">
      <c r="A29586" s="374"/>
      <c r="C29586" s="374"/>
      <c r="CV29586" s="376"/>
    </row>
    <row r="29587" spans="1:100">
      <c r="A29587" s="374"/>
      <c r="C29587" s="374"/>
      <c r="CV29587" s="376"/>
    </row>
    <row r="29588" spans="1:100">
      <c r="A29588" s="374"/>
      <c r="C29588" s="374"/>
      <c r="CV29588" s="376"/>
    </row>
    <row r="29589" spans="1:100">
      <c r="A29589" s="374"/>
      <c r="C29589" s="374"/>
      <c r="CV29589" s="376"/>
    </row>
    <row r="29590" spans="1:100">
      <c r="A29590" s="374"/>
      <c r="C29590" s="374"/>
      <c r="CV29590" s="376"/>
    </row>
    <row r="29591" spans="1:100">
      <c r="A29591" s="374"/>
      <c r="C29591" s="374"/>
      <c r="CV29591" s="376"/>
    </row>
    <row r="29592" spans="1:100">
      <c r="A29592" s="374"/>
      <c r="C29592" s="374"/>
      <c r="CV29592" s="376"/>
    </row>
    <row r="29593" spans="1:100">
      <c r="A29593" s="374"/>
      <c r="C29593" s="374"/>
      <c r="CV29593" s="376"/>
    </row>
    <row r="29594" spans="1:100">
      <c r="A29594" s="374"/>
      <c r="C29594" s="374"/>
      <c r="CV29594" s="376"/>
    </row>
    <row r="29595" spans="1:100">
      <c r="A29595" s="374"/>
      <c r="C29595" s="374"/>
      <c r="CV29595" s="376"/>
    </row>
    <row r="29596" spans="1:100">
      <c r="A29596" s="374"/>
      <c r="C29596" s="374"/>
      <c r="CV29596" s="376"/>
    </row>
    <row r="29597" spans="1:100">
      <c r="A29597" s="374"/>
      <c r="C29597" s="374"/>
      <c r="CV29597" s="376"/>
    </row>
    <row r="29598" spans="1:100">
      <c r="A29598" s="374"/>
      <c r="C29598" s="374"/>
      <c r="CV29598" s="376"/>
    </row>
    <row r="29599" spans="1:100">
      <c r="A29599" s="374"/>
      <c r="C29599" s="374"/>
      <c r="CV29599" s="376"/>
    </row>
    <row r="29600" spans="1:100">
      <c r="A29600" s="374"/>
      <c r="C29600" s="374"/>
      <c r="CV29600" s="376"/>
    </row>
    <row r="29601" spans="1:100">
      <c r="A29601" s="374"/>
      <c r="C29601" s="374"/>
      <c r="CV29601" s="376"/>
    </row>
    <row r="29602" spans="1:100">
      <c r="A29602" s="374"/>
      <c r="C29602" s="374"/>
      <c r="CV29602" s="376"/>
    </row>
    <row r="29603" spans="1:100">
      <c r="A29603" s="374"/>
      <c r="C29603" s="374"/>
      <c r="CV29603" s="376"/>
    </row>
    <row r="29604" spans="1:100">
      <c r="A29604" s="374"/>
      <c r="C29604" s="374"/>
      <c r="CV29604" s="376"/>
    </row>
    <row r="29605" spans="1:100">
      <c r="A29605" s="374"/>
      <c r="C29605" s="374"/>
      <c r="CV29605" s="376"/>
    </row>
    <row r="29606" spans="1:100">
      <c r="A29606" s="374"/>
      <c r="C29606" s="374"/>
      <c r="CV29606" s="376"/>
    </row>
    <row r="29607" spans="1:100">
      <c r="A29607" s="374"/>
      <c r="C29607" s="374"/>
      <c r="CV29607" s="376"/>
    </row>
    <row r="29608" spans="1:100">
      <c r="A29608" s="374"/>
      <c r="C29608" s="374"/>
      <c r="CV29608" s="376"/>
    </row>
    <row r="29609" spans="1:100">
      <c r="A29609" s="374"/>
      <c r="C29609" s="374"/>
      <c r="CV29609" s="376"/>
    </row>
    <row r="29610" spans="1:100">
      <c r="A29610" s="374"/>
      <c r="C29610" s="374"/>
      <c r="CV29610" s="376"/>
    </row>
    <row r="29611" spans="1:100">
      <c r="A29611" s="374"/>
      <c r="C29611" s="374"/>
      <c r="CV29611" s="376"/>
    </row>
    <row r="29612" spans="1:100">
      <c r="A29612" s="374"/>
      <c r="C29612" s="374"/>
      <c r="CV29612" s="376"/>
    </row>
    <row r="29613" spans="1:100">
      <c r="A29613" s="374"/>
      <c r="C29613" s="374"/>
      <c r="CV29613" s="376"/>
    </row>
    <row r="29614" spans="1:100">
      <c r="A29614" s="374"/>
      <c r="C29614" s="374"/>
      <c r="CV29614" s="376"/>
    </row>
    <row r="29615" spans="1:100">
      <c r="A29615" s="374"/>
      <c r="C29615" s="374"/>
      <c r="CV29615" s="376"/>
    </row>
    <row r="29616" spans="1:100">
      <c r="A29616" s="374"/>
      <c r="C29616" s="374"/>
      <c r="CV29616" s="376"/>
    </row>
    <row r="29617" spans="1:100">
      <c r="A29617" s="374"/>
      <c r="C29617" s="374"/>
      <c r="CV29617" s="376"/>
    </row>
    <row r="29618" spans="1:100">
      <c r="A29618" s="374"/>
      <c r="C29618" s="374"/>
      <c r="CV29618" s="376"/>
    </row>
    <row r="29619" spans="1:100">
      <c r="A29619" s="374"/>
      <c r="C29619" s="374"/>
      <c r="CV29619" s="376"/>
    </row>
    <row r="29620" spans="1:100">
      <c r="A29620" s="374"/>
      <c r="C29620" s="374"/>
      <c r="CV29620" s="376"/>
    </row>
    <row r="29621" spans="1:100">
      <c r="A29621" s="374"/>
      <c r="C29621" s="374"/>
      <c r="CV29621" s="376"/>
    </row>
    <row r="29622" spans="1:100">
      <c r="A29622" s="374"/>
      <c r="C29622" s="374"/>
      <c r="CV29622" s="376"/>
    </row>
    <row r="29623" spans="1:100">
      <c r="A29623" s="374"/>
      <c r="C29623" s="374"/>
      <c r="CV29623" s="376"/>
    </row>
    <row r="29624" spans="1:100">
      <c r="A29624" s="374"/>
      <c r="C29624" s="374"/>
      <c r="CV29624" s="376"/>
    </row>
    <row r="29625" spans="1:100">
      <c r="A29625" s="374"/>
      <c r="C29625" s="374"/>
      <c r="CV29625" s="376"/>
    </row>
    <row r="29626" spans="1:100">
      <c r="A29626" s="374"/>
      <c r="C29626" s="374"/>
      <c r="CV29626" s="376"/>
    </row>
    <row r="29627" spans="1:100">
      <c r="A29627" s="374"/>
      <c r="C29627" s="374"/>
      <c r="CV29627" s="376"/>
    </row>
    <row r="29628" spans="1:100">
      <c r="A29628" s="374"/>
      <c r="C29628" s="374"/>
      <c r="CV29628" s="376"/>
    </row>
    <row r="29629" spans="1:100">
      <c r="A29629" s="374"/>
      <c r="C29629" s="374"/>
      <c r="CV29629" s="376"/>
    </row>
    <row r="29630" spans="1:100">
      <c r="A29630" s="374"/>
      <c r="C29630" s="374"/>
      <c r="CV29630" s="376"/>
    </row>
    <row r="29631" spans="1:100">
      <c r="A29631" s="374"/>
      <c r="C29631" s="374"/>
      <c r="CV29631" s="376"/>
    </row>
    <row r="29632" spans="1:100">
      <c r="A29632" s="374"/>
      <c r="C29632" s="374"/>
      <c r="CV29632" s="376"/>
    </row>
    <row r="29633" spans="1:100">
      <c r="A29633" s="374"/>
      <c r="C29633" s="374"/>
      <c r="CV29633" s="376"/>
    </row>
    <row r="29634" spans="1:100">
      <c r="A29634" s="374"/>
      <c r="C29634" s="374"/>
      <c r="CV29634" s="376"/>
    </row>
    <row r="29635" spans="1:100">
      <c r="A29635" s="374"/>
      <c r="C29635" s="374"/>
      <c r="CV29635" s="376"/>
    </row>
    <row r="29636" spans="1:100">
      <c r="A29636" s="374"/>
      <c r="C29636" s="374"/>
      <c r="CV29636" s="376"/>
    </row>
    <row r="29637" spans="1:100">
      <c r="A29637" s="374"/>
      <c r="C29637" s="374"/>
      <c r="CV29637" s="376"/>
    </row>
    <row r="29638" spans="1:100">
      <c r="A29638" s="374"/>
      <c r="C29638" s="374"/>
      <c r="CV29638" s="376"/>
    </row>
    <row r="29639" spans="1:100">
      <c r="A29639" s="374"/>
      <c r="C29639" s="374"/>
      <c r="CV29639" s="376"/>
    </row>
    <row r="29640" spans="1:100">
      <c r="A29640" s="374"/>
      <c r="C29640" s="374"/>
      <c r="CV29640" s="376"/>
    </row>
    <row r="29641" spans="1:100">
      <c r="A29641" s="374"/>
      <c r="C29641" s="374"/>
      <c r="CV29641" s="376"/>
    </row>
    <row r="29642" spans="1:100">
      <c r="A29642" s="374"/>
      <c r="C29642" s="374"/>
      <c r="CV29642" s="376"/>
    </row>
    <row r="29643" spans="1:100">
      <c r="A29643" s="374"/>
      <c r="C29643" s="374"/>
      <c r="CV29643" s="376"/>
    </row>
    <row r="29644" spans="1:100">
      <c r="A29644" s="374"/>
      <c r="C29644" s="374"/>
      <c r="CV29644" s="376"/>
    </row>
    <row r="29645" spans="1:100">
      <c r="A29645" s="374"/>
      <c r="C29645" s="374"/>
      <c r="CV29645" s="376"/>
    </row>
    <row r="29646" spans="1:100">
      <c r="A29646" s="374"/>
      <c r="C29646" s="374"/>
      <c r="CV29646" s="376"/>
    </row>
    <row r="29647" spans="1:100">
      <c r="A29647" s="374"/>
      <c r="C29647" s="374"/>
      <c r="CV29647" s="376"/>
    </row>
    <row r="29648" spans="1:100">
      <c r="A29648" s="374"/>
      <c r="C29648" s="374"/>
      <c r="CV29648" s="376"/>
    </row>
    <row r="29649" spans="1:100">
      <c r="A29649" s="374"/>
      <c r="C29649" s="374"/>
      <c r="CV29649" s="376"/>
    </row>
    <row r="29650" spans="1:100">
      <c r="A29650" s="374"/>
      <c r="C29650" s="374"/>
      <c r="CV29650" s="376"/>
    </row>
    <row r="29651" spans="1:100">
      <c r="A29651" s="374"/>
      <c r="C29651" s="374"/>
      <c r="CV29651" s="376"/>
    </row>
    <row r="29652" spans="1:100">
      <c r="A29652" s="374"/>
      <c r="C29652" s="374"/>
      <c r="CV29652" s="376"/>
    </row>
    <row r="29653" spans="1:100">
      <c r="A29653" s="374"/>
      <c r="C29653" s="374"/>
      <c r="CV29653" s="376"/>
    </row>
    <row r="29654" spans="1:100">
      <c r="A29654" s="374"/>
      <c r="C29654" s="374"/>
      <c r="CV29654" s="376"/>
    </row>
    <row r="29655" spans="1:100">
      <c r="A29655" s="374"/>
      <c r="C29655" s="374"/>
      <c r="CV29655" s="376"/>
    </row>
    <row r="29656" spans="1:100">
      <c r="A29656" s="374"/>
      <c r="C29656" s="374"/>
      <c r="CV29656" s="376"/>
    </row>
    <row r="29657" spans="1:100">
      <c r="A29657" s="374"/>
      <c r="C29657" s="374"/>
      <c r="CV29657" s="376"/>
    </row>
    <row r="29658" spans="1:100">
      <c r="A29658" s="374"/>
      <c r="C29658" s="374"/>
      <c r="CV29658" s="376"/>
    </row>
    <row r="29659" spans="1:100">
      <c r="A29659" s="374"/>
      <c r="C29659" s="374"/>
      <c r="CV29659" s="376"/>
    </row>
    <row r="29660" spans="1:100">
      <c r="A29660" s="374"/>
      <c r="C29660" s="374"/>
      <c r="CV29660" s="376"/>
    </row>
    <row r="29661" spans="1:100">
      <c r="A29661" s="374"/>
      <c r="C29661" s="374"/>
      <c r="CV29661" s="376"/>
    </row>
    <row r="29662" spans="1:100">
      <c r="A29662" s="374"/>
      <c r="C29662" s="374"/>
      <c r="CV29662" s="376"/>
    </row>
    <row r="29663" spans="1:100">
      <c r="A29663" s="374"/>
      <c r="C29663" s="374"/>
      <c r="CV29663" s="376"/>
    </row>
    <row r="29664" spans="1:100">
      <c r="A29664" s="374"/>
      <c r="C29664" s="374"/>
      <c r="CV29664" s="376"/>
    </row>
    <row r="29665" spans="1:100">
      <c r="A29665" s="374"/>
      <c r="C29665" s="374"/>
      <c r="CV29665" s="376"/>
    </row>
    <row r="29666" spans="1:100">
      <c r="A29666" s="374"/>
      <c r="C29666" s="374"/>
      <c r="CV29666" s="376"/>
    </row>
    <row r="29667" spans="1:100">
      <c r="A29667" s="374"/>
      <c r="C29667" s="374"/>
      <c r="CV29667" s="376"/>
    </row>
    <row r="29668" spans="1:100">
      <c r="A29668" s="374"/>
      <c r="C29668" s="374"/>
      <c r="CV29668" s="376"/>
    </row>
    <row r="29669" spans="1:100">
      <c r="A29669" s="374"/>
      <c r="C29669" s="374"/>
      <c r="CV29669" s="376"/>
    </row>
    <row r="29670" spans="1:100">
      <c r="A29670" s="374"/>
      <c r="C29670" s="374"/>
      <c r="CV29670" s="376"/>
    </row>
    <row r="29671" spans="1:100">
      <c r="A29671" s="374"/>
      <c r="C29671" s="374"/>
      <c r="CV29671" s="376"/>
    </row>
    <row r="29672" spans="1:100">
      <c r="A29672" s="374"/>
      <c r="C29672" s="374"/>
      <c r="CV29672" s="376"/>
    </row>
    <row r="29673" spans="1:100">
      <c r="A29673" s="374"/>
      <c r="C29673" s="374"/>
      <c r="CV29673" s="376"/>
    </row>
    <row r="29674" spans="1:100">
      <c r="A29674" s="374"/>
      <c r="C29674" s="374"/>
      <c r="CV29674" s="376"/>
    </row>
    <row r="29675" spans="1:100">
      <c r="A29675" s="374"/>
      <c r="C29675" s="374"/>
      <c r="CV29675" s="376"/>
    </row>
    <row r="29676" spans="1:100">
      <c r="A29676" s="374"/>
      <c r="C29676" s="374"/>
      <c r="CV29676" s="376"/>
    </row>
    <row r="29677" spans="1:100">
      <c r="A29677" s="374"/>
      <c r="C29677" s="374"/>
      <c r="CV29677" s="376"/>
    </row>
    <row r="29678" spans="1:100">
      <c r="A29678" s="374"/>
      <c r="C29678" s="374"/>
      <c r="CV29678" s="376"/>
    </row>
    <row r="29679" spans="1:100">
      <c r="A29679" s="374"/>
      <c r="C29679" s="374"/>
      <c r="CV29679" s="376"/>
    </row>
    <row r="29680" spans="1:100">
      <c r="A29680" s="374"/>
      <c r="C29680" s="374"/>
      <c r="CV29680" s="376"/>
    </row>
    <row r="29681" spans="1:100">
      <c r="A29681" s="374"/>
      <c r="C29681" s="374"/>
      <c r="CV29681" s="376"/>
    </row>
    <row r="29682" spans="1:100">
      <c r="A29682" s="374"/>
      <c r="C29682" s="374"/>
      <c r="CV29682" s="376"/>
    </row>
    <row r="29683" spans="1:100">
      <c r="A29683" s="374"/>
      <c r="C29683" s="374"/>
      <c r="CV29683" s="376"/>
    </row>
    <row r="29684" spans="1:100">
      <c r="A29684" s="374"/>
      <c r="C29684" s="374"/>
      <c r="CV29684" s="376"/>
    </row>
    <row r="29685" spans="1:100">
      <c r="A29685" s="374"/>
      <c r="C29685" s="374"/>
      <c r="CV29685" s="376"/>
    </row>
    <row r="29686" spans="1:100">
      <c r="A29686" s="374"/>
      <c r="C29686" s="374"/>
      <c r="CV29686" s="376"/>
    </row>
    <row r="29687" spans="1:100">
      <c r="A29687" s="374"/>
      <c r="C29687" s="374"/>
      <c r="CV29687" s="376"/>
    </row>
    <row r="29688" spans="1:100">
      <c r="A29688" s="374"/>
      <c r="C29688" s="374"/>
      <c r="CV29688" s="376"/>
    </row>
    <row r="29689" spans="1:100">
      <c r="A29689" s="374"/>
      <c r="C29689" s="374"/>
      <c r="CV29689" s="376"/>
    </row>
    <row r="29690" spans="1:100">
      <c r="A29690" s="374"/>
      <c r="C29690" s="374"/>
      <c r="CV29690" s="376"/>
    </row>
    <row r="29691" spans="1:100">
      <c r="A29691" s="374"/>
      <c r="C29691" s="374"/>
      <c r="CV29691" s="376"/>
    </row>
    <row r="29692" spans="1:100">
      <c r="A29692" s="374"/>
      <c r="C29692" s="374"/>
      <c r="CV29692" s="376"/>
    </row>
    <row r="29693" spans="1:100">
      <c r="A29693" s="374"/>
      <c r="C29693" s="374"/>
      <c r="CV29693" s="376"/>
    </row>
    <row r="29694" spans="1:100">
      <c r="A29694" s="374"/>
      <c r="C29694" s="374"/>
      <c r="CV29694" s="376"/>
    </row>
    <row r="29695" spans="1:100">
      <c r="A29695" s="374"/>
      <c r="C29695" s="374"/>
      <c r="CV29695" s="376"/>
    </row>
    <row r="29696" spans="1:100">
      <c r="A29696" s="374"/>
      <c r="C29696" s="374"/>
      <c r="CV29696" s="376"/>
    </row>
    <row r="29697" spans="1:100">
      <c r="A29697" s="374"/>
      <c r="C29697" s="374"/>
      <c r="CV29697" s="376"/>
    </row>
    <row r="29698" spans="1:100">
      <c r="A29698" s="374"/>
      <c r="C29698" s="374"/>
      <c r="CV29698" s="376"/>
    </row>
    <row r="29699" spans="1:100">
      <c r="A29699" s="374"/>
      <c r="C29699" s="374"/>
      <c r="CV29699" s="376"/>
    </row>
    <row r="29700" spans="1:100">
      <c r="A29700" s="374"/>
      <c r="C29700" s="374"/>
      <c r="CV29700" s="376"/>
    </row>
    <row r="29701" spans="1:100">
      <c r="A29701" s="374"/>
      <c r="C29701" s="374"/>
      <c r="CV29701" s="376"/>
    </row>
    <row r="29702" spans="1:100">
      <c r="A29702" s="374"/>
      <c r="C29702" s="374"/>
      <c r="CV29702" s="376"/>
    </row>
    <row r="29703" spans="1:100">
      <c r="A29703" s="374"/>
      <c r="C29703" s="374"/>
      <c r="CV29703" s="376"/>
    </row>
    <row r="29704" spans="1:100">
      <c r="A29704" s="374"/>
      <c r="C29704" s="374"/>
      <c r="CV29704" s="376"/>
    </row>
    <row r="29705" spans="1:100">
      <c r="A29705" s="374"/>
      <c r="C29705" s="374"/>
      <c r="CV29705" s="376"/>
    </row>
    <row r="29706" spans="1:100">
      <c r="A29706" s="374"/>
      <c r="C29706" s="374"/>
      <c r="CV29706" s="376"/>
    </row>
    <row r="29707" spans="1:100">
      <c r="A29707" s="374"/>
      <c r="C29707" s="374"/>
      <c r="CV29707" s="376"/>
    </row>
    <row r="29708" spans="1:100">
      <c r="A29708" s="374"/>
      <c r="C29708" s="374"/>
      <c r="CV29708" s="376"/>
    </row>
    <row r="29709" spans="1:100">
      <c r="A29709" s="374"/>
      <c r="C29709" s="374"/>
      <c r="CV29709" s="376"/>
    </row>
    <row r="29710" spans="1:100">
      <c r="A29710" s="374"/>
      <c r="C29710" s="374"/>
      <c r="CV29710" s="376"/>
    </row>
    <row r="29711" spans="1:100">
      <c r="A29711" s="374"/>
      <c r="C29711" s="374"/>
      <c r="CV29711" s="376"/>
    </row>
    <row r="29712" spans="1:100">
      <c r="A29712" s="374"/>
      <c r="C29712" s="374"/>
      <c r="CV29712" s="376"/>
    </row>
    <row r="29713" spans="1:100">
      <c r="A29713" s="374"/>
      <c r="C29713" s="374"/>
      <c r="CV29713" s="376"/>
    </row>
    <row r="29714" spans="1:100">
      <c r="A29714" s="374"/>
      <c r="C29714" s="374"/>
      <c r="CV29714" s="376"/>
    </row>
    <row r="29715" spans="1:100">
      <c r="A29715" s="374"/>
      <c r="C29715" s="374"/>
      <c r="CV29715" s="376"/>
    </row>
    <row r="29716" spans="1:100">
      <c r="A29716" s="374"/>
      <c r="C29716" s="374"/>
      <c r="CV29716" s="376"/>
    </row>
    <row r="29717" spans="1:100">
      <c r="A29717" s="374"/>
      <c r="C29717" s="374"/>
      <c r="CV29717" s="376"/>
    </row>
    <row r="29718" spans="1:100">
      <c r="A29718" s="374"/>
      <c r="C29718" s="374"/>
      <c r="CV29718" s="376"/>
    </row>
    <row r="29719" spans="1:100">
      <c r="A29719" s="374"/>
      <c r="C29719" s="374"/>
      <c r="CV29719" s="376"/>
    </row>
    <row r="29720" spans="1:100">
      <c r="A29720" s="374"/>
      <c r="C29720" s="374"/>
      <c r="CV29720" s="376"/>
    </row>
    <row r="29721" spans="1:100">
      <c r="A29721" s="374"/>
      <c r="C29721" s="374"/>
      <c r="CV29721" s="376"/>
    </row>
    <row r="29722" spans="1:100">
      <c r="A29722" s="374"/>
      <c r="C29722" s="374"/>
      <c r="CV29722" s="376"/>
    </row>
    <row r="29723" spans="1:100">
      <c r="A29723" s="374"/>
      <c r="C29723" s="374"/>
      <c r="CV29723" s="376"/>
    </row>
    <row r="29724" spans="1:100">
      <c r="A29724" s="374"/>
      <c r="C29724" s="374"/>
      <c r="CV29724" s="376"/>
    </row>
    <row r="29725" spans="1:100">
      <c r="A29725" s="374"/>
      <c r="C29725" s="374"/>
      <c r="CV29725" s="376"/>
    </row>
    <row r="29726" spans="1:100">
      <c r="A29726" s="374"/>
      <c r="C29726" s="374"/>
      <c r="CV29726" s="376"/>
    </row>
    <row r="29727" spans="1:100">
      <c r="A29727" s="374"/>
      <c r="C29727" s="374"/>
      <c r="CV29727" s="376"/>
    </row>
    <row r="29728" spans="1:100">
      <c r="A29728" s="374"/>
      <c r="C29728" s="374"/>
      <c r="CV29728" s="376"/>
    </row>
    <row r="29729" spans="1:100">
      <c r="A29729" s="374"/>
      <c r="C29729" s="374"/>
      <c r="CV29729" s="376"/>
    </row>
    <row r="29730" spans="1:100">
      <c r="A29730" s="374"/>
      <c r="C29730" s="374"/>
      <c r="CV29730" s="376"/>
    </row>
    <row r="29731" spans="1:100">
      <c r="A29731" s="374"/>
      <c r="C29731" s="374"/>
      <c r="CV29731" s="376"/>
    </row>
    <row r="29732" spans="1:100">
      <c r="A29732" s="374"/>
      <c r="C29732" s="374"/>
      <c r="CV29732" s="376"/>
    </row>
    <row r="29733" spans="1:100">
      <c r="A29733" s="374"/>
      <c r="C29733" s="374"/>
      <c r="CV29733" s="376"/>
    </row>
    <row r="29734" spans="1:100">
      <c r="A29734" s="374"/>
      <c r="C29734" s="374"/>
      <c r="CV29734" s="376"/>
    </row>
    <row r="29735" spans="1:100">
      <c r="A29735" s="374"/>
      <c r="C29735" s="374"/>
      <c r="CV29735" s="376"/>
    </row>
    <row r="29736" spans="1:100">
      <c r="A29736" s="374"/>
      <c r="C29736" s="374"/>
      <c r="CV29736" s="376"/>
    </row>
    <row r="29737" spans="1:100">
      <c r="A29737" s="374"/>
      <c r="C29737" s="374"/>
      <c r="CV29737" s="376"/>
    </row>
    <row r="29738" spans="1:100">
      <c r="A29738" s="374"/>
      <c r="C29738" s="374"/>
      <c r="CV29738" s="376"/>
    </row>
    <row r="29739" spans="1:100">
      <c r="A29739" s="374"/>
      <c r="C29739" s="374"/>
      <c r="CV29739" s="376"/>
    </row>
    <row r="29740" spans="1:100">
      <c r="A29740" s="374"/>
      <c r="C29740" s="374"/>
      <c r="CV29740" s="376"/>
    </row>
    <row r="29741" spans="1:100">
      <c r="A29741" s="374"/>
      <c r="C29741" s="374"/>
      <c r="CV29741" s="376"/>
    </row>
    <row r="29742" spans="1:100">
      <c r="A29742" s="374"/>
      <c r="C29742" s="374"/>
      <c r="CV29742" s="376"/>
    </row>
    <row r="29743" spans="1:100">
      <c r="A29743" s="374"/>
      <c r="C29743" s="374"/>
      <c r="CV29743" s="376"/>
    </row>
    <row r="29744" spans="1:100">
      <c r="A29744" s="374"/>
      <c r="C29744" s="374"/>
      <c r="CV29744" s="376"/>
    </row>
    <row r="29745" spans="1:100">
      <c r="A29745" s="374"/>
      <c r="C29745" s="374"/>
      <c r="CV29745" s="376"/>
    </row>
    <row r="29746" spans="1:100">
      <c r="A29746" s="374"/>
      <c r="C29746" s="374"/>
      <c r="CV29746" s="376"/>
    </row>
    <row r="29747" spans="1:100">
      <c r="A29747" s="374"/>
      <c r="C29747" s="374"/>
      <c r="CV29747" s="376"/>
    </row>
    <row r="29748" spans="1:100">
      <c r="A29748" s="374"/>
      <c r="C29748" s="374"/>
      <c r="CV29748" s="376"/>
    </row>
    <row r="29749" spans="1:100">
      <c r="A29749" s="374"/>
      <c r="C29749" s="374"/>
      <c r="CV29749" s="376"/>
    </row>
    <row r="29750" spans="1:100">
      <c r="A29750" s="374"/>
      <c r="C29750" s="374"/>
      <c r="CV29750" s="376"/>
    </row>
    <row r="29751" spans="1:100">
      <c r="A29751" s="374"/>
      <c r="C29751" s="374"/>
      <c r="CV29751" s="376"/>
    </row>
    <row r="29752" spans="1:100">
      <c r="A29752" s="374"/>
      <c r="C29752" s="374"/>
      <c r="CV29752" s="376"/>
    </row>
    <row r="29753" spans="1:100">
      <c r="A29753" s="374"/>
      <c r="C29753" s="374"/>
      <c r="CV29753" s="376"/>
    </row>
    <row r="29754" spans="1:100">
      <c r="A29754" s="374"/>
      <c r="C29754" s="374"/>
      <c r="CV29754" s="376"/>
    </row>
    <row r="29755" spans="1:100">
      <c r="A29755" s="374"/>
      <c r="C29755" s="374"/>
      <c r="CV29755" s="376"/>
    </row>
    <row r="29756" spans="1:100">
      <c r="A29756" s="374"/>
      <c r="C29756" s="374"/>
      <c r="CV29756" s="376"/>
    </row>
    <row r="29757" spans="1:100">
      <c r="A29757" s="374"/>
      <c r="C29757" s="374"/>
      <c r="CV29757" s="376"/>
    </row>
    <row r="29758" spans="1:100">
      <c r="A29758" s="374"/>
      <c r="C29758" s="374"/>
      <c r="CV29758" s="376"/>
    </row>
    <row r="29759" spans="1:100">
      <c r="A29759" s="374"/>
      <c r="C29759" s="374"/>
      <c r="CV29759" s="376"/>
    </row>
    <row r="29760" spans="1:100">
      <c r="A29760" s="374"/>
      <c r="C29760" s="374"/>
      <c r="CV29760" s="376"/>
    </row>
    <row r="29761" spans="1:100">
      <c r="A29761" s="374"/>
      <c r="C29761" s="374"/>
      <c r="CV29761" s="376"/>
    </row>
    <row r="29762" spans="1:100">
      <c r="A29762" s="374"/>
      <c r="C29762" s="374"/>
      <c r="CV29762" s="376"/>
    </row>
    <row r="29763" spans="1:100">
      <c r="A29763" s="374"/>
      <c r="C29763" s="374"/>
      <c r="CV29763" s="376"/>
    </row>
    <row r="29764" spans="1:100">
      <c r="A29764" s="374"/>
      <c r="C29764" s="374"/>
      <c r="CV29764" s="376"/>
    </row>
    <row r="29765" spans="1:100">
      <c r="A29765" s="374"/>
      <c r="C29765" s="374"/>
      <c r="CV29765" s="376"/>
    </row>
    <row r="29766" spans="1:100">
      <c r="A29766" s="374"/>
      <c r="C29766" s="374"/>
      <c r="CV29766" s="376"/>
    </row>
    <row r="29767" spans="1:100">
      <c r="A29767" s="374"/>
      <c r="C29767" s="374"/>
      <c r="CV29767" s="376"/>
    </row>
    <row r="29768" spans="1:100">
      <c r="A29768" s="374"/>
      <c r="C29768" s="374"/>
      <c r="CV29768" s="376"/>
    </row>
    <row r="29769" spans="1:100">
      <c r="A29769" s="374"/>
      <c r="C29769" s="374"/>
      <c r="CV29769" s="376"/>
    </row>
    <row r="29770" spans="1:100">
      <c r="A29770" s="374"/>
      <c r="C29770" s="374"/>
      <c r="CV29770" s="376"/>
    </row>
    <row r="29771" spans="1:100">
      <c r="A29771" s="374"/>
      <c r="C29771" s="374"/>
      <c r="CV29771" s="376"/>
    </row>
    <row r="29772" spans="1:100">
      <c r="A29772" s="374"/>
      <c r="C29772" s="374"/>
      <c r="CV29772" s="376"/>
    </row>
    <row r="29773" spans="1:100">
      <c r="A29773" s="374"/>
      <c r="C29773" s="374"/>
      <c r="CV29773" s="376"/>
    </row>
    <row r="29774" spans="1:100">
      <c r="A29774" s="374"/>
      <c r="C29774" s="374"/>
      <c r="CV29774" s="376"/>
    </row>
    <row r="29775" spans="1:100">
      <c r="A29775" s="374"/>
      <c r="C29775" s="374"/>
      <c r="CV29775" s="376"/>
    </row>
    <row r="29776" spans="1:100">
      <c r="A29776" s="374"/>
      <c r="C29776" s="374"/>
      <c r="CV29776" s="376"/>
    </row>
    <row r="29777" spans="1:100">
      <c r="A29777" s="374"/>
      <c r="C29777" s="374"/>
      <c r="CV29777" s="376"/>
    </row>
    <row r="29778" spans="1:100">
      <c r="A29778" s="374"/>
      <c r="C29778" s="374"/>
      <c r="CV29778" s="376"/>
    </row>
    <row r="29779" spans="1:100">
      <c r="A29779" s="374"/>
      <c r="C29779" s="374"/>
      <c r="CV29779" s="376"/>
    </row>
    <row r="29780" spans="1:100">
      <c r="A29780" s="374"/>
      <c r="C29780" s="374"/>
      <c r="CV29780" s="376"/>
    </row>
    <row r="29781" spans="1:100">
      <c r="A29781" s="374"/>
      <c r="C29781" s="374"/>
      <c r="CV29781" s="376"/>
    </row>
    <row r="29782" spans="1:100">
      <c r="A29782" s="374"/>
      <c r="C29782" s="374"/>
      <c r="CV29782" s="376"/>
    </row>
    <row r="29783" spans="1:100">
      <c r="A29783" s="374"/>
      <c r="C29783" s="374"/>
      <c r="CV29783" s="376"/>
    </row>
    <row r="29784" spans="1:100">
      <c r="A29784" s="374"/>
      <c r="C29784" s="374"/>
      <c r="CV29784" s="376"/>
    </row>
    <row r="29785" spans="1:100">
      <c r="A29785" s="374"/>
      <c r="C29785" s="374"/>
      <c r="CV29785" s="376"/>
    </row>
    <row r="29786" spans="1:100">
      <c r="A29786" s="374"/>
      <c r="C29786" s="374"/>
      <c r="CV29786" s="376"/>
    </row>
    <row r="29787" spans="1:100">
      <c r="A29787" s="374"/>
      <c r="C29787" s="374"/>
      <c r="CV29787" s="376"/>
    </row>
    <row r="29788" spans="1:100">
      <c r="A29788" s="374"/>
      <c r="C29788" s="374"/>
      <c r="CV29788" s="376"/>
    </row>
    <row r="29789" spans="1:100">
      <c r="A29789" s="374"/>
      <c r="C29789" s="374"/>
      <c r="CV29789" s="376"/>
    </row>
    <row r="29790" spans="1:100">
      <c r="A29790" s="374"/>
      <c r="C29790" s="374"/>
      <c r="CV29790" s="376"/>
    </row>
    <row r="29791" spans="1:100">
      <c r="A29791" s="374"/>
      <c r="C29791" s="374"/>
      <c r="CV29791" s="376"/>
    </row>
    <row r="29792" spans="1:100">
      <c r="A29792" s="374"/>
      <c r="C29792" s="374"/>
      <c r="CV29792" s="376"/>
    </row>
    <row r="29793" spans="1:100">
      <c r="A29793" s="374"/>
      <c r="C29793" s="374"/>
      <c r="CV29793" s="376"/>
    </row>
    <row r="29794" spans="1:100">
      <c r="A29794" s="374"/>
      <c r="C29794" s="374"/>
      <c r="CV29794" s="376"/>
    </row>
    <row r="29795" spans="1:100">
      <c r="A29795" s="374"/>
      <c r="C29795" s="374"/>
      <c r="CV29795" s="376"/>
    </row>
    <row r="29796" spans="1:100">
      <c r="A29796" s="374"/>
      <c r="C29796" s="374"/>
      <c r="CV29796" s="376"/>
    </row>
    <row r="29797" spans="1:100">
      <c r="A29797" s="374"/>
      <c r="C29797" s="374"/>
      <c r="CV29797" s="376"/>
    </row>
    <row r="29798" spans="1:100">
      <c r="A29798" s="374"/>
      <c r="C29798" s="374"/>
      <c r="CV29798" s="376"/>
    </row>
    <row r="29799" spans="1:100">
      <c r="A29799" s="374"/>
      <c r="C29799" s="374"/>
      <c r="CV29799" s="376"/>
    </row>
    <row r="29800" spans="1:100">
      <c r="A29800" s="374"/>
      <c r="C29800" s="374"/>
      <c r="CV29800" s="376"/>
    </row>
    <row r="29801" spans="1:100">
      <c r="A29801" s="374"/>
      <c r="C29801" s="374"/>
      <c r="CV29801" s="376"/>
    </row>
    <row r="29802" spans="1:100">
      <c r="A29802" s="374"/>
      <c r="C29802" s="374"/>
      <c r="CV29802" s="376"/>
    </row>
    <row r="29803" spans="1:100">
      <c r="A29803" s="374"/>
      <c r="C29803" s="374"/>
      <c r="CV29803" s="376"/>
    </row>
    <row r="29804" spans="1:100">
      <c r="A29804" s="374"/>
      <c r="C29804" s="374"/>
      <c r="CV29804" s="376"/>
    </row>
    <row r="29805" spans="1:100">
      <c r="A29805" s="374"/>
      <c r="C29805" s="374"/>
      <c r="CV29805" s="376"/>
    </row>
    <row r="29806" spans="1:100">
      <c r="A29806" s="374"/>
      <c r="C29806" s="374"/>
      <c r="CV29806" s="376"/>
    </row>
    <row r="29807" spans="1:100">
      <c r="A29807" s="374"/>
      <c r="C29807" s="374"/>
      <c r="CV29807" s="376"/>
    </row>
    <row r="29808" spans="1:100">
      <c r="A29808" s="374"/>
      <c r="C29808" s="374"/>
      <c r="CV29808" s="376"/>
    </row>
    <row r="29809" spans="1:100">
      <c r="A29809" s="374"/>
      <c r="C29809" s="374"/>
      <c r="CV29809" s="376"/>
    </row>
    <row r="29810" spans="1:100">
      <c r="A29810" s="374"/>
      <c r="C29810" s="374"/>
      <c r="CV29810" s="376"/>
    </row>
    <row r="29811" spans="1:100">
      <c r="A29811" s="374"/>
      <c r="C29811" s="374"/>
      <c r="CV29811" s="376"/>
    </row>
    <row r="29812" spans="1:100">
      <c r="A29812" s="374"/>
      <c r="C29812" s="374"/>
      <c r="CV29812" s="376"/>
    </row>
    <row r="29813" spans="1:100">
      <c r="A29813" s="374"/>
      <c r="C29813" s="374"/>
      <c r="CV29813" s="376"/>
    </row>
    <row r="29814" spans="1:100">
      <c r="A29814" s="374"/>
      <c r="C29814" s="374"/>
      <c r="CV29814" s="376"/>
    </row>
    <row r="29815" spans="1:100">
      <c r="A29815" s="374"/>
      <c r="C29815" s="374"/>
      <c r="CV29815" s="376"/>
    </row>
    <row r="29816" spans="1:100">
      <c r="A29816" s="374"/>
      <c r="C29816" s="374"/>
      <c r="CV29816" s="376"/>
    </row>
    <row r="29817" spans="1:100">
      <c r="A29817" s="374"/>
      <c r="C29817" s="374"/>
      <c r="CV29817" s="376"/>
    </row>
    <row r="29818" spans="1:100">
      <c r="A29818" s="374"/>
      <c r="C29818" s="374"/>
      <c r="CV29818" s="376"/>
    </row>
    <row r="29819" spans="1:100">
      <c r="A29819" s="374"/>
      <c r="C29819" s="374"/>
      <c r="CV29819" s="376"/>
    </row>
    <row r="29820" spans="1:100">
      <c r="A29820" s="374"/>
      <c r="C29820" s="374"/>
      <c r="CV29820" s="376"/>
    </row>
    <row r="29821" spans="1:100">
      <c r="A29821" s="374"/>
      <c r="C29821" s="374"/>
      <c r="CV29821" s="376"/>
    </row>
    <row r="29822" spans="1:100">
      <c r="A29822" s="374"/>
      <c r="C29822" s="374"/>
      <c r="CV29822" s="376"/>
    </row>
    <row r="29823" spans="1:100">
      <c r="A29823" s="374"/>
      <c r="C29823" s="374"/>
      <c r="CV29823" s="376"/>
    </row>
    <row r="29824" spans="1:100">
      <c r="A29824" s="374"/>
      <c r="C29824" s="374"/>
      <c r="CV29824" s="376"/>
    </row>
    <row r="29825" spans="1:100">
      <c r="A29825" s="374"/>
      <c r="C29825" s="374"/>
      <c r="CV29825" s="376"/>
    </row>
    <row r="29826" spans="1:100">
      <c r="A29826" s="374"/>
      <c r="C29826" s="374"/>
      <c r="CV29826" s="376"/>
    </row>
    <row r="29827" spans="1:100">
      <c r="A29827" s="374"/>
      <c r="C29827" s="374"/>
      <c r="CV29827" s="376"/>
    </row>
    <row r="29828" spans="1:100">
      <c r="A29828" s="374"/>
      <c r="C29828" s="374"/>
      <c r="CV29828" s="376"/>
    </row>
    <row r="29829" spans="1:100">
      <c r="A29829" s="374"/>
      <c r="C29829" s="374"/>
      <c r="CV29829" s="376"/>
    </row>
    <row r="29830" spans="1:100">
      <c r="A29830" s="374"/>
      <c r="C29830" s="374"/>
      <c r="CV29830" s="376"/>
    </row>
    <row r="29831" spans="1:100">
      <c r="A29831" s="374"/>
      <c r="C29831" s="374"/>
      <c r="CV29831" s="376"/>
    </row>
    <row r="29832" spans="1:100">
      <c r="A29832" s="374"/>
      <c r="C29832" s="374"/>
      <c r="CV29832" s="376"/>
    </row>
    <row r="29833" spans="1:100">
      <c r="A29833" s="374"/>
      <c r="C29833" s="374"/>
      <c r="CV29833" s="376"/>
    </row>
    <row r="29834" spans="1:100">
      <c r="A29834" s="374"/>
      <c r="C29834" s="374"/>
      <c r="CV29834" s="376"/>
    </row>
    <row r="29835" spans="1:100">
      <c r="A29835" s="374"/>
      <c r="C29835" s="374"/>
      <c r="CV29835" s="376"/>
    </row>
    <row r="29836" spans="1:100">
      <c r="A29836" s="374"/>
      <c r="C29836" s="374"/>
      <c r="CV29836" s="376"/>
    </row>
    <row r="29837" spans="1:100">
      <c r="A29837" s="374"/>
      <c r="C29837" s="374"/>
      <c r="CV29837" s="376"/>
    </row>
    <row r="29838" spans="1:100">
      <c r="A29838" s="374"/>
      <c r="C29838" s="374"/>
      <c r="CV29838" s="376"/>
    </row>
    <row r="29839" spans="1:100">
      <c r="A29839" s="374"/>
      <c r="C29839" s="374"/>
      <c r="CV29839" s="376"/>
    </row>
    <row r="29840" spans="1:100">
      <c r="A29840" s="374"/>
      <c r="C29840" s="374"/>
      <c r="CV29840" s="376"/>
    </row>
    <row r="29841" spans="1:100">
      <c r="A29841" s="374"/>
      <c r="C29841" s="374"/>
      <c r="CV29841" s="376"/>
    </row>
    <row r="29842" spans="1:100">
      <c r="A29842" s="374"/>
      <c r="C29842" s="374"/>
      <c r="CV29842" s="376"/>
    </row>
    <row r="29843" spans="1:100">
      <c r="A29843" s="374"/>
      <c r="C29843" s="374"/>
      <c r="CV29843" s="376"/>
    </row>
    <row r="29844" spans="1:100">
      <c r="A29844" s="374"/>
      <c r="C29844" s="374"/>
      <c r="CV29844" s="376"/>
    </row>
    <row r="29845" spans="1:100">
      <c r="A29845" s="374"/>
      <c r="C29845" s="374"/>
      <c r="CV29845" s="376"/>
    </row>
    <row r="29846" spans="1:100">
      <c r="A29846" s="374"/>
      <c r="C29846" s="374"/>
      <c r="CV29846" s="376"/>
    </row>
    <row r="29847" spans="1:100">
      <c r="A29847" s="374"/>
      <c r="C29847" s="374"/>
      <c r="CV29847" s="376"/>
    </row>
    <row r="29848" spans="1:100">
      <c r="A29848" s="374"/>
      <c r="C29848" s="374"/>
      <c r="CV29848" s="376"/>
    </row>
    <row r="29849" spans="1:100">
      <c r="A29849" s="374"/>
      <c r="C29849" s="374"/>
      <c r="CV29849" s="376"/>
    </row>
    <row r="29850" spans="1:100">
      <c r="A29850" s="374"/>
      <c r="C29850" s="374"/>
      <c r="CV29850" s="376"/>
    </row>
    <row r="29851" spans="1:100">
      <c r="A29851" s="374"/>
      <c r="C29851" s="374"/>
      <c r="CV29851" s="376"/>
    </row>
    <row r="29852" spans="1:100">
      <c r="A29852" s="374"/>
      <c r="C29852" s="374"/>
      <c r="CV29852" s="376"/>
    </row>
    <row r="29853" spans="1:100">
      <c r="A29853" s="374"/>
      <c r="C29853" s="374"/>
      <c r="CV29853" s="376"/>
    </row>
    <row r="29854" spans="1:100">
      <c r="A29854" s="374"/>
      <c r="C29854" s="374"/>
      <c r="CV29854" s="376"/>
    </row>
    <row r="29855" spans="1:100">
      <c r="A29855" s="374"/>
      <c r="C29855" s="374"/>
      <c r="CV29855" s="376"/>
    </row>
    <row r="29856" spans="1:100">
      <c r="A29856" s="374"/>
      <c r="C29856" s="374"/>
      <c r="CV29856" s="376"/>
    </row>
    <row r="29857" spans="1:100">
      <c r="A29857" s="374"/>
      <c r="C29857" s="374"/>
      <c r="CV29857" s="376"/>
    </row>
    <row r="29858" spans="1:100">
      <c r="A29858" s="374"/>
      <c r="C29858" s="374"/>
      <c r="CV29858" s="376"/>
    </row>
    <row r="29859" spans="1:100">
      <c r="A29859" s="374"/>
      <c r="C29859" s="374"/>
      <c r="CV29859" s="376"/>
    </row>
    <row r="29860" spans="1:100">
      <c r="A29860" s="374"/>
      <c r="C29860" s="374"/>
      <c r="CV29860" s="376"/>
    </row>
    <row r="29861" spans="1:100">
      <c r="A29861" s="374"/>
      <c r="C29861" s="374"/>
      <c r="CV29861" s="376"/>
    </row>
    <row r="29862" spans="1:100">
      <c r="A29862" s="374"/>
      <c r="C29862" s="374"/>
      <c r="CV29862" s="376"/>
    </row>
    <row r="29863" spans="1:100">
      <c r="A29863" s="374"/>
      <c r="C29863" s="374"/>
      <c r="CV29863" s="376"/>
    </row>
    <row r="29864" spans="1:100">
      <c r="A29864" s="374"/>
      <c r="C29864" s="374"/>
      <c r="CV29864" s="376"/>
    </row>
    <row r="29865" spans="1:100">
      <c r="A29865" s="374"/>
      <c r="C29865" s="374"/>
      <c r="CV29865" s="376"/>
    </row>
    <row r="29866" spans="1:100">
      <c r="A29866" s="374"/>
      <c r="C29866" s="374"/>
      <c r="CV29866" s="376"/>
    </row>
    <row r="29867" spans="1:100">
      <c r="A29867" s="374"/>
      <c r="C29867" s="374"/>
      <c r="CV29867" s="376"/>
    </row>
    <row r="29868" spans="1:100">
      <c r="A29868" s="374"/>
      <c r="C29868" s="374"/>
      <c r="CV29868" s="376"/>
    </row>
    <row r="29869" spans="1:100">
      <c r="A29869" s="374"/>
      <c r="C29869" s="374"/>
      <c r="CV29869" s="376"/>
    </row>
    <row r="29870" spans="1:100">
      <c r="A29870" s="374"/>
      <c r="C29870" s="374"/>
      <c r="CV29870" s="376"/>
    </row>
    <row r="29871" spans="1:100">
      <c r="A29871" s="374"/>
      <c r="C29871" s="374"/>
      <c r="CV29871" s="376"/>
    </row>
    <row r="29872" spans="1:100">
      <c r="A29872" s="374"/>
      <c r="C29872" s="374"/>
      <c r="CV29872" s="376"/>
    </row>
    <row r="29873" spans="1:100">
      <c r="A29873" s="374"/>
      <c r="C29873" s="374"/>
      <c r="CV29873" s="376"/>
    </row>
    <row r="29874" spans="1:100">
      <c r="A29874" s="374"/>
      <c r="C29874" s="374"/>
      <c r="CV29874" s="376"/>
    </row>
    <row r="29875" spans="1:100">
      <c r="A29875" s="374"/>
      <c r="C29875" s="374"/>
      <c r="CV29875" s="376"/>
    </row>
    <row r="29876" spans="1:100">
      <c r="A29876" s="374"/>
      <c r="C29876" s="374"/>
      <c r="CV29876" s="376"/>
    </row>
    <row r="29877" spans="1:100">
      <c r="A29877" s="374"/>
      <c r="C29877" s="374"/>
      <c r="CV29877" s="376"/>
    </row>
    <row r="29878" spans="1:100">
      <c r="A29878" s="374"/>
      <c r="C29878" s="374"/>
      <c r="CV29878" s="376"/>
    </row>
    <row r="29879" spans="1:100">
      <c r="A29879" s="374"/>
      <c r="C29879" s="374"/>
      <c r="CV29879" s="376"/>
    </row>
    <row r="29880" spans="1:100">
      <c r="A29880" s="374"/>
      <c r="C29880" s="374"/>
      <c r="CV29880" s="376"/>
    </row>
    <row r="29881" spans="1:100">
      <c r="A29881" s="374"/>
      <c r="C29881" s="374"/>
      <c r="CV29881" s="376"/>
    </row>
    <row r="29882" spans="1:100">
      <c r="A29882" s="374"/>
      <c r="C29882" s="374"/>
      <c r="CV29882" s="376"/>
    </row>
    <row r="29883" spans="1:100">
      <c r="A29883" s="374"/>
      <c r="C29883" s="374"/>
      <c r="CV29883" s="376"/>
    </row>
    <row r="29884" spans="1:100">
      <c r="A29884" s="374"/>
      <c r="C29884" s="374"/>
      <c r="CV29884" s="376"/>
    </row>
    <row r="29885" spans="1:100">
      <c r="A29885" s="374"/>
      <c r="C29885" s="374"/>
      <c r="CV29885" s="376"/>
    </row>
    <row r="29886" spans="1:100">
      <c r="A29886" s="374"/>
      <c r="C29886" s="374"/>
      <c r="CV29886" s="376"/>
    </row>
    <row r="29887" spans="1:100">
      <c r="A29887" s="374"/>
      <c r="C29887" s="374"/>
      <c r="CV29887" s="376"/>
    </row>
    <row r="29888" spans="1:100">
      <c r="A29888" s="374"/>
      <c r="C29888" s="374"/>
      <c r="CV29888" s="376"/>
    </row>
    <row r="29889" spans="1:100">
      <c r="A29889" s="374"/>
      <c r="C29889" s="374"/>
      <c r="CV29889" s="376"/>
    </row>
    <row r="29890" spans="1:100">
      <c r="A29890" s="374"/>
      <c r="C29890" s="374"/>
      <c r="CV29890" s="376"/>
    </row>
    <row r="29891" spans="1:100">
      <c r="A29891" s="374"/>
      <c r="C29891" s="374"/>
      <c r="CV29891" s="376"/>
    </row>
    <row r="29892" spans="1:100">
      <c r="A29892" s="374"/>
      <c r="C29892" s="374"/>
      <c r="CV29892" s="376"/>
    </row>
    <row r="29893" spans="1:100">
      <c r="A29893" s="374"/>
      <c r="C29893" s="374"/>
      <c r="CV29893" s="376"/>
    </row>
    <row r="29894" spans="1:100">
      <c r="A29894" s="374"/>
      <c r="C29894" s="374"/>
      <c r="CV29894" s="376"/>
    </row>
    <row r="29895" spans="1:100">
      <c r="A29895" s="374"/>
      <c r="C29895" s="374"/>
      <c r="CV29895" s="376"/>
    </row>
    <row r="29896" spans="1:100">
      <c r="A29896" s="374"/>
      <c r="C29896" s="374"/>
      <c r="CV29896" s="376"/>
    </row>
    <row r="29897" spans="1:100">
      <c r="A29897" s="374"/>
      <c r="C29897" s="374"/>
      <c r="CV29897" s="376"/>
    </row>
    <row r="29898" spans="1:100">
      <c r="A29898" s="374"/>
      <c r="C29898" s="374"/>
      <c r="CV29898" s="376"/>
    </row>
    <row r="29899" spans="1:100">
      <c r="A29899" s="374"/>
      <c r="C29899" s="374"/>
      <c r="CV29899" s="376"/>
    </row>
    <row r="29900" spans="1:100">
      <c r="A29900" s="374"/>
      <c r="C29900" s="374"/>
      <c r="CV29900" s="376"/>
    </row>
    <row r="29901" spans="1:100">
      <c r="A29901" s="374"/>
      <c r="C29901" s="374"/>
      <c r="CV29901" s="376"/>
    </row>
    <row r="29902" spans="1:100">
      <c r="A29902" s="374"/>
      <c r="C29902" s="374"/>
      <c r="CV29902" s="376"/>
    </row>
    <row r="29903" spans="1:100">
      <c r="A29903" s="374"/>
      <c r="C29903" s="374"/>
      <c r="CV29903" s="376"/>
    </row>
    <row r="29904" spans="1:100">
      <c r="A29904" s="374"/>
      <c r="C29904" s="374"/>
      <c r="CV29904" s="376"/>
    </row>
    <row r="29905" spans="1:100">
      <c r="A29905" s="374"/>
      <c r="C29905" s="374"/>
      <c r="CV29905" s="376"/>
    </row>
    <row r="29906" spans="1:100">
      <c r="A29906" s="374"/>
      <c r="C29906" s="374"/>
      <c r="CV29906" s="376"/>
    </row>
    <row r="29907" spans="1:100">
      <c r="A29907" s="374"/>
      <c r="C29907" s="374"/>
      <c r="CV29907" s="376"/>
    </row>
    <row r="29908" spans="1:100">
      <c r="A29908" s="374"/>
      <c r="C29908" s="374"/>
      <c r="CV29908" s="376"/>
    </row>
    <row r="29909" spans="1:100">
      <c r="A29909" s="374"/>
      <c r="C29909" s="374"/>
      <c r="CV29909" s="376"/>
    </row>
    <row r="29910" spans="1:100">
      <c r="A29910" s="374"/>
      <c r="C29910" s="374"/>
      <c r="CV29910" s="376"/>
    </row>
    <row r="29911" spans="1:100">
      <c r="A29911" s="374"/>
      <c r="C29911" s="374"/>
      <c r="CV29911" s="376"/>
    </row>
    <row r="29912" spans="1:100">
      <c r="A29912" s="374"/>
      <c r="C29912" s="374"/>
      <c r="CV29912" s="376"/>
    </row>
    <row r="29913" spans="1:100">
      <c r="A29913" s="374"/>
      <c r="C29913" s="374"/>
      <c r="CV29913" s="376"/>
    </row>
    <row r="29914" spans="1:100">
      <c r="A29914" s="374"/>
      <c r="C29914" s="374"/>
      <c r="CV29914" s="376"/>
    </row>
    <row r="29915" spans="1:100">
      <c r="A29915" s="374"/>
      <c r="C29915" s="374"/>
      <c r="CV29915" s="376"/>
    </row>
    <row r="29916" spans="1:100">
      <c r="A29916" s="374"/>
      <c r="C29916" s="374"/>
      <c r="CV29916" s="376"/>
    </row>
    <row r="29917" spans="1:100">
      <c r="A29917" s="374"/>
      <c r="C29917" s="374"/>
      <c r="CV29917" s="376"/>
    </row>
    <row r="29918" spans="1:100">
      <c r="A29918" s="374"/>
      <c r="C29918" s="374"/>
      <c r="CV29918" s="376"/>
    </row>
    <row r="29919" spans="1:100">
      <c r="A29919" s="374"/>
      <c r="C29919" s="374"/>
      <c r="CV29919" s="376"/>
    </row>
    <row r="29920" spans="1:100">
      <c r="A29920" s="374"/>
      <c r="C29920" s="374"/>
      <c r="CV29920" s="376"/>
    </row>
    <row r="29921" spans="1:100">
      <c r="A29921" s="374"/>
      <c r="C29921" s="374"/>
      <c r="CV29921" s="376"/>
    </row>
    <row r="29922" spans="1:100">
      <c r="A29922" s="374"/>
      <c r="C29922" s="374"/>
      <c r="CV29922" s="376"/>
    </row>
    <row r="29923" spans="1:100">
      <c r="A29923" s="374"/>
      <c r="C29923" s="374"/>
      <c r="CV29923" s="376"/>
    </row>
    <row r="29924" spans="1:100">
      <c r="A29924" s="374"/>
      <c r="C29924" s="374"/>
      <c r="CV29924" s="376"/>
    </row>
    <row r="29925" spans="1:100">
      <c r="A29925" s="374"/>
      <c r="C29925" s="374"/>
      <c r="CV29925" s="376"/>
    </row>
    <row r="29926" spans="1:100">
      <c r="A29926" s="374"/>
      <c r="C29926" s="374"/>
      <c r="CV29926" s="376"/>
    </row>
    <row r="29927" spans="1:100">
      <c r="A29927" s="374"/>
      <c r="C29927" s="374"/>
      <c r="CV29927" s="376"/>
    </row>
    <row r="29928" spans="1:100">
      <c r="A29928" s="374"/>
      <c r="C29928" s="374"/>
      <c r="CV29928" s="376"/>
    </row>
    <row r="29929" spans="1:100">
      <c r="A29929" s="374"/>
      <c r="C29929" s="374"/>
      <c r="CV29929" s="376"/>
    </row>
    <row r="29930" spans="1:100">
      <c r="A29930" s="374"/>
      <c r="C29930" s="374"/>
      <c r="CV29930" s="376"/>
    </row>
    <row r="29931" spans="1:100">
      <c r="A29931" s="374"/>
      <c r="C29931" s="374"/>
      <c r="CV29931" s="376"/>
    </row>
    <row r="29932" spans="1:100">
      <c r="A29932" s="374"/>
      <c r="C29932" s="374"/>
      <c r="CV29932" s="376"/>
    </row>
    <row r="29933" spans="1:100">
      <c r="A29933" s="374"/>
      <c r="C29933" s="374"/>
      <c r="CV29933" s="376"/>
    </row>
    <row r="29934" spans="1:100">
      <c r="A29934" s="374"/>
      <c r="C29934" s="374"/>
      <c r="CV29934" s="376"/>
    </row>
    <row r="29935" spans="1:100">
      <c r="A29935" s="374"/>
      <c r="C29935" s="374"/>
      <c r="CV29935" s="376"/>
    </row>
    <row r="29936" spans="1:100">
      <c r="A29936" s="374"/>
      <c r="C29936" s="374"/>
      <c r="CV29936" s="376"/>
    </row>
    <row r="29937" spans="1:100">
      <c r="A29937" s="374"/>
      <c r="C29937" s="374"/>
      <c r="CV29937" s="376"/>
    </row>
    <row r="29938" spans="1:100">
      <c r="A29938" s="374"/>
      <c r="C29938" s="374"/>
      <c r="CV29938" s="376"/>
    </row>
    <row r="29939" spans="1:100">
      <c r="A29939" s="374"/>
      <c r="C29939" s="374"/>
      <c r="CV29939" s="376"/>
    </row>
    <row r="29940" spans="1:100">
      <c r="A29940" s="374"/>
      <c r="C29940" s="374"/>
      <c r="CV29940" s="376"/>
    </row>
    <row r="29941" spans="1:100">
      <c r="A29941" s="374"/>
      <c r="C29941" s="374"/>
      <c r="CV29941" s="376"/>
    </row>
    <row r="29942" spans="1:100">
      <c r="A29942" s="374"/>
      <c r="C29942" s="374"/>
      <c r="CV29942" s="376"/>
    </row>
    <row r="29943" spans="1:100">
      <c r="A29943" s="374"/>
      <c r="C29943" s="374"/>
      <c r="CV29943" s="376"/>
    </row>
    <row r="29944" spans="1:100">
      <c r="A29944" s="374"/>
      <c r="C29944" s="374"/>
      <c r="CV29944" s="376"/>
    </row>
    <row r="29945" spans="1:100">
      <c r="A29945" s="374"/>
      <c r="C29945" s="374"/>
      <c r="CV29945" s="376"/>
    </row>
    <row r="29946" spans="1:100">
      <c r="A29946" s="374"/>
      <c r="C29946" s="374"/>
      <c r="CV29946" s="376"/>
    </row>
    <row r="29947" spans="1:100">
      <c r="A29947" s="374"/>
      <c r="C29947" s="374"/>
      <c r="CV29947" s="376"/>
    </row>
    <row r="29948" spans="1:100">
      <c r="A29948" s="374"/>
      <c r="C29948" s="374"/>
      <c r="CV29948" s="376"/>
    </row>
    <row r="29949" spans="1:100">
      <c r="A29949" s="374"/>
      <c r="C29949" s="374"/>
      <c r="CV29949" s="376"/>
    </row>
    <row r="29950" spans="1:100">
      <c r="A29950" s="374"/>
      <c r="C29950" s="374"/>
      <c r="CV29950" s="376"/>
    </row>
    <row r="29951" spans="1:100">
      <c r="A29951" s="374"/>
      <c r="C29951" s="374"/>
      <c r="CV29951" s="376"/>
    </row>
    <row r="29952" spans="1:100">
      <c r="A29952" s="374"/>
      <c r="C29952" s="374"/>
      <c r="CV29952" s="376"/>
    </row>
    <row r="29953" spans="1:100">
      <c r="A29953" s="374"/>
      <c r="C29953" s="374"/>
      <c r="CV29953" s="376"/>
    </row>
    <row r="29954" spans="1:100">
      <c r="A29954" s="374"/>
      <c r="C29954" s="374"/>
      <c r="CV29954" s="376"/>
    </row>
    <row r="29955" spans="1:100">
      <c r="A29955" s="374"/>
      <c r="C29955" s="374"/>
      <c r="CV29955" s="376"/>
    </row>
    <row r="29956" spans="1:100">
      <c r="A29956" s="374"/>
      <c r="C29956" s="374"/>
      <c r="CV29956" s="376"/>
    </row>
    <row r="29957" spans="1:100">
      <c r="A29957" s="374"/>
      <c r="C29957" s="374"/>
      <c r="CV29957" s="376"/>
    </row>
    <row r="29958" spans="1:100">
      <c r="A29958" s="374"/>
      <c r="C29958" s="374"/>
      <c r="CV29958" s="376"/>
    </row>
    <row r="29959" spans="1:100">
      <c r="A29959" s="374"/>
      <c r="C29959" s="374"/>
      <c r="CV29959" s="376"/>
    </row>
    <row r="29960" spans="1:100">
      <c r="A29960" s="374"/>
      <c r="C29960" s="374"/>
      <c r="CV29960" s="376"/>
    </row>
    <row r="29961" spans="1:100">
      <c r="A29961" s="374"/>
      <c r="C29961" s="374"/>
      <c r="CV29961" s="376"/>
    </row>
    <row r="29962" spans="1:100">
      <c r="A29962" s="374"/>
      <c r="C29962" s="374"/>
      <c r="CV29962" s="376"/>
    </row>
    <row r="29963" spans="1:100">
      <c r="A29963" s="374"/>
      <c r="C29963" s="374"/>
      <c r="CV29963" s="376"/>
    </row>
    <row r="29964" spans="1:100">
      <c r="A29964" s="374"/>
      <c r="C29964" s="374"/>
      <c r="CV29964" s="376"/>
    </row>
    <row r="29965" spans="1:100">
      <c r="A29965" s="374"/>
      <c r="C29965" s="374"/>
      <c r="CV29965" s="376"/>
    </row>
    <row r="29966" spans="1:100">
      <c r="A29966" s="374"/>
      <c r="C29966" s="374"/>
      <c r="CV29966" s="376"/>
    </row>
    <row r="29967" spans="1:100">
      <c r="A29967" s="374"/>
      <c r="C29967" s="374"/>
      <c r="CV29967" s="376"/>
    </row>
    <row r="29968" spans="1:100">
      <c r="A29968" s="374"/>
      <c r="C29968" s="374"/>
      <c r="CV29968" s="376"/>
    </row>
    <row r="29969" spans="1:100">
      <c r="A29969" s="374"/>
      <c r="C29969" s="374"/>
      <c r="CV29969" s="376"/>
    </row>
    <row r="29970" spans="1:100">
      <c r="A29970" s="374"/>
      <c r="C29970" s="374"/>
      <c r="CV29970" s="376"/>
    </row>
    <row r="29971" spans="1:100">
      <c r="A29971" s="374"/>
      <c r="C29971" s="374"/>
      <c r="CV29971" s="376"/>
    </row>
    <row r="29972" spans="1:100">
      <c r="A29972" s="374"/>
      <c r="C29972" s="374"/>
      <c r="CV29972" s="376"/>
    </row>
    <row r="29973" spans="1:100">
      <c r="A29973" s="374"/>
      <c r="C29973" s="374"/>
      <c r="CV29973" s="376"/>
    </row>
    <row r="29974" spans="1:100">
      <c r="A29974" s="374"/>
      <c r="C29974" s="374"/>
      <c r="CV29974" s="376"/>
    </row>
    <row r="29975" spans="1:100">
      <c r="A29975" s="374"/>
      <c r="C29975" s="374"/>
      <c r="CV29975" s="376"/>
    </row>
    <row r="29976" spans="1:100">
      <c r="A29976" s="374"/>
      <c r="C29976" s="374"/>
      <c r="CV29976" s="376"/>
    </row>
    <row r="29977" spans="1:100">
      <c r="A29977" s="374"/>
      <c r="C29977" s="374"/>
      <c r="CV29977" s="376"/>
    </row>
    <row r="29978" spans="1:100">
      <c r="A29978" s="374"/>
      <c r="C29978" s="374"/>
      <c r="CV29978" s="376"/>
    </row>
    <row r="29979" spans="1:100">
      <c r="A29979" s="374"/>
      <c r="C29979" s="374"/>
      <c r="CV29979" s="376"/>
    </row>
    <row r="29980" spans="1:100">
      <c r="A29980" s="374"/>
      <c r="C29980" s="374"/>
      <c r="CV29980" s="376"/>
    </row>
    <row r="29981" spans="1:100">
      <c r="A29981" s="374"/>
      <c r="C29981" s="374"/>
      <c r="CV29981" s="376"/>
    </row>
    <row r="29982" spans="1:100">
      <c r="A29982" s="374"/>
      <c r="C29982" s="374"/>
      <c r="CV29982" s="376"/>
    </row>
    <row r="29983" spans="1:100">
      <c r="A29983" s="374"/>
      <c r="C29983" s="374"/>
      <c r="CV29983" s="376"/>
    </row>
    <row r="29984" spans="1:100">
      <c r="A29984" s="374"/>
      <c r="C29984" s="374"/>
      <c r="CV29984" s="376"/>
    </row>
    <row r="29985" spans="1:100">
      <c r="A29985" s="374"/>
      <c r="C29985" s="374"/>
      <c r="CV29985" s="376"/>
    </row>
    <row r="29986" spans="1:100">
      <c r="A29986" s="374"/>
      <c r="C29986" s="374"/>
      <c r="CV29986" s="376"/>
    </row>
    <row r="29987" spans="1:100">
      <c r="A29987" s="374"/>
      <c r="C29987" s="374"/>
      <c r="CV29987" s="376"/>
    </row>
    <row r="29988" spans="1:100">
      <c r="A29988" s="374"/>
      <c r="C29988" s="374"/>
      <c r="CV29988" s="376"/>
    </row>
    <row r="29989" spans="1:100">
      <c r="A29989" s="374"/>
      <c r="C29989" s="374"/>
      <c r="CV29989" s="376"/>
    </row>
    <row r="29990" spans="1:100">
      <c r="A29990" s="374"/>
      <c r="C29990" s="374"/>
      <c r="CV29990" s="376"/>
    </row>
    <row r="29991" spans="1:100">
      <c r="A29991" s="374"/>
      <c r="C29991" s="374"/>
      <c r="CV29991" s="376"/>
    </row>
    <row r="29992" spans="1:100">
      <c r="A29992" s="374"/>
      <c r="C29992" s="374"/>
      <c r="CV29992" s="376"/>
    </row>
    <row r="29993" spans="1:100">
      <c r="A29993" s="374"/>
      <c r="C29993" s="374"/>
      <c r="CV29993" s="376"/>
    </row>
    <row r="29994" spans="1:100">
      <c r="A29994" s="374"/>
      <c r="C29994" s="374"/>
      <c r="CV29994" s="376"/>
    </row>
    <row r="29995" spans="1:100">
      <c r="A29995" s="374"/>
      <c r="C29995" s="374"/>
      <c r="CV29995" s="376"/>
    </row>
    <row r="29996" spans="1:100">
      <c r="A29996" s="374"/>
      <c r="C29996" s="374"/>
      <c r="CV29996" s="376"/>
    </row>
    <row r="29997" spans="1:100">
      <c r="A29997" s="374"/>
      <c r="C29997" s="374"/>
      <c r="CV29997" s="376"/>
    </row>
    <row r="29998" spans="1:100">
      <c r="A29998" s="374"/>
      <c r="C29998" s="374"/>
      <c r="CV29998" s="376"/>
    </row>
    <row r="29999" spans="1:100">
      <c r="A29999" s="374"/>
      <c r="C29999" s="374"/>
      <c r="CV29999" s="376"/>
    </row>
    <row r="30000" spans="1:100">
      <c r="A30000" s="374"/>
      <c r="C30000" s="374"/>
      <c r="CV30000" s="376"/>
    </row>
    <row r="30001" spans="1:100">
      <c r="A30001" s="374"/>
      <c r="C30001" s="374"/>
      <c r="CV30001" s="376"/>
    </row>
    <row r="30002" spans="1:100">
      <c r="A30002" s="374"/>
      <c r="C30002" s="374"/>
      <c r="CV30002" s="376"/>
    </row>
    <row r="30003" spans="1:100">
      <c r="A30003" s="374"/>
      <c r="C30003" s="374"/>
      <c r="CV30003" s="376"/>
    </row>
    <row r="30004" spans="1:100">
      <c r="A30004" s="374"/>
      <c r="C30004" s="374"/>
      <c r="CV30004" s="376"/>
    </row>
    <row r="30005" spans="1:100">
      <c r="A30005" s="374"/>
      <c r="C30005" s="374"/>
      <c r="CV30005" s="376"/>
    </row>
    <row r="30006" spans="1:100">
      <c r="A30006" s="374"/>
      <c r="C30006" s="374"/>
      <c r="CV30006" s="376"/>
    </row>
    <row r="30007" spans="1:100">
      <c r="A30007" s="374"/>
      <c r="C30007" s="374"/>
      <c r="CV30007" s="376"/>
    </row>
    <row r="30008" spans="1:100">
      <c r="A30008" s="374"/>
      <c r="C30008" s="374"/>
      <c r="CV30008" s="376"/>
    </row>
    <row r="30009" spans="1:100">
      <c r="A30009" s="374"/>
      <c r="C30009" s="374"/>
      <c r="CV30009" s="376"/>
    </row>
    <row r="30010" spans="1:100">
      <c r="A30010" s="374"/>
      <c r="C30010" s="374"/>
      <c r="CV30010" s="376"/>
    </row>
    <row r="30011" spans="1:100">
      <c r="A30011" s="374"/>
      <c r="C30011" s="374"/>
      <c r="CV30011" s="376"/>
    </row>
    <row r="30012" spans="1:100">
      <c r="A30012" s="374"/>
      <c r="C30012" s="374"/>
      <c r="CV30012" s="376"/>
    </row>
    <row r="30013" spans="1:100">
      <c r="A30013" s="374"/>
      <c r="C30013" s="374"/>
      <c r="CV30013" s="376"/>
    </row>
    <row r="30014" spans="1:100">
      <c r="A30014" s="374"/>
      <c r="C30014" s="374"/>
      <c r="CV30014" s="376"/>
    </row>
    <row r="30015" spans="1:100">
      <c r="A30015" s="374"/>
      <c r="C30015" s="374"/>
      <c r="CV30015" s="376"/>
    </row>
    <row r="30016" spans="1:100">
      <c r="A30016" s="374"/>
      <c r="C30016" s="374"/>
      <c r="CV30016" s="376"/>
    </row>
    <row r="30017" spans="1:100">
      <c r="A30017" s="374"/>
      <c r="C30017" s="374"/>
      <c r="CV30017" s="376"/>
    </row>
    <row r="30018" spans="1:100">
      <c r="A30018" s="374"/>
      <c r="C30018" s="374"/>
      <c r="CV30018" s="376"/>
    </row>
    <row r="30019" spans="1:100">
      <c r="A30019" s="374"/>
      <c r="C30019" s="374"/>
      <c r="CV30019" s="376"/>
    </row>
    <row r="30020" spans="1:100">
      <c r="A30020" s="374"/>
      <c r="C30020" s="374"/>
      <c r="CV30020" s="376"/>
    </row>
    <row r="30021" spans="1:100">
      <c r="A30021" s="374"/>
      <c r="C30021" s="374"/>
      <c r="CV30021" s="376"/>
    </row>
    <row r="30022" spans="1:100">
      <c r="A30022" s="374"/>
      <c r="C30022" s="374"/>
      <c r="CV30022" s="376"/>
    </row>
    <row r="30023" spans="1:100">
      <c r="A30023" s="374"/>
      <c r="C30023" s="374"/>
      <c r="CV30023" s="376"/>
    </row>
    <row r="30024" spans="1:100">
      <c r="A30024" s="374"/>
      <c r="C30024" s="374"/>
      <c r="CV30024" s="376"/>
    </row>
    <row r="30025" spans="1:100">
      <c r="A30025" s="374"/>
      <c r="C30025" s="374"/>
      <c r="CV30025" s="376"/>
    </row>
    <row r="30026" spans="1:100">
      <c r="A30026" s="374"/>
      <c r="C30026" s="374"/>
      <c r="CV30026" s="376"/>
    </row>
    <row r="30027" spans="1:100">
      <c r="A30027" s="374"/>
      <c r="C30027" s="374"/>
      <c r="CV30027" s="376"/>
    </row>
    <row r="30028" spans="1:100">
      <c r="A30028" s="374"/>
      <c r="C30028" s="374"/>
      <c r="CV30028" s="376"/>
    </row>
    <row r="30029" spans="1:100">
      <c r="A30029" s="374"/>
      <c r="C30029" s="374"/>
      <c r="CV30029" s="376"/>
    </row>
    <row r="30030" spans="1:100">
      <c r="A30030" s="374"/>
      <c r="C30030" s="374"/>
      <c r="CV30030" s="376"/>
    </row>
    <row r="30031" spans="1:100">
      <c r="A30031" s="374"/>
      <c r="C30031" s="374"/>
      <c r="CV30031" s="376"/>
    </row>
    <row r="30032" spans="1:100">
      <c r="A30032" s="374"/>
      <c r="C30032" s="374"/>
      <c r="CV30032" s="376"/>
    </row>
    <row r="30033" spans="1:100">
      <c r="A30033" s="374"/>
      <c r="C30033" s="374"/>
      <c r="CV30033" s="376"/>
    </row>
    <row r="30034" spans="1:100">
      <c r="A30034" s="374"/>
      <c r="C30034" s="374"/>
      <c r="CV30034" s="376"/>
    </row>
    <row r="30035" spans="1:100">
      <c r="A30035" s="374"/>
      <c r="C30035" s="374"/>
      <c r="CV30035" s="376"/>
    </row>
    <row r="30036" spans="1:100">
      <c r="A30036" s="374"/>
      <c r="C30036" s="374"/>
      <c r="CV30036" s="376"/>
    </row>
    <row r="30037" spans="1:100">
      <c r="A30037" s="374"/>
      <c r="C30037" s="374"/>
      <c r="CV30037" s="376"/>
    </row>
    <row r="30038" spans="1:100">
      <c r="A30038" s="374"/>
      <c r="C30038" s="374"/>
      <c r="CV30038" s="376"/>
    </row>
    <row r="30039" spans="1:100">
      <c r="A30039" s="374"/>
      <c r="C30039" s="374"/>
      <c r="CV30039" s="376"/>
    </row>
    <row r="30040" spans="1:100">
      <c r="A30040" s="374"/>
      <c r="C30040" s="374"/>
      <c r="CV30040" s="376"/>
    </row>
    <row r="30041" spans="1:100">
      <c r="A30041" s="374"/>
      <c r="C30041" s="374"/>
      <c r="CV30041" s="376"/>
    </row>
    <row r="30042" spans="1:100">
      <c r="A30042" s="374"/>
      <c r="C30042" s="374"/>
      <c r="CV30042" s="376"/>
    </row>
    <row r="30043" spans="1:100">
      <c r="A30043" s="374"/>
      <c r="C30043" s="374"/>
      <c r="CV30043" s="376"/>
    </row>
    <row r="30044" spans="1:100">
      <c r="A30044" s="374"/>
      <c r="C30044" s="374"/>
      <c r="CV30044" s="376"/>
    </row>
    <row r="30045" spans="1:100">
      <c r="A30045" s="374"/>
      <c r="C30045" s="374"/>
      <c r="CV30045" s="376"/>
    </row>
    <row r="30046" spans="1:100">
      <c r="A30046" s="374"/>
      <c r="C30046" s="374"/>
      <c r="CV30046" s="376"/>
    </row>
    <row r="30047" spans="1:100">
      <c r="A30047" s="374"/>
      <c r="C30047" s="374"/>
      <c r="CV30047" s="376"/>
    </row>
    <row r="30048" spans="1:100">
      <c r="A30048" s="374"/>
      <c r="C30048" s="374"/>
      <c r="CV30048" s="376"/>
    </row>
    <row r="30049" spans="1:100">
      <c r="A30049" s="374"/>
      <c r="C30049" s="374"/>
      <c r="CV30049" s="376"/>
    </row>
    <row r="30050" spans="1:100">
      <c r="A30050" s="374"/>
      <c r="C30050" s="374"/>
      <c r="CV30050" s="376"/>
    </row>
    <row r="30051" spans="1:100">
      <c r="A30051" s="374"/>
      <c r="C30051" s="374"/>
      <c r="CV30051" s="376"/>
    </row>
    <row r="30052" spans="1:100">
      <c r="A30052" s="374"/>
      <c r="C30052" s="374"/>
      <c r="CV30052" s="376"/>
    </row>
    <row r="30053" spans="1:100">
      <c r="A30053" s="374"/>
      <c r="C30053" s="374"/>
      <c r="CV30053" s="376"/>
    </row>
    <row r="30054" spans="1:100">
      <c r="A30054" s="374"/>
      <c r="C30054" s="374"/>
      <c r="CV30054" s="376"/>
    </row>
    <row r="30055" spans="1:100">
      <c r="A30055" s="374"/>
      <c r="C30055" s="374"/>
      <c r="CV30055" s="376"/>
    </row>
    <row r="30056" spans="1:100">
      <c r="A30056" s="374"/>
      <c r="C30056" s="374"/>
      <c r="CV30056" s="376"/>
    </row>
    <row r="30057" spans="1:100">
      <c r="A30057" s="374"/>
      <c r="C30057" s="374"/>
      <c r="CV30057" s="376"/>
    </row>
    <row r="30058" spans="1:100">
      <c r="A30058" s="374"/>
      <c r="C30058" s="374"/>
      <c r="CV30058" s="376"/>
    </row>
    <row r="30059" spans="1:100">
      <c r="A30059" s="374"/>
      <c r="C30059" s="374"/>
      <c r="CV30059" s="376"/>
    </row>
    <row r="30060" spans="1:100">
      <c r="A30060" s="374"/>
      <c r="C30060" s="374"/>
      <c r="CV30060" s="376"/>
    </row>
    <row r="30061" spans="1:100">
      <c r="A30061" s="374"/>
      <c r="C30061" s="374"/>
      <c r="CV30061" s="376"/>
    </row>
    <row r="30062" spans="1:100">
      <c r="A30062" s="374"/>
      <c r="C30062" s="374"/>
      <c r="CV30062" s="376"/>
    </row>
    <row r="30063" spans="1:100">
      <c r="A30063" s="374"/>
      <c r="C30063" s="374"/>
      <c r="CV30063" s="376"/>
    </row>
    <row r="30064" spans="1:100">
      <c r="A30064" s="374"/>
      <c r="C30064" s="374"/>
      <c r="CV30064" s="376"/>
    </row>
    <row r="30065" spans="1:100">
      <c r="A30065" s="374"/>
      <c r="C30065" s="374"/>
      <c r="CV30065" s="376"/>
    </row>
    <row r="30066" spans="1:100">
      <c r="A30066" s="374"/>
      <c r="C30066" s="374"/>
      <c r="CV30066" s="376"/>
    </row>
    <row r="30067" spans="1:100">
      <c r="A30067" s="374"/>
      <c r="C30067" s="374"/>
      <c r="CV30067" s="376"/>
    </row>
    <row r="30068" spans="1:100">
      <c r="A30068" s="374"/>
      <c r="C30068" s="374"/>
      <c r="CV30068" s="376"/>
    </row>
    <row r="30069" spans="1:100">
      <c r="A30069" s="374"/>
      <c r="C30069" s="374"/>
      <c r="CV30069" s="376"/>
    </row>
    <row r="30070" spans="1:100">
      <c r="A30070" s="374"/>
      <c r="C30070" s="374"/>
      <c r="CV30070" s="376"/>
    </row>
    <row r="30071" spans="1:100">
      <c r="A30071" s="374"/>
      <c r="C30071" s="374"/>
      <c r="CV30071" s="376"/>
    </row>
    <row r="30072" spans="1:100">
      <c r="A30072" s="374"/>
      <c r="C30072" s="374"/>
      <c r="CV30072" s="376"/>
    </row>
    <row r="30073" spans="1:100">
      <c r="A30073" s="374"/>
      <c r="C30073" s="374"/>
      <c r="CV30073" s="376"/>
    </row>
    <row r="30074" spans="1:100">
      <c r="A30074" s="374"/>
      <c r="C30074" s="374"/>
      <c r="CV30074" s="376"/>
    </row>
    <row r="30075" spans="1:100">
      <c r="A30075" s="374"/>
      <c r="C30075" s="374"/>
      <c r="CV30075" s="376"/>
    </row>
    <row r="30076" spans="1:100">
      <c r="A30076" s="374"/>
      <c r="C30076" s="374"/>
      <c r="CV30076" s="376"/>
    </row>
    <row r="30077" spans="1:100">
      <c r="A30077" s="374"/>
      <c r="C30077" s="374"/>
      <c r="CV30077" s="376"/>
    </row>
    <row r="30078" spans="1:100">
      <c r="A30078" s="374"/>
      <c r="C30078" s="374"/>
      <c r="CV30078" s="376"/>
    </row>
    <row r="30079" spans="1:100">
      <c r="A30079" s="374"/>
      <c r="C30079" s="374"/>
      <c r="CV30079" s="376"/>
    </row>
    <row r="30080" spans="1:100">
      <c r="A30080" s="374"/>
      <c r="C30080" s="374"/>
      <c r="CV30080" s="376"/>
    </row>
    <row r="30081" spans="1:100">
      <c r="A30081" s="374"/>
      <c r="C30081" s="374"/>
      <c r="CV30081" s="376"/>
    </row>
    <row r="30082" spans="1:100">
      <c r="A30082" s="374"/>
      <c r="C30082" s="374"/>
      <c r="CV30082" s="376"/>
    </row>
    <row r="30083" spans="1:100">
      <c r="A30083" s="374"/>
      <c r="C30083" s="374"/>
      <c r="CV30083" s="376"/>
    </row>
    <row r="30084" spans="1:100">
      <c r="A30084" s="374"/>
      <c r="C30084" s="374"/>
      <c r="CV30084" s="376"/>
    </row>
    <row r="30085" spans="1:100">
      <c r="A30085" s="374"/>
      <c r="C30085" s="374"/>
      <c r="CV30085" s="376"/>
    </row>
    <row r="30086" spans="1:100">
      <c r="A30086" s="374"/>
      <c r="C30086" s="374"/>
      <c r="CV30086" s="376"/>
    </row>
    <row r="30087" spans="1:100">
      <c r="A30087" s="374"/>
      <c r="C30087" s="374"/>
      <c r="CV30087" s="376"/>
    </row>
    <row r="30088" spans="1:100">
      <c r="A30088" s="374"/>
      <c r="C30088" s="374"/>
      <c r="CV30088" s="376"/>
    </row>
    <row r="30089" spans="1:100">
      <c r="A30089" s="374"/>
      <c r="C30089" s="374"/>
      <c r="CV30089" s="376"/>
    </row>
    <row r="30090" spans="1:100">
      <c r="A30090" s="374"/>
      <c r="C30090" s="374"/>
      <c r="CV30090" s="376"/>
    </row>
    <row r="30091" spans="1:100">
      <c r="A30091" s="374"/>
      <c r="C30091" s="374"/>
      <c r="CV30091" s="376"/>
    </row>
    <row r="30092" spans="1:100">
      <c r="A30092" s="374"/>
      <c r="C30092" s="374"/>
      <c r="CV30092" s="376"/>
    </row>
    <row r="30093" spans="1:100">
      <c r="A30093" s="374"/>
      <c r="C30093" s="374"/>
      <c r="CV30093" s="376"/>
    </row>
    <row r="30094" spans="1:100">
      <c r="A30094" s="374"/>
      <c r="C30094" s="374"/>
      <c r="CV30094" s="376"/>
    </row>
    <row r="30095" spans="1:100">
      <c r="A30095" s="374"/>
      <c r="C30095" s="374"/>
      <c r="CV30095" s="376"/>
    </row>
    <row r="30096" spans="1:100">
      <c r="A30096" s="374"/>
      <c r="C30096" s="374"/>
      <c r="CV30096" s="376"/>
    </row>
    <row r="30097" spans="1:100">
      <c r="A30097" s="374"/>
      <c r="C30097" s="374"/>
      <c r="CV30097" s="376"/>
    </row>
    <row r="30098" spans="1:100">
      <c r="A30098" s="374"/>
      <c r="C30098" s="374"/>
      <c r="CV30098" s="376"/>
    </row>
    <row r="30099" spans="1:100">
      <c r="A30099" s="374"/>
      <c r="C30099" s="374"/>
      <c r="CV30099" s="376"/>
    </row>
    <row r="30100" spans="1:100">
      <c r="A30100" s="374"/>
      <c r="C30100" s="374"/>
      <c r="CV30100" s="376"/>
    </row>
    <row r="30101" spans="1:100">
      <c r="A30101" s="374"/>
      <c r="C30101" s="374"/>
      <c r="CV30101" s="376"/>
    </row>
    <row r="30102" spans="1:100">
      <c r="A30102" s="374"/>
      <c r="C30102" s="374"/>
      <c r="CV30102" s="376"/>
    </row>
    <row r="30103" spans="1:100">
      <c r="A30103" s="374"/>
      <c r="C30103" s="374"/>
      <c r="CV30103" s="376"/>
    </row>
    <row r="30104" spans="1:100">
      <c r="A30104" s="374"/>
      <c r="C30104" s="374"/>
      <c r="CV30104" s="376"/>
    </row>
    <row r="30105" spans="1:100">
      <c r="A30105" s="374"/>
      <c r="C30105" s="374"/>
      <c r="CV30105" s="376"/>
    </row>
    <row r="30106" spans="1:100">
      <c r="A30106" s="374"/>
      <c r="C30106" s="374"/>
      <c r="CV30106" s="376"/>
    </row>
    <row r="30107" spans="1:100">
      <c r="A30107" s="374"/>
      <c r="C30107" s="374"/>
      <c r="CV30107" s="376"/>
    </row>
    <row r="30108" spans="1:100">
      <c r="A30108" s="374"/>
      <c r="C30108" s="374"/>
      <c r="CV30108" s="376"/>
    </row>
    <row r="30109" spans="1:100">
      <c r="A30109" s="374"/>
      <c r="C30109" s="374"/>
      <c r="CV30109" s="376"/>
    </row>
    <row r="30110" spans="1:100">
      <c r="A30110" s="374"/>
      <c r="C30110" s="374"/>
      <c r="CV30110" s="376"/>
    </row>
    <row r="30111" spans="1:100">
      <c r="A30111" s="374"/>
      <c r="C30111" s="374"/>
      <c r="CV30111" s="376"/>
    </row>
    <row r="30112" spans="1:100">
      <c r="A30112" s="374"/>
      <c r="C30112" s="374"/>
      <c r="CV30112" s="376"/>
    </row>
    <row r="30113" spans="1:100">
      <c r="A30113" s="374"/>
      <c r="C30113" s="374"/>
      <c r="CV30113" s="376"/>
    </row>
    <row r="30114" spans="1:100">
      <c r="A30114" s="374"/>
      <c r="C30114" s="374"/>
      <c r="CV30114" s="376"/>
    </row>
    <row r="30115" spans="1:100">
      <c r="A30115" s="374"/>
      <c r="C30115" s="374"/>
      <c r="CV30115" s="376"/>
    </row>
    <row r="30116" spans="1:100">
      <c r="A30116" s="374"/>
      <c r="C30116" s="374"/>
      <c r="CV30116" s="376"/>
    </row>
    <row r="30117" spans="1:100">
      <c r="A30117" s="374"/>
      <c r="C30117" s="374"/>
      <c r="CV30117" s="376"/>
    </row>
    <row r="30118" spans="1:100">
      <c r="A30118" s="374"/>
      <c r="C30118" s="374"/>
      <c r="CV30118" s="376"/>
    </row>
    <row r="30119" spans="1:100">
      <c r="A30119" s="374"/>
      <c r="C30119" s="374"/>
      <c r="CV30119" s="376"/>
    </row>
    <row r="30120" spans="1:100">
      <c r="A30120" s="374"/>
      <c r="C30120" s="374"/>
      <c r="CV30120" s="376"/>
    </row>
    <row r="30121" spans="1:100">
      <c r="A30121" s="374"/>
      <c r="C30121" s="374"/>
      <c r="CV30121" s="376"/>
    </row>
    <row r="30122" spans="1:100">
      <c r="A30122" s="374"/>
      <c r="C30122" s="374"/>
      <c r="CV30122" s="376"/>
    </row>
    <row r="30123" spans="1:100">
      <c r="A30123" s="374"/>
      <c r="C30123" s="374"/>
      <c r="CV30123" s="376"/>
    </row>
    <row r="30124" spans="1:100">
      <c r="A30124" s="374"/>
      <c r="C30124" s="374"/>
      <c r="CV30124" s="376"/>
    </row>
    <row r="30125" spans="1:100">
      <c r="A30125" s="374"/>
      <c r="C30125" s="374"/>
      <c r="CV30125" s="376"/>
    </row>
    <row r="30126" spans="1:100">
      <c r="A30126" s="374"/>
      <c r="C30126" s="374"/>
      <c r="CV30126" s="376"/>
    </row>
    <row r="30127" spans="1:100">
      <c r="A30127" s="374"/>
      <c r="C30127" s="374"/>
      <c r="CV30127" s="376"/>
    </row>
    <row r="30128" spans="1:100">
      <c r="A30128" s="374"/>
      <c r="C30128" s="374"/>
      <c r="CV30128" s="376"/>
    </row>
    <row r="30129" spans="1:100">
      <c r="A30129" s="374"/>
      <c r="C30129" s="374"/>
      <c r="CV30129" s="376"/>
    </row>
    <row r="30130" spans="1:100">
      <c r="A30130" s="374"/>
      <c r="C30130" s="374"/>
      <c r="CV30130" s="376"/>
    </row>
    <row r="30131" spans="1:100">
      <c r="A30131" s="374"/>
      <c r="C30131" s="374"/>
      <c r="CV30131" s="376"/>
    </row>
    <row r="30132" spans="1:100">
      <c r="A30132" s="374"/>
      <c r="C30132" s="374"/>
      <c r="CV30132" s="376"/>
    </row>
    <row r="30133" spans="1:100">
      <c r="A30133" s="374"/>
      <c r="C30133" s="374"/>
      <c r="CV30133" s="376"/>
    </row>
    <row r="30134" spans="1:100">
      <c r="A30134" s="374"/>
      <c r="C30134" s="374"/>
      <c r="CV30134" s="376"/>
    </row>
    <row r="30135" spans="1:100">
      <c r="A30135" s="374"/>
      <c r="C30135" s="374"/>
      <c r="CV30135" s="376"/>
    </row>
    <row r="30136" spans="1:100">
      <c r="A30136" s="374"/>
      <c r="C30136" s="374"/>
      <c r="CV30136" s="376"/>
    </row>
    <row r="30137" spans="1:100">
      <c r="A30137" s="374"/>
      <c r="C30137" s="374"/>
      <c r="CV30137" s="376"/>
    </row>
    <row r="30138" spans="1:100">
      <c r="A30138" s="374"/>
      <c r="C30138" s="374"/>
      <c r="CV30138" s="376"/>
    </row>
    <row r="30139" spans="1:100">
      <c r="A30139" s="374"/>
      <c r="C30139" s="374"/>
      <c r="CV30139" s="376"/>
    </row>
    <row r="30140" spans="1:100">
      <c r="A30140" s="374"/>
      <c r="C30140" s="374"/>
      <c r="CV30140" s="376"/>
    </row>
    <row r="30141" spans="1:100">
      <c r="A30141" s="374"/>
      <c r="C30141" s="374"/>
      <c r="CV30141" s="376"/>
    </row>
    <row r="30142" spans="1:100">
      <c r="A30142" s="374"/>
      <c r="C30142" s="374"/>
      <c r="CV30142" s="376"/>
    </row>
    <row r="30143" spans="1:100">
      <c r="A30143" s="374"/>
      <c r="C30143" s="374"/>
      <c r="CV30143" s="376"/>
    </row>
    <row r="30144" spans="1:100">
      <c r="A30144" s="374"/>
      <c r="C30144" s="374"/>
      <c r="CV30144" s="376"/>
    </row>
    <row r="30145" spans="1:100">
      <c r="A30145" s="374"/>
      <c r="C30145" s="374"/>
      <c r="CV30145" s="376"/>
    </row>
    <row r="30146" spans="1:100">
      <c r="A30146" s="374"/>
      <c r="C30146" s="374"/>
      <c r="CV30146" s="376"/>
    </row>
    <row r="30147" spans="1:100">
      <c r="A30147" s="374"/>
      <c r="C30147" s="374"/>
      <c r="CV30147" s="376"/>
    </row>
    <row r="30148" spans="1:100">
      <c r="A30148" s="374"/>
      <c r="C30148" s="374"/>
      <c r="CV30148" s="376"/>
    </row>
    <row r="30149" spans="1:100">
      <c r="A30149" s="374"/>
      <c r="C30149" s="374"/>
      <c r="CV30149" s="376"/>
    </row>
    <row r="30150" spans="1:100">
      <c r="A30150" s="374"/>
      <c r="C30150" s="374"/>
      <c r="CV30150" s="376"/>
    </row>
    <row r="30151" spans="1:100">
      <c r="A30151" s="374"/>
      <c r="C30151" s="374"/>
      <c r="CV30151" s="376"/>
    </row>
    <row r="30152" spans="1:100">
      <c r="A30152" s="374"/>
      <c r="C30152" s="374"/>
      <c r="CV30152" s="376"/>
    </row>
    <row r="30153" spans="1:100">
      <c r="A30153" s="374"/>
      <c r="C30153" s="374"/>
      <c r="CV30153" s="376"/>
    </row>
    <row r="30154" spans="1:100">
      <c r="A30154" s="374"/>
      <c r="C30154" s="374"/>
      <c r="CV30154" s="376"/>
    </row>
    <row r="30155" spans="1:100">
      <c r="A30155" s="374"/>
      <c r="C30155" s="374"/>
      <c r="CV30155" s="376"/>
    </row>
    <row r="30156" spans="1:100">
      <c r="A30156" s="374"/>
      <c r="C30156" s="374"/>
      <c r="CV30156" s="376"/>
    </row>
    <row r="30157" spans="1:100">
      <c r="A30157" s="374"/>
      <c r="C30157" s="374"/>
      <c r="CV30157" s="376"/>
    </row>
    <row r="30158" spans="1:100">
      <c r="A30158" s="374"/>
      <c r="C30158" s="374"/>
      <c r="CV30158" s="376"/>
    </row>
    <row r="30159" spans="1:100">
      <c r="A30159" s="374"/>
      <c r="C30159" s="374"/>
      <c r="CV30159" s="376"/>
    </row>
    <row r="30160" spans="1:100">
      <c r="A30160" s="374"/>
      <c r="C30160" s="374"/>
      <c r="CV30160" s="376"/>
    </row>
    <row r="30161" spans="1:100">
      <c r="A30161" s="374"/>
      <c r="C30161" s="374"/>
      <c r="CV30161" s="376"/>
    </row>
    <row r="30162" spans="1:100">
      <c r="A30162" s="374"/>
      <c r="C30162" s="374"/>
      <c r="CV30162" s="376"/>
    </row>
    <row r="30163" spans="1:100">
      <c r="A30163" s="374"/>
      <c r="C30163" s="374"/>
      <c r="CV30163" s="376"/>
    </row>
    <row r="30164" spans="1:100">
      <c r="A30164" s="374"/>
      <c r="C30164" s="374"/>
      <c r="CV30164" s="376"/>
    </row>
    <row r="30165" spans="1:100">
      <c r="A30165" s="374"/>
      <c r="C30165" s="374"/>
      <c r="CV30165" s="376"/>
    </row>
    <row r="30166" spans="1:100">
      <c r="A30166" s="374"/>
      <c r="C30166" s="374"/>
      <c r="CV30166" s="376"/>
    </row>
    <row r="30167" spans="1:100">
      <c r="A30167" s="374"/>
      <c r="C30167" s="374"/>
      <c r="CV30167" s="376"/>
    </row>
    <row r="30168" spans="1:100">
      <c r="A30168" s="374"/>
      <c r="C30168" s="374"/>
      <c r="CV30168" s="376"/>
    </row>
    <row r="30169" spans="1:100">
      <c r="A30169" s="374"/>
      <c r="C30169" s="374"/>
      <c r="CV30169" s="376"/>
    </row>
    <row r="30170" spans="1:100">
      <c r="A30170" s="374"/>
      <c r="C30170" s="374"/>
      <c r="CV30170" s="376"/>
    </row>
    <row r="30171" spans="1:100">
      <c r="A30171" s="374"/>
      <c r="C30171" s="374"/>
      <c r="CV30171" s="376"/>
    </row>
    <row r="30172" spans="1:100">
      <c r="A30172" s="374"/>
      <c r="C30172" s="374"/>
      <c r="CV30172" s="376"/>
    </row>
    <row r="30173" spans="1:100">
      <c r="A30173" s="374"/>
      <c r="C30173" s="374"/>
      <c r="CV30173" s="376"/>
    </row>
    <row r="30174" spans="1:100">
      <c r="A30174" s="374"/>
      <c r="C30174" s="374"/>
      <c r="CV30174" s="376"/>
    </row>
    <row r="30175" spans="1:100">
      <c r="A30175" s="374"/>
      <c r="C30175" s="374"/>
      <c r="CV30175" s="376"/>
    </row>
    <row r="30176" spans="1:100">
      <c r="A30176" s="374"/>
      <c r="C30176" s="374"/>
      <c r="CV30176" s="376"/>
    </row>
    <row r="30177" spans="1:100">
      <c r="A30177" s="374"/>
      <c r="C30177" s="374"/>
      <c r="CV30177" s="376"/>
    </row>
    <row r="30178" spans="1:100">
      <c r="A30178" s="374"/>
      <c r="C30178" s="374"/>
      <c r="CV30178" s="376"/>
    </row>
    <row r="30179" spans="1:100">
      <c r="A30179" s="374"/>
      <c r="C30179" s="374"/>
      <c r="CV30179" s="376"/>
    </row>
    <row r="30180" spans="1:100">
      <c r="A30180" s="374"/>
      <c r="C30180" s="374"/>
      <c r="CV30180" s="376"/>
    </row>
    <row r="30181" spans="1:100">
      <c r="A30181" s="374"/>
      <c r="C30181" s="374"/>
      <c r="CV30181" s="376"/>
    </row>
    <row r="30182" spans="1:100">
      <c r="A30182" s="374"/>
      <c r="C30182" s="374"/>
      <c r="CV30182" s="376"/>
    </row>
    <row r="30183" spans="1:100">
      <c r="A30183" s="374"/>
      <c r="C30183" s="374"/>
      <c r="CV30183" s="376"/>
    </row>
    <row r="30184" spans="1:100">
      <c r="A30184" s="374"/>
      <c r="C30184" s="374"/>
      <c r="CV30184" s="376"/>
    </row>
    <row r="30185" spans="1:100">
      <c r="A30185" s="374"/>
      <c r="C30185" s="374"/>
      <c r="CV30185" s="376"/>
    </row>
    <row r="30186" spans="1:100">
      <c r="A30186" s="374"/>
      <c r="C30186" s="374"/>
      <c r="CV30186" s="376"/>
    </row>
    <row r="30187" spans="1:100">
      <c r="A30187" s="374"/>
      <c r="C30187" s="374"/>
      <c r="CV30187" s="376"/>
    </row>
    <row r="30188" spans="1:100">
      <c r="A30188" s="374"/>
      <c r="C30188" s="374"/>
      <c r="CV30188" s="376"/>
    </row>
    <row r="30189" spans="1:100">
      <c r="A30189" s="374"/>
      <c r="C30189" s="374"/>
      <c r="CV30189" s="376"/>
    </row>
    <row r="30190" spans="1:100">
      <c r="A30190" s="374"/>
      <c r="C30190" s="374"/>
      <c r="CV30190" s="376"/>
    </row>
    <row r="30191" spans="1:100">
      <c r="A30191" s="374"/>
      <c r="C30191" s="374"/>
      <c r="CV30191" s="376"/>
    </row>
    <row r="30192" spans="1:100">
      <c r="A30192" s="374"/>
      <c r="C30192" s="374"/>
      <c r="CV30192" s="376"/>
    </row>
    <row r="30193" spans="1:100">
      <c r="A30193" s="374"/>
      <c r="C30193" s="374"/>
      <c r="CV30193" s="376"/>
    </row>
    <row r="30194" spans="1:100">
      <c r="A30194" s="374"/>
      <c r="C30194" s="374"/>
      <c r="CV30194" s="376"/>
    </row>
    <row r="30195" spans="1:100">
      <c r="A30195" s="374"/>
      <c r="C30195" s="374"/>
      <c r="CV30195" s="376"/>
    </row>
    <row r="30196" spans="1:100">
      <c r="A30196" s="374"/>
      <c r="C30196" s="374"/>
      <c r="CV30196" s="376"/>
    </row>
    <row r="30197" spans="1:100">
      <c r="A30197" s="374"/>
      <c r="C30197" s="374"/>
      <c r="CV30197" s="376"/>
    </row>
    <row r="30198" spans="1:100">
      <c r="A30198" s="374"/>
      <c r="C30198" s="374"/>
      <c r="CV30198" s="376"/>
    </row>
    <row r="30199" spans="1:100">
      <c r="A30199" s="374"/>
      <c r="C30199" s="374"/>
      <c r="CV30199" s="376"/>
    </row>
    <row r="30200" spans="1:100">
      <c r="A30200" s="374"/>
      <c r="C30200" s="374"/>
      <c r="CV30200" s="376"/>
    </row>
    <row r="30201" spans="1:100">
      <c r="A30201" s="374"/>
      <c r="C30201" s="374"/>
      <c r="CV30201" s="376"/>
    </row>
    <row r="30202" spans="1:100">
      <c r="A30202" s="374"/>
      <c r="C30202" s="374"/>
      <c r="CV30202" s="376"/>
    </row>
    <row r="30203" spans="1:100">
      <c r="A30203" s="374"/>
      <c r="C30203" s="374"/>
      <c r="CV30203" s="376"/>
    </row>
    <row r="30204" spans="1:100">
      <c r="A30204" s="374"/>
      <c r="C30204" s="374"/>
      <c r="CV30204" s="376"/>
    </row>
    <row r="30205" spans="1:100">
      <c r="A30205" s="374"/>
      <c r="C30205" s="374"/>
      <c r="CV30205" s="376"/>
    </row>
    <row r="30206" spans="1:100">
      <c r="A30206" s="374"/>
      <c r="C30206" s="374"/>
      <c r="CV30206" s="376"/>
    </row>
    <row r="30207" spans="1:100">
      <c r="A30207" s="374"/>
      <c r="C30207" s="374"/>
      <c r="CV30207" s="376"/>
    </row>
    <row r="30208" spans="1:100">
      <c r="A30208" s="374"/>
      <c r="C30208" s="374"/>
      <c r="CV30208" s="376"/>
    </row>
    <row r="30209" spans="1:100">
      <c r="A30209" s="374"/>
      <c r="C30209" s="374"/>
      <c r="CV30209" s="376"/>
    </row>
    <row r="30210" spans="1:100">
      <c r="A30210" s="374"/>
      <c r="C30210" s="374"/>
      <c r="CV30210" s="376"/>
    </row>
    <row r="30211" spans="1:100">
      <c r="A30211" s="374"/>
      <c r="C30211" s="374"/>
      <c r="CV30211" s="376"/>
    </row>
    <row r="30212" spans="1:100">
      <c r="A30212" s="374"/>
      <c r="C30212" s="374"/>
      <c r="CV30212" s="376"/>
    </row>
    <row r="30213" spans="1:100">
      <c r="A30213" s="374"/>
      <c r="C30213" s="374"/>
      <c r="CV30213" s="376"/>
    </row>
    <row r="30214" spans="1:100">
      <c r="A30214" s="374"/>
      <c r="C30214" s="374"/>
      <c r="CV30214" s="376"/>
    </row>
    <row r="30215" spans="1:100">
      <c r="A30215" s="374"/>
      <c r="C30215" s="374"/>
      <c r="CV30215" s="376"/>
    </row>
    <row r="30216" spans="1:100">
      <c r="A30216" s="374"/>
      <c r="C30216" s="374"/>
      <c r="CV30216" s="376"/>
    </row>
    <row r="30217" spans="1:100">
      <c r="A30217" s="374"/>
      <c r="C30217" s="374"/>
      <c r="CV30217" s="376"/>
    </row>
    <row r="30218" spans="1:100">
      <c r="A30218" s="374"/>
      <c r="C30218" s="374"/>
      <c r="CV30218" s="376"/>
    </row>
    <row r="30219" spans="1:100">
      <c r="A30219" s="374"/>
      <c r="C30219" s="374"/>
      <c r="CV30219" s="376"/>
    </row>
    <row r="30220" spans="1:100">
      <c r="A30220" s="374"/>
      <c r="C30220" s="374"/>
      <c r="CV30220" s="376"/>
    </row>
    <row r="30221" spans="1:100">
      <c r="A30221" s="374"/>
      <c r="C30221" s="374"/>
      <c r="CV30221" s="376"/>
    </row>
    <row r="30222" spans="1:100">
      <c r="A30222" s="374"/>
      <c r="C30222" s="374"/>
      <c r="CV30222" s="376"/>
    </row>
    <row r="30223" spans="1:100">
      <c r="A30223" s="374"/>
      <c r="C30223" s="374"/>
      <c r="CV30223" s="376"/>
    </row>
    <row r="30224" spans="1:100">
      <c r="A30224" s="374"/>
      <c r="C30224" s="374"/>
      <c r="CV30224" s="376"/>
    </row>
    <row r="30225" spans="1:100">
      <c r="A30225" s="374"/>
      <c r="C30225" s="374"/>
      <c r="CV30225" s="376"/>
    </row>
    <row r="30226" spans="1:100">
      <c r="A30226" s="374"/>
      <c r="C30226" s="374"/>
      <c r="CV30226" s="376"/>
    </row>
    <row r="30227" spans="1:100">
      <c r="A30227" s="374"/>
      <c r="C30227" s="374"/>
      <c r="CV30227" s="376"/>
    </row>
    <row r="30228" spans="1:100">
      <c r="A30228" s="374"/>
      <c r="C30228" s="374"/>
      <c r="CV30228" s="376"/>
    </row>
    <row r="30229" spans="1:100">
      <c r="A30229" s="374"/>
      <c r="C30229" s="374"/>
      <c r="CV30229" s="376"/>
    </row>
    <row r="30230" spans="1:100">
      <c r="A30230" s="374"/>
      <c r="C30230" s="374"/>
      <c r="CV30230" s="376"/>
    </row>
    <row r="30231" spans="1:100">
      <c r="A30231" s="374"/>
      <c r="C30231" s="374"/>
      <c r="CV30231" s="376"/>
    </row>
    <row r="30232" spans="1:100">
      <c r="A30232" s="374"/>
      <c r="C30232" s="374"/>
      <c r="CV30232" s="376"/>
    </row>
    <row r="30233" spans="1:100">
      <c r="A30233" s="374"/>
      <c r="C30233" s="374"/>
      <c r="CV30233" s="376"/>
    </row>
    <row r="30234" spans="1:100">
      <c r="A30234" s="374"/>
      <c r="C30234" s="374"/>
      <c r="CV30234" s="376"/>
    </row>
    <row r="30235" spans="1:100">
      <c r="A30235" s="374"/>
      <c r="C30235" s="374"/>
      <c r="CV30235" s="376"/>
    </row>
    <row r="30236" spans="1:100">
      <c r="A30236" s="374"/>
      <c r="C30236" s="374"/>
      <c r="CV30236" s="376"/>
    </row>
    <row r="30237" spans="1:100">
      <c r="A30237" s="374"/>
      <c r="C30237" s="374"/>
      <c r="CV30237" s="376"/>
    </row>
    <row r="30238" spans="1:100">
      <c r="A30238" s="374"/>
      <c r="C30238" s="374"/>
      <c r="CV30238" s="376"/>
    </row>
    <row r="30239" spans="1:100">
      <c r="A30239" s="374"/>
      <c r="C30239" s="374"/>
      <c r="CV30239" s="376"/>
    </row>
    <row r="30240" spans="1:100">
      <c r="A30240" s="374"/>
      <c r="C30240" s="374"/>
      <c r="CV30240" s="376"/>
    </row>
    <row r="30241" spans="1:100">
      <c r="A30241" s="374"/>
      <c r="C30241" s="374"/>
      <c r="CV30241" s="376"/>
    </row>
    <row r="30242" spans="1:100">
      <c r="A30242" s="374"/>
      <c r="C30242" s="374"/>
      <c r="CV30242" s="376"/>
    </row>
    <row r="30243" spans="1:100">
      <c r="A30243" s="374"/>
      <c r="C30243" s="374"/>
      <c r="CV30243" s="376"/>
    </row>
    <row r="30244" spans="1:100">
      <c r="A30244" s="374"/>
      <c r="C30244" s="374"/>
      <c r="CV30244" s="376"/>
    </row>
    <row r="30245" spans="1:100">
      <c r="A30245" s="374"/>
      <c r="C30245" s="374"/>
      <c r="CV30245" s="376"/>
    </row>
    <row r="30246" spans="1:100">
      <c r="A30246" s="374"/>
      <c r="C30246" s="374"/>
      <c r="CV30246" s="376"/>
    </row>
    <row r="30247" spans="1:100">
      <c r="A30247" s="374"/>
      <c r="C30247" s="374"/>
      <c r="CV30247" s="376"/>
    </row>
    <row r="30248" spans="1:100">
      <c r="A30248" s="374"/>
      <c r="C30248" s="374"/>
      <c r="CV30248" s="376"/>
    </row>
    <row r="30249" spans="1:100">
      <c r="A30249" s="374"/>
      <c r="C30249" s="374"/>
      <c r="CV30249" s="376"/>
    </row>
    <row r="30250" spans="1:100">
      <c r="A30250" s="374"/>
      <c r="C30250" s="374"/>
      <c r="CV30250" s="376"/>
    </row>
    <row r="30251" spans="1:100">
      <c r="A30251" s="374"/>
      <c r="C30251" s="374"/>
      <c r="CV30251" s="376"/>
    </row>
    <row r="30252" spans="1:100">
      <c r="A30252" s="374"/>
      <c r="C30252" s="374"/>
      <c r="CV30252" s="376"/>
    </row>
    <row r="30253" spans="1:100">
      <c r="A30253" s="374"/>
      <c r="C30253" s="374"/>
      <c r="CV30253" s="376"/>
    </row>
    <row r="30254" spans="1:100">
      <c r="A30254" s="374"/>
      <c r="C30254" s="374"/>
      <c r="CV30254" s="376"/>
    </row>
    <row r="30255" spans="1:100">
      <c r="A30255" s="374"/>
      <c r="C30255" s="374"/>
      <c r="CV30255" s="376"/>
    </row>
    <row r="30256" spans="1:100">
      <c r="A30256" s="374"/>
      <c r="C30256" s="374"/>
      <c r="CV30256" s="376"/>
    </row>
    <row r="30257" spans="1:100">
      <c r="A30257" s="374"/>
      <c r="C30257" s="374"/>
      <c r="CV30257" s="376"/>
    </row>
    <row r="30258" spans="1:100">
      <c r="A30258" s="374"/>
      <c r="C30258" s="374"/>
      <c r="CV30258" s="376"/>
    </row>
    <row r="30259" spans="1:100">
      <c r="A30259" s="374"/>
      <c r="C30259" s="374"/>
      <c r="CV30259" s="376"/>
    </row>
    <row r="30260" spans="1:100">
      <c r="A30260" s="374"/>
      <c r="C30260" s="374"/>
      <c r="CV30260" s="376"/>
    </row>
    <row r="30261" spans="1:100">
      <c r="A30261" s="374"/>
      <c r="C30261" s="374"/>
      <c r="CV30261" s="376"/>
    </row>
    <row r="30262" spans="1:100">
      <c r="A30262" s="374"/>
      <c r="C30262" s="374"/>
      <c r="CV30262" s="376"/>
    </row>
    <row r="30263" spans="1:100">
      <c r="A30263" s="374"/>
      <c r="C30263" s="374"/>
      <c r="CV30263" s="376"/>
    </row>
    <row r="30264" spans="1:100">
      <c r="A30264" s="374"/>
      <c r="C30264" s="374"/>
      <c r="CV30264" s="376"/>
    </row>
    <row r="30265" spans="1:100">
      <c r="A30265" s="374"/>
      <c r="C30265" s="374"/>
      <c r="CV30265" s="376"/>
    </row>
    <row r="30266" spans="1:100">
      <c r="A30266" s="374"/>
      <c r="C30266" s="374"/>
      <c r="CV30266" s="376"/>
    </row>
    <row r="30267" spans="1:100">
      <c r="A30267" s="374"/>
      <c r="C30267" s="374"/>
      <c r="CV30267" s="376"/>
    </row>
    <row r="30268" spans="1:100">
      <c r="A30268" s="374"/>
      <c r="C30268" s="374"/>
      <c r="CV30268" s="376"/>
    </row>
    <row r="30269" spans="1:100">
      <c r="A30269" s="374"/>
      <c r="C30269" s="374"/>
      <c r="CV30269" s="376"/>
    </row>
    <row r="30270" spans="1:100">
      <c r="A30270" s="374"/>
      <c r="C30270" s="374"/>
      <c r="CV30270" s="376"/>
    </row>
    <row r="30271" spans="1:100">
      <c r="A30271" s="374"/>
      <c r="C30271" s="374"/>
      <c r="CV30271" s="376"/>
    </row>
    <row r="30272" spans="1:100">
      <c r="A30272" s="374"/>
      <c r="C30272" s="374"/>
      <c r="CV30272" s="376"/>
    </row>
    <row r="30273" spans="1:100">
      <c r="A30273" s="374"/>
      <c r="C30273" s="374"/>
      <c r="CV30273" s="376"/>
    </row>
    <row r="30274" spans="1:100">
      <c r="A30274" s="374"/>
      <c r="C30274" s="374"/>
      <c r="CV30274" s="376"/>
    </row>
    <row r="30275" spans="1:100">
      <c r="A30275" s="374"/>
      <c r="C30275" s="374"/>
      <c r="CV30275" s="376"/>
    </row>
    <row r="30276" spans="1:100">
      <c r="A30276" s="374"/>
      <c r="C30276" s="374"/>
      <c r="CV30276" s="376"/>
    </row>
    <row r="30277" spans="1:100">
      <c r="A30277" s="374"/>
      <c r="C30277" s="374"/>
      <c r="CV30277" s="376"/>
    </row>
    <row r="30278" spans="1:100">
      <c r="A30278" s="374"/>
      <c r="C30278" s="374"/>
      <c r="CV30278" s="376"/>
    </row>
    <row r="30279" spans="1:100">
      <c r="A30279" s="374"/>
      <c r="C30279" s="374"/>
      <c r="CV30279" s="376"/>
    </row>
    <row r="30280" spans="1:100">
      <c r="A30280" s="374"/>
      <c r="C30280" s="374"/>
      <c r="CV30280" s="376"/>
    </row>
    <row r="30281" spans="1:100">
      <c r="A30281" s="374"/>
      <c r="C30281" s="374"/>
      <c r="CV30281" s="376"/>
    </row>
    <row r="30282" spans="1:100">
      <c r="A30282" s="374"/>
      <c r="C30282" s="374"/>
      <c r="CV30282" s="376"/>
    </row>
    <row r="30283" spans="1:100">
      <c r="A30283" s="374"/>
      <c r="C30283" s="374"/>
      <c r="CV30283" s="376"/>
    </row>
    <row r="30284" spans="1:100">
      <c r="A30284" s="374"/>
      <c r="C30284" s="374"/>
      <c r="CV30284" s="376"/>
    </row>
    <row r="30285" spans="1:100">
      <c r="A30285" s="374"/>
      <c r="C30285" s="374"/>
      <c r="CV30285" s="376"/>
    </row>
    <row r="30286" spans="1:100">
      <c r="A30286" s="374"/>
      <c r="C30286" s="374"/>
      <c r="CV30286" s="376"/>
    </row>
    <row r="30287" spans="1:100">
      <c r="A30287" s="374"/>
      <c r="C30287" s="374"/>
      <c r="CV30287" s="376"/>
    </row>
    <row r="30288" spans="1:100">
      <c r="A30288" s="374"/>
      <c r="C30288" s="374"/>
      <c r="CV30288" s="376"/>
    </row>
    <row r="30289" spans="1:100">
      <c r="A30289" s="374"/>
      <c r="C30289" s="374"/>
      <c r="CV30289" s="376"/>
    </row>
    <row r="30290" spans="1:100">
      <c r="A30290" s="374"/>
      <c r="C30290" s="374"/>
      <c r="CV30290" s="376"/>
    </row>
    <row r="30291" spans="1:100">
      <c r="A30291" s="374"/>
      <c r="C30291" s="374"/>
      <c r="CV30291" s="376"/>
    </row>
    <row r="30292" spans="1:100">
      <c r="A30292" s="374"/>
      <c r="C30292" s="374"/>
      <c r="CV30292" s="376"/>
    </row>
    <row r="30293" spans="1:100">
      <c r="A30293" s="374"/>
      <c r="C30293" s="374"/>
      <c r="CV30293" s="376"/>
    </row>
    <row r="30294" spans="1:100">
      <c r="A30294" s="374"/>
      <c r="C30294" s="374"/>
      <c r="CV30294" s="376"/>
    </row>
    <row r="30295" spans="1:100">
      <c r="A30295" s="374"/>
      <c r="C30295" s="374"/>
      <c r="CV30295" s="376"/>
    </row>
    <row r="30296" spans="1:100">
      <c r="A30296" s="374"/>
      <c r="C30296" s="374"/>
      <c r="CV30296" s="376"/>
    </row>
    <row r="30297" spans="1:100">
      <c r="A30297" s="374"/>
      <c r="C30297" s="374"/>
      <c r="CV30297" s="376"/>
    </row>
    <row r="30298" spans="1:100">
      <c r="A30298" s="374"/>
      <c r="C30298" s="374"/>
      <c r="CV30298" s="376"/>
    </row>
    <row r="30299" spans="1:100">
      <c r="A30299" s="374"/>
      <c r="C30299" s="374"/>
      <c r="CV30299" s="376"/>
    </row>
    <row r="30300" spans="1:100">
      <c r="A30300" s="374"/>
      <c r="C30300" s="374"/>
      <c r="CV30300" s="376"/>
    </row>
    <row r="30301" spans="1:100">
      <c r="A30301" s="374"/>
      <c r="C30301" s="374"/>
      <c r="CV30301" s="376"/>
    </row>
    <row r="30302" spans="1:100">
      <c r="A30302" s="374"/>
      <c r="C30302" s="374"/>
      <c r="CV30302" s="376"/>
    </row>
    <row r="30303" spans="1:100">
      <c r="A30303" s="374"/>
      <c r="C30303" s="374"/>
      <c r="CV30303" s="376"/>
    </row>
    <row r="30304" spans="1:100">
      <c r="A30304" s="374"/>
      <c r="C30304" s="374"/>
      <c r="CV30304" s="376"/>
    </row>
    <row r="30305" spans="1:100">
      <c r="A30305" s="374"/>
      <c r="C30305" s="374"/>
      <c r="CV30305" s="376"/>
    </row>
    <row r="30306" spans="1:100">
      <c r="A30306" s="374"/>
      <c r="C30306" s="374"/>
      <c r="CV30306" s="376"/>
    </row>
    <row r="30307" spans="1:100">
      <c r="A30307" s="374"/>
      <c r="C30307" s="374"/>
      <c r="CV30307" s="376"/>
    </row>
    <row r="30308" spans="1:100">
      <c r="A30308" s="374"/>
      <c r="C30308" s="374"/>
      <c r="CV30308" s="376"/>
    </row>
    <row r="30309" spans="1:100">
      <c r="A30309" s="374"/>
      <c r="C30309" s="374"/>
      <c r="CV30309" s="376"/>
    </row>
    <row r="30310" spans="1:100">
      <c r="A30310" s="374"/>
      <c r="C30310" s="374"/>
      <c r="CV30310" s="376"/>
    </row>
    <row r="30311" spans="1:100">
      <c r="A30311" s="374"/>
      <c r="C30311" s="374"/>
      <c r="CV30311" s="376"/>
    </row>
    <row r="30312" spans="1:100">
      <c r="A30312" s="374"/>
      <c r="C30312" s="374"/>
      <c r="CV30312" s="376"/>
    </row>
    <row r="30313" spans="1:100">
      <c r="A30313" s="374"/>
      <c r="C30313" s="374"/>
      <c r="CV30313" s="376"/>
    </row>
    <row r="30314" spans="1:100">
      <c r="A30314" s="374"/>
      <c r="C30314" s="374"/>
      <c r="CV30314" s="376"/>
    </row>
    <row r="30315" spans="1:100">
      <c r="A30315" s="374"/>
      <c r="C30315" s="374"/>
      <c r="CV30315" s="376"/>
    </row>
    <row r="30316" spans="1:100">
      <c r="A30316" s="374"/>
      <c r="C30316" s="374"/>
      <c r="CV30316" s="376"/>
    </row>
    <row r="30317" spans="1:100">
      <c r="A30317" s="374"/>
      <c r="C30317" s="374"/>
      <c r="CV30317" s="376"/>
    </row>
    <row r="30318" spans="1:100">
      <c r="A30318" s="374"/>
      <c r="C30318" s="374"/>
      <c r="CV30318" s="376"/>
    </row>
    <row r="30319" spans="1:100">
      <c r="A30319" s="374"/>
      <c r="C30319" s="374"/>
      <c r="CV30319" s="376"/>
    </row>
    <row r="30320" spans="1:100">
      <c r="A30320" s="374"/>
      <c r="C30320" s="374"/>
      <c r="CV30320" s="376"/>
    </row>
    <row r="30321" spans="1:100">
      <c r="A30321" s="374"/>
      <c r="C30321" s="374"/>
      <c r="CV30321" s="376"/>
    </row>
    <row r="30322" spans="1:100">
      <c r="A30322" s="374"/>
      <c r="C30322" s="374"/>
      <c r="CV30322" s="376"/>
    </row>
    <row r="30323" spans="1:100">
      <c r="A30323" s="374"/>
      <c r="C30323" s="374"/>
      <c r="CV30323" s="376"/>
    </row>
    <row r="30324" spans="1:100">
      <c r="A30324" s="374"/>
      <c r="C30324" s="374"/>
      <c r="CV30324" s="376"/>
    </row>
    <row r="30325" spans="1:100">
      <c r="A30325" s="374"/>
      <c r="C30325" s="374"/>
      <c r="CV30325" s="376"/>
    </row>
    <row r="30326" spans="1:100">
      <c r="A30326" s="374"/>
      <c r="C30326" s="374"/>
      <c r="CV30326" s="376"/>
    </row>
    <row r="30327" spans="1:100">
      <c r="A30327" s="374"/>
      <c r="C30327" s="374"/>
      <c r="CV30327" s="376"/>
    </row>
    <row r="30328" spans="1:100">
      <c r="A30328" s="374"/>
      <c r="C30328" s="374"/>
      <c r="CV30328" s="376"/>
    </row>
    <row r="30329" spans="1:100">
      <c r="A30329" s="374"/>
      <c r="C30329" s="374"/>
      <c r="CV30329" s="376"/>
    </row>
    <row r="30330" spans="1:100">
      <c r="A30330" s="374"/>
      <c r="C30330" s="374"/>
      <c r="CV30330" s="376"/>
    </row>
    <row r="30331" spans="1:100">
      <c r="A30331" s="374"/>
      <c r="C30331" s="374"/>
      <c r="CV30331" s="376"/>
    </row>
    <row r="30332" spans="1:100">
      <c r="A30332" s="374"/>
      <c r="C30332" s="374"/>
      <c r="CV30332" s="376"/>
    </row>
    <row r="30333" spans="1:100">
      <c r="A30333" s="374"/>
      <c r="C30333" s="374"/>
      <c r="CV30333" s="376"/>
    </row>
    <row r="30334" spans="1:100">
      <c r="A30334" s="374"/>
      <c r="C30334" s="374"/>
      <c r="CV30334" s="376"/>
    </row>
    <row r="30335" spans="1:100">
      <c r="A30335" s="374"/>
      <c r="C30335" s="374"/>
      <c r="CV30335" s="376"/>
    </row>
    <row r="30336" spans="1:100">
      <c r="A30336" s="374"/>
      <c r="C30336" s="374"/>
      <c r="CV30336" s="376"/>
    </row>
    <row r="30337" spans="1:100">
      <c r="A30337" s="374"/>
      <c r="C30337" s="374"/>
      <c r="CV30337" s="376"/>
    </row>
    <row r="30338" spans="1:100">
      <c r="A30338" s="374"/>
      <c r="C30338" s="374"/>
      <c r="CV30338" s="376"/>
    </row>
    <row r="30339" spans="1:100">
      <c r="A30339" s="374"/>
      <c r="C30339" s="374"/>
      <c r="CV30339" s="376"/>
    </row>
    <row r="30340" spans="1:100">
      <c r="A30340" s="374"/>
      <c r="C30340" s="374"/>
      <c r="CV30340" s="376"/>
    </row>
    <row r="30341" spans="1:100">
      <c r="A30341" s="374"/>
      <c r="C30341" s="374"/>
      <c r="CV30341" s="376"/>
    </row>
    <row r="30342" spans="1:100">
      <c r="A30342" s="374"/>
      <c r="C30342" s="374"/>
      <c r="CV30342" s="376"/>
    </row>
    <row r="30343" spans="1:100">
      <c r="A30343" s="374"/>
      <c r="C30343" s="374"/>
      <c r="CV30343" s="376"/>
    </row>
    <row r="30344" spans="1:100">
      <c r="A30344" s="374"/>
      <c r="C30344" s="374"/>
      <c r="CV30344" s="376"/>
    </row>
    <row r="30345" spans="1:100">
      <c r="A30345" s="374"/>
      <c r="C30345" s="374"/>
      <c r="CV30345" s="376"/>
    </row>
    <row r="30346" spans="1:100">
      <c r="A30346" s="374"/>
      <c r="C30346" s="374"/>
      <c r="CV30346" s="376"/>
    </row>
    <row r="30347" spans="1:100">
      <c r="A30347" s="374"/>
      <c r="C30347" s="374"/>
      <c r="CV30347" s="376"/>
    </row>
    <row r="30348" spans="1:100">
      <c r="A30348" s="374"/>
      <c r="C30348" s="374"/>
      <c r="CV30348" s="376"/>
    </row>
    <row r="30349" spans="1:100">
      <c r="A30349" s="374"/>
      <c r="C30349" s="374"/>
      <c r="CV30349" s="376"/>
    </row>
    <row r="30350" spans="1:100">
      <c r="A30350" s="374"/>
      <c r="C30350" s="374"/>
      <c r="CV30350" s="376"/>
    </row>
    <row r="30351" spans="1:100">
      <c r="A30351" s="374"/>
      <c r="C30351" s="374"/>
      <c r="CV30351" s="376"/>
    </row>
    <row r="30352" spans="1:100">
      <c r="A30352" s="374"/>
      <c r="C30352" s="374"/>
      <c r="CV30352" s="376"/>
    </row>
    <row r="30353" spans="1:100">
      <c r="A30353" s="374"/>
      <c r="C30353" s="374"/>
      <c r="CV30353" s="376"/>
    </row>
    <row r="30354" spans="1:100">
      <c r="A30354" s="374"/>
      <c r="C30354" s="374"/>
      <c r="CV30354" s="376"/>
    </row>
    <row r="30355" spans="1:100">
      <c r="A30355" s="374"/>
      <c r="C30355" s="374"/>
      <c r="CV30355" s="376"/>
    </row>
    <row r="30356" spans="1:100">
      <c r="A30356" s="374"/>
      <c r="C30356" s="374"/>
      <c r="CV30356" s="376"/>
    </row>
    <row r="30357" spans="1:100">
      <c r="A30357" s="374"/>
      <c r="C30357" s="374"/>
      <c r="CV30357" s="376"/>
    </row>
    <row r="30358" spans="1:100">
      <c r="A30358" s="374"/>
      <c r="C30358" s="374"/>
      <c r="CV30358" s="376"/>
    </row>
    <row r="30359" spans="1:100">
      <c r="A30359" s="374"/>
      <c r="C30359" s="374"/>
      <c r="CV30359" s="376"/>
    </row>
    <row r="30360" spans="1:100">
      <c r="A30360" s="374"/>
      <c r="C30360" s="374"/>
      <c r="CV30360" s="376"/>
    </row>
    <row r="30361" spans="1:100">
      <c r="A30361" s="374"/>
      <c r="C30361" s="374"/>
      <c r="CV30361" s="376"/>
    </row>
    <row r="30362" spans="1:100">
      <c r="A30362" s="374"/>
      <c r="C30362" s="374"/>
      <c r="CV30362" s="376"/>
    </row>
    <row r="30363" spans="1:100">
      <c r="A30363" s="374"/>
      <c r="C30363" s="374"/>
      <c r="CV30363" s="376"/>
    </row>
    <row r="30364" spans="1:100">
      <c r="A30364" s="374"/>
      <c r="C30364" s="374"/>
      <c r="CV30364" s="376"/>
    </row>
    <row r="30365" spans="1:100">
      <c r="A30365" s="374"/>
      <c r="C30365" s="374"/>
      <c r="CV30365" s="376"/>
    </row>
    <row r="30366" spans="1:100">
      <c r="A30366" s="374"/>
      <c r="C30366" s="374"/>
      <c r="CV30366" s="376"/>
    </row>
    <row r="30367" spans="1:100">
      <c r="A30367" s="374"/>
      <c r="C30367" s="374"/>
      <c r="CV30367" s="376"/>
    </row>
    <row r="30368" spans="1:100">
      <c r="A30368" s="374"/>
      <c r="C30368" s="374"/>
      <c r="CV30368" s="376"/>
    </row>
    <row r="30369" spans="1:100">
      <c r="A30369" s="374"/>
      <c r="C30369" s="374"/>
      <c r="CV30369" s="376"/>
    </row>
    <row r="30370" spans="1:100">
      <c r="A30370" s="374"/>
      <c r="C30370" s="374"/>
      <c r="CV30370" s="376"/>
    </row>
    <row r="30371" spans="1:100">
      <c r="A30371" s="374"/>
      <c r="C30371" s="374"/>
      <c r="CV30371" s="376"/>
    </row>
    <row r="30372" spans="1:100">
      <c r="A30372" s="374"/>
      <c r="C30372" s="374"/>
      <c r="CV30372" s="376"/>
    </row>
    <row r="30373" spans="1:100">
      <c r="A30373" s="374"/>
      <c r="C30373" s="374"/>
      <c r="CV30373" s="376"/>
    </row>
    <row r="30374" spans="1:100">
      <c r="A30374" s="374"/>
      <c r="C30374" s="374"/>
      <c r="CV30374" s="376"/>
    </row>
    <row r="30375" spans="1:100">
      <c r="A30375" s="374"/>
      <c r="C30375" s="374"/>
      <c r="CV30375" s="376"/>
    </row>
    <row r="30376" spans="1:100">
      <c r="A30376" s="374"/>
      <c r="C30376" s="374"/>
      <c r="CV30376" s="376"/>
    </row>
    <row r="30377" spans="1:100">
      <c r="A30377" s="374"/>
      <c r="C30377" s="374"/>
      <c r="CV30377" s="376"/>
    </row>
    <row r="30378" spans="1:100">
      <c r="A30378" s="374"/>
      <c r="C30378" s="374"/>
      <c r="CV30378" s="376"/>
    </row>
    <row r="30379" spans="1:100">
      <c r="A30379" s="374"/>
      <c r="C30379" s="374"/>
      <c r="CV30379" s="376"/>
    </row>
    <row r="30380" spans="1:100">
      <c r="A30380" s="374"/>
      <c r="C30380" s="374"/>
      <c r="CV30380" s="376"/>
    </row>
    <row r="30381" spans="1:100">
      <c r="A30381" s="374"/>
      <c r="C30381" s="374"/>
      <c r="CV30381" s="376"/>
    </row>
    <row r="30382" spans="1:100">
      <c r="A30382" s="374"/>
      <c r="C30382" s="374"/>
      <c r="CV30382" s="376"/>
    </row>
    <row r="30383" spans="1:100">
      <c r="A30383" s="374"/>
      <c r="C30383" s="374"/>
      <c r="CV30383" s="376"/>
    </row>
    <row r="30384" spans="1:100">
      <c r="A30384" s="374"/>
      <c r="C30384" s="374"/>
      <c r="CV30384" s="376"/>
    </row>
    <row r="30385" spans="1:100">
      <c r="A30385" s="374"/>
      <c r="C30385" s="374"/>
      <c r="CV30385" s="376"/>
    </row>
    <row r="30386" spans="1:100">
      <c r="A30386" s="374"/>
      <c r="C30386" s="374"/>
      <c r="CV30386" s="376"/>
    </row>
    <row r="30387" spans="1:100">
      <c r="A30387" s="374"/>
      <c r="C30387" s="374"/>
      <c r="CV30387" s="376"/>
    </row>
    <row r="30388" spans="1:100">
      <c r="A30388" s="374"/>
      <c r="C30388" s="374"/>
      <c r="CV30388" s="376"/>
    </row>
    <row r="30389" spans="1:100">
      <c r="A30389" s="374"/>
      <c r="C30389" s="374"/>
      <c r="CV30389" s="376"/>
    </row>
    <row r="30390" spans="1:100">
      <c r="A30390" s="374"/>
      <c r="C30390" s="374"/>
      <c r="CV30390" s="376"/>
    </row>
    <row r="30391" spans="1:100">
      <c r="A30391" s="374"/>
      <c r="C30391" s="374"/>
      <c r="CV30391" s="376"/>
    </row>
    <row r="30392" spans="1:100">
      <c r="A30392" s="374"/>
      <c r="C30392" s="374"/>
      <c r="CV30392" s="376"/>
    </row>
    <row r="30393" spans="1:100">
      <c r="A30393" s="374"/>
      <c r="C30393" s="374"/>
      <c r="CV30393" s="376"/>
    </row>
    <row r="30394" spans="1:100">
      <c r="A30394" s="374"/>
      <c r="C30394" s="374"/>
      <c r="CV30394" s="376"/>
    </row>
    <row r="30395" spans="1:100">
      <c r="A30395" s="374"/>
      <c r="C30395" s="374"/>
      <c r="CV30395" s="376"/>
    </row>
    <row r="30396" spans="1:100">
      <c r="A30396" s="374"/>
      <c r="C30396" s="374"/>
      <c r="CV30396" s="376"/>
    </row>
    <row r="30397" spans="1:100">
      <c r="A30397" s="374"/>
      <c r="C30397" s="374"/>
      <c r="CV30397" s="376"/>
    </row>
    <row r="30398" spans="1:100">
      <c r="A30398" s="374"/>
      <c r="C30398" s="374"/>
      <c r="CV30398" s="376"/>
    </row>
    <row r="30399" spans="1:100">
      <c r="A30399" s="374"/>
      <c r="C30399" s="374"/>
      <c r="CV30399" s="376"/>
    </row>
    <row r="30400" spans="1:100">
      <c r="A30400" s="374"/>
      <c r="C30400" s="374"/>
      <c r="CV30400" s="376"/>
    </row>
    <row r="30401" spans="1:100">
      <c r="A30401" s="374"/>
      <c r="C30401" s="374"/>
      <c r="CV30401" s="376"/>
    </row>
    <row r="30402" spans="1:100">
      <c r="A30402" s="374"/>
      <c r="C30402" s="374"/>
      <c r="CV30402" s="376"/>
    </row>
    <row r="30403" spans="1:100">
      <c r="A30403" s="374"/>
      <c r="C30403" s="374"/>
      <c r="CV30403" s="376"/>
    </row>
    <row r="30404" spans="1:100">
      <c r="A30404" s="374"/>
      <c r="C30404" s="374"/>
      <c r="CV30404" s="376"/>
    </row>
    <row r="30405" spans="1:100">
      <c r="A30405" s="374"/>
      <c r="C30405" s="374"/>
      <c r="CV30405" s="376"/>
    </row>
    <row r="30406" spans="1:100">
      <c r="A30406" s="374"/>
      <c r="C30406" s="374"/>
      <c r="CV30406" s="376"/>
    </row>
    <row r="30407" spans="1:100">
      <c r="A30407" s="374"/>
      <c r="C30407" s="374"/>
      <c r="CV30407" s="376"/>
    </row>
    <row r="30408" spans="1:100">
      <c r="A30408" s="374"/>
      <c r="C30408" s="374"/>
      <c r="CV30408" s="376"/>
    </row>
    <row r="30409" spans="1:100">
      <c r="A30409" s="374"/>
      <c r="C30409" s="374"/>
      <c r="CV30409" s="376"/>
    </row>
    <row r="30410" spans="1:100">
      <c r="A30410" s="374"/>
      <c r="C30410" s="374"/>
      <c r="CV30410" s="376"/>
    </row>
    <row r="30411" spans="1:100">
      <c r="A30411" s="374"/>
      <c r="C30411" s="374"/>
      <c r="CV30411" s="376"/>
    </row>
    <row r="30412" spans="1:100">
      <c r="A30412" s="374"/>
      <c r="C30412" s="374"/>
      <c r="CV30412" s="376"/>
    </row>
    <row r="30413" spans="1:100">
      <c r="A30413" s="374"/>
      <c r="C30413" s="374"/>
      <c r="CV30413" s="376"/>
    </row>
    <row r="30414" spans="1:100">
      <c r="A30414" s="374"/>
      <c r="C30414" s="374"/>
      <c r="CV30414" s="376"/>
    </row>
    <row r="30415" spans="1:100">
      <c r="A30415" s="374"/>
      <c r="C30415" s="374"/>
      <c r="CV30415" s="376"/>
    </row>
    <row r="30416" spans="1:100">
      <c r="A30416" s="374"/>
      <c r="C30416" s="374"/>
      <c r="CV30416" s="376"/>
    </row>
    <row r="30417" spans="1:100">
      <c r="A30417" s="374"/>
      <c r="C30417" s="374"/>
      <c r="CV30417" s="376"/>
    </row>
    <row r="30418" spans="1:100">
      <c r="A30418" s="374"/>
      <c r="C30418" s="374"/>
      <c r="CV30418" s="376"/>
    </row>
    <row r="30419" spans="1:100">
      <c r="A30419" s="374"/>
      <c r="C30419" s="374"/>
      <c r="CV30419" s="376"/>
    </row>
    <row r="30420" spans="1:100">
      <c r="A30420" s="374"/>
      <c r="C30420" s="374"/>
      <c r="CV30420" s="376"/>
    </row>
    <row r="30421" spans="1:100">
      <c r="A30421" s="374"/>
      <c r="C30421" s="374"/>
      <c r="CV30421" s="376"/>
    </row>
    <row r="30422" spans="1:100">
      <c r="A30422" s="374"/>
      <c r="C30422" s="374"/>
      <c r="CV30422" s="376"/>
    </row>
    <row r="30423" spans="1:100">
      <c r="A30423" s="374"/>
      <c r="C30423" s="374"/>
      <c r="CV30423" s="376"/>
    </row>
    <row r="30424" spans="1:100">
      <c r="A30424" s="374"/>
      <c r="C30424" s="374"/>
      <c r="CV30424" s="376"/>
    </row>
    <row r="30425" spans="1:100">
      <c r="A30425" s="374"/>
      <c r="C30425" s="374"/>
      <c r="CV30425" s="376"/>
    </row>
    <row r="30426" spans="1:100">
      <c r="A30426" s="374"/>
      <c r="C30426" s="374"/>
      <c r="CV30426" s="376"/>
    </row>
    <row r="30427" spans="1:100">
      <c r="A30427" s="374"/>
      <c r="C30427" s="374"/>
      <c r="CV30427" s="376"/>
    </row>
    <row r="30428" spans="1:100">
      <c r="A30428" s="374"/>
      <c r="C30428" s="374"/>
      <c r="CV30428" s="376"/>
    </row>
    <row r="30429" spans="1:100">
      <c r="A30429" s="374"/>
      <c r="C30429" s="374"/>
      <c r="CV30429" s="376"/>
    </row>
    <row r="30430" spans="1:100">
      <c r="A30430" s="374"/>
      <c r="C30430" s="374"/>
      <c r="CV30430" s="376"/>
    </row>
    <row r="30431" spans="1:100">
      <c r="A30431" s="374"/>
      <c r="C30431" s="374"/>
      <c r="CV30431" s="376"/>
    </row>
    <row r="30432" spans="1:100">
      <c r="A30432" s="374"/>
      <c r="C30432" s="374"/>
      <c r="CV30432" s="376"/>
    </row>
    <row r="30433" spans="1:100">
      <c r="A30433" s="374"/>
      <c r="C30433" s="374"/>
      <c r="CV30433" s="376"/>
    </row>
    <row r="30434" spans="1:100">
      <c r="A30434" s="374"/>
      <c r="C30434" s="374"/>
      <c r="CV30434" s="376"/>
    </row>
    <row r="30435" spans="1:100">
      <c r="A30435" s="374"/>
      <c r="C30435" s="374"/>
      <c r="CV30435" s="376"/>
    </row>
    <row r="30436" spans="1:100">
      <c r="A30436" s="374"/>
      <c r="C30436" s="374"/>
      <c r="CV30436" s="376"/>
    </row>
    <row r="30437" spans="1:100">
      <c r="A30437" s="374"/>
      <c r="C30437" s="374"/>
      <c r="CV30437" s="376"/>
    </row>
    <row r="30438" spans="1:100">
      <c r="A30438" s="374"/>
      <c r="C30438" s="374"/>
      <c r="CV30438" s="376"/>
    </row>
    <row r="30439" spans="1:100">
      <c r="A30439" s="374"/>
      <c r="C30439" s="374"/>
      <c r="CV30439" s="376"/>
    </row>
    <row r="30440" spans="1:100">
      <c r="A30440" s="374"/>
      <c r="C30440" s="374"/>
      <c r="CV30440" s="376"/>
    </row>
    <row r="30441" spans="1:100">
      <c r="A30441" s="374"/>
      <c r="C30441" s="374"/>
      <c r="CV30441" s="376"/>
    </row>
    <row r="30442" spans="1:100">
      <c r="A30442" s="374"/>
      <c r="C30442" s="374"/>
      <c r="CV30442" s="376"/>
    </row>
    <row r="30443" spans="1:100">
      <c r="A30443" s="374"/>
      <c r="C30443" s="374"/>
      <c r="CV30443" s="376"/>
    </row>
    <row r="30444" spans="1:100">
      <c r="A30444" s="374"/>
      <c r="C30444" s="374"/>
      <c r="CV30444" s="376"/>
    </row>
    <row r="30445" spans="1:100">
      <c r="A30445" s="374"/>
      <c r="C30445" s="374"/>
      <c r="CV30445" s="376"/>
    </row>
    <row r="30446" spans="1:100">
      <c r="A30446" s="374"/>
      <c r="C30446" s="374"/>
      <c r="CV30446" s="376"/>
    </row>
    <row r="30447" spans="1:100">
      <c r="A30447" s="374"/>
      <c r="C30447" s="374"/>
      <c r="CV30447" s="376"/>
    </row>
    <row r="30448" spans="1:100">
      <c r="A30448" s="374"/>
      <c r="C30448" s="374"/>
      <c r="CV30448" s="376"/>
    </row>
    <row r="30449" spans="1:100">
      <c r="A30449" s="374"/>
      <c r="C30449" s="374"/>
      <c r="CV30449" s="376"/>
    </row>
    <row r="30450" spans="1:100">
      <c r="A30450" s="374"/>
      <c r="C30450" s="374"/>
      <c r="CV30450" s="376"/>
    </row>
    <row r="30451" spans="1:100">
      <c r="A30451" s="374"/>
      <c r="C30451" s="374"/>
      <c r="CV30451" s="376"/>
    </row>
    <row r="30452" spans="1:100">
      <c r="A30452" s="374"/>
      <c r="C30452" s="374"/>
      <c r="CV30452" s="376"/>
    </row>
    <row r="30453" spans="1:100">
      <c r="A30453" s="374"/>
      <c r="C30453" s="374"/>
      <c r="CV30453" s="376"/>
    </row>
    <row r="30454" spans="1:100">
      <c r="A30454" s="374"/>
      <c r="C30454" s="374"/>
      <c r="CV30454" s="376"/>
    </row>
    <row r="30455" spans="1:100">
      <c r="A30455" s="374"/>
      <c r="C30455" s="374"/>
      <c r="CV30455" s="376"/>
    </row>
    <row r="30456" spans="1:100">
      <c r="A30456" s="374"/>
      <c r="C30456" s="374"/>
      <c r="CV30456" s="376"/>
    </row>
    <row r="30457" spans="1:100">
      <c r="A30457" s="374"/>
      <c r="C30457" s="374"/>
      <c r="CV30457" s="376"/>
    </row>
    <row r="30458" spans="1:100">
      <c r="A30458" s="374"/>
      <c r="C30458" s="374"/>
      <c r="CV30458" s="376"/>
    </row>
    <row r="30459" spans="1:100">
      <c r="A30459" s="374"/>
      <c r="C30459" s="374"/>
      <c r="CV30459" s="376"/>
    </row>
    <row r="30460" spans="1:100">
      <c r="A30460" s="374"/>
      <c r="C30460" s="374"/>
      <c r="CV30460" s="376"/>
    </row>
    <row r="30461" spans="1:100">
      <c r="A30461" s="374"/>
      <c r="C30461" s="374"/>
      <c r="CV30461" s="376"/>
    </row>
    <row r="30462" spans="1:100">
      <c r="A30462" s="374"/>
      <c r="C30462" s="374"/>
      <c r="CV30462" s="376"/>
    </row>
    <row r="30463" spans="1:100">
      <c r="A30463" s="374"/>
      <c r="C30463" s="374"/>
      <c r="CV30463" s="376"/>
    </row>
    <row r="30464" spans="1:100">
      <c r="A30464" s="374"/>
      <c r="C30464" s="374"/>
      <c r="CV30464" s="376"/>
    </row>
    <row r="30465" spans="1:100">
      <c r="A30465" s="374"/>
      <c r="C30465" s="374"/>
      <c r="CV30465" s="376"/>
    </row>
    <row r="30466" spans="1:100">
      <c r="A30466" s="374"/>
      <c r="C30466" s="374"/>
      <c r="CV30466" s="376"/>
    </row>
    <row r="30467" spans="1:100">
      <c r="A30467" s="374"/>
      <c r="C30467" s="374"/>
      <c r="CV30467" s="376"/>
    </row>
    <row r="30468" spans="1:100">
      <c r="A30468" s="374"/>
      <c r="C30468" s="374"/>
      <c r="CV30468" s="376"/>
    </row>
    <row r="30469" spans="1:100">
      <c r="A30469" s="374"/>
      <c r="C30469" s="374"/>
      <c r="CV30469" s="376"/>
    </row>
    <row r="30470" spans="1:100">
      <c r="A30470" s="374"/>
      <c r="C30470" s="374"/>
      <c r="CV30470" s="376"/>
    </row>
    <row r="30471" spans="1:100">
      <c r="A30471" s="374"/>
      <c r="C30471" s="374"/>
      <c r="CV30471" s="376"/>
    </row>
    <row r="30472" spans="1:100">
      <c r="A30472" s="374"/>
      <c r="C30472" s="374"/>
      <c r="CV30472" s="376"/>
    </row>
    <row r="30473" spans="1:100">
      <c r="A30473" s="374"/>
      <c r="C30473" s="374"/>
      <c r="CV30473" s="376"/>
    </row>
    <row r="30474" spans="1:100">
      <c r="A30474" s="374"/>
      <c r="C30474" s="374"/>
      <c r="CV30474" s="376"/>
    </row>
    <row r="30475" spans="1:100">
      <c r="A30475" s="374"/>
      <c r="C30475" s="374"/>
      <c r="CV30475" s="376"/>
    </row>
    <row r="30476" spans="1:100">
      <c r="A30476" s="374"/>
      <c r="C30476" s="374"/>
      <c r="CV30476" s="376"/>
    </row>
    <row r="30477" spans="1:100">
      <c r="A30477" s="374"/>
      <c r="C30477" s="374"/>
      <c r="CV30477" s="376"/>
    </row>
    <row r="30478" spans="1:100">
      <c r="A30478" s="374"/>
      <c r="C30478" s="374"/>
      <c r="CV30478" s="376"/>
    </row>
    <row r="30479" spans="1:100">
      <c r="A30479" s="374"/>
      <c r="C30479" s="374"/>
      <c r="CV30479" s="376"/>
    </row>
    <row r="30480" spans="1:100">
      <c r="A30480" s="374"/>
      <c r="C30480" s="374"/>
      <c r="CV30480" s="376"/>
    </row>
    <row r="30481" spans="1:100">
      <c r="A30481" s="374"/>
      <c r="C30481" s="374"/>
      <c r="CV30481" s="376"/>
    </row>
    <row r="30482" spans="1:100">
      <c r="A30482" s="374"/>
      <c r="C30482" s="374"/>
      <c r="CV30482" s="376"/>
    </row>
    <row r="30483" spans="1:100">
      <c r="A30483" s="374"/>
      <c r="C30483" s="374"/>
      <c r="CV30483" s="376"/>
    </row>
    <row r="30484" spans="1:100">
      <c r="A30484" s="374"/>
      <c r="C30484" s="374"/>
      <c r="CV30484" s="376"/>
    </row>
    <row r="30485" spans="1:100">
      <c r="A30485" s="374"/>
      <c r="C30485" s="374"/>
      <c r="CV30485" s="376"/>
    </row>
    <row r="30486" spans="1:100">
      <c r="A30486" s="374"/>
      <c r="C30486" s="374"/>
      <c r="CV30486" s="376"/>
    </row>
    <row r="30487" spans="1:100">
      <c r="A30487" s="374"/>
      <c r="C30487" s="374"/>
      <c r="CV30487" s="376"/>
    </row>
    <row r="30488" spans="1:100">
      <c r="A30488" s="374"/>
      <c r="C30488" s="374"/>
      <c r="CV30488" s="376"/>
    </row>
    <row r="30489" spans="1:100">
      <c r="A30489" s="374"/>
      <c r="C30489" s="374"/>
      <c r="CV30489" s="376"/>
    </row>
    <row r="30490" spans="1:100">
      <c r="A30490" s="374"/>
      <c r="C30490" s="374"/>
      <c r="CV30490" s="376"/>
    </row>
    <row r="30491" spans="1:100">
      <c r="A30491" s="374"/>
      <c r="C30491" s="374"/>
      <c r="CV30491" s="376"/>
    </row>
    <row r="30492" spans="1:100">
      <c r="A30492" s="374"/>
      <c r="C30492" s="374"/>
      <c r="CV30492" s="376"/>
    </row>
    <row r="30493" spans="1:100">
      <c r="A30493" s="374"/>
      <c r="C30493" s="374"/>
      <c r="CV30493" s="376"/>
    </row>
    <row r="30494" spans="1:100">
      <c r="A30494" s="374"/>
      <c r="C30494" s="374"/>
      <c r="CV30494" s="376"/>
    </row>
    <row r="30495" spans="1:100">
      <c r="A30495" s="374"/>
      <c r="C30495" s="374"/>
      <c r="CV30495" s="376"/>
    </row>
    <row r="30496" spans="1:100">
      <c r="A30496" s="374"/>
      <c r="C30496" s="374"/>
      <c r="CV30496" s="376"/>
    </row>
    <row r="30497" spans="1:100">
      <c r="A30497" s="374"/>
      <c r="C30497" s="374"/>
      <c r="CV30497" s="376"/>
    </row>
    <row r="30498" spans="1:100">
      <c r="A30498" s="374"/>
      <c r="C30498" s="374"/>
      <c r="CV30498" s="376"/>
    </row>
    <row r="30499" spans="1:100">
      <c r="A30499" s="374"/>
      <c r="C30499" s="374"/>
      <c r="CV30499" s="376"/>
    </row>
    <row r="30500" spans="1:100">
      <c r="A30500" s="374"/>
      <c r="C30500" s="374"/>
      <c r="CV30500" s="376"/>
    </row>
    <row r="30501" spans="1:100">
      <c r="A30501" s="374"/>
      <c r="C30501" s="374"/>
      <c r="CV30501" s="376"/>
    </row>
    <row r="30502" spans="1:100">
      <c r="A30502" s="374"/>
      <c r="C30502" s="374"/>
      <c r="CV30502" s="376"/>
    </row>
    <row r="30503" spans="1:100">
      <c r="A30503" s="374"/>
      <c r="C30503" s="374"/>
      <c r="CV30503" s="376"/>
    </row>
    <row r="30504" spans="1:100">
      <c r="A30504" s="374"/>
      <c r="C30504" s="374"/>
      <c r="CV30504" s="376"/>
    </row>
    <row r="30505" spans="1:100">
      <c r="A30505" s="374"/>
      <c r="C30505" s="374"/>
      <c r="CV30505" s="376"/>
    </row>
    <row r="30506" spans="1:100">
      <c r="A30506" s="374"/>
      <c r="C30506" s="374"/>
      <c r="CV30506" s="376"/>
    </row>
    <row r="30507" spans="1:100">
      <c r="A30507" s="374"/>
      <c r="C30507" s="374"/>
      <c r="CV30507" s="376"/>
    </row>
    <row r="30508" spans="1:100">
      <c r="A30508" s="374"/>
      <c r="C30508" s="374"/>
      <c r="CV30508" s="376"/>
    </row>
    <row r="30509" spans="1:100">
      <c r="A30509" s="374"/>
      <c r="C30509" s="374"/>
      <c r="CV30509" s="376"/>
    </row>
    <row r="30510" spans="1:100">
      <c r="A30510" s="374"/>
      <c r="C30510" s="374"/>
      <c r="CV30510" s="376"/>
    </row>
    <row r="30511" spans="1:100">
      <c r="A30511" s="374"/>
      <c r="C30511" s="374"/>
      <c r="CV30511" s="376"/>
    </row>
    <row r="30512" spans="1:100">
      <c r="A30512" s="374"/>
      <c r="C30512" s="374"/>
      <c r="CV30512" s="376"/>
    </row>
    <row r="30513" spans="1:100">
      <c r="A30513" s="374"/>
      <c r="C30513" s="374"/>
      <c r="CV30513" s="376"/>
    </row>
    <row r="30514" spans="1:100">
      <c r="A30514" s="374"/>
      <c r="C30514" s="374"/>
      <c r="CV30514" s="376"/>
    </row>
    <row r="30515" spans="1:100">
      <c r="A30515" s="374"/>
      <c r="C30515" s="374"/>
      <c r="CV30515" s="376"/>
    </row>
    <row r="30516" spans="1:100">
      <c r="A30516" s="374"/>
      <c r="C30516" s="374"/>
      <c r="CV30516" s="376"/>
    </row>
    <row r="30517" spans="1:100">
      <c r="A30517" s="374"/>
      <c r="C30517" s="374"/>
      <c r="CV30517" s="376"/>
    </row>
    <row r="30518" spans="1:100">
      <c r="A30518" s="374"/>
      <c r="C30518" s="374"/>
      <c r="CV30518" s="376"/>
    </row>
    <row r="30519" spans="1:100">
      <c r="A30519" s="374"/>
      <c r="C30519" s="374"/>
      <c r="CV30519" s="376"/>
    </row>
    <row r="30520" spans="1:100">
      <c r="A30520" s="374"/>
      <c r="C30520" s="374"/>
      <c r="CV30520" s="376"/>
    </row>
    <row r="30521" spans="1:100">
      <c r="A30521" s="374"/>
      <c r="C30521" s="374"/>
      <c r="CV30521" s="376"/>
    </row>
    <row r="30522" spans="1:100">
      <c r="A30522" s="374"/>
      <c r="C30522" s="374"/>
      <c r="CV30522" s="376"/>
    </row>
    <row r="30523" spans="1:100">
      <c r="A30523" s="374"/>
      <c r="C30523" s="374"/>
      <c r="CV30523" s="376"/>
    </row>
    <row r="30524" spans="1:100">
      <c r="A30524" s="374"/>
      <c r="C30524" s="374"/>
      <c r="CV30524" s="376"/>
    </row>
    <row r="30525" spans="1:100">
      <c r="A30525" s="374"/>
      <c r="C30525" s="374"/>
      <c r="CV30525" s="376"/>
    </row>
    <row r="30526" spans="1:100">
      <c r="A30526" s="374"/>
      <c r="C30526" s="374"/>
      <c r="CV30526" s="376"/>
    </row>
    <row r="30527" spans="1:100">
      <c r="A30527" s="374"/>
      <c r="C30527" s="374"/>
      <c r="CV30527" s="376"/>
    </row>
    <row r="30528" spans="1:100">
      <c r="A30528" s="374"/>
      <c r="C30528" s="374"/>
      <c r="CV30528" s="376"/>
    </row>
    <row r="30529" spans="1:100">
      <c r="A30529" s="374"/>
      <c r="C30529" s="374"/>
      <c r="CV30529" s="376"/>
    </row>
    <row r="30530" spans="1:100">
      <c r="A30530" s="374"/>
      <c r="C30530" s="374"/>
      <c r="CV30530" s="376"/>
    </row>
    <row r="30531" spans="1:100">
      <c r="A30531" s="374"/>
      <c r="C30531" s="374"/>
      <c r="CV30531" s="376"/>
    </row>
    <row r="30532" spans="1:100">
      <c r="A30532" s="374"/>
      <c r="C30532" s="374"/>
      <c r="CV30532" s="376"/>
    </row>
    <row r="30533" spans="1:100">
      <c r="A30533" s="374"/>
      <c r="C30533" s="374"/>
      <c r="CV30533" s="376"/>
    </row>
    <row r="30534" spans="1:100">
      <c r="A30534" s="374"/>
      <c r="C30534" s="374"/>
      <c r="CV30534" s="376"/>
    </row>
    <row r="30535" spans="1:100">
      <c r="A30535" s="374"/>
      <c r="C30535" s="374"/>
      <c r="CV30535" s="376"/>
    </row>
    <row r="30536" spans="1:100">
      <c r="A30536" s="374"/>
      <c r="C30536" s="374"/>
      <c r="CV30536" s="376"/>
    </row>
    <row r="30537" spans="1:100">
      <c r="A30537" s="374"/>
      <c r="C30537" s="374"/>
      <c r="CV30537" s="376"/>
    </row>
    <row r="30538" spans="1:100">
      <c r="A30538" s="374"/>
      <c r="C30538" s="374"/>
      <c r="CV30538" s="376"/>
    </row>
    <row r="30539" spans="1:100">
      <c r="A30539" s="374"/>
      <c r="C30539" s="374"/>
      <c r="CV30539" s="376"/>
    </row>
    <row r="30540" spans="1:100">
      <c r="A30540" s="374"/>
      <c r="C30540" s="374"/>
      <c r="CV30540" s="376"/>
    </row>
    <row r="30541" spans="1:100">
      <c r="A30541" s="374"/>
      <c r="C30541" s="374"/>
      <c r="CV30541" s="376"/>
    </row>
    <row r="30542" spans="1:100">
      <c r="A30542" s="374"/>
      <c r="C30542" s="374"/>
      <c r="CV30542" s="376"/>
    </row>
    <row r="30543" spans="1:100">
      <c r="A30543" s="374"/>
      <c r="C30543" s="374"/>
      <c r="CV30543" s="376"/>
    </row>
    <row r="30544" spans="1:100">
      <c r="A30544" s="374"/>
      <c r="C30544" s="374"/>
      <c r="CV30544" s="376"/>
    </row>
    <row r="30545" spans="1:100">
      <c r="A30545" s="374"/>
      <c r="C30545" s="374"/>
      <c r="CV30545" s="376"/>
    </row>
    <row r="30546" spans="1:100">
      <c r="A30546" s="374"/>
      <c r="C30546" s="374"/>
      <c r="CV30546" s="376"/>
    </row>
    <row r="30547" spans="1:100">
      <c r="A30547" s="374"/>
      <c r="C30547" s="374"/>
      <c r="CV30547" s="376"/>
    </row>
    <row r="30548" spans="1:100">
      <c r="A30548" s="374"/>
      <c r="C30548" s="374"/>
      <c r="CV30548" s="376"/>
    </row>
    <row r="30549" spans="1:100">
      <c r="A30549" s="374"/>
      <c r="C30549" s="374"/>
      <c r="CV30549" s="376"/>
    </row>
    <row r="30550" spans="1:100">
      <c r="A30550" s="374"/>
      <c r="C30550" s="374"/>
      <c r="CV30550" s="376"/>
    </row>
    <row r="30551" spans="1:100">
      <c r="A30551" s="374"/>
      <c r="C30551" s="374"/>
      <c r="CV30551" s="376"/>
    </row>
    <row r="30552" spans="1:100">
      <c r="A30552" s="374"/>
      <c r="C30552" s="374"/>
      <c r="CV30552" s="376"/>
    </row>
    <row r="30553" spans="1:100">
      <c r="A30553" s="374"/>
      <c r="C30553" s="374"/>
      <c r="CV30553" s="376"/>
    </row>
    <row r="30554" spans="1:100">
      <c r="A30554" s="374"/>
      <c r="C30554" s="374"/>
      <c r="CV30554" s="376"/>
    </row>
    <row r="30555" spans="1:100">
      <c r="A30555" s="374"/>
      <c r="C30555" s="374"/>
      <c r="CV30555" s="376"/>
    </row>
    <row r="30556" spans="1:100">
      <c r="A30556" s="374"/>
      <c r="C30556" s="374"/>
      <c r="CV30556" s="376"/>
    </row>
    <row r="30557" spans="1:100">
      <c r="A30557" s="374"/>
      <c r="C30557" s="374"/>
      <c r="CV30557" s="376"/>
    </row>
    <row r="30558" spans="1:100">
      <c r="A30558" s="374"/>
      <c r="C30558" s="374"/>
      <c r="CV30558" s="376"/>
    </row>
    <row r="30559" spans="1:100">
      <c r="A30559" s="374"/>
      <c r="C30559" s="374"/>
      <c r="CV30559" s="376"/>
    </row>
    <row r="30560" spans="1:100">
      <c r="A30560" s="374"/>
      <c r="C30560" s="374"/>
      <c r="CV30560" s="376"/>
    </row>
    <row r="30561" spans="1:100">
      <c r="A30561" s="374"/>
      <c r="C30561" s="374"/>
      <c r="CV30561" s="376"/>
    </row>
    <row r="30562" spans="1:100">
      <c r="A30562" s="374"/>
      <c r="C30562" s="374"/>
      <c r="CV30562" s="376"/>
    </row>
    <row r="30563" spans="1:100">
      <c r="A30563" s="374"/>
      <c r="C30563" s="374"/>
      <c r="CV30563" s="376"/>
    </row>
    <row r="30564" spans="1:100">
      <c r="A30564" s="374"/>
      <c r="C30564" s="374"/>
      <c r="CV30564" s="376"/>
    </row>
    <row r="30565" spans="1:100">
      <c r="A30565" s="374"/>
      <c r="C30565" s="374"/>
      <c r="CV30565" s="376"/>
    </row>
    <row r="30566" spans="1:100">
      <c r="A30566" s="374"/>
      <c r="C30566" s="374"/>
      <c r="CV30566" s="376"/>
    </row>
    <row r="30567" spans="1:100">
      <c r="A30567" s="374"/>
      <c r="C30567" s="374"/>
      <c r="CV30567" s="376"/>
    </row>
    <row r="30568" spans="1:100">
      <c r="A30568" s="374"/>
      <c r="C30568" s="374"/>
      <c r="CV30568" s="376"/>
    </row>
    <row r="30569" spans="1:100">
      <c r="A30569" s="374"/>
      <c r="C30569" s="374"/>
      <c r="CV30569" s="376"/>
    </row>
    <row r="30570" spans="1:100">
      <c r="A30570" s="374"/>
      <c r="C30570" s="374"/>
      <c r="CV30570" s="376"/>
    </row>
    <row r="30571" spans="1:100">
      <c r="A30571" s="374"/>
      <c r="C30571" s="374"/>
      <c r="CV30571" s="376"/>
    </row>
    <row r="30572" spans="1:100">
      <c r="A30572" s="374"/>
      <c r="C30572" s="374"/>
      <c r="CV30572" s="376"/>
    </row>
    <row r="30573" spans="1:100">
      <c r="A30573" s="374"/>
      <c r="C30573" s="374"/>
      <c r="CV30573" s="376"/>
    </row>
    <row r="30574" spans="1:100">
      <c r="A30574" s="374"/>
      <c r="C30574" s="374"/>
      <c r="CV30574" s="376"/>
    </row>
    <row r="30575" spans="1:100">
      <c r="A30575" s="374"/>
      <c r="C30575" s="374"/>
      <c r="CV30575" s="376"/>
    </row>
    <row r="30576" spans="1:100">
      <c r="A30576" s="374"/>
      <c r="C30576" s="374"/>
      <c r="CV30576" s="376"/>
    </row>
    <row r="30577" spans="1:100">
      <c r="A30577" s="374"/>
      <c r="C30577" s="374"/>
      <c r="CV30577" s="376"/>
    </row>
    <row r="30578" spans="1:100">
      <c r="A30578" s="374"/>
      <c r="C30578" s="374"/>
      <c r="CV30578" s="376"/>
    </row>
    <row r="30579" spans="1:100">
      <c r="A30579" s="374"/>
      <c r="C30579" s="374"/>
      <c r="CV30579" s="376"/>
    </row>
    <row r="30580" spans="1:100">
      <c r="A30580" s="374"/>
      <c r="C30580" s="374"/>
      <c r="CV30580" s="376"/>
    </row>
    <row r="30581" spans="1:100">
      <c r="A30581" s="374"/>
      <c r="C30581" s="374"/>
      <c r="CV30581" s="376"/>
    </row>
    <row r="30582" spans="1:100">
      <c r="A30582" s="374"/>
      <c r="C30582" s="374"/>
      <c r="CV30582" s="376"/>
    </row>
    <row r="30583" spans="1:100">
      <c r="A30583" s="374"/>
      <c r="C30583" s="374"/>
      <c r="CV30583" s="376"/>
    </row>
    <row r="30584" spans="1:100">
      <c r="A30584" s="374"/>
      <c r="C30584" s="374"/>
      <c r="CV30584" s="376"/>
    </row>
    <row r="30585" spans="1:100">
      <c r="A30585" s="374"/>
      <c r="C30585" s="374"/>
      <c r="CV30585" s="376"/>
    </row>
    <row r="30586" spans="1:100">
      <c r="A30586" s="374"/>
      <c r="C30586" s="374"/>
      <c r="CV30586" s="376"/>
    </row>
    <row r="30587" spans="1:100">
      <c r="A30587" s="374"/>
      <c r="C30587" s="374"/>
      <c r="CV30587" s="376"/>
    </row>
    <row r="30588" spans="1:100">
      <c r="A30588" s="374"/>
      <c r="C30588" s="374"/>
      <c r="CV30588" s="376"/>
    </row>
    <row r="30589" spans="1:100">
      <c r="A30589" s="374"/>
      <c r="C30589" s="374"/>
      <c r="CV30589" s="376"/>
    </row>
    <row r="30590" spans="1:100">
      <c r="A30590" s="374"/>
      <c r="C30590" s="374"/>
      <c r="CV30590" s="376"/>
    </row>
    <row r="30591" spans="1:100">
      <c r="A30591" s="374"/>
      <c r="C30591" s="374"/>
      <c r="CV30591" s="376"/>
    </row>
    <row r="30592" spans="1:100">
      <c r="A30592" s="374"/>
      <c r="C30592" s="374"/>
      <c r="CV30592" s="376"/>
    </row>
    <row r="30593" spans="1:100">
      <c r="A30593" s="374"/>
      <c r="C30593" s="374"/>
      <c r="CV30593" s="376"/>
    </row>
    <row r="30594" spans="1:100">
      <c r="A30594" s="374"/>
      <c r="C30594" s="374"/>
      <c r="CV30594" s="376"/>
    </row>
    <row r="30595" spans="1:100">
      <c r="A30595" s="374"/>
      <c r="C30595" s="374"/>
      <c r="CV30595" s="376"/>
    </row>
    <row r="30596" spans="1:100">
      <c r="A30596" s="374"/>
      <c r="C30596" s="374"/>
      <c r="CV30596" s="376"/>
    </row>
    <row r="30597" spans="1:100">
      <c r="A30597" s="374"/>
      <c r="C30597" s="374"/>
      <c r="CV30597" s="376"/>
    </row>
    <row r="30598" spans="1:100">
      <c r="A30598" s="374"/>
      <c r="C30598" s="374"/>
      <c r="CV30598" s="376"/>
    </row>
    <row r="30599" spans="1:100">
      <c r="A30599" s="374"/>
      <c r="C30599" s="374"/>
      <c r="CV30599" s="376"/>
    </row>
    <row r="30600" spans="1:100">
      <c r="A30600" s="374"/>
      <c r="C30600" s="374"/>
      <c r="CV30600" s="376"/>
    </row>
    <row r="30601" spans="1:100">
      <c r="A30601" s="374"/>
      <c r="C30601" s="374"/>
      <c r="CV30601" s="376"/>
    </row>
    <row r="30602" spans="1:100">
      <c r="A30602" s="374"/>
      <c r="C30602" s="374"/>
      <c r="CV30602" s="376"/>
    </row>
    <row r="30603" spans="1:100">
      <c r="A30603" s="374"/>
      <c r="C30603" s="374"/>
      <c r="CV30603" s="376"/>
    </row>
    <row r="30604" spans="1:100">
      <c r="A30604" s="374"/>
      <c r="C30604" s="374"/>
      <c r="CV30604" s="376"/>
    </row>
    <row r="30605" spans="1:100">
      <c r="A30605" s="374"/>
      <c r="C30605" s="374"/>
      <c r="CV30605" s="376"/>
    </row>
    <row r="30606" spans="1:100">
      <c r="A30606" s="374"/>
      <c r="C30606" s="374"/>
      <c r="CV30606" s="376"/>
    </row>
    <row r="30607" spans="1:100">
      <c r="A30607" s="374"/>
      <c r="C30607" s="374"/>
      <c r="CV30607" s="376"/>
    </row>
    <row r="30608" spans="1:100">
      <c r="A30608" s="374"/>
      <c r="C30608" s="374"/>
      <c r="CV30608" s="376"/>
    </row>
    <row r="30609" spans="1:100">
      <c r="A30609" s="374"/>
      <c r="C30609" s="374"/>
      <c r="CV30609" s="376"/>
    </row>
    <row r="30610" spans="1:100">
      <c r="A30610" s="374"/>
      <c r="C30610" s="374"/>
      <c r="CV30610" s="376"/>
    </row>
    <row r="30611" spans="1:100">
      <c r="A30611" s="374"/>
      <c r="C30611" s="374"/>
      <c r="CV30611" s="376"/>
    </row>
    <row r="30612" spans="1:100">
      <c r="A30612" s="374"/>
      <c r="C30612" s="374"/>
      <c r="CV30612" s="376"/>
    </row>
    <row r="30613" spans="1:100">
      <c r="A30613" s="374"/>
      <c r="C30613" s="374"/>
      <c r="CV30613" s="376"/>
    </row>
    <row r="30614" spans="1:100">
      <c r="A30614" s="374"/>
      <c r="C30614" s="374"/>
      <c r="CV30614" s="376"/>
    </row>
    <row r="30615" spans="1:100">
      <c r="A30615" s="374"/>
      <c r="C30615" s="374"/>
      <c r="CV30615" s="376"/>
    </row>
    <row r="30616" spans="1:100">
      <c r="A30616" s="374"/>
      <c r="C30616" s="374"/>
      <c r="CV30616" s="376"/>
    </row>
    <row r="30617" spans="1:100">
      <c r="A30617" s="374"/>
      <c r="C30617" s="374"/>
      <c r="CV30617" s="376"/>
    </row>
    <row r="30618" spans="1:100">
      <c r="A30618" s="374"/>
      <c r="C30618" s="374"/>
      <c r="CV30618" s="376"/>
    </row>
    <row r="30619" spans="1:100">
      <c r="A30619" s="374"/>
      <c r="C30619" s="374"/>
      <c r="CV30619" s="376"/>
    </row>
    <row r="30620" spans="1:100">
      <c r="A30620" s="374"/>
      <c r="C30620" s="374"/>
      <c r="CV30620" s="376"/>
    </row>
    <row r="30621" spans="1:100">
      <c r="A30621" s="374"/>
      <c r="C30621" s="374"/>
      <c r="CV30621" s="376"/>
    </row>
    <row r="30622" spans="1:100">
      <c r="A30622" s="374"/>
      <c r="C30622" s="374"/>
      <c r="CV30622" s="376"/>
    </row>
    <row r="30623" spans="1:100">
      <c r="A30623" s="374"/>
      <c r="C30623" s="374"/>
      <c r="CV30623" s="376"/>
    </row>
    <row r="30624" spans="1:100">
      <c r="A30624" s="374"/>
      <c r="C30624" s="374"/>
      <c r="CV30624" s="376"/>
    </row>
    <row r="30625" spans="1:100">
      <c r="A30625" s="374"/>
      <c r="C30625" s="374"/>
      <c r="CV30625" s="376"/>
    </row>
    <row r="30626" spans="1:100">
      <c r="A30626" s="374"/>
      <c r="C30626" s="374"/>
      <c r="CV30626" s="376"/>
    </row>
    <row r="30627" spans="1:100">
      <c r="A30627" s="374"/>
      <c r="C30627" s="374"/>
      <c r="CV30627" s="376"/>
    </row>
    <row r="30628" spans="1:100">
      <c r="A30628" s="374"/>
      <c r="C30628" s="374"/>
      <c r="CV30628" s="376"/>
    </row>
    <row r="30629" spans="1:100">
      <c r="A30629" s="374"/>
      <c r="C30629" s="374"/>
      <c r="CV30629" s="376"/>
    </row>
    <row r="30630" spans="1:100">
      <c r="A30630" s="374"/>
      <c r="C30630" s="374"/>
      <c r="CV30630" s="376"/>
    </row>
    <row r="30631" spans="1:100">
      <c r="A30631" s="374"/>
      <c r="C30631" s="374"/>
      <c r="CV30631" s="376"/>
    </row>
    <row r="30632" spans="1:100">
      <c r="A30632" s="374"/>
      <c r="C30632" s="374"/>
      <c r="CV30632" s="376"/>
    </row>
    <row r="30633" spans="1:100">
      <c r="A30633" s="374"/>
      <c r="C30633" s="374"/>
      <c r="CV30633" s="376"/>
    </row>
    <row r="30634" spans="1:100">
      <c r="A30634" s="374"/>
      <c r="C30634" s="374"/>
      <c r="CV30634" s="376"/>
    </row>
    <row r="30635" spans="1:100">
      <c r="A30635" s="374"/>
      <c r="C30635" s="374"/>
      <c r="CV30635" s="376"/>
    </row>
    <row r="30636" spans="1:100">
      <c r="A30636" s="374"/>
      <c r="C30636" s="374"/>
      <c r="CV30636" s="376"/>
    </row>
    <row r="30637" spans="1:100">
      <c r="A30637" s="374"/>
      <c r="C30637" s="374"/>
      <c r="CV30637" s="376"/>
    </row>
    <row r="30638" spans="1:100">
      <c r="A30638" s="374"/>
      <c r="C30638" s="374"/>
      <c r="CV30638" s="376"/>
    </row>
    <row r="30639" spans="1:100">
      <c r="A30639" s="374"/>
      <c r="C30639" s="374"/>
      <c r="CV30639" s="376"/>
    </row>
    <row r="30640" spans="1:100">
      <c r="A30640" s="374"/>
      <c r="C30640" s="374"/>
      <c r="CV30640" s="376"/>
    </row>
    <row r="30641" spans="1:100">
      <c r="A30641" s="374"/>
      <c r="C30641" s="374"/>
      <c r="CV30641" s="376"/>
    </row>
    <row r="30642" spans="1:100">
      <c r="A30642" s="374"/>
      <c r="C30642" s="374"/>
      <c r="CV30642" s="376"/>
    </row>
    <row r="30643" spans="1:100">
      <c r="A30643" s="374"/>
      <c r="C30643" s="374"/>
      <c r="CV30643" s="376"/>
    </row>
    <row r="30644" spans="1:100">
      <c r="A30644" s="374"/>
      <c r="C30644" s="374"/>
      <c r="CV30644" s="376"/>
    </row>
    <row r="30645" spans="1:100">
      <c r="A30645" s="374"/>
      <c r="C30645" s="374"/>
      <c r="CV30645" s="376"/>
    </row>
    <row r="30646" spans="1:100">
      <c r="A30646" s="374"/>
      <c r="C30646" s="374"/>
      <c r="CV30646" s="376"/>
    </row>
    <row r="30647" spans="1:100">
      <c r="A30647" s="374"/>
      <c r="C30647" s="374"/>
      <c r="CV30647" s="376"/>
    </row>
    <row r="30648" spans="1:100">
      <c r="A30648" s="374"/>
      <c r="C30648" s="374"/>
      <c r="CV30648" s="376"/>
    </row>
    <row r="30649" spans="1:100">
      <c r="A30649" s="374"/>
      <c r="C30649" s="374"/>
      <c r="CV30649" s="376"/>
    </row>
    <row r="30650" spans="1:100">
      <c r="A30650" s="374"/>
      <c r="C30650" s="374"/>
      <c r="CV30650" s="376"/>
    </row>
    <row r="30651" spans="1:100">
      <c r="A30651" s="374"/>
      <c r="C30651" s="374"/>
      <c r="CV30651" s="376"/>
    </row>
    <row r="30652" spans="1:100">
      <c r="A30652" s="374"/>
      <c r="C30652" s="374"/>
      <c r="CV30652" s="376"/>
    </row>
    <row r="30653" spans="1:100">
      <c r="A30653" s="374"/>
      <c r="C30653" s="374"/>
      <c r="CV30653" s="376"/>
    </row>
    <row r="30654" spans="1:100">
      <c r="A30654" s="374"/>
      <c r="C30654" s="374"/>
      <c r="CV30654" s="376"/>
    </row>
    <row r="30655" spans="1:100">
      <c r="A30655" s="374"/>
      <c r="C30655" s="374"/>
      <c r="CV30655" s="376"/>
    </row>
    <row r="30656" spans="1:100">
      <c r="A30656" s="374"/>
      <c r="C30656" s="374"/>
      <c r="CV30656" s="376"/>
    </row>
    <row r="30657" spans="1:100">
      <c r="A30657" s="374"/>
      <c r="C30657" s="374"/>
      <c r="CV30657" s="376"/>
    </row>
    <row r="30658" spans="1:100">
      <c r="A30658" s="374"/>
      <c r="C30658" s="374"/>
      <c r="CV30658" s="376"/>
    </row>
    <row r="30659" spans="1:100">
      <c r="A30659" s="374"/>
      <c r="C30659" s="374"/>
      <c r="CV30659" s="376"/>
    </row>
    <row r="30660" spans="1:100">
      <c r="A30660" s="374"/>
      <c r="C30660" s="374"/>
      <c r="CV30660" s="376"/>
    </row>
    <row r="30661" spans="1:100">
      <c r="A30661" s="374"/>
      <c r="C30661" s="374"/>
      <c r="CV30661" s="376"/>
    </row>
    <row r="30662" spans="1:100">
      <c r="A30662" s="374"/>
      <c r="C30662" s="374"/>
      <c r="CV30662" s="376"/>
    </row>
    <row r="30663" spans="1:100">
      <c r="A30663" s="374"/>
      <c r="C30663" s="374"/>
      <c r="CV30663" s="376"/>
    </row>
    <row r="30664" spans="1:100">
      <c r="A30664" s="374"/>
      <c r="C30664" s="374"/>
      <c r="CV30664" s="376"/>
    </row>
    <row r="30665" spans="1:100">
      <c r="A30665" s="374"/>
      <c r="C30665" s="374"/>
      <c r="CV30665" s="376"/>
    </row>
    <row r="30666" spans="1:100">
      <c r="A30666" s="374"/>
      <c r="C30666" s="374"/>
      <c r="CV30666" s="376"/>
    </row>
    <row r="30667" spans="1:100">
      <c r="A30667" s="374"/>
      <c r="C30667" s="374"/>
      <c r="CV30667" s="376"/>
    </row>
    <row r="30668" spans="1:100">
      <c r="A30668" s="374"/>
      <c r="C30668" s="374"/>
      <c r="CV30668" s="376"/>
    </row>
    <row r="30669" spans="1:100">
      <c r="A30669" s="374"/>
      <c r="C30669" s="374"/>
      <c r="CV30669" s="376"/>
    </row>
    <row r="30670" spans="1:100">
      <c r="A30670" s="374"/>
      <c r="C30670" s="374"/>
      <c r="CV30670" s="376"/>
    </row>
    <row r="30671" spans="1:100">
      <c r="A30671" s="374"/>
      <c r="C30671" s="374"/>
      <c r="CV30671" s="376"/>
    </row>
    <row r="30672" spans="1:100">
      <c r="A30672" s="374"/>
      <c r="C30672" s="374"/>
      <c r="CV30672" s="376"/>
    </row>
    <row r="30673" spans="1:100">
      <c r="A30673" s="374"/>
      <c r="C30673" s="374"/>
      <c r="CV30673" s="376"/>
    </row>
    <row r="30674" spans="1:100">
      <c r="A30674" s="374"/>
      <c r="C30674" s="374"/>
      <c r="CV30674" s="376"/>
    </row>
    <row r="30675" spans="1:100">
      <c r="A30675" s="374"/>
      <c r="C30675" s="374"/>
      <c r="CV30675" s="376"/>
    </row>
    <row r="30676" spans="1:100">
      <c r="A30676" s="374"/>
      <c r="C30676" s="374"/>
      <c r="CV30676" s="376"/>
    </row>
    <row r="30677" spans="1:100">
      <c r="A30677" s="374"/>
      <c r="C30677" s="374"/>
      <c r="CV30677" s="376"/>
    </row>
    <row r="30678" spans="1:100">
      <c r="A30678" s="374"/>
      <c r="C30678" s="374"/>
      <c r="CV30678" s="376"/>
    </row>
    <row r="30679" spans="1:100">
      <c r="A30679" s="374"/>
      <c r="C30679" s="374"/>
      <c r="CV30679" s="376"/>
    </row>
    <row r="30680" spans="1:100">
      <c r="A30680" s="374"/>
      <c r="C30680" s="374"/>
      <c r="CV30680" s="376"/>
    </row>
    <row r="30681" spans="1:100">
      <c r="A30681" s="374"/>
      <c r="C30681" s="374"/>
      <c r="CV30681" s="376"/>
    </row>
    <row r="30682" spans="1:100">
      <c r="A30682" s="374"/>
      <c r="C30682" s="374"/>
      <c r="CV30682" s="376"/>
    </row>
    <row r="30683" spans="1:100">
      <c r="A30683" s="374"/>
      <c r="C30683" s="374"/>
      <c r="CV30683" s="376"/>
    </row>
    <row r="30684" spans="1:100">
      <c r="A30684" s="374"/>
      <c r="C30684" s="374"/>
      <c r="CV30684" s="376"/>
    </row>
    <row r="30685" spans="1:100">
      <c r="A30685" s="374"/>
      <c r="C30685" s="374"/>
      <c r="CV30685" s="376"/>
    </row>
    <row r="30686" spans="1:100">
      <c r="A30686" s="374"/>
      <c r="C30686" s="374"/>
      <c r="CV30686" s="376"/>
    </row>
    <row r="30687" spans="1:100">
      <c r="A30687" s="374"/>
      <c r="C30687" s="374"/>
      <c r="CV30687" s="376"/>
    </row>
    <row r="30688" spans="1:100">
      <c r="A30688" s="374"/>
      <c r="C30688" s="374"/>
      <c r="CV30688" s="376"/>
    </row>
    <row r="30689" spans="1:100">
      <c r="A30689" s="374"/>
      <c r="C30689" s="374"/>
      <c r="CV30689" s="376"/>
    </row>
    <row r="30690" spans="1:100">
      <c r="A30690" s="374"/>
      <c r="C30690" s="374"/>
      <c r="CV30690" s="376"/>
    </row>
    <row r="30691" spans="1:100">
      <c r="A30691" s="374"/>
      <c r="C30691" s="374"/>
      <c r="CV30691" s="376"/>
    </row>
    <row r="30692" spans="1:100">
      <c r="A30692" s="374"/>
      <c r="C30692" s="374"/>
      <c r="CV30692" s="376"/>
    </row>
    <row r="30693" spans="1:100">
      <c r="A30693" s="374"/>
      <c r="C30693" s="374"/>
      <c r="CV30693" s="376"/>
    </row>
    <row r="30694" spans="1:100">
      <c r="A30694" s="374"/>
      <c r="C30694" s="374"/>
      <c r="CV30694" s="376"/>
    </row>
    <row r="30695" spans="1:100">
      <c r="A30695" s="374"/>
      <c r="C30695" s="374"/>
      <c r="CV30695" s="376"/>
    </row>
    <row r="30696" spans="1:100">
      <c r="A30696" s="374"/>
      <c r="C30696" s="374"/>
      <c r="CV30696" s="376"/>
    </row>
    <row r="30697" spans="1:100">
      <c r="A30697" s="374"/>
      <c r="C30697" s="374"/>
      <c r="CV30697" s="376"/>
    </row>
    <row r="30698" spans="1:100">
      <c r="A30698" s="374"/>
      <c r="C30698" s="374"/>
      <c r="CV30698" s="376"/>
    </row>
    <row r="30699" spans="1:100">
      <c r="A30699" s="374"/>
      <c r="C30699" s="374"/>
      <c r="CV30699" s="376"/>
    </row>
    <row r="30700" spans="1:100">
      <c r="A30700" s="374"/>
      <c r="C30700" s="374"/>
      <c r="CV30700" s="376"/>
    </row>
    <row r="30701" spans="1:100">
      <c r="A30701" s="374"/>
      <c r="C30701" s="374"/>
      <c r="CV30701" s="376"/>
    </row>
    <row r="30702" spans="1:100">
      <c r="A30702" s="374"/>
      <c r="C30702" s="374"/>
      <c r="CV30702" s="376"/>
    </row>
    <row r="30703" spans="1:100">
      <c r="A30703" s="374"/>
      <c r="C30703" s="374"/>
      <c r="CV30703" s="376"/>
    </row>
    <row r="30704" spans="1:100">
      <c r="A30704" s="374"/>
      <c r="C30704" s="374"/>
      <c r="CV30704" s="376"/>
    </row>
    <row r="30705" spans="1:100">
      <c r="A30705" s="374"/>
      <c r="C30705" s="374"/>
      <c r="CV30705" s="376"/>
    </row>
    <row r="30706" spans="1:100">
      <c r="A30706" s="374"/>
      <c r="C30706" s="374"/>
      <c r="CV30706" s="376"/>
    </row>
    <row r="30707" spans="1:100">
      <c r="A30707" s="374"/>
      <c r="C30707" s="374"/>
      <c r="CV30707" s="376"/>
    </row>
    <row r="30708" spans="1:100">
      <c r="A30708" s="374"/>
      <c r="C30708" s="374"/>
      <c r="CV30708" s="376"/>
    </row>
    <row r="30709" spans="1:100">
      <c r="A30709" s="374"/>
      <c r="C30709" s="374"/>
      <c r="CV30709" s="376"/>
    </row>
    <row r="30710" spans="1:100">
      <c r="A30710" s="374"/>
      <c r="C30710" s="374"/>
      <c r="CV30710" s="376"/>
    </row>
    <row r="30711" spans="1:100">
      <c r="A30711" s="374"/>
      <c r="C30711" s="374"/>
      <c r="CV30711" s="376"/>
    </row>
    <row r="30712" spans="1:100">
      <c r="A30712" s="374"/>
      <c r="C30712" s="374"/>
      <c r="CV30712" s="376"/>
    </row>
    <row r="30713" spans="1:100">
      <c r="A30713" s="374"/>
      <c r="C30713" s="374"/>
      <c r="CV30713" s="376"/>
    </row>
    <row r="30714" spans="1:100">
      <c r="A30714" s="374"/>
      <c r="C30714" s="374"/>
      <c r="CV30714" s="376"/>
    </row>
    <row r="30715" spans="1:100">
      <c r="A30715" s="374"/>
      <c r="C30715" s="374"/>
      <c r="CV30715" s="376"/>
    </row>
    <row r="30716" spans="1:100">
      <c r="A30716" s="374"/>
      <c r="C30716" s="374"/>
      <c r="CV30716" s="376"/>
    </row>
    <row r="30717" spans="1:100">
      <c r="A30717" s="374"/>
      <c r="C30717" s="374"/>
      <c r="CV30717" s="376"/>
    </row>
    <row r="30718" spans="1:100">
      <c r="A30718" s="374"/>
      <c r="C30718" s="374"/>
      <c r="CV30718" s="376"/>
    </row>
    <row r="30719" spans="1:100">
      <c r="A30719" s="374"/>
      <c r="C30719" s="374"/>
      <c r="CV30719" s="376"/>
    </row>
    <row r="30720" spans="1:100">
      <c r="A30720" s="374"/>
      <c r="C30720" s="374"/>
      <c r="CV30720" s="376"/>
    </row>
    <row r="30721" spans="1:100">
      <c r="A30721" s="374"/>
      <c r="C30721" s="374"/>
      <c r="CV30721" s="376"/>
    </row>
    <row r="30722" spans="1:100">
      <c r="A30722" s="374"/>
      <c r="C30722" s="374"/>
      <c r="CV30722" s="376"/>
    </row>
    <row r="30723" spans="1:100">
      <c r="A30723" s="374"/>
      <c r="C30723" s="374"/>
      <c r="CV30723" s="376"/>
    </row>
    <row r="30724" spans="1:100">
      <c r="A30724" s="374"/>
      <c r="C30724" s="374"/>
      <c r="CV30724" s="376"/>
    </row>
    <row r="30725" spans="1:100">
      <c r="A30725" s="374"/>
      <c r="C30725" s="374"/>
      <c r="CV30725" s="376"/>
    </row>
    <row r="30726" spans="1:100">
      <c r="A30726" s="374"/>
      <c r="C30726" s="374"/>
      <c r="CV30726" s="376"/>
    </row>
    <row r="30727" spans="1:100">
      <c r="A30727" s="374"/>
      <c r="C30727" s="374"/>
      <c r="CV30727" s="376"/>
    </row>
    <row r="30728" spans="1:100">
      <c r="A30728" s="374"/>
      <c r="C30728" s="374"/>
      <c r="CV30728" s="376"/>
    </row>
    <row r="30729" spans="1:100">
      <c r="A30729" s="374"/>
      <c r="C30729" s="374"/>
      <c r="CV30729" s="376"/>
    </row>
    <row r="30730" spans="1:100">
      <c r="A30730" s="374"/>
      <c r="C30730" s="374"/>
      <c r="CV30730" s="376"/>
    </row>
    <row r="30731" spans="1:100">
      <c r="A30731" s="374"/>
      <c r="C30731" s="374"/>
      <c r="CV30731" s="376"/>
    </row>
    <row r="30732" spans="1:100">
      <c r="A30732" s="374"/>
      <c r="C30732" s="374"/>
      <c r="CV30732" s="376"/>
    </row>
    <row r="30733" spans="1:100">
      <c r="A30733" s="374"/>
      <c r="C30733" s="374"/>
      <c r="CV30733" s="376"/>
    </row>
    <row r="30734" spans="1:100">
      <c r="A30734" s="374"/>
      <c r="C30734" s="374"/>
      <c r="CV30734" s="376"/>
    </row>
    <row r="30735" spans="1:100">
      <c r="A30735" s="374"/>
      <c r="C30735" s="374"/>
      <c r="CV30735" s="376"/>
    </row>
    <row r="30736" spans="1:100">
      <c r="A30736" s="374"/>
      <c r="C30736" s="374"/>
      <c r="CV30736" s="376"/>
    </row>
    <row r="30737" spans="1:100">
      <c r="A30737" s="374"/>
      <c r="C30737" s="374"/>
      <c r="CV30737" s="376"/>
    </row>
    <row r="30738" spans="1:100">
      <c r="A30738" s="374"/>
      <c r="C30738" s="374"/>
      <c r="CV30738" s="376"/>
    </row>
    <row r="30739" spans="1:100">
      <c r="A30739" s="374"/>
      <c r="C30739" s="374"/>
      <c r="CV30739" s="376"/>
    </row>
    <row r="30740" spans="1:100">
      <c r="A30740" s="374"/>
      <c r="C30740" s="374"/>
      <c r="CV30740" s="376"/>
    </row>
    <row r="30741" spans="1:100">
      <c r="A30741" s="374"/>
      <c r="C30741" s="374"/>
      <c r="CV30741" s="376"/>
    </row>
    <row r="30742" spans="1:100">
      <c r="A30742" s="374"/>
      <c r="C30742" s="374"/>
      <c r="CV30742" s="376"/>
    </row>
    <row r="30743" spans="1:100">
      <c r="A30743" s="374"/>
      <c r="C30743" s="374"/>
      <c r="CV30743" s="376"/>
    </row>
    <row r="30744" spans="1:100">
      <c r="A30744" s="374"/>
      <c r="C30744" s="374"/>
      <c r="CV30744" s="376"/>
    </row>
    <row r="30745" spans="1:100">
      <c r="A30745" s="374"/>
      <c r="C30745" s="374"/>
      <c r="CV30745" s="376"/>
    </row>
    <row r="30746" spans="1:100">
      <c r="A30746" s="374"/>
      <c r="C30746" s="374"/>
      <c r="CV30746" s="376"/>
    </row>
    <row r="30747" spans="1:100">
      <c r="A30747" s="374"/>
      <c r="C30747" s="374"/>
      <c r="CV30747" s="376"/>
    </row>
    <row r="30748" spans="1:100">
      <c r="A30748" s="374"/>
      <c r="C30748" s="374"/>
      <c r="CV30748" s="376"/>
    </row>
    <row r="30749" spans="1:100">
      <c r="A30749" s="374"/>
      <c r="C30749" s="374"/>
      <c r="CV30749" s="376"/>
    </row>
    <row r="30750" spans="1:100">
      <c r="A30750" s="374"/>
      <c r="C30750" s="374"/>
      <c r="CV30750" s="376"/>
    </row>
    <row r="30751" spans="1:100">
      <c r="A30751" s="374"/>
      <c r="C30751" s="374"/>
      <c r="CV30751" s="376"/>
    </row>
    <row r="30752" spans="1:100">
      <c r="A30752" s="374"/>
      <c r="C30752" s="374"/>
      <c r="CV30752" s="376"/>
    </row>
    <row r="30753" spans="1:100">
      <c r="A30753" s="374"/>
      <c r="C30753" s="374"/>
      <c r="CV30753" s="376"/>
    </row>
    <row r="30754" spans="1:100">
      <c r="A30754" s="374"/>
      <c r="C30754" s="374"/>
      <c r="CV30754" s="376"/>
    </row>
    <row r="30755" spans="1:100">
      <c r="A30755" s="374"/>
      <c r="C30755" s="374"/>
      <c r="CV30755" s="376"/>
    </row>
    <row r="30756" spans="1:100">
      <c r="A30756" s="374"/>
      <c r="C30756" s="374"/>
      <c r="CV30756" s="376"/>
    </row>
    <row r="30757" spans="1:100">
      <c r="A30757" s="374"/>
      <c r="C30757" s="374"/>
      <c r="CV30757" s="376"/>
    </row>
    <row r="30758" spans="1:100">
      <c r="A30758" s="374"/>
      <c r="C30758" s="374"/>
      <c r="CV30758" s="376"/>
    </row>
    <row r="30759" spans="1:100">
      <c r="A30759" s="374"/>
      <c r="C30759" s="374"/>
      <c r="CV30759" s="376"/>
    </row>
    <row r="30760" spans="1:100">
      <c r="A30760" s="374"/>
      <c r="C30760" s="374"/>
      <c r="CV30760" s="376"/>
    </row>
    <row r="30761" spans="1:100">
      <c r="A30761" s="374"/>
      <c r="C30761" s="374"/>
      <c r="CV30761" s="376"/>
    </row>
    <row r="30762" spans="1:100">
      <c r="A30762" s="374"/>
      <c r="C30762" s="374"/>
      <c r="CV30762" s="376"/>
    </row>
    <row r="30763" spans="1:100">
      <c r="A30763" s="374"/>
      <c r="C30763" s="374"/>
      <c r="CV30763" s="376"/>
    </row>
    <row r="30764" spans="1:100">
      <c r="A30764" s="374"/>
      <c r="C30764" s="374"/>
      <c r="CV30764" s="376"/>
    </row>
    <row r="30765" spans="1:100">
      <c r="A30765" s="374"/>
      <c r="C30765" s="374"/>
      <c r="CV30765" s="376"/>
    </row>
    <row r="30766" spans="1:100">
      <c r="A30766" s="374"/>
      <c r="C30766" s="374"/>
      <c r="CV30766" s="376"/>
    </row>
    <row r="30767" spans="1:100">
      <c r="A30767" s="374"/>
      <c r="C30767" s="374"/>
      <c r="CV30767" s="376"/>
    </row>
    <row r="30768" spans="1:100">
      <c r="A30768" s="374"/>
      <c r="C30768" s="374"/>
      <c r="CV30768" s="376"/>
    </row>
    <row r="30769" spans="1:100">
      <c r="A30769" s="374"/>
      <c r="C30769" s="374"/>
      <c r="CV30769" s="376"/>
    </row>
    <row r="30770" spans="1:100">
      <c r="A30770" s="374"/>
      <c r="C30770" s="374"/>
      <c r="CV30770" s="376"/>
    </row>
    <row r="30771" spans="1:100">
      <c r="A30771" s="374"/>
      <c r="C30771" s="374"/>
      <c r="CV30771" s="376"/>
    </row>
    <row r="30772" spans="1:100">
      <c r="A30772" s="374"/>
      <c r="C30772" s="374"/>
      <c r="CV30772" s="376"/>
    </row>
    <row r="30773" spans="1:100">
      <c r="A30773" s="374"/>
      <c r="C30773" s="374"/>
      <c r="CV30773" s="376"/>
    </row>
    <row r="30774" spans="1:100">
      <c r="A30774" s="374"/>
      <c r="C30774" s="374"/>
      <c r="CV30774" s="376"/>
    </row>
    <row r="30775" spans="1:100">
      <c r="A30775" s="374"/>
      <c r="C30775" s="374"/>
      <c r="CV30775" s="376"/>
    </row>
    <row r="30776" spans="1:100">
      <c r="A30776" s="374"/>
      <c r="C30776" s="374"/>
      <c r="CV30776" s="376"/>
    </row>
    <row r="30777" spans="1:100">
      <c r="A30777" s="374"/>
      <c r="C30777" s="374"/>
      <c r="CV30777" s="376"/>
    </row>
    <row r="30778" spans="1:100">
      <c r="A30778" s="374"/>
      <c r="C30778" s="374"/>
      <c r="CV30778" s="376"/>
    </row>
    <row r="30779" spans="1:100">
      <c r="A30779" s="374"/>
      <c r="C30779" s="374"/>
      <c r="CV30779" s="376"/>
    </row>
    <row r="30780" spans="1:100">
      <c r="A30780" s="374"/>
      <c r="C30780" s="374"/>
      <c r="CV30780" s="376"/>
    </row>
    <row r="30781" spans="1:100">
      <c r="A30781" s="374"/>
      <c r="C30781" s="374"/>
      <c r="CV30781" s="376"/>
    </row>
    <row r="30782" spans="1:100">
      <c r="A30782" s="374"/>
      <c r="C30782" s="374"/>
      <c r="CV30782" s="376"/>
    </row>
    <row r="30783" spans="1:100">
      <c r="A30783" s="374"/>
      <c r="C30783" s="374"/>
      <c r="CV30783" s="376"/>
    </row>
    <row r="30784" spans="1:100">
      <c r="A30784" s="374"/>
      <c r="C30784" s="374"/>
      <c r="CV30784" s="376"/>
    </row>
    <row r="30785" spans="1:100">
      <c r="A30785" s="374"/>
      <c r="C30785" s="374"/>
      <c r="CV30785" s="376"/>
    </row>
    <row r="30786" spans="1:100">
      <c r="A30786" s="374"/>
      <c r="C30786" s="374"/>
      <c r="CV30786" s="376"/>
    </row>
    <row r="30787" spans="1:100">
      <c r="A30787" s="374"/>
      <c r="C30787" s="374"/>
      <c r="CV30787" s="376"/>
    </row>
    <row r="30788" spans="1:100">
      <c r="A30788" s="374"/>
      <c r="C30788" s="374"/>
      <c r="CV30788" s="376"/>
    </row>
    <row r="30789" spans="1:100">
      <c r="A30789" s="374"/>
      <c r="C30789" s="374"/>
      <c r="CV30789" s="376"/>
    </row>
    <row r="30790" spans="1:100">
      <c r="A30790" s="374"/>
      <c r="C30790" s="374"/>
      <c r="CV30790" s="376"/>
    </row>
    <row r="30791" spans="1:100">
      <c r="A30791" s="374"/>
      <c r="C30791" s="374"/>
      <c r="CV30791" s="376"/>
    </row>
    <row r="30792" spans="1:100">
      <c r="A30792" s="374"/>
      <c r="C30792" s="374"/>
      <c r="CV30792" s="376"/>
    </row>
    <row r="30793" spans="1:100">
      <c r="A30793" s="374"/>
      <c r="C30793" s="374"/>
      <c r="CV30793" s="376"/>
    </row>
    <row r="30794" spans="1:100">
      <c r="A30794" s="374"/>
      <c r="C30794" s="374"/>
      <c r="CV30794" s="376"/>
    </row>
    <row r="30795" spans="1:100">
      <c r="A30795" s="374"/>
      <c r="C30795" s="374"/>
      <c r="CV30795" s="376"/>
    </row>
    <row r="30796" spans="1:100">
      <c r="A30796" s="374"/>
      <c r="C30796" s="374"/>
      <c r="CV30796" s="376"/>
    </row>
    <row r="30797" spans="1:100">
      <c r="A30797" s="374"/>
      <c r="C30797" s="374"/>
      <c r="CV30797" s="376"/>
    </row>
    <row r="30798" spans="1:100">
      <c r="A30798" s="374"/>
      <c r="C30798" s="374"/>
      <c r="CV30798" s="376"/>
    </row>
    <row r="30799" spans="1:100">
      <c r="A30799" s="374"/>
      <c r="C30799" s="374"/>
      <c r="CV30799" s="376"/>
    </row>
    <row r="30800" spans="1:100">
      <c r="A30800" s="374"/>
      <c r="C30800" s="374"/>
      <c r="CV30800" s="376"/>
    </row>
    <row r="30801" spans="1:100">
      <c r="A30801" s="374"/>
      <c r="C30801" s="374"/>
      <c r="CV30801" s="376"/>
    </row>
    <row r="30802" spans="1:100">
      <c r="A30802" s="374"/>
      <c r="C30802" s="374"/>
      <c r="CV30802" s="376"/>
    </row>
    <row r="30803" spans="1:100">
      <c r="A30803" s="374"/>
      <c r="C30803" s="374"/>
      <c r="CV30803" s="376"/>
    </row>
    <row r="30804" spans="1:100">
      <c r="A30804" s="374"/>
      <c r="C30804" s="374"/>
      <c r="CV30804" s="376"/>
    </row>
    <row r="30805" spans="1:100">
      <c r="A30805" s="374"/>
      <c r="C30805" s="374"/>
      <c r="CV30805" s="376"/>
    </row>
    <row r="30806" spans="1:100">
      <c r="A30806" s="374"/>
      <c r="C30806" s="374"/>
      <c r="CV30806" s="376"/>
    </row>
    <row r="30807" spans="1:100">
      <c r="A30807" s="374"/>
      <c r="C30807" s="374"/>
      <c r="CV30807" s="376"/>
    </row>
    <row r="30808" spans="1:100">
      <c r="A30808" s="374"/>
      <c r="C30808" s="374"/>
      <c r="CV30808" s="376"/>
    </row>
    <row r="30809" spans="1:100">
      <c r="A30809" s="374"/>
      <c r="C30809" s="374"/>
      <c r="CV30809" s="376"/>
    </row>
    <row r="30810" spans="1:100">
      <c r="A30810" s="374"/>
      <c r="C30810" s="374"/>
      <c r="CV30810" s="376"/>
    </row>
    <row r="30811" spans="1:100">
      <c r="A30811" s="374"/>
      <c r="C30811" s="374"/>
      <c r="CV30811" s="376"/>
    </row>
    <row r="30812" spans="1:100">
      <c r="A30812" s="374"/>
      <c r="C30812" s="374"/>
      <c r="CV30812" s="376"/>
    </row>
    <row r="30813" spans="1:100">
      <c r="A30813" s="374"/>
      <c r="C30813" s="374"/>
      <c r="CV30813" s="376"/>
    </row>
    <row r="30814" spans="1:100">
      <c r="A30814" s="374"/>
      <c r="C30814" s="374"/>
      <c r="CV30814" s="376"/>
    </row>
    <row r="30815" spans="1:100">
      <c r="A30815" s="374"/>
      <c r="C30815" s="374"/>
      <c r="CV30815" s="376"/>
    </row>
    <row r="30816" spans="1:100">
      <c r="A30816" s="374"/>
      <c r="C30816" s="374"/>
      <c r="CV30816" s="376"/>
    </row>
    <row r="30817" spans="1:100">
      <c r="A30817" s="374"/>
      <c r="C30817" s="374"/>
      <c r="CV30817" s="376"/>
    </row>
    <row r="30818" spans="1:100">
      <c r="A30818" s="374"/>
      <c r="C30818" s="374"/>
      <c r="CV30818" s="376"/>
    </row>
    <row r="30819" spans="1:100">
      <c r="A30819" s="374"/>
      <c r="C30819" s="374"/>
      <c r="CV30819" s="376"/>
    </row>
    <row r="30820" spans="1:100">
      <c r="A30820" s="374"/>
      <c r="C30820" s="374"/>
      <c r="CV30820" s="376"/>
    </row>
    <row r="30821" spans="1:100">
      <c r="A30821" s="374"/>
      <c r="C30821" s="374"/>
      <c r="CV30821" s="376"/>
    </row>
    <row r="30822" spans="1:100">
      <c r="A30822" s="374"/>
      <c r="C30822" s="374"/>
      <c r="CV30822" s="376"/>
    </row>
    <row r="30823" spans="1:100">
      <c r="A30823" s="374"/>
      <c r="C30823" s="374"/>
      <c r="CV30823" s="376"/>
    </row>
    <row r="30824" spans="1:100">
      <c r="A30824" s="374"/>
      <c r="C30824" s="374"/>
      <c r="CV30824" s="376"/>
    </row>
    <row r="30825" spans="1:100">
      <c r="A30825" s="374"/>
      <c r="C30825" s="374"/>
      <c r="CV30825" s="376"/>
    </row>
    <row r="30826" spans="1:100">
      <c r="A30826" s="374"/>
      <c r="C30826" s="374"/>
      <c r="CV30826" s="376"/>
    </row>
    <row r="30827" spans="1:100">
      <c r="A30827" s="374"/>
      <c r="C30827" s="374"/>
      <c r="CV30827" s="376"/>
    </row>
    <row r="30828" spans="1:100">
      <c r="A30828" s="374"/>
      <c r="C30828" s="374"/>
      <c r="CV30828" s="376"/>
    </row>
    <row r="30829" spans="1:100">
      <c r="A30829" s="374"/>
      <c r="C30829" s="374"/>
      <c r="CV30829" s="376"/>
    </row>
    <row r="30830" spans="1:100">
      <c r="A30830" s="374"/>
      <c r="C30830" s="374"/>
      <c r="CV30830" s="376"/>
    </row>
    <row r="30831" spans="1:100">
      <c r="A30831" s="374"/>
      <c r="C30831" s="374"/>
      <c r="CV30831" s="376"/>
    </row>
    <row r="30832" spans="1:100">
      <c r="A30832" s="374"/>
      <c r="C30832" s="374"/>
      <c r="CV30832" s="376"/>
    </row>
    <row r="30833" spans="1:100">
      <c r="A30833" s="374"/>
      <c r="C30833" s="374"/>
      <c r="CV30833" s="376"/>
    </row>
    <row r="30834" spans="1:100">
      <c r="A30834" s="374"/>
      <c r="C30834" s="374"/>
      <c r="CV30834" s="376"/>
    </row>
    <row r="30835" spans="1:100">
      <c r="A30835" s="374"/>
      <c r="C30835" s="374"/>
      <c r="CV30835" s="376"/>
    </row>
    <row r="30836" spans="1:100">
      <c r="A30836" s="374"/>
      <c r="C30836" s="374"/>
      <c r="CV30836" s="376"/>
    </row>
    <row r="30837" spans="1:100">
      <c r="A30837" s="374"/>
      <c r="C30837" s="374"/>
      <c r="CV30837" s="376"/>
    </row>
    <row r="30838" spans="1:100">
      <c r="A30838" s="374"/>
      <c r="C30838" s="374"/>
      <c r="CV30838" s="376"/>
    </row>
    <row r="30839" spans="1:100">
      <c r="A30839" s="374"/>
      <c r="C30839" s="374"/>
      <c r="CV30839" s="376"/>
    </row>
    <row r="30840" spans="1:100">
      <c r="A30840" s="374"/>
      <c r="C30840" s="374"/>
      <c r="CV30840" s="376"/>
    </row>
    <row r="30841" spans="1:100">
      <c r="A30841" s="374"/>
      <c r="C30841" s="374"/>
      <c r="CV30841" s="376"/>
    </row>
    <row r="30842" spans="1:100">
      <c r="A30842" s="374"/>
      <c r="C30842" s="374"/>
      <c r="CV30842" s="376"/>
    </row>
    <row r="30843" spans="1:100">
      <c r="A30843" s="374"/>
      <c r="C30843" s="374"/>
      <c r="CV30843" s="376"/>
    </row>
    <row r="30844" spans="1:100">
      <c r="A30844" s="374"/>
      <c r="C30844" s="374"/>
      <c r="CV30844" s="376"/>
    </row>
    <row r="30845" spans="1:100">
      <c r="A30845" s="374"/>
      <c r="C30845" s="374"/>
      <c r="CV30845" s="376"/>
    </row>
    <row r="30846" spans="1:100">
      <c r="A30846" s="374"/>
      <c r="C30846" s="374"/>
      <c r="CV30846" s="376"/>
    </row>
    <row r="30847" spans="1:100">
      <c r="A30847" s="374"/>
      <c r="C30847" s="374"/>
      <c r="CV30847" s="376"/>
    </row>
    <row r="30848" spans="1:100">
      <c r="A30848" s="374"/>
      <c r="C30848" s="374"/>
      <c r="CV30848" s="376"/>
    </row>
    <row r="30849" spans="1:100">
      <c r="A30849" s="374"/>
      <c r="C30849" s="374"/>
      <c r="CV30849" s="376"/>
    </row>
    <row r="30850" spans="1:100">
      <c r="A30850" s="374"/>
      <c r="C30850" s="374"/>
      <c r="CV30850" s="376"/>
    </row>
    <row r="30851" spans="1:100">
      <c r="A30851" s="374"/>
      <c r="C30851" s="374"/>
      <c r="CV30851" s="376"/>
    </row>
    <row r="30852" spans="1:100">
      <c r="A30852" s="374"/>
      <c r="C30852" s="374"/>
      <c r="CV30852" s="376"/>
    </row>
    <row r="30853" spans="1:100">
      <c r="A30853" s="374"/>
      <c r="C30853" s="374"/>
      <c r="CV30853" s="376"/>
    </row>
    <row r="30854" spans="1:100">
      <c r="A30854" s="374"/>
      <c r="C30854" s="374"/>
      <c r="CV30854" s="376"/>
    </row>
    <row r="30855" spans="1:100">
      <c r="A30855" s="374"/>
      <c r="C30855" s="374"/>
      <c r="CV30855" s="376"/>
    </row>
    <row r="30856" spans="1:100">
      <c r="A30856" s="374"/>
      <c r="C30856" s="374"/>
      <c r="CV30856" s="376"/>
    </row>
    <row r="30857" spans="1:100">
      <c r="A30857" s="374"/>
      <c r="C30857" s="374"/>
      <c r="CV30857" s="376"/>
    </row>
    <row r="30858" spans="1:100">
      <c r="A30858" s="374"/>
      <c r="C30858" s="374"/>
      <c r="CV30858" s="376"/>
    </row>
    <row r="30859" spans="1:100">
      <c r="A30859" s="374"/>
      <c r="C30859" s="374"/>
      <c r="CV30859" s="376"/>
    </row>
    <row r="30860" spans="1:100">
      <c r="A30860" s="374"/>
      <c r="C30860" s="374"/>
      <c r="CV30860" s="376"/>
    </row>
    <row r="30861" spans="1:100">
      <c r="A30861" s="374"/>
      <c r="C30861" s="374"/>
      <c r="CV30861" s="376"/>
    </row>
    <row r="30862" spans="1:100">
      <c r="A30862" s="374"/>
      <c r="C30862" s="374"/>
      <c r="CV30862" s="376"/>
    </row>
    <row r="30863" spans="1:100">
      <c r="A30863" s="374"/>
      <c r="C30863" s="374"/>
      <c r="CV30863" s="376"/>
    </row>
    <row r="30864" spans="1:100">
      <c r="A30864" s="374"/>
      <c r="C30864" s="374"/>
      <c r="CV30864" s="376"/>
    </row>
    <row r="30865" spans="1:100">
      <c r="A30865" s="374"/>
      <c r="C30865" s="374"/>
      <c r="CV30865" s="376"/>
    </row>
    <row r="30866" spans="1:100">
      <c r="A30866" s="374"/>
      <c r="C30866" s="374"/>
      <c r="CV30866" s="376"/>
    </row>
    <row r="30867" spans="1:100">
      <c r="A30867" s="374"/>
      <c r="C30867" s="374"/>
      <c r="CV30867" s="376"/>
    </row>
    <row r="30868" spans="1:100">
      <c r="A30868" s="374"/>
      <c r="C30868" s="374"/>
      <c r="CV30868" s="376"/>
    </row>
    <row r="30869" spans="1:100">
      <c r="A30869" s="374"/>
      <c r="C30869" s="374"/>
      <c r="CV30869" s="376"/>
    </row>
    <row r="30870" spans="1:100">
      <c r="A30870" s="374"/>
      <c r="C30870" s="374"/>
      <c r="CV30870" s="376"/>
    </row>
    <row r="30871" spans="1:100">
      <c r="A30871" s="374"/>
      <c r="C30871" s="374"/>
      <c r="CV30871" s="376"/>
    </row>
    <row r="30872" spans="1:100">
      <c r="A30872" s="374"/>
      <c r="C30872" s="374"/>
      <c r="CV30872" s="376"/>
    </row>
    <row r="30873" spans="1:100">
      <c r="A30873" s="374"/>
      <c r="C30873" s="374"/>
      <c r="CV30873" s="376"/>
    </row>
    <row r="30874" spans="1:100">
      <c r="A30874" s="374"/>
      <c r="C30874" s="374"/>
      <c r="CV30874" s="376"/>
    </row>
    <row r="30875" spans="1:100">
      <c r="A30875" s="374"/>
      <c r="C30875" s="374"/>
      <c r="CV30875" s="376"/>
    </row>
    <row r="30876" spans="1:100">
      <c r="A30876" s="374"/>
      <c r="C30876" s="374"/>
      <c r="CV30876" s="376"/>
    </row>
    <row r="30877" spans="1:100">
      <c r="A30877" s="374"/>
      <c r="C30877" s="374"/>
      <c r="CV30877" s="376"/>
    </row>
    <row r="30878" spans="1:100">
      <c r="A30878" s="374"/>
      <c r="C30878" s="374"/>
      <c r="CV30878" s="376"/>
    </row>
    <row r="30879" spans="1:100">
      <c r="A30879" s="374"/>
      <c r="C30879" s="374"/>
      <c r="CV30879" s="376"/>
    </row>
    <row r="30880" spans="1:100">
      <c r="A30880" s="374"/>
      <c r="C30880" s="374"/>
      <c r="CV30880" s="376"/>
    </row>
    <row r="30881" spans="1:100">
      <c r="A30881" s="374"/>
      <c r="C30881" s="374"/>
      <c r="CV30881" s="376"/>
    </row>
    <row r="30882" spans="1:100">
      <c r="A30882" s="374"/>
      <c r="C30882" s="374"/>
      <c r="CV30882" s="376"/>
    </row>
    <row r="30883" spans="1:100">
      <c r="A30883" s="374"/>
      <c r="C30883" s="374"/>
      <c r="CV30883" s="376"/>
    </row>
    <row r="30884" spans="1:100">
      <c r="A30884" s="374"/>
      <c r="C30884" s="374"/>
      <c r="CV30884" s="376"/>
    </row>
    <row r="30885" spans="1:100">
      <c r="A30885" s="374"/>
      <c r="C30885" s="374"/>
      <c r="CV30885" s="376"/>
    </row>
    <row r="30886" spans="1:100">
      <c r="A30886" s="374"/>
      <c r="C30886" s="374"/>
      <c r="CV30886" s="376"/>
    </row>
    <row r="30887" spans="1:100">
      <c r="A30887" s="374"/>
      <c r="C30887" s="374"/>
      <c r="CV30887" s="376"/>
    </row>
    <row r="30888" spans="1:100">
      <c r="A30888" s="374"/>
      <c r="C30888" s="374"/>
      <c r="CV30888" s="376"/>
    </row>
    <row r="30889" spans="1:100">
      <c r="A30889" s="374"/>
      <c r="C30889" s="374"/>
      <c r="CV30889" s="376"/>
    </row>
    <row r="30890" spans="1:100">
      <c r="A30890" s="374"/>
      <c r="C30890" s="374"/>
      <c r="CV30890" s="376"/>
    </row>
    <row r="30891" spans="1:100">
      <c r="A30891" s="374"/>
      <c r="C30891" s="374"/>
      <c r="CV30891" s="376"/>
    </row>
    <row r="30892" spans="1:100">
      <c r="A30892" s="374"/>
      <c r="C30892" s="374"/>
      <c r="CV30892" s="376"/>
    </row>
    <row r="30893" spans="1:100">
      <c r="A30893" s="374"/>
      <c r="C30893" s="374"/>
      <c r="CV30893" s="376"/>
    </row>
    <row r="30894" spans="1:100">
      <c r="A30894" s="374"/>
      <c r="C30894" s="374"/>
      <c r="CV30894" s="376"/>
    </row>
    <row r="30895" spans="1:100">
      <c r="A30895" s="374"/>
      <c r="C30895" s="374"/>
      <c r="CV30895" s="376"/>
    </row>
    <row r="30896" spans="1:100">
      <c r="A30896" s="374"/>
      <c r="C30896" s="374"/>
      <c r="CV30896" s="376"/>
    </row>
    <row r="30897" spans="1:100">
      <c r="A30897" s="374"/>
      <c r="C30897" s="374"/>
      <c r="CV30897" s="376"/>
    </row>
    <row r="30898" spans="1:100">
      <c r="A30898" s="374"/>
      <c r="C30898" s="374"/>
      <c r="CV30898" s="376"/>
    </row>
    <row r="30899" spans="1:100">
      <c r="A30899" s="374"/>
      <c r="C30899" s="374"/>
      <c r="CV30899" s="376"/>
    </row>
    <row r="30900" spans="1:100">
      <c r="A30900" s="374"/>
      <c r="C30900" s="374"/>
      <c r="CV30900" s="376"/>
    </row>
    <row r="30901" spans="1:100">
      <c r="A30901" s="374"/>
      <c r="C30901" s="374"/>
      <c r="CV30901" s="376"/>
    </row>
    <row r="30902" spans="1:100">
      <c r="A30902" s="374"/>
      <c r="C30902" s="374"/>
      <c r="CV30902" s="376"/>
    </row>
    <row r="30903" spans="1:100">
      <c r="A30903" s="374"/>
      <c r="C30903" s="374"/>
      <c r="CV30903" s="376"/>
    </row>
    <row r="30904" spans="1:100">
      <c r="A30904" s="374"/>
      <c r="C30904" s="374"/>
      <c r="CV30904" s="376"/>
    </row>
    <row r="30905" spans="1:100">
      <c r="A30905" s="374"/>
      <c r="C30905" s="374"/>
      <c r="CV30905" s="376"/>
    </row>
    <row r="30906" spans="1:100">
      <c r="A30906" s="374"/>
      <c r="C30906" s="374"/>
      <c r="CV30906" s="376"/>
    </row>
    <row r="30907" spans="1:100">
      <c r="A30907" s="374"/>
      <c r="C30907" s="374"/>
      <c r="CV30907" s="376"/>
    </row>
    <row r="30908" spans="1:100">
      <c r="A30908" s="374"/>
      <c r="C30908" s="374"/>
      <c r="CV30908" s="376"/>
    </row>
    <row r="30909" spans="1:100">
      <c r="A30909" s="374"/>
      <c r="C30909" s="374"/>
      <c r="CV30909" s="376"/>
    </row>
    <row r="30910" spans="1:100">
      <c r="A30910" s="374"/>
      <c r="C30910" s="374"/>
      <c r="CV30910" s="376"/>
    </row>
    <row r="30911" spans="1:100">
      <c r="A30911" s="374"/>
      <c r="C30911" s="374"/>
      <c r="CV30911" s="376"/>
    </row>
    <row r="30912" spans="1:100">
      <c r="A30912" s="374"/>
      <c r="C30912" s="374"/>
      <c r="CV30912" s="376"/>
    </row>
    <row r="30913" spans="1:100">
      <c r="A30913" s="374"/>
      <c r="C30913" s="374"/>
      <c r="CV30913" s="376"/>
    </row>
    <row r="30914" spans="1:100">
      <c r="A30914" s="374"/>
      <c r="C30914" s="374"/>
      <c r="CV30914" s="376"/>
    </row>
    <row r="30915" spans="1:100">
      <c r="A30915" s="374"/>
      <c r="C30915" s="374"/>
      <c r="CV30915" s="376"/>
    </row>
    <row r="30916" spans="1:100">
      <c r="A30916" s="374"/>
      <c r="C30916" s="374"/>
      <c r="CV30916" s="376"/>
    </row>
    <row r="30917" spans="1:100">
      <c r="A30917" s="374"/>
      <c r="C30917" s="374"/>
      <c r="CV30917" s="376"/>
    </row>
    <row r="30918" spans="1:100">
      <c r="A30918" s="374"/>
      <c r="C30918" s="374"/>
      <c r="CV30918" s="376"/>
    </row>
    <row r="30919" spans="1:100">
      <c r="A30919" s="374"/>
      <c r="C30919" s="374"/>
      <c r="CV30919" s="376"/>
    </row>
    <row r="30920" spans="1:100">
      <c r="A30920" s="374"/>
      <c r="C30920" s="374"/>
      <c r="CV30920" s="376"/>
    </row>
    <row r="30921" spans="1:100">
      <c r="A30921" s="374"/>
      <c r="C30921" s="374"/>
      <c r="CV30921" s="376"/>
    </row>
    <row r="30922" spans="1:100">
      <c r="A30922" s="374"/>
      <c r="C30922" s="374"/>
      <c r="CV30922" s="376"/>
    </row>
    <row r="30923" spans="1:100">
      <c r="A30923" s="374"/>
      <c r="C30923" s="374"/>
      <c r="CV30923" s="376"/>
    </row>
    <row r="30924" spans="1:100">
      <c r="A30924" s="374"/>
      <c r="C30924" s="374"/>
      <c r="CV30924" s="376"/>
    </row>
    <row r="30925" spans="1:100">
      <c r="A30925" s="374"/>
      <c r="C30925" s="374"/>
      <c r="CV30925" s="376"/>
    </row>
    <row r="30926" spans="1:100">
      <c r="A30926" s="374"/>
      <c r="C30926" s="374"/>
      <c r="CV30926" s="376"/>
    </row>
    <row r="30927" spans="1:100">
      <c r="A30927" s="374"/>
      <c r="C30927" s="374"/>
      <c r="CV30927" s="376"/>
    </row>
    <row r="30928" spans="1:100">
      <c r="A30928" s="374"/>
      <c r="C30928" s="374"/>
      <c r="CV30928" s="376"/>
    </row>
    <row r="30929" spans="1:100">
      <c r="A30929" s="374"/>
      <c r="C30929" s="374"/>
      <c r="CV30929" s="376"/>
    </row>
    <row r="30930" spans="1:100">
      <c r="A30930" s="374"/>
      <c r="C30930" s="374"/>
      <c r="CV30930" s="376"/>
    </row>
    <row r="30931" spans="1:100">
      <c r="A30931" s="374"/>
      <c r="C30931" s="374"/>
      <c r="CV30931" s="376"/>
    </row>
    <row r="30932" spans="1:100">
      <c r="A30932" s="374"/>
      <c r="C30932" s="374"/>
      <c r="CV30932" s="376"/>
    </row>
    <row r="30933" spans="1:100">
      <c r="A30933" s="374"/>
      <c r="C30933" s="374"/>
      <c r="CV30933" s="376"/>
    </row>
    <row r="30934" spans="1:100">
      <c r="A30934" s="374"/>
      <c r="C30934" s="374"/>
      <c r="CV30934" s="376"/>
    </row>
    <row r="30935" spans="1:100">
      <c r="A30935" s="374"/>
      <c r="C30935" s="374"/>
      <c r="CV30935" s="376"/>
    </row>
    <row r="30936" spans="1:100">
      <c r="A30936" s="374"/>
      <c r="C30936" s="374"/>
      <c r="CV30936" s="376"/>
    </row>
    <row r="30937" spans="1:100">
      <c r="A30937" s="374"/>
      <c r="C30937" s="374"/>
      <c r="CV30937" s="376"/>
    </row>
    <row r="30938" spans="1:100">
      <c r="A30938" s="374"/>
      <c r="C30938" s="374"/>
      <c r="CV30938" s="376"/>
    </row>
    <row r="30939" spans="1:100">
      <c r="A30939" s="374"/>
      <c r="C30939" s="374"/>
      <c r="CV30939" s="376"/>
    </row>
    <row r="30940" spans="1:100">
      <c r="A30940" s="374"/>
      <c r="C30940" s="374"/>
      <c r="CV30940" s="376"/>
    </row>
    <row r="30941" spans="1:100">
      <c r="A30941" s="374"/>
      <c r="C30941" s="374"/>
      <c r="CV30941" s="376"/>
    </row>
    <row r="30942" spans="1:100">
      <c r="A30942" s="374"/>
      <c r="C30942" s="374"/>
      <c r="CV30942" s="376"/>
    </row>
    <row r="30943" spans="1:100">
      <c r="A30943" s="374"/>
      <c r="C30943" s="374"/>
      <c r="CV30943" s="376"/>
    </row>
    <row r="30944" spans="1:100">
      <c r="A30944" s="374"/>
      <c r="C30944" s="374"/>
      <c r="CV30944" s="376"/>
    </row>
    <row r="30945" spans="1:100">
      <c r="A30945" s="374"/>
      <c r="C30945" s="374"/>
      <c r="CV30945" s="376"/>
    </row>
    <row r="30946" spans="1:100">
      <c r="A30946" s="374"/>
      <c r="C30946" s="374"/>
      <c r="CV30946" s="376"/>
    </row>
    <row r="30947" spans="1:100">
      <c r="A30947" s="374"/>
      <c r="C30947" s="374"/>
      <c r="CV30947" s="376"/>
    </row>
    <row r="30948" spans="1:100">
      <c r="A30948" s="374"/>
      <c r="C30948" s="374"/>
      <c r="CV30948" s="376"/>
    </row>
    <row r="30949" spans="1:100">
      <c r="A30949" s="374"/>
      <c r="C30949" s="374"/>
      <c r="CV30949" s="376"/>
    </row>
    <row r="30950" spans="1:100">
      <c r="A30950" s="374"/>
      <c r="C30950" s="374"/>
      <c r="CV30950" s="376"/>
    </row>
    <row r="30951" spans="1:100">
      <c r="A30951" s="374"/>
      <c r="C30951" s="374"/>
      <c r="CV30951" s="376"/>
    </row>
    <row r="30952" spans="1:100">
      <c r="A30952" s="374"/>
      <c r="C30952" s="374"/>
      <c r="CV30952" s="376"/>
    </row>
    <row r="30953" spans="1:100">
      <c r="A30953" s="374"/>
      <c r="C30953" s="374"/>
      <c r="CV30953" s="376"/>
    </row>
    <row r="30954" spans="1:100">
      <c r="A30954" s="374"/>
      <c r="C30954" s="374"/>
      <c r="CV30954" s="376"/>
    </row>
    <row r="30955" spans="1:100">
      <c r="A30955" s="374"/>
      <c r="C30955" s="374"/>
      <c r="CV30955" s="376"/>
    </row>
    <row r="30956" spans="1:100">
      <c r="A30956" s="374"/>
      <c r="C30956" s="374"/>
      <c r="CV30956" s="376"/>
    </row>
    <row r="30957" spans="1:100">
      <c r="A30957" s="374"/>
      <c r="C30957" s="374"/>
      <c r="CV30957" s="376"/>
    </row>
    <row r="30958" spans="1:100">
      <c r="A30958" s="374"/>
      <c r="C30958" s="374"/>
      <c r="CV30958" s="376"/>
    </row>
    <row r="30959" spans="1:100">
      <c r="A30959" s="374"/>
      <c r="C30959" s="374"/>
      <c r="CV30959" s="376"/>
    </row>
    <row r="30960" spans="1:100">
      <c r="A30960" s="374"/>
      <c r="C30960" s="374"/>
      <c r="CV30960" s="376"/>
    </row>
    <row r="30961" spans="1:100">
      <c r="A30961" s="374"/>
      <c r="C30961" s="374"/>
      <c r="CV30961" s="376"/>
    </row>
    <row r="30962" spans="1:100">
      <c r="A30962" s="374"/>
      <c r="C30962" s="374"/>
      <c r="CV30962" s="376"/>
    </row>
    <row r="30963" spans="1:100">
      <c r="A30963" s="374"/>
      <c r="C30963" s="374"/>
      <c r="CV30963" s="376"/>
    </row>
    <row r="30964" spans="1:100">
      <c r="A30964" s="374"/>
      <c r="C30964" s="374"/>
      <c r="CV30964" s="376"/>
    </row>
    <row r="30965" spans="1:100">
      <c r="A30965" s="374"/>
      <c r="C30965" s="374"/>
      <c r="CV30965" s="376"/>
    </row>
    <row r="30966" spans="1:100">
      <c r="A30966" s="374"/>
      <c r="C30966" s="374"/>
      <c r="CV30966" s="376"/>
    </row>
    <row r="30967" spans="1:100">
      <c r="A30967" s="374"/>
      <c r="C30967" s="374"/>
      <c r="CV30967" s="376"/>
    </row>
    <row r="30968" spans="1:100">
      <c r="A30968" s="374"/>
      <c r="C30968" s="374"/>
      <c r="CV30968" s="376"/>
    </row>
    <row r="30969" spans="1:100">
      <c r="A30969" s="374"/>
      <c r="C30969" s="374"/>
      <c r="CV30969" s="376"/>
    </row>
    <row r="30970" spans="1:100">
      <c r="A30970" s="374"/>
      <c r="C30970" s="374"/>
      <c r="CV30970" s="376"/>
    </row>
    <row r="30971" spans="1:100">
      <c r="A30971" s="374"/>
      <c r="C30971" s="374"/>
      <c r="CV30971" s="376"/>
    </row>
    <row r="30972" spans="1:100">
      <c r="A30972" s="374"/>
      <c r="C30972" s="374"/>
      <c r="CV30972" s="376"/>
    </row>
    <row r="30973" spans="1:100">
      <c r="A30973" s="374"/>
      <c r="C30973" s="374"/>
      <c r="CV30973" s="376"/>
    </row>
    <row r="30974" spans="1:100">
      <c r="A30974" s="374"/>
      <c r="C30974" s="374"/>
      <c r="CV30974" s="376"/>
    </row>
    <row r="30975" spans="1:100">
      <c r="A30975" s="374"/>
      <c r="C30975" s="374"/>
      <c r="CV30975" s="376"/>
    </row>
    <row r="30976" spans="1:100">
      <c r="A30976" s="374"/>
      <c r="C30976" s="374"/>
      <c r="CV30976" s="376"/>
    </row>
    <row r="30977" spans="1:100">
      <c r="A30977" s="374"/>
      <c r="C30977" s="374"/>
      <c r="CV30977" s="376"/>
    </row>
    <row r="30978" spans="1:100">
      <c r="A30978" s="374"/>
      <c r="C30978" s="374"/>
      <c r="CV30978" s="376"/>
    </row>
    <row r="30979" spans="1:100">
      <c r="A30979" s="374"/>
      <c r="C30979" s="374"/>
      <c r="CV30979" s="376"/>
    </row>
    <row r="30980" spans="1:100">
      <c r="A30980" s="374"/>
      <c r="C30980" s="374"/>
      <c r="CV30980" s="376"/>
    </row>
    <row r="30981" spans="1:100">
      <c r="A30981" s="374"/>
      <c r="C30981" s="374"/>
      <c r="CV30981" s="376"/>
    </row>
    <row r="30982" spans="1:100">
      <c r="A30982" s="374"/>
      <c r="C30982" s="374"/>
      <c r="CV30982" s="376"/>
    </row>
    <row r="30983" spans="1:100">
      <c r="A30983" s="374"/>
      <c r="C30983" s="374"/>
      <c r="CV30983" s="376"/>
    </row>
    <row r="30984" spans="1:100">
      <c r="A30984" s="374"/>
      <c r="C30984" s="374"/>
      <c r="CV30984" s="376"/>
    </row>
    <row r="30985" spans="1:100">
      <c r="A30985" s="374"/>
      <c r="C30985" s="374"/>
      <c r="CV30985" s="376"/>
    </row>
    <row r="30986" spans="1:100">
      <c r="A30986" s="374"/>
      <c r="C30986" s="374"/>
      <c r="CV30986" s="376"/>
    </row>
    <row r="30987" spans="1:100">
      <c r="A30987" s="374"/>
      <c r="C30987" s="374"/>
      <c r="CV30987" s="376"/>
    </row>
    <row r="30988" spans="1:100">
      <c r="A30988" s="374"/>
      <c r="C30988" s="374"/>
      <c r="CV30988" s="376"/>
    </row>
    <row r="30989" spans="1:100">
      <c r="A30989" s="374"/>
      <c r="C30989" s="374"/>
      <c r="CV30989" s="376"/>
    </row>
    <row r="30990" spans="1:100">
      <c r="A30990" s="374"/>
      <c r="C30990" s="374"/>
      <c r="CV30990" s="376"/>
    </row>
    <row r="30991" spans="1:100">
      <c r="A30991" s="374"/>
      <c r="C30991" s="374"/>
      <c r="CV30991" s="376"/>
    </row>
    <row r="30992" spans="1:100">
      <c r="A30992" s="374"/>
      <c r="C30992" s="374"/>
      <c r="CV30992" s="376"/>
    </row>
    <row r="30993" spans="1:100">
      <c r="A30993" s="374"/>
      <c r="C30993" s="374"/>
      <c r="CV30993" s="376"/>
    </row>
    <row r="30994" spans="1:100">
      <c r="A30994" s="374"/>
      <c r="C30994" s="374"/>
      <c r="CV30994" s="376"/>
    </row>
    <row r="30995" spans="1:100">
      <c r="A30995" s="374"/>
      <c r="C30995" s="374"/>
      <c r="CV30995" s="376"/>
    </row>
    <row r="30996" spans="1:100">
      <c r="A30996" s="374"/>
      <c r="C30996" s="374"/>
      <c r="CV30996" s="376"/>
    </row>
    <row r="30997" spans="1:100">
      <c r="A30997" s="374"/>
      <c r="C30997" s="374"/>
      <c r="CV30997" s="376"/>
    </row>
    <row r="30998" spans="1:100">
      <c r="A30998" s="374"/>
      <c r="C30998" s="374"/>
      <c r="CV30998" s="376"/>
    </row>
    <row r="30999" spans="1:100">
      <c r="A30999" s="374"/>
      <c r="C30999" s="374"/>
      <c r="CV30999" s="376"/>
    </row>
    <row r="31000" spans="1:100">
      <c r="A31000" s="374"/>
      <c r="C31000" s="374"/>
      <c r="CV31000" s="376"/>
    </row>
    <row r="31001" spans="1:100">
      <c r="A31001" s="374"/>
      <c r="C31001" s="374"/>
      <c r="CV31001" s="376"/>
    </row>
    <row r="31002" spans="1:100">
      <c r="A31002" s="374"/>
      <c r="C31002" s="374"/>
      <c r="CV31002" s="376"/>
    </row>
    <row r="31003" spans="1:100">
      <c r="A31003" s="374"/>
      <c r="C31003" s="374"/>
      <c r="CV31003" s="376"/>
    </row>
    <row r="31004" spans="1:100">
      <c r="A31004" s="374"/>
      <c r="C31004" s="374"/>
      <c r="CV31004" s="376"/>
    </row>
    <row r="31005" spans="1:100">
      <c r="A31005" s="374"/>
      <c r="C31005" s="374"/>
      <c r="CV31005" s="376"/>
    </row>
    <row r="31006" spans="1:100">
      <c r="A31006" s="374"/>
      <c r="C31006" s="374"/>
      <c r="CV31006" s="376"/>
    </row>
    <row r="31007" spans="1:100">
      <c r="A31007" s="374"/>
      <c r="C31007" s="374"/>
      <c r="CV31007" s="376"/>
    </row>
    <row r="31008" spans="1:100">
      <c r="A31008" s="374"/>
      <c r="C31008" s="374"/>
      <c r="CV31008" s="376"/>
    </row>
    <row r="31009" spans="1:100">
      <c r="A31009" s="374"/>
      <c r="C31009" s="374"/>
      <c r="CV31009" s="376"/>
    </row>
    <row r="31010" spans="1:100">
      <c r="A31010" s="374"/>
      <c r="C31010" s="374"/>
      <c r="CV31010" s="376"/>
    </row>
    <row r="31011" spans="1:100">
      <c r="A31011" s="374"/>
      <c r="C31011" s="374"/>
      <c r="CV31011" s="376"/>
    </row>
    <row r="31012" spans="1:100">
      <c r="A31012" s="374"/>
      <c r="C31012" s="374"/>
      <c r="CV31012" s="376"/>
    </row>
    <row r="31013" spans="1:100">
      <c r="A31013" s="374"/>
      <c r="C31013" s="374"/>
      <c r="CV31013" s="376"/>
    </row>
    <row r="31014" spans="1:100">
      <c r="A31014" s="374"/>
      <c r="C31014" s="374"/>
      <c r="CV31014" s="376"/>
    </row>
    <row r="31015" spans="1:100">
      <c r="A31015" s="374"/>
      <c r="C31015" s="374"/>
      <c r="CV31015" s="376"/>
    </row>
    <row r="31016" spans="1:100">
      <c r="A31016" s="374"/>
      <c r="C31016" s="374"/>
      <c r="CV31016" s="376"/>
    </row>
    <row r="31017" spans="1:100">
      <c r="A31017" s="374"/>
      <c r="C31017" s="374"/>
      <c r="CV31017" s="376"/>
    </row>
    <row r="31018" spans="1:100">
      <c r="A31018" s="374"/>
      <c r="C31018" s="374"/>
      <c r="CV31018" s="376"/>
    </row>
    <row r="31019" spans="1:100">
      <c r="A31019" s="374"/>
      <c r="C31019" s="374"/>
      <c r="CV31019" s="376"/>
    </row>
    <row r="31020" spans="1:100">
      <c r="A31020" s="374"/>
      <c r="C31020" s="374"/>
      <c r="CV31020" s="376"/>
    </row>
    <row r="31021" spans="1:100">
      <c r="A31021" s="374"/>
      <c r="C31021" s="374"/>
      <c r="CV31021" s="376"/>
    </row>
    <row r="31022" spans="1:100">
      <c r="A31022" s="374"/>
      <c r="C31022" s="374"/>
      <c r="CV31022" s="376"/>
    </row>
    <row r="31023" spans="1:100">
      <c r="A31023" s="374"/>
      <c r="C31023" s="374"/>
      <c r="CV31023" s="376"/>
    </row>
    <row r="31024" spans="1:100">
      <c r="A31024" s="374"/>
      <c r="C31024" s="374"/>
      <c r="CV31024" s="376"/>
    </row>
    <row r="31025" spans="1:100">
      <c r="A31025" s="374"/>
      <c r="C31025" s="374"/>
      <c r="CV31025" s="376"/>
    </row>
    <row r="31026" spans="1:100">
      <c r="A31026" s="374"/>
      <c r="C31026" s="374"/>
      <c r="CV31026" s="376"/>
    </row>
    <row r="31027" spans="1:100">
      <c r="A31027" s="374"/>
      <c r="C31027" s="374"/>
      <c r="CV31027" s="376"/>
    </row>
    <row r="31028" spans="1:100">
      <c r="A31028" s="374"/>
      <c r="C31028" s="374"/>
      <c r="CV31028" s="376"/>
    </row>
    <row r="31029" spans="1:100">
      <c r="A31029" s="374"/>
      <c r="C31029" s="374"/>
      <c r="CV31029" s="376"/>
    </row>
    <row r="31030" spans="1:100">
      <c r="A31030" s="374"/>
      <c r="C31030" s="374"/>
      <c r="CV31030" s="376"/>
    </row>
    <row r="31031" spans="1:100">
      <c r="A31031" s="374"/>
      <c r="C31031" s="374"/>
      <c r="CV31031" s="376"/>
    </row>
    <row r="31032" spans="1:100">
      <c r="A31032" s="374"/>
      <c r="C31032" s="374"/>
      <c r="CV31032" s="376"/>
    </row>
    <row r="31033" spans="1:100">
      <c r="A31033" s="374"/>
      <c r="C31033" s="374"/>
      <c r="CV31033" s="376"/>
    </row>
    <row r="31034" spans="1:100">
      <c r="A31034" s="374"/>
      <c r="C31034" s="374"/>
      <c r="CV31034" s="376"/>
    </row>
    <row r="31035" spans="1:100">
      <c r="A31035" s="374"/>
      <c r="C31035" s="374"/>
      <c r="CV31035" s="376"/>
    </row>
    <row r="31036" spans="1:100">
      <c r="A31036" s="374"/>
      <c r="C31036" s="374"/>
      <c r="CV31036" s="376"/>
    </row>
    <row r="31037" spans="1:100">
      <c r="A31037" s="374"/>
      <c r="C31037" s="374"/>
      <c r="CV31037" s="376"/>
    </row>
    <row r="31038" spans="1:100">
      <c r="A31038" s="374"/>
      <c r="C31038" s="374"/>
      <c r="CV31038" s="376"/>
    </row>
    <row r="31039" spans="1:100">
      <c r="A31039" s="374"/>
      <c r="C31039" s="374"/>
      <c r="CV31039" s="376"/>
    </row>
    <row r="31040" spans="1:100">
      <c r="A31040" s="374"/>
      <c r="C31040" s="374"/>
      <c r="CV31040" s="376"/>
    </row>
    <row r="31041" spans="1:100">
      <c r="A31041" s="374"/>
      <c r="C31041" s="374"/>
      <c r="CV31041" s="376"/>
    </row>
    <row r="31042" spans="1:100">
      <c r="A31042" s="374"/>
      <c r="C31042" s="374"/>
      <c r="CV31042" s="376"/>
    </row>
    <row r="31043" spans="1:100">
      <c r="A31043" s="374"/>
      <c r="C31043" s="374"/>
      <c r="CV31043" s="376"/>
    </row>
    <row r="31044" spans="1:100">
      <c r="A31044" s="374"/>
      <c r="C31044" s="374"/>
      <c r="CV31044" s="376"/>
    </row>
    <row r="31045" spans="1:100">
      <c r="A31045" s="374"/>
      <c r="C31045" s="374"/>
      <c r="CV31045" s="376"/>
    </row>
    <row r="31046" spans="1:100">
      <c r="A31046" s="374"/>
      <c r="C31046" s="374"/>
      <c r="CV31046" s="376"/>
    </row>
    <row r="31047" spans="1:100">
      <c r="A31047" s="374"/>
      <c r="C31047" s="374"/>
      <c r="CV31047" s="376"/>
    </row>
    <row r="31048" spans="1:100">
      <c r="A31048" s="374"/>
      <c r="C31048" s="374"/>
      <c r="CV31048" s="376"/>
    </row>
    <row r="31049" spans="1:100">
      <c r="A31049" s="374"/>
      <c r="C31049" s="374"/>
      <c r="CV31049" s="376"/>
    </row>
    <row r="31050" spans="1:100">
      <c r="A31050" s="374"/>
      <c r="C31050" s="374"/>
      <c r="CV31050" s="376"/>
    </row>
    <row r="31051" spans="1:100">
      <c r="A31051" s="374"/>
      <c r="C31051" s="374"/>
      <c r="CV31051" s="376"/>
    </row>
    <row r="31052" spans="1:100">
      <c r="A31052" s="374"/>
      <c r="C31052" s="374"/>
      <c r="CV31052" s="376"/>
    </row>
    <row r="31053" spans="1:100">
      <c r="A31053" s="374"/>
      <c r="C31053" s="374"/>
      <c r="CV31053" s="376"/>
    </row>
    <row r="31054" spans="1:100">
      <c r="A31054" s="374"/>
      <c r="C31054" s="374"/>
      <c r="CV31054" s="376"/>
    </row>
    <row r="31055" spans="1:100">
      <c r="A31055" s="374"/>
      <c r="C31055" s="374"/>
      <c r="CV31055" s="376"/>
    </row>
    <row r="31056" spans="1:100">
      <c r="A31056" s="374"/>
      <c r="C31056" s="374"/>
      <c r="CV31056" s="376"/>
    </row>
    <row r="31057" spans="1:100">
      <c r="A31057" s="374"/>
      <c r="C31057" s="374"/>
      <c r="CV31057" s="376"/>
    </row>
    <row r="31058" spans="1:100">
      <c r="A31058" s="374"/>
      <c r="C31058" s="374"/>
      <c r="CV31058" s="376"/>
    </row>
    <row r="31059" spans="1:100">
      <c r="A31059" s="374"/>
      <c r="C31059" s="374"/>
      <c r="CV31059" s="376"/>
    </row>
    <row r="31060" spans="1:100">
      <c r="A31060" s="374"/>
      <c r="C31060" s="374"/>
      <c r="CV31060" s="376"/>
    </row>
    <row r="31061" spans="1:100">
      <c r="A31061" s="374"/>
      <c r="C31061" s="374"/>
      <c r="CV31061" s="376"/>
    </row>
    <row r="31062" spans="1:100">
      <c r="A31062" s="374"/>
      <c r="C31062" s="374"/>
      <c r="CV31062" s="376"/>
    </row>
    <row r="31063" spans="1:100">
      <c r="A31063" s="374"/>
      <c r="C31063" s="374"/>
      <c r="CV31063" s="376"/>
    </row>
    <row r="31064" spans="1:100">
      <c r="A31064" s="374"/>
      <c r="C31064" s="374"/>
      <c r="CV31064" s="376"/>
    </row>
    <row r="31065" spans="1:100">
      <c r="A31065" s="374"/>
      <c r="C31065" s="374"/>
      <c r="CV31065" s="376"/>
    </row>
    <row r="31066" spans="1:100">
      <c r="A31066" s="374"/>
      <c r="C31066" s="374"/>
      <c r="CV31066" s="376"/>
    </row>
    <row r="31067" spans="1:100">
      <c r="A31067" s="374"/>
      <c r="C31067" s="374"/>
      <c r="CV31067" s="376"/>
    </row>
    <row r="31068" spans="1:100">
      <c r="A31068" s="374"/>
      <c r="C31068" s="374"/>
      <c r="CV31068" s="376"/>
    </row>
    <row r="31069" spans="1:100">
      <c r="A31069" s="374"/>
      <c r="C31069" s="374"/>
      <c r="CV31069" s="376"/>
    </row>
    <row r="31070" spans="1:100">
      <c r="A31070" s="374"/>
      <c r="C31070" s="374"/>
      <c r="CV31070" s="376"/>
    </row>
    <row r="31071" spans="1:100">
      <c r="A31071" s="374"/>
      <c r="C31071" s="374"/>
      <c r="CV31071" s="376"/>
    </row>
    <row r="31072" spans="1:100">
      <c r="A31072" s="374"/>
      <c r="C31072" s="374"/>
      <c r="CV31072" s="376"/>
    </row>
    <row r="31073" spans="1:100">
      <c r="A31073" s="374"/>
      <c r="C31073" s="374"/>
      <c r="CV31073" s="376"/>
    </row>
    <row r="31074" spans="1:100">
      <c r="A31074" s="374"/>
      <c r="C31074" s="374"/>
      <c r="CV31074" s="376"/>
    </row>
    <row r="31075" spans="1:100">
      <c r="A31075" s="374"/>
      <c r="C31075" s="374"/>
      <c r="CV31075" s="376"/>
    </row>
    <row r="31076" spans="1:100">
      <c r="A31076" s="374"/>
      <c r="C31076" s="374"/>
      <c r="CV31076" s="376"/>
    </row>
    <row r="31077" spans="1:100">
      <c r="A31077" s="374"/>
      <c r="C31077" s="374"/>
      <c r="CV31077" s="376"/>
    </row>
    <row r="31078" spans="1:100">
      <c r="A31078" s="374"/>
      <c r="C31078" s="374"/>
      <c r="CV31078" s="376"/>
    </row>
    <row r="31079" spans="1:100">
      <c r="A31079" s="374"/>
      <c r="C31079" s="374"/>
      <c r="CV31079" s="376"/>
    </row>
    <row r="31080" spans="1:100">
      <c r="A31080" s="374"/>
      <c r="C31080" s="374"/>
      <c r="CV31080" s="376"/>
    </row>
    <row r="31081" spans="1:100">
      <c r="A31081" s="374"/>
      <c r="C31081" s="374"/>
      <c r="CV31081" s="376"/>
    </row>
    <row r="31082" spans="1:100">
      <c r="A31082" s="374"/>
      <c r="C31082" s="374"/>
      <c r="CV31082" s="376"/>
    </row>
    <row r="31083" spans="1:100">
      <c r="A31083" s="374"/>
      <c r="C31083" s="374"/>
      <c r="CV31083" s="376"/>
    </row>
    <row r="31084" spans="1:100">
      <c r="A31084" s="374"/>
      <c r="C31084" s="374"/>
      <c r="CV31084" s="376"/>
    </row>
    <row r="31085" spans="1:100">
      <c r="A31085" s="374"/>
      <c r="C31085" s="374"/>
      <c r="CV31085" s="376"/>
    </row>
    <row r="31086" spans="1:100">
      <c r="A31086" s="374"/>
      <c r="C31086" s="374"/>
      <c r="CV31086" s="376"/>
    </row>
    <row r="31087" spans="1:100">
      <c r="A31087" s="374"/>
      <c r="C31087" s="374"/>
      <c r="CV31087" s="376"/>
    </row>
    <row r="31088" spans="1:100">
      <c r="A31088" s="374"/>
      <c r="C31088" s="374"/>
      <c r="CV31088" s="376"/>
    </row>
    <row r="31089" spans="1:100">
      <c r="A31089" s="374"/>
      <c r="C31089" s="374"/>
      <c r="CV31089" s="376"/>
    </row>
    <row r="31090" spans="1:100">
      <c r="A31090" s="374"/>
      <c r="C31090" s="374"/>
      <c r="CV31090" s="376"/>
    </row>
    <row r="31091" spans="1:100">
      <c r="A31091" s="374"/>
      <c r="C31091" s="374"/>
      <c r="CV31091" s="376"/>
    </row>
    <row r="31092" spans="1:100">
      <c r="A31092" s="374"/>
      <c r="C31092" s="374"/>
      <c r="CV31092" s="376"/>
    </row>
    <row r="31093" spans="1:100">
      <c r="A31093" s="374"/>
      <c r="C31093" s="374"/>
      <c r="CV31093" s="376"/>
    </row>
    <row r="31094" spans="1:100">
      <c r="A31094" s="374"/>
      <c r="C31094" s="374"/>
      <c r="CV31094" s="376"/>
    </row>
    <row r="31095" spans="1:100">
      <c r="A31095" s="374"/>
      <c r="C31095" s="374"/>
      <c r="CV31095" s="376"/>
    </row>
    <row r="31096" spans="1:100">
      <c r="A31096" s="374"/>
      <c r="C31096" s="374"/>
      <c r="CV31096" s="376"/>
    </row>
    <row r="31097" spans="1:100">
      <c r="A31097" s="374"/>
      <c r="C31097" s="374"/>
      <c r="CV31097" s="376"/>
    </row>
    <row r="31098" spans="1:100">
      <c r="A31098" s="374"/>
      <c r="C31098" s="374"/>
      <c r="CV31098" s="376"/>
    </row>
    <row r="31099" spans="1:100">
      <c r="A31099" s="374"/>
      <c r="C31099" s="374"/>
      <c r="CV31099" s="376"/>
    </row>
    <row r="31100" spans="1:100">
      <c r="A31100" s="374"/>
      <c r="C31100" s="374"/>
      <c r="CV31100" s="376"/>
    </row>
    <row r="31101" spans="1:100">
      <c r="A31101" s="374"/>
      <c r="C31101" s="374"/>
      <c r="CV31101" s="376"/>
    </row>
    <row r="31102" spans="1:100">
      <c r="A31102" s="374"/>
      <c r="C31102" s="374"/>
      <c r="CV31102" s="376"/>
    </row>
    <row r="31103" spans="1:100">
      <c r="A31103" s="374"/>
      <c r="C31103" s="374"/>
      <c r="CV31103" s="376"/>
    </row>
    <row r="31104" spans="1:100">
      <c r="A31104" s="374"/>
      <c r="C31104" s="374"/>
      <c r="CV31104" s="376"/>
    </row>
    <row r="31105" spans="1:100">
      <c r="A31105" s="374"/>
      <c r="C31105" s="374"/>
      <c r="CV31105" s="376"/>
    </row>
    <row r="31106" spans="1:100">
      <c r="A31106" s="374"/>
      <c r="C31106" s="374"/>
      <c r="CV31106" s="376"/>
    </row>
    <row r="31107" spans="1:100">
      <c r="A31107" s="374"/>
      <c r="C31107" s="374"/>
      <c r="CV31107" s="376"/>
    </row>
    <row r="31108" spans="1:100">
      <c r="A31108" s="374"/>
      <c r="C31108" s="374"/>
      <c r="CV31108" s="376"/>
    </row>
    <row r="31109" spans="1:100">
      <c r="A31109" s="374"/>
      <c r="C31109" s="374"/>
      <c r="CV31109" s="376"/>
    </row>
    <row r="31110" spans="1:100">
      <c r="A31110" s="374"/>
      <c r="C31110" s="374"/>
      <c r="CV31110" s="376"/>
    </row>
    <row r="31111" spans="1:100">
      <c r="A31111" s="374"/>
      <c r="C31111" s="374"/>
      <c r="CV31111" s="376"/>
    </row>
    <row r="31112" spans="1:100">
      <c r="A31112" s="374"/>
      <c r="C31112" s="374"/>
      <c r="CV31112" s="376"/>
    </row>
    <row r="31113" spans="1:100">
      <c r="A31113" s="374"/>
      <c r="C31113" s="374"/>
      <c r="CV31113" s="376"/>
    </row>
    <row r="31114" spans="1:100">
      <c r="A31114" s="374"/>
      <c r="C31114" s="374"/>
      <c r="CV31114" s="376"/>
    </row>
    <row r="31115" spans="1:100">
      <c r="A31115" s="374"/>
      <c r="C31115" s="374"/>
      <c r="CV31115" s="376"/>
    </row>
    <row r="31116" spans="1:100">
      <c r="A31116" s="374"/>
      <c r="C31116" s="374"/>
      <c r="CV31116" s="376"/>
    </row>
    <row r="31117" spans="1:100">
      <c r="A31117" s="374"/>
      <c r="C31117" s="374"/>
      <c r="CV31117" s="376"/>
    </row>
    <row r="31118" spans="1:100">
      <c r="A31118" s="374"/>
      <c r="C31118" s="374"/>
      <c r="CV31118" s="376"/>
    </row>
    <row r="31119" spans="1:100">
      <c r="A31119" s="374"/>
      <c r="C31119" s="374"/>
      <c r="CV31119" s="376"/>
    </row>
    <row r="31120" spans="1:100">
      <c r="A31120" s="374"/>
      <c r="C31120" s="374"/>
      <c r="CV31120" s="376"/>
    </row>
    <row r="31121" spans="1:100">
      <c r="A31121" s="374"/>
      <c r="C31121" s="374"/>
      <c r="CV31121" s="376"/>
    </row>
    <row r="31122" spans="1:100">
      <c r="A31122" s="374"/>
      <c r="C31122" s="374"/>
      <c r="CV31122" s="376"/>
    </row>
    <row r="31123" spans="1:100">
      <c r="A31123" s="374"/>
      <c r="C31123" s="374"/>
      <c r="CV31123" s="376"/>
    </row>
    <row r="31124" spans="1:100">
      <c r="A31124" s="374"/>
      <c r="C31124" s="374"/>
      <c r="CV31124" s="376"/>
    </row>
    <row r="31125" spans="1:100">
      <c r="A31125" s="374"/>
      <c r="C31125" s="374"/>
      <c r="CV31125" s="376"/>
    </row>
    <row r="31126" spans="1:100">
      <c r="A31126" s="374"/>
      <c r="C31126" s="374"/>
      <c r="CV31126" s="376"/>
    </row>
    <row r="31127" spans="1:100">
      <c r="A31127" s="374"/>
      <c r="C31127" s="374"/>
      <c r="CV31127" s="376"/>
    </row>
    <row r="31128" spans="1:100">
      <c r="A31128" s="374"/>
      <c r="C31128" s="374"/>
      <c r="CV31128" s="376"/>
    </row>
    <row r="31129" spans="1:100">
      <c r="A31129" s="374"/>
      <c r="C31129" s="374"/>
      <c r="CV31129" s="376"/>
    </row>
    <row r="31130" spans="1:100">
      <c r="A31130" s="374"/>
      <c r="C31130" s="374"/>
      <c r="CV31130" s="376"/>
    </row>
    <row r="31131" spans="1:100">
      <c r="A31131" s="374"/>
      <c r="C31131" s="374"/>
      <c r="CV31131" s="376"/>
    </row>
    <row r="31132" spans="1:100">
      <c r="A31132" s="374"/>
      <c r="C31132" s="374"/>
      <c r="CV31132" s="376"/>
    </row>
    <row r="31133" spans="1:100">
      <c r="A31133" s="374"/>
      <c r="C31133" s="374"/>
      <c r="CV31133" s="376"/>
    </row>
    <row r="31134" spans="1:100">
      <c r="A31134" s="374"/>
      <c r="C31134" s="374"/>
      <c r="CV31134" s="376"/>
    </row>
    <row r="31135" spans="1:100">
      <c r="A31135" s="374"/>
      <c r="C31135" s="374"/>
      <c r="CV31135" s="376"/>
    </row>
    <row r="31136" spans="1:100">
      <c r="A31136" s="374"/>
      <c r="C31136" s="374"/>
      <c r="CV31136" s="376"/>
    </row>
    <row r="31137" spans="1:100">
      <c r="A31137" s="374"/>
      <c r="C31137" s="374"/>
      <c r="CV31137" s="376"/>
    </row>
    <row r="31138" spans="1:100">
      <c r="A31138" s="374"/>
      <c r="C31138" s="374"/>
      <c r="CV31138" s="376"/>
    </row>
    <row r="31139" spans="1:100">
      <c r="A31139" s="374"/>
      <c r="C31139" s="374"/>
      <c r="CV31139" s="376"/>
    </row>
    <row r="31140" spans="1:100">
      <c r="A31140" s="374"/>
      <c r="C31140" s="374"/>
      <c r="CV31140" s="376"/>
    </row>
    <row r="31141" spans="1:100">
      <c r="A31141" s="374"/>
      <c r="C31141" s="374"/>
      <c r="CV31141" s="376"/>
    </row>
    <row r="31142" spans="1:100">
      <c r="A31142" s="374"/>
      <c r="C31142" s="374"/>
      <c r="CV31142" s="376"/>
    </row>
    <row r="31143" spans="1:100">
      <c r="A31143" s="374"/>
      <c r="C31143" s="374"/>
      <c r="CV31143" s="376"/>
    </row>
    <row r="31144" spans="1:100">
      <c r="A31144" s="374"/>
      <c r="C31144" s="374"/>
      <c r="CV31144" s="376"/>
    </row>
    <row r="31145" spans="1:100">
      <c r="A31145" s="374"/>
      <c r="C31145" s="374"/>
      <c r="CV31145" s="376"/>
    </row>
    <row r="31146" spans="1:100">
      <c r="A31146" s="374"/>
      <c r="C31146" s="374"/>
      <c r="CV31146" s="376"/>
    </row>
    <row r="31147" spans="1:100">
      <c r="A31147" s="374"/>
      <c r="C31147" s="374"/>
      <c r="CV31147" s="376"/>
    </row>
    <row r="31148" spans="1:100">
      <c r="A31148" s="374"/>
      <c r="C31148" s="374"/>
      <c r="CV31148" s="376"/>
    </row>
    <row r="31149" spans="1:100">
      <c r="A31149" s="374"/>
      <c r="C31149" s="374"/>
      <c r="CV31149" s="376"/>
    </row>
    <row r="31150" spans="1:100">
      <c r="A31150" s="374"/>
      <c r="C31150" s="374"/>
      <c r="CV31150" s="376"/>
    </row>
    <row r="31151" spans="1:100">
      <c r="A31151" s="374"/>
      <c r="C31151" s="374"/>
      <c r="CV31151" s="376"/>
    </row>
    <row r="31152" spans="1:100">
      <c r="A31152" s="374"/>
      <c r="C31152" s="374"/>
      <c r="CV31152" s="376"/>
    </row>
    <row r="31153" spans="1:100">
      <c r="A31153" s="374"/>
      <c r="C31153" s="374"/>
      <c r="CV31153" s="376"/>
    </row>
    <row r="31154" spans="1:100">
      <c r="A31154" s="374"/>
      <c r="C31154" s="374"/>
      <c r="CV31154" s="376"/>
    </row>
    <row r="31155" spans="1:100">
      <c r="A31155" s="374"/>
      <c r="C31155" s="374"/>
      <c r="CV31155" s="376"/>
    </row>
    <row r="31156" spans="1:100">
      <c r="A31156" s="374"/>
      <c r="C31156" s="374"/>
      <c r="CV31156" s="376"/>
    </row>
    <row r="31157" spans="1:100">
      <c r="A31157" s="374"/>
      <c r="C31157" s="374"/>
      <c r="CV31157" s="376"/>
    </row>
    <row r="31158" spans="1:100">
      <c r="A31158" s="374"/>
      <c r="C31158" s="374"/>
      <c r="CV31158" s="376"/>
    </row>
    <row r="31159" spans="1:100">
      <c r="A31159" s="374"/>
      <c r="C31159" s="374"/>
      <c r="CV31159" s="376"/>
    </row>
    <row r="31160" spans="1:100">
      <c r="A31160" s="374"/>
      <c r="C31160" s="374"/>
      <c r="CV31160" s="376"/>
    </row>
    <row r="31161" spans="1:100">
      <c r="A31161" s="374"/>
      <c r="C31161" s="374"/>
      <c r="CV31161" s="376"/>
    </row>
    <row r="31162" spans="1:100">
      <c r="A31162" s="374"/>
      <c r="C31162" s="374"/>
      <c r="CV31162" s="376"/>
    </row>
    <row r="31163" spans="1:100">
      <c r="A31163" s="374"/>
      <c r="C31163" s="374"/>
      <c r="CV31163" s="376"/>
    </row>
    <row r="31164" spans="1:100">
      <c r="A31164" s="374"/>
      <c r="C31164" s="374"/>
      <c r="CV31164" s="376"/>
    </row>
    <row r="31165" spans="1:100">
      <c r="A31165" s="374"/>
      <c r="C31165" s="374"/>
      <c r="CV31165" s="376"/>
    </row>
    <row r="31166" spans="1:100">
      <c r="A31166" s="374"/>
      <c r="C31166" s="374"/>
      <c r="CV31166" s="376"/>
    </row>
    <row r="31167" spans="1:100">
      <c r="A31167" s="374"/>
      <c r="C31167" s="374"/>
      <c r="CV31167" s="376"/>
    </row>
    <row r="31168" spans="1:100">
      <c r="A31168" s="374"/>
      <c r="C31168" s="374"/>
      <c r="CV31168" s="376"/>
    </row>
    <row r="31169" spans="1:100">
      <c r="A31169" s="374"/>
      <c r="C31169" s="374"/>
      <c r="CV31169" s="376"/>
    </row>
    <row r="31170" spans="1:100">
      <c r="A31170" s="374"/>
      <c r="C31170" s="374"/>
      <c r="CV31170" s="376"/>
    </row>
    <row r="31171" spans="1:100">
      <c r="A31171" s="374"/>
      <c r="C31171" s="374"/>
      <c r="CV31171" s="376"/>
    </row>
    <row r="31172" spans="1:100">
      <c r="A31172" s="374"/>
      <c r="C31172" s="374"/>
      <c r="CV31172" s="376"/>
    </row>
    <row r="31173" spans="1:100">
      <c r="A31173" s="374"/>
      <c r="C31173" s="374"/>
      <c r="CV31173" s="376"/>
    </row>
    <row r="31174" spans="1:100">
      <c r="A31174" s="374"/>
      <c r="C31174" s="374"/>
      <c r="CV31174" s="376"/>
    </row>
    <row r="31175" spans="1:100">
      <c r="A31175" s="374"/>
      <c r="C31175" s="374"/>
      <c r="CV31175" s="376"/>
    </row>
    <row r="31176" spans="1:100">
      <c r="A31176" s="374"/>
      <c r="C31176" s="374"/>
      <c r="CV31176" s="376"/>
    </row>
    <row r="31177" spans="1:100">
      <c r="A31177" s="374"/>
      <c r="C31177" s="374"/>
      <c r="CV31177" s="376"/>
    </row>
    <row r="31178" spans="1:100">
      <c r="A31178" s="374"/>
      <c r="C31178" s="374"/>
      <c r="CV31178" s="376"/>
    </row>
    <row r="31179" spans="1:100">
      <c r="A31179" s="374"/>
      <c r="C31179" s="374"/>
      <c r="CV31179" s="376"/>
    </row>
    <row r="31180" spans="1:100">
      <c r="A31180" s="374"/>
      <c r="C31180" s="374"/>
      <c r="CV31180" s="376"/>
    </row>
    <row r="31181" spans="1:100">
      <c r="A31181" s="374"/>
      <c r="C31181" s="374"/>
      <c r="CV31181" s="376"/>
    </row>
    <row r="31182" spans="1:100">
      <c r="A31182" s="374"/>
      <c r="C31182" s="374"/>
      <c r="CV31182" s="376"/>
    </row>
    <row r="31183" spans="1:100">
      <c r="A31183" s="374"/>
      <c r="C31183" s="374"/>
      <c r="CV31183" s="376"/>
    </row>
    <row r="31184" spans="1:100">
      <c r="A31184" s="374"/>
      <c r="C31184" s="374"/>
      <c r="CV31184" s="376"/>
    </row>
    <row r="31185" spans="1:100">
      <c r="A31185" s="374"/>
      <c r="C31185" s="374"/>
      <c r="CV31185" s="376"/>
    </row>
    <row r="31186" spans="1:100">
      <c r="A31186" s="374"/>
      <c r="C31186" s="374"/>
      <c r="CV31186" s="376"/>
    </row>
    <row r="31187" spans="1:100">
      <c r="A31187" s="374"/>
      <c r="C31187" s="374"/>
      <c r="CV31187" s="376"/>
    </row>
    <row r="31188" spans="1:100">
      <c r="A31188" s="374"/>
      <c r="C31188" s="374"/>
      <c r="CV31188" s="376"/>
    </row>
    <row r="31189" spans="1:100">
      <c r="A31189" s="374"/>
      <c r="C31189" s="374"/>
      <c r="CV31189" s="376"/>
    </row>
    <row r="31190" spans="1:100">
      <c r="A31190" s="374"/>
      <c r="C31190" s="374"/>
      <c r="CV31190" s="376"/>
    </row>
    <row r="31191" spans="1:100">
      <c r="A31191" s="374"/>
      <c r="C31191" s="374"/>
      <c r="CV31191" s="376"/>
    </row>
    <row r="31192" spans="1:100">
      <c r="A31192" s="374"/>
      <c r="C31192" s="374"/>
      <c r="CV31192" s="376"/>
    </row>
    <row r="31193" spans="1:100">
      <c r="A31193" s="374"/>
      <c r="C31193" s="374"/>
      <c r="CV31193" s="376"/>
    </row>
    <row r="31194" spans="1:100">
      <c r="A31194" s="374"/>
      <c r="C31194" s="374"/>
      <c r="CV31194" s="376"/>
    </row>
    <row r="31195" spans="1:100">
      <c r="A31195" s="374"/>
      <c r="C31195" s="374"/>
      <c r="CV31195" s="376"/>
    </row>
    <row r="31196" spans="1:100">
      <c r="A31196" s="374"/>
      <c r="C31196" s="374"/>
      <c r="CV31196" s="376"/>
    </row>
    <row r="31197" spans="1:100">
      <c r="A31197" s="374"/>
      <c r="C31197" s="374"/>
      <c r="CV31197" s="376"/>
    </row>
    <row r="31198" spans="1:100">
      <c r="A31198" s="374"/>
      <c r="C31198" s="374"/>
      <c r="CV31198" s="376"/>
    </row>
    <row r="31199" spans="1:100">
      <c r="A31199" s="374"/>
      <c r="C31199" s="374"/>
      <c r="CV31199" s="376"/>
    </row>
    <row r="31200" spans="1:100">
      <c r="A31200" s="374"/>
      <c r="C31200" s="374"/>
      <c r="CV31200" s="376"/>
    </row>
    <row r="31201" spans="1:100">
      <c r="A31201" s="374"/>
      <c r="C31201" s="374"/>
      <c r="CV31201" s="376"/>
    </row>
    <row r="31202" spans="1:100">
      <c r="A31202" s="374"/>
      <c r="C31202" s="374"/>
      <c r="CV31202" s="376"/>
    </row>
    <row r="31203" spans="1:100">
      <c r="A31203" s="374"/>
      <c r="C31203" s="374"/>
      <c r="CV31203" s="376"/>
    </row>
    <row r="31204" spans="1:100">
      <c r="A31204" s="374"/>
      <c r="C31204" s="374"/>
      <c r="CV31204" s="376"/>
    </row>
    <row r="31205" spans="1:100">
      <c r="A31205" s="374"/>
      <c r="C31205" s="374"/>
      <c r="CV31205" s="376"/>
    </row>
    <row r="31206" spans="1:100">
      <c r="A31206" s="374"/>
      <c r="C31206" s="374"/>
      <c r="CV31206" s="376"/>
    </row>
    <row r="31207" spans="1:100">
      <c r="A31207" s="374"/>
      <c r="C31207" s="374"/>
      <c r="CV31207" s="376"/>
    </row>
    <row r="31208" spans="1:100">
      <c r="A31208" s="374"/>
      <c r="C31208" s="374"/>
      <c r="CV31208" s="376"/>
    </row>
    <row r="31209" spans="1:100">
      <c r="A31209" s="374"/>
      <c r="C31209" s="374"/>
      <c r="CV31209" s="376"/>
    </row>
    <row r="31210" spans="1:100">
      <c r="A31210" s="374"/>
      <c r="C31210" s="374"/>
      <c r="CV31210" s="376"/>
    </row>
    <row r="31211" spans="1:100">
      <c r="A31211" s="374"/>
      <c r="C31211" s="374"/>
      <c r="CV31211" s="376"/>
    </row>
    <row r="31212" spans="1:100">
      <c r="A31212" s="374"/>
      <c r="C31212" s="374"/>
      <c r="CV31212" s="376"/>
    </row>
    <row r="31213" spans="1:100">
      <c r="A31213" s="374"/>
      <c r="C31213" s="374"/>
      <c r="CV31213" s="376"/>
    </row>
    <row r="31214" spans="1:100">
      <c r="A31214" s="374"/>
      <c r="C31214" s="374"/>
      <c r="CV31214" s="376"/>
    </row>
    <row r="31215" spans="1:100">
      <c r="A31215" s="374"/>
      <c r="C31215" s="374"/>
      <c r="CV31215" s="376"/>
    </row>
    <row r="31216" spans="1:100">
      <c r="A31216" s="374"/>
      <c r="C31216" s="374"/>
      <c r="CV31216" s="376"/>
    </row>
    <row r="31217" spans="1:100">
      <c r="A31217" s="374"/>
      <c r="C31217" s="374"/>
      <c r="CV31217" s="376"/>
    </row>
    <row r="31218" spans="1:100">
      <c r="A31218" s="374"/>
      <c r="C31218" s="374"/>
      <c r="CV31218" s="376"/>
    </row>
    <row r="31219" spans="1:100">
      <c r="A31219" s="374"/>
      <c r="C31219" s="374"/>
      <c r="CV31219" s="376"/>
    </row>
    <row r="31220" spans="1:100">
      <c r="A31220" s="374"/>
      <c r="C31220" s="374"/>
      <c r="CV31220" s="376"/>
    </row>
    <row r="31221" spans="1:100">
      <c r="A31221" s="374"/>
      <c r="C31221" s="374"/>
      <c r="CV31221" s="376"/>
    </row>
    <row r="31222" spans="1:100">
      <c r="A31222" s="374"/>
      <c r="C31222" s="374"/>
      <c r="CV31222" s="376"/>
    </row>
    <row r="31223" spans="1:100">
      <c r="A31223" s="374"/>
      <c r="C31223" s="374"/>
      <c r="CV31223" s="376"/>
    </row>
    <row r="31224" spans="1:100">
      <c r="A31224" s="374"/>
      <c r="C31224" s="374"/>
      <c r="CV31224" s="376"/>
    </row>
    <row r="31225" spans="1:100">
      <c r="A31225" s="374"/>
      <c r="C31225" s="374"/>
      <c r="CV31225" s="376"/>
    </row>
    <row r="31226" spans="1:100">
      <c r="A31226" s="374"/>
      <c r="C31226" s="374"/>
      <c r="CV31226" s="376"/>
    </row>
    <row r="31227" spans="1:100">
      <c r="A31227" s="374"/>
      <c r="C31227" s="374"/>
      <c r="CV31227" s="376"/>
    </row>
    <row r="31228" spans="1:100">
      <c r="A31228" s="374"/>
      <c r="C31228" s="374"/>
      <c r="CV31228" s="376"/>
    </row>
    <row r="31229" spans="1:100">
      <c r="A31229" s="374"/>
      <c r="C31229" s="374"/>
      <c r="CV31229" s="376"/>
    </row>
    <row r="31230" spans="1:100">
      <c r="A31230" s="374"/>
      <c r="C31230" s="374"/>
      <c r="CV31230" s="376"/>
    </row>
    <row r="31231" spans="1:100">
      <c r="A31231" s="374"/>
      <c r="C31231" s="374"/>
      <c r="CV31231" s="376"/>
    </row>
    <row r="31232" spans="1:100">
      <c r="A31232" s="374"/>
      <c r="C31232" s="374"/>
      <c r="CV31232" s="376"/>
    </row>
    <row r="31233" spans="1:100">
      <c r="A31233" s="374"/>
      <c r="C31233" s="374"/>
      <c r="CV31233" s="376"/>
    </row>
    <row r="31234" spans="1:100">
      <c r="A31234" s="374"/>
      <c r="C31234" s="374"/>
      <c r="CV31234" s="376"/>
    </row>
    <row r="31235" spans="1:100">
      <c r="A31235" s="374"/>
      <c r="C31235" s="374"/>
      <c r="CV31235" s="376"/>
    </row>
    <row r="31236" spans="1:100">
      <c r="A31236" s="374"/>
      <c r="C31236" s="374"/>
      <c r="CV31236" s="376"/>
    </row>
    <row r="31237" spans="1:100">
      <c r="A31237" s="374"/>
      <c r="C31237" s="374"/>
      <c r="CV31237" s="376"/>
    </row>
    <row r="31238" spans="1:100">
      <c r="A31238" s="374"/>
      <c r="C31238" s="374"/>
      <c r="CV31238" s="376"/>
    </row>
    <row r="31239" spans="1:100">
      <c r="A31239" s="374"/>
      <c r="C31239" s="374"/>
      <c r="CV31239" s="376"/>
    </row>
    <row r="31240" spans="1:100">
      <c r="A31240" s="374"/>
      <c r="C31240" s="374"/>
      <c r="CV31240" s="376"/>
    </row>
    <row r="31241" spans="1:100">
      <c r="A31241" s="374"/>
      <c r="C31241" s="374"/>
      <c r="CV31241" s="376"/>
    </row>
    <row r="31242" spans="1:100">
      <c r="A31242" s="374"/>
      <c r="C31242" s="374"/>
      <c r="CV31242" s="376"/>
    </row>
    <row r="31243" spans="1:100">
      <c r="A31243" s="374"/>
      <c r="C31243" s="374"/>
      <c r="CV31243" s="376"/>
    </row>
    <row r="31244" spans="1:100">
      <c r="A31244" s="374"/>
      <c r="C31244" s="374"/>
      <c r="CV31244" s="376"/>
    </row>
    <row r="31245" spans="1:100">
      <c r="A31245" s="374"/>
      <c r="C31245" s="374"/>
      <c r="CV31245" s="376"/>
    </row>
    <row r="31246" spans="1:100">
      <c r="A31246" s="374"/>
      <c r="C31246" s="374"/>
      <c r="CV31246" s="376"/>
    </row>
    <row r="31247" spans="1:100">
      <c r="A31247" s="374"/>
      <c r="C31247" s="374"/>
      <c r="CV31247" s="376"/>
    </row>
    <row r="31248" spans="1:100">
      <c r="A31248" s="374"/>
      <c r="C31248" s="374"/>
      <c r="CV31248" s="376"/>
    </row>
    <row r="31249" spans="1:100">
      <c r="A31249" s="374"/>
      <c r="C31249" s="374"/>
      <c r="CV31249" s="376"/>
    </row>
    <row r="31250" spans="1:100">
      <c r="A31250" s="374"/>
      <c r="C31250" s="374"/>
      <c r="CV31250" s="376"/>
    </row>
    <row r="31251" spans="1:100">
      <c r="A31251" s="374"/>
      <c r="C31251" s="374"/>
      <c r="CV31251" s="376"/>
    </row>
    <row r="31252" spans="1:100">
      <c r="A31252" s="374"/>
      <c r="C31252" s="374"/>
      <c r="CV31252" s="376"/>
    </row>
    <row r="31253" spans="1:100">
      <c r="A31253" s="374"/>
      <c r="C31253" s="374"/>
      <c r="CV31253" s="376"/>
    </row>
    <row r="31254" spans="1:100">
      <c r="A31254" s="374"/>
      <c r="C31254" s="374"/>
      <c r="CV31254" s="376"/>
    </row>
    <row r="31255" spans="1:100">
      <c r="A31255" s="374"/>
      <c r="C31255" s="374"/>
      <c r="CV31255" s="376"/>
    </row>
    <row r="31256" spans="1:100">
      <c r="A31256" s="374"/>
      <c r="C31256" s="374"/>
      <c r="CV31256" s="376"/>
    </row>
    <row r="31257" spans="1:100">
      <c r="A31257" s="374"/>
      <c r="C31257" s="374"/>
      <c r="CV31257" s="376"/>
    </row>
    <row r="31258" spans="1:100">
      <c r="A31258" s="374"/>
      <c r="C31258" s="374"/>
      <c r="CV31258" s="376"/>
    </row>
    <row r="31259" spans="1:100">
      <c r="A31259" s="374"/>
      <c r="C31259" s="374"/>
      <c r="CV31259" s="376"/>
    </row>
    <row r="31260" spans="1:100">
      <c r="A31260" s="374"/>
      <c r="C31260" s="374"/>
      <c r="CV31260" s="376"/>
    </row>
    <row r="31261" spans="1:100">
      <c r="A31261" s="374"/>
      <c r="C31261" s="374"/>
      <c r="CV31261" s="376"/>
    </row>
    <row r="31262" spans="1:100">
      <c r="A31262" s="374"/>
      <c r="C31262" s="374"/>
      <c r="CV31262" s="376"/>
    </row>
    <row r="31263" spans="1:100">
      <c r="A31263" s="374"/>
      <c r="C31263" s="374"/>
      <c r="CV31263" s="376"/>
    </row>
    <row r="31264" spans="1:100">
      <c r="A31264" s="374"/>
      <c r="C31264" s="374"/>
      <c r="CV31264" s="376"/>
    </row>
    <row r="31265" spans="1:100">
      <c r="A31265" s="374"/>
      <c r="C31265" s="374"/>
      <c r="CV31265" s="376"/>
    </row>
    <row r="31266" spans="1:100">
      <c r="A31266" s="374"/>
      <c r="C31266" s="374"/>
      <c r="CV31266" s="376"/>
    </row>
    <row r="31267" spans="1:100">
      <c r="A31267" s="374"/>
      <c r="C31267" s="374"/>
      <c r="CV31267" s="376"/>
    </row>
    <row r="31268" spans="1:100">
      <c r="A31268" s="374"/>
      <c r="C31268" s="374"/>
      <c r="CV31268" s="376"/>
    </row>
    <row r="31269" spans="1:100">
      <c r="A31269" s="374"/>
      <c r="C31269" s="374"/>
      <c r="CV31269" s="376"/>
    </row>
    <row r="31270" spans="1:100">
      <c r="A31270" s="374"/>
      <c r="C31270" s="374"/>
      <c r="CV31270" s="376"/>
    </row>
    <row r="31271" spans="1:100">
      <c r="A31271" s="374"/>
      <c r="C31271" s="374"/>
      <c r="CV31271" s="376"/>
    </row>
    <row r="31272" spans="1:100">
      <c r="A31272" s="374"/>
      <c r="C31272" s="374"/>
      <c r="CV31272" s="376"/>
    </row>
    <row r="31273" spans="1:100">
      <c r="A31273" s="374"/>
      <c r="C31273" s="374"/>
      <c r="CV31273" s="376"/>
    </row>
    <row r="31274" spans="1:100">
      <c r="A31274" s="374"/>
      <c r="C31274" s="374"/>
      <c r="CV31274" s="376"/>
    </row>
    <row r="31275" spans="1:100">
      <c r="A31275" s="374"/>
      <c r="C31275" s="374"/>
      <c r="CV31275" s="376"/>
    </row>
    <row r="31276" spans="1:100">
      <c r="A31276" s="374"/>
      <c r="C31276" s="374"/>
      <c r="CV31276" s="376"/>
    </row>
    <row r="31277" spans="1:100">
      <c r="A31277" s="374"/>
      <c r="C31277" s="374"/>
      <c r="CV31277" s="376"/>
    </row>
    <row r="31278" spans="1:100">
      <c r="A31278" s="374"/>
      <c r="C31278" s="374"/>
      <c r="CV31278" s="376"/>
    </row>
    <row r="31279" spans="1:100">
      <c r="A31279" s="374"/>
      <c r="C31279" s="374"/>
      <c r="CV31279" s="376"/>
    </row>
    <row r="31280" spans="1:100">
      <c r="A31280" s="374"/>
      <c r="C31280" s="374"/>
      <c r="CV31280" s="376"/>
    </row>
    <row r="31281" spans="1:100">
      <c r="A31281" s="374"/>
      <c r="C31281" s="374"/>
      <c r="CV31281" s="376"/>
    </row>
    <row r="31282" spans="1:100">
      <c r="A31282" s="374"/>
      <c r="C31282" s="374"/>
      <c r="CV31282" s="376"/>
    </row>
    <row r="31283" spans="1:100">
      <c r="A31283" s="374"/>
      <c r="C31283" s="374"/>
      <c r="CV31283" s="376"/>
    </row>
    <row r="31284" spans="1:100">
      <c r="A31284" s="374"/>
      <c r="C31284" s="374"/>
      <c r="CV31284" s="376"/>
    </row>
    <row r="31285" spans="1:100">
      <c r="A31285" s="374"/>
      <c r="C31285" s="374"/>
      <c r="CV31285" s="376"/>
    </row>
    <row r="31286" spans="1:100">
      <c r="A31286" s="374"/>
      <c r="C31286" s="374"/>
      <c r="CV31286" s="376"/>
    </row>
    <row r="31287" spans="1:100">
      <c r="A31287" s="374"/>
      <c r="C31287" s="374"/>
      <c r="CV31287" s="376"/>
    </row>
    <row r="31288" spans="1:100">
      <c r="A31288" s="374"/>
      <c r="C31288" s="374"/>
      <c r="CV31288" s="376"/>
    </row>
    <row r="31289" spans="1:100">
      <c r="A31289" s="374"/>
      <c r="C31289" s="374"/>
      <c r="CV31289" s="376"/>
    </row>
    <row r="31290" spans="1:100">
      <c r="A31290" s="374"/>
      <c r="C31290" s="374"/>
      <c r="CV31290" s="376"/>
    </row>
    <row r="31291" spans="1:100">
      <c r="A31291" s="374"/>
      <c r="C31291" s="374"/>
      <c r="CV31291" s="376"/>
    </row>
    <row r="31292" spans="1:100">
      <c r="A31292" s="374"/>
      <c r="C31292" s="374"/>
      <c r="CV31292" s="376"/>
    </row>
    <row r="31293" spans="1:100">
      <c r="A31293" s="374"/>
      <c r="C31293" s="374"/>
      <c r="CV31293" s="376"/>
    </row>
    <row r="31294" spans="1:100">
      <c r="A31294" s="374"/>
      <c r="C31294" s="374"/>
      <c r="CV31294" s="376"/>
    </row>
    <row r="31295" spans="1:100">
      <c r="A31295" s="374"/>
      <c r="C31295" s="374"/>
      <c r="CV31295" s="376"/>
    </row>
    <row r="31296" spans="1:100">
      <c r="A31296" s="374"/>
      <c r="C31296" s="374"/>
      <c r="CV31296" s="376"/>
    </row>
    <row r="31297" spans="1:100">
      <c r="A31297" s="374"/>
      <c r="C31297" s="374"/>
      <c r="CV31297" s="376"/>
    </row>
    <row r="31298" spans="1:100">
      <c r="A31298" s="374"/>
      <c r="C31298" s="374"/>
      <c r="CV31298" s="376"/>
    </row>
    <row r="31299" spans="1:100">
      <c r="A31299" s="374"/>
      <c r="C31299" s="374"/>
      <c r="CV31299" s="376"/>
    </row>
    <row r="31300" spans="1:100">
      <c r="A31300" s="374"/>
      <c r="C31300" s="374"/>
      <c r="CV31300" s="376"/>
    </row>
    <row r="31301" spans="1:100">
      <c r="A31301" s="374"/>
      <c r="C31301" s="374"/>
      <c r="CV31301" s="376"/>
    </row>
    <row r="31302" spans="1:100">
      <c r="A31302" s="374"/>
      <c r="C31302" s="374"/>
      <c r="CV31302" s="376"/>
    </row>
    <row r="31303" spans="1:100">
      <c r="A31303" s="374"/>
      <c r="C31303" s="374"/>
      <c r="CV31303" s="376"/>
    </row>
    <row r="31304" spans="1:100">
      <c r="A31304" s="374"/>
      <c r="C31304" s="374"/>
      <c r="CV31304" s="376"/>
    </row>
    <row r="31305" spans="1:100">
      <c r="A31305" s="374"/>
      <c r="C31305" s="374"/>
      <c r="CV31305" s="376"/>
    </row>
    <row r="31306" spans="1:100">
      <c r="A31306" s="374"/>
      <c r="C31306" s="374"/>
      <c r="CV31306" s="376"/>
    </row>
    <row r="31307" spans="1:100">
      <c r="A31307" s="374"/>
      <c r="C31307" s="374"/>
      <c r="CV31307" s="376"/>
    </row>
    <row r="31308" spans="1:100">
      <c r="A31308" s="374"/>
      <c r="C31308" s="374"/>
      <c r="CV31308" s="376"/>
    </row>
    <row r="31309" spans="1:100">
      <c r="A31309" s="374"/>
      <c r="C31309" s="374"/>
      <c r="CV31309" s="376"/>
    </row>
    <row r="31310" spans="1:100">
      <c r="A31310" s="374"/>
      <c r="C31310" s="374"/>
      <c r="CV31310" s="376"/>
    </row>
    <row r="31311" spans="1:100">
      <c r="A31311" s="374"/>
      <c r="C31311" s="374"/>
      <c r="CV31311" s="376"/>
    </row>
    <row r="31312" spans="1:100">
      <c r="A31312" s="374"/>
      <c r="C31312" s="374"/>
      <c r="CV31312" s="376"/>
    </row>
    <row r="31313" spans="1:100">
      <c r="A31313" s="374"/>
      <c r="C31313" s="374"/>
      <c r="CV31313" s="376"/>
    </row>
    <row r="31314" spans="1:100">
      <c r="A31314" s="374"/>
      <c r="C31314" s="374"/>
      <c r="CV31314" s="376"/>
    </row>
    <row r="31315" spans="1:100">
      <c r="A31315" s="374"/>
      <c r="C31315" s="374"/>
      <c r="CV31315" s="376"/>
    </row>
    <row r="31316" spans="1:100">
      <c r="A31316" s="374"/>
      <c r="C31316" s="374"/>
      <c r="CV31316" s="376"/>
    </row>
    <row r="31317" spans="1:100">
      <c r="A31317" s="374"/>
      <c r="C31317" s="374"/>
      <c r="CV31317" s="376"/>
    </row>
    <row r="31318" spans="1:100">
      <c r="A31318" s="374"/>
      <c r="C31318" s="374"/>
      <c r="CV31318" s="376"/>
    </row>
    <row r="31319" spans="1:100">
      <c r="A31319" s="374"/>
      <c r="C31319" s="374"/>
      <c r="CV31319" s="376"/>
    </row>
    <row r="31320" spans="1:100">
      <c r="A31320" s="374"/>
      <c r="C31320" s="374"/>
      <c r="CV31320" s="376"/>
    </row>
    <row r="31321" spans="1:100">
      <c r="A31321" s="374"/>
      <c r="C31321" s="374"/>
      <c r="CV31321" s="376"/>
    </row>
    <row r="31322" spans="1:100">
      <c r="A31322" s="374"/>
      <c r="C31322" s="374"/>
      <c r="CV31322" s="376"/>
    </row>
    <row r="31323" spans="1:100">
      <c r="A31323" s="374"/>
      <c r="C31323" s="374"/>
      <c r="CV31323" s="376"/>
    </row>
    <row r="31324" spans="1:100">
      <c r="A31324" s="374"/>
      <c r="C31324" s="374"/>
      <c r="CV31324" s="376"/>
    </row>
    <row r="31325" spans="1:100">
      <c r="A31325" s="374"/>
      <c r="C31325" s="374"/>
      <c r="CV31325" s="376"/>
    </row>
    <row r="31326" spans="1:100">
      <c r="A31326" s="374"/>
      <c r="C31326" s="374"/>
      <c r="CV31326" s="376"/>
    </row>
    <row r="31327" spans="1:100">
      <c r="A31327" s="374"/>
      <c r="C31327" s="374"/>
      <c r="CV31327" s="376"/>
    </row>
    <row r="31328" spans="1:100">
      <c r="A31328" s="374"/>
      <c r="C31328" s="374"/>
      <c r="CV31328" s="376"/>
    </row>
    <row r="31329" spans="1:100">
      <c r="A31329" s="374"/>
      <c r="C31329" s="374"/>
      <c r="CV31329" s="376"/>
    </row>
    <row r="31330" spans="1:100">
      <c r="A31330" s="374"/>
      <c r="C31330" s="374"/>
      <c r="CV31330" s="376"/>
    </row>
    <row r="31331" spans="1:100">
      <c r="A31331" s="374"/>
      <c r="C31331" s="374"/>
      <c r="CV31331" s="376"/>
    </row>
    <row r="31332" spans="1:100">
      <c r="A31332" s="374"/>
      <c r="C31332" s="374"/>
      <c r="CV31332" s="376"/>
    </row>
    <row r="31333" spans="1:100">
      <c r="A31333" s="374"/>
      <c r="C31333" s="374"/>
      <c r="CV31333" s="376"/>
    </row>
    <row r="31334" spans="1:100">
      <c r="A31334" s="374"/>
      <c r="C31334" s="374"/>
      <c r="CV31334" s="376"/>
    </row>
    <row r="31335" spans="1:100">
      <c r="A31335" s="374"/>
      <c r="C31335" s="374"/>
      <c r="CV31335" s="376"/>
    </row>
    <row r="31336" spans="1:100">
      <c r="A31336" s="374"/>
      <c r="C31336" s="374"/>
      <c r="CV31336" s="376"/>
    </row>
    <row r="31337" spans="1:100">
      <c r="A31337" s="374"/>
      <c r="C31337" s="374"/>
      <c r="CV31337" s="376"/>
    </row>
    <row r="31338" spans="1:100">
      <c r="A31338" s="374"/>
      <c r="C31338" s="374"/>
      <c r="CV31338" s="376"/>
    </row>
    <row r="31339" spans="1:100">
      <c r="A31339" s="374"/>
      <c r="C31339" s="374"/>
      <c r="CV31339" s="376"/>
    </row>
    <row r="31340" spans="1:100">
      <c r="A31340" s="374"/>
      <c r="C31340" s="374"/>
      <c r="CV31340" s="376"/>
    </row>
    <row r="31341" spans="1:100">
      <c r="A31341" s="374"/>
      <c r="C31341" s="374"/>
      <c r="CV31341" s="376"/>
    </row>
    <row r="31342" spans="1:100">
      <c r="A31342" s="374"/>
      <c r="C31342" s="374"/>
      <c r="CV31342" s="376"/>
    </row>
    <row r="31343" spans="1:100">
      <c r="A31343" s="374"/>
      <c r="C31343" s="374"/>
      <c r="CV31343" s="376"/>
    </row>
    <row r="31344" spans="1:100">
      <c r="A31344" s="374"/>
      <c r="C31344" s="374"/>
      <c r="CV31344" s="376"/>
    </row>
    <row r="31345" spans="1:100">
      <c r="A31345" s="374"/>
      <c r="C31345" s="374"/>
      <c r="CV31345" s="376"/>
    </row>
    <row r="31346" spans="1:100">
      <c r="A31346" s="374"/>
      <c r="C31346" s="374"/>
      <c r="CV31346" s="376"/>
    </row>
    <row r="31347" spans="1:100">
      <c r="A31347" s="374"/>
      <c r="C31347" s="374"/>
      <c r="CV31347" s="376"/>
    </row>
    <row r="31348" spans="1:100">
      <c r="A31348" s="374"/>
      <c r="C31348" s="374"/>
      <c r="CV31348" s="376"/>
    </row>
    <row r="31349" spans="1:100">
      <c r="A31349" s="374"/>
      <c r="C31349" s="374"/>
      <c r="CV31349" s="376"/>
    </row>
    <row r="31350" spans="1:100">
      <c r="A31350" s="374"/>
      <c r="C31350" s="374"/>
      <c r="CV31350" s="376"/>
    </row>
    <row r="31351" spans="1:100">
      <c r="A31351" s="374"/>
      <c r="C31351" s="374"/>
      <c r="CV31351" s="376"/>
    </row>
    <row r="31352" spans="1:100">
      <c r="A31352" s="374"/>
      <c r="C31352" s="374"/>
      <c r="CV31352" s="376"/>
    </row>
    <row r="31353" spans="1:100">
      <c r="A31353" s="374"/>
      <c r="C31353" s="374"/>
      <c r="CV31353" s="376"/>
    </row>
    <row r="31354" spans="1:100">
      <c r="A31354" s="374"/>
      <c r="C31354" s="374"/>
      <c r="CV31354" s="376"/>
    </row>
    <row r="31355" spans="1:100">
      <c r="A31355" s="374"/>
      <c r="C31355" s="374"/>
      <c r="CV31355" s="376"/>
    </row>
    <row r="31356" spans="1:100">
      <c r="A31356" s="374"/>
      <c r="C31356" s="374"/>
      <c r="CV31356" s="376"/>
    </row>
    <row r="31357" spans="1:100">
      <c r="A31357" s="374"/>
      <c r="C31357" s="374"/>
      <c r="CV31357" s="376"/>
    </row>
    <row r="31358" spans="1:100">
      <c r="A31358" s="374"/>
      <c r="C31358" s="374"/>
      <c r="CV31358" s="376"/>
    </row>
    <row r="31359" spans="1:100">
      <c r="A31359" s="374"/>
      <c r="C31359" s="374"/>
      <c r="CV31359" s="376"/>
    </row>
    <row r="31360" spans="1:100">
      <c r="A31360" s="374"/>
      <c r="C31360" s="374"/>
      <c r="CV31360" s="376"/>
    </row>
    <row r="31361" spans="1:100">
      <c r="A31361" s="374"/>
      <c r="C31361" s="374"/>
      <c r="CV31361" s="376"/>
    </row>
    <row r="31362" spans="1:100">
      <c r="A31362" s="374"/>
      <c r="C31362" s="374"/>
      <c r="CV31362" s="376"/>
    </row>
    <row r="31363" spans="1:100">
      <c r="A31363" s="374"/>
      <c r="C31363" s="374"/>
      <c r="CV31363" s="376"/>
    </row>
    <row r="31364" spans="1:100">
      <c r="A31364" s="374"/>
      <c r="C31364" s="374"/>
      <c r="CV31364" s="376"/>
    </row>
    <row r="31365" spans="1:100">
      <c r="A31365" s="374"/>
      <c r="C31365" s="374"/>
      <c r="CV31365" s="376"/>
    </row>
    <row r="31366" spans="1:100">
      <c r="A31366" s="374"/>
      <c r="C31366" s="374"/>
      <c r="CV31366" s="376"/>
    </row>
    <row r="31367" spans="1:100">
      <c r="A31367" s="374"/>
      <c r="C31367" s="374"/>
      <c r="CV31367" s="376"/>
    </row>
    <row r="31368" spans="1:100">
      <c r="A31368" s="374"/>
      <c r="C31368" s="374"/>
      <c r="CV31368" s="376"/>
    </row>
    <row r="31369" spans="1:100">
      <c r="A31369" s="374"/>
      <c r="C31369" s="374"/>
      <c r="CV31369" s="376"/>
    </row>
    <row r="31370" spans="1:100">
      <c r="A31370" s="374"/>
      <c r="C31370" s="374"/>
      <c r="CV31370" s="376"/>
    </row>
    <row r="31371" spans="1:100">
      <c r="A31371" s="374"/>
      <c r="C31371" s="374"/>
      <c r="CV31371" s="376"/>
    </row>
    <row r="31372" spans="1:100">
      <c r="A31372" s="374"/>
      <c r="C31372" s="374"/>
      <c r="CV31372" s="376"/>
    </row>
    <row r="31373" spans="1:100">
      <c r="A31373" s="374"/>
      <c r="C31373" s="374"/>
      <c r="CV31373" s="376"/>
    </row>
    <row r="31374" spans="1:100">
      <c r="A31374" s="374"/>
      <c r="C31374" s="374"/>
      <c r="CV31374" s="376"/>
    </row>
    <row r="31375" spans="1:100">
      <c r="A31375" s="374"/>
      <c r="C31375" s="374"/>
      <c r="CV31375" s="376"/>
    </row>
    <row r="31376" spans="1:100">
      <c r="A31376" s="374"/>
      <c r="C31376" s="374"/>
      <c r="CV31376" s="376"/>
    </row>
    <row r="31377" spans="1:100">
      <c r="A31377" s="374"/>
      <c r="C31377" s="374"/>
      <c r="CV31377" s="376"/>
    </row>
    <row r="31378" spans="1:100">
      <c r="A31378" s="374"/>
      <c r="C31378" s="374"/>
      <c r="CV31378" s="376"/>
    </row>
    <row r="31379" spans="1:100">
      <c r="A31379" s="374"/>
      <c r="C31379" s="374"/>
      <c r="CV31379" s="376"/>
    </row>
    <row r="31380" spans="1:100">
      <c r="A31380" s="374"/>
      <c r="C31380" s="374"/>
      <c r="CV31380" s="376"/>
    </row>
    <row r="31381" spans="1:100">
      <c r="A31381" s="374"/>
      <c r="C31381" s="374"/>
      <c r="CV31381" s="376"/>
    </row>
    <row r="31382" spans="1:100">
      <c r="A31382" s="374"/>
      <c r="C31382" s="374"/>
      <c r="CV31382" s="376"/>
    </row>
    <row r="31383" spans="1:100">
      <c r="A31383" s="374"/>
      <c r="C31383" s="374"/>
      <c r="CV31383" s="376"/>
    </row>
    <row r="31384" spans="1:100">
      <c r="A31384" s="374"/>
      <c r="C31384" s="374"/>
      <c r="CV31384" s="376"/>
    </row>
    <row r="31385" spans="1:100">
      <c r="A31385" s="374"/>
      <c r="C31385" s="374"/>
      <c r="CV31385" s="376"/>
    </row>
    <row r="31386" spans="1:100">
      <c r="A31386" s="374"/>
      <c r="C31386" s="374"/>
      <c r="CV31386" s="376"/>
    </row>
    <row r="31387" spans="1:100">
      <c r="A31387" s="374"/>
      <c r="C31387" s="374"/>
      <c r="CV31387" s="376"/>
    </row>
    <row r="31388" spans="1:100">
      <c r="A31388" s="374"/>
      <c r="C31388" s="374"/>
      <c r="CV31388" s="376"/>
    </row>
    <row r="31389" spans="1:100">
      <c r="A31389" s="374"/>
      <c r="C31389" s="374"/>
      <c r="CV31389" s="376"/>
    </row>
    <row r="31390" spans="1:100">
      <c r="A31390" s="374"/>
      <c r="C31390" s="374"/>
      <c r="CV31390" s="376"/>
    </row>
    <row r="31391" spans="1:100">
      <c r="A31391" s="374"/>
      <c r="C31391" s="374"/>
      <c r="CV31391" s="376"/>
    </row>
    <row r="31392" spans="1:100">
      <c r="A31392" s="374"/>
      <c r="C31392" s="374"/>
      <c r="CV31392" s="376"/>
    </row>
    <row r="31393" spans="1:100">
      <c r="A31393" s="374"/>
      <c r="C31393" s="374"/>
      <c r="CV31393" s="376"/>
    </row>
    <row r="31394" spans="1:100">
      <c r="A31394" s="374"/>
      <c r="C31394" s="374"/>
      <c r="CV31394" s="376"/>
    </row>
    <row r="31395" spans="1:100">
      <c r="A31395" s="374"/>
      <c r="C31395" s="374"/>
      <c r="CV31395" s="376"/>
    </row>
    <row r="31396" spans="1:100">
      <c r="A31396" s="374"/>
      <c r="C31396" s="374"/>
      <c r="CV31396" s="376"/>
    </row>
    <row r="31397" spans="1:100">
      <c r="A31397" s="374"/>
      <c r="C31397" s="374"/>
      <c r="CV31397" s="376"/>
    </row>
    <row r="31398" spans="1:100">
      <c r="A31398" s="374"/>
      <c r="C31398" s="374"/>
      <c r="CV31398" s="376"/>
    </row>
    <row r="31399" spans="1:100">
      <c r="A31399" s="374"/>
      <c r="C31399" s="374"/>
      <c r="CV31399" s="376"/>
    </row>
    <row r="31400" spans="1:100">
      <c r="A31400" s="374"/>
      <c r="C31400" s="374"/>
      <c r="CV31400" s="376"/>
    </row>
    <row r="31401" spans="1:100">
      <c r="A31401" s="374"/>
      <c r="C31401" s="374"/>
      <c r="CV31401" s="376"/>
    </row>
    <row r="31402" spans="1:100">
      <c r="A31402" s="374"/>
      <c r="C31402" s="374"/>
      <c r="CV31402" s="376"/>
    </row>
    <row r="31403" spans="1:100">
      <c r="A31403" s="374"/>
      <c r="C31403" s="374"/>
      <c r="CV31403" s="376"/>
    </row>
    <row r="31404" spans="1:100">
      <c r="A31404" s="374"/>
      <c r="C31404" s="374"/>
      <c r="CV31404" s="376"/>
    </row>
    <row r="31405" spans="1:100">
      <c r="A31405" s="374"/>
      <c r="C31405" s="374"/>
      <c r="CV31405" s="376"/>
    </row>
    <row r="31406" spans="1:100">
      <c r="A31406" s="374"/>
      <c r="C31406" s="374"/>
      <c r="CV31406" s="376"/>
    </row>
    <row r="31407" spans="1:100">
      <c r="A31407" s="374"/>
      <c r="C31407" s="374"/>
      <c r="CV31407" s="376"/>
    </row>
    <row r="31408" spans="1:100">
      <c r="A31408" s="374"/>
      <c r="C31408" s="374"/>
      <c r="CV31408" s="376"/>
    </row>
    <row r="31409" spans="1:100">
      <c r="A31409" s="374"/>
      <c r="C31409" s="374"/>
      <c r="CV31409" s="376"/>
    </row>
    <row r="31410" spans="1:100">
      <c r="A31410" s="374"/>
      <c r="C31410" s="374"/>
      <c r="CV31410" s="376"/>
    </row>
    <row r="31411" spans="1:100">
      <c r="A31411" s="374"/>
      <c r="C31411" s="374"/>
      <c r="CV31411" s="376"/>
    </row>
    <row r="31412" spans="1:100">
      <c r="A31412" s="374"/>
      <c r="C31412" s="374"/>
      <c r="CV31412" s="376"/>
    </row>
    <row r="31413" spans="1:100">
      <c r="A31413" s="374"/>
      <c r="C31413" s="374"/>
      <c r="CV31413" s="376"/>
    </row>
    <row r="31414" spans="1:100">
      <c r="A31414" s="374"/>
      <c r="C31414" s="374"/>
      <c r="CV31414" s="376"/>
    </row>
    <row r="31415" spans="1:100">
      <c r="A31415" s="374"/>
      <c r="C31415" s="374"/>
      <c r="CV31415" s="376"/>
    </row>
    <row r="31416" spans="1:100">
      <c r="A31416" s="374"/>
      <c r="C31416" s="374"/>
      <c r="CV31416" s="376"/>
    </row>
    <row r="31417" spans="1:100">
      <c r="A31417" s="374"/>
      <c r="C31417" s="374"/>
      <c r="CV31417" s="376"/>
    </row>
    <row r="31418" spans="1:100">
      <c r="A31418" s="374"/>
      <c r="C31418" s="374"/>
      <c r="CV31418" s="376"/>
    </row>
    <row r="31419" spans="1:100">
      <c r="A31419" s="374"/>
      <c r="C31419" s="374"/>
      <c r="CV31419" s="376"/>
    </row>
    <row r="31420" spans="1:100">
      <c r="A31420" s="374"/>
      <c r="C31420" s="374"/>
      <c r="CV31420" s="376"/>
    </row>
    <row r="31421" spans="1:100">
      <c r="A31421" s="374"/>
      <c r="C31421" s="374"/>
      <c r="CV31421" s="376"/>
    </row>
    <row r="31422" spans="1:100">
      <c r="A31422" s="374"/>
      <c r="C31422" s="374"/>
      <c r="CV31422" s="376"/>
    </row>
    <row r="31423" spans="1:100">
      <c r="A31423" s="374"/>
      <c r="C31423" s="374"/>
      <c r="CV31423" s="376"/>
    </row>
    <row r="31424" spans="1:100">
      <c r="A31424" s="374"/>
      <c r="C31424" s="374"/>
      <c r="CV31424" s="376"/>
    </row>
    <row r="31425" spans="1:100">
      <c r="A31425" s="374"/>
      <c r="C31425" s="374"/>
      <c r="CV31425" s="376"/>
    </row>
    <row r="31426" spans="1:100">
      <c r="A31426" s="374"/>
      <c r="C31426" s="374"/>
      <c r="CV31426" s="376"/>
    </row>
    <row r="31427" spans="1:100">
      <c r="A31427" s="374"/>
      <c r="C31427" s="374"/>
      <c r="CV31427" s="376"/>
    </row>
    <row r="31428" spans="1:100">
      <c r="A31428" s="374"/>
      <c r="C31428" s="374"/>
      <c r="CV31428" s="376"/>
    </row>
    <row r="31429" spans="1:100">
      <c r="A31429" s="374"/>
      <c r="C31429" s="374"/>
      <c r="CV31429" s="376"/>
    </row>
    <row r="31430" spans="1:100">
      <c r="A31430" s="374"/>
      <c r="C31430" s="374"/>
      <c r="CV31430" s="376"/>
    </row>
    <row r="31431" spans="1:100">
      <c r="A31431" s="374"/>
      <c r="C31431" s="374"/>
      <c r="CV31431" s="376"/>
    </row>
    <row r="31432" spans="1:100">
      <c r="A31432" s="374"/>
      <c r="C31432" s="374"/>
      <c r="CV31432" s="376"/>
    </row>
    <row r="31433" spans="1:100">
      <c r="A31433" s="374"/>
      <c r="C31433" s="374"/>
      <c r="CV31433" s="376"/>
    </row>
    <row r="31434" spans="1:100">
      <c r="A31434" s="374"/>
      <c r="C31434" s="374"/>
      <c r="CV31434" s="376"/>
    </row>
    <row r="31435" spans="1:100">
      <c r="A31435" s="374"/>
      <c r="C31435" s="374"/>
      <c r="CV31435" s="376"/>
    </row>
    <row r="31436" spans="1:100">
      <c r="A31436" s="374"/>
      <c r="C31436" s="374"/>
      <c r="CV31436" s="376"/>
    </row>
    <row r="31437" spans="1:100">
      <c r="A31437" s="374"/>
      <c r="C31437" s="374"/>
      <c r="CV31437" s="376"/>
    </row>
    <row r="31438" spans="1:100">
      <c r="A31438" s="374"/>
      <c r="C31438" s="374"/>
      <c r="CV31438" s="376"/>
    </row>
    <row r="31439" spans="1:100">
      <c r="A31439" s="374"/>
      <c r="C31439" s="374"/>
      <c r="CV31439" s="376"/>
    </row>
    <row r="31440" spans="1:100">
      <c r="A31440" s="374"/>
      <c r="C31440" s="374"/>
      <c r="CV31440" s="376"/>
    </row>
    <row r="31441" spans="1:100">
      <c r="A31441" s="374"/>
      <c r="C31441" s="374"/>
      <c r="CV31441" s="376"/>
    </row>
    <row r="31442" spans="1:100">
      <c r="A31442" s="374"/>
      <c r="C31442" s="374"/>
      <c r="CV31442" s="376"/>
    </row>
    <row r="31443" spans="1:100">
      <c r="A31443" s="374"/>
      <c r="C31443" s="374"/>
      <c r="CV31443" s="376"/>
    </row>
    <row r="31444" spans="1:100">
      <c r="A31444" s="374"/>
      <c r="C31444" s="374"/>
      <c r="CV31444" s="376"/>
    </row>
    <row r="31445" spans="1:100">
      <c r="A31445" s="374"/>
      <c r="C31445" s="374"/>
      <c r="CV31445" s="376"/>
    </row>
    <row r="31446" spans="1:100">
      <c r="A31446" s="374"/>
      <c r="C31446" s="374"/>
      <c r="CV31446" s="376"/>
    </row>
    <row r="31447" spans="1:100">
      <c r="A31447" s="374"/>
      <c r="C31447" s="374"/>
      <c r="CV31447" s="376"/>
    </row>
    <row r="31448" spans="1:100">
      <c r="A31448" s="374"/>
      <c r="C31448" s="374"/>
      <c r="CV31448" s="376"/>
    </row>
    <row r="31449" spans="1:100">
      <c r="A31449" s="374"/>
      <c r="C31449" s="374"/>
      <c r="CV31449" s="376"/>
    </row>
    <row r="31450" spans="1:100">
      <c r="A31450" s="374"/>
      <c r="C31450" s="374"/>
      <c r="CV31450" s="376"/>
    </row>
    <row r="31451" spans="1:100">
      <c r="A31451" s="374"/>
      <c r="C31451" s="374"/>
      <c r="CV31451" s="376"/>
    </row>
    <row r="31452" spans="1:100">
      <c r="A31452" s="374"/>
      <c r="C31452" s="374"/>
      <c r="CV31452" s="376"/>
    </row>
    <row r="31453" spans="1:100">
      <c r="A31453" s="374"/>
      <c r="C31453" s="374"/>
      <c r="CV31453" s="376"/>
    </row>
    <row r="31454" spans="1:100">
      <c r="A31454" s="374"/>
      <c r="C31454" s="374"/>
      <c r="CV31454" s="376"/>
    </row>
    <row r="31455" spans="1:100">
      <c r="A31455" s="374"/>
      <c r="C31455" s="374"/>
      <c r="CV31455" s="376"/>
    </row>
    <row r="31456" spans="1:100">
      <c r="A31456" s="374"/>
      <c r="C31456" s="374"/>
      <c r="CV31456" s="376"/>
    </row>
    <row r="31457" spans="1:100">
      <c r="A31457" s="374"/>
      <c r="C31457" s="374"/>
      <c r="CV31457" s="376"/>
    </row>
    <row r="31458" spans="1:100">
      <c r="A31458" s="374"/>
      <c r="C31458" s="374"/>
      <c r="CV31458" s="376"/>
    </row>
    <row r="31459" spans="1:100">
      <c r="A31459" s="374"/>
      <c r="C31459" s="374"/>
      <c r="CV31459" s="376"/>
    </row>
    <row r="31460" spans="1:100">
      <c r="A31460" s="374"/>
      <c r="C31460" s="374"/>
      <c r="CV31460" s="376"/>
    </row>
    <row r="31461" spans="1:100">
      <c r="A31461" s="374"/>
      <c r="C31461" s="374"/>
      <c r="CV31461" s="376"/>
    </row>
    <row r="31462" spans="1:100">
      <c r="A31462" s="374"/>
      <c r="C31462" s="374"/>
      <c r="CV31462" s="376"/>
    </row>
    <row r="31463" spans="1:100">
      <c r="A31463" s="374"/>
      <c r="C31463" s="374"/>
      <c r="CV31463" s="376"/>
    </row>
    <row r="31464" spans="1:100">
      <c r="A31464" s="374"/>
      <c r="C31464" s="374"/>
      <c r="CV31464" s="376"/>
    </row>
    <row r="31465" spans="1:100">
      <c r="A31465" s="374"/>
      <c r="C31465" s="374"/>
      <c r="CV31465" s="376"/>
    </row>
    <row r="31466" spans="1:100">
      <c r="A31466" s="374"/>
      <c r="C31466" s="374"/>
      <c r="CV31466" s="376"/>
    </row>
    <row r="31467" spans="1:100">
      <c r="A31467" s="374"/>
      <c r="C31467" s="374"/>
      <c r="CV31467" s="376"/>
    </row>
    <row r="31468" spans="1:100">
      <c r="A31468" s="374"/>
      <c r="C31468" s="374"/>
      <c r="CV31468" s="376"/>
    </row>
    <row r="31469" spans="1:100">
      <c r="A31469" s="374"/>
      <c r="C31469" s="374"/>
      <c r="CV31469" s="376"/>
    </row>
    <row r="31470" spans="1:100">
      <c r="A31470" s="374"/>
      <c r="C31470" s="374"/>
      <c r="CV31470" s="376"/>
    </row>
    <row r="31471" spans="1:100">
      <c r="A31471" s="374"/>
      <c r="C31471" s="374"/>
      <c r="CV31471" s="376"/>
    </row>
    <row r="31472" spans="1:100">
      <c r="A31472" s="374"/>
      <c r="C31472" s="374"/>
      <c r="CV31472" s="376"/>
    </row>
    <row r="31473" spans="1:100">
      <c r="A31473" s="374"/>
      <c r="C31473" s="374"/>
      <c r="CV31473" s="376"/>
    </row>
    <row r="31474" spans="1:100">
      <c r="A31474" s="374"/>
      <c r="C31474" s="374"/>
      <c r="CV31474" s="376"/>
    </row>
    <row r="31475" spans="1:100">
      <c r="A31475" s="374"/>
      <c r="C31475" s="374"/>
      <c r="CV31475" s="376"/>
    </row>
    <row r="31476" spans="1:100">
      <c r="A31476" s="374"/>
      <c r="C31476" s="374"/>
      <c r="CV31476" s="376"/>
    </row>
    <row r="31477" spans="1:100">
      <c r="A31477" s="374"/>
      <c r="C31477" s="374"/>
      <c r="CV31477" s="376"/>
    </row>
    <row r="31478" spans="1:100">
      <c r="A31478" s="374"/>
      <c r="C31478" s="374"/>
      <c r="CV31478" s="376"/>
    </row>
    <row r="31479" spans="1:100">
      <c r="A31479" s="374"/>
      <c r="C31479" s="374"/>
      <c r="CV31479" s="376"/>
    </row>
    <row r="31480" spans="1:100">
      <c r="A31480" s="374"/>
      <c r="C31480" s="374"/>
      <c r="CV31480" s="376"/>
    </row>
    <row r="31481" spans="1:100">
      <c r="A31481" s="374"/>
      <c r="C31481" s="374"/>
      <c r="CV31481" s="376"/>
    </row>
    <row r="31482" spans="1:100">
      <c r="A31482" s="374"/>
      <c r="C31482" s="374"/>
      <c r="CV31482" s="376"/>
    </row>
    <row r="31483" spans="1:100">
      <c r="A31483" s="374"/>
      <c r="C31483" s="374"/>
      <c r="CV31483" s="376"/>
    </row>
    <row r="31484" spans="1:100">
      <c r="A31484" s="374"/>
      <c r="C31484" s="374"/>
      <c r="CV31484" s="376"/>
    </row>
    <row r="31485" spans="1:100">
      <c r="A31485" s="374"/>
      <c r="C31485" s="374"/>
      <c r="CV31485" s="376"/>
    </row>
    <row r="31486" spans="1:100">
      <c r="A31486" s="374"/>
      <c r="C31486" s="374"/>
      <c r="CV31486" s="376"/>
    </row>
    <row r="31487" spans="1:100">
      <c r="A31487" s="374"/>
      <c r="C31487" s="374"/>
      <c r="CV31487" s="376"/>
    </row>
    <row r="31488" spans="1:100">
      <c r="A31488" s="374"/>
      <c r="C31488" s="374"/>
      <c r="CV31488" s="376"/>
    </row>
    <row r="31489" spans="1:100">
      <c r="A31489" s="374"/>
      <c r="C31489" s="374"/>
      <c r="CV31489" s="376"/>
    </row>
    <row r="31490" spans="1:100">
      <c r="A31490" s="374"/>
      <c r="C31490" s="374"/>
      <c r="CV31490" s="376"/>
    </row>
    <row r="31491" spans="1:100">
      <c r="A31491" s="374"/>
      <c r="C31491" s="374"/>
      <c r="CV31491" s="376"/>
    </row>
    <row r="31492" spans="1:100">
      <c r="A31492" s="374"/>
      <c r="C31492" s="374"/>
      <c r="CV31492" s="376"/>
    </row>
    <row r="31493" spans="1:100">
      <c r="A31493" s="374"/>
      <c r="C31493" s="374"/>
      <c r="CV31493" s="376"/>
    </row>
    <row r="31494" spans="1:100">
      <c r="A31494" s="374"/>
      <c r="C31494" s="374"/>
      <c r="CV31494" s="376"/>
    </row>
    <row r="31495" spans="1:100">
      <c r="A31495" s="374"/>
      <c r="C31495" s="374"/>
      <c r="CV31495" s="376"/>
    </row>
    <row r="31496" spans="1:100">
      <c r="A31496" s="374"/>
      <c r="C31496" s="374"/>
      <c r="CV31496" s="376"/>
    </row>
    <row r="31497" spans="1:100">
      <c r="A31497" s="374"/>
      <c r="C31497" s="374"/>
      <c r="CV31497" s="376"/>
    </row>
    <row r="31498" spans="1:100">
      <c r="A31498" s="374"/>
      <c r="C31498" s="374"/>
      <c r="CV31498" s="376"/>
    </row>
    <row r="31499" spans="1:100">
      <c r="A31499" s="374"/>
      <c r="C31499" s="374"/>
      <c r="CV31499" s="376"/>
    </row>
    <row r="31500" spans="1:100">
      <c r="A31500" s="374"/>
      <c r="C31500" s="374"/>
      <c r="CV31500" s="376"/>
    </row>
    <row r="31501" spans="1:100">
      <c r="A31501" s="374"/>
      <c r="C31501" s="374"/>
      <c r="CV31501" s="376"/>
    </row>
    <row r="31502" spans="1:100">
      <c r="A31502" s="374"/>
      <c r="C31502" s="374"/>
      <c r="CV31502" s="376"/>
    </row>
    <row r="31503" spans="1:100">
      <c r="A31503" s="374"/>
      <c r="C31503" s="374"/>
      <c r="CV31503" s="376"/>
    </row>
    <row r="31504" spans="1:100">
      <c r="A31504" s="374"/>
      <c r="C31504" s="374"/>
      <c r="CV31504" s="376"/>
    </row>
    <row r="31505" spans="1:100">
      <c r="A31505" s="374"/>
      <c r="C31505" s="374"/>
      <c r="CV31505" s="376"/>
    </row>
    <row r="31506" spans="1:100">
      <c r="A31506" s="374"/>
      <c r="C31506" s="374"/>
      <c r="CV31506" s="376"/>
    </row>
    <row r="31507" spans="1:100">
      <c r="A31507" s="374"/>
      <c r="C31507" s="374"/>
      <c r="CV31507" s="376"/>
    </row>
    <row r="31508" spans="1:100">
      <c r="A31508" s="374"/>
      <c r="C31508" s="374"/>
      <c r="CV31508" s="376"/>
    </row>
    <row r="31509" spans="1:100">
      <c r="A31509" s="374"/>
      <c r="C31509" s="374"/>
      <c r="CV31509" s="376"/>
    </row>
    <row r="31510" spans="1:100">
      <c r="A31510" s="374"/>
      <c r="C31510" s="374"/>
      <c r="CV31510" s="376"/>
    </row>
    <row r="31511" spans="1:100">
      <c r="A31511" s="374"/>
      <c r="C31511" s="374"/>
      <c r="CV31511" s="376"/>
    </row>
    <row r="31512" spans="1:100">
      <c r="A31512" s="374"/>
      <c r="C31512" s="374"/>
      <c r="CV31512" s="376"/>
    </row>
    <row r="31513" spans="1:100">
      <c r="A31513" s="374"/>
      <c r="C31513" s="374"/>
      <c r="CV31513" s="376"/>
    </row>
    <row r="31514" spans="1:100">
      <c r="A31514" s="374"/>
      <c r="C31514" s="374"/>
      <c r="CV31514" s="376"/>
    </row>
    <row r="31515" spans="1:100">
      <c r="A31515" s="374"/>
      <c r="C31515" s="374"/>
      <c r="CV31515" s="376"/>
    </row>
    <row r="31516" spans="1:100">
      <c r="A31516" s="374"/>
      <c r="C31516" s="374"/>
      <c r="CV31516" s="376"/>
    </row>
    <row r="31517" spans="1:100">
      <c r="A31517" s="374"/>
      <c r="C31517" s="374"/>
      <c r="CV31517" s="376"/>
    </row>
    <row r="31518" spans="1:100">
      <c r="A31518" s="374"/>
      <c r="C31518" s="374"/>
      <c r="CV31518" s="376"/>
    </row>
    <row r="31519" spans="1:100">
      <c r="A31519" s="374"/>
      <c r="C31519" s="374"/>
      <c r="CV31519" s="376"/>
    </row>
    <row r="31520" spans="1:100">
      <c r="A31520" s="374"/>
      <c r="C31520" s="374"/>
      <c r="CV31520" s="376"/>
    </row>
    <row r="31521" spans="1:100">
      <c r="A31521" s="374"/>
      <c r="C31521" s="374"/>
      <c r="CV31521" s="376"/>
    </row>
    <row r="31522" spans="1:100">
      <c r="A31522" s="374"/>
      <c r="C31522" s="374"/>
      <c r="CV31522" s="376"/>
    </row>
    <row r="31523" spans="1:100">
      <c r="A31523" s="374"/>
      <c r="C31523" s="374"/>
      <c r="CV31523" s="376"/>
    </row>
    <row r="31524" spans="1:100">
      <c r="A31524" s="374"/>
      <c r="C31524" s="374"/>
      <c r="CV31524" s="376"/>
    </row>
    <row r="31525" spans="1:100">
      <c r="A31525" s="374"/>
      <c r="C31525" s="374"/>
      <c r="CV31525" s="376"/>
    </row>
    <row r="31526" spans="1:100">
      <c r="A31526" s="374"/>
      <c r="C31526" s="374"/>
      <c r="CV31526" s="376"/>
    </row>
    <row r="31527" spans="1:100">
      <c r="A31527" s="374"/>
      <c r="C31527" s="374"/>
      <c r="CV31527" s="376"/>
    </row>
    <row r="31528" spans="1:100">
      <c r="A31528" s="374"/>
      <c r="C31528" s="374"/>
      <c r="CV31528" s="376"/>
    </row>
    <row r="31529" spans="1:100">
      <c r="A31529" s="374"/>
      <c r="C31529" s="374"/>
      <c r="CV31529" s="376"/>
    </row>
    <row r="31530" spans="1:100">
      <c r="A31530" s="374"/>
      <c r="C31530" s="374"/>
      <c r="CV31530" s="376"/>
    </row>
    <row r="31531" spans="1:100">
      <c r="A31531" s="374"/>
      <c r="C31531" s="374"/>
      <c r="CV31531" s="376"/>
    </row>
    <row r="31532" spans="1:100">
      <c r="A31532" s="374"/>
      <c r="C31532" s="374"/>
      <c r="CV31532" s="376"/>
    </row>
    <row r="31533" spans="1:100">
      <c r="A31533" s="374"/>
      <c r="C31533" s="374"/>
      <c r="CV31533" s="376"/>
    </row>
    <row r="31534" spans="1:100">
      <c r="A31534" s="374"/>
      <c r="C31534" s="374"/>
      <c r="CV31534" s="376"/>
    </row>
    <row r="31535" spans="1:100">
      <c r="A31535" s="374"/>
      <c r="C31535" s="374"/>
      <c r="CV31535" s="376"/>
    </row>
    <row r="31536" spans="1:100">
      <c r="A31536" s="374"/>
      <c r="C31536" s="374"/>
      <c r="CV31536" s="376"/>
    </row>
    <row r="31537" spans="1:100">
      <c r="A31537" s="374"/>
      <c r="C31537" s="374"/>
      <c r="CV31537" s="376"/>
    </row>
    <row r="31538" spans="1:100">
      <c r="A31538" s="374"/>
      <c r="C31538" s="374"/>
      <c r="CV31538" s="376"/>
    </row>
    <row r="31539" spans="1:100">
      <c r="A31539" s="374"/>
      <c r="C31539" s="374"/>
      <c r="CV31539" s="376"/>
    </row>
    <row r="31540" spans="1:100">
      <c r="A31540" s="374"/>
      <c r="C31540" s="374"/>
      <c r="CV31540" s="376"/>
    </row>
    <row r="31541" spans="1:100">
      <c r="A31541" s="374"/>
      <c r="C31541" s="374"/>
      <c r="CV31541" s="376"/>
    </row>
    <row r="31542" spans="1:100">
      <c r="A31542" s="374"/>
      <c r="C31542" s="374"/>
      <c r="CV31542" s="376"/>
    </row>
    <row r="31543" spans="1:100">
      <c r="A31543" s="374"/>
      <c r="C31543" s="374"/>
      <c r="CV31543" s="376"/>
    </row>
    <row r="31544" spans="1:100">
      <c r="A31544" s="374"/>
      <c r="C31544" s="374"/>
      <c r="CV31544" s="376"/>
    </row>
    <row r="31545" spans="1:100">
      <c r="A31545" s="374"/>
      <c r="C31545" s="374"/>
      <c r="CV31545" s="376"/>
    </row>
    <row r="31546" spans="1:100">
      <c r="A31546" s="374"/>
      <c r="C31546" s="374"/>
      <c r="CV31546" s="376"/>
    </row>
    <row r="31547" spans="1:100">
      <c r="A31547" s="374"/>
      <c r="C31547" s="374"/>
      <c r="CV31547" s="376"/>
    </row>
    <row r="31548" spans="1:100">
      <c r="A31548" s="374"/>
      <c r="C31548" s="374"/>
      <c r="CV31548" s="376"/>
    </row>
    <row r="31549" spans="1:100">
      <c r="A31549" s="374"/>
      <c r="C31549" s="374"/>
      <c r="CV31549" s="376"/>
    </row>
    <row r="31550" spans="1:100">
      <c r="A31550" s="374"/>
      <c r="C31550" s="374"/>
      <c r="CV31550" s="376"/>
    </row>
    <row r="31551" spans="1:100">
      <c r="A31551" s="374"/>
      <c r="C31551" s="374"/>
      <c r="CV31551" s="376"/>
    </row>
    <row r="31552" spans="1:100">
      <c r="A31552" s="374"/>
      <c r="C31552" s="374"/>
      <c r="CV31552" s="376"/>
    </row>
    <row r="31553" spans="1:100">
      <c r="A31553" s="374"/>
      <c r="C31553" s="374"/>
      <c r="CV31553" s="376"/>
    </row>
    <row r="31554" spans="1:100">
      <c r="A31554" s="374"/>
      <c r="C31554" s="374"/>
      <c r="CV31554" s="376"/>
    </row>
    <row r="31555" spans="1:100">
      <c r="A31555" s="374"/>
      <c r="C31555" s="374"/>
      <c r="CV31555" s="376"/>
    </row>
    <row r="31556" spans="1:100">
      <c r="A31556" s="374"/>
      <c r="C31556" s="374"/>
      <c r="CV31556" s="376"/>
    </row>
    <row r="31557" spans="1:100">
      <c r="A31557" s="374"/>
      <c r="C31557" s="374"/>
      <c r="CV31557" s="376"/>
    </row>
    <row r="31558" spans="1:100">
      <c r="A31558" s="374"/>
      <c r="C31558" s="374"/>
      <c r="CV31558" s="376"/>
    </row>
    <row r="31559" spans="1:100">
      <c r="A31559" s="374"/>
      <c r="C31559" s="374"/>
      <c r="CV31559" s="376"/>
    </row>
    <row r="31560" spans="1:100">
      <c r="A31560" s="374"/>
      <c r="C31560" s="374"/>
      <c r="CV31560" s="376"/>
    </row>
    <row r="31561" spans="1:100">
      <c r="A31561" s="374"/>
      <c r="C31561" s="374"/>
      <c r="CV31561" s="376"/>
    </row>
    <row r="31562" spans="1:100">
      <c r="A31562" s="374"/>
      <c r="C31562" s="374"/>
      <c r="CV31562" s="376"/>
    </row>
    <row r="31563" spans="1:100">
      <c r="A31563" s="374"/>
      <c r="C31563" s="374"/>
      <c r="CV31563" s="376"/>
    </row>
    <row r="31564" spans="1:100">
      <c r="A31564" s="374"/>
      <c r="C31564" s="374"/>
      <c r="CV31564" s="376"/>
    </row>
    <row r="31565" spans="1:100">
      <c r="A31565" s="374"/>
      <c r="C31565" s="374"/>
      <c r="CV31565" s="376"/>
    </row>
    <row r="31566" spans="1:100">
      <c r="A31566" s="374"/>
      <c r="C31566" s="374"/>
      <c r="CV31566" s="376"/>
    </row>
    <row r="31567" spans="1:100">
      <c r="A31567" s="374"/>
      <c r="C31567" s="374"/>
      <c r="CV31567" s="376"/>
    </row>
    <row r="31568" spans="1:100">
      <c r="A31568" s="374"/>
      <c r="C31568" s="374"/>
      <c r="CV31568" s="376"/>
    </row>
    <row r="31569" spans="1:100">
      <c r="A31569" s="374"/>
      <c r="C31569" s="374"/>
      <c r="CV31569" s="376"/>
    </row>
    <row r="31570" spans="1:100">
      <c r="A31570" s="374"/>
      <c r="C31570" s="374"/>
      <c r="CV31570" s="376"/>
    </row>
    <row r="31571" spans="1:100">
      <c r="A31571" s="374"/>
      <c r="C31571" s="374"/>
      <c r="CV31571" s="376"/>
    </row>
    <row r="31572" spans="1:100">
      <c r="A31572" s="374"/>
      <c r="C31572" s="374"/>
      <c r="CV31572" s="376"/>
    </row>
    <row r="31573" spans="1:100">
      <c r="A31573" s="374"/>
      <c r="C31573" s="374"/>
      <c r="CV31573" s="376"/>
    </row>
    <row r="31574" spans="1:100">
      <c r="A31574" s="374"/>
      <c r="C31574" s="374"/>
      <c r="CV31574" s="376"/>
    </row>
    <row r="31575" spans="1:100">
      <c r="A31575" s="374"/>
      <c r="C31575" s="374"/>
      <c r="CV31575" s="376"/>
    </row>
    <row r="31576" spans="1:100">
      <c r="A31576" s="374"/>
      <c r="C31576" s="374"/>
      <c r="CV31576" s="376"/>
    </row>
    <row r="31577" spans="1:100">
      <c r="A31577" s="374"/>
      <c r="C31577" s="374"/>
      <c r="CV31577" s="376"/>
    </row>
    <row r="31578" spans="1:100">
      <c r="A31578" s="374"/>
      <c r="C31578" s="374"/>
      <c r="CV31578" s="376"/>
    </row>
    <row r="31579" spans="1:100">
      <c r="A31579" s="374"/>
      <c r="C31579" s="374"/>
      <c r="CV31579" s="376"/>
    </row>
    <row r="31580" spans="1:100">
      <c r="A31580" s="374"/>
      <c r="C31580" s="374"/>
      <c r="CV31580" s="376"/>
    </row>
    <row r="31581" spans="1:100">
      <c r="A31581" s="374"/>
      <c r="C31581" s="374"/>
      <c r="CV31581" s="376"/>
    </row>
    <row r="31582" spans="1:100">
      <c r="A31582" s="374"/>
      <c r="C31582" s="374"/>
      <c r="CV31582" s="376"/>
    </row>
    <row r="31583" spans="1:100">
      <c r="A31583" s="374"/>
      <c r="C31583" s="374"/>
      <c r="CV31583" s="376"/>
    </row>
    <row r="31584" spans="1:100">
      <c r="A31584" s="374"/>
      <c r="C31584" s="374"/>
      <c r="CV31584" s="376"/>
    </row>
    <row r="31585" spans="1:100">
      <c r="A31585" s="374"/>
      <c r="C31585" s="374"/>
      <c r="CV31585" s="376"/>
    </row>
    <row r="31586" spans="1:100">
      <c r="A31586" s="374"/>
      <c r="C31586" s="374"/>
      <c r="CV31586" s="376"/>
    </row>
    <row r="31587" spans="1:100">
      <c r="A31587" s="374"/>
      <c r="C31587" s="374"/>
      <c r="CV31587" s="376"/>
    </row>
    <row r="31588" spans="1:100">
      <c r="A31588" s="374"/>
      <c r="C31588" s="374"/>
      <c r="CV31588" s="376"/>
    </row>
    <row r="31589" spans="1:100">
      <c r="A31589" s="374"/>
      <c r="C31589" s="374"/>
      <c r="CV31589" s="376"/>
    </row>
    <row r="31590" spans="1:100">
      <c r="A31590" s="374"/>
      <c r="C31590" s="374"/>
      <c r="CV31590" s="376"/>
    </row>
    <row r="31591" spans="1:100">
      <c r="A31591" s="374"/>
      <c r="C31591" s="374"/>
      <c r="CV31591" s="376"/>
    </row>
    <row r="31592" spans="1:100">
      <c r="A31592" s="374"/>
      <c r="C31592" s="374"/>
      <c r="CV31592" s="376"/>
    </row>
    <row r="31593" spans="1:100">
      <c r="A31593" s="374"/>
      <c r="C31593" s="374"/>
      <c r="CV31593" s="376"/>
    </row>
    <row r="31594" spans="1:100">
      <c r="A31594" s="374"/>
      <c r="C31594" s="374"/>
      <c r="CV31594" s="376"/>
    </row>
    <row r="31595" spans="1:100">
      <c r="A31595" s="374"/>
      <c r="C31595" s="374"/>
      <c r="CV31595" s="376"/>
    </row>
    <row r="31596" spans="1:100">
      <c r="A31596" s="374"/>
      <c r="C31596" s="374"/>
      <c r="CV31596" s="376"/>
    </row>
    <row r="31597" spans="1:100">
      <c r="A31597" s="374"/>
      <c r="C31597" s="374"/>
      <c r="CV31597" s="376"/>
    </row>
    <row r="31598" spans="1:100">
      <c r="A31598" s="374"/>
      <c r="C31598" s="374"/>
      <c r="CV31598" s="376"/>
    </row>
    <row r="31599" spans="1:100">
      <c r="A31599" s="374"/>
      <c r="C31599" s="374"/>
      <c r="CV31599" s="376"/>
    </row>
    <row r="31600" spans="1:100">
      <c r="A31600" s="374"/>
      <c r="C31600" s="374"/>
      <c r="CV31600" s="376"/>
    </row>
    <row r="31601" spans="1:100">
      <c r="A31601" s="374"/>
      <c r="C31601" s="374"/>
      <c r="CV31601" s="376"/>
    </row>
    <row r="31602" spans="1:100">
      <c r="A31602" s="374"/>
      <c r="C31602" s="374"/>
      <c r="CV31602" s="376"/>
    </row>
    <row r="31603" spans="1:100">
      <c r="A31603" s="374"/>
      <c r="C31603" s="374"/>
      <c r="CV31603" s="376"/>
    </row>
    <row r="31604" spans="1:100">
      <c r="A31604" s="374"/>
      <c r="C31604" s="374"/>
      <c r="CV31604" s="376"/>
    </row>
    <row r="31605" spans="1:100">
      <c r="A31605" s="374"/>
      <c r="C31605" s="374"/>
      <c r="CV31605" s="376"/>
    </row>
    <row r="31606" spans="1:100">
      <c r="A31606" s="374"/>
      <c r="C31606" s="374"/>
      <c r="CV31606" s="376"/>
    </row>
    <row r="31607" spans="1:100">
      <c r="A31607" s="374"/>
      <c r="C31607" s="374"/>
      <c r="CV31607" s="376"/>
    </row>
    <row r="31608" spans="1:100">
      <c r="A31608" s="374"/>
      <c r="C31608" s="374"/>
      <c r="CV31608" s="376"/>
    </row>
    <row r="31609" spans="1:100">
      <c r="A31609" s="374"/>
      <c r="C31609" s="374"/>
      <c r="CV31609" s="376"/>
    </row>
    <row r="31610" spans="1:100">
      <c r="A31610" s="374"/>
      <c r="C31610" s="374"/>
      <c r="CV31610" s="376"/>
    </row>
    <row r="31611" spans="1:100">
      <c r="A31611" s="374"/>
      <c r="C31611" s="374"/>
      <c r="CV31611" s="376"/>
    </row>
    <row r="31612" spans="1:100">
      <c r="A31612" s="374"/>
      <c r="C31612" s="374"/>
      <c r="CV31612" s="376"/>
    </row>
    <row r="31613" spans="1:100">
      <c r="A31613" s="374"/>
      <c r="C31613" s="374"/>
      <c r="CV31613" s="376"/>
    </row>
    <row r="31614" spans="1:100">
      <c r="A31614" s="374"/>
      <c r="C31614" s="374"/>
      <c r="CV31614" s="376"/>
    </row>
    <row r="31615" spans="1:100">
      <c r="A31615" s="374"/>
      <c r="C31615" s="374"/>
      <c r="CV31615" s="376"/>
    </row>
    <row r="31616" spans="1:100">
      <c r="A31616" s="374"/>
      <c r="C31616" s="374"/>
      <c r="CV31616" s="376"/>
    </row>
    <row r="31617" spans="1:100">
      <c r="A31617" s="374"/>
      <c r="C31617" s="374"/>
      <c r="CV31617" s="376"/>
    </row>
    <row r="31618" spans="1:100">
      <c r="A31618" s="374"/>
      <c r="C31618" s="374"/>
      <c r="CV31618" s="376"/>
    </row>
    <row r="31619" spans="1:100">
      <c r="A31619" s="374"/>
      <c r="C31619" s="374"/>
      <c r="CV31619" s="376"/>
    </row>
    <row r="31620" spans="1:100">
      <c r="A31620" s="374"/>
      <c r="C31620" s="374"/>
      <c r="CV31620" s="376"/>
    </row>
    <row r="31621" spans="1:100">
      <c r="A31621" s="374"/>
      <c r="C31621" s="374"/>
      <c r="CV31621" s="376"/>
    </row>
    <row r="31622" spans="1:100">
      <c r="A31622" s="374"/>
      <c r="C31622" s="374"/>
      <c r="CV31622" s="376"/>
    </row>
    <row r="31623" spans="1:100">
      <c r="A31623" s="374"/>
      <c r="C31623" s="374"/>
      <c r="CV31623" s="376"/>
    </row>
    <row r="31624" spans="1:100">
      <c r="A31624" s="374"/>
      <c r="C31624" s="374"/>
      <c r="CV31624" s="376"/>
    </row>
    <row r="31625" spans="1:100">
      <c r="A31625" s="374"/>
      <c r="C31625" s="374"/>
      <c r="CV31625" s="376"/>
    </row>
    <row r="31626" spans="1:100">
      <c r="A31626" s="374"/>
      <c r="C31626" s="374"/>
      <c r="CV31626" s="376"/>
    </row>
    <row r="31627" spans="1:100">
      <c r="A31627" s="374"/>
      <c r="C31627" s="374"/>
      <c r="CV31627" s="376"/>
    </row>
    <row r="31628" spans="1:100">
      <c r="A31628" s="374"/>
      <c r="C31628" s="374"/>
      <c r="CV31628" s="376"/>
    </row>
    <row r="31629" spans="1:100">
      <c r="A31629" s="374"/>
      <c r="C31629" s="374"/>
      <c r="CV31629" s="376"/>
    </row>
    <row r="31630" spans="1:100">
      <c r="A31630" s="374"/>
      <c r="C31630" s="374"/>
      <c r="CV31630" s="376"/>
    </row>
    <row r="31631" spans="1:100">
      <c r="A31631" s="374"/>
      <c r="C31631" s="374"/>
      <c r="CV31631" s="376"/>
    </row>
    <row r="31632" spans="1:100">
      <c r="A31632" s="374"/>
      <c r="C31632" s="374"/>
      <c r="CV31632" s="376"/>
    </row>
    <row r="31633" spans="1:100">
      <c r="A31633" s="374"/>
      <c r="C31633" s="374"/>
      <c r="CV31633" s="376"/>
    </row>
    <row r="31634" spans="1:100">
      <c r="A31634" s="374"/>
      <c r="C31634" s="374"/>
      <c r="CV31634" s="376"/>
    </row>
    <row r="31635" spans="1:100">
      <c r="A31635" s="374"/>
      <c r="C31635" s="374"/>
      <c r="CV31635" s="376"/>
    </row>
    <row r="31636" spans="1:100">
      <c r="A31636" s="374"/>
      <c r="C31636" s="374"/>
      <c r="CV31636" s="376"/>
    </row>
    <row r="31637" spans="1:100">
      <c r="A31637" s="374"/>
      <c r="C31637" s="374"/>
      <c r="CV31637" s="376"/>
    </row>
    <row r="31638" spans="1:100">
      <c r="A31638" s="374"/>
      <c r="C31638" s="374"/>
      <c r="CV31638" s="376"/>
    </row>
    <row r="31639" spans="1:100">
      <c r="A31639" s="374"/>
      <c r="C31639" s="374"/>
      <c r="CV31639" s="376"/>
    </row>
    <row r="31640" spans="1:100">
      <c r="A31640" s="374"/>
      <c r="C31640" s="374"/>
      <c r="CV31640" s="376"/>
    </row>
    <row r="31641" spans="1:100">
      <c r="A31641" s="374"/>
      <c r="C31641" s="374"/>
      <c r="CV31641" s="376"/>
    </row>
    <row r="31642" spans="1:100">
      <c r="A31642" s="374"/>
      <c r="C31642" s="374"/>
      <c r="CV31642" s="376"/>
    </row>
    <row r="31643" spans="1:100">
      <c r="A31643" s="374"/>
      <c r="C31643" s="374"/>
      <c r="CV31643" s="376"/>
    </row>
    <row r="31644" spans="1:100">
      <c r="A31644" s="374"/>
      <c r="C31644" s="374"/>
      <c r="CV31644" s="376"/>
    </row>
    <row r="31645" spans="1:100">
      <c r="A31645" s="374"/>
      <c r="C31645" s="374"/>
      <c r="CV31645" s="376"/>
    </row>
    <row r="31646" spans="1:100">
      <c r="A31646" s="374"/>
      <c r="C31646" s="374"/>
      <c r="CV31646" s="376"/>
    </row>
    <row r="31647" spans="1:100">
      <c r="A31647" s="374"/>
      <c r="C31647" s="374"/>
      <c r="CV31647" s="376"/>
    </row>
    <row r="31648" spans="1:100">
      <c r="A31648" s="374"/>
      <c r="C31648" s="374"/>
      <c r="CV31648" s="376"/>
    </row>
    <row r="31649" spans="1:100">
      <c r="A31649" s="374"/>
      <c r="C31649" s="374"/>
      <c r="CV31649" s="376"/>
    </row>
    <row r="31650" spans="1:100">
      <c r="A31650" s="374"/>
      <c r="C31650" s="374"/>
      <c r="CV31650" s="376"/>
    </row>
    <row r="31651" spans="1:100">
      <c r="A31651" s="374"/>
      <c r="C31651" s="374"/>
      <c r="CV31651" s="376"/>
    </row>
    <row r="31652" spans="1:100">
      <c r="A31652" s="374"/>
      <c r="C31652" s="374"/>
      <c r="CV31652" s="376"/>
    </row>
    <row r="31653" spans="1:100">
      <c r="A31653" s="374"/>
      <c r="C31653" s="374"/>
      <c r="CV31653" s="376"/>
    </row>
    <row r="31654" spans="1:100">
      <c r="A31654" s="374"/>
      <c r="C31654" s="374"/>
      <c r="CV31654" s="376"/>
    </row>
    <row r="31655" spans="1:100">
      <c r="A31655" s="374"/>
      <c r="C31655" s="374"/>
      <c r="CV31655" s="376"/>
    </row>
    <row r="31656" spans="1:100">
      <c r="A31656" s="374"/>
      <c r="C31656" s="374"/>
      <c r="CV31656" s="376"/>
    </row>
    <row r="31657" spans="1:100">
      <c r="A31657" s="374"/>
      <c r="C31657" s="374"/>
      <c r="CV31657" s="376"/>
    </row>
    <row r="31658" spans="1:100">
      <c r="A31658" s="374"/>
      <c r="C31658" s="374"/>
      <c r="CV31658" s="376"/>
    </row>
    <row r="31659" spans="1:100">
      <c r="A31659" s="374"/>
      <c r="C31659" s="374"/>
      <c r="CV31659" s="376"/>
    </row>
    <row r="31660" spans="1:100">
      <c r="A31660" s="374"/>
      <c r="C31660" s="374"/>
      <c r="CV31660" s="376"/>
    </row>
    <row r="31661" spans="1:100">
      <c r="A31661" s="374"/>
      <c r="C31661" s="374"/>
      <c r="CV31661" s="376"/>
    </row>
    <row r="31662" spans="1:100">
      <c r="A31662" s="374"/>
      <c r="C31662" s="374"/>
      <c r="CV31662" s="376"/>
    </row>
    <row r="31663" spans="1:100">
      <c r="A31663" s="374"/>
      <c r="C31663" s="374"/>
      <c r="CV31663" s="376"/>
    </row>
    <row r="31664" spans="1:100">
      <c r="A31664" s="374"/>
      <c r="C31664" s="374"/>
      <c r="CV31664" s="376"/>
    </row>
    <row r="31665" spans="1:100">
      <c r="A31665" s="374"/>
      <c r="C31665" s="374"/>
      <c r="CV31665" s="376"/>
    </row>
    <row r="31666" spans="1:100">
      <c r="A31666" s="374"/>
      <c r="C31666" s="374"/>
      <c r="CV31666" s="376"/>
    </row>
    <row r="31667" spans="1:100">
      <c r="A31667" s="374"/>
      <c r="C31667" s="374"/>
      <c r="CV31667" s="376"/>
    </row>
    <row r="31668" spans="1:100">
      <c r="A31668" s="374"/>
      <c r="C31668" s="374"/>
      <c r="CV31668" s="376"/>
    </row>
    <row r="31669" spans="1:100">
      <c r="A31669" s="374"/>
      <c r="C31669" s="374"/>
      <c r="CV31669" s="376"/>
    </row>
    <row r="31670" spans="1:100">
      <c r="A31670" s="374"/>
      <c r="C31670" s="374"/>
      <c r="CV31670" s="376"/>
    </row>
    <row r="31671" spans="1:100">
      <c r="A31671" s="374"/>
      <c r="C31671" s="374"/>
      <c r="CV31671" s="376"/>
    </row>
    <row r="31672" spans="1:100">
      <c r="A31672" s="374"/>
      <c r="C31672" s="374"/>
      <c r="CV31672" s="376"/>
    </row>
    <row r="31673" spans="1:100">
      <c r="A31673" s="374"/>
      <c r="C31673" s="374"/>
      <c r="CV31673" s="376"/>
    </row>
    <row r="31674" spans="1:100">
      <c r="A31674" s="374"/>
      <c r="C31674" s="374"/>
      <c r="CV31674" s="376"/>
    </row>
    <row r="31675" spans="1:100">
      <c r="A31675" s="374"/>
      <c r="C31675" s="374"/>
      <c r="CV31675" s="376"/>
    </row>
    <row r="31676" spans="1:100">
      <c r="A31676" s="374"/>
      <c r="C31676" s="374"/>
      <c r="CV31676" s="376"/>
    </row>
    <row r="31677" spans="1:100">
      <c r="A31677" s="374"/>
      <c r="C31677" s="374"/>
      <c r="CV31677" s="376"/>
    </row>
    <row r="31678" spans="1:100">
      <c r="A31678" s="374"/>
      <c r="C31678" s="374"/>
      <c r="CV31678" s="376"/>
    </row>
    <row r="31679" spans="1:100">
      <c r="A31679" s="374"/>
      <c r="C31679" s="374"/>
      <c r="CV31679" s="376"/>
    </row>
    <row r="31680" spans="1:100">
      <c r="A31680" s="374"/>
      <c r="C31680" s="374"/>
      <c r="CV31680" s="376"/>
    </row>
    <row r="31681" spans="1:100">
      <c r="A31681" s="374"/>
      <c r="C31681" s="374"/>
      <c r="CV31681" s="376"/>
    </row>
    <row r="31682" spans="1:100">
      <c r="A31682" s="374"/>
      <c r="C31682" s="374"/>
      <c r="CV31682" s="376"/>
    </row>
    <row r="31683" spans="1:100">
      <c r="A31683" s="374"/>
      <c r="C31683" s="374"/>
      <c r="CV31683" s="376"/>
    </row>
    <row r="31684" spans="1:100">
      <c r="A31684" s="374"/>
      <c r="C31684" s="374"/>
      <c r="CV31684" s="376"/>
    </row>
    <row r="31685" spans="1:100">
      <c r="A31685" s="374"/>
      <c r="C31685" s="374"/>
      <c r="CV31685" s="376"/>
    </row>
    <row r="31686" spans="1:100">
      <c r="A31686" s="374"/>
      <c r="C31686" s="374"/>
      <c r="CV31686" s="376"/>
    </row>
    <row r="31687" spans="1:100">
      <c r="A31687" s="374"/>
      <c r="C31687" s="374"/>
      <c r="CV31687" s="376"/>
    </row>
    <row r="31688" spans="1:100">
      <c r="A31688" s="374"/>
      <c r="C31688" s="374"/>
      <c r="CV31688" s="376"/>
    </row>
    <row r="31689" spans="1:100">
      <c r="A31689" s="374"/>
      <c r="C31689" s="374"/>
      <c r="CV31689" s="376"/>
    </row>
    <row r="31690" spans="1:100">
      <c r="A31690" s="374"/>
      <c r="C31690" s="374"/>
      <c r="CV31690" s="376"/>
    </row>
    <row r="31691" spans="1:100">
      <c r="A31691" s="374"/>
      <c r="C31691" s="374"/>
      <c r="CV31691" s="376"/>
    </row>
    <row r="31692" spans="1:100">
      <c r="A31692" s="374"/>
      <c r="C31692" s="374"/>
      <c r="CV31692" s="376"/>
    </row>
    <row r="31693" spans="1:100">
      <c r="A31693" s="374"/>
      <c r="C31693" s="374"/>
      <c r="CV31693" s="376"/>
    </row>
    <row r="31694" spans="1:100">
      <c r="A31694" s="374"/>
      <c r="C31694" s="374"/>
      <c r="CV31694" s="376"/>
    </row>
    <row r="31695" spans="1:100">
      <c r="A31695" s="374"/>
      <c r="C31695" s="374"/>
      <c r="CV31695" s="376"/>
    </row>
    <row r="31696" spans="1:100">
      <c r="A31696" s="374"/>
      <c r="C31696" s="374"/>
      <c r="CV31696" s="376"/>
    </row>
    <row r="31697" spans="1:100">
      <c r="A31697" s="374"/>
      <c r="C31697" s="374"/>
      <c r="CV31697" s="376"/>
    </row>
    <row r="31698" spans="1:100">
      <c r="A31698" s="374"/>
      <c r="C31698" s="374"/>
      <c r="CV31698" s="376"/>
    </row>
    <row r="31699" spans="1:100">
      <c r="A31699" s="374"/>
      <c r="C31699" s="374"/>
      <c r="CV31699" s="376"/>
    </row>
    <row r="31700" spans="1:100">
      <c r="A31700" s="374"/>
      <c r="C31700" s="374"/>
      <c r="CV31700" s="376"/>
    </row>
    <row r="31701" spans="1:100">
      <c r="A31701" s="374"/>
      <c r="C31701" s="374"/>
      <c r="CV31701" s="376"/>
    </row>
    <row r="31702" spans="1:100">
      <c r="A31702" s="374"/>
      <c r="C31702" s="374"/>
      <c r="CV31702" s="376"/>
    </row>
    <row r="31703" spans="1:100">
      <c r="A31703" s="374"/>
      <c r="C31703" s="374"/>
      <c r="CV31703" s="376"/>
    </row>
    <row r="31704" spans="1:100">
      <c r="A31704" s="374"/>
      <c r="C31704" s="374"/>
      <c r="CV31704" s="376"/>
    </row>
    <row r="31705" spans="1:100">
      <c r="A31705" s="374"/>
      <c r="C31705" s="374"/>
      <c r="CV31705" s="376"/>
    </row>
    <row r="31706" spans="1:100">
      <c r="A31706" s="374"/>
      <c r="C31706" s="374"/>
      <c r="CV31706" s="376"/>
    </row>
    <row r="31707" spans="1:100">
      <c r="A31707" s="374"/>
      <c r="C31707" s="374"/>
      <c r="CV31707" s="376"/>
    </row>
    <row r="31708" spans="1:100">
      <c r="A31708" s="374"/>
      <c r="C31708" s="374"/>
      <c r="CV31708" s="376"/>
    </row>
    <row r="31709" spans="1:100">
      <c r="A31709" s="374"/>
      <c r="C31709" s="374"/>
      <c r="CV31709" s="376"/>
    </row>
    <row r="31710" spans="1:100">
      <c r="A31710" s="374"/>
      <c r="C31710" s="374"/>
      <c r="CV31710" s="376"/>
    </row>
    <row r="31711" spans="1:100">
      <c r="A31711" s="374"/>
      <c r="C31711" s="374"/>
      <c r="CV31711" s="376"/>
    </row>
    <row r="31712" spans="1:100">
      <c r="A31712" s="374"/>
      <c r="C31712" s="374"/>
      <c r="CV31712" s="376"/>
    </row>
    <row r="31713" spans="1:100">
      <c r="A31713" s="374"/>
      <c r="C31713" s="374"/>
      <c r="CV31713" s="376"/>
    </row>
    <row r="31714" spans="1:100">
      <c r="A31714" s="374"/>
      <c r="C31714" s="374"/>
      <c r="CV31714" s="376"/>
    </row>
    <row r="31715" spans="1:100">
      <c r="A31715" s="374"/>
      <c r="C31715" s="374"/>
      <c r="CV31715" s="376"/>
    </row>
    <row r="31716" spans="1:100">
      <c r="A31716" s="374"/>
      <c r="C31716" s="374"/>
      <c r="CV31716" s="376"/>
    </row>
    <row r="31717" spans="1:100">
      <c r="A31717" s="374"/>
      <c r="C31717" s="374"/>
      <c r="CV31717" s="376"/>
    </row>
    <row r="31718" spans="1:100">
      <c r="A31718" s="374"/>
      <c r="C31718" s="374"/>
      <c r="CV31718" s="376"/>
    </row>
    <row r="31719" spans="1:100">
      <c r="A31719" s="374"/>
      <c r="C31719" s="374"/>
      <c r="CV31719" s="376"/>
    </row>
    <row r="31720" spans="1:100">
      <c r="A31720" s="374"/>
      <c r="C31720" s="374"/>
      <c r="CV31720" s="376"/>
    </row>
    <row r="31721" spans="1:100">
      <c r="A31721" s="374"/>
      <c r="C31721" s="374"/>
      <c r="CV31721" s="376"/>
    </row>
    <row r="31722" spans="1:100">
      <c r="A31722" s="374"/>
      <c r="C31722" s="374"/>
      <c r="CV31722" s="376"/>
    </row>
    <row r="31723" spans="1:100">
      <c r="A31723" s="374"/>
      <c r="C31723" s="374"/>
      <c r="CV31723" s="376"/>
    </row>
    <row r="31724" spans="1:100">
      <c r="A31724" s="374"/>
      <c r="C31724" s="374"/>
      <c r="CV31724" s="376"/>
    </row>
    <row r="31725" spans="1:100">
      <c r="A31725" s="374"/>
      <c r="C31725" s="374"/>
      <c r="CV31725" s="376"/>
    </row>
    <row r="31726" spans="1:100">
      <c r="A31726" s="374"/>
      <c r="C31726" s="374"/>
      <c r="CV31726" s="376"/>
    </row>
    <row r="31727" spans="1:100">
      <c r="A31727" s="374"/>
      <c r="C31727" s="374"/>
      <c r="CV31727" s="376"/>
    </row>
    <row r="31728" spans="1:100">
      <c r="A31728" s="374"/>
      <c r="C31728" s="374"/>
      <c r="CV31728" s="376"/>
    </row>
    <row r="31729" spans="1:100">
      <c r="A31729" s="374"/>
      <c r="C31729" s="374"/>
      <c r="CV31729" s="376"/>
    </row>
    <row r="31730" spans="1:100">
      <c r="A31730" s="374"/>
      <c r="C31730" s="374"/>
      <c r="CV31730" s="376"/>
    </row>
    <row r="31731" spans="1:100">
      <c r="A31731" s="374"/>
      <c r="C31731" s="374"/>
      <c r="CV31731" s="376"/>
    </row>
    <row r="31732" spans="1:100">
      <c r="A31732" s="374"/>
      <c r="C31732" s="374"/>
      <c r="CV31732" s="376"/>
    </row>
    <row r="31733" spans="1:100">
      <c r="A31733" s="374"/>
      <c r="C31733" s="374"/>
      <c r="CV31733" s="376"/>
    </row>
    <row r="31734" spans="1:100">
      <c r="A31734" s="374"/>
      <c r="C31734" s="374"/>
      <c r="CV31734" s="376"/>
    </row>
    <row r="31735" spans="1:100">
      <c r="A31735" s="374"/>
      <c r="C31735" s="374"/>
      <c r="CV31735" s="376"/>
    </row>
    <row r="31736" spans="1:100">
      <c r="A31736" s="374"/>
      <c r="C31736" s="374"/>
      <c r="CV31736" s="376"/>
    </row>
    <row r="31737" spans="1:100">
      <c r="A31737" s="374"/>
      <c r="C31737" s="374"/>
      <c r="CV31737" s="376"/>
    </row>
    <row r="31738" spans="1:100">
      <c r="A31738" s="374"/>
      <c r="C31738" s="374"/>
      <c r="CV31738" s="376"/>
    </row>
    <row r="31739" spans="1:100">
      <c r="A31739" s="374"/>
      <c r="C31739" s="374"/>
      <c r="CV31739" s="376"/>
    </row>
    <row r="31740" spans="1:100">
      <c r="A31740" s="374"/>
      <c r="C31740" s="374"/>
      <c r="CV31740" s="376"/>
    </row>
    <row r="31741" spans="1:100">
      <c r="A31741" s="374"/>
      <c r="C31741" s="374"/>
      <c r="CV31741" s="376"/>
    </row>
    <row r="31742" spans="1:100">
      <c r="A31742" s="374"/>
      <c r="C31742" s="374"/>
      <c r="CV31742" s="376"/>
    </row>
    <row r="31743" spans="1:100">
      <c r="A31743" s="374"/>
      <c r="C31743" s="374"/>
      <c r="CV31743" s="376"/>
    </row>
    <row r="31744" spans="1:100">
      <c r="A31744" s="374"/>
      <c r="C31744" s="374"/>
      <c r="CV31744" s="376"/>
    </row>
    <row r="31745" spans="1:100">
      <c r="A31745" s="374"/>
      <c r="C31745" s="374"/>
      <c r="CV31745" s="376"/>
    </row>
    <row r="31746" spans="1:100">
      <c r="A31746" s="374"/>
      <c r="C31746" s="374"/>
      <c r="CV31746" s="376"/>
    </row>
    <row r="31747" spans="1:100">
      <c r="A31747" s="374"/>
      <c r="C31747" s="374"/>
      <c r="CV31747" s="376"/>
    </row>
    <row r="31748" spans="1:100">
      <c r="A31748" s="374"/>
      <c r="C31748" s="374"/>
      <c r="CV31748" s="376"/>
    </row>
    <row r="31749" spans="1:100">
      <c r="A31749" s="374"/>
      <c r="C31749" s="374"/>
      <c r="CV31749" s="376"/>
    </row>
    <row r="31750" spans="1:100">
      <c r="A31750" s="374"/>
      <c r="C31750" s="374"/>
      <c r="CV31750" s="376"/>
    </row>
    <row r="31751" spans="1:100">
      <c r="A31751" s="374"/>
      <c r="C31751" s="374"/>
      <c r="CV31751" s="376"/>
    </row>
    <row r="31752" spans="1:100">
      <c r="A31752" s="374"/>
      <c r="C31752" s="374"/>
      <c r="CV31752" s="376"/>
    </row>
    <row r="31753" spans="1:100">
      <c r="A31753" s="374"/>
      <c r="C31753" s="374"/>
      <c r="CV31753" s="376"/>
    </row>
    <row r="31754" spans="1:100">
      <c r="A31754" s="374"/>
      <c r="C31754" s="374"/>
      <c r="CV31754" s="376"/>
    </row>
    <row r="31755" spans="1:100">
      <c r="A31755" s="374"/>
      <c r="C31755" s="374"/>
      <c r="CV31755" s="376"/>
    </row>
    <row r="31756" spans="1:100">
      <c r="A31756" s="374"/>
      <c r="C31756" s="374"/>
      <c r="CV31756" s="376"/>
    </row>
    <row r="31757" spans="1:100">
      <c r="A31757" s="374"/>
      <c r="C31757" s="374"/>
      <c r="CV31757" s="376"/>
    </row>
    <row r="31758" spans="1:100">
      <c r="A31758" s="374"/>
      <c r="C31758" s="374"/>
      <c r="CV31758" s="376"/>
    </row>
    <row r="31759" spans="1:100">
      <c r="A31759" s="374"/>
      <c r="C31759" s="374"/>
      <c r="CV31759" s="376"/>
    </row>
    <row r="31760" spans="1:100">
      <c r="A31760" s="374"/>
      <c r="C31760" s="374"/>
      <c r="CV31760" s="376"/>
    </row>
    <row r="31761" spans="1:100">
      <c r="A31761" s="374"/>
      <c r="C31761" s="374"/>
      <c r="CV31761" s="376"/>
    </row>
    <row r="31762" spans="1:100">
      <c r="A31762" s="374"/>
      <c r="C31762" s="374"/>
      <c r="CV31762" s="376"/>
    </row>
    <row r="31763" spans="1:100">
      <c r="A31763" s="374"/>
      <c r="C31763" s="374"/>
      <c r="CV31763" s="376"/>
    </row>
    <row r="31764" spans="1:100">
      <c r="A31764" s="374"/>
      <c r="C31764" s="374"/>
      <c r="CV31764" s="376"/>
    </row>
    <row r="31765" spans="1:100">
      <c r="A31765" s="374"/>
      <c r="C31765" s="374"/>
      <c r="CV31765" s="376"/>
    </row>
    <row r="31766" spans="1:100">
      <c r="A31766" s="374"/>
      <c r="C31766" s="374"/>
      <c r="CV31766" s="376"/>
    </row>
    <row r="31767" spans="1:100">
      <c r="A31767" s="374"/>
      <c r="C31767" s="374"/>
      <c r="CV31767" s="376"/>
    </row>
    <row r="31768" spans="1:100">
      <c r="A31768" s="374"/>
      <c r="C31768" s="374"/>
      <c r="CV31768" s="376"/>
    </row>
    <row r="31769" spans="1:100">
      <c r="A31769" s="374"/>
      <c r="C31769" s="374"/>
      <c r="CV31769" s="376"/>
    </row>
    <row r="31770" spans="1:100">
      <c r="A31770" s="374"/>
      <c r="C31770" s="374"/>
      <c r="CV31770" s="376"/>
    </row>
    <row r="31771" spans="1:100">
      <c r="A31771" s="374"/>
      <c r="C31771" s="374"/>
      <c r="CV31771" s="376"/>
    </row>
    <row r="31772" spans="1:100">
      <c r="A31772" s="374"/>
      <c r="C31772" s="374"/>
      <c r="CV31772" s="376"/>
    </row>
    <row r="31773" spans="1:100">
      <c r="A31773" s="374"/>
      <c r="C31773" s="374"/>
      <c r="CV31773" s="376"/>
    </row>
    <row r="31774" spans="1:100">
      <c r="A31774" s="374"/>
      <c r="C31774" s="374"/>
      <c r="CV31774" s="376"/>
    </row>
    <row r="31775" spans="1:100">
      <c r="A31775" s="374"/>
      <c r="C31775" s="374"/>
      <c r="CV31775" s="376"/>
    </row>
    <row r="31776" spans="1:100">
      <c r="A31776" s="374"/>
      <c r="C31776" s="374"/>
      <c r="CV31776" s="376"/>
    </row>
    <row r="31777" spans="1:100">
      <c r="A31777" s="374"/>
      <c r="C31777" s="374"/>
      <c r="CV31777" s="376"/>
    </row>
    <row r="31778" spans="1:100">
      <c r="A31778" s="374"/>
      <c r="C31778" s="374"/>
      <c r="CV31778" s="376"/>
    </row>
    <row r="31779" spans="1:100">
      <c r="A31779" s="374"/>
      <c r="C31779" s="374"/>
      <c r="CV31779" s="376"/>
    </row>
    <row r="31780" spans="1:100">
      <c r="A31780" s="374"/>
      <c r="C31780" s="374"/>
      <c r="CV31780" s="376"/>
    </row>
    <row r="31781" spans="1:100">
      <c r="A31781" s="374"/>
      <c r="C31781" s="374"/>
      <c r="CV31781" s="376"/>
    </row>
    <row r="31782" spans="1:100">
      <c r="A31782" s="374"/>
      <c r="C31782" s="374"/>
      <c r="CV31782" s="376"/>
    </row>
    <row r="31783" spans="1:100">
      <c r="A31783" s="374"/>
      <c r="C31783" s="374"/>
      <c r="CV31783" s="376"/>
    </row>
    <row r="31784" spans="1:100">
      <c r="A31784" s="374"/>
      <c r="C31784" s="374"/>
      <c r="CV31784" s="376"/>
    </row>
    <row r="31785" spans="1:100">
      <c r="A31785" s="374"/>
      <c r="C31785" s="374"/>
      <c r="CV31785" s="376"/>
    </row>
    <row r="31786" spans="1:100">
      <c r="A31786" s="374"/>
      <c r="C31786" s="374"/>
      <c r="CV31786" s="376"/>
    </row>
    <row r="31787" spans="1:100">
      <c r="A31787" s="374"/>
      <c r="C31787" s="374"/>
      <c r="CV31787" s="376"/>
    </row>
    <row r="31788" spans="1:100">
      <c r="A31788" s="374"/>
      <c r="C31788" s="374"/>
      <c r="CV31788" s="376"/>
    </row>
    <row r="31789" spans="1:100">
      <c r="A31789" s="374"/>
      <c r="C31789" s="374"/>
      <c r="CV31789" s="376"/>
    </row>
    <row r="31790" spans="1:100">
      <c r="A31790" s="374"/>
      <c r="C31790" s="374"/>
      <c r="CV31790" s="376"/>
    </row>
    <row r="31791" spans="1:100">
      <c r="A31791" s="374"/>
      <c r="C31791" s="374"/>
      <c r="CV31791" s="376"/>
    </row>
    <row r="31792" spans="1:100">
      <c r="A31792" s="374"/>
      <c r="C31792" s="374"/>
      <c r="CV31792" s="376"/>
    </row>
    <row r="31793" spans="1:100">
      <c r="A31793" s="374"/>
      <c r="C31793" s="374"/>
      <c r="CV31793" s="376"/>
    </row>
    <row r="31794" spans="1:100">
      <c r="A31794" s="374"/>
      <c r="C31794" s="374"/>
      <c r="CV31794" s="376"/>
    </row>
    <row r="31795" spans="1:100">
      <c r="A31795" s="374"/>
      <c r="C31795" s="374"/>
      <c r="CV31795" s="376"/>
    </row>
    <row r="31796" spans="1:100">
      <c r="A31796" s="374"/>
      <c r="C31796" s="374"/>
      <c r="CV31796" s="376"/>
    </row>
    <row r="31797" spans="1:100">
      <c r="A31797" s="374"/>
      <c r="C31797" s="374"/>
      <c r="CV31797" s="376"/>
    </row>
    <row r="31798" spans="1:100">
      <c r="A31798" s="374"/>
      <c r="C31798" s="374"/>
      <c r="CV31798" s="376"/>
    </row>
    <row r="31799" spans="1:100">
      <c r="A31799" s="374"/>
      <c r="C31799" s="374"/>
      <c r="CV31799" s="376"/>
    </row>
    <row r="31800" spans="1:100">
      <c r="A31800" s="374"/>
      <c r="C31800" s="374"/>
      <c r="CV31800" s="376"/>
    </row>
    <row r="31801" spans="1:100">
      <c r="A31801" s="374"/>
      <c r="C31801" s="374"/>
      <c r="CV31801" s="376"/>
    </row>
    <row r="31802" spans="1:100">
      <c r="A31802" s="374"/>
      <c r="C31802" s="374"/>
      <c r="CV31802" s="376"/>
    </row>
    <row r="31803" spans="1:100">
      <c r="A31803" s="374"/>
      <c r="C31803" s="374"/>
      <c r="CV31803" s="376"/>
    </row>
    <row r="31804" spans="1:100">
      <c r="A31804" s="374"/>
      <c r="C31804" s="374"/>
      <c r="CV31804" s="376"/>
    </row>
    <row r="31805" spans="1:100">
      <c r="A31805" s="374"/>
      <c r="C31805" s="374"/>
      <c r="CV31805" s="376"/>
    </row>
    <row r="31806" spans="1:100">
      <c r="A31806" s="374"/>
      <c r="C31806" s="374"/>
      <c r="CV31806" s="376"/>
    </row>
    <row r="31807" spans="1:100">
      <c r="A31807" s="374"/>
      <c r="C31807" s="374"/>
      <c r="CV31807" s="376"/>
    </row>
    <row r="31808" spans="1:100">
      <c r="A31808" s="374"/>
      <c r="C31808" s="374"/>
      <c r="CV31808" s="376"/>
    </row>
    <row r="31809" spans="1:100">
      <c r="A31809" s="374"/>
      <c r="C31809" s="374"/>
      <c r="CV31809" s="376"/>
    </row>
    <row r="31810" spans="1:100">
      <c r="A31810" s="374"/>
      <c r="C31810" s="374"/>
      <c r="CV31810" s="376"/>
    </row>
    <row r="31811" spans="1:100">
      <c r="A31811" s="374"/>
      <c r="C31811" s="374"/>
      <c r="CV31811" s="376"/>
    </row>
    <row r="31812" spans="1:100">
      <c r="A31812" s="374"/>
      <c r="C31812" s="374"/>
      <c r="CV31812" s="376"/>
    </row>
    <row r="31813" spans="1:100">
      <c r="A31813" s="374"/>
      <c r="C31813" s="374"/>
      <c r="CV31813" s="376"/>
    </row>
    <row r="31814" spans="1:100">
      <c r="A31814" s="374"/>
      <c r="C31814" s="374"/>
      <c r="CV31814" s="376"/>
    </row>
    <row r="31815" spans="1:100">
      <c r="A31815" s="374"/>
      <c r="C31815" s="374"/>
      <c r="CV31815" s="376"/>
    </row>
    <row r="31816" spans="1:100">
      <c r="A31816" s="374"/>
      <c r="C31816" s="374"/>
      <c r="CV31816" s="376"/>
    </row>
    <row r="31817" spans="1:100">
      <c r="A31817" s="374"/>
      <c r="C31817" s="374"/>
      <c r="CV31817" s="376"/>
    </row>
    <row r="31818" spans="1:100">
      <c r="A31818" s="374"/>
      <c r="C31818" s="374"/>
      <c r="CV31818" s="376"/>
    </row>
    <row r="31819" spans="1:100">
      <c r="A31819" s="374"/>
      <c r="C31819" s="374"/>
      <c r="CV31819" s="376"/>
    </row>
    <row r="31820" spans="1:100">
      <c r="A31820" s="374"/>
      <c r="C31820" s="374"/>
      <c r="CV31820" s="376"/>
    </row>
    <row r="31821" spans="1:100">
      <c r="A31821" s="374"/>
      <c r="C31821" s="374"/>
      <c r="CV31821" s="376"/>
    </row>
    <row r="31822" spans="1:100">
      <c r="A31822" s="374"/>
      <c r="C31822" s="374"/>
      <c r="CV31822" s="376"/>
    </row>
    <row r="31823" spans="1:100">
      <c r="A31823" s="374"/>
      <c r="C31823" s="374"/>
      <c r="CV31823" s="376"/>
    </row>
    <row r="31824" spans="1:100">
      <c r="A31824" s="374"/>
      <c r="C31824" s="374"/>
      <c r="CV31824" s="376"/>
    </row>
    <row r="31825" spans="1:100">
      <c r="A31825" s="374"/>
      <c r="C31825" s="374"/>
      <c r="CV31825" s="376"/>
    </row>
    <row r="31826" spans="1:100">
      <c r="A31826" s="374"/>
      <c r="C31826" s="374"/>
      <c r="CV31826" s="376"/>
    </row>
    <row r="31827" spans="1:100">
      <c r="A31827" s="374"/>
      <c r="C31827" s="374"/>
      <c r="CV31827" s="376"/>
    </row>
    <row r="31828" spans="1:100">
      <c r="A31828" s="374"/>
      <c r="C31828" s="374"/>
      <c r="CV31828" s="376"/>
    </row>
    <row r="31829" spans="1:100">
      <c r="A31829" s="374"/>
      <c r="C31829" s="374"/>
      <c r="CV31829" s="376"/>
    </row>
    <row r="31830" spans="1:100">
      <c r="A31830" s="374"/>
      <c r="C31830" s="374"/>
      <c r="CV31830" s="376"/>
    </row>
    <row r="31831" spans="1:100">
      <c r="A31831" s="374"/>
      <c r="C31831" s="374"/>
      <c r="CV31831" s="376"/>
    </row>
    <row r="31832" spans="1:100">
      <c r="A31832" s="374"/>
      <c r="C31832" s="374"/>
      <c r="CV31832" s="376"/>
    </row>
    <row r="31833" spans="1:100">
      <c r="A31833" s="374"/>
      <c r="C31833" s="374"/>
      <c r="CV31833" s="376"/>
    </row>
    <row r="31834" spans="1:100">
      <c r="A31834" s="374"/>
      <c r="C31834" s="374"/>
      <c r="CV31834" s="376"/>
    </row>
    <row r="31835" spans="1:100">
      <c r="A31835" s="374"/>
      <c r="C31835" s="374"/>
      <c r="CV31835" s="376"/>
    </row>
    <row r="31836" spans="1:100">
      <c r="A31836" s="374"/>
      <c r="C31836" s="374"/>
      <c r="CV31836" s="376"/>
    </row>
    <row r="31837" spans="1:100">
      <c r="A31837" s="374"/>
      <c r="C31837" s="374"/>
      <c r="CV31837" s="376"/>
    </row>
    <row r="31838" spans="1:100">
      <c r="A31838" s="374"/>
      <c r="C31838" s="374"/>
      <c r="CV31838" s="376"/>
    </row>
    <row r="31839" spans="1:100">
      <c r="A31839" s="374"/>
      <c r="C31839" s="374"/>
      <c r="CV31839" s="376"/>
    </row>
    <row r="31840" spans="1:100">
      <c r="A31840" s="374"/>
      <c r="C31840" s="374"/>
      <c r="CV31840" s="376"/>
    </row>
    <row r="31841" spans="1:100">
      <c r="A31841" s="374"/>
      <c r="C31841" s="374"/>
      <c r="CV31841" s="376"/>
    </row>
    <row r="31842" spans="1:100">
      <c r="A31842" s="374"/>
      <c r="C31842" s="374"/>
      <c r="CV31842" s="376"/>
    </row>
    <row r="31843" spans="1:100">
      <c r="A31843" s="374"/>
      <c r="C31843" s="374"/>
      <c r="CV31843" s="376"/>
    </row>
    <row r="31844" spans="1:100">
      <c r="A31844" s="374"/>
      <c r="C31844" s="374"/>
      <c r="CV31844" s="376"/>
    </row>
    <row r="31845" spans="1:100">
      <c r="A31845" s="374"/>
      <c r="C31845" s="374"/>
      <c r="CV31845" s="376"/>
    </row>
    <row r="31846" spans="1:100">
      <c r="A31846" s="374"/>
      <c r="C31846" s="374"/>
      <c r="CV31846" s="376"/>
    </row>
    <row r="31847" spans="1:100">
      <c r="A31847" s="374"/>
      <c r="C31847" s="374"/>
      <c r="CV31847" s="376"/>
    </row>
    <row r="31848" spans="1:100">
      <c r="A31848" s="374"/>
      <c r="C31848" s="374"/>
      <c r="CV31848" s="376"/>
    </row>
    <row r="31849" spans="1:100">
      <c r="A31849" s="374"/>
      <c r="C31849" s="374"/>
      <c r="CV31849" s="376"/>
    </row>
    <row r="31850" spans="1:100">
      <c r="A31850" s="374"/>
      <c r="C31850" s="374"/>
      <c r="CV31850" s="376"/>
    </row>
    <row r="31851" spans="1:100">
      <c r="A31851" s="374"/>
      <c r="C31851" s="374"/>
      <c r="CV31851" s="376"/>
    </row>
    <row r="31852" spans="1:100">
      <c r="A31852" s="374"/>
      <c r="C31852" s="374"/>
      <c r="CV31852" s="376"/>
    </row>
    <row r="31853" spans="1:100">
      <c r="A31853" s="374"/>
      <c r="C31853" s="374"/>
      <c r="CV31853" s="376"/>
    </row>
    <row r="31854" spans="1:100">
      <c r="A31854" s="374"/>
      <c r="C31854" s="374"/>
      <c r="CV31854" s="376"/>
    </row>
    <row r="31855" spans="1:100">
      <c r="A31855" s="374"/>
      <c r="C31855" s="374"/>
      <c r="CV31855" s="376"/>
    </row>
    <row r="31856" spans="1:100">
      <c r="A31856" s="374"/>
      <c r="C31856" s="374"/>
      <c r="CV31856" s="376"/>
    </row>
    <row r="31857" spans="1:100">
      <c r="A31857" s="374"/>
      <c r="C31857" s="374"/>
      <c r="CV31857" s="376"/>
    </row>
    <row r="31858" spans="1:100">
      <c r="A31858" s="374"/>
      <c r="C31858" s="374"/>
      <c r="CV31858" s="376"/>
    </row>
    <row r="31859" spans="1:100">
      <c r="A31859" s="374"/>
      <c r="C31859" s="374"/>
      <c r="CV31859" s="376"/>
    </row>
    <row r="31860" spans="1:100">
      <c r="A31860" s="374"/>
      <c r="C31860" s="374"/>
      <c r="CV31860" s="376"/>
    </row>
    <row r="31861" spans="1:100">
      <c r="A31861" s="374"/>
      <c r="C31861" s="374"/>
      <c r="CV31861" s="376"/>
    </row>
    <row r="31862" spans="1:100">
      <c r="A31862" s="374"/>
      <c r="C31862" s="374"/>
      <c r="CV31862" s="376"/>
    </row>
    <row r="31863" spans="1:100">
      <c r="A31863" s="374"/>
      <c r="C31863" s="374"/>
      <c r="CV31863" s="376"/>
    </row>
    <row r="31864" spans="1:100">
      <c r="A31864" s="374"/>
      <c r="C31864" s="374"/>
      <c r="CV31864" s="376"/>
    </row>
    <row r="31865" spans="1:100">
      <c r="A31865" s="374"/>
      <c r="C31865" s="374"/>
      <c r="CV31865" s="376"/>
    </row>
    <row r="31866" spans="1:100">
      <c r="A31866" s="374"/>
      <c r="C31866" s="374"/>
      <c r="CV31866" s="376"/>
    </row>
    <row r="31867" spans="1:100">
      <c r="A31867" s="374"/>
      <c r="C31867" s="374"/>
      <c r="CV31867" s="376"/>
    </row>
    <row r="31868" spans="1:100">
      <c r="A31868" s="374"/>
      <c r="C31868" s="374"/>
      <c r="CV31868" s="376"/>
    </row>
    <row r="31869" spans="1:100">
      <c r="A31869" s="374"/>
      <c r="C31869" s="374"/>
      <c r="CV31869" s="376"/>
    </row>
    <row r="31870" spans="1:100">
      <c r="A31870" s="374"/>
      <c r="C31870" s="374"/>
      <c r="CV31870" s="376"/>
    </row>
    <row r="31871" spans="1:100">
      <c r="A31871" s="374"/>
      <c r="C31871" s="374"/>
      <c r="CV31871" s="376"/>
    </row>
    <row r="31872" spans="1:100">
      <c r="A31872" s="374"/>
      <c r="C31872" s="374"/>
      <c r="CV31872" s="376"/>
    </row>
    <row r="31873" spans="1:100">
      <c r="A31873" s="374"/>
      <c r="C31873" s="374"/>
      <c r="CV31873" s="376"/>
    </row>
    <row r="31874" spans="1:100">
      <c r="A31874" s="374"/>
      <c r="C31874" s="374"/>
      <c r="CV31874" s="376"/>
    </row>
    <row r="31875" spans="1:100">
      <c r="A31875" s="374"/>
      <c r="C31875" s="374"/>
      <c r="CV31875" s="376"/>
    </row>
    <row r="31876" spans="1:100">
      <c r="A31876" s="374"/>
      <c r="C31876" s="374"/>
      <c r="CV31876" s="376"/>
    </row>
    <row r="31877" spans="1:100">
      <c r="A31877" s="374"/>
      <c r="C31877" s="374"/>
      <c r="CV31877" s="376"/>
    </row>
    <row r="31878" spans="1:100">
      <c r="A31878" s="374"/>
      <c r="C31878" s="374"/>
      <c r="CV31878" s="376"/>
    </row>
    <row r="31879" spans="1:100">
      <c r="A31879" s="374"/>
      <c r="C31879" s="374"/>
      <c r="CV31879" s="376"/>
    </row>
    <row r="31880" spans="1:100">
      <c r="A31880" s="374"/>
      <c r="C31880" s="374"/>
      <c r="CV31880" s="376"/>
    </row>
    <row r="31881" spans="1:100">
      <c r="A31881" s="374"/>
      <c r="C31881" s="374"/>
      <c r="CV31881" s="376"/>
    </row>
    <row r="31882" spans="1:100">
      <c r="A31882" s="374"/>
      <c r="C31882" s="374"/>
      <c r="CV31882" s="376"/>
    </row>
    <row r="31883" spans="1:100">
      <c r="A31883" s="374"/>
      <c r="C31883" s="374"/>
      <c r="CV31883" s="376"/>
    </row>
    <row r="31884" spans="1:100">
      <c r="A31884" s="374"/>
      <c r="C31884" s="374"/>
      <c r="CV31884" s="376"/>
    </row>
    <row r="31885" spans="1:100">
      <c r="A31885" s="374"/>
      <c r="C31885" s="374"/>
      <c r="CV31885" s="376"/>
    </row>
    <row r="31886" spans="1:100">
      <c r="A31886" s="374"/>
      <c r="C31886" s="374"/>
      <c r="CV31886" s="376"/>
    </row>
    <row r="31887" spans="1:100">
      <c r="A31887" s="374"/>
      <c r="C31887" s="374"/>
      <c r="CV31887" s="376"/>
    </row>
    <row r="31888" spans="1:100">
      <c r="A31888" s="374"/>
      <c r="C31888" s="374"/>
      <c r="CV31888" s="376"/>
    </row>
    <row r="31889" spans="1:100">
      <c r="A31889" s="374"/>
      <c r="C31889" s="374"/>
      <c r="CV31889" s="376"/>
    </row>
    <row r="31890" spans="1:100">
      <c r="A31890" s="374"/>
      <c r="C31890" s="374"/>
      <c r="CV31890" s="376"/>
    </row>
    <row r="31891" spans="1:100">
      <c r="A31891" s="374"/>
      <c r="C31891" s="374"/>
      <c r="CV31891" s="376"/>
    </row>
    <row r="31892" spans="1:100">
      <c r="A31892" s="374"/>
      <c r="C31892" s="374"/>
      <c r="CV31892" s="376"/>
    </row>
    <row r="31893" spans="1:100">
      <c r="A31893" s="374"/>
      <c r="C31893" s="374"/>
      <c r="CV31893" s="376"/>
    </row>
    <row r="31894" spans="1:100">
      <c r="A31894" s="374"/>
      <c r="C31894" s="374"/>
      <c r="CV31894" s="376"/>
    </row>
    <row r="31895" spans="1:100">
      <c r="A31895" s="374"/>
      <c r="C31895" s="374"/>
      <c r="CV31895" s="376"/>
    </row>
    <row r="31896" spans="1:100">
      <c r="A31896" s="374"/>
      <c r="C31896" s="374"/>
      <c r="CV31896" s="376"/>
    </row>
    <row r="31897" spans="1:100">
      <c r="A31897" s="374"/>
      <c r="C31897" s="374"/>
      <c r="CV31897" s="376"/>
    </row>
    <row r="31898" spans="1:100">
      <c r="A31898" s="374"/>
      <c r="C31898" s="374"/>
      <c r="CV31898" s="376"/>
    </row>
    <row r="31899" spans="1:100">
      <c r="A31899" s="374"/>
      <c r="C31899" s="374"/>
      <c r="CV31899" s="376"/>
    </row>
    <row r="31900" spans="1:100">
      <c r="A31900" s="374"/>
      <c r="C31900" s="374"/>
      <c r="CV31900" s="376"/>
    </row>
    <row r="31901" spans="1:100">
      <c r="A31901" s="374"/>
      <c r="C31901" s="374"/>
      <c r="CV31901" s="376"/>
    </row>
    <row r="31902" spans="1:100">
      <c r="A31902" s="374"/>
      <c r="C31902" s="374"/>
      <c r="CV31902" s="376"/>
    </row>
    <row r="31903" spans="1:100">
      <c r="A31903" s="374"/>
      <c r="C31903" s="374"/>
      <c r="CV31903" s="376"/>
    </row>
    <row r="31904" spans="1:100">
      <c r="A31904" s="374"/>
      <c r="C31904" s="374"/>
      <c r="CV31904" s="376"/>
    </row>
    <row r="31905" spans="1:100">
      <c r="A31905" s="374"/>
      <c r="C31905" s="374"/>
      <c r="CV31905" s="376"/>
    </row>
    <row r="31906" spans="1:100">
      <c r="A31906" s="374"/>
      <c r="C31906" s="374"/>
      <c r="CV31906" s="376"/>
    </row>
    <row r="31907" spans="1:100">
      <c r="A31907" s="374"/>
      <c r="C31907" s="374"/>
      <c r="CV31907" s="376"/>
    </row>
    <row r="31908" spans="1:100">
      <c r="A31908" s="374"/>
      <c r="C31908" s="374"/>
      <c r="CV31908" s="376"/>
    </row>
    <row r="31909" spans="1:100">
      <c r="A31909" s="374"/>
      <c r="C31909" s="374"/>
      <c r="CV31909" s="376"/>
    </row>
    <row r="31910" spans="1:100">
      <c r="A31910" s="374"/>
      <c r="C31910" s="374"/>
      <c r="CV31910" s="376"/>
    </row>
    <row r="31911" spans="1:100">
      <c r="A31911" s="374"/>
      <c r="C31911" s="374"/>
      <c r="CV31911" s="376"/>
    </row>
    <row r="31912" spans="1:100">
      <c r="A31912" s="374"/>
      <c r="C31912" s="374"/>
      <c r="CV31912" s="376"/>
    </row>
    <row r="31913" spans="1:100">
      <c r="A31913" s="374"/>
      <c r="C31913" s="374"/>
      <c r="CV31913" s="376"/>
    </row>
    <row r="31914" spans="1:100">
      <c r="A31914" s="374"/>
      <c r="C31914" s="374"/>
      <c r="CV31914" s="376"/>
    </row>
    <row r="31915" spans="1:100">
      <c r="A31915" s="374"/>
      <c r="C31915" s="374"/>
      <c r="CV31915" s="376"/>
    </row>
    <row r="31916" spans="1:100">
      <c r="A31916" s="374"/>
      <c r="C31916" s="374"/>
      <c r="CV31916" s="376"/>
    </row>
    <row r="31917" spans="1:100">
      <c r="A31917" s="374"/>
      <c r="C31917" s="374"/>
      <c r="CV31917" s="376"/>
    </row>
    <row r="31918" spans="1:100">
      <c r="A31918" s="374"/>
      <c r="C31918" s="374"/>
      <c r="CV31918" s="376"/>
    </row>
    <row r="31919" spans="1:100">
      <c r="A31919" s="374"/>
      <c r="C31919" s="374"/>
      <c r="CV31919" s="376"/>
    </row>
    <row r="31920" spans="1:100">
      <c r="A31920" s="374"/>
      <c r="C31920" s="374"/>
      <c r="CV31920" s="376"/>
    </row>
    <row r="31921" spans="1:100">
      <c r="A31921" s="374"/>
      <c r="C31921" s="374"/>
      <c r="CV31921" s="376"/>
    </row>
    <row r="31922" spans="1:100">
      <c r="A31922" s="374"/>
      <c r="C31922" s="374"/>
      <c r="CV31922" s="376"/>
    </row>
    <row r="31923" spans="1:100">
      <c r="A31923" s="374"/>
      <c r="C31923" s="374"/>
      <c r="CV31923" s="376"/>
    </row>
    <row r="31924" spans="1:100">
      <c r="A31924" s="374"/>
      <c r="C31924" s="374"/>
      <c r="CV31924" s="376"/>
    </row>
    <row r="31925" spans="1:100">
      <c r="A31925" s="374"/>
      <c r="C31925" s="374"/>
      <c r="CV31925" s="376"/>
    </row>
    <row r="31926" spans="1:100">
      <c r="A31926" s="374"/>
      <c r="C31926" s="374"/>
      <c r="CV31926" s="376"/>
    </row>
    <row r="31927" spans="1:100">
      <c r="A31927" s="374"/>
      <c r="C31927" s="374"/>
      <c r="CV31927" s="376"/>
    </row>
    <row r="31928" spans="1:100">
      <c r="A31928" s="374"/>
      <c r="C31928" s="374"/>
      <c r="CV31928" s="376"/>
    </row>
    <row r="31929" spans="1:100">
      <c r="A31929" s="374"/>
      <c r="C31929" s="374"/>
      <c r="CV31929" s="376"/>
    </row>
    <row r="31930" spans="1:100">
      <c r="A31930" s="374"/>
      <c r="C31930" s="374"/>
      <c r="CV31930" s="376"/>
    </row>
    <row r="31931" spans="1:100">
      <c r="A31931" s="374"/>
      <c r="C31931" s="374"/>
      <c r="CV31931" s="376"/>
    </row>
    <row r="31932" spans="1:100">
      <c r="A31932" s="374"/>
      <c r="C31932" s="374"/>
      <c r="CV31932" s="376"/>
    </row>
    <row r="31933" spans="1:100">
      <c r="A31933" s="374"/>
      <c r="C31933" s="374"/>
      <c r="CV31933" s="376"/>
    </row>
    <row r="31934" spans="1:100">
      <c r="A31934" s="374"/>
      <c r="C31934" s="374"/>
      <c r="CV31934" s="376"/>
    </row>
    <row r="31935" spans="1:100">
      <c r="A31935" s="374"/>
      <c r="C31935" s="374"/>
      <c r="CV31935" s="376"/>
    </row>
    <row r="31936" spans="1:100">
      <c r="A31936" s="374"/>
      <c r="C31936" s="374"/>
      <c r="CV31936" s="376"/>
    </row>
    <row r="31937" spans="1:100">
      <c r="A31937" s="374"/>
      <c r="C31937" s="374"/>
      <c r="CV31937" s="376"/>
    </row>
    <row r="31938" spans="1:100">
      <c r="A31938" s="374"/>
      <c r="C31938" s="374"/>
      <c r="CV31938" s="376"/>
    </row>
    <row r="31939" spans="1:100">
      <c r="A31939" s="374"/>
      <c r="C31939" s="374"/>
      <c r="CV31939" s="376"/>
    </row>
    <row r="31940" spans="1:100">
      <c r="A31940" s="374"/>
      <c r="C31940" s="374"/>
      <c r="CV31940" s="376"/>
    </row>
    <row r="31941" spans="1:100">
      <c r="A31941" s="374"/>
      <c r="C31941" s="374"/>
      <c r="CV31941" s="376"/>
    </row>
    <row r="31942" spans="1:100">
      <c r="A31942" s="374"/>
      <c r="C31942" s="374"/>
      <c r="CV31942" s="376"/>
    </row>
    <row r="31943" spans="1:100">
      <c r="A31943" s="374"/>
      <c r="C31943" s="374"/>
      <c r="CV31943" s="376"/>
    </row>
    <row r="31944" spans="1:100">
      <c r="A31944" s="374"/>
      <c r="C31944" s="374"/>
      <c r="CV31944" s="376"/>
    </row>
    <row r="31945" spans="1:100">
      <c r="A31945" s="374"/>
      <c r="C31945" s="374"/>
      <c r="CV31945" s="376"/>
    </row>
    <row r="31946" spans="1:100">
      <c r="A31946" s="374"/>
      <c r="C31946" s="374"/>
      <c r="CV31946" s="376"/>
    </row>
    <row r="31947" spans="1:100">
      <c r="A31947" s="374"/>
      <c r="C31947" s="374"/>
      <c r="CV31947" s="376"/>
    </row>
    <row r="31948" spans="1:100">
      <c r="A31948" s="374"/>
      <c r="C31948" s="374"/>
      <c r="CV31948" s="376"/>
    </row>
    <row r="31949" spans="1:100">
      <c r="A31949" s="374"/>
      <c r="C31949" s="374"/>
      <c r="CV31949" s="376"/>
    </row>
    <row r="31950" spans="1:100">
      <c r="A31950" s="374"/>
      <c r="C31950" s="374"/>
      <c r="CV31950" s="376"/>
    </row>
    <row r="31951" spans="1:100">
      <c r="A31951" s="374"/>
      <c r="C31951" s="374"/>
      <c r="CV31951" s="376"/>
    </row>
    <row r="31952" spans="1:100">
      <c r="A31952" s="374"/>
      <c r="C31952" s="374"/>
      <c r="CV31952" s="376"/>
    </row>
    <row r="31953" spans="1:100">
      <c r="A31953" s="374"/>
      <c r="C31953" s="374"/>
      <c r="CV31953" s="376"/>
    </row>
    <row r="31954" spans="1:100">
      <c r="A31954" s="374"/>
      <c r="C31954" s="374"/>
      <c r="CV31954" s="376"/>
    </row>
    <row r="31955" spans="1:100">
      <c r="A31955" s="374"/>
      <c r="C31955" s="374"/>
      <c r="CV31955" s="376"/>
    </row>
    <row r="31956" spans="1:100">
      <c r="A31956" s="374"/>
      <c r="C31956" s="374"/>
      <c r="CV31956" s="376"/>
    </row>
    <row r="31957" spans="1:100">
      <c r="A31957" s="374"/>
      <c r="C31957" s="374"/>
      <c r="CV31957" s="376"/>
    </row>
    <row r="31958" spans="1:100">
      <c r="A31958" s="374"/>
      <c r="C31958" s="374"/>
      <c r="CV31958" s="376"/>
    </row>
    <row r="31959" spans="1:100">
      <c r="A31959" s="374"/>
      <c r="C31959" s="374"/>
      <c r="CV31959" s="376"/>
    </row>
    <row r="31960" spans="1:100">
      <c r="A31960" s="374"/>
      <c r="C31960" s="374"/>
      <c r="CV31960" s="376"/>
    </row>
    <row r="31961" spans="1:100">
      <c r="A31961" s="374"/>
      <c r="C31961" s="374"/>
      <c r="CV31961" s="376"/>
    </row>
    <row r="31962" spans="1:100">
      <c r="A31962" s="374"/>
      <c r="C31962" s="374"/>
      <c r="CV31962" s="376"/>
    </row>
    <row r="31963" spans="1:100">
      <c r="A31963" s="374"/>
      <c r="C31963" s="374"/>
      <c r="CV31963" s="376"/>
    </row>
    <row r="31964" spans="1:100">
      <c r="A31964" s="374"/>
      <c r="C31964" s="374"/>
      <c r="CV31964" s="376"/>
    </row>
    <row r="31965" spans="1:100">
      <c r="A31965" s="374"/>
      <c r="C31965" s="374"/>
      <c r="CV31965" s="376"/>
    </row>
    <row r="31966" spans="1:100">
      <c r="A31966" s="374"/>
      <c r="C31966" s="374"/>
      <c r="CV31966" s="376"/>
    </row>
    <row r="31967" spans="1:100">
      <c r="A31967" s="374"/>
      <c r="C31967" s="374"/>
      <c r="CV31967" s="376"/>
    </row>
    <row r="31968" spans="1:100">
      <c r="A31968" s="374"/>
      <c r="C31968" s="374"/>
      <c r="CV31968" s="376"/>
    </row>
    <row r="31969" spans="1:100">
      <c r="A31969" s="374"/>
      <c r="C31969" s="374"/>
      <c r="CV31969" s="376"/>
    </row>
    <row r="31970" spans="1:100">
      <c r="A31970" s="374"/>
      <c r="C31970" s="374"/>
      <c r="CV31970" s="376"/>
    </row>
    <row r="31971" spans="1:100">
      <c r="A31971" s="374"/>
      <c r="C31971" s="374"/>
      <c r="CV31971" s="376"/>
    </row>
    <row r="31972" spans="1:100">
      <c r="A31972" s="374"/>
      <c r="C31972" s="374"/>
      <c r="CV31972" s="376"/>
    </row>
    <row r="31973" spans="1:100">
      <c r="A31973" s="374"/>
      <c r="C31973" s="374"/>
      <c r="CV31973" s="376"/>
    </row>
    <row r="31974" spans="1:100">
      <c r="A31974" s="374"/>
      <c r="C31974" s="374"/>
      <c r="CV31974" s="376"/>
    </row>
    <row r="31975" spans="1:100">
      <c r="A31975" s="374"/>
      <c r="C31975" s="374"/>
      <c r="CV31975" s="376"/>
    </row>
    <row r="31976" spans="1:100">
      <c r="A31976" s="374"/>
      <c r="C31976" s="374"/>
      <c r="CV31976" s="376"/>
    </row>
    <row r="31977" spans="1:100">
      <c r="A31977" s="374"/>
      <c r="C31977" s="374"/>
      <c r="CV31977" s="376"/>
    </row>
    <row r="31978" spans="1:100">
      <c r="A31978" s="374"/>
      <c r="C31978" s="374"/>
      <c r="CV31978" s="376"/>
    </row>
    <row r="31979" spans="1:100">
      <c r="A31979" s="374"/>
      <c r="C31979" s="374"/>
      <c r="CV31979" s="376"/>
    </row>
    <row r="31980" spans="1:100">
      <c r="A31980" s="374"/>
      <c r="C31980" s="374"/>
      <c r="CV31980" s="376"/>
    </row>
    <row r="31981" spans="1:100">
      <c r="A31981" s="374"/>
      <c r="C31981" s="374"/>
      <c r="CV31981" s="376"/>
    </row>
    <row r="31982" spans="1:100">
      <c r="A31982" s="374"/>
      <c r="C31982" s="374"/>
      <c r="CV31982" s="376"/>
    </row>
    <row r="31983" spans="1:100">
      <c r="A31983" s="374"/>
      <c r="C31983" s="374"/>
      <c r="CV31983" s="376"/>
    </row>
    <row r="31984" spans="1:100">
      <c r="A31984" s="374"/>
      <c r="C31984" s="374"/>
      <c r="CV31984" s="376"/>
    </row>
    <row r="31985" spans="1:100">
      <c r="A31985" s="374"/>
      <c r="C31985" s="374"/>
      <c r="CV31985" s="376"/>
    </row>
    <row r="31986" spans="1:100">
      <c r="A31986" s="374"/>
      <c r="C31986" s="374"/>
      <c r="CV31986" s="376"/>
    </row>
    <row r="31987" spans="1:100">
      <c r="A31987" s="374"/>
      <c r="C31987" s="374"/>
      <c r="CV31987" s="376"/>
    </row>
    <row r="31988" spans="1:100">
      <c r="A31988" s="374"/>
      <c r="C31988" s="374"/>
      <c r="CV31988" s="376"/>
    </row>
    <row r="31989" spans="1:100">
      <c r="A31989" s="374"/>
      <c r="C31989" s="374"/>
      <c r="CV31989" s="376"/>
    </row>
    <row r="31990" spans="1:100">
      <c r="A31990" s="374"/>
      <c r="C31990" s="374"/>
      <c r="CV31990" s="376"/>
    </row>
    <row r="31991" spans="1:100">
      <c r="A31991" s="374"/>
      <c r="C31991" s="374"/>
      <c r="CV31991" s="376"/>
    </row>
    <row r="31992" spans="1:100">
      <c r="A31992" s="374"/>
      <c r="C31992" s="374"/>
      <c r="CV31992" s="376"/>
    </row>
    <row r="31993" spans="1:100">
      <c r="A31993" s="374"/>
      <c r="C31993" s="374"/>
      <c r="CV31993" s="376"/>
    </row>
    <row r="31994" spans="1:100">
      <c r="A31994" s="374"/>
      <c r="C31994" s="374"/>
      <c r="CV31994" s="376"/>
    </row>
    <row r="31995" spans="1:100">
      <c r="A31995" s="374"/>
      <c r="C31995" s="374"/>
      <c r="CV31995" s="376"/>
    </row>
    <row r="31996" spans="1:100">
      <c r="A31996" s="374"/>
      <c r="C31996" s="374"/>
      <c r="CV31996" s="376"/>
    </row>
    <row r="31997" spans="1:100">
      <c r="A31997" s="374"/>
      <c r="C31997" s="374"/>
      <c r="CV31997" s="376"/>
    </row>
    <row r="31998" spans="1:100">
      <c r="A31998" s="374"/>
      <c r="C31998" s="374"/>
      <c r="CV31998" s="376"/>
    </row>
    <row r="31999" spans="1:100">
      <c r="A31999" s="374"/>
      <c r="C31999" s="374"/>
      <c r="CV31999" s="376"/>
    </row>
    <row r="32000" spans="1:100">
      <c r="A32000" s="374"/>
      <c r="C32000" s="374"/>
      <c r="CV32000" s="376"/>
    </row>
    <row r="32001" spans="1:100">
      <c r="A32001" s="374"/>
      <c r="C32001" s="374"/>
      <c r="CV32001" s="376"/>
    </row>
    <row r="32002" spans="1:100">
      <c r="A32002" s="374"/>
      <c r="C32002" s="374"/>
      <c r="CV32002" s="376"/>
    </row>
    <row r="32003" spans="1:100">
      <c r="A32003" s="374"/>
      <c r="C32003" s="374"/>
      <c r="CV32003" s="376"/>
    </row>
    <row r="32004" spans="1:100">
      <c r="A32004" s="374"/>
      <c r="C32004" s="374"/>
      <c r="CV32004" s="376"/>
    </row>
    <row r="32005" spans="1:100">
      <c r="A32005" s="374"/>
      <c r="C32005" s="374"/>
      <c r="CV32005" s="376"/>
    </row>
    <row r="32006" spans="1:100">
      <c r="A32006" s="374"/>
      <c r="C32006" s="374"/>
      <c r="CV32006" s="376"/>
    </row>
    <row r="32007" spans="1:100">
      <c r="A32007" s="374"/>
      <c r="C32007" s="374"/>
      <c r="CV32007" s="376"/>
    </row>
    <row r="32008" spans="1:100">
      <c r="A32008" s="374"/>
      <c r="C32008" s="374"/>
      <c r="CV32008" s="376"/>
    </row>
    <row r="32009" spans="1:100">
      <c r="A32009" s="374"/>
      <c r="C32009" s="374"/>
      <c r="CV32009" s="376"/>
    </row>
    <row r="32010" spans="1:100">
      <c r="A32010" s="374"/>
      <c r="C32010" s="374"/>
      <c r="CV32010" s="376"/>
    </row>
    <row r="32011" spans="1:100">
      <c r="A32011" s="374"/>
      <c r="C32011" s="374"/>
      <c r="CV32011" s="376"/>
    </row>
    <row r="32012" spans="1:100">
      <c r="A32012" s="374"/>
      <c r="C32012" s="374"/>
      <c r="CV32012" s="376"/>
    </row>
    <row r="32013" spans="1:100">
      <c r="A32013" s="374"/>
      <c r="C32013" s="374"/>
      <c r="CV32013" s="376"/>
    </row>
    <row r="32014" spans="1:100">
      <c r="A32014" s="374"/>
      <c r="C32014" s="374"/>
      <c r="CV32014" s="376"/>
    </row>
    <row r="32015" spans="1:100">
      <c r="A32015" s="374"/>
      <c r="C32015" s="374"/>
      <c r="CV32015" s="376"/>
    </row>
    <row r="32016" spans="1:100">
      <c r="A32016" s="374"/>
      <c r="C32016" s="374"/>
      <c r="CV32016" s="376"/>
    </row>
    <row r="32017" spans="1:100">
      <c r="A32017" s="374"/>
      <c r="C32017" s="374"/>
      <c r="CV32017" s="376"/>
    </row>
    <row r="32018" spans="1:100">
      <c r="A32018" s="374"/>
      <c r="C32018" s="374"/>
      <c r="CV32018" s="376"/>
    </row>
    <row r="32019" spans="1:100">
      <c r="A32019" s="374"/>
      <c r="C32019" s="374"/>
      <c r="CV32019" s="376"/>
    </row>
    <row r="32020" spans="1:100">
      <c r="A32020" s="374"/>
      <c r="C32020" s="374"/>
      <c r="CV32020" s="376"/>
    </row>
    <row r="32021" spans="1:100">
      <c r="A32021" s="374"/>
      <c r="C32021" s="374"/>
      <c r="CV32021" s="376"/>
    </row>
    <row r="32022" spans="1:100">
      <c r="A32022" s="374"/>
      <c r="C32022" s="374"/>
      <c r="CV32022" s="376"/>
    </row>
    <row r="32023" spans="1:100">
      <c r="A32023" s="374"/>
      <c r="C32023" s="374"/>
      <c r="CV32023" s="376"/>
    </row>
    <row r="32024" spans="1:100">
      <c r="A32024" s="374"/>
      <c r="C32024" s="374"/>
      <c r="CV32024" s="376"/>
    </row>
    <row r="32025" spans="1:100">
      <c r="A32025" s="374"/>
      <c r="C32025" s="374"/>
      <c r="CV32025" s="376"/>
    </row>
    <row r="32026" spans="1:100">
      <c r="A32026" s="374"/>
      <c r="C32026" s="374"/>
      <c r="CV32026" s="376"/>
    </row>
    <row r="32027" spans="1:100">
      <c r="A32027" s="374"/>
      <c r="C32027" s="374"/>
      <c r="CV32027" s="376"/>
    </row>
    <row r="32028" spans="1:100">
      <c r="A32028" s="374"/>
      <c r="C32028" s="374"/>
      <c r="CV32028" s="376"/>
    </row>
    <row r="32029" spans="1:100">
      <c r="A32029" s="374"/>
      <c r="C32029" s="374"/>
      <c r="CV32029" s="376"/>
    </row>
    <row r="32030" spans="1:100">
      <c r="A32030" s="374"/>
      <c r="C32030" s="374"/>
      <c r="CV32030" s="376"/>
    </row>
    <row r="32031" spans="1:100">
      <c r="A32031" s="374"/>
      <c r="C32031" s="374"/>
      <c r="CV32031" s="376"/>
    </row>
    <row r="32032" spans="1:100">
      <c r="A32032" s="374"/>
      <c r="C32032" s="374"/>
      <c r="CV32032" s="376"/>
    </row>
    <row r="32033" spans="1:100">
      <c r="A32033" s="374"/>
      <c r="C32033" s="374"/>
      <c r="CV32033" s="376"/>
    </row>
    <row r="32034" spans="1:100">
      <c r="A32034" s="374"/>
      <c r="C32034" s="374"/>
      <c r="CV32034" s="376"/>
    </row>
    <row r="32035" spans="1:100">
      <c r="A32035" s="374"/>
      <c r="C32035" s="374"/>
      <c r="CV32035" s="376"/>
    </row>
    <row r="32036" spans="1:100">
      <c r="A32036" s="374"/>
      <c r="C32036" s="374"/>
      <c r="CV32036" s="376"/>
    </row>
    <row r="32037" spans="1:100">
      <c r="A32037" s="374"/>
      <c r="C32037" s="374"/>
      <c r="CV32037" s="376"/>
    </row>
    <row r="32038" spans="1:100">
      <c r="A32038" s="374"/>
      <c r="C32038" s="374"/>
      <c r="CV32038" s="376"/>
    </row>
    <row r="32039" spans="1:100">
      <c r="A32039" s="374"/>
      <c r="C32039" s="374"/>
      <c r="CV32039" s="376"/>
    </row>
    <row r="32040" spans="1:100">
      <c r="A32040" s="374"/>
      <c r="C32040" s="374"/>
      <c r="CV32040" s="376"/>
    </row>
    <row r="32041" spans="1:100">
      <c r="A32041" s="374"/>
      <c r="C32041" s="374"/>
      <c r="CV32041" s="376"/>
    </row>
    <row r="32042" spans="1:100">
      <c r="A32042" s="374"/>
      <c r="C32042" s="374"/>
      <c r="CV32042" s="376"/>
    </row>
    <row r="32043" spans="1:100">
      <c r="A32043" s="374"/>
      <c r="C32043" s="374"/>
      <c r="CV32043" s="376"/>
    </row>
    <row r="32044" spans="1:100">
      <c r="A32044" s="374"/>
      <c r="C32044" s="374"/>
      <c r="CV32044" s="376"/>
    </row>
    <row r="32045" spans="1:100">
      <c r="A32045" s="374"/>
      <c r="C32045" s="374"/>
      <c r="CV32045" s="376"/>
    </row>
    <row r="32046" spans="1:100">
      <c r="A32046" s="374"/>
      <c r="C32046" s="374"/>
      <c r="CV32046" s="376"/>
    </row>
    <row r="32047" spans="1:100">
      <c r="A32047" s="374"/>
      <c r="C32047" s="374"/>
      <c r="CV32047" s="376"/>
    </row>
    <row r="32048" spans="1:100">
      <c r="A32048" s="374"/>
      <c r="C32048" s="374"/>
      <c r="CV32048" s="376"/>
    </row>
    <row r="32049" spans="1:100">
      <c r="A32049" s="374"/>
      <c r="C32049" s="374"/>
      <c r="CV32049" s="376"/>
    </row>
    <row r="32050" spans="1:100">
      <c r="A32050" s="374"/>
      <c r="C32050" s="374"/>
      <c r="CV32050" s="376"/>
    </row>
    <row r="32051" spans="1:100">
      <c r="A32051" s="374"/>
      <c r="C32051" s="374"/>
      <c r="CV32051" s="376"/>
    </row>
    <row r="32052" spans="1:100">
      <c r="A32052" s="374"/>
      <c r="C32052" s="374"/>
      <c r="CV32052" s="376"/>
    </row>
    <row r="32053" spans="1:100">
      <c r="A32053" s="374"/>
      <c r="C32053" s="374"/>
      <c r="CV32053" s="376"/>
    </row>
    <row r="32054" spans="1:100">
      <c r="A32054" s="374"/>
      <c r="C32054" s="374"/>
      <c r="CV32054" s="376"/>
    </row>
    <row r="32055" spans="1:100">
      <c r="A32055" s="374"/>
      <c r="C32055" s="374"/>
      <c r="CV32055" s="376"/>
    </row>
    <row r="32056" spans="1:100">
      <c r="A32056" s="374"/>
      <c r="C32056" s="374"/>
      <c r="CV32056" s="376"/>
    </row>
    <row r="32057" spans="1:100">
      <c r="A32057" s="374"/>
      <c r="C32057" s="374"/>
      <c r="CV32057" s="376"/>
    </row>
    <row r="32058" spans="1:100">
      <c r="A32058" s="374"/>
      <c r="C32058" s="374"/>
      <c r="CV32058" s="376"/>
    </row>
    <row r="32059" spans="1:100">
      <c r="A32059" s="374"/>
      <c r="C32059" s="374"/>
      <c r="CV32059" s="376"/>
    </row>
    <row r="32060" spans="1:100">
      <c r="A32060" s="374"/>
      <c r="C32060" s="374"/>
      <c r="CV32060" s="376"/>
    </row>
    <row r="32061" spans="1:100">
      <c r="A32061" s="374"/>
      <c r="C32061" s="374"/>
      <c r="CV32061" s="376"/>
    </row>
    <row r="32062" spans="1:100">
      <c r="A32062" s="374"/>
      <c r="C32062" s="374"/>
      <c r="CV32062" s="376"/>
    </row>
    <row r="32063" spans="1:100">
      <c r="A32063" s="374"/>
      <c r="C32063" s="374"/>
      <c r="CV32063" s="376"/>
    </row>
    <row r="32064" spans="1:100">
      <c r="A32064" s="374"/>
      <c r="C32064" s="374"/>
      <c r="CV32064" s="376"/>
    </row>
    <row r="32065" spans="1:100">
      <c r="A32065" s="374"/>
      <c r="C32065" s="374"/>
      <c r="CV32065" s="376"/>
    </row>
    <row r="32066" spans="1:100">
      <c r="A32066" s="374"/>
      <c r="C32066" s="374"/>
      <c r="CV32066" s="376"/>
    </row>
    <row r="32067" spans="1:100">
      <c r="A32067" s="374"/>
      <c r="C32067" s="374"/>
      <c r="CV32067" s="376"/>
    </row>
    <row r="32068" spans="1:100">
      <c r="A32068" s="374"/>
      <c r="C32068" s="374"/>
      <c r="CV32068" s="376"/>
    </row>
    <row r="32069" spans="1:100">
      <c r="A32069" s="374"/>
      <c r="C32069" s="374"/>
      <c r="CV32069" s="376"/>
    </row>
    <row r="32070" spans="1:100">
      <c r="A32070" s="374"/>
      <c r="C32070" s="374"/>
      <c r="CV32070" s="376"/>
    </row>
    <row r="32071" spans="1:100">
      <c r="A32071" s="374"/>
      <c r="C32071" s="374"/>
      <c r="CV32071" s="376"/>
    </row>
    <row r="32072" spans="1:100">
      <c r="A32072" s="374"/>
      <c r="C32072" s="374"/>
      <c r="CV32072" s="376"/>
    </row>
    <row r="32073" spans="1:100">
      <c r="A32073" s="374"/>
      <c r="C32073" s="374"/>
      <c r="CV32073" s="376"/>
    </row>
    <row r="32074" spans="1:100">
      <c r="A32074" s="374"/>
      <c r="C32074" s="374"/>
      <c r="CV32074" s="376"/>
    </row>
    <row r="32075" spans="1:100">
      <c r="A32075" s="374"/>
      <c r="C32075" s="374"/>
      <c r="CV32075" s="376"/>
    </row>
    <row r="32076" spans="1:100">
      <c r="A32076" s="374"/>
      <c r="C32076" s="374"/>
      <c r="CV32076" s="376"/>
    </row>
    <row r="32077" spans="1:100">
      <c r="A32077" s="374"/>
      <c r="C32077" s="374"/>
      <c r="CV32077" s="376"/>
    </row>
    <row r="32078" spans="1:100">
      <c r="A32078" s="374"/>
      <c r="C32078" s="374"/>
      <c r="CV32078" s="376"/>
    </row>
    <row r="32079" spans="1:100">
      <c r="A32079" s="374"/>
      <c r="C32079" s="374"/>
      <c r="CV32079" s="376"/>
    </row>
    <row r="32080" spans="1:100">
      <c r="A32080" s="374"/>
      <c r="C32080" s="374"/>
      <c r="CV32080" s="376"/>
    </row>
    <row r="32081" spans="1:100">
      <c r="A32081" s="374"/>
      <c r="C32081" s="374"/>
      <c r="CV32081" s="376"/>
    </row>
    <row r="32082" spans="1:100">
      <c r="A32082" s="374"/>
      <c r="C32082" s="374"/>
      <c r="CV32082" s="376"/>
    </row>
    <row r="32083" spans="1:100">
      <c r="A32083" s="374"/>
      <c r="C32083" s="374"/>
      <c r="CV32083" s="376"/>
    </row>
    <row r="32084" spans="1:100">
      <c r="A32084" s="374"/>
      <c r="C32084" s="374"/>
      <c r="CV32084" s="376"/>
    </row>
    <row r="32085" spans="1:100">
      <c r="A32085" s="374"/>
      <c r="C32085" s="374"/>
      <c r="CV32085" s="376"/>
    </row>
    <row r="32086" spans="1:100">
      <c r="A32086" s="374"/>
      <c r="C32086" s="374"/>
      <c r="CV32086" s="376"/>
    </row>
    <row r="32087" spans="1:100">
      <c r="A32087" s="374"/>
      <c r="C32087" s="374"/>
      <c r="CV32087" s="376"/>
    </row>
    <row r="32088" spans="1:100">
      <c r="A32088" s="374"/>
      <c r="C32088" s="374"/>
      <c r="CV32088" s="376"/>
    </row>
    <row r="32089" spans="1:100">
      <c r="A32089" s="374"/>
      <c r="C32089" s="374"/>
      <c r="CV32089" s="376"/>
    </row>
    <row r="32090" spans="1:100">
      <c r="A32090" s="374"/>
      <c r="C32090" s="374"/>
      <c r="CV32090" s="376"/>
    </row>
    <row r="32091" spans="1:100">
      <c r="A32091" s="374"/>
      <c r="C32091" s="374"/>
      <c r="CV32091" s="376"/>
    </row>
    <row r="32092" spans="1:100">
      <c r="A32092" s="374"/>
      <c r="C32092" s="374"/>
      <c r="CV32092" s="376"/>
    </row>
    <row r="32093" spans="1:100">
      <c r="A32093" s="374"/>
      <c r="C32093" s="374"/>
      <c r="CV32093" s="376"/>
    </row>
    <row r="32094" spans="1:100">
      <c r="A32094" s="374"/>
      <c r="C32094" s="374"/>
      <c r="CV32094" s="376"/>
    </row>
    <row r="32095" spans="1:100">
      <c r="A32095" s="374"/>
      <c r="C32095" s="374"/>
      <c r="CV32095" s="376"/>
    </row>
    <row r="32096" spans="1:100">
      <c r="A32096" s="374"/>
      <c r="C32096" s="374"/>
      <c r="CV32096" s="376"/>
    </row>
    <row r="32097" spans="1:100">
      <c r="A32097" s="374"/>
      <c r="C32097" s="374"/>
      <c r="CV32097" s="376"/>
    </row>
    <row r="32098" spans="1:100">
      <c r="A32098" s="374"/>
      <c r="C32098" s="374"/>
      <c r="CV32098" s="376"/>
    </row>
    <row r="32099" spans="1:100">
      <c r="A32099" s="374"/>
      <c r="C32099" s="374"/>
      <c r="CV32099" s="376"/>
    </row>
    <row r="32100" spans="1:100">
      <c r="A32100" s="374"/>
      <c r="C32100" s="374"/>
      <c r="CV32100" s="376"/>
    </row>
    <row r="32101" spans="1:100">
      <c r="A32101" s="374"/>
      <c r="C32101" s="374"/>
      <c r="CV32101" s="376"/>
    </row>
    <row r="32102" spans="1:100">
      <c r="A32102" s="374"/>
      <c r="C32102" s="374"/>
      <c r="CV32102" s="376"/>
    </row>
    <row r="32103" spans="1:100">
      <c r="A32103" s="374"/>
      <c r="C32103" s="374"/>
      <c r="CV32103" s="376"/>
    </row>
    <row r="32104" spans="1:100">
      <c r="A32104" s="374"/>
      <c r="C32104" s="374"/>
      <c r="CV32104" s="376"/>
    </row>
    <row r="32105" spans="1:100">
      <c r="A32105" s="374"/>
      <c r="C32105" s="374"/>
      <c r="CV32105" s="376"/>
    </row>
    <row r="32106" spans="1:100">
      <c r="A32106" s="374"/>
      <c r="C32106" s="374"/>
      <c r="CV32106" s="376"/>
    </row>
    <row r="32107" spans="1:100">
      <c r="A32107" s="374"/>
      <c r="C32107" s="374"/>
      <c r="CV32107" s="376"/>
    </row>
    <row r="32108" spans="1:100">
      <c r="A32108" s="374"/>
      <c r="C32108" s="374"/>
      <c r="CV32108" s="376"/>
    </row>
    <row r="32109" spans="1:100">
      <c r="A32109" s="374"/>
      <c r="C32109" s="374"/>
      <c r="CV32109" s="376"/>
    </row>
    <row r="32110" spans="1:100">
      <c r="A32110" s="374"/>
      <c r="C32110" s="374"/>
      <c r="CV32110" s="376"/>
    </row>
    <row r="32111" spans="1:100">
      <c r="A32111" s="374"/>
      <c r="C32111" s="374"/>
      <c r="CV32111" s="376"/>
    </row>
    <row r="32112" spans="1:100">
      <c r="A32112" s="374"/>
      <c r="C32112" s="374"/>
      <c r="CV32112" s="376"/>
    </row>
    <row r="32113" spans="1:100">
      <c r="A32113" s="374"/>
      <c r="C32113" s="374"/>
      <c r="CV32113" s="376"/>
    </row>
    <row r="32114" spans="1:100">
      <c r="A32114" s="374"/>
      <c r="C32114" s="374"/>
      <c r="CV32114" s="376"/>
    </row>
    <row r="32115" spans="1:100">
      <c r="A32115" s="374"/>
      <c r="C32115" s="374"/>
      <c r="CV32115" s="376"/>
    </row>
    <row r="32116" spans="1:100">
      <c r="A32116" s="374"/>
      <c r="C32116" s="374"/>
      <c r="CV32116" s="376"/>
    </row>
    <row r="32117" spans="1:100">
      <c r="A32117" s="374"/>
      <c r="C32117" s="374"/>
      <c r="CV32117" s="376"/>
    </row>
    <row r="32118" spans="1:100">
      <c r="A32118" s="374"/>
      <c r="C32118" s="374"/>
      <c r="CV32118" s="376"/>
    </row>
    <row r="32119" spans="1:100">
      <c r="A32119" s="374"/>
      <c r="C32119" s="374"/>
      <c r="CV32119" s="376"/>
    </row>
    <row r="32120" spans="1:100">
      <c r="A32120" s="374"/>
      <c r="C32120" s="374"/>
      <c r="CV32120" s="376"/>
    </row>
    <row r="32121" spans="1:100">
      <c r="A32121" s="374"/>
      <c r="C32121" s="374"/>
      <c r="CV32121" s="376"/>
    </row>
    <row r="32122" spans="1:100">
      <c r="A32122" s="374"/>
      <c r="C32122" s="374"/>
      <c r="CV32122" s="376"/>
    </row>
    <row r="32123" spans="1:100">
      <c r="A32123" s="374"/>
      <c r="C32123" s="374"/>
      <c r="CV32123" s="376"/>
    </row>
    <row r="32124" spans="1:100">
      <c r="A32124" s="374"/>
      <c r="C32124" s="374"/>
      <c r="CV32124" s="376"/>
    </row>
    <row r="32125" spans="1:100">
      <c r="A32125" s="374"/>
      <c r="C32125" s="374"/>
      <c r="CV32125" s="376"/>
    </row>
    <row r="32126" spans="1:100">
      <c r="A32126" s="374"/>
      <c r="C32126" s="374"/>
      <c r="CV32126" s="376"/>
    </row>
    <row r="32127" spans="1:100">
      <c r="A32127" s="374"/>
      <c r="C32127" s="374"/>
      <c r="CV32127" s="376"/>
    </row>
    <row r="32128" spans="1:100">
      <c r="A32128" s="374"/>
      <c r="C32128" s="374"/>
      <c r="CV32128" s="376"/>
    </row>
    <row r="32129" spans="1:100">
      <c r="A32129" s="374"/>
      <c r="C32129" s="374"/>
      <c r="CV32129" s="376"/>
    </row>
    <row r="32130" spans="1:100">
      <c r="A32130" s="374"/>
      <c r="C32130" s="374"/>
      <c r="CV32130" s="376"/>
    </row>
    <row r="32131" spans="1:100">
      <c r="A32131" s="374"/>
      <c r="C32131" s="374"/>
      <c r="CV32131" s="376"/>
    </row>
    <row r="32132" spans="1:100">
      <c r="A32132" s="374"/>
      <c r="C32132" s="374"/>
      <c r="CV32132" s="376"/>
    </row>
    <row r="32133" spans="1:100">
      <c r="A32133" s="374"/>
      <c r="C32133" s="374"/>
      <c r="CV32133" s="376"/>
    </row>
    <row r="32134" spans="1:100">
      <c r="A32134" s="374"/>
      <c r="C32134" s="374"/>
      <c r="CV32134" s="376"/>
    </row>
    <row r="32135" spans="1:100">
      <c r="A32135" s="374"/>
      <c r="C32135" s="374"/>
      <c r="CV32135" s="376"/>
    </row>
    <row r="32136" spans="1:100">
      <c r="A32136" s="374"/>
      <c r="C32136" s="374"/>
      <c r="CV32136" s="376"/>
    </row>
    <row r="32137" spans="1:100">
      <c r="A32137" s="374"/>
      <c r="C32137" s="374"/>
      <c r="CV32137" s="376"/>
    </row>
    <row r="32138" spans="1:100">
      <c r="A32138" s="374"/>
      <c r="C32138" s="374"/>
      <c r="CV32138" s="376"/>
    </row>
    <row r="32139" spans="1:100">
      <c r="A32139" s="374"/>
      <c r="C32139" s="374"/>
      <c r="CV32139" s="376"/>
    </row>
    <row r="32140" spans="1:100">
      <c r="A32140" s="374"/>
      <c r="C32140" s="374"/>
      <c r="CV32140" s="376"/>
    </row>
    <row r="32141" spans="1:100">
      <c r="A32141" s="374"/>
      <c r="C32141" s="374"/>
      <c r="CV32141" s="376"/>
    </row>
    <row r="32142" spans="1:100">
      <c r="A32142" s="374"/>
      <c r="C32142" s="374"/>
      <c r="CV32142" s="376"/>
    </row>
    <row r="32143" spans="1:100">
      <c r="A32143" s="374"/>
      <c r="C32143" s="374"/>
      <c r="CV32143" s="376"/>
    </row>
    <row r="32144" spans="1:100">
      <c r="A32144" s="374"/>
      <c r="C32144" s="374"/>
      <c r="CV32144" s="376"/>
    </row>
    <row r="32145" spans="1:100">
      <c r="A32145" s="374"/>
      <c r="C32145" s="374"/>
      <c r="CV32145" s="376"/>
    </row>
    <row r="32146" spans="1:100">
      <c r="A32146" s="374"/>
      <c r="C32146" s="374"/>
      <c r="CV32146" s="376"/>
    </row>
    <row r="32147" spans="1:100">
      <c r="A32147" s="374"/>
      <c r="C32147" s="374"/>
      <c r="CV32147" s="376"/>
    </row>
    <row r="32148" spans="1:100">
      <c r="A32148" s="374"/>
      <c r="C32148" s="374"/>
      <c r="CV32148" s="376"/>
    </row>
    <row r="32149" spans="1:100">
      <c r="A32149" s="374"/>
      <c r="C32149" s="374"/>
      <c r="CV32149" s="376"/>
    </row>
    <row r="32150" spans="1:100">
      <c r="A32150" s="374"/>
      <c r="C32150" s="374"/>
      <c r="CV32150" s="376"/>
    </row>
    <row r="32151" spans="1:100">
      <c r="A32151" s="374"/>
      <c r="C32151" s="374"/>
      <c r="CV32151" s="376"/>
    </row>
    <row r="32152" spans="1:100">
      <c r="A32152" s="374"/>
      <c r="C32152" s="374"/>
      <c r="CV32152" s="376"/>
    </row>
    <row r="32153" spans="1:100">
      <c r="A32153" s="374"/>
      <c r="C32153" s="374"/>
      <c r="CV32153" s="376"/>
    </row>
    <row r="32154" spans="1:100">
      <c r="A32154" s="374"/>
      <c r="C32154" s="374"/>
      <c r="CV32154" s="376"/>
    </row>
    <row r="32155" spans="1:100">
      <c r="A32155" s="374"/>
      <c r="C32155" s="374"/>
      <c r="CV32155" s="376"/>
    </row>
    <row r="32156" spans="1:100">
      <c r="A32156" s="374"/>
      <c r="C32156" s="374"/>
      <c r="CV32156" s="376"/>
    </row>
    <row r="32157" spans="1:100">
      <c r="A32157" s="374"/>
      <c r="C32157" s="374"/>
      <c r="CV32157" s="376"/>
    </row>
    <row r="32158" spans="1:100">
      <c r="A32158" s="374"/>
      <c r="C32158" s="374"/>
      <c r="CV32158" s="376"/>
    </row>
    <row r="32159" spans="1:100">
      <c r="A32159" s="374"/>
      <c r="C32159" s="374"/>
      <c r="CV32159" s="376"/>
    </row>
    <row r="32160" spans="1:100">
      <c r="A32160" s="374"/>
      <c r="C32160" s="374"/>
      <c r="CV32160" s="376"/>
    </row>
    <row r="32161" spans="1:100">
      <c r="A32161" s="374"/>
      <c r="C32161" s="374"/>
      <c r="CV32161" s="376"/>
    </row>
    <row r="32162" spans="1:100">
      <c r="A32162" s="374"/>
      <c r="C32162" s="374"/>
      <c r="CV32162" s="376"/>
    </row>
    <row r="32163" spans="1:100">
      <c r="A32163" s="374"/>
      <c r="C32163" s="374"/>
      <c r="CV32163" s="376"/>
    </row>
    <row r="32164" spans="1:100">
      <c r="A32164" s="374"/>
      <c r="C32164" s="374"/>
      <c r="CV32164" s="376"/>
    </row>
    <row r="32165" spans="1:100">
      <c r="A32165" s="374"/>
      <c r="C32165" s="374"/>
      <c r="CV32165" s="376"/>
    </row>
    <row r="32166" spans="1:100">
      <c r="A32166" s="374"/>
      <c r="C32166" s="374"/>
      <c r="CV32166" s="376"/>
    </row>
    <row r="32167" spans="1:100">
      <c r="A32167" s="374"/>
      <c r="C32167" s="374"/>
      <c r="CV32167" s="376"/>
    </row>
    <row r="32168" spans="1:100">
      <c r="A32168" s="374"/>
      <c r="C32168" s="374"/>
      <c r="CV32168" s="376"/>
    </row>
    <row r="32169" spans="1:100">
      <c r="A32169" s="374"/>
      <c r="C32169" s="374"/>
      <c r="CV32169" s="376"/>
    </row>
    <row r="32170" spans="1:100">
      <c r="A32170" s="374"/>
      <c r="C32170" s="374"/>
      <c r="CV32170" s="376"/>
    </row>
    <row r="32171" spans="1:100">
      <c r="A32171" s="374"/>
      <c r="C32171" s="374"/>
      <c r="CV32171" s="376"/>
    </row>
    <row r="32172" spans="1:100">
      <c r="A32172" s="374"/>
      <c r="C32172" s="374"/>
      <c r="CV32172" s="376"/>
    </row>
    <row r="32173" spans="1:100">
      <c r="A32173" s="374"/>
      <c r="C32173" s="374"/>
      <c r="CV32173" s="376"/>
    </row>
    <row r="32174" spans="1:100">
      <c r="A32174" s="374"/>
      <c r="C32174" s="374"/>
      <c r="CV32174" s="376"/>
    </row>
    <row r="32175" spans="1:100">
      <c r="A32175" s="374"/>
      <c r="C32175" s="374"/>
      <c r="CV32175" s="376"/>
    </row>
    <row r="32176" spans="1:100">
      <c r="A32176" s="374"/>
      <c r="C32176" s="374"/>
      <c r="CV32176" s="376"/>
    </row>
    <row r="32177" spans="1:100">
      <c r="A32177" s="374"/>
      <c r="C32177" s="374"/>
      <c r="CV32177" s="376"/>
    </row>
    <row r="32178" spans="1:100">
      <c r="A32178" s="374"/>
      <c r="C32178" s="374"/>
      <c r="CV32178" s="376"/>
    </row>
    <row r="32179" spans="1:100">
      <c r="A32179" s="374"/>
      <c r="C32179" s="374"/>
      <c r="CV32179" s="376"/>
    </row>
    <row r="32180" spans="1:100">
      <c r="A32180" s="374"/>
      <c r="C32180" s="374"/>
      <c r="CV32180" s="376"/>
    </row>
    <row r="32181" spans="1:100">
      <c r="A32181" s="374"/>
      <c r="C32181" s="374"/>
      <c r="CV32181" s="376"/>
    </row>
    <row r="32182" spans="1:100">
      <c r="A32182" s="374"/>
      <c r="C32182" s="374"/>
      <c r="CV32182" s="376"/>
    </row>
    <row r="32183" spans="1:100">
      <c r="A32183" s="374"/>
      <c r="C32183" s="374"/>
      <c r="CV32183" s="376"/>
    </row>
    <row r="32184" spans="1:100">
      <c r="A32184" s="374"/>
      <c r="C32184" s="374"/>
      <c r="CV32184" s="376"/>
    </row>
    <row r="32185" spans="1:100">
      <c r="A32185" s="374"/>
      <c r="C32185" s="374"/>
      <c r="CV32185" s="376"/>
    </row>
    <row r="32186" spans="1:100">
      <c r="A32186" s="374"/>
      <c r="C32186" s="374"/>
      <c r="CV32186" s="376"/>
    </row>
    <row r="32187" spans="1:100">
      <c r="A32187" s="374"/>
      <c r="C32187" s="374"/>
      <c r="CV32187" s="376"/>
    </row>
    <row r="32188" spans="1:100">
      <c r="A32188" s="374"/>
      <c r="C32188" s="374"/>
      <c r="CV32188" s="376"/>
    </row>
    <row r="32189" spans="1:100">
      <c r="A32189" s="374"/>
      <c r="C32189" s="374"/>
      <c r="CV32189" s="376"/>
    </row>
    <row r="32190" spans="1:100">
      <c r="A32190" s="374"/>
      <c r="C32190" s="374"/>
      <c r="CV32190" s="376"/>
    </row>
    <row r="32191" spans="1:100">
      <c r="A32191" s="374"/>
      <c r="C32191" s="374"/>
      <c r="CV32191" s="376"/>
    </row>
    <row r="32192" spans="1:100">
      <c r="A32192" s="374"/>
      <c r="C32192" s="374"/>
      <c r="CV32192" s="376"/>
    </row>
    <row r="32193" spans="1:100">
      <c r="A32193" s="374"/>
      <c r="C32193" s="374"/>
      <c r="CV32193" s="376"/>
    </row>
    <row r="32194" spans="1:100">
      <c r="A32194" s="374"/>
      <c r="C32194" s="374"/>
      <c r="CV32194" s="376"/>
    </row>
    <row r="32195" spans="1:100">
      <c r="A32195" s="374"/>
      <c r="C32195" s="374"/>
      <c r="CV32195" s="376"/>
    </row>
    <row r="32196" spans="1:100">
      <c r="A32196" s="374"/>
      <c r="C32196" s="374"/>
      <c r="CV32196" s="376"/>
    </row>
    <row r="32197" spans="1:100">
      <c r="A32197" s="374"/>
      <c r="C32197" s="374"/>
      <c r="CV32197" s="376"/>
    </row>
    <row r="32198" spans="1:100">
      <c r="A32198" s="374"/>
      <c r="C32198" s="374"/>
      <c r="CV32198" s="376"/>
    </row>
    <row r="32199" spans="1:100">
      <c r="A32199" s="374"/>
      <c r="C32199" s="374"/>
      <c r="CV32199" s="376"/>
    </row>
    <row r="32200" spans="1:100">
      <c r="A32200" s="374"/>
      <c r="C32200" s="374"/>
      <c r="CV32200" s="376"/>
    </row>
    <row r="32201" spans="1:100">
      <c r="A32201" s="374"/>
      <c r="C32201" s="374"/>
      <c r="CV32201" s="376"/>
    </row>
    <row r="32202" spans="1:100">
      <c r="A32202" s="374"/>
      <c r="C32202" s="374"/>
      <c r="CV32202" s="376"/>
    </row>
    <row r="32203" spans="1:100">
      <c r="A32203" s="374"/>
      <c r="C32203" s="374"/>
      <c r="CV32203" s="376"/>
    </row>
    <row r="32204" spans="1:100">
      <c r="A32204" s="374"/>
      <c r="C32204" s="374"/>
      <c r="CV32204" s="376"/>
    </row>
    <row r="32205" spans="1:100">
      <c r="A32205" s="374"/>
      <c r="C32205" s="374"/>
      <c r="CV32205" s="376"/>
    </row>
    <row r="32206" spans="1:100">
      <c r="A32206" s="374"/>
      <c r="C32206" s="374"/>
      <c r="CV32206" s="376"/>
    </row>
    <row r="32207" spans="1:100">
      <c r="A32207" s="374"/>
      <c r="C32207" s="374"/>
      <c r="CV32207" s="376"/>
    </row>
    <row r="32208" spans="1:100">
      <c r="A32208" s="374"/>
      <c r="C32208" s="374"/>
      <c r="CV32208" s="376"/>
    </row>
    <row r="32209" spans="1:100">
      <c r="A32209" s="374"/>
      <c r="C32209" s="374"/>
      <c r="CV32209" s="376"/>
    </row>
    <row r="32210" spans="1:100">
      <c r="A32210" s="374"/>
      <c r="C32210" s="374"/>
      <c r="CV32210" s="376"/>
    </row>
    <row r="32211" spans="1:100">
      <c r="A32211" s="374"/>
      <c r="C32211" s="374"/>
      <c r="CV32211" s="376"/>
    </row>
    <row r="32212" spans="1:100">
      <c r="A32212" s="374"/>
      <c r="C32212" s="374"/>
      <c r="CV32212" s="376"/>
    </row>
    <row r="32213" spans="1:100">
      <c r="A32213" s="374"/>
      <c r="C32213" s="374"/>
      <c r="CV32213" s="376"/>
    </row>
    <row r="32214" spans="1:100">
      <c r="A32214" s="374"/>
      <c r="C32214" s="374"/>
      <c r="CV32214" s="376"/>
    </row>
    <row r="32215" spans="1:100">
      <c r="A32215" s="374"/>
      <c r="C32215" s="374"/>
      <c r="CV32215" s="376"/>
    </row>
    <row r="32216" spans="1:100">
      <c r="A32216" s="374"/>
      <c r="C32216" s="374"/>
      <c r="CV32216" s="376"/>
    </row>
    <row r="32217" spans="1:100">
      <c r="A32217" s="374"/>
      <c r="C32217" s="374"/>
      <c r="CV32217" s="376"/>
    </row>
    <row r="32218" spans="1:100">
      <c r="A32218" s="374"/>
      <c r="C32218" s="374"/>
      <c r="CV32218" s="376"/>
    </row>
    <row r="32219" spans="1:100">
      <c r="A32219" s="374"/>
      <c r="C32219" s="374"/>
      <c r="CV32219" s="376"/>
    </row>
    <row r="32220" spans="1:100">
      <c r="A32220" s="374"/>
      <c r="C32220" s="374"/>
      <c r="CV32220" s="376"/>
    </row>
    <row r="32221" spans="1:100">
      <c r="A32221" s="374"/>
      <c r="C32221" s="374"/>
      <c r="CV32221" s="376"/>
    </row>
    <row r="32222" spans="1:100">
      <c r="A32222" s="374"/>
      <c r="C32222" s="374"/>
      <c r="CV32222" s="376"/>
    </row>
    <row r="32223" spans="1:100">
      <c r="A32223" s="374"/>
      <c r="C32223" s="374"/>
      <c r="CV32223" s="376"/>
    </row>
    <row r="32224" spans="1:100">
      <c r="A32224" s="374"/>
      <c r="C32224" s="374"/>
      <c r="CV32224" s="376"/>
    </row>
    <row r="32225" spans="1:100">
      <c r="A32225" s="374"/>
      <c r="C32225" s="374"/>
      <c r="CV32225" s="376"/>
    </row>
    <row r="32226" spans="1:100">
      <c r="A32226" s="374"/>
      <c r="C32226" s="374"/>
      <c r="CV32226" s="376"/>
    </row>
    <row r="32227" spans="1:100">
      <c r="A32227" s="374"/>
      <c r="C32227" s="374"/>
      <c r="CV32227" s="376"/>
    </row>
    <row r="32228" spans="1:100">
      <c r="A32228" s="374"/>
      <c r="C32228" s="374"/>
      <c r="CV32228" s="376"/>
    </row>
    <row r="32229" spans="1:100">
      <c r="A32229" s="374"/>
      <c r="C32229" s="374"/>
      <c r="CV32229" s="376"/>
    </row>
    <row r="32230" spans="1:100">
      <c r="A32230" s="374"/>
      <c r="C32230" s="374"/>
      <c r="CV32230" s="376"/>
    </row>
    <row r="32231" spans="1:100">
      <c r="A32231" s="374"/>
      <c r="C32231" s="374"/>
      <c r="CV32231" s="376"/>
    </row>
    <row r="32232" spans="1:100">
      <c r="A32232" s="374"/>
      <c r="C32232" s="374"/>
      <c r="CV32232" s="376"/>
    </row>
    <row r="32233" spans="1:100">
      <c r="A32233" s="374"/>
      <c r="C32233" s="374"/>
      <c r="CV32233" s="376"/>
    </row>
    <row r="32234" spans="1:100">
      <c r="A32234" s="374"/>
      <c r="C32234" s="374"/>
      <c r="CV32234" s="376"/>
    </row>
    <row r="32235" spans="1:100">
      <c r="A32235" s="374"/>
      <c r="C32235" s="374"/>
      <c r="CV32235" s="376"/>
    </row>
    <row r="32236" spans="1:100">
      <c r="A32236" s="374"/>
      <c r="C32236" s="374"/>
      <c r="CV32236" s="376"/>
    </row>
    <row r="32237" spans="1:100">
      <c r="A32237" s="374"/>
      <c r="C32237" s="374"/>
      <c r="CV32237" s="376"/>
    </row>
    <row r="32238" spans="1:100">
      <c r="A32238" s="374"/>
      <c r="C32238" s="374"/>
      <c r="CV32238" s="376"/>
    </row>
    <row r="32239" spans="1:100">
      <c r="A32239" s="374"/>
      <c r="C32239" s="374"/>
      <c r="CV32239" s="376"/>
    </row>
    <row r="32240" spans="1:100">
      <c r="A32240" s="374"/>
      <c r="C32240" s="374"/>
      <c r="CV32240" s="376"/>
    </row>
    <row r="32241" spans="1:100">
      <c r="A32241" s="374"/>
      <c r="C32241" s="374"/>
      <c r="CV32241" s="376"/>
    </row>
    <row r="32242" spans="1:100">
      <c r="A32242" s="374"/>
      <c r="C32242" s="374"/>
      <c r="CV32242" s="376"/>
    </row>
    <row r="32243" spans="1:100">
      <c r="A32243" s="374"/>
      <c r="C32243" s="374"/>
      <c r="CV32243" s="376"/>
    </row>
    <row r="32244" spans="1:100">
      <c r="A32244" s="374"/>
      <c r="C32244" s="374"/>
      <c r="CV32244" s="376"/>
    </row>
    <row r="32245" spans="1:100">
      <c r="A32245" s="374"/>
      <c r="C32245" s="374"/>
      <c r="CV32245" s="376"/>
    </row>
    <row r="32246" spans="1:100">
      <c r="A32246" s="374"/>
      <c r="C32246" s="374"/>
      <c r="CV32246" s="376"/>
    </row>
    <row r="32247" spans="1:100">
      <c r="A32247" s="374"/>
      <c r="C32247" s="374"/>
      <c r="CV32247" s="376"/>
    </row>
    <row r="32248" spans="1:100">
      <c r="A32248" s="374"/>
      <c r="C32248" s="374"/>
      <c r="CV32248" s="376"/>
    </row>
    <row r="32249" spans="1:100">
      <c r="A32249" s="374"/>
      <c r="C32249" s="374"/>
      <c r="CV32249" s="376"/>
    </row>
    <row r="32250" spans="1:100">
      <c r="A32250" s="374"/>
      <c r="C32250" s="374"/>
      <c r="CV32250" s="376"/>
    </row>
    <row r="32251" spans="1:100">
      <c r="A32251" s="374"/>
      <c r="C32251" s="374"/>
      <c r="CV32251" s="376"/>
    </row>
    <row r="32252" spans="1:100">
      <c r="A32252" s="374"/>
      <c r="C32252" s="374"/>
      <c r="CV32252" s="376"/>
    </row>
    <row r="32253" spans="1:100">
      <c r="A32253" s="374"/>
      <c r="C32253" s="374"/>
      <c r="CV32253" s="376"/>
    </row>
    <row r="32254" spans="1:100">
      <c r="A32254" s="374"/>
      <c r="C32254" s="374"/>
      <c r="CV32254" s="376"/>
    </row>
    <row r="32255" spans="1:100">
      <c r="A32255" s="374"/>
      <c r="C32255" s="374"/>
      <c r="CV32255" s="376"/>
    </row>
    <row r="32256" spans="1:100">
      <c r="A32256" s="374"/>
      <c r="C32256" s="374"/>
      <c r="CV32256" s="376"/>
    </row>
    <row r="32257" spans="1:100">
      <c r="A32257" s="374"/>
      <c r="C32257" s="374"/>
      <c r="CV32257" s="376"/>
    </row>
    <row r="32258" spans="1:100">
      <c r="A32258" s="374"/>
      <c r="C32258" s="374"/>
      <c r="CV32258" s="376"/>
    </row>
    <row r="32259" spans="1:100">
      <c r="A32259" s="374"/>
      <c r="C32259" s="374"/>
      <c r="CV32259" s="376"/>
    </row>
    <row r="32260" spans="1:100">
      <c r="A32260" s="374"/>
      <c r="C32260" s="374"/>
      <c r="CV32260" s="376"/>
    </row>
    <row r="32261" spans="1:100">
      <c r="A32261" s="374"/>
      <c r="C32261" s="374"/>
      <c r="CV32261" s="376"/>
    </row>
    <row r="32262" spans="1:100">
      <c r="A32262" s="374"/>
      <c r="C32262" s="374"/>
      <c r="CV32262" s="376"/>
    </row>
    <row r="32263" spans="1:100">
      <c r="A32263" s="374"/>
      <c r="C32263" s="374"/>
      <c r="CV32263" s="376"/>
    </row>
    <row r="32264" spans="1:100">
      <c r="A32264" s="374"/>
      <c r="C32264" s="374"/>
      <c r="CV32264" s="376"/>
    </row>
    <row r="32265" spans="1:100">
      <c r="A32265" s="374"/>
      <c r="C32265" s="374"/>
      <c r="CV32265" s="376"/>
    </row>
    <row r="32266" spans="1:100">
      <c r="A32266" s="374"/>
      <c r="C32266" s="374"/>
      <c r="CV32266" s="376"/>
    </row>
    <row r="32267" spans="1:100">
      <c r="A32267" s="374"/>
      <c r="C32267" s="374"/>
      <c r="CV32267" s="376"/>
    </row>
    <row r="32268" spans="1:100">
      <c r="A32268" s="374"/>
      <c r="C32268" s="374"/>
      <c r="CV32268" s="376"/>
    </row>
    <row r="32269" spans="1:100">
      <c r="A32269" s="374"/>
      <c r="C32269" s="374"/>
      <c r="CV32269" s="376"/>
    </row>
    <row r="32270" spans="1:100">
      <c r="A32270" s="374"/>
      <c r="C32270" s="374"/>
      <c r="CV32270" s="376"/>
    </row>
    <row r="32271" spans="1:100">
      <c r="A32271" s="374"/>
      <c r="C32271" s="374"/>
      <c r="CV32271" s="376"/>
    </row>
    <row r="32272" spans="1:100">
      <c r="A32272" s="374"/>
      <c r="C32272" s="374"/>
      <c r="CV32272" s="376"/>
    </row>
    <row r="32273" spans="1:100">
      <c r="A32273" s="374"/>
      <c r="C32273" s="374"/>
      <c r="CV32273" s="376"/>
    </row>
    <row r="32274" spans="1:100">
      <c r="A32274" s="374"/>
      <c r="C32274" s="374"/>
      <c r="CV32274" s="376"/>
    </row>
    <row r="32275" spans="1:100">
      <c r="A32275" s="374"/>
      <c r="C32275" s="374"/>
      <c r="CV32275" s="376"/>
    </row>
    <row r="32276" spans="1:100">
      <c r="A32276" s="374"/>
      <c r="C32276" s="374"/>
      <c r="CV32276" s="376"/>
    </row>
    <row r="32277" spans="1:100">
      <c r="A32277" s="374"/>
      <c r="C32277" s="374"/>
      <c r="CV32277" s="376"/>
    </row>
    <row r="32278" spans="1:100">
      <c r="A32278" s="374"/>
      <c r="C32278" s="374"/>
      <c r="CV32278" s="376"/>
    </row>
    <row r="32279" spans="1:100">
      <c r="A32279" s="374"/>
      <c r="C32279" s="374"/>
      <c r="CV32279" s="376"/>
    </row>
    <row r="32280" spans="1:100">
      <c r="A32280" s="374"/>
      <c r="C32280" s="374"/>
      <c r="CV32280" s="376"/>
    </row>
    <row r="32281" spans="1:100">
      <c r="A32281" s="374"/>
      <c r="C32281" s="374"/>
      <c r="CV32281" s="376"/>
    </row>
    <row r="32282" spans="1:100">
      <c r="A32282" s="374"/>
      <c r="C32282" s="374"/>
      <c r="CV32282" s="376"/>
    </row>
    <row r="32283" spans="1:100">
      <c r="A32283" s="374"/>
      <c r="C32283" s="374"/>
      <c r="CV32283" s="376"/>
    </row>
    <row r="32284" spans="1:100">
      <c r="A32284" s="374"/>
      <c r="C32284" s="374"/>
      <c r="CV32284" s="376"/>
    </row>
    <row r="32285" spans="1:100">
      <c r="A32285" s="374"/>
      <c r="C32285" s="374"/>
      <c r="CV32285" s="376"/>
    </row>
    <row r="32286" spans="1:100">
      <c r="A32286" s="374"/>
      <c r="C32286" s="374"/>
      <c r="CV32286" s="376"/>
    </row>
    <row r="32287" spans="1:100">
      <c r="A32287" s="374"/>
      <c r="C32287" s="374"/>
      <c r="CV32287" s="376"/>
    </row>
    <row r="32288" spans="1:100">
      <c r="A32288" s="374"/>
      <c r="C32288" s="374"/>
      <c r="CV32288" s="376"/>
    </row>
    <row r="32289" spans="1:100">
      <c r="A32289" s="374"/>
      <c r="C32289" s="374"/>
      <c r="CV32289" s="376"/>
    </row>
    <row r="32290" spans="1:100">
      <c r="A32290" s="374"/>
      <c r="C32290" s="374"/>
      <c r="CV32290" s="376"/>
    </row>
    <row r="32291" spans="1:100">
      <c r="A32291" s="374"/>
      <c r="C32291" s="374"/>
      <c r="CV32291" s="376"/>
    </row>
    <row r="32292" spans="1:100">
      <c r="A32292" s="374"/>
      <c r="C32292" s="374"/>
      <c r="CV32292" s="376"/>
    </row>
    <row r="32293" spans="1:100">
      <c r="A32293" s="374"/>
      <c r="C32293" s="374"/>
      <c r="CV32293" s="376"/>
    </row>
    <row r="32294" spans="1:100">
      <c r="A32294" s="374"/>
      <c r="C32294" s="374"/>
      <c r="CV32294" s="376"/>
    </row>
    <row r="32295" spans="1:100">
      <c r="A32295" s="374"/>
      <c r="C32295" s="374"/>
      <c r="CV32295" s="376"/>
    </row>
    <row r="32296" spans="1:100">
      <c r="A32296" s="374"/>
      <c r="C32296" s="374"/>
      <c r="CV32296" s="376"/>
    </row>
    <row r="32297" spans="1:100">
      <c r="A32297" s="374"/>
      <c r="C32297" s="374"/>
      <c r="CV32297" s="376"/>
    </row>
    <row r="32298" spans="1:100">
      <c r="A32298" s="374"/>
      <c r="C32298" s="374"/>
      <c r="CV32298" s="376"/>
    </row>
    <row r="32299" spans="1:100">
      <c r="A32299" s="374"/>
      <c r="C32299" s="374"/>
      <c r="CV32299" s="376"/>
    </row>
    <row r="32300" spans="1:100">
      <c r="A32300" s="374"/>
      <c r="C32300" s="374"/>
      <c r="CV32300" s="376"/>
    </row>
    <row r="32301" spans="1:100">
      <c r="A32301" s="374"/>
      <c r="C32301" s="374"/>
      <c r="CV32301" s="376"/>
    </row>
    <row r="32302" spans="1:100">
      <c r="A32302" s="374"/>
      <c r="C32302" s="374"/>
      <c r="CV32302" s="376"/>
    </row>
    <row r="32303" spans="1:100">
      <c r="A32303" s="374"/>
      <c r="C32303" s="374"/>
      <c r="CV32303" s="376"/>
    </row>
    <row r="32304" spans="1:100">
      <c r="A32304" s="374"/>
      <c r="C32304" s="374"/>
      <c r="CV32304" s="376"/>
    </row>
    <row r="32305" spans="1:100">
      <c r="A32305" s="374"/>
      <c r="C32305" s="374"/>
      <c r="CV32305" s="376"/>
    </row>
    <row r="32306" spans="1:100">
      <c r="A32306" s="374"/>
      <c r="C32306" s="374"/>
      <c r="CV32306" s="376"/>
    </row>
    <row r="32307" spans="1:100">
      <c r="A32307" s="374"/>
      <c r="C32307" s="374"/>
      <c r="CV32307" s="376"/>
    </row>
    <row r="32308" spans="1:100">
      <c r="A32308" s="374"/>
      <c r="C32308" s="374"/>
      <c r="CV32308" s="376"/>
    </row>
    <row r="32309" spans="1:100">
      <c r="A32309" s="374"/>
      <c r="C32309" s="374"/>
      <c r="CV32309" s="376"/>
    </row>
    <row r="32310" spans="1:100">
      <c r="A32310" s="374"/>
      <c r="C32310" s="374"/>
      <c r="CV32310" s="376"/>
    </row>
    <row r="32311" spans="1:100">
      <c r="A32311" s="374"/>
      <c r="C32311" s="374"/>
      <c r="CV32311" s="376"/>
    </row>
    <row r="32312" spans="1:100">
      <c r="A32312" s="374"/>
      <c r="C32312" s="374"/>
      <c r="CV32312" s="376"/>
    </row>
    <row r="32313" spans="1:100">
      <c r="A32313" s="374"/>
      <c r="C32313" s="374"/>
      <c r="CV32313" s="376"/>
    </row>
    <row r="32314" spans="1:100">
      <c r="A32314" s="374"/>
      <c r="C32314" s="374"/>
      <c r="CV32314" s="376"/>
    </row>
    <row r="32315" spans="1:100">
      <c r="A32315" s="374"/>
      <c r="C32315" s="374"/>
      <c r="CV32315" s="376"/>
    </row>
    <row r="32316" spans="1:100">
      <c r="A32316" s="374"/>
      <c r="C32316" s="374"/>
      <c r="CV32316" s="376"/>
    </row>
    <row r="32317" spans="1:100">
      <c r="A32317" s="374"/>
      <c r="C32317" s="374"/>
      <c r="CV32317" s="376"/>
    </row>
    <row r="32318" spans="1:100">
      <c r="A32318" s="374"/>
      <c r="C32318" s="374"/>
      <c r="CV32318" s="376"/>
    </row>
    <row r="32319" spans="1:100">
      <c r="A32319" s="374"/>
      <c r="C32319" s="374"/>
      <c r="CV32319" s="376"/>
    </row>
    <row r="32320" spans="1:100">
      <c r="A32320" s="374"/>
      <c r="C32320" s="374"/>
      <c r="CV32320" s="376"/>
    </row>
    <row r="32321" spans="1:100">
      <c r="A32321" s="374"/>
      <c r="C32321" s="374"/>
      <c r="CV32321" s="376"/>
    </row>
    <row r="32322" spans="1:100">
      <c r="A32322" s="374"/>
      <c r="C32322" s="374"/>
      <c r="CV32322" s="376"/>
    </row>
    <row r="32323" spans="1:100">
      <c r="A32323" s="374"/>
      <c r="C32323" s="374"/>
      <c r="CV32323" s="376"/>
    </row>
    <row r="32324" spans="1:100">
      <c r="A32324" s="374"/>
      <c r="C32324" s="374"/>
      <c r="CV32324" s="376"/>
    </row>
    <row r="32325" spans="1:100">
      <c r="A32325" s="374"/>
      <c r="C32325" s="374"/>
      <c r="CV32325" s="376"/>
    </row>
    <row r="32326" spans="1:100">
      <c r="A32326" s="374"/>
      <c r="C32326" s="374"/>
      <c r="CV32326" s="376"/>
    </row>
    <row r="32327" spans="1:100">
      <c r="A32327" s="374"/>
      <c r="C32327" s="374"/>
      <c r="CV32327" s="376"/>
    </row>
    <row r="32328" spans="1:100">
      <c r="A32328" s="374"/>
      <c r="C32328" s="374"/>
      <c r="CV32328" s="376"/>
    </row>
    <row r="32329" spans="1:100">
      <c r="A32329" s="374"/>
      <c r="C32329" s="374"/>
      <c r="CV32329" s="376"/>
    </row>
    <row r="32330" spans="1:100">
      <c r="A32330" s="374"/>
      <c r="C32330" s="374"/>
      <c r="CV32330" s="376"/>
    </row>
    <row r="32331" spans="1:100">
      <c r="A32331" s="374"/>
      <c r="C32331" s="374"/>
      <c r="CV32331" s="376"/>
    </row>
    <row r="32332" spans="1:100">
      <c r="A32332" s="374"/>
      <c r="C32332" s="374"/>
      <c r="CV32332" s="376"/>
    </row>
    <row r="32333" spans="1:100">
      <c r="A32333" s="374"/>
      <c r="C32333" s="374"/>
      <c r="CV32333" s="376"/>
    </row>
    <row r="32334" spans="1:100">
      <c r="A32334" s="374"/>
      <c r="C32334" s="374"/>
      <c r="CV32334" s="376"/>
    </row>
    <row r="32335" spans="1:100">
      <c r="A32335" s="374"/>
      <c r="C32335" s="374"/>
      <c r="CV32335" s="376"/>
    </row>
    <row r="32336" spans="1:100">
      <c r="A32336" s="374"/>
      <c r="C32336" s="374"/>
      <c r="CV32336" s="376"/>
    </row>
    <row r="32337" spans="1:100">
      <c r="A32337" s="374"/>
      <c r="C32337" s="374"/>
      <c r="CV32337" s="376"/>
    </row>
    <row r="32338" spans="1:100">
      <c r="A32338" s="374"/>
      <c r="C32338" s="374"/>
      <c r="CV32338" s="376"/>
    </row>
    <row r="32339" spans="1:100">
      <c r="A32339" s="374"/>
      <c r="C32339" s="374"/>
      <c r="CV32339" s="376"/>
    </row>
    <row r="32340" spans="1:100">
      <c r="A32340" s="374"/>
      <c r="C32340" s="374"/>
      <c r="CV32340" s="376"/>
    </row>
    <row r="32341" spans="1:100">
      <c r="A32341" s="374"/>
      <c r="C32341" s="374"/>
      <c r="CV32341" s="376"/>
    </row>
    <row r="32342" spans="1:100">
      <c r="A32342" s="374"/>
      <c r="C32342" s="374"/>
      <c r="CV32342" s="376"/>
    </row>
    <row r="32343" spans="1:100">
      <c r="A32343" s="374"/>
      <c r="C32343" s="374"/>
      <c r="CV32343" s="376"/>
    </row>
    <row r="32344" spans="1:100">
      <c r="A32344" s="374"/>
      <c r="C32344" s="374"/>
      <c r="CV32344" s="376"/>
    </row>
    <row r="32345" spans="1:100">
      <c r="A32345" s="374"/>
      <c r="C32345" s="374"/>
      <c r="CV32345" s="376"/>
    </row>
    <row r="32346" spans="1:100">
      <c r="A32346" s="374"/>
      <c r="C32346" s="374"/>
      <c r="CV32346" s="376"/>
    </row>
    <row r="32347" spans="1:100">
      <c r="A32347" s="374"/>
      <c r="C32347" s="374"/>
      <c r="CV32347" s="376"/>
    </row>
    <row r="32348" spans="1:100">
      <c r="A32348" s="374"/>
      <c r="C32348" s="374"/>
      <c r="CV32348" s="376"/>
    </row>
    <row r="32349" spans="1:100">
      <c r="A32349" s="374"/>
      <c r="C32349" s="374"/>
      <c r="CV32349" s="376"/>
    </row>
    <row r="32350" spans="1:100">
      <c r="A32350" s="374"/>
      <c r="C32350" s="374"/>
      <c r="CV32350" s="376"/>
    </row>
    <row r="32351" spans="1:100">
      <c r="A32351" s="374"/>
      <c r="C32351" s="374"/>
      <c r="CV32351" s="376"/>
    </row>
    <row r="32352" spans="1:100">
      <c r="A32352" s="374"/>
      <c r="C32352" s="374"/>
      <c r="CV32352" s="376"/>
    </row>
    <row r="32353" spans="1:100">
      <c r="A32353" s="374"/>
      <c r="C32353" s="374"/>
      <c r="CV32353" s="376"/>
    </row>
    <row r="32354" spans="1:100">
      <c r="A32354" s="374"/>
      <c r="C32354" s="374"/>
      <c r="CV32354" s="376"/>
    </row>
    <row r="32355" spans="1:100">
      <c r="A32355" s="374"/>
      <c r="C32355" s="374"/>
      <c r="CV32355" s="376"/>
    </row>
    <row r="32356" spans="1:100">
      <c r="A32356" s="374"/>
      <c r="C32356" s="374"/>
      <c r="CV32356" s="376"/>
    </row>
    <row r="32357" spans="1:100">
      <c r="A32357" s="374"/>
      <c r="C32357" s="374"/>
      <c r="CV32357" s="376"/>
    </row>
    <row r="32358" spans="1:100">
      <c r="A32358" s="374"/>
      <c r="C32358" s="374"/>
      <c r="CV32358" s="376"/>
    </row>
    <row r="32359" spans="1:100">
      <c r="A32359" s="374"/>
      <c r="C32359" s="374"/>
      <c r="CV32359" s="376"/>
    </row>
    <row r="32360" spans="1:100">
      <c r="A32360" s="374"/>
      <c r="C32360" s="374"/>
      <c r="CV32360" s="376"/>
    </row>
    <row r="32361" spans="1:100">
      <c r="A32361" s="374"/>
      <c r="C32361" s="374"/>
      <c r="CV32361" s="376"/>
    </row>
    <row r="32362" spans="1:100">
      <c r="A32362" s="374"/>
      <c r="C32362" s="374"/>
      <c r="CV32362" s="376"/>
    </row>
    <row r="32363" spans="1:100">
      <c r="A32363" s="374"/>
      <c r="C32363" s="374"/>
      <c r="CV32363" s="376"/>
    </row>
    <row r="32364" spans="1:100">
      <c r="A32364" s="374"/>
      <c r="C32364" s="374"/>
      <c r="CV32364" s="376"/>
    </row>
    <row r="32365" spans="1:100">
      <c r="A32365" s="374"/>
      <c r="C32365" s="374"/>
      <c r="CV32365" s="376"/>
    </row>
    <row r="32366" spans="1:100">
      <c r="A32366" s="374"/>
      <c r="C32366" s="374"/>
      <c r="CV32366" s="376"/>
    </row>
    <row r="32367" spans="1:100">
      <c r="A32367" s="374"/>
      <c r="C32367" s="374"/>
      <c r="CV32367" s="376"/>
    </row>
    <row r="32368" spans="1:100">
      <c r="A32368" s="374"/>
      <c r="C32368" s="374"/>
      <c r="CV32368" s="376"/>
    </row>
    <row r="32369" spans="1:100">
      <c r="A32369" s="374"/>
      <c r="C32369" s="374"/>
      <c r="CV32369" s="376"/>
    </row>
    <row r="32370" spans="1:100">
      <c r="A32370" s="374"/>
      <c r="C32370" s="374"/>
      <c r="CV32370" s="376"/>
    </row>
    <row r="32371" spans="1:100">
      <c r="A32371" s="374"/>
      <c r="C32371" s="374"/>
      <c r="CV32371" s="376"/>
    </row>
    <row r="32372" spans="1:100">
      <c r="A32372" s="374"/>
      <c r="C32372" s="374"/>
      <c r="CV32372" s="376"/>
    </row>
    <row r="32373" spans="1:100">
      <c r="A32373" s="374"/>
      <c r="C32373" s="374"/>
      <c r="CV32373" s="376"/>
    </row>
    <row r="32374" spans="1:100">
      <c r="A32374" s="374"/>
      <c r="C32374" s="374"/>
      <c r="CV32374" s="376"/>
    </row>
    <row r="32375" spans="1:100">
      <c r="A32375" s="374"/>
      <c r="C32375" s="374"/>
      <c r="CV32375" s="376"/>
    </row>
    <row r="32376" spans="1:100">
      <c r="A32376" s="374"/>
      <c r="C32376" s="374"/>
      <c r="CV32376" s="376"/>
    </row>
    <row r="32377" spans="1:100">
      <c r="A32377" s="374"/>
      <c r="C32377" s="374"/>
      <c r="CV32377" s="376"/>
    </row>
    <row r="32378" spans="1:100">
      <c r="A32378" s="374"/>
      <c r="C32378" s="374"/>
      <c r="CV32378" s="376"/>
    </row>
    <row r="32379" spans="1:100">
      <c r="A32379" s="374"/>
      <c r="C32379" s="374"/>
      <c r="CV32379" s="376"/>
    </row>
    <row r="32380" spans="1:100">
      <c r="A32380" s="374"/>
      <c r="C32380" s="374"/>
      <c r="CV32380" s="376"/>
    </row>
    <row r="32381" spans="1:100">
      <c r="A32381" s="374"/>
      <c r="C32381" s="374"/>
      <c r="CV32381" s="376"/>
    </row>
    <row r="32382" spans="1:100">
      <c r="A32382" s="374"/>
      <c r="C32382" s="374"/>
      <c r="CV32382" s="376"/>
    </row>
    <row r="32383" spans="1:100">
      <c r="A32383" s="374"/>
      <c r="C32383" s="374"/>
      <c r="CV32383" s="376"/>
    </row>
    <row r="32384" spans="1:100">
      <c r="A32384" s="374"/>
      <c r="C32384" s="374"/>
      <c r="CV32384" s="376"/>
    </row>
    <row r="32385" spans="1:100">
      <c r="A32385" s="374"/>
      <c r="C32385" s="374"/>
      <c r="CV32385" s="376"/>
    </row>
    <row r="32386" spans="1:100">
      <c r="A32386" s="374"/>
      <c r="C32386" s="374"/>
      <c r="CV32386" s="376"/>
    </row>
    <row r="32387" spans="1:100">
      <c r="A32387" s="374"/>
      <c r="C32387" s="374"/>
      <c r="CV32387" s="376"/>
    </row>
    <row r="32388" spans="1:100">
      <c r="A32388" s="374"/>
      <c r="C32388" s="374"/>
      <c r="CV32388" s="376"/>
    </row>
    <row r="32389" spans="1:100">
      <c r="A32389" s="374"/>
      <c r="C32389" s="374"/>
      <c r="CV32389" s="376"/>
    </row>
    <row r="32390" spans="1:100">
      <c r="A32390" s="374"/>
      <c r="C32390" s="374"/>
      <c r="CV32390" s="376"/>
    </row>
    <row r="32391" spans="1:100">
      <c r="A32391" s="374"/>
      <c r="C32391" s="374"/>
      <c r="CV32391" s="376"/>
    </row>
    <row r="32392" spans="1:100">
      <c r="A32392" s="374"/>
      <c r="C32392" s="374"/>
      <c r="CV32392" s="376"/>
    </row>
    <row r="32393" spans="1:100">
      <c r="A32393" s="374"/>
      <c r="C32393" s="374"/>
      <c r="CV32393" s="376"/>
    </row>
    <row r="32394" spans="1:100">
      <c r="A32394" s="374"/>
      <c r="C32394" s="374"/>
      <c r="CV32394" s="376"/>
    </row>
    <row r="32395" spans="1:100">
      <c r="A32395" s="374"/>
      <c r="C32395" s="374"/>
      <c r="CV32395" s="376"/>
    </row>
    <row r="32396" spans="1:100">
      <c r="A32396" s="374"/>
      <c r="C32396" s="374"/>
      <c r="CV32396" s="376"/>
    </row>
    <row r="32397" spans="1:100">
      <c r="A32397" s="374"/>
      <c r="C32397" s="374"/>
      <c r="CV32397" s="376"/>
    </row>
    <row r="32398" spans="1:100">
      <c r="A32398" s="374"/>
      <c r="C32398" s="374"/>
      <c r="CV32398" s="376"/>
    </row>
    <row r="32399" spans="1:100">
      <c r="A32399" s="374"/>
      <c r="C32399" s="374"/>
      <c r="CV32399" s="376"/>
    </row>
    <row r="32400" spans="1:100">
      <c r="A32400" s="374"/>
      <c r="C32400" s="374"/>
      <c r="CV32400" s="376"/>
    </row>
    <row r="32401" spans="1:100">
      <c r="A32401" s="374"/>
      <c r="C32401" s="374"/>
      <c r="CV32401" s="376"/>
    </row>
    <row r="32402" spans="1:100">
      <c r="A32402" s="374"/>
      <c r="C32402" s="374"/>
      <c r="CV32402" s="376"/>
    </row>
    <row r="32403" spans="1:100">
      <c r="A32403" s="374"/>
      <c r="C32403" s="374"/>
      <c r="CV32403" s="376"/>
    </row>
    <row r="32404" spans="1:100">
      <c r="A32404" s="374"/>
      <c r="C32404" s="374"/>
      <c r="CV32404" s="376"/>
    </row>
    <row r="32405" spans="1:100">
      <c r="A32405" s="374"/>
      <c r="C32405" s="374"/>
      <c r="CV32405" s="376"/>
    </row>
    <row r="32406" spans="1:100">
      <c r="A32406" s="374"/>
      <c r="C32406" s="374"/>
      <c r="CV32406" s="376"/>
    </row>
    <row r="32407" spans="1:100">
      <c r="A32407" s="374"/>
      <c r="C32407" s="374"/>
      <c r="CV32407" s="376"/>
    </row>
    <row r="32408" spans="1:100">
      <c r="A32408" s="374"/>
      <c r="C32408" s="374"/>
      <c r="CV32408" s="376"/>
    </row>
    <row r="32409" spans="1:100">
      <c r="A32409" s="374"/>
      <c r="C32409" s="374"/>
      <c r="CV32409" s="376"/>
    </row>
    <row r="32410" spans="1:100">
      <c r="A32410" s="374"/>
      <c r="C32410" s="374"/>
      <c r="CV32410" s="376"/>
    </row>
    <row r="32411" spans="1:100">
      <c r="A32411" s="374"/>
      <c r="C32411" s="374"/>
      <c r="CV32411" s="376"/>
    </row>
    <row r="32412" spans="1:100">
      <c r="A32412" s="374"/>
      <c r="C32412" s="374"/>
      <c r="CV32412" s="376"/>
    </row>
    <row r="32413" spans="1:100">
      <c r="A32413" s="374"/>
      <c r="C32413" s="374"/>
      <c r="CV32413" s="376"/>
    </row>
    <row r="32414" spans="1:100">
      <c r="A32414" s="374"/>
      <c r="C32414" s="374"/>
      <c r="CV32414" s="376"/>
    </row>
    <row r="32415" spans="1:100">
      <c r="A32415" s="374"/>
      <c r="C32415" s="374"/>
      <c r="CV32415" s="376"/>
    </row>
    <row r="32416" spans="1:100">
      <c r="A32416" s="374"/>
      <c r="C32416" s="374"/>
      <c r="CV32416" s="376"/>
    </row>
    <row r="32417" spans="1:100">
      <c r="A32417" s="374"/>
      <c r="C32417" s="374"/>
      <c r="CV32417" s="376"/>
    </row>
    <row r="32418" spans="1:100">
      <c r="A32418" s="374"/>
      <c r="C32418" s="374"/>
      <c r="CV32418" s="376"/>
    </row>
    <row r="32419" spans="1:100">
      <c r="A32419" s="374"/>
      <c r="C32419" s="374"/>
      <c r="CV32419" s="376"/>
    </row>
    <row r="32420" spans="1:100">
      <c r="A32420" s="374"/>
      <c r="C32420" s="374"/>
      <c r="CV32420" s="376"/>
    </row>
    <row r="32421" spans="1:100">
      <c r="A32421" s="374"/>
      <c r="C32421" s="374"/>
      <c r="CV32421" s="376"/>
    </row>
    <row r="32422" spans="1:100">
      <c r="A32422" s="374"/>
      <c r="C32422" s="374"/>
      <c r="CV32422" s="376"/>
    </row>
    <row r="32423" spans="1:100">
      <c r="A32423" s="374"/>
      <c r="C32423" s="374"/>
      <c r="CV32423" s="376"/>
    </row>
    <row r="32424" spans="1:100">
      <c r="A32424" s="374"/>
      <c r="C32424" s="374"/>
      <c r="CV32424" s="376"/>
    </row>
    <row r="32425" spans="1:100">
      <c r="A32425" s="374"/>
      <c r="C32425" s="374"/>
      <c r="CV32425" s="376"/>
    </row>
    <row r="32426" spans="1:100">
      <c r="A32426" s="374"/>
      <c r="C32426" s="374"/>
      <c r="CV32426" s="376"/>
    </row>
    <row r="32427" spans="1:100">
      <c r="A32427" s="374"/>
      <c r="C32427" s="374"/>
      <c r="CV32427" s="376"/>
    </row>
    <row r="32428" spans="1:100">
      <c r="A32428" s="374"/>
      <c r="C32428" s="374"/>
      <c r="CV32428" s="376"/>
    </row>
    <row r="32429" spans="1:100">
      <c r="A32429" s="374"/>
      <c r="C32429" s="374"/>
      <c r="CV32429" s="376"/>
    </row>
    <row r="32430" spans="1:100">
      <c r="A32430" s="374"/>
      <c r="C32430" s="374"/>
      <c r="CV32430" s="376"/>
    </row>
    <row r="32431" spans="1:100">
      <c r="A32431" s="374"/>
      <c r="C32431" s="374"/>
      <c r="CV32431" s="376"/>
    </row>
    <row r="32432" spans="1:100">
      <c r="A32432" s="374"/>
      <c r="C32432" s="374"/>
      <c r="CV32432" s="376"/>
    </row>
    <row r="32433" spans="1:100">
      <c r="A32433" s="374"/>
      <c r="C32433" s="374"/>
      <c r="CV32433" s="376"/>
    </row>
    <row r="32434" spans="1:100">
      <c r="A32434" s="374"/>
      <c r="C32434" s="374"/>
      <c r="CV32434" s="376"/>
    </row>
    <row r="32435" spans="1:100">
      <c r="A32435" s="374"/>
      <c r="C32435" s="374"/>
      <c r="CV32435" s="376"/>
    </row>
    <row r="32436" spans="1:100">
      <c r="A32436" s="374"/>
      <c r="C32436" s="374"/>
      <c r="CV32436" s="376"/>
    </row>
    <row r="32437" spans="1:100">
      <c r="A32437" s="374"/>
      <c r="C32437" s="374"/>
      <c r="CV32437" s="376"/>
    </row>
    <row r="32438" spans="1:100">
      <c r="A32438" s="374"/>
      <c r="C32438" s="374"/>
      <c r="CV32438" s="376"/>
    </row>
    <row r="32439" spans="1:100">
      <c r="A32439" s="374"/>
      <c r="C32439" s="374"/>
      <c r="CV32439" s="376"/>
    </row>
    <row r="32440" spans="1:100">
      <c r="A32440" s="374"/>
      <c r="C32440" s="374"/>
      <c r="CV32440" s="376"/>
    </row>
    <row r="32441" spans="1:100">
      <c r="A32441" s="374"/>
      <c r="C32441" s="374"/>
      <c r="CV32441" s="376"/>
    </row>
    <row r="32442" spans="1:100">
      <c r="A32442" s="374"/>
      <c r="C32442" s="374"/>
      <c r="CV32442" s="376"/>
    </row>
    <row r="32443" spans="1:100">
      <c r="A32443" s="374"/>
      <c r="C32443" s="374"/>
      <c r="CV32443" s="376"/>
    </row>
    <row r="32444" spans="1:100">
      <c r="A32444" s="374"/>
      <c r="C32444" s="374"/>
      <c r="CV32444" s="376"/>
    </row>
    <row r="32445" spans="1:100">
      <c r="A32445" s="374"/>
      <c r="C32445" s="374"/>
      <c r="CV32445" s="376"/>
    </row>
    <row r="32446" spans="1:100">
      <c r="A32446" s="374"/>
      <c r="C32446" s="374"/>
      <c r="CV32446" s="376"/>
    </row>
    <row r="32447" spans="1:100">
      <c r="A32447" s="374"/>
      <c r="C32447" s="374"/>
      <c r="CV32447" s="376"/>
    </row>
    <row r="32448" spans="1:100">
      <c r="A32448" s="374"/>
      <c r="C32448" s="374"/>
      <c r="CV32448" s="376"/>
    </row>
    <row r="32449" spans="1:100">
      <c r="A32449" s="374"/>
      <c r="C32449" s="374"/>
      <c r="CV32449" s="376"/>
    </row>
    <row r="32450" spans="1:100">
      <c r="A32450" s="374"/>
      <c r="C32450" s="374"/>
      <c r="CV32450" s="376"/>
    </row>
    <row r="32451" spans="1:100">
      <c r="A32451" s="374"/>
      <c r="C32451" s="374"/>
      <c r="CV32451" s="376"/>
    </row>
    <row r="32452" spans="1:100">
      <c r="A32452" s="374"/>
      <c r="C32452" s="374"/>
      <c r="CV32452" s="376"/>
    </row>
    <row r="32453" spans="1:100">
      <c r="A32453" s="374"/>
      <c r="C32453" s="374"/>
      <c r="CV32453" s="376"/>
    </row>
    <row r="32454" spans="1:100">
      <c r="A32454" s="374"/>
      <c r="C32454" s="374"/>
      <c r="CV32454" s="376"/>
    </row>
    <row r="32455" spans="1:100">
      <c r="A32455" s="374"/>
      <c r="C32455" s="374"/>
      <c r="CV32455" s="376"/>
    </row>
    <row r="32456" spans="1:100">
      <c r="A32456" s="374"/>
      <c r="C32456" s="374"/>
      <c r="CV32456" s="376"/>
    </row>
    <row r="32457" spans="1:100">
      <c r="A32457" s="374"/>
      <c r="C32457" s="374"/>
      <c r="CV32457" s="376"/>
    </row>
    <row r="32458" spans="1:100">
      <c r="A32458" s="374"/>
      <c r="C32458" s="374"/>
      <c r="CV32458" s="376"/>
    </row>
    <row r="32459" spans="1:100">
      <c r="A32459" s="374"/>
      <c r="C32459" s="374"/>
      <c r="CV32459" s="376"/>
    </row>
    <row r="32460" spans="1:100">
      <c r="A32460" s="374"/>
      <c r="C32460" s="374"/>
      <c r="CV32460" s="376"/>
    </row>
    <row r="32461" spans="1:100">
      <c r="A32461" s="374"/>
      <c r="C32461" s="374"/>
      <c r="CV32461" s="376"/>
    </row>
    <row r="32462" spans="1:100">
      <c r="A32462" s="374"/>
      <c r="C32462" s="374"/>
      <c r="CV32462" s="376"/>
    </row>
    <row r="32463" spans="1:100">
      <c r="A32463" s="374"/>
      <c r="C32463" s="374"/>
      <c r="CV32463" s="376"/>
    </row>
    <row r="32464" spans="1:100">
      <c r="A32464" s="374"/>
      <c r="C32464" s="374"/>
      <c r="CV32464" s="376"/>
    </row>
    <row r="32465" spans="1:100">
      <c r="A32465" s="374"/>
      <c r="C32465" s="374"/>
      <c r="CV32465" s="376"/>
    </row>
    <row r="32466" spans="1:100">
      <c r="A32466" s="374"/>
      <c r="C32466" s="374"/>
      <c r="CV32466" s="376"/>
    </row>
    <row r="32467" spans="1:100">
      <c r="A32467" s="374"/>
      <c r="C32467" s="374"/>
      <c r="CV32467" s="376"/>
    </row>
    <row r="32468" spans="1:100">
      <c r="A32468" s="374"/>
      <c r="C32468" s="374"/>
      <c r="CV32468" s="376"/>
    </row>
    <row r="32469" spans="1:100">
      <c r="A32469" s="374"/>
      <c r="C32469" s="374"/>
      <c r="CV32469" s="376"/>
    </row>
    <row r="32470" spans="1:100">
      <c r="A32470" s="374"/>
      <c r="C32470" s="374"/>
      <c r="CV32470" s="376"/>
    </row>
    <row r="32471" spans="1:100">
      <c r="A32471" s="374"/>
      <c r="C32471" s="374"/>
      <c r="CV32471" s="376"/>
    </row>
    <row r="32472" spans="1:100">
      <c r="A32472" s="374"/>
      <c r="C32472" s="374"/>
      <c r="CV32472" s="376"/>
    </row>
    <row r="32473" spans="1:100">
      <c r="A32473" s="374"/>
      <c r="C32473" s="374"/>
      <c r="CV32473" s="376"/>
    </row>
    <row r="32474" spans="1:100">
      <c r="A32474" s="374"/>
      <c r="C32474" s="374"/>
      <c r="CV32474" s="376"/>
    </row>
    <row r="32475" spans="1:100">
      <c r="A32475" s="374"/>
      <c r="C32475" s="374"/>
      <c r="CV32475" s="376"/>
    </row>
    <row r="32476" spans="1:100">
      <c r="A32476" s="374"/>
      <c r="C32476" s="374"/>
      <c r="CV32476" s="376"/>
    </row>
    <row r="32477" spans="1:100">
      <c r="A32477" s="374"/>
      <c r="C32477" s="374"/>
      <c r="CV32477" s="376"/>
    </row>
    <row r="32478" spans="1:100">
      <c r="A32478" s="374"/>
      <c r="C32478" s="374"/>
      <c r="CV32478" s="376"/>
    </row>
    <row r="32479" spans="1:100">
      <c r="A32479" s="374"/>
      <c r="C32479" s="374"/>
      <c r="CV32479" s="376"/>
    </row>
    <row r="32480" spans="1:100">
      <c r="A32480" s="374"/>
      <c r="C32480" s="374"/>
      <c r="CV32480" s="376"/>
    </row>
    <row r="32481" spans="1:100">
      <c r="A32481" s="374"/>
      <c r="C32481" s="374"/>
      <c r="CV32481" s="376"/>
    </row>
    <row r="32482" spans="1:100">
      <c r="A32482" s="374"/>
      <c r="C32482" s="374"/>
      <c r="CV32482" s="376"/>
    </row>
    <row r="32483" spans="1:100">
      <c r="A32483" s="374"/>
      <c r="C32483" s="374"/>
      <c r="CV32483" s="376"/>
    </row>
    <row r="32484" spans="1:100">
      <c r="A32484" s="374"/>
      <c r="C32484" s="374"/>
      <c r="CV32484" s="376"/>
    </row>
    <row r="32485" spans="1:100">
      <c r="A32485" s="374"/>
      <c r="C32485" s="374"/>
      <c r="CV32485" s="376"/>
    </row>
    <row r="32486" spans="1:100">
      <c r="A32486" s="374"/>
      <c r="C32486" s="374"/>
      <c r="CV32486" s="376"/>
    </row>
    <row r="32487" spans="1:100">
      <c r="A32487" s="374"/>
      <c r="C32487" s="374"/>
      <c r="CV32487" s="376"/>
    </row>
    <row r="32488" spans="1:100">
      <c r="A32488" s="374"/>
      <c r="C32488" s="374"/>
      <c r="CV32488" s="376"/>
    </row>
    <row r="32489" spans="1:100">
      <c r="A32489" s="374"/>
      <c r="C32489" s="374"/>
      <c r="CV32489" s="376"/>
    </row>
    <row r="32490" spans="1:100">
      <c r="A32490" s="374"/>
      <c r="C32490" s="374"/>
      <c r="CV32490" s="376"/>
    </row>
    <row r="32491" spans="1:100">
      <c r="A32491" s="374"/>
      <c r="C32491" s="374"/>
      <c r="CV32491" s="376"/>
    </row>
    <row r="32492" spans="1:100">
      <c r="A32492" s="374"/>
      <c r="C32492" s="374"/>
      <c r="CV32492" s="376"/>
    </row>
    <row r="32493" spans="1:100">
      <c r="A32493" s="374"/>
      <c r="C32493" s="374"/>
      <c r="CV32493" s="376"/>
    </row>
    <row r="32494" spans="1:100">
      <c r="A32494" s="374"/>
      <c r="C32494" s="374"/>
      <c r="CV32494" s="376"/>
    </row>
    <row r="32495" spans="1:100">
      <c r="A32495" s="374"/>
      <c r="C32495" s="374"/>
      <c r="CV32495" s="376"/>
    </row>
    <row r="32496" spans="1:100">
      <c r="A32496" s="374"/>
      <c r="C32496" s="374"/>
      <c r="CV32496" s="376"/>
    </row>
    <row r="32497" spans="1:100">
      <c r="A32497" s="374"/>
      <c r="C32497" s="374"/>
      <c r="CV32497" s="376"/>
    </row>
    <row r="32498" spans="1:100">
      <c r="A32498" s="374"/>
      <c r="C32498" s="374"/>
      <c r="CV32498" s="376"/>
    </row>
    <row r="32499" spans="1:100">
      <c r="A32499" s="374"/>
      <c r="C32499" s="374"/>
      <c r="CV32499" s="376"/>
    </row>
    <row r="32500" spans="1:100">
      <c r="A32500" s="374"/>
      <c r="C32500" s="374"/>
      <c r="CV32500" s="376"/>
    </row>
    <row r="32501" spans="1:100">
      <c r="A32501" s="374"/>
      <c r="C32501" s="374"/>
      <c r="CV32501" s="376"/>
    </row>
    <row r="32502" spans="1:100">
      <c r="A32502" s="374"/>
      <c r="C32502" s="374"/>
      <c r="CV32502" s="376"/>
    </row>
    <row r="32503" spans="1:100">
      <c r="A32503" s="374"/>
      <c r="C32503" s="374"/>
      <c r="CV32503" s="376"/>
    </row>
    <row r="32504" spans="1:100">
      <c r="A32504" s="374"/>
      <c r="C32504" s="374"/>
      <c r="CV32504" s="376"/>
    </row>
    <row r="32505" spans="1:100">
      <c r="A32505" s="374"/>
      <c r="C32505" s="374"/>
      <c r="CV32505" s="376"/>
    </row>
    <row r="32506" spans="1:100">
      <c r="A32506" s="374"/>
      <c r="C32506" s="374"/>
      <c r="CV32506" s="376"/>
    </row>
    <row r="32507" spans="1:100">
      <c r="A32507" s="374"/>
      <c r="C32507" s="374"/>
      <c r="CV32507" s="376"/>
    </row>
    <row r="32508" spans="1:100">
      <c r="A32508" s="374"/>
      <c r="C32508" s="374"/>
      <c r="CV32508" s="376"/>
    </row>
    <row r="32509" spans="1:100">
      <c r="A32509" s="374"/>
      <c r="C32509" s="374"/>
      <c r="CV32509" s="376"/>
    </row>
    <row r="32510" spans="1:100">
      <c r="A32510" s="374"/>
      <c r="C32510" s="374"/>
      <c r="CV32510" s="376"/>
    </row>
    <row r="32511" spans="1:100">
      <c r="A32511" s="374"/>
      <c r="C32511" s="374"/>
      <c r="CV32511" s="376"/>
    </row>
    <row r="32512" spans="1:100">
      <c r="A32512" s="374"/>
      <c r="C32512" s="374"/>
      <c r="CV32512" s="376"/>
    </row>
    <row r="32513" spans="1:100">
      <c r="A32513" s="374"/>
      <c r="C32513" s="374"/>
      <c r="CV32513" s="376"/>
    </row>
    <row r="32514" spans="1:100">
      <c r="A32514" s="374"/>
      <c r="C32514" s="374"/>
      <c r="CV32514" s="376"/>
    </row>
    <row r="32515" spans="1:100">
      <c r="A32515" s="374"/>
      <c r="C32515" s="374"/>
      <c r="CV32515" s="376"/>
    </row>
    <row r="32516" spans="1:100">
      <c r="A32516" s="374"/>
      <c r="C32516" s="374"/>
      <c r="CV32516" s="376"/>
    </row>
    <row r="32517" spans="1:100">
      <c r="A32517" s="374"/>
      <c r="C32517" s="374"/>
      <c r="CV32517" s="376"/>
    </row>
    <row r="32518" spans="1:100">
      <c r="A32518" s="374"/>
      <c r="C32518" s="374"/>
      <c r="CV32518" s="376"/>
    </row>
    <row r="32519" spans="1:100">
      <c r="A32519" s="374"/>
      <c r="C32519" s="374"/>
      <c r="CV32519" s="376"/>
    </row>
    <row r="32520" spans="1:100">
      <c r="A32520" s="374"/>
      <c r="C32520" s="374"/>
      <c r="CV32520" s="376"/>
    </row>
    <row r="32521" spans="1:100">
      <c r="A32521" s="374"/>
      <c r="C32521" s="374"/>
      <c r="CV32521" s="376"/>
    </row>
    <row r="32522" spans="1:100">
      <c r="A32522" s="374"/>
      <c r="C32522" s="374"/>
      <c r="CV32522" s="376"/>
    </row>
    <row r="32523" spans="1:100">
      <c r="A32523" s="374"/>
      <c r="C32523" s="374"/>
      <c r="CV32523" s="376"/>
    </row>
    <row r="32524" spans="1:100">
      <c r="A32524" s="374"/>
      <c r="C32524" s="374"/>
      <c r="CV32524" s="376"/>
    </row>
    <row r="32525" spans="1:100">
      <c r="A32525" s="374"/>
      <c r="C32525" s="374"/>
      <c r="CV32525" s="376"/>
    </row>
    <row r="32526" spans="1:100">
      <c r="A32526" s="374"/>
      <c r="C32526" s="374"/>
      <c r="CV32526" s="376"/>
    </row>
    <row r="32527" spans="1:100">
      <c r="A32527" s="374"/>
      <c r="C32527" s="374"/>
      <c r="CV32527" s="376"/>
    </row>
    <row r="32528" spans="1:100">
      <c r="A32528" s="374"/>
      <c r="C32528" s="374"/>
      <c r="CV32528" s="376"/>
    </row>
    <row r="32529" spans="1:100">
      <c r="A32529" s="374"/>
      <c r="C32529" s="374"/>
      <c r="CV32529" s="376"/>
    </row>
    <row r="32530" spans="1:100">
      <c r="A32530" s="374"/>
      <c r="C32530" s="374"/>
      <c r="CV32530" s="376"/>
    </row>
    <row r="32531" spans="1:100">
      <c r="A32531" s="374"/>
      <c r="C32531" s="374"/>
      <c r="CV32531" s="376"/>
    </row>
    <row r="32532" spans="1:100">
      <c r="A32532" s="374"/>
      <c r="C32532" s="374"/>
      <c r="CV32532" s="376"/>
    </row>
    <row r="32533" spans="1:100">
      <c r="A32533" s="374"/>
      <c r="C32533" s="374"/>
      <c r="CV32533" s="376"/>
    </row>
    <row r="32534" spans="1:100">
      <c r="A32534" s="374"/>
      <c r="C32534" s="374"/>
      <c r="CV32534" s="376"/>
    </row>
    <row r="32535" spans="1:100">
      <c r="A32535" s="374"/>
      <c r="C32535" s="374"/>
      <c r="CV32535" s="376"/>
    </row>
    <row r="32536" spans="1:100">
      <c r="A32536" s="374"/>
      <c r="C32536" s="374"/>
      <c r="CV32536" s="376"/>
    </row>
    <row r="32537" spans="1:100">
      <c r="A32537" s="374"/>
      <c r="C32537" s="374"/>
      <c r="CV32537" s="376"/>
    </row>
    <row r="32538" spans="1:100">
      <c r="A32538" s="374"/>
      <c r="C32538" s="374"/>
      <c r="CV32538" s="376"/>
    </row>
    <row r="32539" spans="1:100">
      <c r="A32539" s="374"/>
      <c r="C32539" s="374"/>
      <c r="CV32539" s="376"/>
    </row>
    <row r="32540" spans="1:100">
      <c r="A32540" s="374"/>
      <c r="C32540" s="374"/>
      <c r="CV32540" s="376"/>
    </row>
    <row r="32541" spans="1:100">
      <c r="A32541" s="374"/>
      <c r="C32541" s="374"/>
      <c r="CV32541" s="376"/>
    </row>
    <row r="32542" spans="1:100">
      <c r="A32542" s="374"/>
      <c r="C32542" s="374"/>
      <c r="CV32542" s="376"/>
    </row>
    <row r="32543" spans="1:100">
      <c r="A32543" s="374"/>
      <c r="C32543" s="374"/>
      <c r="CV32543" s="376"/>
    </row>
    <row r="32544" spans="1:100">
      <c r="A32544" s="374"/>
      <c r="C32544" s="374"/>
      <c r="CV32544" s="376"/>
    </row>
    <row r="32545" spans="1:100">
      <c r="A32545" s="374"/>
      <c r="C32545" s="374"/>
      <c r="CV32545" s="376"/>
    </row>
    <row r="32546" spans="1:100">
      <c r="A32546" s="374"/>
      <c r="C32546" s="374"/>
      <c r="CV32546" s="376"/>
    </row>
    <row r="32547" spans="1:100">
      <c r="A32547" s="374"/>
      <c r="C32547" s="374"/>
      <c r="CV32547" s="376"/>
    </row>
    <row r="32548" spans="1:100">
      <c r="A32548" s="374"/>
      <c r="C32548" s="374"/>
      <c r="CV32548" s="376"/>
    </row>
    <row r="32549" spans="1:100">
      <c r="A32549" s="374"/>
      <c r="C32549" s="374"/>
      <c r="CV32549" s="376"/>
    </row>
    <row r="32550" spans="1:100">
      <c r="A32550" s="374"/>
      <c r="C32550" s="374"/>
      <c r="CV32550" s="376"/>
    </row>
    <row r="32551" spans="1:100">
      <c r="A32551" s="374"/>
      <c r="C32551" s="374"/>
      <c r="CV32551" s="376"/>
    </row>
    <row r="32552" spans="1:100">
      <c r="A32552" s="374"/>
      <c r="C32552" s="374"/>
      <c r="CV32552" s="376"/>
    </row>
    <row r="32553" spans="1:100">
      <c r="A32553" s="374"/>
      <c r="C32553" s="374"/>
      <c r="CV32553" s="376"/>
    </row>
    <row r="32554" spans="1:100">
      <c r="A32554" s="374"/>
      <c r="C32554" s="374"/>
      <c r="CV32554" s="376"/>
    </row>
    <row r="32555" spans="1:100">
      <c r="A32555" s="374"/>
      <c r="C32555" s="374"/>
      <c r="CV32555" s="376"/>
    </row>
    <row r="32556" spans="1:100">
      <c r="A32556" s="374"/>
      <c r="C32556" s="374"/>
      <c r="CV32556" s="376"/>
    </row>
    <row r="32557" spans="1:100">
      <c r="A32557" s="374"/>
      <c r="C32557" s="374"/>
      <c r="CV32557" s="376"/>
    </row>
    <row r="32558" spans="1:100">
      <c r="A32558" s="374"/>
      <c r="C32558" s="374"/>
      <c r="CV32558" s="376"/>
    </row>
    <row r="32559" spans="1:100">
      <c r="A32559" s="374"/>
      <c r="C32559" s="374"/>
      <c r="CV32559" s="376"/>
    </row>
    <row r="32560" spans="1:100">
      <c r="A32560" s="374"/>
      <c r="C32560" s="374"/>
      <c r="CV32560" s="376"/>
    </row>
    <row r="32561" spans="1:100">
      <c r="A32561" s="374"/>
      <c r="C32561" s="374"/>
      <c r="CV32561" s="376"/>
    </row>
    <row r="32562" spans="1:100">
      <c r="A32562" s="374"/>
      <c r="C32562" s="374"/>
      <c r="CV32562" s="376"/>
    </row>
    <row r="32563" spans="1:100">
      <c r="A32563" s="374"/>
      <c r="C32563" s="374"/>
      <c r="CV32563" s="376"/>
    </row>
    <row r="32564" spans="1:100">
      <c r="A32564" s="374"/>
      <c r="C32564" s="374"/>
      <c r="CV32564" s="376"/>
    </row>
    <row r="32565" spans="1:100">
      <c r="A32565" s="374"/>
      <c r="C32565" s="374"/>
      <c r="CV32565" s="376"/>
    </row>
    <row r="32566" spans="1:100">
      <c r="A32566" s="374"/>
      <c r="C32566" s="374"/>
      <c r="CV32566" s="376"/>
    </row>
    <row r="32567" spans="1:100">
      <c r="A32567" s="374"/>
      <c r="C32567" s="374"/>
      <c r="CV32567" s="376"/>
    </row>
    <row r="32568" spans="1:100">
      <c r="A32568" s="374"/>
      <c r="C32568" s="374"/>
      <c r="CV32568" s="376"/>
    </row>
    <row r="32569" spans="1:100">
      <c r="A32569" s="374"/>
      <c r="C32569" s="374"/>
      <c r="CV32569" s="376"/>
    </row>
    <row r="32570" spans="1:100">
      <c r="A32570" s="374"/>
      <c r="C32570" s="374"/>
      <c r="CV32570" s="376"/>
    </row>
    <row r="32571" spans="1:100">
      <c r="A32571" s="374"/>
      <c r="C32571" s="374"/>
      <c r="CV32571" s="376"/>
    </row>
    <row r="32572" spans="1:100">
      <c r="A32572" s="374"/>
      <c r="C32572" s="374"/>
      <c r="CV32572" s="376"/>
    </row>
    <row r="32573" spans="1:100">
      <c r="A32573" s="374"/>
      <c r="C32573" s="374"/>
      <c r="CV32573" s="376"/>
    </row>
    <row r="32574" spans="1:100">
      <c r="A32574" s="374"/>
      <c r="C32574" s="374"/>
      <c r="CV32574" s="376"/>
    </row>
    <row r="32575" spans="1:100">
      <c r="A32575" s="374"/>
      <c r="C32575" s="374"/>
      <c r="CV32575" s="376"/>
    </row>
    <row r="32576" spans="1:100">
      <c r="A32576" s="374"/>
      <c r="C32576" s="374"/>
      <c r="CV32576" s="376"/>
    </row>
    <row r="32577" spans="1:100">
      <c r="A32577" s="374"/>
      <c r="C32577" s="374"/>
      <c r="CV32577" s="376"/>
    </row>
    <row r="32578" spans="1:100">
      <c r="A32578" s="374"/>
      <c r="C32578" s="374"/>
      <c r="CV32578" s="376"/>
    </row>
    <row r="32579" spans="1:100">
      <c r="A32579" s="374"/>
      <c r="C32579" s="374"/>
      <c r="CV32579" s="376"/>
    </row>
    <row r="32580" spans="1:100">
      <c r="A32580" s="374"/>
      <c r="C32580" s="374"/>
      <c r="CV32580" s="376"/>
    </row>
    <row r="32581" spans="1:100">
      <c r="A32581" s="374"/>
      <c r="C32581" s="374"/>
      <c r="CV32581" s="376"/>
    </row>
    <row r="32582" spans="1:100">
      <c r="A32582" s="374"/>
      <c r="C32582" s="374"/>
      <c r="CV32582" s="376"/>
    </row>
    <row r="32583" spans="1:100">
      <c r="A32583" s="374"/>
      <c r="C32583" s="374"/>
      <c r="CV32583" s="376"/>
    </row>
    <row r="32584" spans="1:100">
      <c r="A32584" s="374"/>
      <c r="C32584" s="374"/>
      <c r="CV32584" s="376"/>
    </row>
    <row r="32585" spans="1:100">
      <c r="A32585" s="374"/>
      <c r="C32585" s="374"/>
      <c r="CV32585" s="376"/>
    </row>
    <row r="32586" spans="1:100">
      <c r="A32586" s="374"/>
      <c r="C32586" s="374"/>
      <c r="CV32586" s="376"/>
    </row>
    <row r="32587" spans="1:100">
      <c r="A32587" s="374"/>
      <c r="C32587" s="374"/>
      <c r="CV32587" s="376"/>
    </row>
    <row r="32588" spans="1:100">
      <c r="A32588" s="374"/>
      <c r="C32588" s="374"/>
      <c r="CV32588" s="376"/>
    </row>
    <row r="32589" spans="1:100">
      <c r="A32589" s="374"/>
      <c r="C32589" s="374"/>
      <c r="CV32589" s="376"/>
    </row>
    <row r="32590" spans="1:100">
      <c r="A32590" s="374"/>
      <c r="C32590" s="374"/>
      <c r="CV32590" s="376"/>
    </row>
    <row r="32591" spans="1:100">
      <c r="A32591" s="374"/>
      <c r="C32591" s="374"/>
      <c r="CV32591" s="376"/>
    </row>
    <row r="32592" spans="1:100">
      <c r="A32592" s="374"/>
      <c r="C32592" s="374"/>
      <c r="CV32592" s="376"/>
    </row>
    <row r="32593" spans="1:100">
      <c r="A32593" s="374"/>
      <c r="C32593" s="374"/>
      <c r="CV32593" s="376"/>
    </row>
    <row r="32594" spans="1:100">
      <c r="A32594" s="374"/>
      <c r="C32594" s="374"/>
      <c r="CV32594" s="376"/>
    </row>
    <row r="32595" spans="1:100">
      <c r="A32595" s="374"/>
      <c r="C32595" s="374"/>
      <c r="CV32595" s="376"/>
    </row>
    <row r="32596" spans="1:100">
      <c r="A32596" s="374"/>
      <c r="C32596" s="374"/>
      <c r="CV32596" s="376"/>
    </row>
    <row r="32597" spans="1:100">
      <c r="A32597" s="374"/>
      <c r="C32597" s="374"/>
      <c r="CV32597" s="376"/>
    </row>
    <row r="32598" spans="1:100">
      <c r="A32598" s="374"/>
      <c r="C32598" s="374"/>
      <c r="CV32598" s="376"/>
    </row>
    <row r="32599" spans="1:100">
      <c r="A32599" s="374"/>
      <c r="C32599" s="374"/>
      <c r="CV32599" s="376"/>
    </row>
    <row r="32600" spans="1:100">
      <c r="A32600" s="374"/>
      <c r="C32600" s="374"/>
      <c r="CV32600" s="376"/>
    </row>
    <row r="32601" spans="1:100">
      <c r="A32601" s="374"/>
      <c r="C32601" s="374"/>
      <c r="CV32601" s="376"/>
    </row>
    <row r="32602" spans="1:100">
      <c r="A32602" s="374"/>
      <c r="C32602" s="374"/>
      <c r="CV32602" s="376"/>
    </row>
    <row r="32603" spans="1:100">
      <c r="A32603" s="374"/>
      <c r="C32603" s="374"/>
      <c r="CV32603" s="376"/>
    </row>
    <row r="32604" spans="1:100">
      <c r="A32604" s="374"/>
      <c r="C32604" s="374"/>
      <c r="CV32604" s="376"/>
    </row>
    <row r="32605" spans="1:100">
      <c r="A32605" s="374"/>
      <c r="C32605" s="374"/>
      <c r="CV32605" s="376"/>
    </row>
    <row r="32606" spans="1:100">
      <c r="A32606" s="374"/>
      <c r="C32606" s="374"/>
      <c r="CV32606" s="376"/>
    </row>
    <row r="32607" spans="1:100">
      <c r="A32607" s="374"/>
      <c r="C32607" s="374"/>
      <c r="CV32607" s="376"/>
    </row>
    <row r="32608" spans="1:100">
      <c r="A32608" s="374"/>
      <c r="C32608" s="374"/>
      <c r="CV32608" s="376"/>
    </row>
    <row r="32609" spans="1:100">
      <c r="A32609" s="374"/>
      <c r="C32609" s="374"/>
      <c r="CV32609" s="376"/>
    </row>
    <row r="32610" spans="1:100">
      <c r="A32610" s="374"/>
      <c r="C32610" s="374"/>
      <c r="CV32610" s="376"/>
    </row>
    <row r="32611" spans="1:100">
      <c r="A32611" s="374"/>
      <c r="C32611" s="374"/>
      <c r="CV32611" s="376"/>
    </row>
    <row r="32612" spans="1:100">
      <c r="A32612" s="374"/>
      <c r="C32612" s="374"/>
      <c r="CV32612" s="376"/>
    </row>
    <row r="32613" spans="1:100">
      <c r="A32613" s="374"/>
      <c r="C32613" s="374"/>
      <c r="CV32613" s="376"/>
    </row>
    <row r="32614" spans="1:100">
      <c r="A32614" s="374"/>
      <c r="C32614" s="374"/>
      <c r="CV32614" s="376"/>
    </row>
    <row r="32615" spans="1:100">
      <c r="A32615" s="374"/>
      <c r="C32615" s="374"/>
      <c r="CV32615" s="376"/>
    </row>
    <row r="32616" spans="1:100">
      <c r="A32616" s="374"/>
      <c r="C32616" s="374"/>
      <c r="CV32616" s="376"/>
    </row>
    <row r="32617" spans="1:100">
      <c r="A32617" s="374"/>
      <c r="C32617" s="374"/>
      <c r="CV32617" s="376"/>
    </row>
    <row r="32618" spans="1:100">
      <c r="A32618" s="374"/>
      <c r="C32618" s="374"/>
      <c r="CV32618" s="376"/>
    </row>
    <row r="32619" spans="1:100">
      <c r="A32619" s="374"/>
      <c r="C32619" s="374"/>
      <c r="CV32619" s="376"/>
    </row>
    <row r="32620" spans="1:100">
      <c r="A32620" s="374"/>
      <c r="C32620" s="374"/>
      <c r="CV32620" s="376"/>
    </row>
    <row r="32621" spans="1:100">
      <c r="A32621" s="374"/>
      <c r="C32621" s="374"/>
      <c r="CV32621" s="376"/>
    </row>
    <row r="32622" spans="1:100">
      <c r="A32622" s="374"/>
      <c r="C32622" s="374"/>
      <c r="CV32622" s="376"/>
    </row>
    <row r="32623" spans="1:100">
      <c r="A32623" s="374"/>
      <c r="C32623" s="374"/>
      <c r="CV32623" s="376"/>
    </row>
    <row r="32624" spans="1:100">
      <c r="A32624" s="374"/>
      <c r="C32624" s="374"/>
      <c r="CV32624" s="376"/>
    </row>
    <row r="32625" spans="1:100">
      <c r="A32625" s="374"/>
      <c r="C32625" s="374"/>
      <c r="CV32625" s="376"/>
    </row>
    <row r="32626" spans="1:100">
      <c r="A32626" s="374"/>
      <c r="C32626" s="374"/>
      <c r="CV32626" s="376"/>
    </row>
    <row r="32627" spans="1:100">
      <c r="A32627" s="374"/>
      <c r="C32627" s="374"/>
      <c r="CV32627" s="376"/>
    </row>
    <row r="32628" spans="1:100">
      <c r="A32628" s="374"/>
      <c r="C32628" s="374"/>
      <c r="CV32628" s="376"/>
    </row>
    <row r="32629" spans="1:100">
      <c r="A32629" s="374"/>
      <c r="C32629" s="374"/>
      <c r="CV32629" s="376"/>
    </row>
    <row r="32630" spans="1:100">
      <c r="A32630" s="374"/>
      <c r="C32630" s="374"/>
      <c r="CV32630" s="376"/>
    </row>
    <row r="32631" spans="1:100">
      <c r="A32631" s="374"/>
      <c r="C32631" s="374"/>
      <c r="CV32631" s="376"/>
    </row>
    <row r="32632" spans="1:100">
      <c r="A32632" s="374"/>
      <c r="C32632" s="374"/>
      <c r="CV32632" s="376"/>
    </row>
    <row r="32633" spans="1:100">
      <c r="A32633" s="374"/>
      <c r="C32633" s="374"/>
      <c r="CV32633" s="376"/>
    </row>
    <row r="32634" spans="1:100">
      <c r="A32634" s="374"/>
      <c r="C32634" s="374"/>
      <c r="CV32634" s="376"/>
    </row>
    <row r="32635" spans="1:100">
      <c r="A32635" s="374"/>
      <c r="C32635" s="374"/>
      <c r="CV32635" s="376"/>
    </row>
    <row r="32636" spans="1:100">
      <c r="A32636" s="374"/>
      <c r="C32636" s="374"/>
      <c r="CV32636" s="376"/>
    </row>
    <row r="32637" spans="1:100">
      <c r="A32637" s="374"/>
      <c r="C32637" s="374"/>
      <c r="CV32637" s="376"/>
    </row>
    <row r="32638" spans="1:100">
      <c r="A32638" s="374"/>
      <c r="C32638" s="374"/>
      <c r="CV32638" s="376"/>
    </row>
    <row r="32639" spans="1:100">
      <c r="A32639" s="374"/>
      <c r="C32639" s="374"/>
      <c r="CV32639" s="376"/>
    </row>
    <row r="32640" spans="1:100">
      <c r="A32640" s="374"/>
      <c r="C32640" s="374"/>
      <c r="CV32640" s="376"/>
    </row>
    <row r="32641" spans="1:100">
      <c r="A32641" s="374"/>
      <c r="C32641" s="374"/>
      <c r="CV32641" s="376"/>
    </row>
    <row r="32642" spans="1:100">
      <c r="A32642" s="374"/>
      <c r="C32642" s="374"/>
      <c r="CV32642" s="376"/>
    </row>
    <row r="32643" spans="1:100">
      <c r="A32643" s="374"/>
      <c r="C32643" s="374"/>
      <c r="CV32643" s="376"/>
    </row>
    <row r="32644" spans="1:100">
      <c r="A32644" s="374"/>
      <c r="C32644" s="374"/>
      <c r="CV32644" s="376"/>
    </row>
    <row r="32645" spans="1:100">
      <c r="A32645" s="374"/>
      <c r="C32645" s="374"/>
      <c r="CV32645" s="376"/>
    </row>
    <row r="32646" spans="1:100">
      <c r="A32646" s="374"/>
      <c r="C32646" s="374"/>
      <c r="CV32646" s="376"/>
    </row>
    <row r="32647" spans="1:100">
      <c r="A32647" s="374"/>
      <c r="C32647" s="374"/>
      <c r="CV32647" s="376"/>
    </row>
    <row r="32648" spans="1:100">
      <c r="A32648" s="374"/>
      <c r="C32648" s="374"/>
      <c r="CV32648" s="376"/>
    </row>
    <row r="32649" spans="1:100">
      <c r="A32649" s="374"/>
      <c r="C32649" s="374"/>
      <c r="CV32649" s="376"/>
    </row>
    <row r="32650" spans="1:100">
      <c r="A32650" s="374"/>
      <c r="C32650" s="374"/>
      <c r="CV32650" s="376"/>
    </row>
    <row r="32651" spans="1:100">
      <c r="A32651" s="374"/>
      <c r="C32651" s="374"/>
      <c r="CV32651" s="376"/>
    </row>
    <row r="32652" spans="1:100">
      <c r="A32652" s="374"/>
      <c r="C32652" s="374"/>
      <c r="CV32652" s="376"/>
    </row>
    <row r="32653" spans="1:100">
      <c r="A32653" s="374"/>
      <c r="C32653" s="374"/>
      <c r="CV32653" s="376"/>
    </row>
    <row r="32654" spans="1:100">
      <c r="A32654" s="374"/>
      <c r="C32654" s="374"/>
      <c r="CV32654" s="376"/>
    </row>
    <row r="32655" spans="1:100">
      <c r="A32655" s="374"/>
      <c r="C32655" s="374"/>
      <c r="CV32655" s="376"/>
    </row>
    <row r="32656" spans="1:100">
      <c r="A32656" s="374"/>
      <c r="C32656" s="374"/>
      <c r="CV32656" s="376"/>
    </row>
    <row r="32657" spans="1:100">
      <c r="A32657" s="374"/>
      <c r="C32657" s="374"/>
      <c r="CV32657" s="376"/>
    </row>
    <row r="32658" spans="1:100">
      <c r="A32658" s="374"/>
      <c r="C32658" s="374"/>
      <c r="CV32658" s="376"/>
    </row>
    <row r="32659" spans="1:100">
      <c r="A32659" s="374"/>
      <c r="C32659" s="374"/>
      <c r="CV32659" s="376"/>
    </row>
    <row r="32660" spans="1:100">
      <c r="A32660" s="374"/>
      <c r="C32660" s="374"/>
      <c r="CV32660" s="376"/>
    </row>
    <row r="32661" spans="1:100">
      <c r="A32661" s="374"/>
      <c r="C32661" s="374"/>
      <c r="CV32661" s="376"/>
    </row>
    <row r="32662" spans="1:100">
      <c r="A32662" s="374"/>
      <c r="C32662" s="374"/>
      <c r="CV32662" s="376"/>
    </row>
    <row r="32663" spans="1:100">
      <c r="A32663" s="374"/>
      <c r="C32663" s="374"/>
      <c r="CV32663" s="376"/>
    </row>
    <row r="32664" spans="1:100">
      <c r="A32664" s="374"/>
      <c r="C32664" s="374"/>
      <c r="CV32664" s="376"/>
    </row>
    <row r="32665" spans="1:100">
      <c r="A32665" s="374"/>
      <c r="C32665" s="374"/>
      <c r="CV32665" s="376"/>
    </row>
    <row r="32666" spans="1:100">
      <c r="A32666" s="374"/>
      <c r="C32666" s="374"/>
      <c r="CV32666" s="376"/>
    </row>
    <row r="32667" spans="1:100">
      <c r="A32667" s="374"/>
      <c r="C32667" s="374"/>
      <c r="CV32667" s="376"/>
    </row>
    <row r="32668" spans="1:100">
      <c r="A32668" s="374"/>
      <c r="C32668" s="374"/>
      <c r="CV32668" s="376"/>
    </row>
    <row r="32669" spans="1:100">
      <c r="A32669" s="374"/>
      <c r="C32669" s="374"/>
      <c r="CV32669" s="376"/>
    </row>
    <row r="32670" spans="1:100">
      <c r="A32670" s="374"/>
      <c r="C32670" s="374"/>
      <c r="CV32670" s="376"/>
    </row>
    <row r="32671" spans="1:100">
      <c r="A32671" s="374"/>
      <c r="C32671" s="374"/>
      <c r="CV32671" s="376"/>
    </row>
    <row r="32672" spans="1:100">
      <c r="A32672" s="374"/>
      <c r="C32672" s="374"/>
      <c r="CV32672" s="376"/>
    </row>
    <row r="32673" spans="1:100">
      <c r="A32673" s="374"/>
      <c r="C32673" s="374"/>
      <c r="CV32673" s="376"/>
    </row>
    <row r="32674" spans="1:100">
      <c r="A32674" s="374"/>
      <c r="C32674" s="374"/>
      <c r="CV32674" s="376"/>
    </row>
    <row r="32675" spans="1:100">
      <c r="A32675" s="374"/>
      <c r="C32675" s="374"/>
      <c r="CV32675" s="376"/>
    </row>
    <row r="32676" spans="1:100">
      <c r="A32676" s="374"/>
      <c r="C32676" s="374"/>
      <c r="CV32676" s="376"/>
    </row>
    <row r="32677" spans="1:100">
      <c r="A32677" s="374"/>
      <c r="C32677" s="374"/>
      <c r="CV32677" s="376"/>
    </row>
    <row r="32678" spans="1:100">
      <c r="A32678" s="374"/>
      <c r="C32678" s="374"/>
      <c r="CV32678" s="376"/>
    </row>
    <row r="32679" spans="1:100">
      <c r="A32679" s="374"/>
      <c r="C32679" s="374"/>
      <c r="CV32679" s="376"/>
    </row>
    <row r="32680" spans="1:100">
      <c r="A32680" s="374"/>
      <c r="C32680" s="374"/>
      <c r="CV32680" s="376"/>
    </row>
    <row r="32681" spans="1:100">
      <c r="A32681" s="374"/>
      <c r="C32681" s="374"/>
      <c r="CV32681" s="376"/>
    </row>
    <row r="32682" spans="1:100">
      <c r="A32682" s="374"/>
      <c r="C32682" s="374"/>
      <c r="CV32682" s="376"/>
    </row>
    <row r="32683" spans="1:100">
      <c r="A32683" s="374"/>
      <c r="C32683" s="374"/>
      <c r="CV32683" s="376"/>
    </row>
    <row r="32684" spans="1:100">
      <c r="A32684" s="374"/>
      <c r="C32684" s="374"/>
      <c r="CV32684" s="376"/>
    </row>
    <row r="32685" spans="1:100">
      <c r="A32685" s="374"/>
      <c r="C32685" s="374"/>
      <c r="CV32685" s="376"/>
    </row>
    <row r="32686" spans="1:100">
      <c r="A32686" s="374"/>
      <c r="C32686" s="374"/>
      <c r="CV32686" s="376"/>
    </row>
    <row r="32687" spans="1:100">
      <c r="A32687" s="374"/>
      <c r="C32687" s="374"/>
      <c r="CV32687" s="376"/>
    </row>
    <row r="32688" spans="1:100">
      <c r="A32688" s="374"/>
      <c r="C32688" s="374"/>
      <c r="CV32688" s="376"/>
    </row>
    <row r="32689" spans="1:100">
      <c r="A32689" s="374"/>
      <c r="C32689" s="374"/>
      <c r="CV32689" s="376"/>
    </row>
    <row r="32690" spans="1:100">
      <c r="A32690" s="374"/>
      <c r="C32690" s="374"/>
      <c r="CV32690" s="376"/>
    </row>
    <row r="32691" spans="1:100">
      <c r="A32691" s="374"/>
      <c r="C32691" s="374"/>
      <c r="CV32691" s="376"/>
    </row>
    <row r="32692" spans="1:100">
      <c r="A32692" s="374"/>
      <c r="C32692" s="374"/>
      <c r="CV32692" s="376"/>
    </row>
    <row r="32693" spans="1:100">
      <c r="A32693" s="374"/>
      <c r="C32693" s="374"/>
      <c r="CV32693" s="376"/>
    </row>
    <row r="32694" spans="1:100">
      <c r="A32694" s="374"/>
      <c r="C32694" s="374"/>
      <c r="CV32694" s="376"/>
    </row>
    <row r="32695" spans="1:100">
      <c r="A32695" s="374"/>
      <c r="C32695" s="374"/>
      <c r="CV32695" s="376"/>
    </row>
    <row r="32696" spans="1:100">
      <c r="A32696" s="374"/>
      <c r="C32696" s="374"/>
      <c r="CV32696" s="376"/>
    </row>
    <row r="32697" spans="1:100">
      <c r="A32697" s="374"/>
      <c r="C32697" s="374"/>
      <c r="CV32697" s="376"/>
    </row>
    <row r="32698" spans="1:100">
      <c r="A32698" s="374"/>
      <c r="C32698" s="374"/>
      <c r="CV32698" s="376"/>
    </row>
    <row r="32699" spans="1:100">
      <c r="A32699" s="374"/>
      <c r="C32699" s="374"/>
      <c r="CV32699" s="376"/>
    </row>
    <row r="32700" spans="1:100">
      <c r="A32700" s="374"/>
      <c r="C32700" s="374"/>
      <c r="CV32700" s="376"/>
    </row>
    <row r="32701" spans="1:100">
      <c r="A32701" s="374"/>
      <c r="C32701" s="374"/>
      <c r="CV32701" s="376"/>
    </row>
    <row r="32702" spans="1:100">
      <c r="A32702" s="374"/>
      <c r="C32702" s="374"/>
      <c r="CV32702" s="376"/>
    </row>
    <row r="32703" spans="1:100">
      <c r="A32703" s="374"/>
      <c r="C32703" s="374"/>
      <c r="CV32703" s="376"/>
    </row>
    <row r="32704" spans="1:100">
      <c r="A32704" s="374"/>
      <c r="C32704" s="374"/>
      <c r="CV32704" s="376"/>
    </row>
    <row r="32705" spans="1:100">
      <c r="A32705" s="374"/>
      <c r="C32705" s="374"/>
      <c r="CV32705" s="376"/>
    </row>
    <row r="32706" spans="1:100">
      <c r="A32706" s="374"/>
      <c r="C32706" s="374"/>
      <c r="CV32706" s="376"/>
    </row>
    <row r="32707" spans="1:100">
      <c r="A32707" s="374"/>
      <c r="C32707" s="374"/>
      <c r="CV32707" s="376"/>
    </row>
    <row r="32708" spans="1:100">
      <c r="A32708" s="374"/>
      <c r="C32708" s="374"/>
      <c r="CV32708" s="376"/>
    </row>
    <row r="32709" spans="1:100">
      <c r="A32709" s="374"/>
      <c r="C32709" s="374"/>
      <c r="CV32709" s="376"/>
    </row>
    <row r="32710" spans="1:100">
      <c r="A32710" s="374"/>
      <c r="C32710" s="374"/>
      <c r="CV32710" s="376"/>
    </row>
    <row r="32711" spans="1:100">
      <c r="A32711" s="374"/>
      <c r="C32711" s="374"/>
      <c r="CV32711" s="376"/>
    </row>
    <row r="32712" spans="1:100">
      <c r="A32712" s="374"/>
      <c r="C32712" s="374"/>
      <c r="CV32712" s="376"/>
    </row>
    <row r="32713" spans="1:100">
      <c r="A32713" s="374"/>
      <c r="C32713" s="374"/>
      <c r="CV32713" s="376"/>
    </row>
    <row r="32714" spans="1:100">
      <c r="A32714" s="374"/>
      <c r="C32714" s="374"/>
      <c r="CV32714" s="376"/>
    </row>
    <row r="32715" spans="1:100">
      <c r="A32715" s="374"/>
      <c r="C32715" s="374"/>
      <c r="CV32715" s="376"/>
    </row>
    <row r="32716" spans="1:100">
      <c r="A32716" s="374"/>
      <c r="C32716" s="374"/>
      <c r="CV32716" s="376"/>
    </row>
    <row r="32717" spans="1:100">
      <c r="A32717" s="374"/>
      <c r="C32717" s="374"/>
      <c r="CV32717" s="376"/>
    </row>
    <row r="32718" spans="1:100">
      <c r="A32718" s="374"/>
      <c r="C32718" s="374"/>
      <c r="CV32718" s="376"/>
    </row>
    <row r="32719" spans="1:100">
      <c r="A32719" s="374"/>
      <c r="C32719" s="374"/>
      <c r="CV32719" s="376"/>
    </row>
    <row r="32720" spans="1:100">
      <c r="A32720" s="374"/>
      <c r="C32720" s="374"/>
      <c r="CV32720" s="376"/>
    </row>
    <row r="32721" spans="1:100">
      <c r="A32721" s="374"/>
      <c r="C32721" s="374"/>
      <c r="CV32721" s="376"/>
    </row>
    <row r="32722" spans="1:100">
      <c r="A32722" s="374"/>
      <c r="C32722" s="374"/>
      <c r="CV32722" s="376"/>
    </row>
    <row r="32723" spans="1:100">
      <c r="A32723" s="374"/>
      <c r="C32723" s="374"/>
      <c r="CV32723" s="376"/>
    </row>
    <row r="32724" spans="1:100">
      <c r="A32724" s="374"/>
      <c r="C32724" s="374"/>
      <c r="CV32724" s="376"/>
    </row>
    <row r="32725" spans="1:100">
      <c r="A32725" s="374"/>
      <c r="C32725" s="374"/>
      <c r="CV32725" s="376"/>
    </row>
    <row r="32726" spans="1:100">
      <c r="A32726" s="374"/>
      <c r="C32726" s="374"/>
      <c r="CV32726" s="376"/>
    </row>
    <row r="32727" spans="1:100">
      <c r="A32727" s="374"/>
      <c r="C32727" s="374"/>
      <c r="CV32727" s="376"/>
    </row>
    <row r="32728" spans="1:100">
      <c r="A32728" s="374"/>
      <c r="C32728" s="374"/>
      <c r="CV32728" s="376"/>
    </row>
    <row r="32729" spans="1:100">
      <c r="A32729" s="374"/>
      <c r="C32729" s="374"/>
      <c r="CV32729" s="376"/>
    </row>
    <row r="32730" spans="1:100">
      <c r="A32730" s="374"/>
      <c r="C32730" s="374"/>
      <c r="CV32730" s="376"/>
    </row>
    <row r="32731" spans="1:100">
      <c r="A32731" s="374"/>
      <c r="C32731" s="374"/>
      <c r="CV32731" s="376"/>
    </row>
    <row r="32732" spans="1:100">
      <c r="A32732" s="374"/>
      <c r="C32732" s="374"/>
      <c r="CV32732" s="376"/>
    </row>
    <row r="32733" spans="1:100">
      <c r="A32733" s="374"/>
      <c r="C32733" s="374"/>
      <c r="CV32733" s="376"/>
    </row>
    <row r="32734" spans="1:100">
      <c r="A32734" s="374"/>
      <c r="C32734" s="374"/>
      <c r="CV32734" s="376"/>
    </row>
    <row r="32735" spans="1:100">
      <c r="A32735" s="374"/>
      <c r="C32735" s="374"/>
      <c r="CV32735" s="376"/>
    </row>
    <row r="32736" spans="1:100">
      <c r="A32736" s="374"/>
      <c r="C32736" s="374"/>
      <c r="CV32736" s="376"/>
    </row>
    <row r="32737" spans="1:100">
      <c r="A32737" s="374"/>
      <c r="C32737" s="374"/>
      <c r="CV32737" s="376"/>
    </row>
    <row r="32738" spans="1:100">
      <c r="A32738" s="374"/>
      <c r="C32738" s="374"/>
      <c r="CV32738" s="376"/>
    </row>
    <row r="32739" spans="1:100">
      <c r="A32739" s="374"/>
      <c r="C32739" s="374"/>
      <c r="CV32739" s="376"/>
    </row>
    <row r="32740" spans="1:100">
      <c r="A32740" s="374"/>
      <c r="C32740" s="374"/>
      <c r="CV32740" s="376"/>
    </row>
    <row r="32741" spans="1:100">
      <c r="A32741" s="374"/>
      <c r="C32741" s="374"/>
      <c r="CV32741" s="376"/>
    </row>
    <row r="32742" spans="1:100">
      <c r="A32742" s="374"/>
      <c r="C32742" s="374"/>
      <c r="CV32742" s="376"/>
    </row>
    <row r="32743" spans="1:100">
      <c r="A32743" s="374"/>
      <c r="C32743" s="374"/>
      <c r="CV32743" s="376"/>
    </row>
    <row r="32744" spans="1:100">
      <c r="A32744" s="374"/>
      <c r="C32744" s="374"/>
      <c r="CV32744" s="376"/>
    </row>
    <row r="32745" spans="1:100">
      <c r="A32745" s="374"/>
      <c r="C32745" s="374"/>
      <c r="CV32745" s="376"/>
    </row>
    <row r="32746" spans="1:100">
      <c r="A32746" s="374"/>
      <c r="C32746" s="374"/>
      <c r="CV32746" s="376"/>
    </row>
    <row r="32747" spans="1:100">
      <c r="A32747" s="374"/>
      <c r="C32747" s="374"/>
      <c r="CV32747" s="376"/>
    </row>
    <row r="32748" spans="1:100">
      <c r="A32748" s="374"/>
      <c r="C32748" s="374"/>
      <c r="CV32748" s="376"/>
    </row>
    <row r="32749" spans="1:100">
      <c r="A32749" s="374"/>
      <c r="C32749" s="374"/>
      <c r="CV32749" s="376"/>
    </row>
    <row r="32750" spans="1:100">
      <c r="A32750" s="374"/>
      <c r="C32750" s="374"/>
      <c r="CV32750" s="376"/>
    </row>
    <row r="32751" spans="1:100">
      <c r="A32751" s="374"/>
      <c r="C32751" s="374"/>
      <c r="CV32751" s="376"/>
    </row>
    <row r="32752" spans="1:100">
      <c r="A32752" s="374"/>
      <c r="C32752" s="374"/>
      <c r="CV32752" s="376"/>
    </row>
    <row r="32753" spans="1:100">
      <c r="A32753" s="374"/>
      <c r="C32753" s="374"/>
      <c r="CV32753" s="376"/>
    </row>
    <row r="32754" spans="1:100">
      <c r="A32754" s="374"/>
      <c r="C32754" s="374"/>
      <c r="CV32754" s="376"/>
    </row>
    <row r="32755" spans="1:100">
      <c r="A32755" s="374"/>
      <c r="C32755" s="374"/>
      <c r="CV32755" s="376"/>
    </row>
    <row r="32756" spans="1:100">
      <c r="A32756" s="374"/>
      <c r="C32756" s="374"/>
      <c r="CV32756" s="376"/>
    </row>
    <row r="32757" spans="1:100">
      <c r="A32757" s="374"/>
      <c r="C32757" s="374"/>
      <c r="CV32757" s="376"/>
    </row>
    <row r="32758" spans="1:100">
      <c r="A32758" s="374"/>
      <c r="C32758" s="374"/>
      <c r="CV32758" s="376"/>
    </row>
    <row r="32759" spans="1:100">
      <c r="A32759" s="374"/>
      <c r="C32759" s="374"/>
      <c r="CV32759" s="376"/>
    </row>
    <row r="32760" spans="1:100">
      <c r="A32760" s="374"/>
      <c r="C32760" s="374"/>
      <c r="CV32760" s="376"/>
    </row>
    <row r="32761" spans="1:100">
      <c r="A32761" s="374"/>
      <c r="C32761" s="374"/>
      <c r="CV32761" s="376"/>
    </row>
    <row r="32762" spans="1:100">
      <c r="A32762" s="374"/>
      <c r="C32762" s="374"/>
      <c r="CV32762" s="376"/>
    </row>
    <row r="32763" spans="1:100">
      <c r="A32763" s="374"/>
      <c r="C32763" s="374"/>
      <c r="CV32763" s="376"/>
    </row>
    <row r="32764" spans="1:100">
      <c r="A32764" s="374"/>
      <c r="C32764" s="374"/>
      <c r="CV32764" s="376"/>
    </row>
    <row r="32765" spans="1:100">
      <c r="A32765" s="374"/>
      <c r="C32765" s="374"/>
      <c r="CV32765" s="376"/>
    </row>
    <row r="32766" spans="1:100">
      <c r="A32766" s="374"/>
      <c r="C32766" s="374"/>
      <c r="CV32766" s="376"/>
    </row>
    <row r="32767" spans="1:100">
      <c r="A32767" s="374"/>
      <c r="C32767" s="374"/>
      <c r="CV32767" s="376"/>
    </row>
    <row r="32768" spans="1:100">
      <c r="A32768" s="374"/>
      <c r="C32768" s="374"/>
      <c r="CV32768" s="376"/>
    </row>
    <row r="32769" spans="1:100">
      <c r="A32769" s="374"/>
      <c r="C32769" s="374"/>
      <c r="CV32769" s="376"/>
    </row>
    <row r="32770" spans="1:100">
      <c r="A32770" s="374"/>
      <c r="C32770" s="374"/>
      <c r="CV32770" s="376"/>
    </row>
    <row r="32771" spans="1:100">
      <c r="A32771" s="374"/>
      <c r="C32771" s="374"/>
      <c r="CV32771" s="376"/>
    </row>
    <row r="32772" spans="1:100">
      <c r="A32772" s="374"/>
      <c r="C32772" s="374"/>
      <c r="CV32772" s="376"/>
    </row>
    <row r="32773" spans="1:100">
      <c r="A32773" s="374"/>
      <c r="C32773" s="374"/>
      <c r="CV32773" s="376"/>
    </row>
    <row r="32774" spans="1:100">
      <c r="A32774" s="374"/>
      <c r="C32774" s="374"/>
      <c r="CV32774" s="376"/>
    </row>
    <row r="32775" spans="1:100">
      <c r="A32775" s="374"/>
      <c r="C32775" s="374"/>
      <c r="CV32775" s="376"/>
    </row>
    <row r="32776" spans="1:100">
      <c r="A32776" s="374"/>
      <c r="C32776" s="374"/>
      <c r="CV32776" s="376"/>
    </row>
    <row r="32777" spans="1:100">
      <c r="A32777" s="374"/>
      <c r="C32777" s="374"/>
      <c r="CV32777" s="376"/>
    </row>
    <row r="32778" spans="1:100">
      <c r="A32778" s="374"/>
      <c r="C32778" s="374"/>
      <c r="CV32778" s="376"/>
    </row>
    <row r="32779" spans="1:100">
      <c r="A32779" s="374"/>
      <c r="C32779" s="374"/>
      <c r="CV32779" s="376"/>
    </row>
    <row r="32780" spans="1:100">
      <c r="A32780" s="374"/>
      <c r="C32780" s="374"/>
      <c r="CV32780" s="376"/>
    </row>
    <row r="32781" spans="1:100">
      <c r="A32781" s="374"/>
      <c r="C32781" s="374"/>
      <c r="CV32781" s="376"/>
    </row>
    <row r="32782" spans="1:100">
      <c r="A32782" s="374"/>
      <c r="C32782" s="374"/>
      <c r="CV32782" s="376"/>
    </row>
    <row r="32783" spans="1:100">
      <c r="A32783" s="374"/>
      <c r="C32783" s="374"/>
      <c r="CV32783" s="376"/>
    </row>
    <row r="32784" spans="1:100">
      <c r="A32784" s="374"/>
      <c r="C32784" s="374"/>
      <c r="CV32784" s="376"/>
    </row>
    <row r="32785" spans="1:100">
      <c r="A32785" s="374"/>
      <c r="C32785" s="374"/>
      <c r="CV32785" s="376"/>
    </row>
    <row r="32786" spans="1:100">
      <c r="A32786" s="374"/>
      <c r="C32786" s="374"/>
      <c r="CV32786" s="376"/>
    </row>
    <row r="32787" spans="1:100">
      <c r="A32787" s="374"/>
      <c r="C32787" s="374"/>
      <c r="CV32787" s="376"/>
    </row>
    <row r="32788" spans="1:100">
      <c r="A32788" s="374"/>
      <c r="C32788" s="374"/>
      <c r="CV32788" s="376"/>
    </row>
    <row r="32789" spans="1:100">
      <c r="A32789" s="374"/>
      <c r="C32789" s="374"/>
      <c r="CV32789" s="376"/>
    </row>
    <row r="32790" spans="1:100">
      <c r="A32790" s="374"/>
      <c r="C32790" s="374"/>
      <c r="CV32790" s="376"/>
    </row>
    <row r="32791" spans="1:100">
      <c r="A32791" s="374"/>
      <c r="C32791" s="374"/>
      <c r="CV32791" s="376"/>
    </row>
    <row r="32792" spans="1:100">
      <c r="A32792" s="374"/>
      <c r="C32792" s="374"/>
      <c r="CV32792" s="376"/>
    </row>
    <row r="32793" spans="1:100">
      <c r="A32793" s="374"/>
      <c r="C32793" s="374"/>
      <c r="CV32793" s="376"/>
    </row>
    <row r="32794" spans="1:100">
      <c r="A32794" s="374"/>
      <c r="C32794" s="374"/>
      <c r="CV32794" s="376"/>
    </row>
    <row r="32795" spans="1:100">
      <c r="A32795" s="374"/>
      <c r="C32795" s="374"/>
      <c r="CV32795" s="376"/>
    </row>
    <row r="32796" spans="1:100">
      <c r="A32796" s="374"/>
      <c r="C32796" s="374"/>
      <c r="CV32796" s="376"/>
    </row>
    <row r="32797" spans="1:100">
      <c r="A32797" s="374"/>
      <c r="C32797" s="374"/>
      <c r="CV32797" s="376"/>
    </row>
    <row r="32798" spans="1:100">
      <c r="A32798" s="374"/>
      <c r="C32798" s="374"/>
      <c r="CV32798" s="376"/>
    </row>
    <row r="32799" spans="1:100">
      <c r="A32799" s="374"/>
      <c r="C32799" s="374"/>
      <c r="CV32799" s="376"/>
    </row>
    <row r="32800" spans="1:100">
      <c r="A32800" s="374"/>
      <c r="C32800" s="374"/>
      <c r="CV32800" s="376"/>
    </row>
    <row r="32801" spans="1:100">
      <c r="A32801" s="374"/>
      <c r="C32801" s="374"/>
      <c r="CV32801" s="376"/>
    </row>
    <row r="32802" spans="1:100">
      <c r="A32802" s="374"/>
      <c r="C32802" s="374"/>
      <c r="CV32802" s="376"/>
    </row>
    <row r="32803" spans="1:100">
      <c r="A32803" s="374"/>
      <c r="C32803" s="374"/>
      <c r="CV32803" s="376"/>
    </row>
    <row r="32804" spans="1:100">
      <c r="A32804" s="374"/>
      <c r="C32804" s="374"/>
      <c r="CV32804" s="376"/>
    </row>
    <row r="32805" spans="1:100">
      <c r="A32805" s="374"/>
      <c r="C32805" s="374"/>
      <c r="CV32805" s="376"/>
    </row>
    <row r="32806" spans="1:100">
      <c r="A32806" s="374"/>
      <c r="C32806" s="374"/>
      <c r="CV32806" s="376"/>
    </row>
    <row r="32807" spans="1:100">
      <c r="A32807" s="374"/>
      <c r="C32807" s="374"/>
      <c r="CV32807" s="376"/>
    </row>
    <row r="32808" spans="1:100">
      <c r="A32808" s="374"/>
      <c r="C32808" s="374"/>
      <c r="CV32808" s="376"/>
    </row>
    <row r="32809" spans="1:100">
      <c r="A32809" s="374"/>
      <c r="C32809" s="374"/>
      <c r="CV32809" s="376"/>
    </row>
    <row r="32810" spans="1:100">
      <c r="A32810" s="374"/>
      <c r="C32810" s="374"/>
      <c r="CV32810" s="376"/>
    </row>
    <row r="32811" spans="1:100">
      <c r="A32811" s="374"/>
      <c r="C32811" s="374"/>
      <c r="CV32811" s="376"/>
    </row>
    <row r="32812" spans="1:100">
      <c r="A32812" s="374"/>
      <c r="C32812" s="374"/>
      <c r="CV32812" s="376"/>
    </row>
    <row r="32813" spans="1:100">
      <c r="A32813" s="374"/>
      <c r="C32813" s="374"/>
      <c r="CV32813" s="376"/>
    </row>
    <row r="32814" spans="1:100">
      <c r="A32814" s="374"/>
      <c r="C32814" s="374"/>
      <c r="CV32814" s="376"/>
    </row>
    <row r="32815" spans="1:100">
      <c r="A32815" s="374"/>
      <c r="C32815" s="374"/>
      <c r="CV32815" s="376"/>
    </row>
    <row r="32816" spans="1:100">
      <c r="A32816" s="374"/>
      <c r="C32816" s="374"/>
      <c r="CV32816" s="376"/>
    </row>
    <row r="32817" spans="1:100">
      <c r="A32817" s="374"/>
      <c r="C32817" s="374"/>
      <c r="CV32817" s="376"/>
    </row>
    <row r="32818" spans="1:100">
      <c r="A32818" s="374"/>
      <c r="C32818" s="374"/>
      <c r="CV32818" s="376"/>
    </row>
    <row r="32819" spans="1:100">
      <c r="A32819" s="374"/>
      <c r="C32819" s="374"/>
      <c r="CV32819" s="376"/>
    </row>
    <row r="32820" spans="1:100">
      <c r="A32820" s="374"/>
      <c r="C32820" s="374"/>
      <c r="CV32820" s="376"/>
    </row>
    <row r="32821" spans="1:100">
      <c r="A32821" s="374"/>
      <c r="C32821" s="374"/>
      <c r="CV32821" s="376"/>
    </row>
    <row r="32822" spans="1:100">
      <c r="A32822" s="374"/>
      <c r="C32822" s="374"/>
      <c r="CV32822" s="376"/>
    </row>
    <row r="32823" spans="1:100">
      <c r="A32823" s="374"/>
      <c r="C32823" s="374"/>
      <c r="CV32823" s="376"/>
    </row>
    <row r="32824" spans="1:100">
      <c r="A32824" s="374"/>
      <c r="C32824" s="374"/>
      <c r="CV32824" s="376"/>
    </row>
    <row r="32825" spans="1:100">
      <c r="A32825" s="374"/>
      <c r="C32825" s="374"/>
      <c r="CV32825" s="376"/>
    </row>
    <row r="32826" spans="1:100">
      <c r="A32826" s="374"/>
      <c r="C32826" s="374"/>
      <c r="CV32826" s="376"/>
    </row>
    <row r="32827" spans="1:100">
      <c r="A32827" s="374"/>
      <c r="C32827" s="374"/>
      <c r="CV32827" s="376"/>
    </row>
    <row r="32828" spans="1:100">
      <c r="A32828" s="374"/>
      <c r="C32828" s="374"/>
      <c r="CV32828" s="376"/>
    </row>
    <row r="32829" spans="1:100">
      <c r="A32829" s="374"/>
      <c r="C32829" s="374"/>
      <c r="CV32829" s="376"/>
    </row>
    <row r="32830" spans="1:100">
      <c r="A32830" s="374"/>
      <c r="C32830" s="374"/>
      <c r="CV32830" s="376"/>
    </row>
    <row r="32831" spans="1:100">
      <c r="A32831" s="374"/>
      <c r="C32831" s="374"/>
      <c r="CV32831" s="376"/>
    </row>
    <row r="32832" spans="1:100">
      <c r="A32832" s="374"/>
      <c r="C32832" s="374"/>
      <c r="CV32832" s="376"/>
    </row>
    <row r="32833" spans="1:100">
      <c r="A32833" s="374"/>
      <c r="C32833" s="374"/>
      <c r="CV32833" s="376"/>
    </row>
    <row r="32834" spans="1:100">
      <c r="A32834" s="374"/>
      <c r="C32834" s="374"/>
      <c r="CV32834" s="376"/>
    </row>
    <row r="32835" spans="1:100">
      <c r="A32835" s="374"/>
      <c r="C32835" s="374"/>
      <c r="CV32835" s="376"/>
    </row>
    <row r="32836" spans="1:100">
      <c r="A32836" s="374"/>
      <c r="C32836" s="374"/>
      <c r="CV32836" s="376"/>
    </row>
    <row r="32837" spans="1:100">
      <c r="A32837" s="374"/>
      <c r="C32837" s="374"/>
      <c r="CV32837" s="376"/>
    </row>
    <row r="32838" spans="1:100">
      <c r="A32838" s="374"/>
      <c r="C32838" s="374"/>
      <c r="CV32838" s="376"/>
    </row>
    <row r="32839" spans="1:100">
      <c r="A32839" s="374"/>
      <c r="C32839" s="374"/>
      <c r="CV32839" s="376"/>
    </row>
    <row r="32840" spans="1:100">
      <c r="A32840" s="374"/>
      <c r="C32840" s="374"/>
      <c r="CV32840" s="376"/>
    </row>
    <row r="32841" spans="1:100">
      <c r="A32841" s="374"/>
      <c r="C32841" s="374"/>
      <c r="CV32841" s="376"/>
    </row>
    <row r="32842" spans="1:100">
      <c r="A32842" s="374"/>
      <c r="C32842" s="374"/>
      <c r="CV32842" s="376"/>
    </row>
    <row r="32843" spans="1:100">
      <c r="A32843" s="374"/>
      <c r="C32843" s="374"/>
      <c r="CV32843" s="376"/>
    </row>
    <row r="32844" spans="1:100">
      <c r="A32844" s="374"/>
      <c r="C32844" s="374"/>
      <c r="CV32844" s="376"/>
    </row>
    <row r="32845" spans="1:100">
      <c r="A32845" s="374"/>
      <c r="C32845" s="374"/>
      <c r="CV32845" s="376"/>
    </row>
    <row r="32846" spans="1:100">
      <c r="A32846" s="374"/>
      <c r="C32846" s="374"/>
      <c r="CV32846" s="376"/>
    </row>
    <row r="32847" spans="1:100">
      <c r="A32847" s="374"/>
      <c r="C32847" s="374"/>
      <c r="CV32847" s="376"/>
    </row>
    <row r="32848" spans="1:100">
      <c r="A32848" s="374"/>
      <c r="C32848" s="374"/>
      <c r="CV32848" s="376"/>
    </row>
    <row r="32849" spans="1:100">
      <c r="A32849" s="374"/>
      <c r="C32849" s="374"/>
      <c r="CV32849" s="376"/>
    </row>
    <row r="32850" spans="1:100">
      <c r="A32850" s="374"/>
      <c r="C32850" s="374"/>
      <c r="CV32850" s="376"/>
    </row>
    <row r="32851" spans="1:100">
      <c r="A32851" s="374"/>
      <c r="C32851" s="374"/>
      <c r="CV32851" s="376"/>
    </row>
    <row r="32852" spans="1:100">
      <c r="A32852" s="374"/>
      <c r="C32852" s="374"/>
      <c r="CV32852" s="376"/>
    </row>
    <row r="32853" spans="1:100">
      <c r="A32853" s="374"/>
      <c r="C32853" s="374"/>
      <c r="CV32853" s="376"/>
    </row>
    <row r="32854" spans="1:100">
      <c r="A32854" s="374"/>
      <c r="C32854" s="374"/>
      <c r="CV32854" s="376"/>
    </row>
    <row r="32855" spans="1:100">
      <c r="A32855" s="374"/>
      <c r="C32855" s="374"/>
      <c r="CV32855" s="376"/>
    </row>
    <row r="32856" spans="1:100">
      <c r="A32856" s="374"/>
      <c r="C32856" s="374"/>
      <c r="CV32856" s="376"/>
    </row>
    <row r="32857" spans="1:100">
      <c r="A32857" s="374"/>
      <c r="C32857" s="374"/>
      <c r="CV32857" s="376"/>
    </row>
    <row r="32858" spans="1:100">
      <c r="A32858" s="374"/>
      <c r="C32858" s="374"/>
      <c r="CV32858" s="376"/>
    </row>
    <row r="32859" spans="1:100">
      <c r="A32859" s="374"/>
      <c r="C32859" s="374"/>
      <c r="CV32859" s="376"/>
    </row>
    <row r="32860" spans="1:100">
      <c r="A32860" s="374"/>
      <c r="C32860" s="374"/>
      <c r="CV32860" s="376"/>
    </row>
    <row r="32861" spans="1:100">
      <c r="A32861" s="374"/>
      <c r="C32861" s="374"/>
      <c r="CV32861" s="376"/>
    </row>
    <row r="32862" spans="1:100">
      <c r="A32862" s="374"/>
      <c r="C32862" s="374"/>
      <c r="CV32862" s="376"/>
    </row>
    <row r="32863" spans="1:100">
      <c r="A32863" s="374"/>
      <c r="C32863" s="374"/>
      <c r="CV32863" s="376"/>
    </row>
    <row r="32864" spans="1:100">
      <c r="A32864" s="374"/>
      <c r="C32864" s="374"/>
      <c r="CV32864" s="376"/>
    </row>
    <row r="32865" spans="1:100">
      <c r="A32865" s="374"/>
      <c r="C32865" s="374"/>
      <c r="CV32865" s="376"/>
    </row>
    <row r="32866" spans="1:100">
      <c r="A32866" s="374"/>
      <c r="C32866" s="374"/>
      <c r="CV32866" s="376"/>
    </row>
    <row r="32867" spans="1:100">
      <c r="A32867" s="374"/>
      <c r="C32867" s="374"/>
      <c r="CV32867" s="376"/>
    </row>
    <row r="32868" spans="1:100">
      <c r="A32868" s="374"/>
      <c r="C32868" s="374"/>
      <c r="CV32868" s="376"/>
    </row>
    <row r="32869" spans="1:100">
      <c r="A32869" s="374"/>
      <c r="C32869" s="374"/>
      <c r="CV32869" s="376"/>
    </row>
    <row r="32870" spans="1:100">
      <c r="A32870" s="374"/>
      <c r="C32870" s="374"/>
      <c r="CV32870" s="376"/>
    </row>
    <row r="32871" spans="1:100">
      <c r="A32871" s="374"/>
      <c r="C32871" s="374"/>
      <c r="CV32871" s="376"/>
    </row>
    <row r="32872" spans="1:100">
      <c r="A32872" s="374"/>
      <c r="C32872" s="374"/>
      <c r="CV32872" s="376"/>
    </row>
    <row r="32873" spans="1:100">
      <c r="A32873" s="374"/>
      <c r="C32873" s="374"/>
      <c r="CV32873" s="376"/>
    </row>
    <row r="32874" spans="1:100">
      <c r="A32874" s="374"/>
      <c r="C32874" s="374"/>
      <c r="CV32874" s="376"/>
    </row>
    <row r="32875" spans="1:100">
      <c r="A32875" s="374"/>
      <c r="C32875" s="374"/>
      <c r="CV32875" s="376"/>
    </row>
    <row r="32876" spans="1:100">
      <c r="A32876" s="374"/>
      <c r="C32876" s="374"/>
      <c r="CV32876" s="376"/>
    </row>
    <row r="32877" spans="1:100">
      <c r="A32877" s="374"/>
      <c r="C32877" s="374"/>
      <c r="CV32877" s="376"/>
    </row>
    <row r="32878" spans="1:100">
      <c r="A32878" s="374"/>
      <c r="C32878" s="374"/>
      <c r="CV32878" s="376"/>
    </row>
    <row r="32879" spans="1:100">
      <c r="A32879" s="374"/>
      <c r="C32879" s="374"/>
      <c r="CV32879" s="376"/>
    </row>
    <row r="32880" spans="1:100">
      <c r="A32880" s="374"/>
      <c r="C32880" s="374"/>
      <c r="CV32880" s="376"/>
    </row>
    <row r="32881" spans="1:100">
      <c r="A32881" s="374"/>
      <c r="C32881" s="374"/>
      <c r="CV32881" s="376"/>
    </row>
    <row r="32882" spans="1:100">
      <c r="A32882" s="374"/>
      <c r="C32882" s="374"/>
      <c r="CV32882" s="376"/>
    </row>
    <row r="32883" spans="1:100">
      <c r="A32883" s="374"/>
      <c r="C32883" s="374"/>
      <c r="CV32883" s="376"/>
    </row>
    <row r="32884" spans="1:100">
      <c r="A32884" s="374"/>
      <c r="C32884" s="374"/>
      <c r="CV32884" s="376"/>
    </row>
    <row r="32885" spans="1:100">
      <c r="A32885" s="374"/>
      <c r="C32885" s="374"/>
      <c r="CV32885" s="376"/>
    </row>
    <row r="32886" spans="1:100">
      <c r="A32886" s="374"/>
      <c r="C32886" s="374"/>
      <c r="CV32886" s="376"/>
    </row>
    <row r="32887" spans="1:100">
      <c r="A32887" s="374"/>
      <c r="C32887" s="374"/>
      <c r="CV32887" s="376"/>
    </row>
    <row r="32888" spans="1:100">
      <c r="A32888" s="374"/>
      <c r="C32888" s="374"/>
      <c r="CV32888" s="376"/>
    </row>
    <row r="32889" spans="1:100">
      <c r="A32889" s="374"/>
      <c r="C32889" s="374"/>
      <c r="CV32889" s="376"/>
    </row>
    <row r="32890" spans="1:100">
      <c r="A32890" s="374"/>
      <c r="C32890" s="374"/>
      <c r="CV32890" s="376"/>
    </row>
    <row r="32891" spans="1:100">
      <c r="A32891" s="374"/>
      <c r="C32891" s="374"/>
      <c r="CV32891" s="376"/>
    </row>
    <row r="32892" spans="1:100">
      <c r="A32892" s="374"/>
      <c r="C32892" s="374"/>
      <c r="CV32892" s="376"/>
    </row>
    <row r="32893" spans="1:100">
      <c r="A32893" s="374"/>
      <c r="C32893" s="374"/>
      <c r="CV32893" s="376"/>
    </row>
    <row r="32894" spans="1:100">
      <c r="A32894" s="374"/>
      <c r="C32894" s="374"/>
      <c r="CV32894" s="376"/>
    </row>
    <row r="32895" spans="1:100">
      <c r="A32895" s="374"/>
      <c r="C32895" s="374"/>
      <c r="CV32895" s="376"/>
    </row>
    <row r="32896" spans="1:100">
      <c r="A32896" s="374"/>
      <c r="C32896" s="374"/>
      <c r="CV32896" s="376"/>
    </row>
    <row r="32897" spans="1:100">
      <c r="A32897" s="374"/>
      <c r="C32897" s="374"/>
      <c r="CV32897" s="376"/>
    </row>
    <row r="32898" spans="1:100">
      <c r="A32898" s="374"/>
      <c r="C32898" s="374"/>
      <c r="CV32898" s="376"/>
    </row>
    <row r="32899" spans="1:100">
      <c r="A32899" s="374"/>
      <c r="C32899" s="374"/>
      <c r="CV32899" s="376"/>
    </row>
    <row r="32900" spans="1:100">
      <c r="A32900" s="374"/>
      <c r="C32900" s="374"/>
      <c r="CV32900" s="376"/>
    </row>
    <row r="32901" spans="1:100">
      <c r="A32901" s="374"/>
      <c r="C32901" s="374"/>
      <c r="CV32901" s="376"/>
    </row>
    <row r="32902" spans="1:100">
      <c r="A32902" s="374"/>
      <c r="C32902" s="374"/>
      <c r="CV32902" s="376"/>
    </row>
    <row r="32903" spans="1:100">
      <c r="A32903" s="374"/>
      <c r="C32903" s="374"/>
      <c r="CV32903" s="376"/>
    </row>
    <row r="32904" spans="1:100">
      <c r="A32904" s="374"/>
      <c r="C32904" s="374"/>
      <c r="CV32904" s="376"/>
    </row>
    <row r="32905" spans="1:100">
      <c r="A32905" s="374"/>
      <c r="C32905" s="374"/>
      <c r="CV32905" s="376"/>
    </row>
    <row r="32906" spans="1:100">
      <c r="A32906" s="374"/>
      <c r="C32906" s="374"/>
      <c r="CV32906" s="376"/>
    </row>
    <row r="32907" spans="1:100">
      <c r="A32907" s="374"/>
      <c r="C32907" s="374"/>
      <c r="CV32907" s="376"/>
    </row>
    <row r="32908" spans="1:100">
      <c r="A32908" s="374"/>
      <c r="C32908" s="374"/>
      <c r="CV32908" s="376"/>
    </row>
    <row r="32909" spans="1:100">
      <c r="A32909" s="374"/>
      <c r="C32909" s="374"/>
      <c r="CV32909" s="376"/>
    </row>
    <row r="32910" spans="1:100">
      <c r="A32910" s="374"/>
      <c r="C32910" s="374"/>
      <c r="CV32910" s="376"/>
    </row>
    <row r="32911" spans="1:100">
      <c r="A32911" s="374"/>
      <c r="C32911" s="374"/>
      <c r="CV32911" s="376"/>
    </row>
    <row r="32912" spans="1:100">
      <c r="A32912" s="374"/>
      <c r="C32912" s="374"/>
      <c r="CV32912" s="376"/>
    </row>
    <row r="32913" spans="1:100">
      <c r="A32913" s="374"/>
      <c r="C32913" s="374"/>
      <c r="CV32913" s="376"/>
    </row>
    <row r="32914" spans="1:100">
      <c r="A32914" s="374"/>
      <c r="C32914" s="374"/>
      <c r="CV32914" s="376"/>
    </row>
    <row r="32915" spans="1:100">
      <c r="A32915" s="374"/>
      <c r="C32915" s="374"/>
      <c r="CV32915" s="376"/>
    </row>
    <row r="32916" spans="1:100">
      <c r="A32916" s="374"/>
      <c r="C32916" s="374"/>
      <c r="CV32916" s="376"/>
    </row>
    <row r="32917" spans="1:100">
      <c r="A32917" s="374"/>
      <c r="C32917" s="374"/>
      <c r="CV32917" s="376"/>
    </row>
    <row r="32918" spans="1:100">
      <c r="A32918" s="374"/>
      <c r="C32918" s="374"/>
      <c r="CV32918" s="376"/>
    </row>
    <row r="32919" spans="1:100">
      <c r="A32919" s="374"/>
      <c r="C32919" s="374"/>
      <c r="CV32919" s="376"/>
    </row>
    <row r="32920" spans="1:100">
      <c r="A32920" s="374"/>
      <c r="C32920" s="374"/>
      <c r="CV32920" s="376"/>
    </row>
    <row r="32921" spans="1:100">
      <c r="A32921" s="374"/>
      <c r="C32921" s="374"/>
      <c r="CV32921" s="376"/>
    </row>
    <row r="32922" spans="1:100">
      <c r="A32922" s="374"/>
      <c r="C32922" s="374"/>
      <c r="CV32922" s="376"/>
    </row>
    <row r="32923" spans="1:100">
      <c r="A32923" s="374"/>
      <c r="C32923" s="374"/>
      <c r="CV32923" s="376"/>
    </row>
    <row r="32924" spans="1:100">
      <c r="A32924" s="374"/>
      <c r="C32924" s="374"/>
      <c r="CV32924" s="376"/>
    </row>
    <row r="32925" spans="1:100">
      <c r="A32925" s="374"/>
      <c r="C32925" s="374"/>
      <c r="CV32925" s="376"/>
    </row>
    <row r="32926" spans="1:100">
      <c r="A32926" s="374"/>
      <c r="C32926" s="374"/>
      <c r="CV32926" s="376"/>
    </row>
    <row r="32927" spans="1:100">
      <c r="A32927" s="374"/>
      <c r="C32927" s="374"/>
      <c r="CV32927" s="376"/>
    </row>
    <row r="32928" spans="1:100">
      <c r="A32928" s="374"/>
      <c r="C32928" s="374"/>
      <c r="CV32928" s="376"/>
    </row>
    <row r="32929" spans="1:100">
      <c r="A32929" s="374"/>
      <c r="C32929" s="374"/>
      <c r="CV32929" s="376"/>
    </row>
    <row r="32930" spans="1:100">
      <c r="A32930" s="374"/>
      <c r="C32930" s="374"/>
      <c r="CV32930" s="376"/>
    </row>
    <row r="32931" spans="1:100">
      <c r="A32931" s="374"/>
      <c r="C32931" s="374"/>
      <c r="CV32931" s="376"/>
    </row>
    <row r="32932" spans="1:100">
      <c r="A32932" s="374"/>
      <c r="C32932" s="374"/>
      <c r="CV32932" s="376"/>
    </row>
    <row r="32933" spans="1:100">
      <c r="A32933" s="374"/>
      <c r="C32933" s="374"/>
      <c r="CV32933" s="376"/>
    </row>
    <row r="32934" spans="1:100">
      <c r="A32934" s="374"/>
      <c r="C32934" s="374"/>
      <c r="CV32934" s="376"/>
    </row>
    <row r="32935" spans="1:100">
      <c r="A32935" s="374"/>
      <c r="C32935" s="374"/>
      <c r="CV32935" s="376"/>
    </row>
    <row r="32936" spans="1:100">
      <c r="A32936" s="374"/>
      <c r="C32936" s="374"/>
      <c r="CV32936" s="376"/>
    </row>
    <row r="32937" spans="1:100">
      <c r="A32937" s="374"/>
      <c r="C32937" s="374"/>
      <c r="CV32937" s="376"/>
    </row>
    <row r="32938" spans="1:100">
      <c r="A32938" s="374"/>
      <c r="C32938" s="374"/>
      <c r="CV32938" s="376"/>
    </row>
    <row r="32939" spans="1:100">
      <c r="A32939" s="374"/>
      <c r="C32939" s="374"/>
      <c r="CV32939" s="376"/>
    </row>
    <row r="32940" spans="1:100">
      <c r="A32940" s="374"/>
      <c r="C32940" s="374"/>
      <c r="CV32940" s="376"/>
    </row>
    <row r="32941" spans="1:100">
      <c r="A32941" s="374"/>
      <c r="C32941" s="374"/>
      <c r="CV32941" s="376"/>
    </row>
    <row r="32942" spans="1:100">
      <c r="A32942" s="374"/>
      <c r="C32942" s="374"/>
      <c r="CV32942" s="376"/>
    </row>
    <row r="32943" spans="1:100">
      <c r="A32943" s="374"/>
      <c r="C32943" s="374"/>
      <c r="CV32943" s="376"/>
    </row>
    <row r="32944" spans="1:100">
      <c r="A32944" s="374"/>
      <c r="C32944" s="374"/>
      <c r="CV32944" s="376"/>
    </row>
    <row r="32945" spans="1:100">
      <c r="A32945" s="374"/>
      <c r="C32945" s="374"/>
      <c r="CV32945" s="376"/>
    </row>
    <row r="32946" spans="1:100">
      <c r="A32946" s="374"/>
      <c r="C32946" s="374"/>
      <c r="CV32946" s="376"/>
    </row>
    <row r="32947" spans="1:100">
      <c r="A32947" s="374"/>
      <c r="C32947" s="374"/>
      <c r="CV32947" s="376"/>
    </row>
    <row r="32948" spans="1:100">
      <c r="A32948" s="374"/>
      <c r="C32948" s="374"/>
      <c r="CV32948" s="376"/>
    </row>
    <row r="32949" spans="1:100">
      <c r="A32949" s="374"/>
      <c r="C32949" s="374"/>
      <c r="CV32949" s="376"/>
    </row>
    <row r="32950" spans="1:100">
      <c r="A32950" s="374"/>
      <c r="C32950" s="374"/>
      <c r="CV32950" s="376"/>
    </row>
    <row r="32951" spans="1:100">
      <c r="A32951" s="374"/>
      <c r="C32951" s="374"/>
      <c r="CV32951" s="376"/>
    </row>
    <row r="32952" spans="1:100">
      <c r="A32952" s="374"/>
      <c r="C32952" s="374"/>
      <c r="CV32952" s="376"/>
    </row>
    <row r="32953" spans="1:100">
      <c r="A32953" s="374"/>
      <c r="C32953" s="374"/>
      <c r="CV32953" s="376"/>
    </row>
    <row r="32954" spans="1:100">
      <c r="A32954" s="374"/>
      <c r="C32954" s="374"/>
      <c r="CV32954" s="376"/>
    </row>
    <row r="32955" spans="1:100">
      <c r="A32955" s="374"/>
      <c r="C32955" s="374"/>
      <c r="CV32955" s="376"/>
    </row>
    <row r="32956" spans="1:100">
      <c r="A32956" s="374"/>
      <c r="C32956" s="374"/>
      <c r="CV32956" s="376"/>
    </row>
    <row r="32957" spans="1:100">
      <c r="A32957" s="374"/>
      <c r="C32957" s="374"/>
      <c r="CV32957" s="376"/>
    </row>
    <row r="32958" spans="1:100">
      <c r="A32958" s="374"/>
      <c r="C32958" s="374"/>
      <c r="CV32958" s="376"/>
    </row>
    <row r="32959" spans="1:100">
      <c r="A32959" s="374"/>
      <c r="C32959" s="374"/>
      <c r="CV32959" s="376"/>
    </row>
    <row r="32960" spans="1:100">
      <c r="A32960" s="374"/>
      <c r="C32960" s="374"/>
      <c r="CV32960" s="376"/>
    </row>
    <row r="32961" spans="1:100">
      <c r="A32961" s="374"/>
      <c r="C32961" s="374"/>
      <c r="CV32961" s="376"/>
    </row>
    <row r="32962" spans="1:100">
      <c r="A32962" s="374"/>
      <c r="C32962" s="374"/>
      <c r="CV32962" s="376"/>
    </row>
    <row r="32963" spans="1:100">
      <c r="A32963" s="374"/>
      <c r="C32963" s="374"/>
      <c r="CV32963" s="376"/>
    </row>
    <row r="32964" spans="1:100">
      <c r="A32964" s="374"/>
      <c r="C32964" s="374"/>
      <c r="CV32964" s="376"/>
    </row>
    <row r="32965" spans="1:100">
      <c r="A32965" s="374"/>
      <c r="C32965" s="374"/>
      <c r="CV32965" s="376"/>
    </row>
    <row r="32966" spans="1:100">
      <c r="A32966" s="374"/>
      <c r="C32966" s="374"/>
      <c r="CV32966" s="376"/>
    </row>
    <row r="32967" spans="1:100">
      <c r="A32967" s="374"/>
      <c r="C32967" s="374"/>
      <c r="CV32967" s="376"/>
    </row>
    <row r="32968" spans="1:100">
      <c r="A32968" s="374"/>
      <c r="C32968" s="374"/>
      <c r="CV32968" s="376"/>
    </row>
    <row r="32969" spans="1:100">
      <c r="A32969" s="374"/>
      <c r="C32969" s="374"/>
      <c r="CV32969" s="376"/>
    </row>
    <row r="32970" spans="1:100">
      <c r="A32970" s="374"/>
      <c r="C32970" s="374"/>
      <c r="CV32970" s="376"/>
    </row>
    <row r="32971" spans="1:100">
      <c r="A32971" s="374"/>
      <c r="C32971" s="374"/>
      <c r="CV32971" s="376"/>
    </row>
    <row r="32972" spans="1:100">
      <c r="A32972" s="374"/>
      <c r="C32972" s="374"/>
      <c r="CV32972" s="376"/>
    </row>
    <row r="32973" spans="1:100">
      <c r="A32973" s="374"/>
      <c r="C32973" s="374"/>
      <c r="CV32973" s="376"/>
    </row>
    <row r="32974" spans="1:100">
      <c r="A32974" s="374"/>
      <c r="C32974" s="374"/>
      <c r="CV32974" s="376"/>
    </row>
    <row r="32975" spans="1:100">
      <c r="A32975" s="374"/>
      <c r="C32975" s="374"/>
      <c r="CV32975" s="376"/>
    </row>
    <row r="32976" spans="1:100">
      <c r="A32976" s="374"/>
      <c r="C32976" s="374"/>
      <c r="CV32976" s="376"/>
    </row>
    <row r="32977" spans="1:100">
      <c r="A32977" s="374"/>
      <c r="C32977" s="374"/>
      <c r="CV32977" s="376"/>
    </row>
    <row r="32978" spans="1:100">
      <c r="A32978" s="374"/>
      <c r="C32978" s="374"/>
      <c r="CV32978" s="376"/>
    </row>
    <row r="32979" spans="1:100">
      <c r="A32979" s="374"/>
      <c r="C32979" s="374"/>
      <c r="CV32979" s="376"/>
    </row>
    <row r="32980" spans="1:100">
      <c r="A32980" s="374"/>
      <c r="C32980" s="374"/>
      <c r="CV32980" s="376"/>
    </row>
    <row r="32981" spans="1:100">
      <c r="A32981" s="374"/>
      <c r="C32981" s="374"/>
      <c r="CV32981" s="376"/>
    </row>
    <row r="32982" spans="1:100">
      <c r="A32982" s="374"/>
      <c r="C32982" s="374"/>
      <c r="CV32982" s="376"/>
    </row>
    <row r="32983" spans="1:100">
      <c r="A32983" s="374"/>
      <c r="C32983" s="374"/>
      <c r="CV32983" s="376"/>
    </row>
    <row r="32984" spans="1:100">
      <c r="A32984" s="374"/>
      <c r="C32984" s="374"/>
      <c r="CV32984" s="376"/>
    </row>
    <row r="32985" spans="1:100">
      <c r="A32985" s="374"/>
      <c r="C32985" s="374"/>
      <c r="CV32985" s="376"/>
    </row>
    <row r="32986" spans="1:100">
      <c r="A32986" s="374"/>
      <c r="C32986" s="374"/>
      <c r="CV32986" s="376"/>
    </row>
    <row r="32987" spans="1:100">
      <c r="A32987" s="374"/>
      <c r="C32987" s="374"/>
      <c r="CV32987" s="376"/>
    </row>
    <row r="32988" spans="1:100">
      <c r="A32988" s="374"/>
      <c r="C32988" s="374"/>
      <c r="CV32988" s="376"/>
    </row>
    <row r="32989" spans="1:100">
      <c r="A32989" s="374"/>
      <c r="C32989" s="374"/>
      <c r="CV32989" s="376"/>
    </row>
    <row r="32990" spans="1:100">
      <c r="A32990" s="374"/>
      <c r="C32990" s="374"/>
      <c r="CV32990" s="376"/>
    </row>
    <row r="32991" spans="1:100">
      <c r="A32991" s="374"/>
      <c r="C32991" s="374"/>
      <c r="CV32991" s="376"/>
    </row>
    <row r="32992" spans="1:100">
      <c r="A32992" s="374"/>
      <c r="C32992" s="374"/>
      <c r="CV32992" s="376"/>
    </row>
    <row r="32993" spans="1:100">
      <c r="A32993" s="374"/>
      <c r="C32993" s="374"/>
      <c r="CV32993" s="376"/>
    </row>
    <row r="32994" spans="1:100">
      <c r="A32994" s="374"/>
      <c r="C32994" s="374"/>
      <c r="CV32994" s="376"/>
    </row>
    <row r="32995" spans="1:100">
      <c r="A32995" s="374"/>
      <c r="C32995" s="374"/>
      <c r="CV32995" s="376"/>
    </row>
    <row r="32996" spans="1:100">
      <c r="A32996" s="374"/>
      <c r="C32996" s="374"/>
      <c r="CV32996" s="376"/>
    </row>
    <row r="32997" spans="1:100">
      <c r="A32997" s="374"/>
      <c r="C32997" s="374"/>
      <c r="CV32997" s="376"/>
    </row>
    <row r="32998" spans="1:100">
      <c r="A32998" s="374"/>
      <c r="C32998" s="374"/>
      <c r="CV32998" s="376"/>
    </row>
    <row r="32999" spans="1:100">
      <c r="A32999" s="374"/>
      <c r="C32999" s="374"/>
      <c r="CV32999" s="376"/>
    </row>
    <row r="33000" spans="1:100">
      <c r="A33000" s="374"/>
      <c r="C33000" s="374"/>
      <c r="CV33000" s="376"/>
    </row>
    <row r="33001" spans="1:100">
      <c r="A33001" s="374"/>
      <c r="C33001" s="374"/>
      <c r="CV33001" s="376"/>
    </row>
    <row r="33002" spans="1:100">
      <c r="A33002" s="374"/>
      <c r="C33002" s="374"/>
      <c r="CV33002" s="376"/>
    </row>
    <row r="33003" spans="1:100">
      <c r="A33003" s="374"/>
      <c r="C33003" s="374"/>
      <c r="CV33003" s="376"/>
    </row>
    <row r="33004" spans="1:100">
      <c r="A33004" s="374"/>
      <c r="C33004" s="374"/>
      <c r="CV33004" s="376"/>
    </row>
    <row r="33005" spans="1:100">
      <c r="A33005" s="374"/>
      <c r="C33005" s="374"/>
      <c r="CV33005" s="376"/>
    </row>
    <row r="33006" spans="1:100">
      <c r="A33006" s="374"/>
      <c r="C33006" s="374"/>
      <c r="CV33006" s="376"/>
    </row>
    <row r="33007" spans="1:100">
      <c r="A33007" s="374"/>
      <c r="C33007" s="374"/>
      <c r="CV33007" s="376"/>
    </row>
    <row r="33008" spans="1:100">
      <c r="A33008" s="374"/>
      <c r="C33008" s="374"/>
      <c r="CV33008" s="376"/>
    </row>
    <row r="33009" spans="1:100">
      <c r="A33009" s="374"/>
      <c r="C33009" s="374"/>
      <c r="CV33009" s="376"/>
    </row>
    <row r="33010" spans="1:100">
      <c r="A33010" s="374"/>
      <c r="C33010" s="374"/>
      <c r="CV33010" s="376"/>
    </row>
    <row r="33011" spans="1:100">
      <c r="A33011" s="374"/>
      <c r="C33011" s="374"/>
      <c r="CV33011" s="376"/>
    </row>
    <row r="33012" spans="1:100">
      <c r="A33012" s="374"/>
      <c r="C33012" s="374"/>
      <c r="CV33012" s="376"/>
    </row>
    <row r="33013" spans="1:100">
      <c r="A33013" s="374"/>
      <c r="C33013" s="374"/>
      <c r="CV33013" s="376"/>
    </row>
    <row r="33014" spans="1:100">
      <c r="A33014" s="374"/>
      <c r="C33014" s="374"/>
      <c r="CV33014" s="376"/>
    </row>
    <row r="33015" spans="1:100">
      <c r="A33015" s="374"/>
      <c r="C33015" s="374"/>
      <c r="CV33015" s="376"/>
    </row>
    <row r="33016" spans="1:100">
      <c r="A33016" s="374"/>
      <c r="C33016" s="374"/>
      <c r="CV33016" s="376"/>
    </row>
    <row r="33017" spans="1:100">
      <c r="A33017" s="374"/>
      <c r="C33017" s="374"/>
      <c r="CV33017" s="376"/>
    </row>
    <row r="33018" spans="1:100">
      <c r="A33018" s="374"/>
      <c r="C33018" s="374"/>
      <c r="CV33018" s="376"/>
    </row>
    <row r="33019" spans="1:100">
      <c r="A33019" s="374"/>
      <c r="C33019" s="374"/>
      <c r="CV33019" s="376"/>
    </row>
    <row r="33020" spans="1:100">
      <c r="A33020" s="374"/>
      <c r="C33020" s="374"/>
      <c r="CV33020" s="376"/>
    </row>
    <row r="33021" spans="1:100">
      <c r="A33021" s="374"/>
      <c r="C33021" s="374"/>
      <c r="CV33021" s="376"/>
    </row>
    <row r="33022" spans="1:100">
      <c r="A33022" s="374"/>
      <c r="C33022" s="374"/>
      <c r="CV33022" s="376"/>
    </row>
    <row r="33023" spans="1:100">
      <c r="A33023" s="374"/>
      <c r="C33023" s="374"/>
      <c r="CV33023" s="376"/>
    </row>
    <row r="33024" spans="1:100">
      <c r="A33024" s="374"/>
      <c r="C33024" s="374"/>
      <c r="CV33024" s="376"/>
    </row>
    <row r="33025" spans="1:100">
      <c r="A33025" s="374"/>
      <c r="C33025" s="374"/>
      <c r="CV33025" s="376"/>
    </row>
    <row r="33026" spans="1:100">
      <c r="A33026" s="374"/>
      <c r="C33026" s="374"/>
      <c r="CV33026" s="376"/>
    </row>
    <row r="33027" spans="1:100">
      <c r="A33027" s="374"/>
      <c r="C33027" s="374"/>
      <c r="CV33027" s="376"/>
    </row>
    <row r="33028" spans="1:100">
      <c r="A33028" s="374"/>
      <c r="C33028" s="374"/>
      <c r="CV33028" s="376"/>
    </row>
    <row r="33029" spans="1:100">
      <c r="A33029" s="374"/>
      <c r="C33029" s="374"/>
      <c r="CV33029" s="376"/>
    </row>
    <row r="33030" spans="1:100">
      <c r="A33030" s="374"/>
      <c r="C33030" s="374"/>
      <c r="CV33030" s="376"/>
    </row>
    <row r="33031" spans="1:100">
      <c r="A33031" s="374"/>
      <c r="C33031" s="374"/>
      <c r="CV33031" s="376"/>
    </row>
    <row r="33032" spans="1:100">
      <c r="A33032" s="374"/>
      <c r="C33032" s="374"/>
      <c r="CV33032" s="376"/>
    </row>
    <row r="33033" spans="1:100">
      <c r="A33033" s="374"/>
      <c r="C33033" s="374"/>
      <c r="CV33033" s="376"/>
    </row>
    <row r="33034" spans="1:100">
      <c r="A33034" s="374"/>
      <c r="C33034" s="374"/>
      <c r="CV33034" s="376"/>
    </row>
    <row r="33035" spans="1:100">
      <c r="A33035" s="374"/>
      <c r="C33035" s="374"/>
      <c r="CV33035" s="376"/>
    </row>
    <row r="33036" spans="1:100">
      <c r="A33036" s="374"/>
      <c r="C33036" s="374"/>
      <c r="CV33036" s="376"/>
    </row>
    <row r="33037" spans="1:100">
      <c r="A33037" s="374"/>
      <c r="C33037" s="374"/>
      <c r="CV33037" s="376"/>
    </row>
    <row r="33038" spans="1:100">
      <c r="A33038" s="374"/>
      <c r="C33038" s="374"/>
      <c r="CV33038" s="376"/>
    </row>
    <row r="33039" spans="1:100">
      <c r="A33039" s="374"/>
      <c r="C33039" s="374"/>
      <c r="CV33039" s="376"/>
    </row>
    <row r="33040" spans="1:100">
      <c r="A33040" s="374"/>
      <c r="C33040" s="374"/>
      <c r="CV33040" s="376"/>
    </row>
    <row r="33041" spans="1:100">
      <c r="A33041" s="374"/>
      <c r="C33041" s="374"/>
      <c r="CV33041" s="376"/>
    </row>
    <row r="33042" spans="1:100">
      <c r="A33042" s="374"/>
      <c r="C33042" s="374"/>
      <c r="CV33042" s="376"/>
    </row>
    <row r="33043" spans="1:100">
      <c r="A33043" s="374"/>
      <c r="C33043" s="374"/>
      <c r="CV33043" s="376"/>
    </row>
    <row r="33044" spans="1:100">
      <c r="A33044" s="374"/>
      <c r="C33044" s="374"/>
      <c r="CV33044" s="376"/>
    </row>
    <row r="33045" spans="1:100">
      <c r="A33045" s="374"/>
      <c r="C33045" s="374"/>
      <c r="CV33045" s="376"/>
    </row>
    <row r="33046" spans="1:100">
      <c r="A33046" s="374"/>
      <c r="C33046" s="374"/>
      <c r="CV33046" s="376"/>
    </row>
    <row r="33047" spans="1:100">
      <c r="A33047" s="374"/>
      <c r="C33047" s="374"/>
      <c r="CV33047" s="376"/>
    </row>
    <row r="33048" spans="1:100">
      <c r="A33048" s="374"/>
      <c r="C33048" s="374"/>
      <c r="CV33048" s="376"/>
    </row>
    <row r="33049" spans="1:100">
      <c r="A33049" s="374"/>
      <c r="C33049" s="374"/>
      <c r="CV33049" s="376"/>
    </row>
    <row r="33050" spans="1:100">
      <c r="A33050" s="374"/>
      <c r="C33050" s="374"/>
      <c r="CV33050" s="376"/>
    </row>
    <row r="33051" spans="1:100">
      <c r="A33051" s="374"/>
      <c r="C33051" s="374"/>
      <c r="CV33051" s="376"/>
    </row>
    <row r="33052" spans="1:100">
      <c r="A33052" s="374"/>
      <c r="C33052" s="374"/>
      <c r="CV33052" s="376"/>
    </row>
    <row r="33053" spans="1:100">
      <c r="A33053" s="374"/>
      <c r="C33053" s="374"/>
      <c r="CV33053" s="376"/>
    </row>
    <row r="33054" spans="1:100">
      <c r="A33054" s="374"/>
      <c r="C33054" s="374"/>
      <c r="CV33054" s="376"/>
    </row>
    <row r="33055" spans="1:100">
      <c r="A33055" s="374"/>
      <c r="C33055" s="374"/>
      <c r="CV33055" s="376"/>
    </row>
    <row r="33056" spans="1:100">
      <c r="A33056" s="374"/>
      <c r="C33056" s="374"/>
      <c r="CV33056" s="376"/>
    </row>
    <row r="33057" spans="1:100">
      <c r="A33057" s="374"/>
      <c r="C33057" s="374"/>
      <c r="CV33057" s="376"/>
    </row>
    <row r="33058" spans="1:100">
      <c r="A33058" s="374"/>
      <c r="C33058" s="374"/>
      <c r="CV33058" s="376"/>
    </row>
    <row r="33059" spans="1:100">
      <c r="A33059" s="374"/>
      <c r="C33059" s="374"/>
      <c r="CV33059" s="376"/>
    </row>
    <row r="33060" spans="1:100">
      <c r="A33060" s="374"/>
      <c r="C33060" s="374"/>
      <c r="CV33060" s="376"/>
    </row>
    <row r="33061" spans="1:100">
      <c r="A33061" s="374"/>
      <c r="C33061" s="374"/>
      <c r="CV33061" s="376"/>
    </row>
    <row r="33062" spans="1:100">
      <c r="A33062" s="374"/>
      <c r="C33062" s="374"/>
      <c r="CV33062" s="376"/>
    </row>
    <row r="33063" spans="1:100">
      <c r="A33063" s="374"/>
      <c r="C33063" s="374"/>
      <c r="CV33063" s="376"/>
    </row>
    <row r="33064" spans="1:100">
      <c r="A33064" s="374"/>
      <c r="C33064" s="374"/>
      <c r="CV33064" s="376"/>
    </row>
    <row r="33065" spans="1:100">
      <c r="A33065" s="374"/>
      <c r="C33065" s="374"/>
      <c r="CV33065" s="376"/>
    </row>
    <row r="33066" spans="1:100">
      <c r="A33066" s="374"/>
      <c r="C33066" s="374"/>
      <c r="CV33066" s="376"/>
    </row>
    <row r="33067" spans="1:100">
      <c r="A33067" s="374"/>
      <c r="C33067" s="374"/>
      <c r="CV33067" s="376"/>
    </row>
    <row r="33068" spans="1:100">
      <c r="A33068" s="374"/>
      <c r="C33068" s="374"/>
      <c r="CV33068" s="376"/>
    </row>
    <row r="33069" spans="1:100">
      <c r="A33069" s="374"/>
      <c r="C33069" s="374"/>
      <c r="CV33069" s="376"/>
    </row>
    <row r="33070" spans="1:100">
      <c r="A33070" s="374"/>
      <c r="C33070" s="374"/>
      <c r="CV33070" s="376"/>
    </row>
    <row r="33071" spans="1:100">
      <c r="A33071" s="374"/>
      <c r="C33071" s="374"/>
      <c r="CV33071" s="376"/>
    </row>
    <row r="33072" spans="1:100">
      <c r="A33072" s="374"/>
      <c r="C33072" s="374"/>
      <c r="CV33072" s="376"/>
    </row>
    <row r="33073" spans="1:100">
      <c r="A33073" s="374"/>
      <c r="C33073" s="374"/>
      <c r="CV33073" s="376"/>
    </row>
    <row r="33074" spans="1:100">
      <c r="A33074" s="374"/>
      <c r="C33074" s="374"/>
      <c r="CV33074" s="376"/>
    </row>
    <row r="33075" spans="1:100">
      <c r="A33075" s="374"/>
      <c r="C33075" s="374"/>
      <c r="CV33075" s="376"/>
    </row>
    <row r="33076" spans="1:100">
      <c r="A33076" s="374"/>
      <c r="C33076" s="374"/>
      <c r="CV33076" s="376"/>
    </row>
    <row r="33077" spans="1:100">
      <c r="A33077" s="374"/>
      <c r="C33077" s="374"/>
      <c r="CV33077" s="376"/>
    </row>
    <row r="33078" spans="1:100">
      <c r="A33078" s="374"/>
      <c r="C33078" s="374"/>
      <c r="CV33078" s="376"/>
    </row>
    <row r="33079" spans="1:100">
      <c r="A33079" s="374"/>
      <c r="C33079" s="374"/>
      <c r="CV33079" s="376"/>
    </row>
    <row r="33080" spans="1:100">
      <c r="A33080" s="374"/>
      <c r="C33080" s="374"/>
      <c r="CV33080" s="376"/>
    </row>
    <row r="33081" spans="1:100">
      <c r="A33081" s="374"/>
      <c r="C33081" s="374"/>
      <c r="CV33081" s="376"/>
    </row>
    <row r="33082" spans="1:100">
      <c r="A33082" s="374"/>
      <c r="C33082" s="374"/>
      <c r="CV33082" s="376"/>
    </row>
    <row r="33083" spans="1:100">
      <c r="A33083" s="374"/>
      <c r="C33083" s="374"/>
      <c r="CV33083" s="376"/>
    </row>
    <row r="33084" spans="1:100">
      <c r="A33084" s="374"/>
      <c r="C33084" s="374"/>
      <c r="CV33084" s="376"/>
    </row>
    <row r="33085" spans="1:100">
      <c r="A33085" s="374"/>
      <c r="C33085" s="374"/>
      <c r="CV33085" s="376"/>
    </row>
    <row r="33086" spans="1:100">
      <c r="A33086" s="374"/>
      <c r="C33086" s="374"/>
      <c r="CV33086" s="376"/>
    </row>
    <row r="33087" spans="1:100">
      <c r="A33087" s="374"/>
      <c r="C33087" s="374"/>
      <c r="CV33087" s="376"/>
    </row>
    <row r="33088" spans="1:100">
      <c r="A33088" s="374"/>
      <c r="C33088" s="374"/>
      <c r="CV33088" s="376"/>
    </row>
    <row r="33089" spans="1:100">
      <c r="A33089" s="374"/>
      <c r="C33089" s="374"/>
      <c r="CV33089" s="376"/>
    </row>
    <row r="33090" spans="1:100">
      <c r="A33090" s="374"/>
      <c r="C33090" s="374"/>
      <c r="CV33090" s="376"/>
    </row>
    <row r="33091" spans="1:100">
      <c r="A33091" s="374"/>
      <c r="C33091" s="374"/>
      <c r="CV33091" s="376"/>
    </row>
    <row r="33092" spans="1:100">
      <c r="A33092" s="374"/>
      <c r="C33092" s="374"/>
      <c r="CV33092" s="376"/>
    </row>
    <row r="33093" spans="1:100">
      <c r="A33093" s="374"/>
      <c r="C33093" s="374"/>
      <c r="CV33093" s="376"/>
    </row>
    <row r="33094" spans="1:100">
      <c r="A33094" s="374"/>
      <c r="C33094" s="374"/>
      <c r="CV33094" s="376"/>
    </row>
    <row r="33095" spans="1:100">
      <c r="A33095" s="374"/>
      <c r="C33095" s="374"/>
      <c r="CV33095" s="376"/>
    </row>
    <row r="33096" spans="1:100">
      <c r="A33096" s="374"/>
      <c r="C33096" s="374"/>
      <c r="CV33096" s="376"/>
    </row>
    <row r="33097" spans="1:100">
      <c r="A33097" s="374"/>
      <c r="C33097" s="374"/>
      <c r="CV33097" s="376"/>
    </row>
    <row r="33098" spans="1:100">
      <c r="A33098" s="374"/>
      <c r="C33098" s="374"/>
      <c r="CV33098" s="376"/>
    </row>
    <row r="33099" spans="1:100">
      <c r="A33099" s="374"/>
      <c r="C33099" s="374"/>
      <c r="CV33099" s="376"/>
    </row>
    <row r="33100" spans="1:100">
      <c r="A33100" s="374"/>
      <c r="C33100" s="374"/>
      <c r="CV33100" s="376"/>
    </row>
    <row r="33101" spans="1:100">
      <c r="A33101" s="374"/>
      <c r="C33101" s="374"/>
      <c r="CV33101" s="376"/>
    </row>
    <row r="33102" spans="1:100">
      <c r="A33102" s="374"/>
      <c r="C33102" s="374"/>
      <c r="CV33102" s="376"/>
    </row>
    <row r="33103" spans="1:100">
      <c r="A33103" s="374"/>
      <c r="C33103" s="374"/>
      <c r="CV33103" s="376"/>
    </row>
    <row r="33104" spans="1:100">
      <c r="A33104" s="374"/>
      <c r="C33104" s="374"/>
      <c r="CV33104" s="376"/>
    </row>
    <row r="33105" spans="1:100">
      <c r="A33105" s="374"/>
      <c r="C33105" s="374"/>
      <c r="CV33105" s="376"/>
    </row>
    <row r="33106" spans="1:100">
      <c r="A33106" s="374"/>
      <c r="C33106" s="374"/>
      <c r="CV33106" s="376"/>
    </row>
    <row r="33107" spans="1:100">
      <c r="A33107" s="374"/>
      <c r="C33107" s="374"/>
      <c r="CV33107" s="376"/>
    </row>
    <row r="33108" spans="1:100">
      <c r="A33108" s="374"/>
      <c r="C33108" s="374"/>
      <c r="CV33108" s="376"/>
    </row>
    <row r="33109" spans="1:100">
      <c r="A33109" s="374"/>
      <c r="C33109" s="374"/>
      <c r="CV33109" s="376"/>
    </row>
    <row r="33110" spans="1:100">
      <c r="A33110" s="374"/>
      <c r="C33110" s="374"/>
      <c r="CV33110" s="376"/>
    </row>
    <row r="33111" spans="1:100">
      <c r="A33111" s="374"/>
      <c r="C33111" s="374"/>
      <c r="CV33111" s="376"/>
    </row>
    <row r="33112" spans="1:100">
      <c r="A33112" s="374"/>
      <c r="C33112" s="374"/>
      <c r="CV33112" s="376"/>
    </row>
    <row r="33113" spans="1:100">
      <c r="A33113" s="374"/>
      <c r="C33113" s="374"/>
      <c r="CV33113" s="376"/>
    </row>
    <row r="33114" spans="1:100">
      <c r="A33114" s="374"/>
      <c r="C33114" s="374"/>
      <c r="CV33114" s="376"/>
    </row>
    <row r="33115" spans="1:100">
      <c r="A33115" s="374"/>
      <c r="C33115" s="374"/>
      <c r="CV33115" s="376"/>
    </row>
    <row r="33116" spans="1:100">
      <c r="A33116" s="374"/>
      <c r="C33116" s="374"/>
      <c r="CV33116" s="376"/>
    </row>
    <row r="33117" spans="1:100">
      <c r="A33117" s="374"/>
      <c r="C33117" s="374"/>
      <c r="CV33117" s="376"/>
    </row>
    <row r="33118" spans="1:100">
      <c r="A33118" s="374"/>
      <c r="C33118" s="374"/>
      <c r="CV33118" s="376"/>
    </row>
    <row r="33119" spans="1:100">
      <c r="A33119" s="374"/>
      <c r="C33119" s="374"/>
      <c r="CV33119" s="376"/>
    </row>
    <row r="33120" spans="1:100">
      <c r="A33120" s="374"/>
      <c r="C33120" s="374"/>
      <c r="CV33120" s="376"/>
    </row>
    <row r="33121" spans="1:100">
      <c r="A33121" s="374"/>
      <c r="C33121" s="374"/>
      <c r="CV33121" s="376"/>
    </row>
    <row r="33122" spans="1:100">
      <c r="A33122" s="374"/>
      <c r="C33122" s="374"/>
      <c r="CV33122" s="376"/>
    </row>
    <row r="33123" spans="1:100">
      <c r="A33123" s="374"/>
      <c r="C33123" s="374"/>
      <c r="CV33123" s="376"/>
    </row>
    <row r="33124" spans="1:100">
      <c r="A33124" s="374"/>
      <c r="C33124" s="374"/>
      <c r="CV33124" s="376"/>
    </row>
    <row r="33125" spans="1:100">
      <c r="A33125" s="374"/>
      <c r="C33125" s="374"/>
      <c r="CV33125" s="376"/>
    </row>
    <row r="33126" spans="1:100">
      <c r="A33126" s="374"/>
      <c r="C33126" s="374"/>
      <c r="CV33126" s="376"/>
    </row>
    <row r="33127" spans="1:100">
      <c r="A33127" s="374"/>
      <c r="C33127" s="374"/>
      <c r="CV33127" s="376"/>
    </row>
    <row r="33128" spans="1:100">
      <c r="A33128" s="374"/>
      <c r="C33128" s="374"/>
      <c r="CV33128" s="376"/>
    </row>
    <row r="33129" spans="1:100">
      <c r="A33129" s="374"/>
      <c r="C33129" s="374"/>
      <c r="CV33129" s="376"/>
    </row>
    <row r="33130" spans="1:100">
      <c r="A33130" s="374"/>
      <c r="C33130" s="374"/>
      <c r="CV33130" s="376"/>
    </row>
    <row r="33131" spans="1:100">
      <c r="A33131" s="374"/>
      <c r="C33131" s="374"/>
      <c r="CV33131" s="376"/>
    </row>
    <row r="33132" spans="1:100">
      <c r="A33132" s="374"/>
      <c r="C33132" s="374"/>
      <c r="CV33132" s="376"/>
    </row>
    <row r="33133" spans="1:100">
      <c r="A33133" s="374"/>
      <c r="C33133" s="374"/>
      <c r="CV33133" s="376"/>
    </row>
    <row r="33134" spans="1:100">
      <c r="A33134" s="374"/>
      <c r="C33134" s="374"/>
      <c r="CV33134" s="376"/>
    </row>
    <row r="33135" spans="1:100">
      <c r="A33135" s="374"/>
      <c r="C33135" s="374"/>
      <c r="CV33135" s="376"/>
    </row>
    <row r="33136" spans="1:100">
      <c r="A33136" s="374"/>
      <c r="C33136" s="374"/>
      <c r="CV33136" s="376"/>
    </row>
    <row r="33137" spans="1:100">
      <c r="A33137" s="374"/>
      <c r="C33137" s="374"/>
      <c r="CV33137" s="376"/>
    </row>
    <row r="33138" spans="1:100">
      <c r="A33138" s="374"/>
      <c r="C33138" s="374"/>
      <c r="CV33138" s="376"/>
    </row>
    <row r="33139" spans="1:100">
      <c r="A33139" s="374"/>
      <c r="C33139" s="374"/>
      <c r="CV33139" s="376"/>
    </row>
    <row r="33140" spans="1:100">
      <c r="A33140" s="374"/>
      <c r="C33140" s="374"/>
      <c r="CV33140" s="376"/>
    </row>
    <row r="33141" spans="1:100">
      <c r="A33141" s="374"/>
      <c r="C33141" s="374"/>
      <c r="CV33141" s="376"/>
    </row>
    <row r="33142" spans="1:100">
      <c r="A33142" s="374"/>
      <c r="C33142" s="374"/>
      <c r="CV33142" s="376"/>
    </row>
    <row r="33143" spans="1:100">
      <c r="A33143" s="374"/>
      <c r="C33143" s="374"/>
      <c r="CV33143" s="376"/>
    </row>
    <row r="33144" spans="1:100">
      <c r="A33144" s="374"/>
      <c r="C33144" s="374"/>
      <c r="CV33144" s="376"/>
    </row>
    <row r="33145" spans="1:100">
      <c r="A33145" s="374"/>
      <c r="C33145" s="374"/>
      <c r="CV33145" s="376"/>
    </row>
    <row r="33146" spans="1:100">
      <c r="A33146" s="374"/>
      <c r="C33146" s="374"/>
      <c r="CV33146" s="376"/>
    </row>
    <row r="33147" spans="1:100">
      <c r="A33147" s="374"/>
      <c r="C33147" s="374"/>
      <c r="CV33147" s="376"/>
    </row>
    <row r="33148" spans="1:100">
      <c r="A33148" s="374"/>
      <c r="C33148" s="374"/>
      <c r="CV33148" s="376"/>
    </row>
    <row r="33149" spans="1:100">
      <c r="A33149" s="374"/>
      <c r="C33149" s="374"/>
      <c r="CV33149" s="376"/>
    </row>
    <row r="33150" spans="1:100">
      <c r="A33150" s="374"/>
      <c r="C33150" s="374"/>
      <c r="CV33150" s="376"/>
    </row>
    <row r="33151" spans="1:100">
      <c r="A33151" s="374"/>
      <c r="C33151" s="374"/>
      <c r="CV33151" s="376"/>
    </row>
    <row r="33152" spans="1:100">
      <c r="A33152" s="374"/>
      <c r="C33152" s="374"/>
      <c r="CV33152" s="376"/>
    </row>
    <row r="33153" spans="1:100">
      <c r="A33153" s="374"/>
      <c r="C33153" s="374"/>
      <c r="CV33153" s="376"/>
    </row>
    <row r="33154" spans="1:100">
      <c r="A33154" s="374"/>
      <c r="C33154" s="374"/>
      <c r="CV33154" s="376"/>
    </row>
    <row r="33155" spans="1:100">
      <c r="A33155" s="374"/>
      <c r="C33155" s="374"/>
      <c r="CV33155" s="376"/>
    </row>
    <row r="33156" spans="1:100">
      <c r="A33156" s="374"/>
      <c r="C33156" s="374"/>
      <c r="CV33156" s="376"/>
    </row>
    <row r="33157" spans="1:100">
      <c r="A33157" s="374"/>
      <c r="C33157" s="374"/>
      <c r="CV33157" s="376"/>
    </row>
    <row r="33158" spans="1:100">
      <c r="A33158" s="374"/>
      <c r="C33158" s="374"/>
      <c r="CV33158" s="376"/>
    </row>
    <row r="33159" spans="1:100">
      <c r="A33159" s="374"/>
      <c r="C33159" s="374"/>
      <c r="CV33159" s="376"/>
    </row>
    <row r="33160" spans="1:100">
      <c r="A33160" s="374"/>
      <c r="C33160" s="374"/>
      <c r="CV33160" s="376"/>
    </row>
    <row r="33161" spans="1:100">
      <c r="A33161" s="374"/>
      <c r="C33161" s="374"/>
      <c r="CV33161" s="376"/>
    </row>
    <row r="33162" spans="1:100">
      <c r="A33162" s="374"/>
      <c r="C33162" s="374"/>
      <c r="CV33162" s="376"/>
    </row>
    <row r="33163" spans="1:100">
      <c r="A33163" s="374"/>
      <c r="C33163" s="374"/>
      <c r="CV33163" s="376"/>
    </row>
    <row r="33164" spans="1:100">
      <c r="A33164" s="374"/>
      <c r="C33164" s="374"/>
      <c r="CV33164" s="376"/>
    </row>
    <row r="33165" spans="1:100">
      <c r="A33165" s="374"/>
      <c r="C33165" s="374"/>
      <c r="CV33165" s="376"/>
    </row>
    <row r="33166" spans="1:100">
      <c r="A33166" s="374"/>
      <c r="C33166" s="374"/>
      <c r="CV33166" s="376"/>
    </row>
    <row r="33167" spans="1:100">
      <c r="A33167" s="374"/>
      <c r="C33167" s="374"/>
      <c r="CV33167" s="376"/>
    </row>
    <row r="33168" spans="1:100">
      <c r="A33168" s="374"/>
      <c r="C33168" s="374"/>
      <c r="CV33168" s="376"/>
    </row>
    <row r="33169" spans="1:100">
      <c r="A33169" s="374"/>
      <c r="C33169" s="374"/>
      <c r="CV33169" s="376"/>
    </row>
    <row r="33170" spans="1:100">
      <c r="A33170" s="374"/>
      <c r="C33170" s="374"/>
      <c r="CV33170" s="376"/>
    </row>
    <row r="33171" spans="1:100">
      <c r="A33171" s="374"/>
      <c r="C33171" s="374"/>
      <c r="CV33171" s="376"/>
    </row>
    <row r="33172" spans="1:100">
      <c r="A33172" s="374"/>
      <c r="C33172" s="374"/>
      <c r="CV33172" s="376"/>
    </row>
    <row r="33173" spans="1:100">
      <c r="A33173" s="374"/>
      <c r="C33173" s="374"/>
      <c r="CV33173" s="376"/>
    </row>
    <row r="33174" spans="1:100">
      <c r="A33174" s="374"/>
      <c r="C33174" s="374"/>
      <c r="CV33174" s="376"/>
    </row>
    <row r="33175" spans="1:100">
      <c r="A33175" s="374"/>
      <c r="C33175" s="374"/>
      <c r="CV33175" s="376"/>
    </row>
    <row r="33176" spans="1:100">
      <c r="A33176" s="374"/>
      <c r="C33176" s="374"/>
      <c r="CV33176" s="376"/>
    </row>
    <row r="33177" spans="1:100">
      <c r="A33177" s="374"/>
      <c r="C33177" s="374"/>
      <c r="CV33177" s="376"/>
    </row>
    <row r="33178" spans="1:100">
      <c r="A33178" s="374"/>
      <c r="C33178" s="374"/>
      <c r="CV33178" s="376"/>
    </row>
    <row r="33179" spans="1:100">
      <c r="A33179" s="374"/>
      <c r="C33179" s="374"/>
      <c r="CV33179" s="376"/>
    </row>
    <row r="33180" spans="1:100">
      <c r="A33180" s="374"/>
      <c r="C33180" s="374"/>
      <c r="CV33180" s="376"/>
    </row>
    <row r="33181" spans="1:100">
      <c r="A33181" s="374"/>
      <c r="C33181" s="374"/>
      <c r="CV33181" s="376"/>
    </row>
    <row r="33182" spans="1:100">
      <c r="A33182" s="374"/>
      <c r="C33182" s="374"/>
      <c r="CV33182" s="376"/>
    </row>
    <row r="33183" spans="1:100">
      <c r="A33183" s="374"/>
      <c r="C33183" s="374"/>
      <c r="CV33183" s="376"/>
    </row>
    <row r="33184" spans="1:100">
      <c r="A33184" s="374"/>
      <c r="C33184" s="374"/>
      <c r="CV33184" s="376"/>
    </row>
    <row r="33185" spans="1:100">
      <c r="A33185" s="374"/>
      <c r="C33185" s="374"/>
      <c r="CV33185" s="376"/>
    </row>
    <row r="33186" spans="1:100">
      <c r="A33186" s="374"/>
      <c r="C33186" s="374"/>
      <c r="CV33186" s="376"/>
    </row>
    <row r="33187" spans="1:100">
      <c r="A33187" s="374"/>
      <c r="C33187" s="374"/>
      <c r="CV33187" s="376"/>
    </row>
    <row r="33188" spans="1:100">
      <c r="A33188" s="374"/>
      <c r="C33188" s="374"/>
      <c r="CV33188" s="376"/>
    </row>
    <row r="33189" spans="1:100">
      <c r="A33189" s="374"/>
      <c r="C33189" s="374"/>
      <c r="CV33189" s="376"/>
    </row>
    <row r="33190" spans="1:100">
      <c r="A33190" s="374"/>
      <c r="C33190" s="374"/>
      <c r="CV33190" s="376"/>
    </row>
    <row r="33191" spans="1:100">
      <c r="A33191" s="374"/>
      <c r="C33191" s="374"/>
      <c r="CV33191" s="376"/>
    </row>
    <row r="33192" spans="1:100">
      <c r="A33192" s="374"/>
      <c r="C33192" s="374"/>
      <c r="CV33192" s="376"/>
    </row>
    <row r="33193" spans="1:100">
      <c r="A33193" s="374"/>
      <c r="C33193" s="374"/>
      <c r="CV33193" s="376"/>
    </row>
    <row r="33194" spans="1:100">
      <c r="A33194" s="374"/>
      <c r="C33194" s="374"/>
      <c r="CV33194" s="376"/>
    </row>
    <row r="33195" spans="1:100">
      <c r="A33195" s="374"/>
      <c r="C33195" s="374"/>
      <c r="CV33195" s="376"/>
    </row>
    <row r="33196" spans="1:100">
      <c r="A33196" s="374"/>
      <c r="C33196" s="374"/>
      <c r="CV33196" s="376"/>
    </row>
    <row r="33197" spans="1:100">
      <c r="A33197" s="374"/>
      <c r="C33197" s="374"/>
      <c r="CV33197" s="376"/>
    </row>
    <row r="33198" spans="1:100">
      <c r="A33198" s="374"/>
      <c r="C33198" s="374"/>
      <c r="CV33198" s="376"/>
    </row>
    <row r="33199" spans="1:100">
      <c r="A33199" s="374"/>
      <c r="C33199" s="374"/>
      <c r="CV33199" s="376"/>
    </row>
    <row r="33200" spans="1:100">
      <c r="A33200" s="374"/>
      <c r="C33200" s="374"/>
      <c r="CV33200" s="376"/>
    </row>
    <row r="33201" spans="1:100">
      <c r="A33201" s="374"/>
      <c r="C33201" s="374"/>
      <c r="CV33201" s="376"/>
    </row>
    <row r="33202" spans="1:100">
      <c r="A33202" s="374"/>
      <c r="C33202" s="374"/>
      <c r="CV33202" s="376"/>
    </row>
    <row r="33203" spans="1:100">
      <c r="A33203" s="374"/>
      <c r="C33203" s="374"/>
      <c r="CV33203" s="376"/>
    </row>
    <row r="33204" spans="1:100">
      <c r="A33204" s="374"/>
      <c r="C33204" s="374"/>
      <c r="CV33204" s="376"/>
    </row>
    <row r="33205" spans="1:100">
      <c r="A33205" s="374"/>
      <c r="C33205" s="374"/>
      <c r="CV33205" s="376"/>
    </row>
    <row r="33206" spans="1:100">
      <c r="A33206" s="374"/>
      <c r="C33206" s="374"/>
      <c r="CV33206" s="376"/>
    </row>
    <row r="33207" spans="1:100">
      <c r="A33207" s="374"/>
      <c r="C33207" s="374"/>
      <c r="CV33207" s="376"/>
    </row>
    <row r="33208" spans="1:100">
      <c r="A33208" s="374"/>
      <c r="C33208" s="374"/>
      <c r="CV33208" s="376"/>
    </row>
    <row r="33209" spans="1:100">
      <c r="A33209" s="374"/>
      <c r="C33209" s="374"/>
      <c r="CV33209" s="376"/>
    </row>
    <row r="33210" spans="1:100">
      <c r="A33210" s="374"/>
      <c r="C33210" s="374"/>
      <c r="CV33210" s="376"/>
    </row>
    <row r="33211" spans="1:100">
      <c r="A33211" s="374"/>
      <c r="C33211" s="374"/>
      <c r="CV33211" s="376"/>
    </row>
    <row r="33212" spans="1:100">
      <c r="A33212" s="374"/>
      <c r="C33212" s="374"/>
      <c r="CV33212" s="376"/>
    </row>
    <row r="33213" spans="1:100">
      <c r="A33213" s="374"/>
      <c r="C33213" s="374"/>
      <c r="CV33213" s="376"/>
    </row>
    <row r="33214" spans="1:100">
      <c r="A33214" s="374"/>
      <c r="C33214" s="374"/>
      <c r="CV33214" s="376"/>
    </row>
    <row r="33215" spans="1:100">
      <c r="A33215" s="374"/>
      <c r="C33215" s="374"/>
      <c r="CV33215" s="376"/>
    </row>
    <row r="33216" spans="1:100">
      <c r="A33216" s="374"/>
      <c r="C33216" s="374"/>
      <c r="CV33216" s="376"/>
    </row>
    <row r="33217" spans="1:100">
      <c r="A33217" s="374"/>
      <c r="C33217" s="374"/>
      <c r="CV33217" s="376"/>
    </row>
    <row r="33218" spans="1:100">
      <c r="A33218" s="374"/>
      <c r="C33218" s="374"/>
      <c r="CV33218" s="376"/>
    </row>
    <row r="33219" spans="1:100">
      <c r="A33219" s="374"/>
      <c r="C33219" s="374"/>
      <c r="CV33219" s="376"/>
    </row>
    <row r="33220" spans="1:100">
      <c r="A33220" s="374"/>
      <c r="C33220" s="374"/>
      <c r="CV33220" s="376"/>
    </row>
    <row r="33221" spans="1:100">
      <c r="A33221" s="374"/>
      <c r="C33221" s="374"/>
      <c r="CV33221" s="376"/>
    </row>
    <row r="33222" spans="1:100">
      <c r="A33222" s="374"/>
      <c r="C33222" s="374"/>
      <c r="CV33222" s="376"/>
    </row>
    <row r="33223" spans="1:100">
      <c r="A33223" s="374"/>
      <c r="C33223" s="374"/>
      <c r="CV33223" s="376"/>
    </row>
    <row r="33224" spans="1:100">
      <c r="A33224" s="374"/>
      <c r="C33224" s="374"/>
      <c r="CV33224" s="376"/>
    </row>
    <row r="33225" spans="1:100">
      <c r="A33225" s="374"/>
      <c r="C33225" s="374"/>
      <c r="CV33225" s="376"/>
    </row>
    <row r="33226" spans="1:100">
      <c r="A33226" s="374"/>
      <c r="C33226" s="374"/>
      <c r="CV33226" s="376"/>
    </row>
    <row r="33227" spans="1:100">
      <c r="A33227" s="374"/>
      <c r="C33227" s="374"/>
      <c r="CV33227" s="376"/>
    </row>
    <row r="33228" spans="1:100">
      <c r="A33228" s="374"/>
      <c r="C33228" s="374"/>
      <c r="CV33228" s="376"/>
    </row>
    <row r="33229" spans="1:100">
      <c r="A33229" s="374"/>
      <c r="C33229" s="374"/>
      <c r="CV33229" s="376"/>
    </row>
    <row r="33230" spans="1:100">
      <c r="A33230" s="374"/>
      <c r="C33230" s="374"/>
      <c r="CV33230" s="376"/>
    </row>
    <row r="33231" spans="1:100">
      <c r="A33231" s="374"/>
      <c r="C33231" s="374"/>
      <c r="CV33231" s="376"/>
    </row>
    <row r="33232" spans="1:100">
      <c r="A33232" s="374"/>
      <c r="C33232" s="374"/>
      <c r="CV33232" s="376"/>
    </row>
    <row r="33233" spans="1:100">
      <c r="A33233" s="374"/>
      <c r="C33233" s="374"/>
      <c r="CV33233" s="376"/>
    </row>
    <row r="33234" spans="1:100">
      <c r="A33234" s="374"/>
      <c r="C33234" s="374"/>
      <c r="CV33234" s="376"/>
    </row>
    <row r="33235" spans="1:100">
      <c r="A33235" s="374"/>
      <c r="C33235" s="374"/>
      <c r="CV33235" s="376"/>
    </row>
    <row r="33236" spans="1:100">
      <c r="A33236" s="374"/>
      <c r="C33236" s="374"/>
      <c r="CV33236" s="376"/>
    </row>
    <row r="33237" spans="1:100">
      <c r="A33237" s="374"/>
      <c r="C33237" s="374"/>
      <c r="CV33237" s="376"/>
    </row>
    <row r="33238" spans="1:100">
      <c r="A33238" s="374"/>
      <c r="C33238" s="374"/>
      <c r="CV33238" s="376"/>
    </row>
    <row r="33239" spans="1:100">
      <c r="A33239" s="374"/>
      <c r="C33239" s="374"/>
      <c r="CV33239" s="376"/>
    </row>
    <row r="33240" spans="1:100">
      <c r="A33240" s="374"/>
      <c r="C33240" s="374"/>
      <c r="CV33240" s="376"/>
    </row>
    <row r="33241" spans="1:100">
      <c r="A33241" s="374"/>
      <c r="C33241" s="374"/>
      <c r="CV33241" s="376"/>
    </row>
    <row r="33242" spans="1:100">
      <c r="A33242" s="374"/>
      <c r="C33242" s="374"/>
      <c r="CV33242" s="376"/>
    </row>
    <row r="33243" spans="1:100">
      <c r="A33243" s="374"/>
      <c r="C33243" s="374"/>
      <c r="CV33243" s="376"/>
    </row>
    <row r="33244" spans="1:100">
      <c r="A33244" s="374"/>
      <c r="C33244" s="374"/>
      <c r="CV33244" s="376"/>
    </row>
    <row r="33245" spans="1:100">
      <c r="A33245" s="374"/>
      <c r="C33245" s="374"/>
      <c r="CV33245" s="376"/>
    </row>
    <row r="33246" spans="1:100">
      <c r="A33246" s="374"/>
      <c r="C33246" s="374"/>
      <c r="CV33246" s="376"/>
    </row>
    <row r="33247" spans="1:100">
      <c r="A33247" s="374"/>
      <c r="C33247" s="374"/>
      <c r="CV33247" s="376"/>
    </row>
    <row r="33248" spans="1:100">
      <c r="A33248" s="374"/>
      <c r="C33248" s="374"/>
      <c r="CV33248" s="376"/>
    </row>
    <row r="33249" spans="1:100">
      <c r="A33249" s="374"/>
      <c r="C33249" s="374"/>
      <c r="CV33249" s="376"/>
    </row>
    <row r="33250" spans="1:100">
      <c r="A33250" s="374"/>
      <c r="C33250" s="374"/>
      <c r="CV33250" s="376"/>
    </row>
    <row r="33251" spans="1:100">
      <c r="A33251" s="374"/>
      <c r="C33251" s="374"/>
      <c r="CV33251" s="376"/>
    </row>
    <row r="33252" spans="1:100">
      <c r="A33252" s="374"/>
      <c r="C33252" s="374"/>
      <c r="CV33252" s="376"/>
    </row>
    <row r="33253" spans="1:100">
      <c r="A33253" s="374"/>
      <c r="C33253" s="374"/>
      <c r="CV33253" s="376"/>
    </row>
    <row r="33254" spans="1:100">
      <c r="A33254" s="374"/>
      <c r="C33254" s="374"/>
      <c r="CV33254" s="376"/>
    </row>
    <row r="33255" spans="1:100">
      <c r="A33255" s="374"/>
      <c r="C33255" s="374"/>
      <c r="CV33255" s="376"/>
    </row>
    <row r="33256" spans="1:100">
      <c r="A33256" s="374"/>
      <c r="C33256" s="374"/>
      <c r="CV33256" s="376"/>
    </row>
    <row r="33257" spans="1:100">
      <c r="A33257" s="374"/>
      <c r="C33257" s="374"/>
      <c r="CV33257" s="376"/>
    </row>
    <row r="33258" spans="1:100">
      <c r="A33258" s="374"/>
      <c r="C33258" s="374"/>
      <c r="CV33258" s="376"/>
    </row>
    <row r="33259" spans="1:100">
      <c r="A33259" s="374"/>
      <c r="C33259" s="374"/>
      <c r="CV33259" s="376"/>
    </row>
    <row r="33260" spans="1:100">
      <c r="A33260" s="374"/>
      <c r="C33260" s="374"/>
      <c r="CV33260" s="376"/>
    </row>
    <row r="33261" spans="1:100">
      <c r="A33261" s="374"/>
      <c r="C33261" s="374"/>
      <c r="CV33261" s="376"/>
    </row>
    <row r="33262" spans="1:100">
      <c r="A33262" s="374"/>
      <c r="C33262" s="374"/>
      <c r="CV33262" s="376"/>
    </row>
    <row r="33263" spans="1:100">
      <c r="A33263" s="374"/>
      <c r="C33263" s="374"/>
      <c r="CV33263" s="376"/>
    </row>
    <row r="33264" spans="1:100">
      <c r="A33264" s="374"/>
      <c r="C33264" s="374"/>
      <c r="CV33264" s="376"/>
    </row>
    <row r="33265" spans="1:100">
      <c r="A33265" s="374"/>
      <c r="C33265" s="374"/>
      <c r="CV33265" s="376"/>
    </row>
    <row r="33266" spans="1:100">
      <c r="A33266" s="374"/>
      <c r="C33266" s="374"/>
      <c r="CV33266" s="376"/>
    </row>
    <row r="33267" spans="1:100">
      <c r="A33267" s="374"/>
      <c r="C33267" s="374"/>
      <c r="CV33267" s="376"/>
    </row>
    <row r="33268" spans="1:100">
      <c r="A33268" s="374"/>
      <c r="C33268" s="374"/>
      <c r="CV33268" s="376"/>
    </row>
    <row r="33269" spans="1:100">
      <c r="A33269" s="374"/>
      <c r="C33269" s="374"/>
      <c r="CV33269" s="376"/>
    </row>
    <row r="33270" spans="1:100">
      <c r="A33270" s="374"/>
      <c r="C33270" s="374"/>
      <c r="CV33270" s="376"/>
    </row>
    <row r="33271" spans="1:100">
      <c r="A33271" s="374"/>
      <c r="C33271" s="374"/>
      <c r="CV33271" s="376"/>
    </row>
    <row r="33272" spans="1:100">
      <c r="A33272" s="374"/>
      <c r="C33272" s="374"/>
      <c r="CV33272" s="376"/>
    </row>
    <row r="33273" spans="1:100">
      <c r="A33273" s="374"/>
      <c r="C33273" s="374"/>
      <c r="CV33273" s="376"/>
    </row>
    <row r="33274" spans="1:100">
      <c r="A33274" s="374"/>
      <c r="C33274" s="374"/>
      <c r="CV33274" s="376"/>
    </row>
    <row r="33275" spans="1:100">
      <c r="A33275" s="374"/>
      <c r="C33275" s="374"/>
      <c r="CV33275" s="376"/>
    </row>
    <row r="33276" spans="1:100">
      <c r="A33276" s="374"/>
      <c r="C33276" s="374"/>
      <c r="CV33276" s="376"/>
    </row>
    <row r="33277" spans="1:100">
      <c r="A33277" s="374"/>
      <c r="C33277" s="374"/>
      <c r="CV33277" s="376"/>
    </row>
    <row r="33278" spans="1:100">
      <c r="A33278" s="374"/>
      <c r="C33278" s="374"/>
      <c r="CV33278" s="376"/>
    </row>
    <row r="33279" spans="1:100">
      <c r="A33279" s="374"/>
      <c r="C33279" s="374"/>
      <c r="CV33279" s="376"/>
    </row>
    <row r="33280" spans="1:100">
      <c r="A33280" s="374"/>
      <c r="C33280" s="374"/>
      <c r="CV33280" s="376"/>
    </row>
    <row r="33281" spans="1:100">
      <c r="A33281" s="374"/>
      <c r="C33281" s="374"/>
      <c r="CV33281" s="376"/>
    </row>
    <row r="33282" spans="1:100">
      <c r="A33282" s="374"/>
      <c r="C33282" s="374"/>
      <c r="CV33282" s="376"/>
    </row>
    <row r="33283" spans="1:100">
      <c r="A33283" s="374"/>
      <c r="C33283" s="374"/>
      <c r="CV33283" s="376"/>
    </row>
    <row r="33284" spans="1:100">
      <c r="A33284" s="374"/>
      <c r="C33284" s="374"/>
      <c r="CV33284" s="376"/>
    </row>
    <row r="33285" spans="1:100">
      <c r="A33285" s="374"/>
      <c r="C33285" s="374"/>
      <c r="CV33285" s="376"/>
    </row>
    <row r="33286" spans="1:100">
      <c r="A33286" s="374"/>
      <c r="C33286" s="374"/>
      <c r="CV33286" s="376"/>
    </row>
    <row r="33287" spans="1:100">
      <c r="A33287" s="374"/>
      <c r="C33287" s="374"/>
      <c r="CV33287" s="376"/>
    </row>
    <row r="33288" spans="1:100">
      <c r="A33288" s="374"/>
      <c r="C33288" s="374"/>
      <c r="CV33288" s="376"/>
    </row>
    <row r="33289" spans="1:100">
      <c r="A33289" s="374"/>
      <c r="C33289" s="374"/>
      <c r="CV33289" s="376"/>
    </row>
    <row r="33290" spans="1:100">
      <c r="A33290" s="374"/>
      <c r="C33290" s="374"/>
      <c r="CV33290" s="376"/>
    </row>
    <row r="33291" spans="1:100">
      <c r="A33291" s="374"/>
      <c r="C33291" s="374"/>
      <c r="CV33291" s="376"/>
    </row>
    <row r="33292" spans="1:100">
      <c r="A33292" s="374"/>
      <c r="C33292" s="374"/>
      <c r="CV33292" s="376"/>
    </row>
    <row r="33293" spans="1:100">
      <c r="A33293" s="374"/>
      <c r="C33293" s="374"/>
      <c r="CV33293" s="376"/>
    </row>
    <row r="33294" spans="1:100">
      <c r="A33294" s="374"/>
      <c r="C33294" s="374"/>
      <c r="CV33294" s="376"/>
    </row>
    <row r="33295" spans="1:100">
      <c r="A33295" s="374"/>
      <c r="C33295" s="374"/>
      <c r="CV33295" s="376"/>
    </row>
    <row r="33296" spans="1:100">
      <c r="A33296" s="374"/>
      <c r="C33296" s="374"/>
      <c r="CV33296" s="376"/>
    </row>
    <row r="33297" spans="1:100">
      <c r="A33297" s="374"/>
      <c r="C33297" s="374"/>
      <c r="CV33297" s="376"/>
    </row>
    <row r="33298" spans="1:100">
      <c r="A33298" s="374"/>
      <c r="C33298" s="374"/>
      <c r="CV33298" s="376"/>
    </row>
    <row r="33299" spans="1:100">
      <c r="A33299" s="374"/>
      <c r="C33299" s="374"/>
      <c r="CV33299" s="376"/>
    </row>
    <row r="33300" spans="1:100">
      <c r="A33300" s="374"/>
      <c r="C33300" s="374"/>
      <c r="CV33300" s="376"/>
    </row>
    <row r="33301" spans="1:100">
      <c r="A33301" s="374"/>
      <c r="C33301" s="374"/>
      <c r="CV33301" s="376"/>
    </row>
    <row r="33302" spans="1:100">
      <c r="A33302" s="374"/>
      <c r="C33302" s="374"/>
      <c r="CV33302" s="376"/>
    </row>
    <row r="33303" spans="1:100">
      <c r="A33303" s="374"/>
      <c r="C33303" s="374"/>
      <c r="CV33303" s="376"/>
    </row>
    <row r="33304" spans="1:100">
      <c r="A33304" s="374"/>
      <c r="C33304" s="374"/>
      <c r="CV33304" s="376"/>
    </row>
    <row r="33305" spans="1:100">
      <c r="A33305" s="374"/>
      <c r="C33305" s="374"/>
      <c r="CV33305" s="376"/>
    </row>
    <row r="33306" spans="1:100">
      <c r="A33306" s="374"/>
      <c r="C33306" s="374"/>
      <c r="CV33306" s="376"/>
    </row>
    <row r="33307" spans="1:100">
      <c r="A33307" s="374"/>
      <c r="C33307" s="374"/>
      <c r="CV33307" s="376"/>
    </row>
    <row r="33308" spans="1:100">
      <c r="A33308" s="374"/>
      <c r="C33308" s="374"/>
      <c r="CV33308" s="376"/>
    </row>
    <row r="33309" spans="1:100">
      <c r="A33309" s="374"/>
      <c r="C33309" s="374"/>
      <c r="CV33309" s="376"/>
    </row>
    <row r="33310" spans="1:100">
      <c r="A33310" s="374"/>
      <c r="C33310" s="374"/>
      <c r="CV33310" s="376"/>
    </row>
    <row r="33311" spans="1:100">
      <c r="A33311" s="374"/>
      <c r="C33311" s="374"/>
      <c r="CV33311" s="376"/>
    </row>
    <row r="33312" spans="1:100">
      <c r="A33312" s="374"/>
      <c r="C33312" s="374"/>
      <c r="CV33312" s="376"/>
    </row>
    <row r="33313" spans="1:100">
      <c r="A33313" s="374"/>
      <c r="C33313" s="374"/>
      <c r="CV33313" s="376"/>
    </row>
    <row r="33314" spans="1:100">
      <c r="A33314" s="374"/>
      <c r="C33314" s="374"/>
      <c r="CV33314" s="376"/>
    </row>
    <row r="33315" spans="1:100">
      <c r="A33315" s="374"/>
      <c r="C33315" s="374"/>
      <c r="CV33315" s="376"/>
    </row>
    <row r="33316" spans="1:100">
      <c r="A33316" s="374"/>
      <c r="C33316" s="374"/>
      <c r="CV33316" s="376"/>
    </row>
    <row r="33317" spans="1:100">
      <c r="A33317" s="374"/>
      <c r="C33317" s="374"/>
      <c r="CV33317" s="376"/>
    </row>
    <row r="33318" spans="1:100">
      <c r="A33318" s="374"/>
      <c r="C33318" s="374"/>
      <c r="CV33318" s="376"/>
    </row>
    <row r="33319" spans="1:100">
      <c r="A33319" s="374"/>
      <c r="C33319" s="374"/>
      <c r="CV33319" s="376"/>
    </row>
    <row r="33320" spans="1:100">
      <c r="A33320" s="374"/>
      <c r="C33320" s="374"/>
      <c r="CV33320" s="376"/>
    </row>
    <row r="33321" spans="1:100">
      <c r="A33321" s="374"/>
      <c r="C33321" s="374"/>
      <c r="CV33321" s="376"/>
    </row>
    <row r="33322" spans="1:100">
      <c r="A33322" s="374"/>
      <c r="C33322" s="374"/>
      <c r="CV33322" s="376"/>
    </row>
    <row r="33323" spans="1:100">
      <c r="A33323" s="374"/>
      <c r="C33323" s="374"/>
      <c r="CV33323" s="376"/>
    </row>
    <row r="33324" spans="1:100">
      <c r="A33324" s="374"/>
      <c r="C33324" s="374"/>
      <c r="CV33324" s="376"/>
    </row>
    <row r="33325" spans="1:100">
      <c r="A33325" s="374"/>
      <c r="C33325" s="374"/>
      <c r="CV33325" s="376"/>
    </row>
    <row r="33326" spans="1:100">
      <c r="A33326" s="374"/>
      <c r="C33326" s="374"/>
      <c r="CV33326" s="376"/>
    </row>
    <row r="33327" spans="1:100">
      <c r="A33327" s="374"/>
      <c r="C33327" s="374"/>
      <c r="CV33327" s="376"/>
    </row>
    <row r="33328" spans="1:100">
      <c r="A33328" s="374"/>
      <c r="C33328" s="374"/>
      <c r="CV33328" s="376"/>
    </row>
    <row r="33329" spans="1:100">
      <c r="A33329" s="374"/>
      <c r="C33329" s="374"/>
      <c r="CV33329" s="376"/>
    </row>
    <row r="33330" spans="1:100">
      <c r="A33330" s="374"/>
      <c r="C33330" s="374"/>
      <c r="CV33330" s="376"/>
    </row>
    <row r="33331" spans="1:100">
      <c r="A33331" s="374"/>
      <c r="C33331" s="374"/>
      <c r="CV33331" s="376"/>
    </row>
    <row r="33332" spans="1:100">
      <c r="A33332" s="374"/>
      <c r="C33332" s="374"/>
      <c r="CV33332" s="376"/>
    </row>
    <row r="33333" spans="1:100">
      <c r="A33333" s="374"/>
      <c r="C33333" s="374"/>
      <c r="CV33333" s="376"/>
    </row>
    <row r="33334" spans="1:100">
      <c r="A33334" s="374"/>
      <c r="C33334" s="374"/>
      <c r="CV33334" s="376"/>
    </row>
    <row r="33335" spans="1:100">
      <c r="A33335" s="374"/>
      <c r="C33335" s="374"/>
      <c r="CV33335" s="376"/>
    </row>
    <row r="33336" spans="1:100">
      <c r="A33336" s="374"/>
      <c r="C33336" s="374"/>
      <c r="CV33336" s="376"/>
    </row>
    <row r="33337" spans="1:100">
      <c r="A33337" s="374"/>
      <c r="C33337" s="374"/>
      <c r="CV33337" s="376"/>
    </row>
    <row r="33338" spans="1:100">
      <c r="A33338" s="374"/>
      <c r="C33338" s="374"/>
      <c r="CV33338" s="376"/>
    </row>
    <row r="33339" spans="1:100">
      <c r="A33339" s="374"/>
      <c r="C33339" s="374"/>
      <c r="CV33339" s="376"/>
    </row>
    <row r="33340" spans="1:100">
      <c r="A33340" s="374"/>
      <c r="C33340" s="374"/>
      <c r="CV33340" s="376"/>
    </row>
    <row r="33341" spans="1:100">
      <c r="A33341" s="374"/>
      <c r="C33341" s="374"/>
      <c r="CV33341" s="376"/>
    </row>
    <row r="33342" spans="1:100">
      <c r="A33342" s="374"/>
      <c r="C33342" s="374"/>
      <c r="CV33342" s="376"/>
    </row>
    <row r="33343" spans="1:100">
      <c r="A33343" s="374"/>
      <c r="C33343" s="374"/>
      <c r="CV33343" s="376"/>
    </row>
    <row r="33344" spans="1:100">
      <c r="A33344" s="374"/>
      <c r="C33344" s="374"/>
      <c r="CV33344" s="376"/>
    </row>
    <row r="33345" spans="1:100">
      <c r="A33345" s="374"/>
      <c r="C33345" s="374"/>
      <c r="CV33345" s="376"/>
    </row>
    <row r="33346" spans="1:100">
      <c r="A33346" s="374"/>
      <c r="C33346" s="374"/>
      <c r="CV33346" s="376"/>
    </row>
    <row r="33347" spans="1:100">
      <c r="A33347" s="374"/>
      <c r="C33347" s="374"/>
      <c r="CV33347" s="376"/>
    </row>
    <row r="33348" spans="1:100">
      <c r="A33348" s="374"/>
      <c r="C33348" s="374"/>
      <c r="CV33348" s="376"/>
    </row>
    <row r="33349" spans="1:100">
      <c r="A33349" s="374"/>
      <c r="C33349" s="374"/>
      <c r="CV33349" s="376"/>
    </row>
    <row r="33350" spans="1:100">
      <c r="A33350" s="374"/>
      <c r="C33350" s="374"/>
      <c r="CV33350" s="376"/>
    </row>
    <row r="33351" spans="1:100">
      <c r="A33351" s="374"/>
      <c r="C33351" s="374"/>
      <c r="CV33351" s="376"/>
    </row>
    <row r="33352" spans="1:100">
      <c r="A33352" s="374"/>
      <c r="C33352" s="374"/>
      <c r="CV33352" s="376"/>
    </row>
    <row r="33353" spans="1:100">
      <c r="A33353" s="374"/>
      <c r="C33353" s="374"/>
      <c r="CV33353" s="376"/>
    </row>
    <row r="33354" spans="1:100">
      <c r="A33354" s="374"/>
      <c r="C33354" s="374"/>
      <c r="CV33354" s="376"/>
    </row>
    <row r="33355" spans="1:100">
      <c r="A33355" s="374"/>
      <c r="C33355" s="374"/>
      <c r="CV33355" s="376"/>
    </row>
    <row r="33356" spans="1:100">
      <c r="A33356" s="374"/>
      <c r="C33356" s="374"/>
      <c r="CV33356" s="376"/>
    </row>
    <row r="33357" spans="1:100">
      <c r="A33357" s="374"/>
      <c r="C33357" s="374"/>
      <c r="CV33357" s="376"/>
    </row>
    <row r="33358" spans="1:100">
      <c r="A33358" s="374"/>
      <c r="C33358" s="374"/>
      <c r="CV33358" s="376"/>
    </row>
    <row r="33359" spans="1:100">
      <c r="A33359" s="374"/>
      <c r="C33359" s="374"/>
      <c r="CV33359" s="376"/>
    </row>
    <row r="33360" spans="1:100">
      <c r="A33360" s="374"/>
      <c r="C33360" s="374"/>
      <c r="CV33360" s="376"/>
    </row>
    <row r="33361" spans="1:100">
      <c r="A33361" s="374"/>
      <c r="C33361" s="374"/>
      <c r="CV33361" s="376"/>
    </row>
    <row r="33362" spans="1:100">
      <c r="A33362" s="374"/>
      <c r="C33362" s="374"/>
      <c r="CV33362" s="376"/>
    </row>
    <row r="33363" spans="1:100">
      <c r="A33363" s="374"/>
      <c r="C33363" s="374"/>
      <c r="CV33363" s="376"/>
    </row>
    <row r="33364" spans="1:100">
      <c r="A33364" s="374"/>
      <c r="C33364" s="374"/>
      <c r="CV33364" s="376"/>
    </row>
    <row r="33365" spans="1:100">
      <c r="A33365" s="374"/>
      <c r="C33365" s="374"/>
      <c r="CV33365" s="376"/>
    </row>
    <row r="33366" spans="1:100">
      <c r="A33366" s="374"/>
      <c r="C33366" s="374"/>
      <c r="CV33366" s="376"/>
    </row>
    <row r="33367" spans="1:100">
      <c r="A33367" s="374"/>
      <c r="C33367" s="374"/>
      <c r="CV33367" s="376"/>
    </row>
    <row r="33368" spans="1:100">
      <c r="A33368" s="374"/>
      <c r="C33368" s="374"/>
      <c r="CV33368" s="376"/>
    </row>
    <row r="33369" spans="1:100">
      <c r="A33369" s="374"/>
      <c r="C33369" s="374"/>
      <c r="CV33369" s="376"/>
    </row>
    <row r="33370" spans="1:100">
      <c r="A33370" s="374"/>
      <c r="C33370" s="374"/>
      <c r="CV33370" s="376"/>
    </row>
    <row r="33371" spans="1:100">
      <c r="A33371" s="374"/>
      <c r="C33371" s="374"/>
      <c r="CV33371" s="376"/>
    </row>
    <row r="33372" spans="1:100">
      <c r="A33372" s="374"/>
      <c r="C33372" s="374"/>
      <c r="CV33372" s="376"/>
    </row>
    <row r="33373" spans="1:100">
      <c r="A33373" s="374"/>
      <c r="C33373" s="374"/>
      <c r="CV33373" s="376"/>
    </row>
    <row r="33374" spans="1:100">
      <c r="A33374" s="374"/>
      <c r="C33374" s="374"/>
      <c r="CV33374" s="376"/>
    </row>
    <row r="33375" spans="1:100">
      <c r="A33375" s="374"/>
      <c r="C33375" s="374"/>
      <c r="CV33375" s="376"/>
    </row>
    <row r="33376" spans="1:100">
      <c r="A33376" s="374"/>
      <c r="C33376" s="374"/>
      <c r="CV33376" s="376"/>
    </row>
    <row r="33377" spans="1:100">
      <c r="A33377" s="374"/>
      <c r="C33377" s="374"/>
      <c r="CV33377" s="376"/>
    </row>
    <row r="33378" spans="1:100">
      <c r="A33378" s="374"/>
      <c r="C33378" s="374"/>
      <c r="CV33378" s="376"/>
    </row>
    <row r="33379" spans="1:100">
      <c r="A33379" s="374"/>
      <c r="C33379" s="374"/>
      <c r="CV33379" s="376"/>
    </row>
    <row r="33380" spans="1:100">
      <c r="A33380" s="374"/>
      <c r="C33380" s="374"/>
      <c r="CV33380" s="376"/>
    </row>
    <row r="33381" spans="1:100">
      <c r="A33381" s="374"/>
      <c r="C33381" s="374"/>
      <c r="CV33381" s="376"/>
    </row>
    <row r="33382" spans="1:100">
      <c r="A33382" s="374"/>
      <c r="C33382" s="374"/>
      <c r="CV33382" s="376"/>
    </row>
    <row r="33383" spans="1:100">
      <c r="A33383" s="374"/>
      <c r="C33383" s="374"/>
      <c r="CV33383" s="376"/>
    </row>
    <row r="33384" spans="1:100">
      <c r="A33384" s="374"/>
      <c r="C33384" s="374"/>
      <c r="CV33384" s="376"/>
    </row>
    <row r="33385" spans="1:100">
      <c r="A33385" s="374"/>
      <c r="C33385" s="374"/>
      <c r="CV33385" s="376"/>
    </row>
    <row r="33386" spans="1:100">
      <c r="A33386" s="374"/>
      <c r="C33386" s="374"/>
      <c r="CV33386" s="376"/>
    </row>
    <row r="33387" spans="1:100">
      <c r="A33387" s="374"/>
      <c r="C33387" s="374"/>
      <c r="CV33387" s="376"/>
    </row>
    <row r="33388" spans="1:100">
      <c r="A33388" s="374"/>
      <c r="C33388" s="374"/>
      <c r="CV33388" s="376"/>
    </row>
    <row r="33389" spans="1:100">
      <c r="A33389" s="374"/>
      <c r="C33389" s="374"/>
      <c r="CV33389" s="376"/>
    </row>
    <row r="33390" spans="1:100">
      <c r="A33390" s="374"/>
      <c r="C33390" s="374"/>
      <c r="CV33390" s="376"/>
    </row>
    <row r="33391" spans="1:100">
      <c r="A33391" s="374"/>
      <c r="C33391" s="374"/>
      <c r="CV33391" s="376"/>
    </row>
    <row r="33392" spans="1:100">
      <c r="A33392" s="374"/>
      <c r="C33392" s="374"/>
      <c r="CV33392" s="376"/>
    </row>
    <row r="33393" spans="1:100">
      <c r="A33393" s="374"/>
      <c r="C33393" s="374"/>
      <c r="CV33393" s="376"/>
    </row>
    <row r="33394" spans="1:100">
      <c r="A33394" s="374"/>
      <c r="C33394" s="374"/>
      <c r="CV33394" s="376"/>
    </row>
    <row r="33395" spans="1:100">
      <c r="A33395" s="374"/>
      <c r="C33395" s="374"/>
      <c r="CV33395" s="376"/>
    </row>
    <row r="33396" spans="1:100">
      <c r="A33396" s="374"/>
      <c r="C33396" s="374"/>
      <c r="CV33396" s="376"/>
    </row>
    <row r="33397" spans="1:100">
      <c r="A33397" s="374"/>
      <c r="C33397" s="374"/>
      <c r="CV33397" s="376"/>
    </row>
    <row r="33398" spans="1:100">
      <c r="A33398" s="374"/>
      <c r="C33398" s="374"/>
      <c r="CV33398" s="376"/>
    </row>
    <row r="33399" spans="1:100">
      <c r="A33399" s="374"/>
      <c r="C33399" s="374"/>
      <c r="CV33399" s="376"/>
    </row>
    <row r="33400" spans="1:100">
      <c r="A33400" s="374"/>
      <c r="C33400" s="374"/>
      <c r="CV33400" s="376"/>
    </row>
    <row r="33401" spans="1:100">
      <c r="A33401" s="374"/>
      <c r="C33401" s="374"/>
      <c r="CV33401" s="376"/>
    </row>
    <row r="33402" spans="1:100">
      <c r="A33402" s="374"/>
      <c r="C33402" s="374"/>
      <c r="CV33402" s="376"/>
    </row>
    <row r="33403" spans="1:100">
      <c r="A33403" s="374"/>
      <c r="C33403" s="374"/>
      <c r="CV33403" s="376"/>
    </row>
    <row r="33404" spans="1:100">
      <c r="A33404" s="374"/>
      <c r="C33404" s="374"/>
      <c r="CV33404" s="376"/>
    </row>
    <row r="33405" spans="1:100">
      <c r="A33405" s="374"/>
      <c r="C33405" s="374"/>
      <c r="CV33405" s="376"/>
    </row>
    <row r="33406" spans="1:100">
      <c r="A33406" s="374"/>
      <c r="C33406" s="374"/>
      <c r="CV33406" s="376"/>
    </row>
    <row r="33407" spans="1:100">
      <c r="A33407" s="374"/>
      <c r="C33407" s="374"/>
      <c r="CV33407" s="376"/>
    </row>
    <row r="33408" spans="1:100">
      <c r="A33408" s="374"/>
      <c r="C33408" s="374"/>
      <c r="CV33408" s="376"/>
    </row>
    <row r="33409" spans="1:100">
      <c r="A33409" s="374"/>
      <c r="C33409" s="374"/>
      <c r="CV33409" s="376"/>
    </row>
    <row r="33410" spans="1:100">
      <c r="A33410" s="374"/>
      <c r="C33410" s="374"/>
      <c r="CV33410" s="376"/>
    </row>
    <row r="33411" spans="1:100">
      <c r="A33411" s="374"/>
      <c r="C33411" s="374"/>
      <c r="CV33411" s="376"/>
    </row>
    <row r="33412" spans="1:100">
      <c r="A33412" s="374"/>
      <c r="C33412" s="374"/>
      <c r="CV33412" s="376"/>
    </row>
    <row r="33413" spans="1:100">
      <c r="A33413" s="374"/>
      <c r="C33413" s="374"/>
      <c r="CV33413" s="376"/>
    </row>
    <row r="33414" spans="1:100">
      <c r="A33414" s="374"/>
      <c r="C33414" s="374"/>
      <c r="CV33414" s="376"/>
    </row>
    <row r="33415" spans="1:100">
      <c r="A33415" s="374"/>
      <c r="C33415" s="374"/>
      <c r="CV33415" s="376"/>
    </row>
    <row r="33416" spans="1:100">
      <c r="A33416" s="374"/>
      <c r="C33416" s="374"/>
      <c r="CV33416" s="376"/>
    </row>
    <row r="33417" spans="1:100">
      <c r="A33417" s="374"/>
      <c r="C33417" s="374"/>
      <c r="CV33417" s="376"/>
    </row>
    <row r="33418" spans="1:100">
      <c r="A33418" s="374"/>
      <c r="C33418" s="374"/>
      <c r="CV33418" s="376"/>
    </row>
    <row r="33419" spans="1:100">
      <c r="A33419" s="374"/>
      <c r="C33419" s="374"/>
      <c r="CV33419" s="376"/>
    </row>
    <row r="33420" spans="1:100">
      <c r="A33420" s="374"/>
      <c r="C33420" s="374"/>
      <c r="CV33420" s="376"/>
    </row>
    <row r="33421" spans="1:100">
      <c r="A33421" s="374"/>
      <c r="C33421" s="374"/>
      <c r="CV33421" s="376"/>
    </row>
    <row r="33422" spans="1:100">
      <c r="A33422" s="374"/>
      <c r="C33422" s="374"/>
      <c r="CV33422" s="376"/>
    </row>
    <row r="33423" spans="1:100">
      <c r="A33423" s="374"/>
      <c r="C33423" s="374"/>
      <c r="CV33423" s="376"/>
    </row>
    <row r="33424" spans="1:100">
      <c r="A33424" s="374"/>
      <c r="C33424" s="374"/>
      <c r="CV33424" s="376"/>
    </row>
    <row r="33425" spans="1:100">
      <c r="A33425" s="374"/>
      <c r="C33425" s="374"/>
      <c r="CV33425" s="376"/>
    </row>
    <row r="33426" spans="1:100">
      <c r="A33426" s="374"/>
      <c r="C33426" s="374"/>
      <c r="CV33426" s="376"/>
    </row>
    <row r="33427" spans="1:100">
      <c r="A33427" s="374"/>
      <c r="C33427" s="374"/>
      <c r="CV33427" s="376"/>
    </row>
    <row r="33428" spans="1:100">
      <c r="A33428" s="374"/>
      <c r="C33428" s="374"/>
      <c r="CV33428" s="376"/>
    </row>
    <row r="33429" spans="1:100">
      <c r="A33429" s="374"/>
      <c r="C33429" s="374"/>
      <c r="CV33429" s="376"/>
    </row>
    <row r="33430" spans="1:100">
      <c r="A33430" s="374"/>
      <c r="C33430" s="374"/>
      <c r="CV33430" s="376"/>
    </row>
    <row r="33431" spans="1:100">
      <c r="A33431" s="374"/>
      <c r="C33431" s="374"/>
      <c r="CV33431" s="376"/>
    </row>
    <row r="33432" spans="1:100">
      <c r="A33432" s="374"/>
      <c r="C33432" s="374"/>
      <c r="CV33432" s="376"/>
    </row>
    <row r="33433" spans="1:100">
      <c r="A33433" s="374"/>
      <c r="C33433" s="374"/>
      <c r="CV33433" s="376"/>
    </row>
    <row r="33434" spans="1:100">
      <c r="A33434" s="374"/>
      <c r="C33434" s="374"/>
      <c r="CV33434" s="376"/>
    </row>
    <row r="33435" spans="1:100">
      <c r="A33435" s="374"/>
      <c r="C33435" s="374"/>
      <c r="CV33435" s="376"/>
    </row>
    <row r="33436" spans="1:100">
      <c r="A33436" s="374"/>
      <c r="C33436" s="374"/>
      <c r="CV33436" s="376"/>
    </row>
    <row r="33437" spans="1:100">
      <c r="A33437" s="374"/>
      <c r="C33437" s="374"/>
      <c r="CV33437" s="376"/>
    </row>
    <row r="33438" spans="1:100">
      <c r="A33438" s="374"/>
      <c r="C33438" s="374"/>
      <c r="CV33438" s="376"/>
    </row>
    <row r="33439" spans="1:100">
      <c r="A33439" s="374"/>
      <c r="C33439" s="374"/>
      <c r="CV33439" s="376"/>
    </row>
    <row r="33440" spans="1:100">
      <c r="A33440" s="374"/>
      <c r="C33440" s="374"/>
      <c r="CV33440" s="376"/>
    </row>
    <row r="33441" spans="1:100">
      <c r="A33441" s="374"/>
      <c r="C33441" s="374"/>
      <c r="CV33441" s="376"/>
    </row>
    <row r="33442" spans="1:100">
      <c r="A33442" s="374"/>
      <c r="C33442" s="374"/>
      <c r="CV33442" s="376"/>
    </row>
    <row r="33443" spans="1:100">
      <c r="A33443" s="374"/>
      <c r="C33443" s="374"/>
      <c r="CV33443" s="376"/>
    </row>
    <row r="33444" spans="1:100">
      <c r="A33444" s="374"/>
      <c r="C33444" s="374"/>
      <c r="CV33444" s="376"/>
    </row>
    <row r="33445" spans="1:100">
      <c r="A33445" s="374"/>
      <c r="C33445" s="374"/>
      <c r="CV33445" s="376"/>
    </row>
    <row r="33446" spans="1:100">
      <c r="A33446" s="374"/>
      <c r="C33446" s="374"/>
      <c r="CV33446" s="376"/>
    </row>
    <row r="33447" spans="1:100">
      <c r="A33447" s="374"/>
      <c r="C33447" s="374"/>
      <c r="CV33447" s="376"/>
    </row>
    <row r="33448" spans="1:100">
      <c r="A33448" s="374"/>
      <c r="C33448" s="374"/>
      <c r="CV33448" s="376"/>
    </row>
    <row r="33449" spans="1:100">
      <c r="A33449" s="374"/>
      <c r="C33449" s="374"/>
      <c r="CV33449" s="376"/>
    </row>
    <row r="33450" spans="1:100">
      <c r="A33450" s="374"/>
      <c r="C33450" s="374"/>
      <c r="CV33450" s="376"/>
    </row>
    <row r="33451" spans="1:100">
      <c r="A33451" s="374"/>
      <c r="C33451" s="374"/>
      <c r="CV33451" s="376"/>
    </row>
    <row r="33452" spans="1:100">
      <c r="A33452" s="374"/>
      <c r="C33452" s="374"/>
      <c r="CV33452" s="376"/>
    </row>
    <row r="33453" spans="1:100">
      <c r="A33453" s="374"/>
      <c r="C33453" s="374"/>
      <c r="CV33453" s="376"/>
    </row>
    <row r="33454" spans="1:100">
      <c r="A33454" s="374"/>
      <c r="C33454" s="374"/>
      <c r="CV33454" s="376"/>
    </row>
    <row r="33455" spans="1:100">
      <c r="A33455" s="374"/>
      <c r="C33455" s="374"/>
      <c r="CV33455" s="376"/>
    </row>
    <row r="33456" spans="1:100">
      <c r="A33456" s="374"/>
      <c r="C33456" s="374"/>
      <c r="CV33456" s="376"/>
    </row>
    <row r="33457" spans="1:100">
      <c r="A33457" s="374"/>
      <c r="C33457" s="374"/>
      <c r="CV33457" s="376"/>
    </row>
    <row r="33458" spans="1:100">
      <c r="A33458" s="374"/>
      <c r="C33458" s="374"/>
      <c r="CV33458" s="376"/>
    </row>
    <row r="33459" spans="1:100">
      <c r="A33459" s="374"/>
      <c r="C33459" s="374"/>
      <c r="CV33459" s="376"/>
    </row>
    <row r="33460" spans="1:100">
      <c r="A33460" s="374"/>
      <c r="C33460" s="374"/>
      <c r="CV33460" s="376"/>
    </row>
    <row r="33461" spans="1:100">
      <c r="A33461" s="374"/>
      <c r="C33461" s="374"/>
      <c r="CV33461" s="376"/>
    </row>
    <row r="33462" spans="1:100">
      <c r="A33462" s="374"/>
      <c r="C33462" s="374"/>
      <c r="CV33462" s="376"/>
    </row>
    <row r="33463" spans="1:100">
      <c r="A33463" s="374"/>
      <c r="C33463" s="374"/>
      <c r="CV33463" s="376"/>
    </row>
    <row r="33464" spans="1:100">
      <c r="A33464" s="374"/>
      <c r="C33464" s="374"/>
      <c r="CV33464" s="376"/>
    </row>
    <row r="33465" spans="1:100">
      <c r="A33465" s="374"/>
      <c r="C33465" s="374"/>
      <c r="CV33465" s="376"/>
    </row>
    <row r="33466" spans="1:100">
      <c r="A33466" s="374"/>
      <c r="C33466" s="374"/>
      <c r="CV33466" s="376"/>
    </row>
    <row r="33467" spans="1:100">
      <c r="A33467" s="374"/>
      <c r="C33467" s="374"/>
      <c r="CV33467" s="376"/>
    </row>
    <row r="33468" spans="1:100">
      <c r="A33468" s="374"/>
      <c r="C33468" s="374"/>
      <c r="CV33468" s="376"/>
    </row>
    <row r="33469" spans="1:100">
      <c r="A33469" s="374"/>
      <c r="C33469" s="374"/>
      <c r="CV33469" s="376"/>
    </row>
    <row r="33470" spans="1:100">
      <c r="A33470" s="374"/>
      <c r="C33470" s="374"/>
      <c r="CV33470" s="376"/>
    </row>
    <row r="33471" spans="1:100">
      <c r="A33471" s="374"/>
      <c r="C33471" s="374"/>
      <c r="CV33471" s="376"/>
    </row>
    <row r="33472" spans="1:100">
      <c r="A33472" s="374"/>
      <c r="C33472" s="374"/>
      <c r="CV33472" s="376"/>
    </row>
    <row r="33473" spans="1:100">
      <c r="A33473" s="374"/>
      <c r="C33473" s="374"/>
      <c r="CV33473" s="376"/>
    </row>
    <row r="33474" spans="1:100">
      <c r="A33474" s="374"/>
      <c r="C33474" s="374"/>
      <c r="CV33474" s="376"/>
    </row>
    <row r="33475" spans="1:100">
      <c r="A33475" s="374"/>
      <c r="C33475" s="374"/>
      <c r="CV33475" s="376"/>
    </row>
    <row r="33476" spans="1:100">
      <c r="A33476" s="374"/>
      <c r="C33476" s="374"/>
      <c r="CV33476" s="376"/>
    </row>
    <row r="33477" spans="1:100">
      <c r="A33477" s="374"/>
      <c r="C33477" s="374"/>
      <c r="CV33477" s="376"/>
    </row>
    <row r="33478" spans="1:100">
      <c r="A33478" s="374"/>
      <c r="C33478" s="374"/>
      <c r="CV33478" s="376"/>
    </row>
    <row r="33479" spans="1:100">
      <c r="A33479" s="374"/>
      <c r="C33479" s="374"/>
      <c r="CV33479" s="376"/>
    </row>
    <row r="33480" spans="1:100">
      <c r="A33480" s="374"/>
      <c r="C33480" s="374"/>
      <c r="CV33480" s="376"/>
    </row>
    <row r="33481" spans="1:100">
      <c r="A33481" s="374"/>
      <c r="C33481" s="374"/>
      <c r="CV33481" s="376"/>
    </row>
    <row r="33482" spans="1:100">
      <c r="A33482" s="374"/>
      <c r="C33482" s="374"/>
      <c r="CV33482" s="376"/>
    </row>
    <row r="33483" spans="1:100">
      <c r="A33483" s="374"/>
      <c r="C33483" s="374"/>
      <c r="CV33483" s="376"/>
    </row>
    <row r="33484" spans="1:100">
      <c r="A33484" s="374"/>
      <c r="C33484" s="374"/>
      <c r="CV33484" s="376"/>
    </row>
    <row r="33485" spans="1:100">
      <c r="A33485" s="374"/>
      <c r="C33485" s="374"/>
      <c r="CV33485" s="376"/>
    </row>
    <row r="33486" spans="1:100">
      <c r="A33486" s="374"/>
      <c r="C33486" s="374"/>
      <c r="CV33486" s="376"/>
    </row>
    <row r="33487" spans="1:100">
      <c r="A33487" s="374"/>
      <c r="C33487" s="374"/>
      <c r="CV33487" s="376"/>
    </row>
    <row r="33488" spans="1:100">
      <c r="A33488" s="374"/>
      <c r="C33488" s="374"/>
      <c r="CV33488" s="376"/>
    </row>
    <row r="33489" spans="1:100">
      <c r="A33489" s="374"/>
      <c r="C33489" s="374"/>
      <c r="CV33489" s="376"/>
    </row>
    <row r="33490" spans="1:100">
      <c r="A33490" s="374"/>
      <c r="C33490" s="374"/>
      <c r="CV33490" s="376"/>
    </row>
    <row r="33491" spans="1:100">
      <c r="A33491" s="374"/>
      <c r="C33491" s="374"/>
      <c r="CV33491" s="376"/>
    </row>
    <row r="33492" spans="1:100">
      <c r="A33492" s="374"/>
      <c r="C33492" s="374"/>
      <c r="CV33492" s="376"/>
    </row>
    <row r="33493" spans="1:100">
      <c r="A33493" s="374"/>
      <c r="C33493" s="374"/>
      <c r="CV33493" s="376"/>
    </row>
    <row r="33494" spans="1:100">
      <c r="A33494" s="374"/>
      <c r="C33494" s="374"/>
      <c r="CV33494" s="376"/>
    </row>
    <row r="33495" spans="1:100">
      <c r="A33495" s="374"/>
      <c r="C33495" s="374"/>
      <c r="CV33495" s="376"/>
    </row>
    <row r="33496" spans="1:100">
      <c r="A33496" s="374"/>
      <c r="C33496" s="374"/>
      <c r="CV33496" s="376"/>
    </row>
    <row r="33497" spans="1:100">
      <c r="A33497" s="374"/>
      <c r="C33497" s="374"/>
      <c r="CV33497" s="376"/>
    </row>
    <row r="33498" spans="1:100">
      <c r="A33498" s="374"/>
      <c r="C33498" s="374"/>
      <c r="CV33498" s="376"/>
    </row>
    <row r="33499" spans="1:100">
      <c r="A33499" s="374"/>
      <c r="C33499" s="374"/>
      <c r="CV33499" s="376"/>
    </row>
    <row r="33500" spans="1:100">
      <c r="A33500" s="374"/>
      <c r="C33500" s="374"/>
      <c r="CV33500" s="376"/>
    </row>
    <row r="33501" spans="1:100">
      <c r="A33501" s="374"/>
      <c r="C33501" s="374"/>
      <c r="CV33501" s="376"/>
    </row>
    <row r="33502" spans="1:100">
      <c r="A33502" s="374"/>
      <c r="C33502" s="374"/>
      <c r="CV33502" s="376"/>
    </row>
    <row r="33503" spans="1:100">
      <c r="A33503" s="374"/>
      <c r="C33503" s="374"/>
      <c r="CV33503" s="376"/>
    </row>
    <row r="33504" spans="1:100">
      <c r="A33504" s="374"/>
      <c r="C33504" s="374"/>
      <c r="CV33504" s="376"/>
    </row>
    <row r="33505" spans="1:100">
      <c r="A33505" s="374"/>
      <c r="C33505" s="374"/>
      <c r="CV33505" s="376"/>
    </row>
    <row r="33506" spans="1:100">
      <c r="A33506" s="374"/>
      <c r="C33506" s="374"/>
      <c r="CV33506" s="376"/>
    </row>
    <row r="33507" spans="1:100">
      <c r="A33507" s="374"/>
      <c r="C33507" s="374"/>
      <c r="CV33507" s="376"/>
    </row>
    <row r="33508" spans="1:100">
      <c r="A33508" s="374"/>
      <c r="C33508" s="374"/>
      <c r="CV33508" s="376"/>
    </row>
    <row r="33509" spans="1:100">
      <c r="A33509" s="374"/>
      <c r="C33509" s="374"/>
      <c r="CV33509" s="376"/>
    </row>
    <row r="33510" spans="1:100">
      <c r="A33510" s="374"/>
      <c r="C33510" s="374"/>
      <c r="CV33510" s="376"/>
    </row>
    <row r="33511" spans="1:100">
      <c r="A33511" s="374"/>
      <c r="C33511" s="374"/>
      <c r="CV33511" s="376"/>
    </row>
    <row r="33512" spans="1:100">
      <c r="A33512" s="374"/>
      <c r="C33512" s="374"/>
      <c r="CV33512" s="376"/>
    </row>
    <row r="33513" spans="1:100">
      <c r="A33513" s="374"/>
      <c r="C33513" s="374"/>
      <c r="CV33513" s="376"/>
    </row>
    <row r="33514" spans="1:100">
      <c r="A33514" s="374"/>
      <c r="C33514" s="374"/>
      <c r="CV33514" s="376"/>
    </row>
    <row r="33515" spans="1:100">
      <c r="A33515" s="374"/>
      <c r="C33515" s="374"/>
      <c r="CV33515" s="376"/>
    </row>
    <row r="33516" spans="1:100">
      <c r="A33516" s="374"/>
      <c r="C33516" s="374"/>
      <c r="CV33516" s="376"/>
    </row>
    <row r="33517" spans="1:100">
      <c r="A33517" s="374"/>
      <c r="C33517" s="374"/>
      <c r="CV33517" s="376"/>
    </row>
    <row r="33518" spans="1:100">
      <c r="A33518" s="374"/>
      <c r="C33518" s="374"/>
      <c r="CV33518" s="376"/>
    </row>
    <row r="33519" spans="1:100">
      <c r="A33519" s="374"/>
      <c r="C33519" s="374"/>
      <c r="CV33519" s="376"/>
    </row>
    <row r="33520" spans="1:100">
      <c r="A33520" s="374"/>
      <c r="C33520" s="374"/>
      <c r="CV33520" s="376"/>
    </row>
    <row r="33521" spans="1:100">
      <c r="A33521" s="374"/>
      <c r="C33521" s="374"/>
      <c r="CV33521" s="376"/>
    </row>
    <row r="33522" spans="1:100">
      <c r="A33522" s="374"/>
      <c r="C33522" s="374"/>
      <c r="CV33522" s="376"/>
    </row>
    <row r="33523" spans="1:100">
      <c r="A33523" s="374"/>
      <c r="C33523" s="374"/>
      <c r="CV33523" s="376"/>
    </row>
    <row r="33524" spans="1:100">
      <c r="A33524" s="374"/>
      <c r="C33524" s="374"/>
      <c r="CV33524" s="376"/>
    </row>
    <row r="33525" spans="1:100">
      <c r="A33525" s="374"/>
      <c r="C33525" s="374"/>
      <c r="CV33525" s="376"/>
    </row>
    <row r="33526" spans="1:100">
      <c r="A33526" s="374"/>
      <c r="C33526" s="374"/>
      <c r="CV33526" s="376"/>
    </row>
    <row r="33527" spans="1:100">
      <c r="A33527" s="374"/>
      <c r="C33527" s="374"/>
      <c r="CV33527" s="376"/>
    </row>
    <row r="33528" spans="1:100">
      <c r="A33528" s="374"/>
      <c r="C33528" s="374"/>
      <c r="CV33528" s="376"/>
    </row>
    <row r="33529" spans="1:100">
      <c r="A33529" s="374"/>
      <c r="C33529" s="374"/>
      <c r="CV33529" s="376"/>
    </row>
    <row r="33530" spans="1:100">
      <c r="A33530" s="374"/>
      <c r="C33530" s="374"/>
      <c r="CV33530" s="376"/>
    </row>
    <row r="33531" spans="1:100">
      <c r="A33531" s="374"/>
      <c r="C33531" s="374"/>
      <c r="CV33531" s="376"/>
    </row>
    <row r="33532" spans="1:100">
      <c r="A33532" s="374"/>
      <c r="C33532" s="374"/>
      <c r="CV33532" s="376"/>
    </row>
    <row r="33533" spans="1:100">
      <c r="A33533" s="374"/>
      <c r="C33533" s="374"/>
      <c r="CV33533" s="376"/>
    </row>
    <row r="33534" spans="1:100">
      <c r="A33534" s="374"/>
      <c r="C33534" s="374"/>
      <c r="CV33534" s="376"/>
    </row>
    <row r="33535" spans="1:100">
      <c r="A33535" s="374"/>
      <c r="C33535" s="374"/>
      <c r="CV33535" s="376"/>
    </row>
    <row r="33536" spans="1:100">
      <c r="A33536" s="374"/>
      <c r="C33536" s="374"/>
      <c r="CV33536" s="376"/>
    </row>
    <row r="33537" spans="1:100">
      <c r="A33537" s="374"/>
      <c r="C33537" s="374"/>
      <c r="CV33537" s="376"/>
    </row>
    <row r="33538" spans="1:100">
      <c r="A33538" s="374"/>
      <c r="C33538" s="374"/>
      <c r="CV33538" s="376"/>
    </row>
    <row r="33539" spans="1:100">
      <c r="A33539" s="374"/>
      <c r="C33539" s="374"/>
      <c r="CV33539" s="376"/>
    </row>
    <row r="33540" spans="1:100">
      <c r="A33540" s="374"/>
      <c r="C33540" s="374"/>
      <c r="CV33540" s="376"/>
    </row>
    <row r="33541" spans="1:100">
      <c r="A33541" s="374"/>
      <c r="C33541" s="374"/>
      <c r="CV33541" s="376"/>
    </row>
    <row r="33542" spans="1:100">
      <c r="A33542" s="374"/>
      <c r="C33542" s="374"/>
      <c r="CV33542" s="376"/>
    </row>
    <row r="33543" spans="1:100">
      <c r="A33543" s="374"/>
      <c r="C33543" s="374"/>
      <c r="CV33543" s="376"/>
    </row>
    <row r="33544" spans="1:100">
      <c r="A33544" s="374"/>
      <c r="C33544" s="374"/>
      <c r="CV33544" s="376"/>
    </row>
    <row r="33545" spans="1:100">
      <c r="A33545" s="374"/>
      <c r="C33545" s="374"/>
      <c r="CV33545" s="376"/>
    </row>
    <row r="33546" spans="1:100">
      <c r="A33546" s="374"/>
      <c r="C33546" s="374"/>
      <c r="CV33546" s="376"/>
    </row>
    <row r="33547" spans="1:100">
      <c r="A33547" s="374"/>
      <c r="C33547" s="374"/>
      <c r="CV33547" s="376"/>
    </row>
    <row r="33548" spans="1:100">
      <c r="A33548" s="374"/>
      <c r="C33548" s="374"/>
      <c r="CV33548" s="376"/>
    </row>
    <row r="33549" spans="1:100">
      <c r="A33549" s="374"/>
      <c r="C33549" s="374"/>
      <c r="CV33549" s="376"/>
    </row>
    <row r="33550" spans="1:100">
      <c r="A33550" s="374"/>
      <c r="C33550" s="374"/>
      <c r="CV33550" s="376"/>
    </row>
    <row r="33551" spans="1:100">
      <c r="A33551" s="374"/>
      <c r="C33551" s="374"/>
      <c r="CV33551" s="376"/>
    </row>
    <row r="33552" spans="1:100">
      <c r="A33552" s="374"/>
      <c r="C33552" s="374"/>
      <c r="CV33552" s="376"/>
    </row>
    <row r="33553" spans="1:100">
      <c r="A33553" s="374"/>
      <c r="C33553" s="374"/>
      <c r="CV33553" s="376"/>
    </row>
    <row r="33554" spans="1:100">
      <c r="A33554" s="374"/>
      <c r="C33554" s="374"/>
      <c r="CV33554" s="376"/>
    </row>
    <row r="33555" spans="1:100">
      <c r="A33555" s="374"/>
      <c r="C33555" s="374"/>
      <c r="CV33555" s="376"/>
    </row>
    <row r="33556" spans="1:100">
      <c r="A33556" s="374"/>
      <c r="C33556" s="374"/>
      <c r="CV33556" s="376"/>
    </row>
    <row r="33557" spans="1:100">
      <c r="A33557" s="374"/>
      <c r="C33557" s="374"/>
      <c r="CV33557" s="376"/>
    </row>
    <row r="33558" spans="1:100">
      <c r="A33558" s="374"/>
      <c r="C33558" s="374"/>
      <c r="CV33558" s="376"/>
    </row>
    <row r="33559" spans="1:100">
      <c r="A33559" s="374"/>
      <c r="C33559" s="374"/>
      <c r="CV33559" s="376"/>
    </row>
    <row r="33560" spans="1:100">
      <c r="A33560" s="374"/>
      <c r="C33560" s="374"/>
      <c r="CV33560" s="376"/>
    </row>
    <row r="33561" spans="1:100">
      <c r="A33561" s="374"/>
      <c r="C33561" s="374"/>
      <c r="CV33561" s="376"/>
    </row>
    <row r="33562" spans="1:100">
      <c r="A33562" s="374"/>
      <c r="C33562" s="374"/>
      <c r="CV33562" s="376"/>
    </row>
    <row r="33563" spans="1:100">
      <c r="A33563" s="374"/>
      <c r="C33563" s="374"/>
      <c r="CV33563" s="376"/>
    </row>
    <row r="33564" spans="1:100">
      <c r="A33564" s="374"/>
      <c r="C33564" s="374"/>
      <c r="CV33564" s="376"/>
    </row>
    <row r="33565" spans="1:100">
      <c r="A33565" s="374"/>
      <c r="C33565" s="374"/>
      <c r="CV33565" s="376"/>
    </row>
    <row r="33566" spans="1:100">
      <c r="A33566" s="374"/>
      <c r="C33566" s="374"/>
      <c r="CV33566" s="376"/>
    </row>
    <row r="33567" spans="1:100">
      <c r="A33567" s="374"/>
      <c r="C33567" s="374"/>
      <c r="CV33567" s="376"/>
    </row>
    <row r="33568" spans="1:100">
      <c r="A33568" s="374"/>
      <c r="C33568" s="374"/>
      <c r="CV33568" s="376"/>
    </row>
    <row r="33569" spans="1:100">
      <c r="A33569" s="374"/>
      <c r="C33569" s="374"/>
      <c r="CV33569" s="376"/>
    </row>
    <row r="33570" spans="1:100">
      <c r="A33570" s="374"/>
      <c r="C33570" s="374"/>
      <c r="CV33570" s="376"/>
    </row>
    <row r="33571" spans="1:100">
      <c r="A33571" s="374"/>
      <c r="C33571" s="374"/>
      <c r="CV33571" s="376"/>
    </row>
    <row r="33572" spans="1:100">
      <c r="A33572" s="374"/>
      <c r="C33572" s="374"/>
      <c r="CV33572" s="376"/>
    </row>
    <row r="33573" spans="1:100">
      <c r="A33573" s="374"/>
      <c r="C33573" s="374"/>
      <c r="CV33573" s="376"/>
    </row>
    <row r="33574" spans="1:100">
      <c r="A33574" s="374"/>
      <c r="C33574" s="374"/>
      <c r="CV33574" s="376"/>
    </row>
    <row r="33575" spans="1:100">
      <c r="A33575" s="374"/>
      <c r="C33575" s="374"/>
      <c r="CV33575" s="376"/>
    </row>
    <row r="33576" spans="1:100">
      <c r="A33576" s="374"/>
      <c r="C33576" s="374"/>
      <c r="CV33576" s="376"/>
    </row>
    <row r="33577" spans="1:100">
      <c r="A33577" s="374"/>
      <c r="C33577" s="374"/>
      <c r="CV33577" s="376"/>
    </row>
    <row r="33578" spans="1:100">
      <c r="A33578" s="374"/>
      <c r="C33578" s="374"/>
      <c r="CV33578" s="376"/>
    </row>
    <row r="33579" spans="1:100">
      <c r="A33579" s="374"/>
      <c r="C33579" s="374"/>
      <c r="CV33579" s="376"/>
    </row>
    <row r="33580" spans="1:100">
      <c r="A33580" s="374"/>
      <c r="C33580" s="374"/>
      <c r="CV33580" s="376"/>
    </row>
    <row r="33581" spans="1:100">
      <c r="A33581" s="374"/>
      <c r="C33581" s="374"/>
      <c r="CV33581" s="376"/>
    </row>
    <row r="33582" spans="1:100">
      <c r="A33582" s="374"/>
      <c r="C33582" s="374"/>
      <c r="CV33582" s="376"/>
    </row>
    <row r="33583" spans="1:100">
      <c r="A33583" s="374"/>
      <c r="C33583" s="374"/>
      <c r="CV33583" s="376"/>
    </row>
    <row r="33584" spans="1:100">
      <c r="A33584" s="374"/>
      <c r="C33584" s="374"/>
      <c r="CV33584" s="376"/>
    </row>
    <row r="33585" spans="1:100">
      <c r="A33585" s="374"/>
      <c r="C33585" s="374"/>
      <c r="CV33585" s="376"/>
    </row>
    <row r="33586" spans="1:100">
      <c r="A33586" s="374"/>
      <c r="C33586" s="374"/>
      <c r="CV33586" s="376"/>
    </row>
    <row r="33587" spans="1:100">
      <c r="A33587" s="374"/>
      <c r="C33587" s="374"/>
      <c r="CV33587" s="376"/>
    </row>
    <row r="33588" spans="1:100">
      <c r="A33588" s="374"/>
      <c r="C33588" s="374"/>
      <c r="CV33588" s="376"/>
    </row>
    <row r="33589" spans="1:100">
      <c r="A33589" s="374"/>
      <c r="C33589" s="374"/>
      <c r="CV33589" s="376"/>
    </row>
    <row r="33590" spans="1:100">
      <c r="A33590" s="374"/>
      <c r="C33590" s="374"/>
      <c r="CV33590" s="376"/>
    </row>
    <row r="33591" spans="1:100">
      <c r="A33591" s="374"/>
      <c r="C33591" s="374"/>
      <c r="CV33591" s="376"/>
    </row>
    <row r="33592" spans="1:100">
      <c r="A33592" s="374"/>
      <c r="C33592" s="374"/>
      <c r="CV33592" s="376"/>
    </row>
    <row r="33593" spans="1:100">
      <c r="A33593" s="374"/>
      <c r="C33593" s="374"/>
      <c r="CV33593" s="376"/>
    </row>
    <row r="33594" spans="1:100">
      <c r="A33594" s="374"/>
      <c r="C33594" s="374"/>
      <c r="CV33594" s="376"/>
    </row>
    <row r="33595" spans="1:100">
      <c r="A33595" s="374"/>
      <c r="C33595" s="374"/>
      <c r="CV33595" s="376"/>
    </row>
    <row r="33596" spans="1:100">
      <c r="A33596" s="374"/>
      <c r="C33596" s="374"/>
      <c r="CV33596" s="376"/>
    </row>
    <row r="33597" spans="1:100">
      <c r="A33597" s="374"/>
      <c r="C33597" s="374"/>
      <c r="CV33597" s="376"/>
    </row>
    <row r="33598" spans="1:100">
      <c r="A33598" s="374"/>
      <c r="C33598" s="374"/>
      <c r="CV33598" s="376"/>
    </row>
    <row r="33599" spans="1:100">
      <c r="A33599" s="374"/>
      <c r="C33599" s="374"/>
      <c r="CV33599" s="376"/>
    </row>
    <row r="33600" spans="1:100">
      <c r="A33600" s="374"/>
      <c r="C33600" s="374"/>
      <c r="CV33600" s="376"/>
    </row>
    <row r="33601" spans="1:100">
      <c r="A33601" s="374"/>
      <c r="C33601" s="374"/>
      <c r="CV33601" s="376"/>
    </row>
    <row r="33602" spans="1:100">
      <c r="A33602" s="374"/>
      <c r="C33602" s="374"/>
      <c r="CV33602" s="376"/>
    </row>
    <row r="33603" spans="1:100">
      <c r="A33603" s="374"/>
      <c r="C33603" s="374"/>
      <c r="CV33603" s="376"/>
    </row>
    <row r="33604" spans="1:100">
      <c r="A33604" s="374"/>
      <c r="C33604" s="374"/>
      <c r="CV33604" s="376"/>
    </row>
    <row r="33605" spans="1:100">
      <c r="A33605" s="374"/>
      <c r="C33605" s="374"/>
      <c r="CV33605" s="376"/>
    </row>
    <row r="33606" spans="1:100">
      <c r="A33606" s="374"/>
      <c r="C33606" s="374"/>
      <c r="CV33606" s="376"/>
    </row>
    <row r="33607" spans="1:100">
      <c r="A33607" s="374"/>
      <c r="C33607" s="374"/>
      <c r="CV33607" s="376"/>
    </row>
    <row r="33608" spans="1:100">
      <c r="A33608" s="374"/>
      <c r="C33608" s="374"/>
      <c r="CV33608" s="376"/>
    </row>
    <row r="33609" spans="1:100">
      <c r="A33609" s="374"/>
      <c r="C33609" s="374"/>
      <c r="CV33609" s="376"/>
    </row>
    <row r="33610" spans="1:100">
      <c r="A33610" s="374"/>
      <c r="C33610" s="374"/>
      <c r="CV33610" s="376"/>
    </row>
    <row r="33611" spans="1:100">
      <c r="A33611" s="374"/>
      <c r="C33611" s="374"/>
      <c r="CV33611" s="376"/>
    </row>
    <row r="33612" spans="1:100">
      <c r="A33612" s="374"/>
      <c r="C33612" s="374"/>
      <c r="CV33612" s="376"/>
    </row>
    <row r="33613" spans="1:100">
      <c r="A33613" s="374"/>
      <c r="C33613" s="374"/>
      <c r="CV33613" s="376"/>
    </row>
    <row r="33614" spans="1:100">
      <c r="A33614" s="374"/>
      <c r="C33614" s="374"/>
      <c r="CV33614" s="376"/>
    </row>
    <row r="33615" spans="1:100">
      <c r="A33615" s="374"/>
      <c r="C33615" s="374"/>
      <c r="CV33615" s="376"/>
    </row>
    <row r="33616" spans="1:100">
      <c r="A33616" s="374"/>
      <c r="C33616" s="374"/>
      <c r="CV33616" s="376"/>
    </row>
    <row r="33617" spans="1:100">
      <c r="A33617" s="374"/>
      <c r="C33617" s="374"/>
      <c r="CV33617" s="376"/>
    </row>
    <row r="33618" spans="1:100">
      <c r="A33618" s="374"/>
      <c r="C33618" s="374"/>
      <c r="CV33618" s="376"/>
    </row>
    <row r="33619" spans="1:100">
      <c r="A33619" s="374"/>
      <c r="C33619" s="374"/>
      <c r="CV33619" s="376"/>
    </row>
    <row r="33620" spans="1:100">
      <c r="A33620" s="374"/>
      <c r="C33620" s="374"/>
      <c r="CV33620" s="376"/>
    </row>
    <row r="33621" spans="1:100">
      <c r="A33621" s="374"/>
      <c r="C33621" s="374"/>
      <c r="CV33621" s="376"/>
    </row>
    <row r="33622" spans="1:100">
      <c r="A33622" s="374"/>
      <c r="C33622" s="374"/>
      <c r="CV33622" s="376"/>
    </row>
    <row r="33623" spans="1:100">
      <c r="A33623" s="374"/>
      <c r="C33623" s="374"/>
      <c r="CV33623" s="376"/>
    </row>
    <row r="33624" spans="1:100">
      <c r="A33624" s="374"/>
      <c r="C33624" s="374"/>
      <c r="CV33624" s="376"/>
    </row>
    <row r="33625" spans="1:100">
      <c r="A33625" s="374"/>
      <c r="C33625" s="374"/>
      <c r="CV33625" s="376"/>
    </row>
    <row r="33626" spans="1:100">
      <c r="A33626" s="374"/>
      <c r="C33626" s="374"/>
      <c r="CV33626" s="376"/>
    </row>
    <row r="33627" spans="1:100">
      <c r="A33627" s="374"/>
      <c r="C33627" s="374"/>
      <c r="CV33627" s="376"/>
    </row>
    <row r="33628" spans="1:100">
      <c r="A33628" s="374"/>
      <c r="C33628" s="374"/>
      <c r="CV33628" s="376"/>
    </row>
    <row r="33629" spans="1:100">
      <c r="A33629" s="374"/>
      <c r="C33629" s="374"/>
      <c r="CV33629" s="376"/>
    </row>
    <row r="33630" spans="1:100">
      <c r="A33630" s="374"/>
      <c r="C33630" s="374"/>
      <c r="CV33630" s="376"/>
    </row>
    <row r="33631" spans="1:100">
      <c r="A33631" s="374"/>
      <c r="C33631" s="374"/>
      <c r="CV33631" s="376"/>
    </row>
    <row r="33632" spans="1:100">
      <c r="A33632" s="374"/>
      <c r="C33632" s="374"/>
      <c r="CV33632" s="376"/>
    </row>
    <row r="33633" spans="1:100">
      <c r="A33633" s="374"/>
      <c r="C33633" s="374"/>
      <c r="CV33633" s="376"/>
    </row>
    <row r="33634" spans="1:100">
      <c r="A33634" s="374"/>
      <c r="C33634" s="374"/>
      <c r="CV33634" s="376"/>
    </row>
    <row r="33635" spans="1:100">
      <c r="A33635" s="374"/>
      <c r="C33635" s="374"/>
      <c r="CV33635" s="376"/>
    </row>
    <row r="33636" spans="1:100">
      <c r="A33636" s="374"/>
      <c r="C33636" s="374"/>
      <c r="CV33636" s="376"/>
    </row>
    <row r="33637" spans="1:100">
      <c r="A33637" s="374"/>
      <c r="C33637" s="374"/>
      <c r="CV33637" s="376"/>
    </row>
    <row r="33638" spans="1:100">
      <c r="A33638" s="374"/>
      <c r="C33638" s="374"/>
      <c r="CV33638" s="376"/>
    </row>
    <row r="33639" spans="1:100">
      <c r="A33639" s="374"/>
      <c r="C33639" s="374"/>
      <c r="CV33639" s="376"/>
    </row>
    <row r="33640" spans="1:100">
      <c r="A33640" s="374"/>
      <c r="C33640" s="374"/>
      <c r="CV33640" s="376"/>
    </row>
    <row r="33641" spans="1:100">
      <c r="A33641" s="374"/>
      <c r="C33641" s="374"/>
      <c r="CV33641" s="376"/>
    </row>
    <row r="33642" spans="1:100">
      <c r="A33642" s="374"/>
      <c r="C33642" s="374"/>
      <c r="CV33642" s="376"/>
    </row>
    <row r="33643" spans="1:100">
      <c r="A33643" s="374"/>
      <c r="C33643" s="374"/>
      <c r="CV33643" s="376"/>
    </row>
    <row r="33644" spans="1:100">
      <c r="A33644" s="374"/>
      <c r="C33644" s="374"/>
      <c r="CV33644" s="376"/>
    </row>
    <row r="33645" spans="1:100">
      <c r="A33645" s="374"/>
      <c r="C33645" s="374"/>
      <c r="CV33645" s="376"/>
    </row>
    <row r="33646" spans="1:100">
      <c r="A33646" s="374"/>
      <c r="C33646" s="374"/>
      <c r="CV33646" s="376"/>
    </row>
    <row r="33647" spans="1:100">
      <c r="A33647" s="374"/>
      <c r="C33647" s="374"/>
      <c r="CV33647" s="376"/>
    </row>
    <row r="33648" spans="1:100">
      <c r="A33648" s="374"/>
      <c r="C33648" s="374"/>
      <c r="CV33648" s="376"/>
    </row>
    <row r="33649" spans="1:100">
      <c r="A33649" s="374"/>
      <c r="C33649" s="374"/>
      <c r="CV33649" s="376"/>
    </row>
    <row r="33650" spans="1:100">
      <c r="A33650" s="374"/>
      <c r="C33650" s="374"/>
      <c r="CV33650" s="376"/>
    </row>
    <row r="33651" spans="1:100">
      <c r="A33651" s="374"/>
      <c r="C33651" s="374"/>
      <c r="CV33651" s="376"/>
    </row>
    <row r="33652" spans="1:100">
      <c r="A33652" s="374"/>
      <c r="C33652" s="374"/>
      <c r="CV33652" s="376"/>
    </row>
    <row r="33653" spans="1:100">
      <c r="A33653" s="374"/>
      <c r="C33653" s="374"/>
      <c r="CV33653" s="376"/>
    </row>
    <row r="33654" spans="1:100">
      <c r="A33654" s="374"/>
      <c r="C33654" s="374"/>
      <c r="CV33654" s="376"/>
    </row>
    <row r="33655" spans="1:100">
      <c r="A33655" s="374"/>
      <c r="C33655" s="374"/>
      <c r="CV33655" s="376"/>
    </row>
    <row r="33656" spans="1:100">
      <c r="A33656" s="374"/>
      <c r="C33656" s="374"/>
      <c r="CV33656" s="376"/>
    </row>
    <row r="33657" spans="1:100">
      <c r="A33657" s="374"/>
      <c r="C33657" s="374"/>
      <c r="CV33657" s="376"/>
    </row>
    <row r="33658" spans="1:100">
      <c r="A33658" s="374"/>
      <c r="C33658" s="374"/>
      <c r="CV33658" s="376"/>
    </row>
    <row r="33659" spans="1:100">
      <c r="A33659" s="374"/>
      <c r="C33659" s="374"/>
      <c r="CV33659" s="376"/>
    </row>
    <row r="33660" spans="1:100">
      <c r="A33660" s="374"/>
      <c r="C33660" s="374"/>
      <c r="CV33660" s="376"/>
    </row>
    <row r="33661" spans="1:100">
      <c r="A33661" s="374"/>
      <c r="C33661" s="374"/>
      <c r="CV33661" s="376"/>
    </row>
    <row r="33662" spans="1:100">
      <c r="A33662" s="374"/>
      <c r="C33662" s="374"/>
      <c r="CV33662" s="376"/>
    </row>
    <row r="33663" spans="1:100">
      <c r="A33663" s="374"/>
      <c r="C33663" s="374"/>
      <c r="CV33663" s="376"/>
    </row>
    <row r="33664" spans="1:100">
      <c r="A33664" s="374"/>
      <c r="C33664" s="374"/>
      <c r="CV33664" s="376"/>
    </row>
    <row r="33665" spans="1:100">
      <c r="A33665" s="374"/>
      <c r="C33665" s="374"/>
      <c r="CV33665" s="376"/>
    </row>
    <row r="33666" spans="1:100">
      <c r="A33666" s="374"/>
      <c r="C33666" s="374"/>
      <c r="CV33666" s="376"/>
    </row>
    <row r="33667" spans="1:100">
      <c r="A33667" s="374"/>
      <c r="C33667" s="374"/>
      <c r="CV33667" s="376"/>
    </row>
    <row r="33668" spans="1:100">
      <c r="A33668" s="374"/>
      <c r="C33668" s="374"/>
      <c r="CV33668" s="376"/>
    </row>
    <row r="33669" spans="1:100">
      <c r="A33669" s="374"/>
      <c r="C33669" s="374"/>
      <c r="CV33669" s="376"/>
    </row>
    <row r="33670" spans="1:100">
      <c r="A33670" s="374"/>
      <c r="C33670" s="374"/>
      <c r="CV33670" s="376"/>
    </row>
    <row r="33671" spans="1:100">
      <c r="A33671" s="374"/>
      <c r="C33671" s="374"/>
      <c r="CV33671" s="376"/>
    </row>
    <row r="33672" spans="1:100">
      <c r="A33672" s="374"/>
      <c r="C33672" s="374"/>
      <c r="CV33672" s="376"/>
    </row>
    <row r="33673" spans="1:100">
      <c r="A33673" s="374"/>
      <c r="C33673" s="374"/>
      <c r="CV33673" s="376"/>
    </row>
    <row r="33674" spans="1:100">
      <c r="A33674" s="374"/>
      <c r="C33674" s="374"/>
      <c r="CV33674" s="376"/>
    </row>
    <row r="33675" spans="1:100">
      <c r="A33675" s="374"/>
      <c r="C33675" s="374"/>
      <c r="CV33675" s="376"/>
    </row>
    <row r="33676" spans="1:100">
      <c r="A33676" s="374"/>
      <c r="C33676" s="374"/>
      <c r="CV33676" s="376"/>
    </row>
    <row r="33677" spans="1:100">
      <c r="A33677" s="374"/>
      <c r="C33677" s="374"/>
      <c r="CV33677" s="376"/>
    </row>
    <row r="33678" spans="1:100">
      <c r="A33678" s="374"/>
      <c r="C33678" s="374"/>
      <c r="CV33678" s="376"/>
    </row>
    <row r="33679" spans="1:100">
      <c r="A33679" s="374"/>
      <c r="C33679" s="374"/>
      <c r="CV33679" s="376"/>
    </row>
    <row r="33680" spans="1:100">
      <c r="A33680" s="374"/>
      <c r="C33680" s="374"/>
      <c r="CV33680" s="376"/>
    </row>
    <row r="33681" spans="1:100">
      <c r="A33681" s="374"/>
      <c r="C33681" s="374"/>
      <c r="CV33681" s="376"/>
    </row>
    <row r="33682" spans="1:100">
      <c r="A33682" s="374"/>
      <c r="C33682" s="374"/>
      <c r="CV33682" s="376"/>
    </row>
    <row r="33683" spans="1:100">
      <c r="A33683" s="374"/>
      <c r="C33683" s="374"/>
      <c r="CV33683" s="376"/>
    </row>
    <row r="33684" spans="1:100">
      <c r="A33684" s="374"/>
      <c r="C33684" s="374"/>
      <c r="CV33684" s="376"/>
    </row>
    <row r="33685" spans="1:100">
      <c r="A33685" s="374"/>
      <c r="C33685" s="374"/>
      <c r="CV33685" s="376"/>
    </row>
    <row r="33686" spans="1:100">
      <c r="A33686" s="374"/>
      <c r="C33686" s="374"/>
      <c r="CV33686" s="376"/>
    </row>
    <row r="33687" spans="1:100">
      <c r="A33687" s="374"/>
      <c r="C33687" s="374"/>
      <c r="CV33687" s="376"/>
    </row>
    <row r="33688" spans="1:100">
      <c r="A33688" s="374"/>
      <c r="C33688" s="374"/>
      <c r="CV33688" s="376"/>
    </row>
    <row r="33689" spans="1:100">
      <c r="A33689" s="374"/>
      <c r="C33689" s="374"/>
      <c r="CV33689" s="376"/>
    </row>
    <row r="33690" spans="1:100">
      <c r="A33690" s="374"/>
      <c r="C33690" s="374"/>
      <c r="CV33690" s="376"/>
    </row>
    <row r="33691" spans="1:100">
      <c r="A33691" s="374"/>
      <c r="C33691" s="374"/>
      <c r="CV33691" s="376"/>
    </row>
    <row r="33692" spans="1:100">
      <c r="A33692" s="374"/>
      <c r="C33692" s="374"/>
      <c r="CV33692" s="376"/>
    </row>
    <row r="33693" spans="1:100">
      <c r="A33693" s="374"/>
      <c r="C33693" s="374"/>
      <c r="CV33693" s="376"/>
    </row>
    <row r="33694" spans="1:100">
      <c r="A33694" s="374"/>
      <c r="C33694" s="374"/>
      <c r="CV33694" s="376"/>
    </row>
    <row r="33695" spans="1:100">
      <c r="A33695" s="374"/>
      <c r="C33695" s="374"/>
      <c r="CV33695" s="376"/>
    </row>
    <row r="33696" spans="1:100">
      <c r="A33696" s="374"/>
      <c r="C33696" s="374"/>
      <c r="CV33696" s="376"/>
    </row>
    <row r="33697" spans="1:100">
      <c r="A33697" s="374"/>
      <c r="C33697" s="374"/>
      <c r="CV33697" s="376"/>
    </row>
    <row r="33698" spans="1:100">
      <c r="A33698" s="374"/>
      <c r="C33698" s="374"/>
      <c r="CV33698" s="376"/>
    </row>
    <row r="33699" spans="1:100">
      <c r="A33699" s="374"/>
      <c r="C33699" s="374"/>
      <c r="CV33699" s="376"/>
    </row>
    <row r="33700" spans="1:100">
      <c r="A33700" s="374"/>
      <c r="C33700" s="374"/>
      <c r="CV33700" s="376"/>
    </row>
    <row r="33701" spans="1:100">
      <c r="A33701" s="374"/>
      <c r="C33701" s="374"/>
      <c r="CV33701" s="376"/>
    </row>
    <row r="33702" spans="1:100">
      <c r="A33702" s="374"/>
      <c r="C33702" s="374"/>
      <c r="CV33702" s="376"/>
    </row>
    <row r="33703" spans="1:100">
      <c r="A33703" s="374"/>
      <c r="C33703" s="374"/>
      <c r="CV33703" s="376"/>
    </row>
    <row r="33704" spans="1:100">
      <c r="A33704" s="374"/>
      <c r="C33704" s="374"/>
      <c r="CV33704" s="376"/>
    </row>
    <row r="33705" spans="1:100">
      <c r="A33705" s="374"/>
      <c r="C33705" s="374"/>
      <c r="CV33705" s="376"/>
    </row>
    <row r="33706" spans="1:100">
      <c r="A33706" s="374"/>
      <c r="C33706" s="374"/>
      <c r="CV33706" s="376"/>
    </row>
    <row r="33707" spans="1:100">
      <c r="A33707" s="374"/>
      <c r="C33707" s="374"/>
      <c r="CV33707" s="376"/>
    </row>
    <row r="33708" spans="1:100">
      <c r="A33708" s="374"/>
      <c r="C33708" s="374"/>
      <c r="CV33708" s="376"/>
    </row>
    <row r="33709" spans="1:100">
      <c r="A33709" s="374"/>
      <c r="C33709" s="374"/>
      <c r="CV33709" s="376"/>
    </row>
    <row r="33710" spans="1:100">
      <c r="A33710" s="374"/>
      <c r="C33710" s="374"/>
      <c r="CV33710" s="376"/>
    </row>
    <row r="33711" spans="1:100">
      <c r="A33711" s="374"/>
      <c r="C33711" s="374"/>
      <c r="CV33711" s="376"/>
    </row>
    <row r="33712" spans="1:100">
      <c r="A33712" s="374"/>
      <c r="C33712" s="374"/>
      <c r="CV33712" s="376"/>
    </row>
    <row r="33713" spans="1:100">
      <c r="A33713" s="374"/>
      <c r="C33713" s="374"/>
      <c r="CV33713" s="376"/>
    </row>
    <row r="33714" spans="1:100">
      <c r="A33714" s="374"/>
      <c r="C33714" s="374"/>
      <c r="CV33714" s="376"/>
    </row>
    <row r="33715" spans="1:100">
      <c r="A33715" s="374"/>
      <c r="C33715" s="374"/>
      <c r="CV33715" s="376"/>
    </row>
    <row r="33716" spans="1:100">
      <c r="A33716" s="374"/>
      <c r="C33716" s="374"/>
      <c r="CV33716" s="376"/>
    </row>
    <row r="33717" spans="1:100">
      <c r="A33717" s="374"/>
      <c r="C33717" s="374"/>
      <c r="CV33717" s="376"/>
    </row>
    <row r="33718" spans="1:100">
      <c r="A33718" s="374"/>
      <c r="C33718" s="374"/>
      <c r="CV33718" s="376"/>
    </row>
    <row r="33719" spans="1:100">
      <c r="A33719" s="374"/>
      <c r="C33719" s="374"/>
      <c r="CV33719" s="376"/>
    </row>
    <row r="33720" spans="1:100">
      <c r="A33720" s="374"/>
      <c r="C33720" s="374"/>
      <c r="CV33720" s="376"/>
    </row>
    <row r="33721" spans="1:100">
      <c r="A33721" s="374"/>
      <c r="C33721" s="374"/>
      <c r="CV33721" s="376"/>
    </row>
    <row r="33722" spans="1:100">
      <c r="A33722" s="374"/>
      <c r="C33722" s="374"/>
      <c r="CV33722" s="376"/>
    </row>
    <row r="33723" spans="1:100">
      <c r="A33723" s="374"/>
      <c r="C33723" s="374"/>
      <c r="CV33723" s="376"/>
    </row>
    <row r="33724" spans="1:100">
      <c r="A33724" s="374"/>
      <c r="C33724" s="374"/>
      <c r="CV33724" s="376"/>
    </row>
    <row r="33725" spans="1:100">
      <c r="A33725" s="374"/>
      <c r="C33725" s="374"/>
      <c r="CV33725" s="376"/>
    </row>
    <row r="33726" spans="1:100">
      <c r="A33726" s="374"/>
      <c r="C33726" s="374"/>
      <c r="CV33726" s="376"/>
    </row>
    <row r="33727" spans="1:100">
      <c r="A33727" s="374"/>
      <c r="C33727" s="374"/>
      <c r="CV33727" s="376"/>
    </row>
    <row r="33728" spans="1:100">
      <c r="A33728" s="374"/>
      <c r="C33728" s="374"/>
      <c r="CV33728" s="376"/>
    </row>
    <row r="33729" spans="1:100">
      <c r="A33729" s="374"/>
      <c r="C33729" s="374"/>
      <c r="CV33729" s="376"/>
    </row>
    <row r="33730" spans="1:100">
      <c r="A33730" s="374"/>
      <c r="C33730" s="374"/>
      <c r="CV33730" s="376"/>
    </row>
    <row r="33731" spans="1:100">
      <c r="A33731" s="374"/>
      <c r="C33731" s="374"/>
      <c r="CV33731" s="376"/>
    </row>
    <row r="33732" spans="1:100">
      <c r="A33732" s="374"/>
      <c r="C33732" s="374"/>
      <c r="CV33732" s="376"/>
    </row>
    <row r="33733" spans="1:100">
      <c r="A33733" s="374"/>
      <c r="C33733" s="374"/>
      <c r="CV33733" s="376"/>
    </row>
    <row r="33734" spans="1:100">
      <c r="A33734" s="374"/>
      <c r="C33734" s="374"/>
      <c r="CV33734" s="376"/>
    </row>
    <row r="33735" spans="1:100">
      <c r="A33735" s="374"/>
      <c r="C33735" s="374"/>
      <c r="CV33735" s="376"/>
    </row>
    <row r="33736" spans="1:100">
      <c r="A33736" s="374"/>
      <c r="C33736" s="374"/>
      <c r="CV33736" s="376"/>
    </row>
    <row r="33737" spans="1:100">
      <c r="A33737" s="374"/>
      <c r="C33737" s="374"/>
      <c r="CV33737" s="376"/>
    </row>
    <row r="33738" spans="1:100">
      <c r="A33738" s="374"/>
      <c r="C33738" s="374"/>
      <c r="CV33738" s="376"/>
    </row>
    <row r="33739" spans="1:100">
      <c r="A33739" s="374"/>
      <c r="C33739" s="374"/>
      <c r="CV33739" s="376"/>
    </row>
    <row r="33740" spans="1:100">
      <c r="A33740" s="374"/>
      <c r="C33740" s="374"/>
      <c r="CV33740" s="376"/>
    </row>
    <row r="33741" spans="1:100">
      <c r="A33741" s="374"/>
      <c r="C33741" s="374"/>
      <c r="CV33741" s="376"/>
    </row>
    <row r="33742" spans="1:100">
      <c r="A33742" s="374"/>
      <c r="C33742" s="374"/>
      <c r="CV33742" s="376"/>
    </row>
    <row r="33743" spans="1:100">
      <c r="A33743" s="374"/>
      <c r="C33743" s="374"/>
      <c r="CV33743" s="376"/>
    </row>
    <row r="33744" spans="1:100">
      <c r="A33744" s="374"/>
      <c r="C33744" s="374"/>
      <c r="CV33744" s="376"/>
    </row>
    <row r="33745" spans="1:100">
      <c r="A33745" s="374"/>
      <c r="C33745" s="374"/>
      <c r="CV33745" s="376"/>
    </row>
    <row r="33746" spans="1:100">
      <c r="A33746" s="374"/>
      <c r="C33746" s="374"/>
      <c r="CV33746" s="376"/>
    </row>
    <row r="33747" spans="1:100">
      <c r="A33747" s="374"/>
      <c r="C33747" s="374"/>
      <c r="CV33747" s="376"/>
    </row>
    <row r="33748" spans="1:100">
      <c r="A33748" s="374"/>
      <c r="C33748" s="374"/>
      <c r="CV33748" s="376"/>
    </row>
    <row r="33749" spans="1:100">
      <c r="A33749" s="374"/>
      <c r="C33749" s="374"/>
      <c r="CV33749" s="376"/>
    </row>
    <row r="33750" spans="1:100">
      <c r="A33750" s="374"/>
      <c r="C33750" s="374"/>
      <c r="CV33750" s="376"/>
    </row>
    <row r="33751" spans="1:100">
      <c r="A33751" s="374"/>
      <c r="C33751" s="374"/>
      <c r="CV33751" s="376"/>
    </row>
    <row r="33752" spans="1:100">
      <c r="A33752" s="374"/>
      <c r="C33752" s="374"/>
      <c r="CV33752" s="376"/>
    </row>
    <row r="33753" spans="1:100">
      <c r="A33753" s="374"/>
      <c r="C33753" s="374"/>
      <c r="CV33753" s="376"/>
    </row>
    <row r="33754" spans="1:100">
      <c r="A33754" s="374"/>
      <c r="C33754" s="374"/>
      <c r="CV33754" s="376"/>
    </row>
    <row r="33755" spans="1:100">
      <c r="A33755" s="374"/>
      <c r="C33755" s="374"/>
      <c r="CV33755" s="376"/>
    </row>
    <row r="33756" spans="1:100">
      <c r="A33756" s="374"/>
      <c r="C33756" s="374"/>
      <c r="CV33756" s="376"/>
    </row>
    <row r="33757" spans="1:100">
      <c r="A33757" s="374"/>
      <c r="C33757" s="374"/>
      <c r="CV33757" s="376"/>
    </row>
    <row r="33758" spans="1:100">
      <c r="A33758" s="374"/>
      <c r="C33758" s="374"/>
      <c r="CV33758" s="376"/>
    </row>
    <row r="33759" spans="1:100">
      <c r="A33759" s="374"/>
      <c r="C33759" s="374"/>
      <c r="CV33759" s="376"/>
    </row>
    <row r="33760" spans="1:100">
      <c r="A33760" s="374"/>
      <c r="C33760" s="374"/>
      <c r="CV33760" s="376"/>
    </row>
    <row r="33761" spans="1:100">
      <c r="A33761" s="374"/>
      <c r="C33761" s="374"/>
      <c r="CV33761" s="376"/>
    </row>
    <row r="33762" spans="1:100">
      <c r="A33762" s="374"/>
      <c r="C33762" s="374"/>
      <c r="CV33762" s="376"/>
    </row>
    <row r="33763" spans="1:100">
      <c r="A33763" s="374"/>
      <c r="C33763" s="374"/>
      <c r="CV33763" s="376"/>
    </row>
    <row r="33764" spans="1:100">
      <c r="A33764" s="374"/>
      <c r="C33764" s="374"/>
      <c r="CV33764" s="376"/>
    </row>
    <row r="33765" spans="1:100">
      <c r="A33765" s="374"/>
      <c r="C33765" s="374"/>
      <c r="CV33765" s="376"/>
    </row>
    <row r="33766" spans="1:100">
      <c r="A33766" s="374"/>
      <c r="C33766" s="374"/>
      <c r="CV33766" s="376"/>
    </row>
    <row r="33767" spans="1:100">
      <c r="A33767" s="374"/>
      <c r="C33767" s="374"/>
      <c r="CV33767" s="376"/>
    </row>
    <row r="33768" spans="1:100">
      <c r="A33768" s="374"/>
      <c r="C33768" s="374"/>
      <c r="CV33768" s="376"/>
    </row>
    <row r="33769" spans="1:100">
      <c r="A33769" s="374"/>
      <c r="C33769" s="374"/>
      <c r="CV33769" s="376"/>
    </row>
    <row r="33770" spans="1:100">
      <c r="A33770" s="374"/>
      <c r="C33770" s="374"/>
      <c r="CV33770" s="376"/>
    </row>
    <row r="33771" spans="1:100">
      <c r="A33771" s="374"/>
      <c r="C33771" s="374"/>
      <c r="CV33771" s="376"/>
    </row>
    <row r="33772" spans="1:100">
      <c r="A33772" s="374"/>
      <c r="C33772" s="374"/>
      <c r="CV33772" s="376"/>
    </row>
    <row r="33773" spans="1:100">
      <c r="A33773" s="374"/>
      <c r="C33773" s="374"/>
      <c r="CV33773" s="376"/>
    </row>
    <row r="33774" spans="1:100">
      <c r="A33774" s="374"/>
      <c r="C33774" s="374"/>
      <c r="CV33774" s="376"/>
    </row>
    <row r="33775" spans="1:100">
      <c r="A33775" s="374"/>
      <c r="C33775" s="374"/>
      <c r="CV33775" s="376"/>
    </row>
    <row r="33776" spans="1:100">
      <c r="A33776" s="374"/>
      <c r="C33776" s="374"/>
      <c r="CV33776" s="376"/>
    </row>
    <row r="33777" spans="1:100">
      <c r="A33777" s="374"/>
      <c r="C33777" s="374"/>
      <c r="CV33777" s="376"/>
    </row>
    <row r="33778" spans="1:100">
      <c r="A33778" s="374"/>
      <c r="C33778" s="374"/>
      <c r="CV33778" s="376"/>
    </row>
    <row r="33779" spans="1:100">
      <c r="A33779" s="374"/>
      <c r="C33779" s="374"/>
      <c r="CV33779" s="376"/>
    </row>
    <row r="33780" spans="1:100">
      <c r="A33780" s="374"/>
      <c r="C33780" s="374"/>
      <c r="CV33780" s="376"/>
    </row>
    <row r="33781" spans="1:100">
      <c r="A33781" s="374"/>
      <c r="C33781" s="374"/>
      <c r="CV33781" s="376"/>
    </row>
    <row r="33782" spans="1:100">
      <c r="A33782" s="374"/>
      <c r="C33782" s="374"/>
      <c r="CV33782" s="376"/>
    </row>
    <row r="33783" spans="1:100">
      <c r="A33783" s="374"/>
      <c r="C33783" s="374"/>
      <c r="CV33783" s="376"/>
    </row>
    <row r="33784" spans="1:100">
      <c r="A33784" s="374"/>
      <c r="C33784" s="374"/>
      <c r="CV33784" s="376"/>
    </row>
    <row r="33785" spans="1:100">
      <c r="A33785" s="374"/>
      <c r="C33785" s="374"/>
      <c r="CV33785" s="376"/>
    </row>
    <row r="33786" spans="1:100">
      <c r="A33786" s="374"/>
      <c r="C33786" s="374"/>
      <c r="CV33786" s="376"/>
    </row>
    <row r="33787" spans="1:100">
      <c r="A33787" s="374"/>
      <c r="C33787" s="374"/>
      <c r="CV33787" s="376"/>
    </row>
    <row r="33788" spans="1:100">
      <c r="A33788" s="374"/>
      <c r="C33788" s="374"/>
      <c r="CV33788" s="376"/>
    </row>
    <row r="33789" spans="1:100">
      <c r="A33789" s="374"/>
      <c r="C33789" s="374"/>
      <c r="CV33789" s="376"/>
    </row>
    <row r="33790" spans="1:100">
      <c r="A33790" s="374"/>
      <c r="C33790" s="374"/>
      <c r="CV33790" s="376"/>
    </row>
    <row r="33791" spans="1:100">
      <c r="A33791" s="374"/>
      <c r="C33791" s="374"/>
      <c r="CV33791" s="376"/>
    </row>
    <row r="33792" spans="1:100">
      <c r="A33792" s="374"/>
      <c r="C33792" s="374"/>
      <c r="CV33792" s="376"/>
    </row>
    <row r="33793" spans="1:100">
      <c r="A33793" s="374"/>
      <c r="C33793" s="374"/>
      <c r="CV33793" s="376"/>
    </row>
    <row r="33794" spans="1:100">
      <c r="A33794" s="374"/>
      <c r="C33794" s="374"/>
      <c r="CV33794" s="376"/>
    </row>
    <row r="33795" spans="1:100">
      <c r="A33795" s="374"/>
      <c r="C33795" s="374"/>
      <c r="CV33795" s="376"/>
    </row>
    <row r="33796" spans="1:100">
      <c r="A33796" s="374"/>
      <c r="C33796" s="374"/>
      <c r="CV33796" s="376"/>
    </row>
    <row r="33797" spans="1:100">
      <c r="A33797" s="374"/>
      <c r="C33797" s="374"/>
      <c r="CV33797" s="376"/>
    </row>
    <row r="33798" spans="1:100">
      <c r="A33798" s="374"/>
      <c r="C33798" s="374"/>
      <c r="CV33798" s="376"/>
    </row>
    <row r="33799" spans="1:100">
      <c r="A33799" s="374"/>
      <c r="C33799" s="374"/>
      <c r="CV33799" s="376"/>
    </row>
    <row r="33800" spans="1:100">
      <c r="A33800" s="374"/>
      <c r="C33800" s="374"/>
      <c r="CV33800" s="376"/>
    </row>
    <row r="33801" spans="1:100">
      <c r="A33801" s="374"/>
      <c r="C33801" s="374"/>
      <c r="CV33801" s="376"/>
    </row>
    <row r="33802" spans="1:100">
      <c r="A33802" s="374"/>
      <c r="C33802" s="374"/>
      <c r="CV33802" s="376"/>
    </row>
    <row r="33803" spans="1:100">
      <c r="A33803" s="374"/>
      <c r="C33803" s="374"/>
      <c r="CV33803" s="376"/>
    </row>
    <row r="33804" spans="1:100">
      <c r="A33804" s="374"/>
      <c r="C33804" s="374"/>
      <c r="CV33804" s="376"/>
    </row>
    <row r="33805" spans="1:100">
      <c r="A33805" s="374"/>
      <c r="C33805" s="374"/>
      <c r="CV33805" s="376"/>
    </row>
    <row r="33806" spans="1:100">
      <c r="A33806" s="374"/>
      <c r="C33806" s="374"/>
      <c r="CV33806" s="376"/>
    </row>
    <row r="33807" spans="1:100">
      <c r="A33807" s="374"/>
      <c r="C33807" s="374"/>
      <c r="CV33807" s="376"/>
    </row>
    <row r="33808" spans="1:100">
      <c r="A33808" s="374"/>
      <c r="C33808" s="374"/>
      <c r="CV33808" s="376"/>
    </row>
    <row r="33809" spans="1:100">
      <c r="A33809" s="374"/>
      <c r="C33809" s="374"/>
      <c r="CV33809" s="376"/>
    </row>
    <row r="33810" spans="1:100">
      <c r="A33810" s="374"/>
      <c r="C33810" s="374"/>
      <c r="CV33810" s="376"/>
    </row>
    <row r="33811" spans="1:100">
      <c r="A33811" s="374"/>
      <c r="C33811" s="374"/>
      <c r="CV33811" s="376"/>
    </row>
    <row r="33812" spans="1:100">
      <c r="A33812" s="374"/>
      <c r="C33812" s="374"/>
      <c r="CV33812" s="376"/>
    </row>
    <row r="33813" spans="1:100">
      <c r="A33813" s="374"/>
      <c r="C33813" s="374"/>
      <c r="CV33813" s="376"/>
    </row>
    <row r="33814" spans="1:100">
      <c r="A33814" s="374"/>
      <c r="C33814" s="374"/>
      <c r="CV33814" s="376"/>
    </row>
    <row r="33815" spans="1:100">
      <c r="A33815" s="374"/>
      <c r="C33815" s="374"/>
      <c r="CV33815" s="376"/>
    </row>
    <row r="33816" spans="1:100">
      <c r="A33816" s="374"/>
      <c r="C33816" s="374"/>
      <c r="CV33816" s="376"/>
    </row>
    <row r="33817" spans="1:100">
      <c r="A33817" s="374"/>
      <c r="C33817" s="374"/>
      <c r="CV33817" s="376"/>
    </row>
    <row r="33818" spans="1:100">
      <c r="A33818" s="374"/>
      <c r="C33818" s="374"/>
      <c r="CV33818" s="376"/>
    </row>
    <row r="33819" spans="1:100">
      <c r="A33819" s="374"/>
      <c r="C33819" s="374"/>
      <c r="CV33819" s="376"/>
    </row>
    <row r="33820" spans="1:100">
      <c r="A33820" s="374"/>
      <c r="C33820" s="374"/>
      <c r="CV33820" s="376"/>
    </row>
    <row r="33821" spans="1:100">
      <c r="A33821" s="374"/>
      <c r="C33821" s="374"/>
      <c r="CV33821" s="376"/>
    </row>
    <row r="33822" spans="1:100">
      <c r="A33822" s="374"/>
      <c r="C33822" s="374"/>
      <c r="CV33822" s="376"/>
    </row>
    <row r="33823" spans="1:100">
      <c r="A33823" s="374"/>
      <c r="C33823" s="374"/>
      <c r="CV33823" s="376"/>
    </row>
    <row r="33824" spans="1:100">
      <c r="A33824" s="374"/>
      <c r="C33824" s="374"/>
      <c r="CV33824" s="376"/>
    </row>
    <row r="33825" spans="1:100">
      <c r="A33825" s="374"/>
      <c r="C33825" s="374"/>
      <c r="CV33825" s="376"/>
    </row>
    <row r="33826" spans="1:100">
      <c r="A33826" s="374"/>
      <c r="C33826" s="374"/>
      <c r="CV33826" s="376"/>
    </row>
    <row r="33827" spans="1:100">
      <c r="A33827" s="374"/>
      <c r="C33827" s="374"/>
      <c r="CV33827" s="376"/>
    </row>
    <row r="33828" spans="1:100">
      <c r="A33828" s="374"/>
      <c r="C33828" s="374"/>
      <c r="CV33828" s="376"/>
    </row>
    <row r="33829" spans="1:100">
      <c r="A33829" s="374"/>
      <c r="C33829" s="374"/>
      <c r="CV33829" s="376"/>
    </row>
    <row r="33830" spans="1:100">
      <c r="A33830" s="374"/>
      <c r="C33830" s="374"/>
      <c r="CV33830" s="376"/>
    </row>
    <row r="33831" spans="1:100">
      <c r="A33831" s="374"/>
      <c r="C33831" s="374"/>
      <c r="CV33831" s="376"/>
    </row>
    <row r="33832" spans="1:100">
      <c r="A33832" s="374"/>
      <c r="C33832" s="374"/>
      <c r="CV33832" s="376"/>
    </row>
    <row r="33833" spans="1:100">
      <c r="A33833" s="374"/>
      <c r="C33833" s="374"/>
      <c r="CV33833" s="376"/>
    </row>
    <row r="33834" spans="1:100">
      <c r="A33834" s="374"/>
      <c r="C33834" s="374"/>
      <c r="CV33834" s="376"/>
    </row>
    <row r="33835" spans="1:100">
      <c r="A33835" s="374"/>
      <c r="C33835" s="374"/>
      <c r="CV33835" s="376"/>
    </row>
    <row r="33836" spans="1:100">
      <c r="A33836" s="374"/>
      <c r="C33836" s="374"/>
      <c r="CV33836" s="376"/>
    </row>
    <row r="33837" spans="1:100">
      <c r="A33837" s="374"/>
      <c r="C33837" s="374"/>
      <c r="CV33837" s="376"/>
    </row>
    <row r="33838" spans="1:100">
      <c r="A33838" s="374"/>
      <c r="C33838" s="374"/>
      <c r="CV33838" s="376"/>
    </row>
    <row r="33839" spans="1:100">
      <c r="A33839" s="374"/>
      <c r="C33839" s="374"/>
      <c r="CV33839" s="376"/>
    </row>
    <row r="33840" spans="1:100">
      <c r="A33840" s="374"/>
      <c r="C33840" s="374"/>
      <c r="CV33840" s="376"/>
    </row>
    <row r="33841" spans="1:100">
      <c r="A33841" s="374"/>
      <c r="C33841" s="374"/>
      <c r="CV33841" s="376"/>
    </row>
    <row r="33842" spans="1:100">
      <c r="A33842" s="374"/>
      <c r="C33842" s="374"/>
      <c r="CV33842" s="376"/>
    </row>
    <row r="33843" spans="1:100">
      <c r="A33843" s="374"/>
      <c r="C33843" s="374"/>
      <c r="CV33843" s="376"/>
    </row>
    <row r="33844" spans="1:100">
      <c r="A33844" s="374"/>
      <c r="C33844" s="374"/>
      <c r="CV33844" s="376"/>
    </row>
    <row r="33845" spans="1:100">
      <c r="A33845" s="374"/>
      <c r="C33845" s="374"/>
      <c r="CV33845" s="376"/>
    </row>
    <row r="33846" spans="1:100">
      <c r="A33846" s="374"/>
      <c r="C33846" s="374"/>
      <c r="CV33846" s="376"/>
    </row>
    <row r="33847" spans="1:100">
      <c r="A33847" s="374"/>
      <c r="C33847" s="374"/>
      <c r="CV33847" s="376"/>
    </row>
    <row r="33848" spans="1:100">
      <c r="A33848" s="374"/>
      <c r="C33848" s="374"/>
      <c r="CV33848" s="376"/>
    </row>
    <row r="33849" spans="1:100">
      <c r="A33849" s="374"/>
      <c r="C33849" s="374"/>
      <c r="CV33849" s="376"/>
    </row>
    <row r="33850" spans="1:100">
      <c r="A33850" s="374"/>
      <c r="C33850" s="374"/>
      <c r="CV33850" s="376"/>
    </row>
    <row r="33851" spans="1:100">
      <c r="A33851" s="374"/>
      <c r="C33851" s="374"/>
      <c r="CV33851" s="376"/>
    </row>
    <row r="33852" spans="1:100">
      <c r="A33852" s="374"/>
      <c r="C33852" s="374"/>
      <c r="CV33852" s="376"/>
    </row>
    <row r="33853" spans="1:100">
      <c r="A33853" s="374"/>
      <c r="C33853" s="374"/>
      <c r="CV33853" s="376"/>
    </row>
    <row r="33854" spans="1:100">
      <c r="A33854" s="374"/>
      <c r="C33854" s="374"/>
      <c r="CV33854" s="376"/>
    </row>
    <row r="33855" spans="1:100">
      <c r="A33855" s="374"/>
      <c r="C33855" s="374"/>
      <c r="CV33855" s="376"/>
    </row>
    <row r="33856" spans="1:100">
      <c r="A33856" s="374"/>
      <c r="C33856" s="374"/>
      <c r="CV33856" s="376"/>
    </row>
    <row r="33857" spans="1:100">
      <c r="A33857" s="374"/>
      <c r="C33857" s="374"/>
      <c r="CV33857" s="376"/>
    </row>
    <row r="33858" spans="1:100">
      <c r="A33858" s="374"/>
      <c r="C33858" s="374"/>
      <c r="CV33858" s="376"/>
    </row>
    <row r="33859" spans="1:100">
      <c r="A33859" s="374"/>
      <c r="C33859" s="374"/>
      <c r="CV33859" s="376"/>
    </row>
    <row r="33860" spans="1:100">
      <c r="A33860" s="374"/>
      <c r="C33860" s="374"/>
      <c r="CV33860" s="376"/>
    </row>
    <row r="33861" spans="1:100">
      <c r="A33861" s="374"/>
      <c r="C33861" s="374"/>
      <c r="CV33861" s="376"/>
    </row>
    <row r="33862" spans="1:100">
      <c r="A33862" s="374"/>
      <c r="C33862" s="374"/>
      <c r="CV33862" s="376"/>
    </row>
    <row r="33863" spans="1:100">
      <c r="A33863" s="374"/>
      <c r="C33863" s="374"/>
      <c r="CV33863" s="376"/>
    </row>
    <row r="33864" spans="1:100">
      <c r="A33864" s="374"/>
      <c r="C33864" s="374"/>
      <c r="CV33864" s="376"/>
    </row>
    <row r="33865" spans="1:100">
      <c r="A33865" s="374"/>
      <c r="C33865" s="374"/>
      <c r="CV33865" s="376"/>
    </row>
    <row r="33866" spans="1:100">
      <c r="A33866" s="374"/>
      <c r="C33866" s="374"/>
      <c r="CV33866" s="376"/>
    </row>
    <row r="33867" spans="1:100">
      <c r="A33867" s="374"/>
      <c r="C33867" s="374"/>
      <c r="CV33867" s="376"/>
    </row>
    <row r="33868" spans="1:100">
      <c r="A33868" s="374"/>
      <c r="C33868" s="374"/>
      <c r="CV33868" s="376"/>
    </row>
    <row r="33869" spans="1:100">
      <c r="A33869" s="374"/>
      <c r="C33869" s="374"/>
      <c r="CV33869" s="376"/>
    </row>
    <row r="33870" spans="1:100">
      <c r="A33870" s="374"/>
      <c r="C33870" s="374"/>
      <c r="CV33870" s="376"/>
    </row>
    <row r="33871" spans="1:100">
      <c r="A33871" s="374"/>
      <c r="C33871" s="374"/>
      <c r="CV33871" s="376"/>
    </row>
    <row r="33872" spans="1:100">
      <c r="A33872" s="374"/>
      <c r="C33872" s="374"/>
      <c r="CV33872" s="376"/>
    </row>
    <row r="33873" spans="1:100">
      <c r="A33873" s="374"/>
      <c r="C33873" s="374"/>
      <c r="CV33873" s="376"/>
    </row>
    <row r="33874" spans="1:100">
      <c r="A33874" s="374"/>
      <c r="C33874" s="374"/>
      <c r="CV33874" s="376"/>
    </row>
    <row r="33875" spans="1:100">
      <c r="A33875" s="374"/>
      <c r="C33875" s="374"/>
      <c r="CV33875" s="376"/>
    </row>
    <row r="33876" spans="1:100">
      <c r="A33876" s="374"/>
      <c r="C33876" s="374"/>
      <c r="CV33876" s="376"/>
    </row>
    <row r="33877" spans="1:100">
      <c r="A33877" s="374"/>
      <c r="C33877" s="374"/>
      <c r="CV33877" s="376"/>
    </row>
    <row r="33878" spans="1:100">
      <c r="A33878" s="374"/>
      <c r="C33878" s="374"/>
      <c r="CV33878" s="376"/>
    </row>
    <row r="33879" spans="1:100">
      <c r="A33879" s="374"/>
      <c r="C33879" s="374"/>
      <c r="CV33879" s="376"/>
    </row>
    <row r="33880" spans="1:100">
      <c r="A33880" s="374"/>
      <c r="C33880" s="374"/>
      <c r="CV33880" s="376"/>
    </row>
    <row r="33881" spans="1:100">
      <c r="A33881" s="374"/>
      <c r="C33881" s="374"/>
      <c r="CV33881" s="376"/>
    </row>
    <row r="33882" spans="1:100">
      <c r="A33882" s="374"/>
      <c r="C33882" s="374"/>
      <c r="CV33882" s="376"/>
    </row>
    <row r="33883" spans="1:100">
      <c r="A33883" s="374"/>
      <c r="C33883" s="374"/>
      <c r="CV33883" s="376"/>
    </row>
    <row r="33884" spans="1:100">
      <c r="A33884" s="374"/>
      <c r="C33884" s="374"/>
      <c r="CV33884" s="376"/>
    </row>
    <row r="33885" spans="1:100">
      <c r="A33885" s="374"/>
      <c r="C33885" s="374"/>
      <c r="CV33885" s="376"/>
    </row>
    <row r="33886" spans="1:100">
      <c r="A33886" s="374"/>
      <c r="C33886" s="374"/>
      <c r="CV33886" s="376"/>
    </row>
    <row r="33887" spans="1:100">
      <c r="A33887" s="374"/>
      <c r="C33887" s="374"/>
      <c r="CV33887" s="376"/>
    </row>
    <row r="33888" spans="1:100">
      <c r="A33888" s="374"/>
      <c r="C33888" s="374"/>
      <c r="CV33888" s="376"/>
    </row>
    <row r="33889" spans="1:100">
      <c r="A33889" s="374"/>
      <c r="C33889" s="374"/>
      <c r="CV33889" s="376"/>
    </row>
    <row r="33890" spans="1:100">
      <c r="A33890" s="374"/>
      <c r="C33890" s="374"/>
      <c r="CV33890" s="376"/>
    </row>
    <row r="33891" spans="1:100">
      <c r="A33891" s="374"/>
      <c r="C33891" s="374"/>
      <c r="CV33891" s="376"/>
    </row>
    <row r="33892" spans="1:100">
      <c r="A33892" s="374"/>
      <c r="C33892" s="374"/>
      <c r="CV33892" s="376"/>
    </row>
    <row r="33893" spans="1:100">
      <c r="A33893" s="374"/>
      <c r="C33893" s="374"/>
      <c r="CV33893" s="376"/>
    </row>
    <row r="33894" spans="1:100">
      <c r="A33894" s="374"/>
      <c r="C33894" s="374"/>
      <c r="CV33894" s="376"/>
    </row>
    <row r="33895" spans="1:100">
      <c r="A33895" s="374"/>
      <c r="C33895" s="374"/>
      <c r="CV33895" s="376"/>
    </row>
    <row r="33896" spans="1:100">
      <c r="A33896" s="374"/>
      <c r="C33896" s="374"/>
      <c r="CV33896" s="376"/>
    </row>
    <row r="33897" spans="1:100">
      <c r="A33897" s="374"/>
      <c r="C33897" s="374"/>
      <c r="CV33897" s="376"/>
    </row>
    <row r="33898" spans="1:100">
      <c r="A33898" s="374"/>
      <c r="C33898" s="374"/>
      <c r="CV33898" s="376"/>
    </row>
    <row r="33899" spans="1:100">
      <c r="A33899" s="374"/>
      <c r="C33899" s="374"/>
      <c r="CV33899" s="376"/>
    </row>
    <row r="33900" spans="1:100">
      <c r="A33900" s="374"/>
      <c r="C33900" s="374"/>
      <c r="CV33900" s="376"/>
    </row>
    <row r="33901" spans="1:100">
      <c r="A33901" s="374"/>
      <c r="C33901" s="374"/>
      <c r="CV33901" s="376"/>
    </row>
    <row r="33902" spans="1:100">
      <c r="A33902" s="374"/>
      <c r="C33902" s="374"/>
      <c r="CV33902" s="376"/>
    </row>
    <row r="33903" spans="1:100">
      <c r="A33903" s="374"/>
      <c r="C33903" s="374"/>
      <c r="CV33903" s="376"/>
    </row>
    <row r="33904" spans="1:100">
      <c r="A33904" s="374"/>
      <c r="C33904" s="374"/>
      <c r="CV33904" s="376"/>
    </row>
    <row r="33905" spans="1:100">
      <c r="A33905" s="374"/>
      <c r="C33905" s="374"/>
      <c r="CV33905" s="376"/>
    </row>
    <row r="33906" spans="1:100">
      <c r="A33906" s="374"/>
      <c r="C33906" s="374"/>
      <c r="CV33906" s="376"/>
    </row>
    <row r="33907" spans="1:100">
      <c r="A33907" s="374"/>
      <c r="C33907" s="374"/>
      <c r="CV33907" s="376"/>
    </row>
    <row r="33908" spans="1:100">
      <c r="A33908" s="374"/>
      <c r="C33908" s="374"/>
      <c r="CV33908" s="376"/>
    </row>
    <row r="33909" spans="1:100">
      <c r="A33909" s="374"/>
      <c r="C33909" s="374"/>
      <c r="CV33909" s="376"/>
    </row>
    <row r="33910" spans="1:100">
      <c r="A33910" s="374"/>
      <c r="C33910" s="374"/>
      <c r="CV33910" s="376"/>
    </row>
    <row r="33911" spans="1:100">
      <c r="A33911" s="374"/>
      <c r="C33911" s="374"/>
      <c r="CV33911" s="376"/>
    </row>
    <row r="33912" spans="1:100">
      <c r="A33912" s="374"/>
      <c r="C33912" s="374"/>
      <c r="CV33912" s="376"/>
    </row>
    <row r="33913" spans="1:100">
      <c r="A33913" s="374"/>
      <c r="C33913" s="374"/>
      <c r="CV33913" s="376"/>
    </row>
    <row r="33914" spans="1:100">
      <c r="A33914" s="374"/>
      <c r="C33914" s="374"/>
      <c r="CV33914" s="376"/>
    </row>
    <row r="33915" spans="1:100">
      <c r="A33915" s="374"/>
      <c r="C33915" s="374"/>
      <c r="CV33915" s="376"/>
    </row>
    <row r="33916" spans="1:100">
      <c r="A33916" s="374"/>
      <c r="C33916" s="374"/>
      <c r="CV33916" s="376"/>
    </row>
    <row r="33917" spans="1:100">
      <c r="A33917" s="374"/>
      <c r="C33917" s="374"/>
      <c r="CV33917" s="376"/>
    </row>
    <row r="33918" spans="1:100">
      <c r="A33918" s="374"/>
      <c r="C33918" s="374"/>
      <c r="CV33918" s="376"/>
    </row>
    <row r="33919" spans="1:100">
      <c r="A33919" s="374"/>
      <c r="C33919" s="374"/>
      <c r="CV33919" s="376"/>
    </row>
    <row r="33920" spans="1:100">
      <c r="A33920" s="374"/>
      <c r="C33920" s="374"/>
      <c r="CV33920" s="376"/>
    </row>
    <row r="33921" spans="1:100">
      <c r="A33921" s="374"/>
      <c r="C33921" s="374"/>
      <c r="CV33921" s="376"/>
    </row>
    <row r="33922" spans="1:100">
      <c r="A33922" s="374"/>
      <c r="C33922" s="374"/>
      <c r="CV33922" s="376"/>
    </row>
    <row r="33923" spans="1:100">
      <c r="A33923" s="374"/>
      <c r="C33923" s="374"/>
      <c r="CV33923" s="376"/>
    </row>
    <row r="33924" spans="1:100">
      <c r="A33924" s="374"/>
      <c r="C33924" s="374"/>
      <c r="CV33924" s="376"/>
    </row>
    <row r="33925" spans="1:100">
      <c r="A33925" s="374"/>
      <c r="C33925" s="374"/>
      <c r="CV33925" s="376"/>
    </row>
    <row r="33926" spans="1:100">
      <c r="A33926" s="374"/>
      <c r="C33926" s="374"/>
      <c r="CV33926" s="376"/>
    </row>
    <row r="33927" spans="1:100">
      <c r="A33927" s="374"/>
      <c r="C33927" s="374"/>
      <c r="CV33927" s="376"/>
    </row>
    <row r="33928" spans="1:100">
      <c r="A33928" s="374"/>
      <c r="C33928" s="374"/>
      <c r="CV33928" s="376"/>
    </row>
    <row r="33929" spans="1:100">
      <c r="A33929" s="374"/>
      <c r="C33929" s="374"/>
      <c r="CV33929" s="376"/>
    </row>
    <row r="33930" spans="1:100">
      <c r="A33930" s="374"/>
      <c r="C33930" s="374"/>
      <c r="CV33930" s="376"/>
    </row>
    <row r="33931" spans="1:100">
      <c r="A33931" s="374"/>
      <c r="C33931" s="374"/>
      <c r="CV33931" s="376"/>
    </row>
    <row r="33932" spans="1:100">
      <c r="A33932" s="374"/>
      <c r="C33932" s="374"/>
      <c r="CV33932" s="376"/>
    </row>
    <row r="33933" spans="1:100">
      <c r="A33933" s="374"/>
      <c r="C33933" s="374"/>
      <c r="CV33933" s="376"/>
    </row>
    <row r="33934" spans="1:100">
      <c r="A33934" s="374"/>
      <c r="C33934" s="374"/>
      <c r="CV33934" s="376"/>
    </row>
    <row r="33935" spans="1:100">
      <c r="A33935" s="374"/>
      <c r="C33935" s="374"/>
      <c r="CV33935" s="376"/>
    </row>
    <row r="33936" spans="1:100">
      <c r="A33936" s="374"/>
      <c r="C33936" s="374"/>
      <c r="CV33936" s="376"/>
    </row>
    <row r="33937" spans="1:100">
      <c r="A33937" s="374"/>
      <c r="C33937" s="374"/>
      <c r="CV33937" s="376"/>
    </row>
    <row r="33938" spans="1:100">
      <c r="A33938" s="374"/>
      <c r="C33938" s="374"/>
      <c r="CV33938" s="376"/>
    </row>
    <row r="33939" spans="1:100">
      <c r="A33939" s="374"/>
      <c r="C33939" s="374"/>
      <c r="CV33939" s="376"/>
    </row>
    <row r="33940" spans="1:100">
      <c r="A33940" s="374"/>
      <c r="C33940" s="374"/>
      <c r="CV33940" s="376"/>
    </row>
    <row r="33941" spans="1:100">
      <c r="A33941" s="374"/>
      <c r="C33941" s="374"/>
      <c r="CV33941" s="376"/>
    </row>
    <row r="33942" spans="1:100">
      <c r="A33942" s="374"/>
      <c r="C33942" s="374"/>
      <c r="CV33942" s="376"/>
    </row>
    <row r="33943" spans="1:100">
      <c r="A33943" s="374"/>
      <c r="C33943" s="374"/>
      <c r="CV33943" s="376"/>
    </row>
    <row r="33944" spans="1:100">
      <c r="A33944" s="374"/>
      <c r="C33944" s="374"/>
      <c r="CV33944" s="376"/>
    </row>
    <row r="33945" spans="1:100">
      <c r="A33945" s="374"/>
      <c r="C33945" s="374"/>
      <c r="CV33945" s="376"/>
    </row>
    <row r="33946" spans="1:100">
      <c r="A33946" s="374"/>
      <c r="C33946" s="374"/>
      <c r="CV33946" s="376"/>
    </row>
    <row r="33947" spans="1:100">
      <c r="A33947" s="374"/>
      <c r="C33947" s="374"/>
      <c r="CV33947" s="376"/>
    </row>
    <row r="33948" spans="1:100">
      <c r="A33948" s="374"/>
      <c r="C33948" s="374"/>
      <c r="CV33948" s="376"/>
    </row>
    <row r="33949" spans="1:100">
      <c r="A33949" s="374"/>
      <c r="C33949" s="374"/>
      <c r="CV33949" s="376"/>
    </row>
    <row r="33950" spans="1:100">
      <c r="A33950" s="374"/>
      <c r="C33950" s="374"/>
      <c r="CV33950" s="376"/>
    </row>
    <row r="33951" spans="1:100">
      <c r="A33951" s="374"/>
      <c r="C33951" s="374"/>
      <c r="CV33951" s="376"/>
    </row>
    <row r="33952" spans="1:100">
      <c r="A33952" s="374"/>
      <c r="C33952" s="374"/>
      <c r="CV33952" s="376"/>
    </row>
    <row r="33953" spans="1:100">
      <c r="A33953" s="374"/>
      <c r="C33953" s="374"/>
      <c r="CV33953" s="376"/>
    </row>
    <row r="33954" spans="1:100">
      <c r="A33954" s="374"/>
      <c r="C33954" s="374"/>
      <c r="CV33954" s="376"/>
    </row>
    <row r="33955" spans="1:100">
      <c r="A33955" s="374"/>
      <c r="C33955" s="374"/>
      <c r="CV33955" s="376"/>
    </row>
    <row r="33956" spans="1:100">
      <c r="A33956" s="374"/>
      <c r="C33956" s="374"/>
      <c r="CV33956" s="376"/>
    </row>
    <row r="33957" spans="1:100">
      <c r="A33957" s="374"/>
      <c r="C33957" s="374"/>
      <c r="CV33957" s="376"/>
    </row>
    <row r="33958" spans="1:100">
      <c r="A33958" s="374"/>
      <c r="C33958" s="374"/>
      <c r="CV33958" s="376"/>
    </row>
    <row r="33959" spans="1:100">
      <c r="A33959" s="374"/>
      <c r="C33959" s="374"/>
      <c r="CV33959" s="376"/>
    </row>
    <row r="33960" spans="1:100">
      <c r="A33960" s="374"/>
      <c r="C33960" s="374"/>
      <c r="CV33960" s="376"/>
    </row>
    <row r="33961" spans="1:100">
      <c r="A33961" s="374"/>
      <c r="C33961" s="374"/>
      <c r="CV33961" s="376"/>
    </row>
    <row r="33962" spans="1:100">
      <c r="A33962" s="374"/>
      <c r="C33962" s="374"/>
      <c r="CV33962" s="376"/>
    </row>
    <row r="33963" spans="1:100">
      <c r="A33963" s="374"/>
      <c r="C33963" s="374"/>
      <c r="CV33963" s="376"/>
    </row>
    <row r="33964" spans="1:100">
      <c r="A33964" s="374"/>
      <c r="C33964" s="374"/>
      <c r="CV33964" s="376"/>
    </row>
    <row r="33965" spans="1:100">
      <c r="A33965" s="374"/>
      <c r="C33965" s="374"/>
      <c r="CV33965" s="376"/>
    </row>
    <row r="33966" spans="1:100">
      <c r="A33966" s="374"/>
      <c r="C33966" s="374"/>
      <c r="CV33966" s="376"/>
    </row>
    <row r="33967" spans="1:100">
      <c r="A33967" s="374"/>
      <c r="C33967" s="374"/>
      <c r="CV33967" s="376"/>
    </row>
    <row r="33968" spans="1:100">
      <c r="A33968" s="374"/>
      <c r="C33968" s="374"/>
      <c r="CV33968" s="376"/>
    </row>
    <row r="33969" spans="1:100">
      <c r="A33969" s="374"/>
      <c r="C33969" s="374"/>
      <c r="CV33969" s="376"/>
    </row>
    <row r="33970" spans="1:100">
      <c r="A33970" s="374"/>
      <c r="C33970" s="374"/>
      <c r="CV33970" s="376"/>
    </row>
    <row r="33971" spans="1:100">
      <c r="A33971" s="374"/>
      <c r="C33971" s="374"/>
      <c r="CV33971" s="376"/>
    </row>
    <row r="33972" spans="1:100">
      <c r="A33972" s="374"/>
      <c r="C33972" s="374"/>
      <c r="CV33972" s="376"/>
    </row>
    <row r="33973" spans="1:100">
      <c r="A33973" s="374"/>
      <c r="C33973" s="374"/>
      <c r="CV33973" s="376"/>
    </row>
    <row r="33974" spans="1:100">
      <c r="A33974" s="374"/>
      <c r="C33974" s="374"/>
      <c r="CV33974" s="376"/>
    </row>
    <row r="33975" spans="1:100">
      <c r="A33975" s="374"/>
      <c r="C33975" s="374"/>
      <c r="CV33975" s="376"/>
    </row>
    <row r="33976" spans="1:100">
      <c r="A33976" s="374"/>
      <c r="C33976" s="374"/>
      <c r="CV33976" s="376"/>
    </row>
    <row r="33977" spans="1:100">
      <c r="A33977" s="374"/>
      <c r="C33977" s="374"/>
      <c r="CV33977" s="376"/>
    </row>
    <row r="33978" spans="1:100">
      <c r="A33978" s="374"/>
      <c r="C33978" s="374"/>
      <c r="CV33978" s="376"/>
    </row>
    <row r="33979" spans="1:100">
      <c r="A33979" s="374"/>
      <c r="C33979" s="374"/>
      <c r="CV33979" s="376"/>
    </row>
    <row r="33980" spans="1:100">
      <c r="A33980" s="374"/>
      <c r="C33980" s="374"/>
      <c r="CV33980" s="376"/>
    </row>
    <row r="33981" spans="1:100">
      <c r="A33981" s="374"/>
      <c r="C33981" s="374"/>
      <c r="CV33981" s="376"/>
    </row>
    <row r="33982" spans="1:100">
      <c r="A33982" s="374"/>
      <c r="C33982" s="374"/>
      <c r="CV33982" s="376"/>
    </row>
    <row r="33983" spans="1:100">
      <c r="A33983" s="374"/>
      <c r="C33983" s="374"/>
      <c r="CV33983" s="376"/>
    </row>
    <row r="33984" spans="1:100">
      <c r="A33984" s="374"/>
      <c r="C33984" s="374"/>
      <c r="CV33984" s="376"/>
    </row>
    <row r="33985" spans="1:100">
      <c r="A33985" s="374"/>
      <c r="C33985" s="374"/>
      <c r="CV33985" s="376"/>
    </row>
    <row r="33986" spans="1:100">
      <c r="A33986" s="374"/>
      <c r="C33986" s="374"/>
      <c r="CV33986" s="376"/>
    </row>
    <row r="33987" spans="1:100">
      <c r="A33987" s="374"/>
      <c r="C33987" s="374"/>
      <c r="CV33987" s="376"/>
    </row>
    <row r="33988" spans="1:100">
      <c r="A33988" s="374"/>
      <c r="C33988" s="374"/>
      <c r="CV33988" s="376"/>
    </row>
    <row r="33989" spans="1:100">
      <c r="A33989" s="374"/>
      <c r="C33989" s="374"/>
      <c r="CV33989" s="376"/>
    </row>
    <row r="33990" spans="1:100">
      <c r="A33990" s="374"/>
      <c r="C33990" s="374"/>
      <c r="CV33990" s="376"/>
    </row>
    <row r="33991" spans="1:100">
      <c r="A33991" s="374"/>
      <c r="C33991" s="374"/>
      <c r="CV33991" s="376"/>
    </row>
    <row r="33992" spans="1:100">
      <c r="A33992" s="374"/>
      <c r="C33992" s="374"/>
      <c r="CV33992" s="376"/>
    </row>
    <row r="33993" spans="1:100">
      <c r="A33993" s="374"/>
      <c r="C33993" s="374"/>
      <c r="CV33993" s="376"/>
    </row>
    <row r="33994" spans="1:100">
      <c r="A33994" s="374"/>
      <c r="C33994" s="374"/>
      <c r="CV33994" s="376"/>
    </row>
    <row r="33995" spans="1:100">
      <c r="A33995" s="374"/>
      <c r="C33995" s="374"/>
      <c r="CV33995" s="376"/>
    </row>
    <row r="33996" spans="1:100">
      <c r="A33996" s="374"/>
      <c r="C33996" s="374"/>
      <c r="CV33996" s="376"/>
    </row>
    <row r="33997" spans="1:100">
      <c r="A33997" s="374"/>
      <c r="C33997" s="374"/>
      <c r="CV33997" s="376"/>
    </row>
    <row r="33998" spans="1:100">
      <c r="A33998" s="374"/>
      <c r="C33998" s="374"/>
      <c r="CV33998" s="376"/>
    </row>
    <row r="33999" spans="1:100">
      <c r="A33999" s="374"/>
      <c r="C33999" s="374"/>
      <c r="CV33999" s="376"/>
    </row>
    <row r="34000" spans="1:100">
      <c r="A34000" s="374"/>
      <c r="C34000" s="374"/>
      <c r="CV34000" s="376"/>
    </row>
    <row r="34001" spans="1:100">
      <c r="A34001" s="374"/>
      <c r="C34001" s="374"/>
      <c r="CV34001" s="376"/>
    </row>
    <row r="34002" spans="1:100">
      <c r="A34002" s="374"/>
      <c r="C34002" s="374"/>
      <c r="CV34002" s="376"/>
    </row>
    <row r="34003" spans="1:100">
      <c r="A34003" s="374"/>
      <c r="C34003" s="374"/>
      <c r="CV34003" s="376"/>
    </row>
    <row r="34004" spans="1:100">
      <c r="A34004" s="374"/>
      <c r="C34004" s="374"/>
      <c r="CV34004" s="376"/>
    </row>
    <row r="34005" spans="1:100">
      <c r="A34005" s="374"/>
      <c r="C34005" s="374"/>
      <c r="CV34005" s="376"/>
    </row>
    <row r="34006" spans="1:100">
      <c r="A34006" s="374"/>
      <c r="C34006" s="374"/>
      <c r="CV34006" s="376"/>
    </row>
    <row r="34007" spans="1:100">
      <c r="A34007" s="374"/>
      <c r="C34007" s="374"/>
      <c r="CV34007" s="376"/>
    </row>
    <row r="34008" spans="1:100">
      <c r="A34008" s="374"/>
      <c r="C34008" s="374"/>
      <c r="CV34008" s="376"/>
    </row>
    <row r="34009" spans="1:100">
      <c r="A34009" s="374"/>
      <c r="C34009" s="374"/>
      <c r="CV34009" s="376"/>
    </row>
    <row r="34010" spans="1:100">
      <c r="A34010" s="374"/>
      <c r="C34010" s="374"/>
      <c r="CV34010" s="376"/>
    </row>
    <row r="34011" spans="1:100">
      <c r="A34011" s="374"/>
      <c r="C34011" s="374"/>
      <c r="CV34011" s="376"/>
    </row>
    <row r="34012" spans="1:100">
      <c r="A34012" s="374"/>
      <c r="C34012" s="374"/>
      <c r="CV34012" s="376"/>
    </row>
    <row r="34013" spans="1:100">
      <c r="A34013" s="374"/>
      <c r="C34013" s="374"/>
      <c r="CV34013" s="376"/>
    </row>
    <row r="34014" spans="1:100">
      <c r="A34014" s="374"/>
      <c r="C34014" s="374"/>
      <c r="CV34014" s="376"/>
    </row>
    <row r="34015" spans="1:100">
      <c r="A34015" s="374"/>
      <c r="C34015" s="374"/>
      <c r="CV34015" s="376"/>
    </row>
    <row r="34016" spans="1:100">
      <c r="A34016" s="374"/>
      <c r="C34016" s="374"/>
      <c r="CV34016" s="376"/>
    </row>
    <row r="34017" spans="1:100">
      <c r="A34017" s="374"/>
      <c r="C34017" s="374"/>
      <c r="CV34017" s="376"/>
    </row>
    <row r="34018" spans="1:100">
      <c r="A34018" s="374"/>
      <c r="C34018" s="374"/>
      <c r="CV34018" s="376"/>
    </row>
    <row r="34019" spans="1:100">
      <c r="A34019" s="374"/>
      <c r="C34019" s="374"/>
      <c r="CV34019" s="376"/>
    </row>
    <row r="34020" spans="1:100">
      <c r="A34020" s="374"/>
      <c r="C34020" s="374"/>
      <c r="CV34020" s="376"/>
    </row>
    <row r="34021" spans="1:100">
      <c r="A34021" s="374"/>
      <c r="C34021" s="374"/>
      <c r="CV34021" s="376"/>
    </row>
    <row r="34022" spans="1:100">
      <c r="A34022" s="374"/>
      <c r="C34022" s="374"/>
      <c r="CV34022" s="376"/>
    </row>
    <row r="34023" spans="1:100">
      <c r="A34023" s="374"/>
      <c r="C34023" s="374"/>
      <c r="CV34023" s="376"/>
    </row>
    <row r="34024" spans="1:100">
      <c r="A34024" s="374"/>
      <c r="C34024" s="374"/>
      <c r="CV34024" s="376"/>
    </row>
    <row r="34025" spans="1:100">
      <c r="A34025" s="374"/>
      <c r="C34025" s="374"/>
      <c r="CV34025" s="376"/>
    </row>
    <row r="34026" spans="1:100">
      <c r="A34026" s="374"/>
      <c r="C34026" s="374"/>
      <c r="CV34026" s="376"/>
    </row>
    <row r="34027" spans="1:100">
      <c r="A34027" s="374"/>
      <c r="C34027" s="374"/>
      <c r="CV34027" s="376"/>
    </row>
    <row r="34028" spans="1:100">
      <c r="A34028" s="374"/>
      <c r="C34028" s="374"/>
      <c r="CV34028" s="376"/>
    </row>
    <row r="34029" spans="1:100">
      <c r="A34029" s="374"/>
      <c r="C34029" s="374"/>
      <c r="CV34029" s="376"/>
    </row>
    <row r="34030" spans="1:100">
      <c r="A34030" s="374"/>
      <c r="C34030" s="374"/>
      <c r="CV34030" s="376"/>
    </row>
    <row r="34031" spans="1:100">
      <c r="A34031" s="374"/>
      <c r="C34031" s="374"/>
      <c r="CV34031" s="376"/>
    </row>
    <row r="34032" spans="1:100">
      <c r="A34032" s="374"/>
      <c r="C34032" s="374"/>
      <c r="CV34032" s="376"/>
    </row>
    <row r="34033" spans="1:100">
      <c r="A34033" s="374"/>
      <c r="C34033" s="374"/>
      <c r="CV34033" s="376"/>
    </row>
    <row r="34034" spans="1:100">
      <c r="A34034" s="374"/>
      <c r="C34034" s="374"/>
      <c r="CV34034" s="376"/>
    </row>
    <row r="34035" spans="1:100">
      <c r="A34035" s="374"/>
      <c r="C34035" s="374"/>
      <c r="CV34035" s="376"/>
    </row>
    <row r="34036" spans="1:100">
      <c r="A34036" s="374"/>
      <c r="C34036" s="374"/>
      <c r="CV34036" s="376"/>
    </row>
    <row r="34037" spans="1:100">
      <c r="A34037" s="374"/>
      <c r="C34037" s="374"/>
      <c r="CV34037" s="376"/>
    </row>
    <row r="34038" spans="1:100">
      <c r="A34038" s="374"/>
      <c r="C34038" s="374"/>
      <c r="CV34038" s="376"/>
    </row>
    <row r="34039" spans="1:100">
      <c r="A34039" s="374"/>
      <c r="C34039" s="374"/>
      <c r="CV34039" s="376"/>
    </row>
    <row r="34040" spans="1:100">
      <c r="A34040" s="374"/>
      <c r="C34040" s="374"/>
      <c r="CV34040" s="376"/>
    </row>
    <row r="34041" spans="1:100">
      <c r="A34041" s="374"/>
      <c r="C34041" s="374"/>
      <c r="CV34041" s="376"/>
    </row>
    <row r="34042" spans="1:100">
      <c r="A34042" s="374"/>
      <c r="C34042" s="374"/>
      <c r="CV34042" s="376"/>
    </row>
    <row r="34043" spans="1:100">
      <c r="A34043" s="374"/>
      <c r="C34043" s="374"/>
      <c r="CV34043" s="376"/>
    </row>
    <row r="34044" spans="1:100">
      <c r="A34044" s="374"/>
      <c r="C34044" s="374"/>
      <c r="CV34044" s="376"/>
    </row>
    <row r="34045" spans="1:100">
      <c r="A34045" s="374"/>
      <c r="C34045" s="374"/>
      <c r="CV34045" s="376"/>
    </row>
    <row r="34046" spans="1:100">
      <c r="A34046" s="374"/>
      <c r="C34046" s="374"/>
      <c r="CV34046" s="376"/>
    </row>
    <row r="34047" spans="1:100">
      <c r="A34047" s="374"/>
      <c r="C34047" s="374"/>
      <c r="CV34047" s="376"/>
    </row>
    <row r="34048" spans="1:100">
      <c r="A34048" s="374"/>
      <c r="C34048" s="374"/>
      <c r="CV34048" s="376"/>
    </row>
    <row r="34049" spans="1:100">
      <c r="A34049" s="374"/>
      <c r="C34049" s="374"/>
      <c r="CV34049" s="376"/>
    </row>
    <row r="34050" spans="1:100">
      <c r="A34050" s="374"/>
      <c r="C34050" s="374"/>
      <c r="CV34050" s="376"/>
    </row>
    <row r="34051" spans="1:100">
      <c r="A34051" s="374"/>
      <c r="C34051" s="374"/>
      <c r="CV34051" s="376"/>
    </row>
    <row r="34052" spans="1:100">
      <c r="A34052" s="374"/>
      <c r="C34052" s="374"/>
      <c r="CV34052" s="376"/>
    </row>
    <row r="34053" spans="1:100">
      <c r="A34053" s="374"/>
      <c r="C34053" s="374"/>
      <c r="CV34053" s="376"/>
    </row>
    <row r="34054" spans="1:100">
      <c r="A34054" s="374"/>
      <c r="C34054" s="374"/>
      <c r="CV34054" s="376"/>
    </row>
    <row r="34055" spans="1:100">
      <c r="A34055" s="374"/>
      <c r="C34055" s="374"/>
      <c r="CV34055" s="376"/>
    </row>
    <row r="34056" spans="1:100">
      <c r="A34056" s="374"/>
      <c r="C34056" s="374"/>
      <c r="CV34056" s="376"/>
    </row>
    <row r="34057" spans="1:100">
      <c r="A34057" s="374"/>
      <c r="C34057" s="374"/>
      <c r="CV34057" s="376"/>
    </row>
    <row r="34058" spans="1:100">
      <c r="A34058" s="374"/>
      <c r="C34058" s="374"/>
      <c r="CV34058" s="376"/>
    </row>
    <row r="34059" spans="1:100">
      <c r="A34059" s="374"/>
      <c r="C34059" s="374"/>
      <c r="CV34059" s="376"/>
    </row>
    <row r="34060" spans="1:100">
      <c r="A34060" s="374"/>
      <c r="C34060" s="374"/>
      <c r="CV34060" s="376"/>
    </row>
    <row r="34061" spans="1:100">
      <c r="A34061" s="374"/>
      <c r="C34061" s="374"/>
      <c r="CV34061" s="376"/>
    </row>
    <row r="34062" spans="1:100">
      <c r="A34062" s="374"/>
      <c r="C34062" s="374"/>
      <c r="CV34062" s="376"/>
    </row>
    <row r="34063" spans="1:100">
      <c r="A34063" s="374"/>
      <c r="C34063" s="374"/>
      <c r="CV34063" s="376"/>
    </row>
    <row r="34064" spans="1:100">
      <c r="A34064" s="374"/>
      <c r="C34064" s="374"/>
      <c r="CV34064" s="376"/>
    </row>
    <row r="34065" spans="1:100">
      <c r="A34065" s="374"/>
      <c r="C34065" s="374"/>
      <c r="CV34065" s="376"/>
    </row>
    <row r="34066" spans="1:100">
      <c r="A34066" s="374"/>
      <c r="C34066" s="374"/>
      <c r="CV34066" s="376"/>
    </row>
    <row r="34067" spans="1:100">
      <c r="A34067" s="374"/>
      <c r="C34067" s="374"/>
      <c r="CV34067" s="376"/>
    </row>
    <row r="34068" spans="1:100">
      <c r="A34068" s="374"/>
      <c r="C34068" s="374"/>
      <c r="CV34068" s="376"/>
    </row>
    <row r="34069" spans="1:100">
      <c r="A34069" s="374"/>
      <c r="C34069" s="374"/>
      <c r="CV34069" s="376"/>
    </row>
    <row r="34070" spans="1:100">
      <c r="A34070" s="374"/>
      <c r="C34070" s="374"/>
      <c r="CV34070" s="376"/>
    </row>
    <row r="34071" spans="1:100">
      <c r="A34071" s="374"/>
      <c r="C34071" s="374"/>
      <c r="CV34071" s="376"/>
    </row>
    <row r="34072" spans="1:100">
      <c r="A34072" s="374"/>
      <c r="C34072" s="374"/>
      <c r="CV34072" s="376"/>
    </row>
    <row r="34073" spans="1:100">
      <c r="A34073" s="374"/>
      <c r="C34073" s="374"/>
      <c r="CV34073" s="376"/>
    </row>
    <row r="34074" spans="1:100">
      <c r="A34074" s="374"/>
      <c r="C34074" s="374"/>
      <c r="CV34074" s="376"/>
    </row>
    <row r="34075" spans="1:100">
      <c r="A34075" s="374"/>
      <c r="C34075" s="374"/>
      <c r="CV34075" s="376"/>
    </row>
    <row r="34076" spans="1:100">
      <c r="A34076" s="374"/>
      <c r="C34076" s="374"/>
      <c r="CV34076" s="376"/>
    </row>
    <row r="34077" spans="1:100">
      <c r="A34077" s="374"/>
      <c r="C34077" s="374"/>
      <c r="CV34077" s="376"/>
    </row>
    <row r="34078" spans="1:100">
      <c r="A34078" s="374"/>
      <c r="C34078" s="374"/>
      <c r="CV34078" s="376"/>
    </row>
    <row r="34079" spans="1:100">
      <c r="A34079" s="374"/>
      <c r="C34079" s="374"/>
      <c r="CV34079" s="376"/>
    </row>
    <row r="34080" spans="1:100">
      <c r="A34080" s="374"/>
      <c r="C34080" s="374"/>
      <c r="CV34080" s="376"/>
    </row>
    <row r="34081" spans="1:100">
      <c r="A34081" s="374"/>
      <c r="C34081" s="374"/>
      <c r="CV34081" s="376"/>
    </row>
    <row r="34082" spans="1:100">
      <c r="A34082" s="374"/>
      <c r="C34082" s="374"/>
      <c r="CV34082" s="376"/>
    </row>
    <row r="34083" spans="1:100">
      <c r="A34083" s="374"/>
      <c r="C34083" s="374"/>
      <c r="CV34083" s="376"/>
    </row>
    <row r="34084" spans="1:100">
      <c r="A34084" s="374"/>
      <c r="C34084" s="374"/>
      <c r="CV34084" s="376"/>
    </row>
    <row r="34085" spans="1:100">
      <c r="A34085" s="374"/>
      <c r="C34085" s="374"/>
      <c r="CV34085" s="376"/>
    </row>
    <row r="34086" spans="1:100">
      <c r="A34086" s="374"/>
      <c r="C34086" s="374"/>
      <c r="CV34086" s="376"/>
    </row>
    <row r="34087" spans="1:100">
      <c r="A34087" s="374"/>
      <c r="C34087" s="374"/>
      <c r="CV34087" s="376"/>
    </row>
    <row r="34088" spans="1:100">
      <c r="A34088" s="374"/>
      <c r="C34088" s="374"/>
      <c r="CV34088" s="376"/>
    </row>
    <row r="34089" spans="1:100">
      <c r="A34089" s="374"/>
      <c r="C34089" s="374"/>
      <c r="CV34089" s="376"/>
    </row>
    <row r="34090" spans="1:100">
      <c r="A34090" s="374"/>
      <c r="C34090" s="374"/>
      <c r="CV34090" s="376"/>
    </row>
    <row r="34091" spans="1:100">
      <c r="A34091" s="374"/>
      <c r="C34091" s="374"/>
      <c r="CV34091" s="376"/>
    </row>
    <row r="34092" spans="1:100">
      <c r="A34092" s="374"/>
      <c r="C34092" s="374"/>
      <c r="CV34092" s="376"/>
    </row>
    <row r="34093" spans="1:100">
      <c r="A34093" s="374"/>
      <c r="C34093" s="374"/>
      <c r="CV34093" s="376"/>
    </row>
    <row r="34094" spans="1:100">
      <c r="A34094" s="374"/>
      <c r="C34094" s="374"/>
      <c r="CV34094" s="376"/>
    </row>
    <row r="34095" spans="1:100">
      <c r="A34095" s="374"/>
      <c r="C34095" s="374"/>
      <c r="CV34095" s="376"/>
    </row>
    <row r="34096" spans="1:100">
      <c r="A34096" s="374"/>
      <c r="C34096" s="374"/>
      <c r="CV34096" s="376"/>
    </row>
    <row r="34097" spans="1:100">
      <c r="A34097" s="374"/>
      <c r="C34097" s="374"/>
      <c r="CV34097" s="376"/>
    </row>
    <row r="34098" spans="1:100">
      <c r="A34098" s="374"/>
      <c r="C34098" s="374"/>
      <c r="CV34098" s="376"/>
    </row>
    <row r="34099" spans="1:100">
      <c r="A34099" s="374"/>
      <c r="C34099" s="374"/>
      <c r="CV34099" s="376"/>
    </row>
    <row r="34100" spans="1:100">
      <c r="A34100" s="374"/>
      <c r="C34100" s="374"/>
      <c r="CV34100" s="376"/>
    </row>
    <row r="34101" spans="1:100">
      <c r="A34101" s="374"/>
      <c r="C34101" s="374"/>
      <c r="CV34101" s="376"/>
    </row>
    <row r="34102" spans="1:100">
      <c r="A34102" s="374"/>
      <c r="C34102" s="374"/>
      <c r="CV34102" s="376"/>
    </row>
    <row r="34103" spans="1:100">
      <c r="A34103" s="374"/>
      <c r="C34103" s="374"/>
      <c r="CV34103" s="376"/>
    </row>
    <row r="34104" spans="1:100">
      <c r="A34104" s="374"/>
      <c r="C34104" s="374"/>
      <c r="CV34104" s="376"/>
    </row>
    <row r="34105" spans="1:100">
      <c r="A34105" s="374"/>
      <c r="C34105" s="374"/>
      <c r="CV34105" s="376"/>
    </row>
    <row r="34106" spans="1:100">
      <c r="A34106" s="374"/>
      <c r="C34106" s="374"/>
      <c r="CV34106" s="376"/>
    </row>
    <row r="34107" spans="1:100">
      <c r="A34107" s="374"/>
      <c r="C34107" s="374"/>
      <c r="CV34107" s="376"/>
    </row>
    <row r="34108" spans="1:100">
      <c r="A34108" s="374"/>
      <c r="C34108" s="374"/>
      <c r="CV34108" s="376"/>
    </row>
    <row r="34109" spans="1:100">
      <c r="A34109" s="374"/>
      <c r="C34109" s="374"/>
      <c r="CV34109" s="376"/>
    </row>
    <row r="34110" spans="1:100">
      <c r="A34110" s="374"/>
      <c r="C34110" s="374"/>
      <c r="CV34110" s="376"/>
    </row>
    <row r="34111" spans="1:100">
      <c r="A34111" s="374"/>
      <c r="C34111" s="374"/>
      <c r="CV34111" s="376"/>
    </row>
    <row r="34112" spans="1:100">
      <c r="A34112" s="374"/>
      <c r="C34112" s="374"/>
      <c r="CV34112" s="376"/>
    </row>
    <row r="34113" spans="1:100">
      <c r="A34113" s="374"/>
      <c r="C34113" s="374"/>
      <c r="CV34113" s="376"/>
    </row>
    <row r="34114" spans="1:100">
      <c r="A34114" s="374"/>
      <c r="C34114" s="374"/>
      <c r="CV34114" s="376"/>
    </row>
    <row r="34115" spans="1:100">
      <c r="A34115" s="374"/>
      <c r="C34115" s="374"/>
      <c r="CV34115" s="376"/>
    </row>
    <row r="34116" spans="1:100">
      <c r="A34116" s="374"/>
      <c r="C34116" s="374"/>
      <c r="CV34116" s="376"/>
    </row>
    <row r="34117" spans="1:100">
      <c r="A34117" s="374"/>
      <c r="C34117" s="374"/>
      <c r="CV34117" s="376"/>
    </row>
    <row r="34118" spans="1:100">
      <c r="A34118" s="374"/>
      <c r="C34118" s="374"/>
      <c r="CV34118" s="376"/>
    </row>
    <row r="34119" spans="1:100">
      <c r="A34119" s="374"/>
      <c r="C34119" s="374"/>
      <c r="CV34119" s="376"/>
    </row>
    <row r="34120" spans="1:100">
      <c r="A34120" s="374"/>
      <c r="C34120" s="374"/>
      <c r="CV34120" s="376"/>
    </row>
    <row r="34121" spans="1:100">
      <c r="A34121" s="374"/>
      <c r="C34121" s="374"/>
      <c r="CV34121" s="376"/>
    </row>
    <row r="34122" spans="1:100">
      <c r="A34122" s="374"/>
      <c r="C34122" s="374"/>
      <c r="CV34122" s="376"/>
    </row>
    <row r="34123" spans="1:100">
      <c r="A34123" s="374"/>
      <c r="C34123" s="374"/>
      <c r="CV34123" s="376"/>
    </row>
    <row r="34124" spans="1:100">
      <c r="A34124" s="374"/>
      <c r="C34124" s="374"/>
      <c r="CV34124" s="376"/>
    </row>
    <row r="34125" spans="1:100">
      <c r="A34125" s="374"/>
      <c r="C34125" s="374"/>
      <c r="CV34125" s="376"/>
    </row>
    <row r="34126" spans="1:100">
      <c r="A34126" s="374"/>
      <c r="C34126" s="374"/>
      <c r="CV34126" s="376"/>
    </row>
    <row r="34127" spans="1:100">
      <c r="A34127" s="374"/>
      <c r="C34127" s="374"/>
      <c r="CV34127" s="376"/>
    </row>
    <row r="34128" spans="1:100">
      <c r="A34128" s="374"/>
      <c r="C34128" s="374"/>
      <c r="CV34128" s="376"/>
    </row>
    <row r="34129" spans="1:100">
      <c r="A34129" s="374"/>
      <c r="C34129" s="374"/>
      <c r="CV34129" s="376"/>
    </row>
    <row r="34130" spans="1:100">
      <c r="A34130" s="374"/>
      <c r="C34130" s="374"/>
      <c r="CV34130" s="376"/>
    </row>
    <row r="34131" spans="1:100">
      <c r="A34131" s="374"/>
      <c r="C34131" s="374"/>
      <c r="CV34131" s="376"/>
    </row>
    <row r="34132" spans="1:100">
      <c r="A34132" s="374"/>
      <c r="C34132" s="374"/>
      <c r="CV34132" s="376"/>
    </row>
    <row r="34133" spans="1:100">
      <c r="A34133" s="374"/>
      <c r="C34133" s="374"/>
      <c r="CV34133" s="376"/>
    </row>
    <row r="34134" spans="1:100">
      <c r="A34134" s="374"/>
      <c r="C34134" s="374"/>
      <c r="CV34134" s="376"/>
    </row>
    <row r="34135" spans="1:100">
      <c r="A34135" s="374"/>
      <c r="C34135" s="374"/>
      <c r="CV34135" s="376"/>
    </row>
    <row r="34136" spans="1:100">
      <c r="A34136" s="374"/>
      <c r="C34136" s="374"/>
      <c r="CV34136" s="376"/>
    </row>
    <row r="34137" spans="1:100">
      <c r="A34137" s="374"/>
      <c r="C34137" s="374"/>
      <c r="CV34137" s="376"/>
    </row>
    <row r="34138" spans="1:100">
      <c r="A34138" s="374"/>
      <c r="C34138" s="374"/>
      <c r="CV34138" s="376"/>
    </row>
    <row r="34139" spans="1:100">
      <c r="A34139" s="374"/>
      <c r="C34139" s="374"/>
      <c r="CV34139" s="376"/>
    </row>
    <row r="34140" spans="1:100">
      <c r="A34140" s="374"/>
      <c r="C34140" s="374"/>
      <c r="CV34140" s="376"/>
    </row>
    <row r="34141" spans="1:100">
      <c r="A34141" s="374"/>
      <c r="C34141" s="374"/>
      <c r="CV34141" s="376"/>
    </row>
    <row r="34142" spans="1:100">
      <c r="A34142" s="374"/>
      <c r="C34142" s="374"/>
      <c r="CV34142" s="376"/>
    </row>
    <row r="34143" spans="1:100">
      <c r="A34143" s="374"/>
      <c r="C34143" s="374"/>
      <c r="CV34143" s="376"/>
    </row>
    <row r="34144" spans="1:100">
      <c r="A34144" s="374"/>
      <c r="C34144" s="374"/>
      <c r="CV34144" s="376"/>
    </row>
    <row r="34145" spans="1:100">
      <c r="A34145" s="374"/>
      <c r="C34145" s="374"/>
      <c r="CV34145" s="376"/>
    </row>
    <row r="34146" spans="1:100">
      <c r="A34146" s="374"/>
      <c r="C34146" s="374"/>
      <c r="CV34146" s="376"/>
    </row>
    <row r="34147" spans="1:100">
      <c r="A34147" s="374"/>
      <c r="C34147" s="374"/>
      <c r="CV34147" s="376"/>
    </row>
    <row r="34148" spans="1:100">
      <c r="A34148" s="374"/>
      <c r="C34148" s="374"/>
      <c r="CV34148" s="376"/>
    </row>
    <row r="34149" spans="1:100">
      <c r="A34149" s="374"/>
      <c r="C34149" s="374"/>
      <c r="CV34149" s="376"/>
    </row>
    <row r="34150" spans="1:100">
      <c r="A34150" s="374"/>
      <c r="C34150" s="374"/>
      <c r="CV34150" s="376"/>
    </row>
    <row r="34151" spans="1:100">
      <c r="A34151" s="374"/>
      <c r="C34151" s="374"/>
      <c r="CV34151" s="376"/>
    </row>
    <row r="34152" spans="1:100">
      <c r="A34152" s="374"/>
      <c r="C34152" s="374"/>
      <c r="CV34152" s="376"/>
    </row>
    <row r="34153" spans="1:100">
      <c r="A34153" s="374"/>
      <c r="C34153" s="374"/>
      <c r="CV34153" s="376"/>
    </row>
    <row r="34154" spans="1:100">
      <c r="A34154" s="374"/>
      <c r="C34154" s="374"/>
      <c r="CV34154" s="376"/>
    </row>
    <row r="34155" spans="1:100">
      <c r="A34155" s="374"/>
      <c r="C34155" s="374"/>
      <c r="CV34155" s="376"/>
    </row>
    <row r="34156" spans="1:100">
      <c r="A34156" s="374"/>
      <c r="C34156" s="374"/>
      <c r="CV34156" s="376"/>
    </row>
    <row r="34157" spans="1:100">
      <c r="A34157" s="374"/>
      <c r="C34157" s="374"/>
      <c r="CV34157" s="376"/>
    </row>
    <row r="34158" spans="1:100">
      <c r="A34158" s="374"/>
      <c r="C34158" s="374"/>
      <c r="CV34158" s="376"/>
    </row>
    <row r="34159" spans="1:100">
      <c r="A34159" s="374"/>
      <c r="C34159" s="374"/>
      <c r="CV34159" s="376"/>
    </row>
    <row r="34160" spans="1:100">
      <c r="A34160" s="374"/>
      <c r="C34160" s="374"/>
      <c r="CV34160" s="376"/>
    </row>
    <row r="34161" spans="1:100">
      <c r="A34161" s="374"/>
      <c r="C34161" s="374"/>
      <c r="CV34161" s="376"/>
    </row>
    <row r="34162" spans="1:100">
      <c r="A34162" s="374"/>
      <c r="C34162" s="374"/>
      <c r="CV34162" s="376"/>
    </row>
    <row r="34163" spans="1:100">
      <c r="A34163" s="374"/>
      <c r="C34163" s="374"/>
      <c r="CV34163" s="376"/>
    </row>
    <row r="34164" spans="1:100">
      <c r="A34164" s="374"/>
      <c r="C34164" s="374"/>
      <c r="CV34164" s="376"/>
    </row>
    <row r="34165" spans="1:100">
      <c r="A34165" s="374"/>
      <c r="C34165" s="374"/>
      <c r="CV34165" s="376"/>
    </row>
    <row r="34166" spans="1:100">
      <c r="A34166" s="374"/>
      <c r="C34166" s="374"/>
      <c r="CV34166" s="376"/>
    </row>
    <row r="34167" spans="1:100">
      <c r="A34167" s="374"/>
      <c r="C34167" s="374"/>
      <c r="CV34167" s="376"/>
    </row>
    <row r="34168" spans="1:100">
      <c r="A34168" s="374"/>
      <c r="C34168" s="374"/>
      <c r="CV34168" s="376"/>
    </row>
    <row r="34169" spans="1:100">
      <c r="A34169" s="374"/>
      <c r="C34169" s="374"/>
      <c r="CV34169" s="376"/>
    </row>
    <row r="34170" spans="1:100">
      <c r="A34170" s="374"/>
      <c r="C34170" s="374"/>
      <c r="CV34170" s="376"/>
    </row>
    <row r="34171" spans="1:100">
      <c r="A34171" s="374"/>
      <c r="C34171" s="374"/>
      <c r="CV34171" s="376"/>
    </row>
    <row r="34172" spans="1:100">
      <c r="A34172" s="374"/>
      <c r="C34172" s="374"/>
      <c r="CV34172" s="376"/>
    </row>
    <row r="34173" spans="1:100">
      <c r="A34173" s="374"/>
      <c r="C34173" s="374"/>
      <c r="CV34173" s="376"/>
    </row>
    <row r="34174" spans="1:100">
      <c r="A34174" s="374"/>
      <c r="C34174" s="374"/>
      <c r="CV34174" s="376"/>
    </row>
    <row r="34175" spans="1:100">
      <c r="A34175" s="374"/>
      <c r="C34175" s="374"/>
      <c r="CV34175" s="376"/>
    </row>
    <row r="34176" spans="1:100">
      <c r="A34176" s="374"/>
      <c r="C34176" s="374"/>
      <c r="CV34176" s="376"/>
    </row>
    <row r="34177" spans="1:100">
      <c r="A34177" s="374"/>
      <c r="C34177" s="374"/>
      <c r="CV34177" s="376"/>
    </row>
    <row r="34178" spans="1:100">
      <c r="A34178" s="374"/>
      <c r="C34178" s="374"/>
      <c r="CV34178" s="376"/>
    </row>
    <row r="34179" spans="1:100">
      <c r="A34179" s="374"/>
      <c r="C34179" s="374"/>
      <c r="CV34179" s="376"/>
    </row>
    <row r="34180" spans="1:100">
      <c r="A34180" s="374"/>
      <c r="C34180" s="374"/>
      <c r="CV34180" s="376"/>
    </row>
    <row r="34181" spans="1:100">
      <c r="A34181" s="374"/>
      <c r="C34181" s="374"/>
      <c r="CV34181" s="376"/>
    </row>
    <row r="34182" spans="1:100">
      <c r="A34182" s="374"/>
      <c r="C34182" s="374"/>
      <c r="CV34182" s="376"/>
    </row>
    <row r="34183" spans="1:100">
      <c r="A34183" s="374"/>
      <c r="C34183" s="374"/>
      <c r="CV34183" s="376"/>
    </row>
    <row r="34184" spans="1:100">
      <c r="A34184" s="374"/>
      <c r="C34184" s="374"/>
      <c r="CV34184" s="376"/>
    </row>
    <row r="34185" spans="1:100">
      <c r="A34185" s="374"/>
      <c r="C34185" s="374"/>
      <c r="CV34185" s="376"/>
    </row>
    <row r="34186" spans="1:100">
      <c r="A34186" s="374"/>
      <c r="C34186" s="374"/>
      <c r="CV34186" s="376"/>
    </row>
    <row r="34187" spans="1:100">
      <c r="A34187" s="374"/>
      <c r="C34187" s="374"/>
      <c r="CV34187" s="376"/>
    </row>
    <row r="34188" spans="1:100">
      <c r="A34188" s="374"/>
      <c r="C34188" s="374"/>
      <c r="CV34188" s="376"/>
    </row>
    <row r="34189" spans="1:100">
      <c r="A34189" s="374"/>
      <c r="C34189" s="374"/>
      <c r="CV34189" s="376"/>
    </row>
    <row r="34190" spans="1:100">
      <c r="A34190" s="374"/>
      <c r="C34190" s="374"/>
      <c r="CV34190" s="376"/>
    </row>
    <row r="34191" spans="1:100">
      <c r="A34191" s="374"/>
      <c r="C34191" s="374"/>
      <c r="CV34191" s="376"/>
    </row>
    <row r="34192" spans="1:100">
      <c r="A34192" s="374"/>
      <c r="C34192" s="374"/>
      <c r="CV34192" s="376"/>
    </row>
    <row r="34193" spans="1:100">
      <c r="A34193" s="374"/>
      <c r="C34193" s="374"/>
      <c r="CV34193" s="376"/>
    </row>
    <row r="34194" spans="1:100">
      <c r="A34194" s="374"/>
      <c r="C34194" s="374"/>
      <c r="CV34194" s="376"/>
    </row>
    <row r="34195" spans="1:100">
      <c r="A34195" s="374"/>
      <c r="C34195" s="374"/>
      <c r="CV34195" s="376"/>
    </row>
    <row r="34196" spans="1:100">
      <c r="A34196" s="374"/>
      <c r="C34196" s="374"/>
      <c r="CV34196" s="376"/>
    </row>
    <row r="34197" spans="1:100">
      <c r="A34197" s="374"/>
      <c r="C34197" s="374"/>
      <c r="CV34197" s="376"/>
    </row>
    <row r="34198" spans="1:100">
      <c r="A34198" s="374"/>
      <c r="C34198" s="374"/>
      <c r="CV34198" s="376"/>
    </row>
    <row r="34199" spans="1:100">
      <c r="A34199" s="374"/>
      <c r="C34199" s="374"/>
      <c r="CV34199" s="376"/>
    </row>
    <row r="34200" spans="1:100">
      <c r="A34200" s="374"/>
      <c r="C34200" s="374"/>
      <c r="CV34200" s="376"/>
    </row>
    <row r="34201" spans="1:100">
      <c r="A34201" s="374"/>
      <c r="C34201" s="374"/>
      <c r="CV34201" s="376"/>
    </row>
    <row r="34202" spans="1:100">
      <c r="A34202" s="374"/>
      <c r="C34202" s="374"/>
      <c r="CV34202" s="376"/>
    </row>
    <row r="34203" spans="1:100">
      <c r="A34203" s="374"/>
      <c r="C34203" s="374"/>
      <c r="CV34203" s="376"/>
    </row>
    <row r="34204" spans="1:100">
      <c r="A34204" s="374"/>
      <c r="C34204" s="374"/>
      <c r="CV34204" s="376"/>
    </row>
    <row r="34205" spans="1:100">
      <c r="A34205" s="374"/>
      <c r="C34205" s="374"/>
      <c r="CV34205" s="376"/>
    </row>
    <row r="34206" spans="1:100">
      <c r="A34206" s="374"/>
      <c r="C34206" s="374"/>
      <c r="CV34206" s="376"/>
    </row>
    <row r="34207" spans="1:100">
      <c r="A34207" s="374"/>
      <c r="C34207" s="374"/>
      <c r="CV34207" s="376"/>
    </row>
    <row r="34208" spans="1:100">
      <c r="A34208" s="374"/>
      <c r="C34208" s="374"/>
      <c r="CV34208" s="376"/>
    </row>
    <row r="34209" spans="1:100">
      <c r="A34209" s="374"/>
      <c r="C34209" s="374"/>
      <c r="CV34209" s="376"/>
    </row>
    <row r="34210" spans="1:100">
      <c r="A34210" s="374"/>
      <c r="C34210" s="374"/>
      <c r="CV34210" s="376"/>
    </row>
    <row r="34211" spans="1:100">
      <c r="A34211" s="374"/>
      <c r="C34211" s="374"/>
      <c r="CV34211" s="376"/>
    </row>
    <row r="34212" spans="1:100">
      <c r="A34212" s="374"/>
      <c r="C34212" s="374"/>
      <c r="CV34212" s="376"/>
    </row>
    <row r="34213" spans="1:100">
      <c r="A34213" s="374"/>
      <c r="C34213" s="374"/>
      <c r="CV34213" s="376"/>
    </row>
    <row r="34214" spans="1:100">
      <c r="A34214" s="374"/>
      <c r="C34214" s="374"/>
      <c r="CV34214" s="376"/>
    </row>
    <row r="34215" spans="1:100">
      <c r="A34215" s="374"/>
      <c r="C34215" s="374"/>
      <c r="CV34215" s="376"/>
    </row>
    <row r="34216" spans="1:100">
      <c r="A34216" s="374"/>
      <c r="C34216" s="374"/>
      <c r="CV34216" s="376"/>
    </row>
    <row r="34217" spans="1:100">
      <c r="A34217" s="374"/>
      <c r="C34217" s="374"/>
      <c r="CV34217" s="376"/>
    </row>
    <row r="34218" spans="1:100">
      <c r="A34218" s="374"/>
      <c r="C34218" s="374"/>
      <c r="CV34218" s="376"/>
    </row>
    <row r="34219" spans="1:100">
      <c r="A34219" s="374"/>
      <c r="C34219" s="374"/>
      <c r="CV34219" s="376"/>
    </row>
    <row r="34220" spans="1:100">
      <c r="A34220" s="374"/>
      <c r="C34220" s="374"/>
      <c r="CV34220" s="376"/>
    </row>
    <row r="34221" spans="1:100">
      <c r="A34221" s="374"/>
      <c r="C34221" s="374"/>
      <c r="CV34221" s="376"/>
    </row>
    <row r="34222" spans="1:100">
      <c r="A34222" s="374"/>
      <c r="C34222" s="374"/>
      <c r="CV34222" s="376"/>
    </row>
    <row r="34223" spans="1:100">
      <c r="A34223" s="374"/>
      <c r="C34223" s="374"/>
      <c r="CV34223" s="376"/>
    </row>
    <row r="34224" spans="1:100">
      <c r="A34224" s="374"/>
      <c r="C34224" s="374"/>
      <c r="CV34224" s="376"/>
    </row>
    <row r="34225" spans="1:100">
      <c r="A34225" s="374"/>
      <c r="C34225" s="374"/>
      <c r="CV34225" s="376"/>
    </row>
    <row r="34226" spans="1:100">
      <c r="A34226" s="374"/>
      <c r="C34226" s="374"/>
      <c r="CV34226" s="376"/>
    </row>
    <row r="34227" spans="1:100">
      <c r="A34227" s="374"/>
      <c r="C34227" s="374"/>
      <c r="CV34227" s="376"/>
    </row>
    <row r="34228" spans="1:100">
      <c r="A34228" s="374"/>
      <c r="C34228" s="374"/>
      <c r="CV34228" s="376"/>
    </row>
    <row r="34229" spans="1:100">
      <c r="A34229" s="374"/>
      <c r="C34229" s="374"/>
      <c r="CV34229" s="376"/>
    </row>
    <row r="34230" spans="1:100">
      <c r="A34230" s="374"/>
      <c r="C34230" s="374"/>
      <c r="CV34230" s="376"/>
    </row>
    <row r="34231" spans="1:100">
      <c r="A34231" s="374"/>
      <c r="C34231" s="374"/>
      <c r="CV34231" s="376"/>
    </row>
    <row r="34232" spans="1:100">
      <c r="A34232" s="374"/>
      <c r="C34232" s="374"/>
      <c r="CV34232" s="376"/>
    </row>
    <row r="34233" spans="1:100">
      <c r="A34233" s="374"/>
      <c r="C34233" s="374"/>
      <c r="CV34233" s="376"/>
    </row>
    <row r="34234" spans="1:100">
      <c r="A34234" s="374"/>
      <c r="C34234" s="374"/>
      <c r="CV34234" s="376"/>
    </row>
    <row r="34235" spans="1:100">
      <c r="A34235" s="374"/>
      <c r="C34235" s="374"/>
      <c r="CV34235" s="376"/>
    </row>
    <row r="34236" spans="1:100">
      <c r="A34236" s="374"/>
      <c r="C34236" s="374"/>
      <c r="CV34236" s="376"/>
    </row>
    <row r="34237" spans="1:100">
      <c r="A34237" s="374"/>
      <c r="C34237" s="374"/>
      <c r="CV34237" s="376"/>
    </row>
    <row r="34238" spans="1:100">
      <c r="A34238" s="374"/>
      <c r="C34238" s="374"/>
      <c r="CV34238" s="376"/>
    </row>
    <row r="34239" spans="1:100">
      <c r="A34239" s="374"/>
      <c r="C34239" s="374"/>
      <c r="CV34239" s="376"/>
    </row>
    <row r="34240" spans="1:100">
      <c r="A34240" s="374"/>
      <c r="C34240" s="374"/>
      <c r="CV34240" s="376"/>
    </row>
    <row r="34241" spans="1:100">
      <c r="A34241" s="374"/>
      <c r="C34241" s="374"/>
      <c r="CV34241" s="376"/>
    </row>
    <row r="34242" spans="1:100">
      <c r="A34242" s="374"/>
      <c r="C34242" s="374"/>
      <c r="CV34242" s="376"/>
    </row>
    <row r="34243" spans="1:100">
      <c r="A34243" s="374"/>
      <c r="C34243" s="374"/>
      <c r="CV34243" s="376"/>
    </row>
    <row r="34244" spans="1:100">
      <c r="A34244" s="374"/>
      <c r="C34244" s="374"/>
      <c r="CV34244" s="376"/>
    </row>
    <row r="34245" spans="1:100">
      <c r="A34245" s="374"/>
      <c r="C34245" s="374"/>
      <c r="CV34245" s="376"/>
    </row>
    <row r="34246" spans="1:100">
      <c r="A34246" s="374"/>
      <c r="C34246" s="374"/>
      <c r="CV34246" s="376"/>
    </row>
    <row r="34247" spans="1:100">
      <c r="A34247" s="374"/>
      <c r="C34247" s="374"/>
      <c r="CV34247" s="376"/>
    </row>
    <row r="34248" spans="1:100">
      <c r="A34248" s="374"/>
      <c r="C34248" s="374"/>
      <c r="CV34248" s="376"/>
    </row>
    <row r="34249" spans="1:100">
      <c r="A34249" s="374"/>
      <c r="C34249" s="374"/>
      <c r="CV34249" s="376"/>
    </row>
    <row r="34250" spans="1:100">
      <c r="A34250" s="374"/>
      <c r="C34250" s="374"/>
      <c r="CV34250" s="376"/>
    </row>
    <row r="34251" spans="1:100">
      <c r="A34251" s="374"/>
      <c r="C34251" s="374"/>
      <c r="CV34251" s="376"/>
    </row>
    <row r="34252" spans="1:100">
      <c r="A34252" s="374"/>
      <c r="C34252" s="374"/>
      <c r="CV34252" s="376"/>
    </row>
    <row r="34253" spans="1:100">
      <c r="A34253" s="374"/>
      <c r="C34253" s="374"/>
      <c r="CV34253" s="376"/>
    </row>
    <row r="34254" spans="1:100">
      <c r="A34254" s="374"/>
      <c r="C34254" s="374"/>
      <c r="CV34254" s="376"/>
    </row>
    <row r="34255" spans="1:100">
      <c r="A34255" s="374"/>
      <c r="C34255" s="374"/>
      <c r="CV34255" s="376"/>
    </row>
    <row r="34256" spans="1:100">
      <c r="A34256" s="374"/>
      <c r="C34256" s="374"/>
      <c r="CV34256" s="376"/>
    </row>
    <row r="34257" spans="1:100">
      <c r="A34257" s="374"/>
      <c r="C34257" s="374"/>
      <c r="CV34257" s="376"/>
    </row>
    <row r="34258" spans="1:100">
      <c r="A34258" s="374"/>
      <c r="C34258" s="374"/>
      <c r="CV34258" s="376"/>
    </row>
    <row r="34259" spans="1:100">
      <c r="A34259" s="374"/>
      <c r="C34259" s="374"/>
      <c r="CV34259" s="376"/>
    </row>
    <row r="34260" spans="1:100">
      <c r="A34260" s="374"/>
      <c r="C34260" s="374"/>
      <c r="CV34260" s="376"/>
    </row>
    <row r="34261" spans="1:100">
      <c r="A34261" s="374"/>
      <c r="C34261" s="374"/>
      <c r="CV34261" s="376"/>
    </row>
    <row r="34262" spans="1:100">
      <c r="A34262" s="374"/>
      <c r="C34262" s="374"/>
      <c r="CV34262" s="376"/>
    </row>
    <row r="34263" spans="1:100">
      <c r="A34263" s="374"/>
      <c r="C34263" s="374"/>
      <c r="CV34263" s="376"/>
    </row>
    <row r="34264" spans="1:100">
      <c r="A34264" s="374"/>
      <c r="C34264" s="374"/>
      <c r="CV34264" s="376"/>
    </row>
    <row r="34265" spans="1:100">
      <c r="A34265" s="374"/>
      <c r="C34265" s="374"/>
      <c r="CV34265" s="376"/>
    </row>
    <row r="34266" spans="1:100">
      <c r="A34266" s="374"/>
      <c r="C34266" s="374"/>
      <c r="CV34266" s="376"/>
    </row>
    <row r="34267" spans="1:100">
      <c r="A34267" s="374"/>
      <c r="C34267" s="374"/>
      <c r="CV34267" s="376"/>
    </row>
    <row r="34268" spans="1:100">
      <c r="A34268" s="374"/>
      <c r="C34268" s="374"/>
      <c r="CV34268" s="376"/>
    </row>
    <row r="34269" spans="1:100">
      <c r="A34269" s="374"/>
      <c r="C34269" s="374"/>
      <c r="CV34269" s="376"/>
    </row>
    <row r="34270" spans="1:100">
      <c r="A34270" s="374"/>
      <c r="C34270" s="374"/>
      <c r="CV34270" s="376"/>
    </row>
    <row r="34271" spans="1:100">
      <c r="A34271" s="374"/>
      <c r="C34271" s="374"/>
      <c r="CV34271" s="376"/>
    </row>
    <row r="34272" spans="1:100">
      <c r="A34272" s="374"/>
      <c r="C34272" s="374"/>
      <c r="CV34272" s="376"/>
    </row>
    <row r="34273" spans="1:100">
      <c r="A34273" s="374"/>
      <c r="C34273" s="374"/>
      <c r="CV34273" s="376"/>
    </row>
    <row r="34274" spans="1:100">
      <c r="A34274" s="374"/>
      <c r="C34274" s="374"/>
      <c r="CV34274" s="376"/>
    </row>
    <row r="34275" spans="1:100">
      <c r="A34275" s="374"/>
      <c r="C34275" s="374"/>
      <c r="CV34275" s="376"/>
    </row>
    <row r="34276" spans="1:100">
      <c r="A34276" s="374"/>
      <c r="C34276" s="374"/>
      <c r="CV34276" s="376"/>
    </row>
    <row r="34277" spans="1:100">
      <c r="A34277" s="374"/>
      <c r="C34277" s="374"/>
      <c r="CV34277" s="376"/>
    </row>
    <row r="34278" spans="1:100">
      <c r="A34278" s="374"/>
      <c r="C34278" s="374"/>
      <c r="CV34278" s="376"/>
    </row>
    <row r="34279" spans="1:100">
      <c r="A34279" s="374"/>
      <c r="C34279" s="374"/>
      <c r="CV34279" s="376"/>
    </row>
    <row r="34280" spans="1:100">
      <c r="A34280" s="374"/>
      <c r="C34280" s="374"/>
      <c r="CV34280" s="376"/>
    </row>
    <row r="34281" spans="1:100">
      <c r="A34281" s="374"/>
      <c r="C34281" s="374"/>
      <c r="CV34281" s="376"/>
    </row>
    <row r="34282" spans="1:100">
      <c r="A34282" s="374"/>
      <c r="C34282" s="374"/>
      <c r="CV34282" s="376"/>
    </row>
    <row r="34283" spans="1:100">
      <c r="A34283" s="374"/>
      <c r="C34283" s="374"/>
      <c r="CV34283" s="376"/>
    </row>
    <row r="34284" spans="1:100">
      <c r="A34284" s="374"/>
      <c r="C34284" s="374"/>
      <c r="CV34284" s="376"/>
    </row>
    <row r="34285" spans="1:100">
      <c r="A34285" s="374"/>
      <c r="C34285" s="374"/>
      <c r="CV34285" s="376"/>
    </row>
    <row r="34286" spans="1:100">
      <c r="A34286" s="374"/>
      <c r="C34286" s="374"/>
      <c r="CV34286" s="376"/>
    </row>
    <row r="34287" spans="1:100">
      <c r="A34287" s="374"/>
      <c r="C34287" s="374"/>
      <c r="CV34287" s="376"/>
    </row>
    <row r="34288" spans="1:100">
      <c r="A34288" s="374"/>
      <c r="C34288" s="374"/>
      <c r="CV34288" s="376"/>
    </row>
    <row r="34289" spans="1:100">
      <c r="A34289" s="374"/>
      <c r="C34289" s="374"/>
      <c r="CV34289" s="376"/>
    </row>
    <row r="34290" spans="1:100">
      <c r="A34290" s="374"/>
      <c r="C34290" s="374"/>
      <c r="CV34290" s="376"/>
    </row>
    <row r="34291" spans="1:100">
      <c r="A34291" s="374"/>
      <c r="C34291" s="374"/>
      <c r="CV34291" s="376"/>
    </row>
    <row r="34292" spans="1:100">
      <c r="A34292" s="374"/>
      <c r="C34292" s="374"/>
      <c r="CV34292" s="376"/>
    </row>
    <row r="34293" spans="1:100">
      <c r="A34293" s="374"/>
      <c r="C34293" s="374"/>
      <c r="CV34293" s="376"/>
    </row>
    <row r="34294" spans="1:100">
      <c r="A34294" s="374"/>
      <c r="C34294" s="374"/>
      <c r="CV34294" s="376"/>
    </row>
    <row r="34295" spans="1:100">
      <c r="A34295" s="374"/>
      <c r="C34295" s="374"/>
      <c r="CV34295" s="376"/>
    </row>
    <row r="34296" spans="1:100">
      <c r="A34296" s="374"/>
      <c r="C34296" s="374"/>
      <c r="CV34296" s="376"/>
    </row>
    <row r="34297" spans="1:100">
      <c r="A34297" s="374"/>
      <c r="C34297" s="374"/>
      <c r="CV34297" s="376"/>
    </row>
    <row r="34298" spans="1:100">
      <c r="A34298" s="374"/>
      <c r="C34298" s="374"/>
      <c r="CV34298" s="376"/>
    </row>
    <row r="34299" spans="1:100">
      <c r="A34299" s="374"/>
      <c r="C34299" s="374"/>
      <c r="CV34299" s="376"/>
    </row>
    <row r="34300" spans="1:100">
      <c r="A34300" s="374"/>
      <c r="C34300" s="374"/>
      <c r="CV34300" s="376"/>
    </row>
    <row r="34301" spans="1:100">
      <c r="A34301" s="374"/>
      <c r="C34301" s="374"/>
      <c r="CV34301" s="376"/>
    </row>
    <row r="34302" spans="1:100">
      <c r="A34302" s="374"/>
      <c r="C34302" s="374"/>
      <c r="CV34302" s="376"/>
    </row>
    <row r="34303" spans="1:100">
      <c r="A34303" s="374"/>
      <c r="C34303" s="374"/>
      <c r="CV34303" s="376"/>
    </row>
    <row r="34304" spans="1:100">
      <c r="A34304" s="374"/>
      <c r="C34304" s="374"/>
      <c r="CV34304" s="376"/>
    </row>
    <row r="34305" spans="1:100">
      <c r="A34305" s="374"/>
      <c r="C34305" s="374"/>
      <c r="CV34305" s="376"/>
    </row>
    <row r="34306" spans="1:100">
      <c r="A34306" s="374"/>
      <c r="C34306" s="374"/>
      <c r="CV34306" s="376"/>
    </row>
    <row r="34307" spans="1:100">
      <c r="A34307" s="374"/>
      <c r="C34307" s="374"/>
      <c r="CV34307" s="376"/>
    </row>
    <row r="34308" spans="1:100">
      <c r="A34308" s="374"/>
      <c r="C34308" s="374"/>
      <c r="CV34308" s="376"/>
    </row>
    <row r="34309" spans="1:100">
      <c r="A34309" s="374"/>
      <c r="C34309" s="374"/>
      <c r="CV34309" s="376"/>
    </row>
    <row r="34310" spans="1:100">
      <c r="A34310" s="374"/>
      <c r="C34310" s="374"/>
      <c r="CV34310" s="376"/>
    </row>
    <row r="34311" spans="1:100">
      <c r="A34311" s="374"/>
      <c r="C34311" s="374"/>
      <c r="CV34311" s="376"/>
    </row>
    <row r="34312" spans="1:100">
      <c r="A34312" s="374"/>
      <c r="C34312" s="374"/>
      <c r="CV34312" s="376"/>
    </row>
    <row r="34313" spans="1:100">
      <c r="A34313" s="374"/>
      <c r="C34313" s="374"/>
      <c r="CV34313" s="376"/>
    </row>
    <row r="34314" spans="1:100">
      <c r="A34314" s="374"/>
      <c r="C34314" s="374"/>
      <c r="CV34314" s="376"/>
    </row>
    <row r="34315" spans="1:100">
      <c r="A34315" s="374"/>
      <c r="C34315" s="374"/>
      <c r="CV34315" s="376"/>
    </row>
    <row r="34316" spans="1:100">
      <c r="A34316" s="374"/>
      <c r="C34316" s="374"/>
      <c r="CV34316" s="376"/>
    </row>
    <row r="34317" spans="1:100">
      <c r="A34317" s="374"/>
      <c r="C34317" s="374"/>
      <c r="CV34317" s="376"/>
    </row>
    <row r="34318" spans="1:100">
      <c r="A34318" s="374"/>
      <c r="C34318" s="374"/>
      <c r="CV34318" s="376"/>
    </row>
    <row r="34319" spans="1:100">
      <c r="A34319" s="374"/>
      <c r="C34319" s="374"/>
      <c r="CV34319" s="376"/>
    </row>
    <row r="34320" spans="1:100">
      <c r="A34320" s="374"/>
      <c r="C34320" s="374"/>
      <c r="CV34320" s="376"/>
    </row>
    <row r="34321" spans="1:100">
      <c r="A34321" s="374"/>
      <c r="C34321" s="374"/>
      <c r="CV34321" s="376"/>
    </row>
    <row r="34322" spans="1:100">
      <c r="A34322" s="374"/>
      <c r="C34322" s="374"/>
      <c r="CV34322" s="376"/>
    </row>
    <row r="34323" spans="1:100">
      <c r="A34323" s="374"/>
      <c r="C34323" s="374"/>
      <c r="CV34323" s="376"/>
    </row>
    <row r="34324" spans="1:100">
      <c r="A34324" s="374"/>
      <c r="C34324" s="374"/>
      <c r="CV34324" s="376"/>
    </row>
    <row r="34325" spans="1:100">
      <c r="A34325" s="374"/>
      <c r="C34325" s="374"/>
      <c r="CV34325" s="376"/>
    </row>
    <row r="34326" spans="1:100">
      <c r="A34326" s="374"/>
      <c r="C34326" s="374"/>
      <c r="CV34326" s="376"/>
    </row>
    <row r="34327" spans="1:100">
      <c r="A34327" s="374"/>
      <c r="C34327" s="374"/>
      <c r="CV34327" s="376"/>
    </row>
    <row r="34328" spans="1:100">
      <c r="A34328" s="374"/>
      <c r="C34328" s="374"/>
      <c r="CV34328" s="376"/>
    </row>
    <row r="34329" spans="1:100">
      <c r="A34329" s="374"/>
      <c r="C34329" s="374"/>
      <c r="CV34329" s="376"/>
    </row>
    <row r="34330" spans="1:100">
      <c r="A34330" s="374"/>
      <c r="C34330" s="374"/>
      <c r="CV34330" s="376"/>
    </row>
    <row r="34331" spans="1:100">
      <c r="A34331" s="374"/>
      <c r="C34331" s="374"/>
      <c r="CV34331" s="376"/>
    </row>
    <row r="34332" spans="1:100">
      <c r="A34332" s="374"/>
      <c r="C34332" s="374"/>
      <c r="CV34332" s="376"/>
    </row>
    <row r="34333" spans="1:100">
      <c r="A34333" s="374"/>
      <c r="C34333" s="374"/>
      <c r="CV34333" s="376"/>
    </row>
    <row r="34334" spans="1:100">
      <c r="A34334" s="374"/>
      <c r="C34334" s="374"/>
      <c r="CV34334" s="376"/>
    </row>
    <row r="34335" spans="1:100">
      <c r="A34335" s="374"/>
      <c r="C34335" s="374"/>
      <c r="CV34335" s="376"/>
    </row>
    <row r="34336" spans="1:100">
      <c r="A34336" s="374"/>
      <c r="C34336" s="374"/>
      <c r="CV34336" s="376"/>
    </row>
    <row r="34337" spans="1:100">
      <c r="A34337" s="374"/>
      <c r="C34337" s="374"/>
      <c r="CV34337" s="376"/>
    </row>
    <row r="34338" spans="1:100">
      <c r="A34338" s="374"/>
      <c r="C34338" s="374"/>
      <c r="CV34338" s="376"/>
    </row>
    <row r="34339" spans="1:100">
      <c r="A34339" s="374"/>
      <c r="C34339" s="374"/>
      <c r="CV34339" s="376"/>
    </row>
    <row r="34340" spans="1:100">
      <c r="A34340" s="374"/>
      <c r="C34340" s="374"/>
      <c r="CV34340" s="376"/>
    </row>
    <row r="34341" spans="1:100">
      <c r="A34341" s="374"/>
      <c r="C34341" s="374"/>
      <c r="CV34341" s="376"/>
    </row>
    <row r="34342" spans="1:100">
      <c r="A34342" s="374"/>
      <c r="C34342" s="374"/>
      <c r="CV34342" s="376"/>
    </row>
    <row r="34343" spans="1:100">
      <c r="A34343" s="374"/>
      <c r="C34343" s="374"/>
      <c r="CV34343" s="376"/>
    </row>
    <row r="34344" spans="1:100">
      <c r="A34344" s="374"/>
      <c r="C34344" s="374"/>
      <c r="CV34344" s="376"/>
    </row>
    <row r="34345" spans="1:100">
      <c r="A34345" s="374"/>
      <c r="C34345" s="374"/>
      <c r="CV34345" s="376"/>
    </row>
    <row r="34346" spans="1:100">
      <c r="A34346" s="374"/>
      <c r="C34346" s="374"/>
      <c r="CV34346" s="376"/>
    </row>
    <row r="34347" spans="1:100">
      <c r="A34347" s="374"/>
      <c r="C34347" s="374"/>
      <c r="CV34347" s="376"/>
    </row>
    <row r="34348" spans="1:100">
      <c r="A34348" s="374"/>
      <c r="C34348" s="374"/>
      <c r="CV34348" s="376"/>
    </row>
    <row r="34349" spans="1:100">
      <c r="A34349" s="374"/>
      <c r="C34349" s="374"/>
      <c r="CV34349" s="376"/>
    </row>
    <row r="34350" spans="1:100">
      <c r="A34350" s="374"/>
      <c r="C34350" s="374"/>
      <c r="CV34350" s="376"/>
    </row>
    <row r="34351" spans="1:100">
      <c r="A34351" s="374"/>
      <c r="C34351" s="374"/>
      <c r="CV34351" s="376"/>
    </row>
    <row r="34352" spans="1:100">
      <c r="A34352" s="374"/>
      <c r="C34352" s="374"/>
      <c r="CV34352" s="376"/>
    </row>
    <row r="34353" spans="1:100">
      <c r="A34353" s="374"/>
      <c r="C34353" s="374"/>
      <c r="CV34353" s="376"/>
    </row>
    <row r="34354" spans="1:100">
      <c r="A34354" s="374"/>
      <c r="C34354" s="374"/>
      <c r="CV34354" s="376"/>
    </row>
    <row r="34355" spans="1:100">
      <c r="A34355" s="374"/>
      <c r="C34355" s="374"/>
      <c r="CV34355" s="376"/>
    </row>
    <row r="34356" spans="1:100">
      <c r="A34356" s="374"/>
      <c r="C34356" s="374"/>
      <c r="CV34356" s="376"/>
    </row>
    <row r="34357" spans="1:100">
      <c r="A34357" s="374"/>
      <c r="C34357" s="374"/>
      <c r="CV34357" s="376"/>
    </row>
    <row r="34358" spans="1:100">
      <c r="A34358" s="374"/>
      <c r="C34358" s="374"/>
      <c r="CV34358" s="376"/>
    </row>
    <row r="34359" spans="1:100">
      <c r="A34359" s="374"/>
      <c r="C34359" s="374"/>
      <c r="CV34359" s="376"/>
    </row>
    <row r="34360" spans="1:100">
      <c r="A34360" s="374"/>
      <c r="C34360" s="374"/>
      <c r="CV34360" s="376"/>
    </row>
    <row r="34361" spans="1:100">
      <c r="A34361" s="374"/>
      <c r="C34361" s="374"/>
      <c r="CV34361" s="376"/>
    </row>
    <row r="34362" spans="1:100">
      <c r="A34362" s="374"/>
      <c r="C34362" s="374"/>
      <c r="CV34362" s="376"/>
    </row>
    <row r="34363" spans="1:100">
      <c r="A34363" s="374"/>
      <c r="C34363" s="374"/>
      <c r="CV34363" s="376"/>
    </row>
    <row r="34364" spans="1:100">
      <c r="A34364" s="374"/>
      <c r="C34364" s="374"/>
      <c r="CV34364" s="376"/>
    </row>
    <row r="34365" spans="1:100">
      <c r="A34365" s="374"/>
      <c r="C34365" s="374"/>
      <c r="CV34365" s="376"/>
    </row>
    <row r="34366" spans="1:100">
      <c r="A34366" s="374"/>
      <c r="C34366" s="374"/>
      <c r="CV34366" s="376"/>
    </row>
    <row r="34367" spans="1:100">
      <c r="A34367" s="374"/>
      <c r="C34367" s="374"/>
      <c r="CV34367" s="376"/>
    </row>
    <row r="34368" spans="1:100">
      <c r="A34368" s="374"/>
      <c r="C34368" s="374"/>
      <c r="CV34368" s="376"/>
    </row>
    <row r="34369" spans="1:100">
      <c r="A34369" s="374"/>
      <c r="C34369" s="374"/>
      <c r="CV34369" s="376"/>
    </row>
    <row r="34370" spans="1:100">
      <c r="A34370" s="374"/>
      <c r="C34370" s="374"/>
      <c r="CV34370" s="376"/>
    </row>
    <row r="34371" spans="1:100">
      <c r="A34371" s="374"/>
      <c r="C34371" s="374"/>
      <c r="CV34371" s="376"/>
    </row>
    <row r="34372" spans="1:100">
      <c r="A34372" s="374"/>
      <c r="C34372" s="374"/>
      <c r="CV34372" s="376"/>
    </row>
    <row r="34373" spans="1:100">
      <c r="A34373" s="374"/>
      <c r="C34373" s="374"/>
      <c r="CV34373" s="376"/>
    </row>
    <row r="34374" spans="1:100">
      <c r="A34374" s="374"/>
      <c r="C34374" s="374"/>
      <c r="CV34374" s="376"/>
    </row>
    <row r="34375" spans="1:100">
      <c r="A34375" s="374"/>
      <c r="C34375" s="374"/>
      <c r="CV34375" s="376"/>
    </row>
    <row r="34376" spans="1:100">
      <c r="A34376" s="374"/>
      <c r="C34376" s="374"/>
      <c r="CV34376" s="376"/>
    </row>
    <row r="34377" spans="1:100">
      <c r="A34377" s="374"/>
      <c r="C34377" s="374"/>
      <c r="CV34377" s="376"/>
    </row>
    <row r="34378" spans="1:100">
      <c r="A34378" s="374"/>
      <c r="C34378" s="374"/>
      <c r="CV34378" s="376"/>
    </row>
    <row r="34379" spans="1:100">
      <c r="A34379" s="374"/>
      <c r="C34379" s="374"/>
      <c r="CV34379" s="376"/>
    </row>
    <row r="34380" spans="1:100">
      <c r="A34380" s="374"/>
      <c r="C34380" s="374"/>
      <c r="CV34380" s="376"/>
    </row>
    <row r="34381" spans="1:100">
      <c r="A34381" s="374"/>
      <c r="C34381" s="374"/>
      <c r="CV34381" s="376"/>
    </row>
    <row r="34382" spans="1:100">
      <c r="A34382" s="374"/>
      <c r="C34382" s="374"/>
      <c r="CV34382" s="376"/>
    </row>
    <row r="34383" spans="1:100">
      <c r="A34383" s="374"/>
      <c r="C34383" s="374"/>
      <c r="CV34383" s="376"/>
    </row>
    <row r="34384" spans="1:100">
      <c r="A34384" s="374"/>
      <c r="C34384" s="374"/>
      <c r="CV34384" s="376"/>
    </row>
    <row r="34385" spans="1:100">
      <c r="A34385" s="374"/>
      <c r="C34385" s="374"/>
      <c r="CV34385" s="376"/>
    </row>
    <row r="34386" spans="1:100">
      <c r="A34386" s="374"/>
      <c r="C34386" s="374"/>
      <c r="CV34386" s="376"/>
    </row>
    <row r="34387" spans="1:100">
      <c r="A34387" s="374"/>
      <c r="C34387" s="374"/>
      <c r="CV34387" s="376"/>
    </row>
    <row r="34388" spans="1:100">
      <c r="A34388" s="374"/>
      <c r="C34388" s="374"/>
      <c r="CV34388" s="376"/>
    </row>
    <row r="34389" spans="1:100">
      <c r="A34389" s="374"/>
      <c r="C34389" s="374"/>
      <c r="CV34389" s="376"/>
    </row>
    <row r="34390" spans="1:100">
      <c r="A34390" s="374"/>
      <c r="C34390" s="374"/>
      <c r="CV34390" s="376"/>
    </row>
    <row r="34391" spans="1:100">
      <c r="A34391" s="374"/>
      <c r="C34391" s="374"/>
      <c r="CV34391" s="376"/>
    </row>
    <row r="34392" spans="1:100">
      <c r="A34392" s="374"/>
      <c r="C34392" s="374"/>
      <c r="CV34392" s="376"/>
    </row>
    <row r="34393" spans="1:100">
      <c r="A34393" s="374"/>
      <c r="C34393" s="374"/>
      <c r="CV34393" s="376"/>
    </row>
    <row r="34394" spans="1:100">
      <c r="A34394" s="374"/>
      <c r="C34394" s="374"/>
      <c r="CV34394" s="376"/>
    </row>
    <row r="34395" spans="1:100">
      <c r="A34395" s="374"/>
      <c r="C34395" s="374"/>
      <c r="CV34395" s="376"/>
    </row>
    <row r="34396" spans="1:100">
      <c r="A34396" s="374"/>
      <c r="C34396" s="374"/>
      <c r="CV34396" s="376"/>
    </row>
    <row r="34397" spans="1:100">
      <c r="A34397" s="374"/>
      <c r="C34397" s="374"/>
      <c r="CV34397" s="376"/>
    </row>
    <row r="34398" spans="1:100">
      <c r="A34398" s="374"/>
      <c r="C34398" s="374"/>
      <c r="CV34398" s="376"/>
    </row>
    <row r="34399" spans="1:100">
      <c r="A34399" s="374"/>
      <c r="C34399" s="374"/>
      <c r="CV34399" s="376"/>
    </row>
    <row r="34400" spans="1:100">
      <c r="A34400" s="374"/>
      <c r="C34400" s="374"/>
      <c r="CV34400" s="376"/>
    </row>
    <row r="34401" spans="1:100">
      <c r="A34401" s="374"/>
      <c r="C34401" s="374"/>
      <c r="CV34401" s="376"/>
    </row>
    <row r="34402" spans="1:100">
      <c r="A34402" s="374"/>
      <c r="C34402" s="374"/>
      <c r="CV34402" s="376"/>
    </row>
    <row r="34403" spans="1:100">
      <c r="A34403" s="374"/>
      <c r="C34403" s="374"/>
      <c r="CV34403" s="376"/>
    </row>
    <row r="34404" spans="1:100">
      <c r="A34404" s="374"/>
      <c r="C34404" s="374"/>
      <c r="CV34404" s="376"/>
    </row>
    <row r="34405" spans="1:100">
      <c r="A34405" s="374"/>
      <c r="C34405" s="374"/>
      <c r="CV34405" s="376"/>
    </row>
    <row r="34406" spans="1:100">
      <c r="A34406" s="374"/>
      <c r="C34406" s="374"/>
      <c r="CV34406" s="376"/>
    </row>
    <row r="34407" spans="1:100">
      <c r="A34407" s="374"/>
      <c r="C34407" s="374"/>
      <c r="CV34407" s="376"/>
    </row>
    <row r="34408" spans="1:100">
      <c r="A34408" s="374"/>
      <c r="C34408" s="374"/>
      <c r="CV34408" s="376"/>
    </row>
    <row r="34409" spans="1:100">
      <c r="A34409" s="374"/>
      <c r="C34409" s="374"/>
      <c r="CV34409" s="376"/>
    </row>
    <row r="34410" spans="1:100">
      <c r="A34410" s="374"/>
      <c r="C34410" s="374"/>
      <c r="CV34410" s="376"/>
    </row>
    <row r="34411" spans="1:100">
      <c r="A34411" s="374"/>
      <c r="C34411" s="374"/>
      <c r="CV34411" s="376"/>
    </row>
    <row r="34412" spans="1:100">
      <c r="A34412" s="374"/>
      <c r="C34412" s="374"/>
      <c r="CV34412" s="376"/>
    </row>
    <row r="34413" spans="1:100">
      <c r="A34413" s="374"/>
      <c r="C34413" s="374"/>
      <c r="CV34413" s="376"/>
    </row>
    <row r="34414" spans="1:100">
      <c r="A34414" s="374"/>
      <c r="C34414" s="374"/>
      <c r="CV34414" s="376"/>
    </row>
    <row r="34415" spans="1:100">
      <c r="A34415" s="374"/>
      <c r="C34415" s="374"/>
      <c r="CV34415" s="376"/>
    </row>
    <row r="34416" spans="1:100">
      <c r="A34416" s="374"/>
      <c r="C34416" s="374"/>
      <c r="CV34416" s="376"/>
    </row>
    <row r="34417" spans="1:100">
      <c r="A34417" s="374"/>
      <c r="C34417" s="374"/>
      <c r="CV34417" s="376"/>
    </row>
    <row r="34418" spans="1:100">
      <c r="A34418" s="374"/>
      <c r="C34418" s="374"/>
      <c r="CV34418" s="376"/>
    </row>
    <row r="34419" spans="1:100">
      <c r="A34419" s="374"/>
      <c r="C34419" s="374"/>
      <c r="CV34419" s="376"/>
    </row>
    <row r="34420" spans="1:100">
      <c r="A34420" s="374"/>
      <c r="C34420" s="374"/>
      <c r="CV34420" s="376"/>
    </row>
    <row r="34421" spans="1:100">
      <c r="A34421" s="374"/>
      <c r="C34421" s="374"/>
      <c r="CV34421" s="376"/>
    </row>
    <row r="34422" spans="1:100">
      <c r="A34422" s="374"/>
      <c r="C34422" s="374"/>
      <c r="CV34422" s="376"/>
    </row>
    <row r="34423" spans="1:100">
      <c r="A34423" s="374"/>
      <c r="C34423" s="374"/>
      <c r="CV34423" s="376"/>
    </row>
    <row r="34424" spans="1:100">
      <c r="A34424" s="374"/>
      <c r="C34424" s="374"/>
      <c r="CV34424" s="376"/>
    </row>
    <row r="34425" spans="1:100">
      <c r="A34425" s="374"/>
      <c r="C34425" s="374"/>
      <c r="CV34425" s="376"/>
    </row>
    <row r="34426" spans="1:100">
      <c r="A34426" s="374"/>
      <c r="C34426" s="374"/>
      <c r="CV34426" s="376"/>
    </row>
    <row r="34427" spans="1:100">
      <c r="A34427" s="374"/>
      <c r="C34427" s="374"/>
      <c r="CV34427" s="376"/>
    </row>
    <row r="34428" spans="1:100">
      <c r="A34428" s="374"/>
      <c r="C34428" s="374"/>
      <c r="CV34428" s="376"/>
    </row>
    <row r="34429" spans="1:100">
      <c r="A34429" s="374"/>
      <c r="C34429" s="374"/>
      <c r="CV34429" s="376"/>
    </row>
    <row r="34430" spans="1:100">
      <c r="A34430" s="374"/>
      <c r="C34430" s="374"/>
      <c r="CV34430" s="376"/>
    </row>
    <row r="34431" spans="1:100">
      <c r="A34431" s="374"/>
      <c r="C34431" s="374"/>
      <c r="CV34431" s="376"/>
    </row>
    <row r="34432" spans="1:100">
      <c r="A34432" s="374"/>
      <c r="C34432" s="374"/>
      <c r="CV34432" s="376"/>
    </row>
    <row r="34433" spans="1:100">
      <c r="A34433" s="374"/>
      <c r="C34433" s="374"/>
      <c r="CV34433" s="376"/>
    </row>
    <row r="34434" spans="1:100">
      <c r="A34434" s="374"/>
      <c r="C34434" s="374"/>
      <c r="CV34434" s="376"/>
    </row>
    <row r="34435" spans="1:100">
      <c r="A34435" s="374"/>
      <c r="C34435" s="374"/>
      <c r="CV34435" s="376"/>
    </row>
    <row r="34436" spans="1:100">
      <c r="A34436" s="374"/>
      <c r="C34436" s="374"/>
      <c r="CV34436" s="376"/>
    </row>
    <row r="34437" spans="1:100">
      <c r="A34437" s="374"/>
      <c r="C34437" s="374"/>
      <c r="CV34437" s="376"/>
    </row>
    <row r="34438" spans="1:100">
      <c r="A34438" s="374"/>
      <c r="C34438" s="374"/>
      <c r="CV34438" s="376"/>
    </row>
    <row r="34439" spans="1:100">
      <c r="A34439" s="374"/>
      <c r="C34439" s="374"/>
      <c r="CV34439" s="376"/>
    </row>
    <row r="34440" spans="1:100">
      <c r="A34440" s="374"/>
      <c r="C34440" s="374"/>
      <c r="CV34440" s="376"/>
    </row>
    <row r="34441" spans="1:100">
      <c r="A34441" s="374"/>
      <c r="C34441" s="374"/>
      <c r="CV34441" s="376"/>
    </row>
    <row r="34442" spans="1:100">
      <c r="A34442" s="374"/>
      <c r="C34442" s="374"/>
      <c r="CV34442" s="376"/>
    </row>
    <row r="34443" spans="1:100">
      <c r="A34443" s="374"/>
      <c r="C34443" s="374"/>
      <c r="CV34443" s="376"/>
    </row>
    <row r="34444" spans="1:100">
      <c r="A34444" s="374"/>
      <c r="C34444" s="374"/>
      <c r="CV34444" s="376"/>
    </row>
    <row r="34445" spans="1:100">
      <c r="A34445" s="374"/>
      <c r="C34445" s="374"/>
      <c r="CV34445" s="376"/>
    </row>
    <row r="34446" spans="1:100">
      <c r="A34446" s="374"/>
      <c r="C34446" s="374"/>
      <c r="CV34446" s="376"/>
    </row>
    <row r="34447" spans="1:100">
      <c r="A34447" s="374"/>
      <c r="C34447" s="374"/>
      <c r="CV34447" s="376"/>
    </row>
    <row r="34448" spans="1:100">
      <c r="A34448" s="374"/>
      <c r="C34448" s="374"/>
      <c r="CV34448" s="376"/>
    </row>
    <row r="34449" spans="1:100">
      <c r="A34449" s="374"/>
      <c r="C34449" s="374"/>
      <c r="CV34449" s="376"/>
    </row>
    <row r="34450" spans="1:100">
      <c r="A34450" s="374"/>
      <c r="C34450" s="374"/>
      <c r="CV34450" s="376"/>
    </row>
    <row r="34451" spans="1:100">
      <c r="A34451" s="374"/>
      <c r="C34451" s="374"/>
      <c r="CV34451" s="376"/>
    </row>
    <row r="34452" spans="1:100">
      <c r="A34452" s="374"/>
      <c r="C34452" s="374"/>
      <c r="CV34452" s="376"/>
    </row>
    <row r="34453" spans="1:100">
      <c r="A34453" s="374"/>
      <c r="C34453" s="374"/>
      <c r="CV34453" s="376"/>
    </row>
    <row r="34454" spans="1:100">
      <c r="A34454" s="374"/>
      <c r="C34454" s="374"/>
      <c r="CV34454" s="376"/>
    </row>
    <row r="34455" spans="1:100">
      <c r="A34455" s="374"/>
      <c r="C34455" s="374"/>
      <c r="CV34455" s="376"/>
    </row>
    <row r="34456" spans="1:100">
      <c r="A34456" s="374"/>
      <c r="C34456" s="374"/>
      <c r="CV34456" s="376"/>
    </row>
    <row r="34457" spans="1:100">
      <c r="A34457" s="374"/>
      <c r="C34457" s="374"/>
      <c r="CV34457" s="376"/>
    </row>
    <row r="34458" spans="1:100">
      <c r="A34458" s="374"/>
      <c r="C34458" s="374"/>
      <c r="CV34458" s="376"/>
    </row>
    <row r="34459" spans="1:100">
      <c r="A34459" s="374"/>
      <c r="C34459" s="374"/>
      <c r="CV34459" s="376"/>
    </row>
    <row r="34460" spans="1:100">
      <c r="A34460" s="374"/>
      <c r="C34460" s="374"/>
      <c r="CV34460" s="376"/>
    </row>
    <row r="34461" spans="1:100">
      <c r="A34461" s="374"/>
      <c r="C34461" s="374"/>
      <c r="CV34461" s="376"/>
    </row>
    <row r="34462" spans="1:100">
      <c r="A34462" s="374"/>
      <c r="C34462" s="374"/>
      <c r="CV34462" s="376"/>
    </row>
    <row r="34463" spans="1:100">
      <c r="A34463" s="374"/>
      <c r="C34463" s="374"/>
      <c r="CV34463" s="376"/>
    </row>
    <row r="34464" spans="1:100">
      <c r="A34464" s="374"/>
      <c r="C34464" s="374"/>
      <c r="CV34464" s="376"/>
    </row>
    <row r="34465" spans="1:100">
      <c r="A34465" s="374"/>
      <c r="C34465" s="374"/>
      <c r="CV34465" s="376"/>
    </row>
    <row r="34466" spans="1:100">
      <c r="A34466" s="374"/>
      <c r="C34466" s="374"/>
      <c r="CV34466" s="376"/>
    </row>
    <row r="34467" spans="1:100">
      <c r="A34467" s="374"/>
      <c r="C34467" s="374"/>
      <c r="CV34467" s="376"/>
    </row>
    <row r="34468" spans="1:100">
      <c r="A34468" s="374"/>
      <c r="C34468" s="374"/>
      <c r="CV34468" s="376"/>
    </row>
    <row r="34469" spans="1:100">
      <c r="A34469" s="374"/>
      <c r="C34469" s="374"/>
      <c r="CV34469" s="376"/>
    </row>
    <row r="34470" spans="1:100">
      <c r="A34470" s="374"/>
      <c r="C34470" s="374"/>
      <c r="CV34470" s="376"/>
    </row>
    <row r="34471" spans="1:100">
      <c r="A34471" s="374"/>
      <c r="C34471" s="374"/>
      <c r="CV34471" s="376"/>
    </row>
    <row r="34472" spans="1:100">
      <c r="A34472" s="374"/>
      <c r="C34472" s="374"/>
      <c r="CV34472" s="376"/>
    </row>
    <row r="34473" spans="1:100">
      <c r="A34473" s="374"/>
      <c r="C34473" s="374"/>
      <c r="CV34473" s="376"/>
    </row>
    <row r="34474" spans="1:100">
      <c r="A34474" s="374"/>
      <c r="C34474" s="374"/>
      <c r="CV34474" s="376"/>
    </row>
    <row r="34475" spans="1:100">
      <c r="A34475" s="374"/>
      <c r="C34475" s="374"/>
      <c r="CV34475" s="376"/>
    </row>
    <row r="34476" spans="1:100">
      <c r="A34476" s="374"/>
      <c r="C34476" s="374"/>
      <c r="CV34476" s="376"/>
    </row>
    <row r="34477" spans="1:100">
      <c r="A34477" s="374"/>
      <c r="C34477" s="374"/>
      <c r="CV34477" s="376"/>
    </row>
    <row r="34478" spans="1:100">
      <c r="A34478" s="374"/>
      <c r="C34478" s="374"/>
      <c r="CV34478" s="376"/>
    </row>
    <row r="34479" spans="1:100">
      <c r="A34479" s="374"/>
      <c r="C34479" s="374"/>
      <c r="CV34479" s="376"/>
    </row>
    <row r="34480" spans="1:100">
      <c r="A34480" s="374"/>
      <c r="C34480" s="374"/>
      <c r="CV34480" s="376"/>
    </row>
    <row r="34481" spans="1:100">
      <c r="A34481" s="374"/>
      <c r="C34481" s="374"/>
      <c r="CV34481" s="376"/>
    </row>
    <row r="34482" spans="1:100">
      <c r="A34482" s="374"/>
      <c r="C34482" s="374"/>
      <c r="CV34482" s="376"/>
    </row>
    <row r="34483" spans="1:100">
      <c r="A34483" s="374"/>
      <c r="C34483" s="374"/>
      <c r="CV34483" s="376"/>
    </row>
    <row r="34484" spans="1:100">
      <c r="A34484" s="374"/>
      <c r="C34484" s="374"/>
      <c r="CV34484" s="376"/>
    </row>
    <row r="34485" spans="1:100">
      <c r="A34485" s="374"/>
      <c r="C34485" s="374"/>
      <c r="CV34485" s="376"/>
    </row>
    <row r="34486" spans="1:100">
      <c r="A34486" s="374"/>
      <c r="C34486" s="374"/>
      <c r="CV34486" s="376"/>
    </row>
    <row r="34487" spans="1:100">
      <c r="A34487" s="374"/>
      <c r="C34487" s="374"/>
      <c r="CV34487" s="376"/>
    </row>
    <row r="34488" spans="1:100">
      <c r="A34488" s="374"/>
      <c r="C34488" s="374"/>
      <c r="CV34488" s="376"/>
    </row>
    <row r="34489" spans="1:100">
      <c r="A34489" s="374"/>
      <c r="C34489" s="374"/>
      <c r="CV34489" s="376"/>
    </row>
    <row r="34490" spans="1:100">
      <c r="A34490" s="374"/>
      <c r="C34490" s="374"/>
      <c r="CV34490" s="376"/>
    </row>
    <row r="34491" spans="1:100">
      <c r="A34491" s="374"/>
      <c r="C34491" s="374"/>
      <c r="CV34491" s="376"/>
    </row>
    <row r="34492" spans="1:100">
      <c r="A34492" s="374"/>
      <c r="C34492" s="374"/>
      <c r="CV34492" s="376"/>
    </row>
    <row r="34493" spans="1:100">
      <c r="A34493" s="374"/>
      <c r="C34493" s="374"/>
      <c r="CV34493" s="376"/>
    </row>
    <row r="34494" spans="1:100">
      <c r="A34494" s="374"/>
      <c r="C34494" s="374"/>
      <c r="CV34494" s="376"/>
    </row>
    <row r="34495" spans="1:100">
      <c r="A34495" s="374"/>
      <c r="C34495" s="374"/>
      <c r="CV34495" s="376"/>
    </row>
    <row r="34496" spans="1:100">
      <c r="A34496" s="374"/>
      <c r="C34496" s="374"/>
      <c r="CV34496" s="376"/>
    </row>
    <row r="34497" spans="1:100">
      <c r="A34497" s="374"/>
      <c r="C34497" s="374"/>
      <c r="CV34497" s="376"/>
    </row>
    <row r="34498" spans="1:100">
      <c r="A34498" s="374"/>
      <c r="C34498" s="374"/>
      <c r="CV34498" s="376"/>
    </row>
    <row r="34499" spans="1:100">
      <c r="A34499" s="374"/>
      <c r="C34499" s="374"/>
      <c r="CV34499" s="376"/>
    </row>
    <row r="34500" spans="1:100">
      <c r="A34500" s="374"/>
      <c r="C34500" s="374"/>
      <c r="CV34500" s="376"/>
    </row>
    <row r="34501" spans="1:100">
      <c r="A34501" s="374"/>
      <c r="C34501" s="374"/>
      <c r="CV34501" s="376"/>
    </row>
    <row r="34502" spans="1:100">
      <c r="A34502" s="374"/>
      <c r="C34502" s="374"/>
      <c r="CV34502" s="376"/>
    </row>
    <row r="34503" spans="1:100">
      <c r="A34503" s="374"/>
      <c r="C34503" s="374"/>
      <c r="CV34503" s="376"/>
    </row>
    <row r="34504" spans="1:100">
      <c r="A34504" s="374"/>
      <c r="C34504" s="374"/>
      <c r="CV34504" s="376"/>
    </row>
    <row r="34505" spans="1:100">
      <c r="A34505" s="374"/>
      <c r="C34505" s="374"/>
      <c r="CV34505" s="376"/>
    </row>
    <row r="34506" spans="1:100">
      <c r="A34506" s="374"/>
      <c r="C34506" s="374"/>
      <c r="CV34506" s="376"/>
    </row>
    <row r="34507" spans="1:100">
      <c r="A34507" s="374"/>
      <c r="C34507" s="374"/>
      <c r="CV34507" s="376"/>
    </row>
    <row r="34508" spans="1:100">
      <c r="A34508" s="374"/>
      <c r="C34508" s="374"/>
      <c r="CV34508" s="376"/>
    </row>
    <row r="34509" spans="1:100">
      <c r="A34509" s="374"/>
      <c r="C34509" s="374"/>
      <c r="CV34509" s="376"/>
    </row>
    <row r="34510" spans="1:100">
      <c r="A34510" s="374"/>
      <c r="C34510" s="374"/>
      <c r="CV34510" s="376"/>
    </row>
    <row r="34511" spans="1:100">
      <c r="A34511" s="374"/>
      <c r="C34511" s="374"/>
      <c r="CV34511" s="376"/>
    </row>
    <row r="34512" spans="1:100">
      <c r="A34512" s="374"/>
      <c r="C34512" s="374"/>
      <c r="CV34512" s="376"/>
    </row>
    <row r="34513" spans="1:100">
      <c r="A34513" s="374"/>
      <c r="C34513" s="374"/>
      <c r="CV34513" s="376"/>
    </row>
    <row r="34514" spans="1:100">
      <c r="A34514" s="374"/>
      <c r="C34514" s="374"/>
      <c r="CV34514" s="376"/>
    </row>
    <row r="34515" spans="1:100">
      <c r="A34515" s="374"/>
      <c r="C34515" s="374"/>
      <c r="CV34515" s="376"/>
    </row>
    <row r="34516" spans="1:100">
      <c r="A34516" s="374"/>
      <c r="C34516" s="374"/>
      <c r="CV34516" s="376"/>
    </row>
    <row r="34517" spans="1:100">
      <c r="A34517" s="374"/>
      <c r="C34517" s="374"/>
      <c r="CV34517" s="376"/>
    </row>
    <row r="34518" spans="1:100">
      <c r="A34518" s="374"/>
      <c r="C34518" s="374"/>
      <c r="CV34518" s="376"/>
    </row>
    <row r="34519" spans="1:100">
      <c r="A34519" s="374"/>
      <c r="C34519" s="374"/>
      <c r="CV34519" s="376"/>
    </row>
    <row r="34520" spans="1:100">
      <c r="A34520" s="374"/>
      <c r="C34520" s="374"/>
      <c r="CV34520" s="376"/>
    </row>
    <row r="34521" spans="1:100">
      <c r="A34521" s="374"/>
      <c r="C34521" s="374"/>
      <c r="CV34521" s="376"/>
    </row>
    <row r="34522" spans="1:100">
      <c r="A34522" s="374"/>
      <c r="C34522" s="374"/>
      <c r="CV34522" s="376"/>
    </row>
    <row r="34523" spans="1:100">
      <c r="A34523" s="374"/>
      <c r="C34523" s="374"/>
      <c r="CV34523" s="376"/>
    </row>
    <row r="34524" spans="1:100">
      <c r="A34524" s="374"/>
      <c r="C34524" s="374"/>
      <c r="CV34524" s="376"/>
    </row>
    <row r="34525" spans="1:100">
      <c r="A34525" s="374"/>
      <c r="C34525" s="374"/>
      <c r="CV34525" s="376"/>
    </row>
    <row r="34526" spans="1:100">
      <c r="A34526" s="374"/>
      <c r="C34526" s="374"/>
      <c r="CV34526" s="376"/>
    </row>
    <row r="34527" spans="1:100">
      <c r="A34527" s="374"/>
      <c r="C34527" s="374"/>
      <c r="CV34527" s="376"/>
    </row>
    <row r="34528" spans="1:100">
      <c r="A34528" s="374"/>
      <c r="C34528" s="374"/>
      <c r="CV34528" s="376"/>
    </row>
    <row r="34529" spans="1:100">
      <c r="A34529" s="374"/>
      <c r="C34529" s="374"/>
      <c r="CV34529" s="376"/>
    </row>
    <row r="34530" spans="1:100">
      <c r="A34530" s="374"/>
      <c r="C34530" s="374"/>
      <c r="CV34530" s="376"/>
    </row>
    <row r="34531" spans="1:100">
      <c r="A34531" s="374"/>
      <c r="C34531" s="374"/>
      <c r="CV34531" s="376"/>
    </row>
    <row r="34532" spans="1:100">
      <c r="A34532" s="374"/>
      <c r="C34532" s="374"/>
      <c r="CV34532" s="376"/>
    </row>
    <row r="34533" spans="1:100">
      <c r="A34533" s="374"/>
      <c r="C34533" s="374"/>
      <c r="CV34533" s="376"/>
    </row>
    <row r="34534" spans="1:100">
      <c r="A34534" s="374"/>
      <c r="C34534" s="374"/>
      <c r="CV34534" s="376"/>
    </row>
    <row r="34535" spans="1:100">
      <c r="A34535" s="374"/>
      <c r="C34535" s="374"/>
      <c r="CV34535" s="376"/>
    </row>
    <row r="34536" spans="1:100">
      <c r="A34536" s="374"/>
      <c r="C34536" s="374"/>
      <c r="CV34536" s="376"/>
    </row>
    <row r="34537" spans="1:100">
      <c r="A34537" s="374"/>
      <c r="C34537" s="374"/>
      <c r="CV34537" s="376"/>
    </row>
    <row r="34538" spans="1:100">
      <c r="A34538" s="374"/>
      <c r="C34538" s="374"/>
      <c r="CV34538" s="376"/>
    </row>
    <row r="34539" spans="1:100">
      <c r="A34539" s="374"/>
      <c r="C34539" s="374"/>
      <c r="CV34539" s="376"/>
    </row>
    <row r="34540" spans="1:100">
      <c r="A34540" s="374"/>
      <c r="C34540" s="374"/>
      <c r="CV34540" s="376"/>
    </row>
    <row r="34541" spans="1:100">
      <c r="A34541" s="374"/>
      <c r="C34541" s="374"/>
      <c r="CV34541" s="376"/>
    </row>
    <row r="34542" spans="1:100">
      <c r="A34542" s="374"/>
      <c r="C34542" s="374"/>
      <c r="CV34542" s="376"/>
    </row>
    <row r="34543" spans="1:100">
      <c r="A34543" s="374"/>
      <c r="C34543" s="374"/>
      <c r="CV34543" s="376"/>
    </row>
    <row r="34544" spans="1:100">
      <c r="A34544" s="374"/>
      <c r="C34544" s="374"/>
      <c r="CV34544" s="376"/>
    </row>
    <row r="34545" spans="1:100">
      <c r="A34545" s="374"/>
      <c r="C34545" s="374"/>
      <c r="CV34545" s="376"/>
    </row>
    <row r="34546" spans="1:100">
      <c r="A34546" s="374"/>
      <c r="C34546" s="374"/>
      <c r="CV34546" s="376"/>
    </row>
    <row r="34547" spans="1:100">
      <c r="A34547" s="374"/>
      <c r="C34547" s="374"/>
      <c r="CV34547" s="376"/>
    </row>
    <row r="34548" spans="1:100">
      <c r="A34548" s="374"/>
      <c r="C34548" s="374"/>
      <c r="CV34548" s="376"/>
    </row>
    <row r="34549" spans="1:100">
      <c r="A34549" s="374"/>
      <c r="C34549" s="374"/>
      <c r="CV34549" s="376"/>
    </row>
    <row r="34550" spans="1:100">
      <c r="A34550" s="374"/>
      <c r="C34550" s="374"/>
      <c r="CV34550" s="376"/>
    </row>
    <row r="34551" spans="1:100">
      <c r="A34551" s="374"/>
      <c r="C34551" s="374"/>
      <c r="CV34551" s="376"/>
    </row>
    <row r="34552" spans="1:100">
      <c r="A34552" s="374"/>
      <c r="C34552" s="374"/>
      <c r="CV34552" s="376"/>
    </row>
    <row r="34553" spans="1:100">
      <c r="A34553" s="374"/>
      <c r="C34553" s="374"/>
      <c r="CV34553" s="376"/>
    </row>
    <row r="34554" spans="1:100">
      <c r="A34554" s="374"/>
      <c r="C34554" s="374"/>
      <c r="CV34554" s="376"/>
    </row>
    <row r="34555" spans="1:100">
      <c r="A34555" s="374"/>
      <c r="C34555" s="374"/>
      <c r="CV34555" s="376"/>
    </row>
    <row r="34556" spans="1:100">
      <c r="A34556" s="374"/>
      <c r="C34556" s="374"/>
      <c r="CV34556" s="376"/>
    </row>
    <row r="34557" spans="1:100">
      <c r="A34557" s="374"/>
      <c r="C34557" s="374"/>
      <c r="CV34557" s="376"/>
    </row>
    <row r="34558" spans="1:100">
      <c r="A34558" s="374"/>
      <c r="C34558" s="374"/>
      <c r="CV34558" s="376"/>
    </row>
    <row r="34559" spans="1:100">
      <c r="A34559" s="374"/>
      <c r="C34559" s="374"/>
      <c r="CV34559" s="376"/>
    </row>
    <row r="34560" spans="1:100">
      <c r="A34560" s="374"/>
      <c r="C34560" s="374"/>
      <c r="CV34560" s="376"/>
    </row>
    <row r="34561" spans="1:100">
      <c r="A34561" s="374"/>
      <c r="C34561" s="374"/>
      <c r="CV34561" s="376"/>
    </row>
    <row r="34562" spans="1:100">
      <c r="A34562" s="374"/>
      <c r="C34562" s="374"/>
      <c r="CV34562" s="376"/>
    </row>
    <row r="34563" spans="1:100">
      <c r="A34563" s="374"/>
      <c r="C34563" s="374"/>
      <c r="CV34563" s="376"/>
    </row>
    <row r="34564" spans="1:100">
      <c r="A34564" s="374"/>
      <c r="C34564" s="374"/>
      <c r="CV34564" s="376"/>
    </row>
    <row r="34565" spans="1:100">
      <c r="A34565" s="374"/>
      <c r="C34565" s="374"/>
      <c r="CV34565" s="376"/>
    </row>
    <row r="34566" spans="1:100">
      <c r="A34566" s="374"/>
      <c r="C34566" s="374"/>
      <c r="CV34566" s="376"/>
    </row>
    <row r="34567" spans="1:100">
      <c r="A34567" s="374"/>
      <c r="C34567" s="374"/>
      <c r="CV34567" s="376"/>
    </row>
    <row r="34568" spans="1:100">
      <c r="A34568" s="374"/>
      <c r="C34568" s="374"/>
      <c r="CV34568" s="376"/>
    </row>
    <row r="34569" spans="1:100">
      <c r="A34569" s="374"/>
      <c r="C34569" s="374"/>
      <c r="CV34569" s="376"/>
    </row>
    <row r="34570" spans="1:100">
      <c r="A34570" s="374"/>
      <c r="C34570" s="374"/>
      <c r="CV34570" s="376"/>
    </row>
    <row r="34571" spans="1:100">
      <c r="A34571" s="374"/>
      <c r="C34571" s="374"/>
      <c r="CV34571" s="376"/>
    </row>
    <row r="34572" spans="1:100">
      <c r="A34572" s="374"/>
      <c r="C34572" s="374"/>
      <c r="CV34572" s="376"/>
    </row>
    <row r="34573" spans="1:100">
      <c r="A34573" s="374"/>
      <c r="C34573" s="374"/>
      <c r="CV34573" s="376"/>
    </row>
    <row r="34574" spans="1:100">
      <c r="A34574" s="374"/>
      <c r="C34574" s="374"/>
      <c r="CV34574" s="376"/>
    </row>
    <row r="34575" spans="1:100">
      <c r="A34575" s="374"/>
      <c r="C34575" s="374"/>
      <c r="CV34575" s="376"/>
    </row>
    <row r="34576" spans="1:100">
      <c r="A34576" s="374"/>
      <c r="C34576" s="374"/>
      <c r="CV34576" s="376"/>
    </row>
    <row r="34577" spans="1:100">
      <c r="A34577" s="374"/>
      <c r="C34577" s="374"/>
      <c r="CV34577" s="376"/>
    </row>
    <row r="34578" spans="1:100">
      <c r="A34578" s="374"/>
      <c r="C34578" s="374"/>
      <c r="CV34578" s="376"/>
    </row>
    <row r="34579" spans="1:100">
      <c r="A34579" s="374"/>
      <c r="C34579" s="374"/>
      <c r="CV34579" s="376"/>
    </row>
    <row r="34580" spans="1:100">
      <c r="A34580" s="374"/>
      <c r="C34580" s="374"/>
      <c r="CV34580" s="376"/>
    </row>
    <row r="34581" spans="1:100">
      <c r="A34581" s="374"/>
      <c r="C34581" s="374"/>
      <c r="CV34581" s="376"/>
    </row>
    <row r="34582" spans="1:100">
      <c r="A34582" s="374"/>
      <c r="C34582" s="374"/>
      <c r="CV34582" s="376"/>
    </row>
    <row r="34583" spans="1:100">
      <c r="A34583" s="374"/>
      <c r="C34583" s="374"/>
      <c r="CV34583" s="376"/>
    </row>
    <row r="34584" spans="1:100">
      <c r="A34584" s="374"/>
      <c r="C34584" s="374"/>
      <c r="CV34584" s="376"/>
    </row>
    <row r="34585" spans="1:100">
      <c r="A34585" s="374"/>
      <c r="C34585" s="374"/>
      <c r="CV34585" s="376"/>
    </row>
    <row r="34586" spans="1:100">
      <c r="A34586" s="374"/>
      <c r="C34586" s="374"/>
      <c r="CV34586" s="376"/>
    </row>
    <row r="34587" spans="1:100">
      <c r="A34587" s="374"/>
      <c r="C34587" s="374"/>
      <c r="CV34587" s="376"/>
    </row>
    <row r="34588" spans="1:100">
      <c r="A34588" s="374"/>
      <c r="C34588" s="374"/>
      <c r="CV34588" s="376"/>
    </row>
    <row r="34589" spans="1:100">
      <c r="A34589" s="374"/>
      <c r="C34589" s="374"/>
      <c r="CV34589" s="376"/>
    </row>
    <row r="34590" spans="1:100">
      <c r="A34590" s="374"/>
      <c r="C34590" s="374"/>
      <c r="CV34590" s="376"/>
    </row>
    <row r="34591" spans="1:100">
      <c r="A34591" s="374"/>
      <c r="C34591" s="374"/>
      <c r="CV34591" s="376"/>
    </row>
    <row r="34592" spans="1:100">
      <c r="A34592" s="374"/>
      <c r="C34592" s="374"/>
      <c r="CV34592" s="376"/>
    </row>
    <row r="34593" spans="1:100">
      <c r="A34593" s="374"/>
      <c r="C34593" s="374"/>
      <c r="CV34593" s="376"/>
    </row>
    <row r="34594" spans="1:100">
      <c r="A34594" s="374"/>
      <c r="C34594" s="374"/>
      <c r="CV34594" s="376"/>
    </row>
    <row r="34595" spans="1:100">
      <c r="A34595" s="374"/>
      <c r="C34595" s="374"/>
      <c r="CV34595" s="376"/>
    </row>
    <row r="34596" spans="1:100">
      <c r="A34596" s="374"/>
      <c r="C34596" s="374"/>
      <c r="CV34596" s="376"/>
    </row>
    <row r="34597" spans="1:100">
      <c r="A34597" s="374"/>
      <c r="C34597" s="374"/>
      <c r="CV34597" s="376"/>
    </row>
    <row r="34598" spans="1:100">
      <c r="A34598" s="374"/>
      <c r="C34598" s="374"/>
      <c r="CV34598" s="376"/>
    </row>
    <row r="34599" spans="1:100">
      <c r="A34599" s="374"/>
      <c r="C34599" s="374"/>
      <c r="CV34599" s="376"/>
    </row>
    <row r="34600" spans="1:100">
      <c r="A34600" s="374"/>
      <c r="C34600" s="374"/>
      <c r="CV34600" s="376"/>
    </row>
    <row r="34601" spans="1:100">
      <c r="A34601" s="374"/>
      <c r="C34601" s="374"/>
      <c r="CV34601" s="376"/>
    </row>
    <row r="34602" spans="1:100">
      <c r="A34602" s="374"/>
      <c r="C34602" s="374"/>
      <c r="CV34602" s="376"/>
    </row>
    <row r="34603" spans="1:100">
      <c r="A34603" s="374"/>
      <c r="C34603" s="374"/>
      <c r="CV34603" s="376"/>
    </row>
    <row r="34604" spans="1:100">
      <c r="A34604" s="374"/>
      <c r="C34604" s="374"/>
      <c r="CV34604" s="376"/>
    </row>
    <row r="34605" spans="1:100">
      <c r="A34605" s="374"/>
      <c r="C34605" s="374"/>
      <c r="CV34605" s="376"/>
    </row>
    <row r="34606" spans="1:100">
      <c r="A34606" s="374"/>
      <c r="C34606" s="374"/>
      <c r="CV34606" s="376"/>
    </row>
    <row r="34607" spans="1:100">
      <c r="A34607" s="374"/>
      <c r="C34607" s="374"/>
      <c r="CV34607" s="376"/>
    </row>
    <row r="34608" spans="1:100">
      <c r="A34608" s="374"/>
      <c r="C34608" s="374"/>
      <c r="CV34608" s="376"/>
    </row>
    <row r="34609" spans="1:100">
      <c r="A34609" s="374"/>
      <c r="C34609" s="374"/>
      <c r="CV34609" s="376"/>
    </row>
    <row r="34610" spans="1:100">
      <c r="A34610" s="374"/>
      <c r="C34610" s="374"/>
      <c r="CV34610" s="376"/>
    </row>
    <row r="34611" spans="1:100">
      <c r="A34611" s="374"/>
      <c r="C34611" s="374"/>
      <c r="CV34611" s="376"/>
    </row>
    <row r="34612" spans="1:100">
      <c r="A34612" s="374"/>
      <c r="C34612" s="374"/>
      <c r="CV34612" s="376"/>
    </row>
    <row r="34613" spans="1:100">
      <c r="A34613" s="374"/>
      <c r="C34613" s="374"/>
      <c r="CV34613" s="376"/>
    </row>
    <row r="34614" spans="1:100">
      <c r="A34614" s="374"/>
      <c r="C34614" s="374"/>
      <c r="CV34614" s="376"/>
    </row>
    <row r="34615" spans="1:100">
      <c r="A34615" s="374"/>
      <c r="C34615" s="374"/>
      <c r="CV34615" s="376"/>
    </row>
    <row r="34616" spans="1:100">
      <c r="A34616" s="374"/>
      <c r="C34616" s="374"/>
      <c r="CV34616" s="376"/>
    </row>
    <row r="34617" spans="1:100">
      <c r="A34617" s="374"/>
      <c r="C34617" s="374"/>
      <c r="CV34617" s="376"/>
    </row>
    <row r="34618" spans="1:100">
      <c r="A34618" s="374"/>
      <c r="C34618" s="374"/>
      <c r="CV34618" s="376"/>
    </row>
    <row r="34619" spans="1:100">
      <c r="A34619" s="374"/>
      <c r="C34619" s="374"/>
      <c r="CV34619" s="376"/>
    </row>
    <row r="34620" spans="1:100">
      <c r="A34620" s="374"/>
      <c r="C34620" s="374"/>
      <c r="CV34620" s="376"/>
    </row>
    <row r="34621" spans="1:100">
      <c r="A34621" s="374"/>
      <c r="C34621" s="374"/>
      <c r="CV34621" s="376"/>
    </row>
    <row r="34622" spans="1:100">
      <c r="A34622" s="374"/>
      <c r="C34622" s="374"/>
      <c r="CV34622" s="376"/>
    </row>
    <row r="34623" spans="1:100">
      <c r="A34623" s="374"/>
      <c r="C34623" s="374"/>
      <c r="CV34623" s="376"/>
    </row>
    <row r="34624" spans="1:100">
      <c r="A34624" s="374"/>
      <c r="C34624" s="374"/>
      <c r="CV34624" s="376"/>
    </row>
    <row r="34625" spans="1:100">
      <c r="A34625" s="374"/>
      <c r="C34625" s="374"/>
      <c r="CV34625" s="376"/>
    </row>
    <row r="34626" spans="1:100">
      <c r="A34626" s="374"/>
      <c r="C34626" s="374"/>
      <c r="CV34626" s="376"/>
    </row>
    <row r="34627" spans="1:100">
      <c r="A34627" s="374"/>
      <c r="C34627" s="374"/>
      <c r="CV34627" s="376"/>
    </row>
    <row r="34628" spans="1:100">
      <c r="A34628" s="374"/>
      <c r="C34628" s="374"/>
      <c r="CV34628" s="376"/>
    </row>
    <row r="34629" spans="1:100">
      <c r="A34629" s="374"/>
      <c r="C34629" s="374"/>
      <c r="CV34629" s="376"/>
    </row>
    <row r="34630" spans="1:100">
      <c r="A34630" s="374"/>
      <c r="C34630" s="374"/>
      <c r="CV34630" s="376"/>
    </row>
    <row r="34631" spans="1:100">
      <c r="A34631" s="374"/>
      <c r="C34631" s="374"/>
      <c r="CV34631" s="376"/>
    </row>
    <row r="34632" spans="1:100">
      <c r="A34632" s="374"/>
      <c r="C34632" s="374"/>
      <c r="CV34632" s="376"/>
    </row>
    <row r="34633" spans="1:100">
      <c r="A34633" s="374"/>
      <c r="C34633" s="374"/>
      <c r="CV34633" s="376"/>
    </row>
    <row r="34634" spans="1:100">
      <c r="A34634" s="374"/>
      <c r="C34634" s="374"/>
      <c r="CV34634" s="376"/>
    </row>
    <row r="34635" spans="1:100">
      <c r="A34635" s="374"/>
      <c r="C34635" s="374"/>
      <c r="CV34635" s="376"/>
    </row>
    <row r="34636" spans="1:100">
      <c r="A34636" s="374"/>
      <c r="C34636" s="374"/>
      <c r="CV34636" s="376"/>
    </row>
    <row r="34637" spans="1:100">
      <c r="A34637" s="374"/>
      <c r="C34637" s="374"/>
      <c r="CV34637" s="376"/>
    </row>
    <row r="34638" spans="1:100">
      <c r="A34638" s="374"/>
      <c r="C34638" s="374"/>
      <c r="CV34638" s="376"/>
    </row>
    <row r="34639" spans="1:100">
      <c r="A34639" s="374"/>
      <c r="C34639" s="374"/>
      <c r="CV34639" s="376"/>
    </row>
    <row r="34640" spans="1:100">
      <c r="A34640" s="374"/>
      <c r="C34640" s="374"/>
      <c r="CV34640" s="376"/>
    </row>
    <row r="34641" spans="1:100">
      <c r="A34641" s="374"/>
      <c r="C34641" s="374"/>
      <c r="CV34641" s="376"/>
    </row>
    <row r="34642" spans="1:100">
      <c r="A34642" s="374"/>
      <c r="C34642" s="374"/>
      <c r="CV34642" s="376"/>
    </row>
    <row r="34643" spans="1:100">
      <c r="A34643" s="374"/>
      <c r="C34643" s="374"/>
      <c r="CV34643" s="376"/>
    </row>
    <row r="34644" spans="1:100">
      <c r="A34644" s="374"/>
      <c r="C34644" s="374"/>
      <c r="CV34644" s="376"/>
    </row>
    <row r="34645" spans="1:100">
      <c r="A34645" s="374"/>
      <c r="C34645" s="374"/>
      <c r="CV34645" s="376"/>
    </row>
    <row r="34646" spans="1:100">
      <c r="A34646" s="374"/>
      <c r="C34646" s="374"/>
      <c r="CV34646" s="376"/>
    </row>
    <row r="34647" spans="1:100">
      <c r="A34647" s="374"/>
      <c r="C34647" s="374"/>
      <c r="CV34647" s="376"/>
    </row>
    <row r="34648" spans="1:100">
      <c r="A34648" s="374"/>
      <c r="C34648" s="374"/>
      <c r="CV34648" s="376"/>
    </row>
    <row r="34649" spans="1:100">
      <c r="A34649" s="374"/>
      <c r="C34649" s="374"/>
      <c r="CV34649" s="376"/>
    </row>
    <row r="34650" spans="1:100">
      <c r="A34650" s="374"/>
      <c r="C34650" s="374"/>
      <c r="CV34650" s="376"/>
    </row>
    <row r="34651" spans="1:100">
      <c r="A34651" s="374"/>
      <c r="C34651" s="374"/>
      <c r="CV34651" s="376"/>
    </row>
    <row r="34652" spans="1:100">
      <c r="A34652" s="374"/>
      <c r="C34652" s="374"/>
      <c r="CV34652" s="376"/>
    </row>
    <row r="34653" spans="1:100">
      <c r="A34653" s="374"/>
      <c r="C34653" s="374"/>
      <c r="CV34653" s="376"/>
    </row>
    <row r="34654" spans="1:100">
      <c r="A34654" s="374"/>
      <c r="C34654" s="374"/>
      <c r="CV34654" s="376"/>
    </row>
    <row r="34655" spans="1:100">
      <c r="A34655" s="374"/>
      <c r="C34655" s="374"/>
      <c r="CV34655" s="376"/>
    </row>
    <row r="34656" spans="1:100">
      <c r="A34656" s="374"/>
      <c r="C34656" s="374"/>
      <c r="CV34656" s="376"/>
    </row>
    <row r="34657" spans="1:100">
      <c r="A34657" s="374"/>
      <c r="C34657" s="374"/>
      <c r="CV34657" s="376"/>
    </row>
    <row r="34658" spans="1:100">
      <c r="A34658" s="374"/>
      <c r="C34658" s="374"/>
      <c r="CV34658" s="376"/>
    </row>
    <row r="34659" spans="1:100">
      <c r="A34659" s="374"/>
      <c r="C34659" s="374"/>
      <c r="CV34659" s="376"/>
    </row>
    <row r="34660" spans="1:100">
      <c r="A34660" s="374"/>
      <c r="C34660" s="374"/>
      <c r="CV34660" s="376"/>
    </row>
    <row r="34661" spans="1:100">
      <c r="A34661" s="374"/>
      <c r="C34661" s="374"/>
      <c r="CV34661" s="376"/>
    </row>
    <row r="34662" spans="1:100">
      <c r="A34662" s="374"/>
      <c r="C34662" s="374"/>
      <c r="CV34662" s="376"/>
    </row>
    <row r="34663" spans="1:100">
      <c r="A34663" s="374"/>
      <c r="C34663" s="374"/>
      <c r="CV34663" s="376"/>
    </row>
    <row r="34664" spans="1:100">
      <c r="A34664" s="374"/>
      <c r="C34664" s="374"/>
      <c r="CV34664" s="376"/>
    </row>
    <row r="34665" spans="1:100">
      <c r="A34665" s="374"/>
      <c r="C34665" s="374"/>
      <c r="CV34665" s="376"/>
    </row>
    <row r="34666" spans="1:100">
      <c r="A34666" s="374"/>
      <c r="C34666" s="374"/>
      <c r="CV34666" s="376"/>
    </row>
    <row r="34667" spans="1:100">
      <c r="A34667" s="374"/>
      <c r="C34667" s="374"/>
      <c r="CV34667" s="376"/>
    </row>
    <row r="34668" spans="1:100">
      <c r="A34668" s="374"/>
      <c r="C34668" s="374"/>
      <c r="CV34668" s="376"/>
    </row>
    <row r="34669" spans="1:100">
      <c r="A34669" s="374"/>
      <c r="C34669" s="374"/>
      <c r="CV34669" s="376"/>
    </row>
    <row r="34670" spans="1:100">
      <c r="A34670" s="374"/>
      <c r="C34670" s="374"/>
      <c r="CV34670" s="376"/>
    </row>
    <row r="34671" spans="1:100">
      <c r="A34671" s="374"/>
      <c r="C34671" s="374"/>
      <c r="CV34671" s="376"/>
    </row>
    <row r="34672" spans="1:100">
      <c r="A34672" s="374"/>
      <c r="C34672" s="374"/>
      <c r="CV34672" s="376"/>
    </row>
    <row r="34673" spans="1:100">
      <c r="A34673" s="374"/>
      <c r="C34673" s="374"/>
      <c r="CV34673" s="376"/>
    </row>
    <row r="34674" spans="1:100">
      <c r="A34674" s="374"/>
      <c r="C34674" s="374"/>
      <c r="CV34674" s="376"/>
    </row>
    <row r="34675" spans="1:100">
      <c r="A34675" s="374"/>
      <c r="C34675" s="374"/>
      <c r="CV34675" s="376"/>
    </row>
    <row r="34676" spans="1:100">
      <c r="A34676" s="374"/>
      <c r="C34676" s="374"/>
      <c r="CV34676" s="376"/>
    </row>
    <row r="34677" spans="1:100">
      <c r="A34677" s="374"/>
      <c r="C34677" s="374"/>
      <c r="CV34677" s="376"/>
    </row>
    <row r="34678" spans="1:100">
      <c r="A34678" s="374"/>
      <c r="C34678" s="374"/>
      <c r="CV34678" s="376"/>
    </row>
    <row r="34679" spans="1:100">
      <c r="A34679" s="374"/>
      <c r="C34679" s="374"/>
      <c r="CV34679" s="376"/>
    </row>
    <row r="34680" spans="1:100">
      <c r="A34680" s="374"/>
      <c r="C34680" s="374"/>
      <c r="CV34680" s="376"/>
    </row>
    <row r="34681" spans="1:100">
      <c r="A34681" s="374"/>
      <c r="C34681" s="374"/>
      <c r="CV34681" s="376"/>
    </row>
    <row r="34682" spans="1:100">
      <c r="A34682" s="374"/>
      <c r="C34682" s="374"/>
      <c r="CV34682" s="376"/>
    </row>
    <row r="34683" spans="1:100">
      <c r="A34683" s="374"/>
      <c r="C34683" s="374"/>
      <c r="CV34683" s="376"/>
    </row>
    <row r="34684" spans="1:100">
      <c r="A34684" s="374"/>
      <c r="C34684" s="374"/>
      <c r="CV34684" s="376"/>
    </row>
    <row r="34685" spans="1:100">
      <c r="A34685" s="374"/>
      <c r="C34685" s="374"/>
      <c r="CV34685" s="376"/>
    </row>
    <row r="34686" spans="1:100">
      <c r="A34686" s="374"/>
      <c r="C34686" s="374"/>
      <c r="CV34686" s="376"/>
    </row>
    <row r="34687" spans="1:100">
      <c r="A34687" s="374"/>
      <c r="C34687" s="374"/>
      <c r="CV34687" s="376"/>
    </row>
    <row r="34688" spans="1:100">
      <c r="A34688" s="374"/>
      <c r="C34688" s="374"/>
      <c r="CV34688" s="376"/>
    </row>
    <row r="34689" spans="1:100">
      <c r="A34689" s="374"/>
      <c r="C34689" s="374"/>
      <c r="CV34689" s="376"/>
    </row>
    <row r="34690" spans="1:100">
      <c r="A34690" s="374"/>
      <c r="C34690" s="374"/>
      <c r="CV34690" s="376"/>
    </row>
    <row r="34691" spans="1:100">
      <c r="A34691" s="374"/>
      <c r="C34691" s="374"/>
      <c r="CV34691" s="376"/>
    </row>
    <row r="34692" spans="1:100">
      <c r="A34692" s="374"/>
      <c r="C34692" s="374"/>
      <c r="CV34692" s="376"/>
    </row>
    <row r="34693" spans="1:100">
      <c r="A34693" s="374"/>
      <c r="C34693" s="374"/>
      <c r="CV34693" s="376"/>
    </row>
    <row r="34694" spans="1:100">
      <c r="A34694" s="374"/>
      <c r="C34694" s="374"/>
      <c r="CV34694" s="376"/>
    </row>
    <row r="34695" spans="1:100">
      <c r="A34695" s="374"/>
      <c r="C34695" s="374"/>
      <c r="CV34695" s="376"/>
    </row>
    <row r="34696" spans="1:100">
      <c r="A34696" s="374"/>
      <c r="C34696" s="374"/>
      <c r="CV34696" s="376"/>
    </row>
    <row r="34697" spans="1:100">
      <c r="A34697" s="374"/>
      <c r="C34697" s="374"/>
      <c r="CV34697" s="376"/>
    </row>
    <row r="34698" spans="1:100">
      <c r="A34698" s="374"/>
      <c r="C34698" s="374"/>
      <c r="CV34698" s="376"/>
    </row>
    <row r="34699" spans="1:100">
      <c r="A34699" s="374"/>
      <c r="C34699" s="374"/>
      <c r="CV34699" s="376"/>
    </row>
    <row r="34700" spans="1:100">
      <c r="A34700" s="374"/>
      <c r="C34700" s="374"/>
      <c r="CV34700" s="376"/>
    </row>
    <row r="34701" spans="1:100">
      <c r="A34701" s="374"/>
      <c r="C34701" s="374"/>
      <c r="CV34701" s="376"/>
    </row>
    <row r="34702" spans="1:100">
      <c r="A34702" s="374"/>
      <c r="C34702" s="374"/>
      <c r="CV34702" s="376"/>
    </row>
    <row r="34703" spans="1:100">
      <c r="A34703" s="374"/>
      <c r="C34703" s="374"/>
      <c r="CV34703" s="376"/>
    </row>
    <row r="34704" spans="1:100">
      <c r="A34704" s="374"/>
      <c r="C34704" s="374"/>
      <c r="CV34704" s="376"/>
    </row>
    <row r="34705" spans="1:100">
      <c r="A34705" s="374"/>
      <c r="C34705" s="374"/>
      <c r="CV34705" s="376"/>
    </row>
    <row r="34706" spans="1:100">
      <c r="A34706" s="374"/>
      <c r="C34706" s="374"/>
      <c r="CV34706" s="376"/>
    </row>
    <row r="34707" spans="1:100">
      <c r="A34707" s="374"/>
      <c r="C34707" s="374"/>
      <c r="CV34707" s="376"/>
    </row>
    <row r="34708" spans="1:100">
      <c r="A34708" s="374"/>
      <c r="C34708" s="374"/>
      <c r="CV34708" s="376"/>
    </row>
    <row r="34709" spans="1:100">
      <c r="A34709" s="374"/>
      <c r="C34709" s="374"/>
      <c r="CV34709" s="376"/>
    </row>
    <row r="34710" spans="1:100">
      <c r="A34710" s="374"/>
      <c r="C34710" s="374"/>
      <c r="CV34710" s="376"/>
    </row>
    <row r="34711" spans="1:100">
      <c r="A34711" s="374"/>
      <c r="C34711" s="374"/>
      <c r="CV34711" s="376"/>
    </row>
    <row r="34712" spans="1:100">
      <c r="A34712" s="374"/>
      <c r="C34712" s="374"/>
      <c r="CV34712" s="376"/>
    </row>
    <row r="34713" spans="1:100">
      <c r="A34713" s="374"/>
      <c r="C34713" s="374"/>
      <c r="CV34713" s="376"/>
    </row>
    <row r="34714" spans="1:100">
      <c r="A34714" s="374"/>
      <c r="C34714" s="374"/>
      <c r="CV34714" s="376"/>
    </row>
    <row r="34715" spans="1:100">
      <c r="A34715" s="374"/>
      <c r="C34715" s="374"/>
      <c r="CV34715" s="376"/>
    </row>
    <row r="34716" spans="1:100">
      <c r="A34716" s="374"/>
      <c r="C34716" s="374"/>
      <c r="CV34716" s="376"/>
    </row>
    <row r="34717" spans="1:100">
      <c r="A34717" s="374"/>
      <c r="C34717" s="374"/>
      <c r="CV34717" s="376"/>
    </row>
    <row r="34718" spans="1:100">
      <c r="A34718" s="374"/>
      <c r="C34718" s="374"/>
      <c r="CV34718" s="376"/>
    </row>
    <row r="34719" spans="1:100">
      <c r="A34719" s="374"/>
      <c r="C34719" s="374"/>
      <c r="CV34719" s="376"/>
    </row>
    <row r="34720" spans="1:100">
      <c r="A34720" s="374"/>
      <c r="C34720" s="374"/>
      <c r="CV34720" s="376"/>
    </row>
    <row r="34721" spans="1:100">
      <c r="A34721" s="374"/>
      <c r="C34721" s="374"/>
      <c r="CV34721" s="376"/>
    </row>
    <row r="34722" spans="1:100">
      <c r="A34722" s="374"/>
      <c r="C34722" s="374"/>
      <c r="CV34722" s="376"/>
    </row>
    <row r="34723" spans="1:100">
      <c r="A34723" s="374"/>
      <c r="C34723" s="374"/>
      <c r="CV34723" s="376"/>
    </row>
    <row r="34724" spans="1:100">
      <c r="A34724" s="374"/>
      <c r="C34724" s="374"/>
      <c r="CV34724" s="376"/>
    </row>
    <row r="34725" spans="1:100">
      <c r="A34725" s="374"/>
      <c r="C34725" s="374"/>
      <c r="CV34725" s="376"/>
    </row>
    <row r="34726" spans="1:100">
      <c r="A34726" s="374"/>
      <c r="C34726" s="374"/>
      <c r="CV34726" s="376"/>
    </row>
    <row r="34727" spans="1:100">
      <c r="A34727" s="374"/>
      <c r="C34727" s="374"/>
      <c r="CV34727" s="376"/>
    </row>
    <row r="34728" spans="1:100">
      <c r="A34728" s="374"/>
      <c r="C34728" s="374"/>
      <c r="CV34728" s="376"/>
    </row>
    <row r="34729" spans="1:100">
      <c r="A34729" s="374"/>
      <c r="C34729" s="374"/>
      <c r="CV34729" s="376"/>
    </row>
    <row r="34730" spans="1:100">
      <c r="A34730" s="374"/>
      <c r="C34730" s="374"/>
      <c r="CV34730" s="376"/>
    </row>
    <row r="34731" spans="1:100">
      <c r="A34731" s="374"/>
      <c r="C34731" s="374"/>
      <c r="CV34731" s="376"/>
    </row>
    <row r="34732" spans="1:100">
      <c r="A34732" s="374"/>
      <c r="C34732" s="374"/>
      <c r="CV34732" s="376"/>
    </row>
    <row r="34733" spans="1:100">
      <c r="A34733" s="374"/>
      <c r="C34733" s="374"/>
      <c r="CV34733" s="376"/>
    </row>
    <row r="34734" spans="1:100">
      <c r="A34734" s="374"/>
      <c r="C34734" s="374"/>
      <c r="CV34734" s="376"/>
    </row>
    <row r="34735" spans="1:100">
      <c r="A34735" s="374"/>
      <c r="C34735" s="374"/>
      <c r="CV34735" s="376"/>
    </row>
    <row r="34736" spans="1:100">
      <c r="A34736" s="374"/>
      <c r="C34736" s="374"/>
      <c r="CV34736" s="376"/>
    </row>
    <row r="34737" spans="1:100">
      <c r="A34737" s="374"/>
      <c r="C34737" s="374"/>
      <c r="CV34737" s="376"/>
    </row>
    <row r="34738" spans="1:100">
      <c r="A34738" s="374"/>
      <c r="C34738" s="374"/>
      <c r="CV34738" s="376"/>
    </row>
    <row r="34739" spans="1:100">
      <c r="A34739" s="374"/>
      <c r="C34739" s="374"/>
      <c r="CV34739" s="376"/>
    </row>
    <row r="34740" spans="1:100">
      <c r="A34740" s="374"/>
      <c r="C34740" s="374"/>
      <c r="CV34740" s="376"/>
    </row>
    <row r="34741" spans="1:100">
      <c r="A34741" s="374"/>
      <c r="C34741" s="374"/>
      <c r="CV34741" s="376"/>
    </row>
    <row r="34742" spans="1:100">
      <c r="A34742" s="374"/>
      <c r="C34742" s="374"/>
      <c r="CV34742" s="376"/>
    </row>
    <row r="34743" spans="1:100">
      <c r="A34743" s="374"/>
      <c r="C34743" s="374"/>
      <c r="CV34743" s="376"/>
    </row>
    <row r="34744" spans="1:100">
      <c r="A34744" s="374"/>
      <c r="C34744" s="374"/>
      <c r="CV34744" s="376"/>
    </row>
    <row r="34745" spans="1:100">
      <c r="A34745" s="374"/>
      <c r="C34745" s="374"/>
      <c r="CV34745" s="376"/>
    </row>
    <row r="34746" spans="1:100">
      <c r="A34746" s="374"/>
      <c r="C34746" s="374"/>
      <c r="CV34746" s="376"/>
    </row>
    <row r="34747" spans="1:100">
      <c r="A34747" s="374"/>
      <c r="C34747" s="374"/>
      <c r="CV34747" s="376"/>
    </row>
    <row r="34748" spans="1:100">
      <c r="A34748" s="374"/>
      <c r="C34748" s="374"/>
      <c r="CV34748" s="376"/>
    </row>
    <row r="34749" spans="1:100">
      <c r="A34749" s="374"/>
      <c r="C34749" s="374"/>
      <c r="CV34749" s="376"/>
    </row>
    <row r="34750" spans="1:100">
      <c r="A34750" s="374"/>
      <c r="C34750" s="374"/>
      <c r="CV34750" s="376"/>
    </row>
    <row r="34751" spans="1:100">
      <c r="A34751" s="374"/>
      <c r="C34751" s="374"/>
      <c r="CV34751" s="376"/>
    </row>
    <row r="34752" spans="1:100">
      <c r="A34752" s="374"/>
      <c r="C34752" s="374"/>
      <c r="CV34752" s="376"/>
    </row>
    <row r="34753" spans="1:100">
      <c r="A34753" s="374"/>
      <c r="C34753" s="374"/>
      <c r="CV34753" s="376"/>
    </row>
    <row r="34754" spans="1:100">
      <c r="A34754" s="374"/>
      <c r="C34754" s="374"/>
      <c r="CV34754" s="376"/>
    </row>
    <row r="34755" spans="1:100">
      <c r="A34755" s="374"/>
      <c r="C34755" s="374"/>
      <c r="CV34755" s="376"/>
    </row>
    <row r="34756" spans="1:100">
      <c r="A34756" s="374"/>
      <c r="C34756" s="374"/>
      <c r="CV34756" s="376"/>
    </row>
    <row r="34757" spans="1:100">
      <c r="A34757" s="374"/>
      <c r="C34757" s="374"/>
      <c r="CV34757" s="376"/>
    </row>
    <row r="34758" spans="1:100">
      <c r="A34758" s="374"/>
      <c r="C34758" s="374"/>
      <c r="CV34758" s="376"/>
    </row>
    <row r="34759" spans="1:100">
      <c r="A34759" s="374"/>
      <c r="C34759" s="374"/>
      <c r="CV34759" s="376"/>
    </row>
    <row r="34760" spans="1:100">
      <c r="A34760" s="374"/>
      <c r="C34760" s="374"/>
      <c r="CV34760" s="376"/>
    </row>
    <row r="34761" spans="1:100">
      <c r="A34761" s="374"/>
      <c r="C34761" s="374"/>
      <c r="CV34761" s="376"/>
    </row>
    <row r="34762" spans="1:100">
      <c r="A34762" s="374"/>
      <c r="C34762" s="374"/>
      <c r="CV34762" s="376"/>
    </row>
    <row r="34763" spans="1:100">
      <c r="A34763" s="374"/>
      <c r="C34763" s="374"/>
      <c r="CV34763" s="376"/>
    </row>
    <row r="34764" spans="1:100">
      <c r="A34764" s="374"/>
      <c r="C34764" s="374"/>
      <c r="CV34764" s="376"/>
    </row>
    <row r="34765" spans="1:100">
      <c r="A34765" s="374"/>
      <c r="C34765" s="374"/>
      <c r="CV34765" s="376"/>
    </row>
    <row r="34766" spans="1:100">
      <c r="A34766" s="374"/>
      <c r="C34766" s="374"/>
      <c r="CV34766" s="376"/>
    </row>
    <row r="34767" spans="1:100">
      <c r="A34767" s="374"/>
      <c r="C34767" s="374"/>
      <c r="CV34767" s="376"/>
    </row>
    <row r="34768" spans="1:100">
      <c r="A34768" s="374"/>
      <c r="C34768" s="374"/>
      <c r="CV34768" s="376"/>
    </row>
    <row r="34769" spans="1:100">
      <c r="A34769" s="374"/>
      <c r="C34769" s="374"/>
      <c r="CV34769" s="376"/>
    </row>
    <row r="34770" spans="1:100">
      <c r="A34770" s="374"/>
      <c r="C34770" s="374"/>
      <c r="CV34770" s="376"/>
    </row>
    <row r="34771" spans="1:100">
      <c r="A34771" s="374"/>
      <c r="C34771" s="374"/>
      <c r="CV34771" s="376"/>
    </row>
    <row r="34772" spans="1:100">
      <c r="A34772" s="374"/>
      <c r="C34772" s="374"/>
      <c r="CV34772" s="376"/>
    </row>
    <row r="34773" spans="1:100">
      <c r="A34773" s="374"/>
      <c r="C34773" s="374"/>
      <c r="CV34773" s="376"/>
    </row>
    <row r="34774" spans="1:100">
      <c r="A34774" s="374"/>
      <c r="C34774" s="374"/>
      <c r="CV34774" s="376"/>
    </row>
    <row r="34775" spans="1:100">
      <c r="A34775" s="374"/>
      <c r="C34775" s="374"/>
      <c r="CV34775" s="376"/>
    </row>
    <row r="34776" spans="1:100">
      <c r="A34776" s="374"/>
      <c r="C34776" s="374"/>
      <c r="CV34776" s="376"/>
    </row>
    <row r="34777" spans="1:100">
      <c r="A34777" s="374"/>
      <c r="C34777" s="374"/>
      <c r="CV34777" s="376"/>
    </row>
    <row r="34778" spans="1:100">
      <c r="A34778" s="374"/>
      <c r="C34778" s="374"/>
      <c r="CV34778" s="376"/>
    </row>
    <row r="34779" spans="1:100">
      <c r="A34779" s="374"/>
      <c r="C34779" s="374"/>
      <c r="CV34779" s="376"/>
    </row>
    <row r="34780" spans="1:100">
      <c r="A34780" s="374"/>
      <c r="C34780" s="374"/>
      <c r="CV34780" s="376"/>
    </row>
    <row r="34781" spans="1:100">
      <c r="A34781" s="374"/>
      <c r="C34781" s="374"/>
      <c r="CV34781" s="376"/>
    </row>
    <row r="34782" spans="1:100">
      <c r="A34782" s="374"/>
      <c r="C34782" s="374"/>
      <c r="CV34782" s="376"/>
    </row>
    <row r="34783" spans="1:100">
      <c r="A34783" s="374"/>
      <c r="C34783" s="374"/>
      <c r="CV34783" s="376"/>
    </row>
    <row r="34784" spans="1:100">
      <c r="A34784" s="374"/>
      <c r="C34784" s="374"/>
      <c r="CV34784" s="376"/>
    </row>
    <row r="34785" spans="1:100">
      <c r="A34785" s="374"/>
      <c r="C34785" s="374"/>
      <c r="CV34785" s="376"/>
    </row>
    <row r="34786" spans="1:100">
      <c r="A34786" s="374"/>
      <c r="C34786" s="374"/>
      <c r="CV34786" s="376"/>
    </row>
    <row r="34787" spans="1:100">
      <c r="A34787" s="374"/>
      <c r="C34787" s="374"/>
      <c r="CV34787" s="376"/>
    </row>
    <row r="34788" spans="1:100">
      <c r="A34788" s="374"/>
      <c r="C34788" s="374"/>
      <c r="CV34788" s="376"/>
    </row>
    <row r="34789" spans="1:100">
      <c r="A34789" s="374"/>
      <c r="C34789" s="374"/>
      <c r="CV34789" s="376"/>
    </row>
    <row r="34790" spans="1:100">
      <c r="A34790" s="374"/>
      <c r="C34790" s="374"/>
      <c r="CV34790" s="376"/>
    </row>
    <row r="34791" spans="1:100">
      <c r="A34791" s="374"/>
      <c r="C34791" s="374"/>
      <c r="CV34791" s="376"/>
    </row>
    <row r="34792" spans="1:100">
      <c r="A34792" s="374"/>
      <c r="C34792" s="374"/>
      <c r="CV34792" s="376"/>
    </row>
    <row r="34793" spans="1:100">
      <c r="A34793" s="374"/>
      <c r="C34793" s="374"/>
      <c r="CV34793" s="376"/>
    </row>
    <row r="34794" spans="1:100">
      <c r="A34794" s="374"/>
      <c r="C34794" s="374"/>
      <c r="CV34794" s="376"/>
    </row>
    <row r="34795" spans="1:100">
      <c r="A34795" s="374"/>
      <c r="C34795" s="374"/>
      <c r="CV34795" s="376"/>
    </row>
    <row r="34796" spans="1:100">
      <c r="A34796" s="374"/>
      <c r="C34796" s="374"/>
      <c r="CV34796" s="376"/>
    </row>
    <row r="34797" spans="1:100">
      <c r="A34797" s="374"/>
      <c r="C34797" s="374"/>
      <c r="CV34797" s="376"/>
    </row>
    <row r="34798" spans="1:100">
      <c r="A34798" s="374"/>
      <c r="C34798" s="374"/>
      <c r="CV34798" s="376"/>
    </row>
    <row r="34799" spans="1:100">
      <c r="A34799" s="374"/>
      <c r="C34799" s="374"/>
      <c r="CV34799" s="376"/>
    </row>
    <row r="34800" spans="1:100">
      <c r="A34800" s="374"/>
      <c r="C34800" s="374"/>
      <c r="CV34800" s="376"/>
    </row>
    <row r="34801" spans="1:100">
      <c r="A34801" s="374"/>
      <c r="C34801" s="374"/>
      <c r="CV34801" s="376"/>
    </row>
    <row r="34802" spans="1:100">
      <c r="A34802" s="374"/>
      <c r="C34802" s="374"/>
      <c r="CV34802" s="376"/>
    </row>
    <row r="34803" spans="1:100">
      <c r="A34803" s="374"/>
      <c r="C34803" s="374"/>
      <c r="CV34803" s="376"/>
    </row>
    <row r="34804" spans="1:100">
      <c r="A34804" s="374"/>
      <c r="C34804" s="374"/>
      <c r="CV34804" s="376"/>
    </row>
    <row r="34805" spans="1:100">
      <c r="A34805" s="374"/>
      <c r="C34805" s="374"/>
      <c r="CV34805" s="376"/>
    </row>
    <row r="34806" spans="1:100">
      <c r="A34806" s="374"/>
      <c r="C34806" s="374"/>
      <c r="CV34806" s="376"/>
    </row>
    <row r="34807" spans="1:100">
      <c r="A34807" s="374"/>
      <c r="C34807" s="374"/>
      <c r="CV34807" s="376"/>
    </row>
    <row r="34808" spans="1:100">
      <c r="A34808" s="374"/>
      <c r="C34808" s="374"/>
      <c r="CV34808" s="376"/>
    </row>
    <row r="34809" spans="1:100">
      <c r="A34809" s="374"/>
      <c r="C34809" s="374"/>
      <c r="CV34809" s="376"/>
    </row>
    <row r="34810" spans="1:100">
      <c r="A34810" s="374"/>
      <c r="C34810" s="374"/>
      <c r="CV34810" s="376"/>
    </row>
    <row r="34811" spans="1:100">
      <c r="A34811" s="374"/>
      <c r="C34811" s="374"/>
      <c r="CV34811" s="376"/>
    </row>
    <row r="34812" spans="1:100">
      <c r="A34812" s="374"/>
      <c r="C34812" s="374"/>
      <c r="CV34812" s="376"/>
    </row>
    <row r="34813" spans="1:100">
      <c r="A34813" s="374"/>
      <c r="C34813" s="374"/>
      <c r="CV34813" s="376"/>
    </row>
    <row r="34814" spans="1:100">
      <c r="A34814" s="374"/>
      <c r="C34814" s="374"/>
      <c r="CV34814" s="376"/>
    </row>
    <row r="34815" spans="1:100">
      <c r="A34815" s="374"/>
      <c r="C34815" s="374"/>
      <c r="CV34815" s="376"/>
    </row>
    <row r="34816" spans="1:100">
      <c r="A34816" s="374"/>
      <c r="C34816" s="374"/>
      <c r="CV34816" s="376"/>
    </row>
    <row r="34817" spans="1:100">
      <c r="A34817" s="374"/>
      <c r="C34817" s="374"/>
      <c r="CV34817" s="376"/>
    </row>
    <row r="34818" spans="1:100">
      <c r="A34818" s="374"/>
      <c r="C34818" s="374"/>
      <c r="CV34818" s="376"/>
    </row>
    <row r="34819" spans="1:100">
      <c r="A34819" s="374"/>
      <c r="C34819" s="374"/>
      <c r="CV34819" s="376"/>
    </row>
    <row r="34820" spans="1:100">
      <c r="A34820" s="374"/>
      <c r="C34820" s="374"/>
      <c r="CV34820" s="376"/>
    </row>
    <row r="34821" spans="1:100">
      <c r="A34821" s="374"/>
      <c r="C34821" s="374"/>
      <c r="CV34821" s="376"/>
    </row>
    <row r="34822" spans="1:100">
      <c r="A34822" s="374"/>
      <c r="C34822" s="374"/>
      <c r="CV34822" s="376"/>
    </row>
    <row r="34823" spans="1:100">
      <c r="A34823" s="374"/>
      <c r="C34823" s="374"/>
      <c r="CV34823" s="376"/>
    </row>
    <row r="34824" spans="1:100">
      <c r="A34824" s="374"/>
      <c r="C34824" s="374"/>
      <c r="CV34824" s="376"/>
    </row>
    <row r="34825" spans="1:100">
      <c r="A34825" s="374"/>
      <c r="C34825" s="374"/>
      <c r="CV34825" s="376"/>
    </row>
    <row r="34826" spans="1:100">
      <c r="A34826" s="374"/>
      <c r="C34826" s="374"/>
      <c r="CV34826" s="376"/>
    </row>
    <row r="34827" spans="1:100">
      <c r="A34827" s="374"/>
      <c r="C34827" s="374"/>
      <c r="CV34827" s="376"/>
    </row>
    <row r="34828" spans="1:100">
      <c r="A34828" s="374"/>
      <c r="C34828" s="374"/>
      <c r="CV34828" s="376"/>
    </row>
    <row r="34829" spans="1:100">
      <c r="A34829" s="374"/>
      <c r="C34829" s="374"/>
      <c r="CV34829" s="376"/>
    </row>
    <row r="34830" spans="1:100">
      <c r="A34830" s="374"/>
      <c r="C34830" s="374"/>
      <c r="CV34830" s="376"/>
    </row>
    <row r="34831" spans="1:100">
      <c r="A34831" s="374"/>
      <c r="C34831" s="374"/>
      <c r="CV34831" s="376"/>
    </row>
    <row r="34832" spans="1:100">
      <c r="A34832" s="374"/>
      <c r="C34832" s="374"/>
      <c r="CV34832" s="376"/>
    </row>
    <row r="34833" spans="1:100">
      <c r="A34833" s="374"/>
      <c r="C34833" s="374"/>
      <c r="CV34833" s="376"/>
    </row>
    <row r="34834" spans="1:100">
      <c r="A34834" s="374"/>
      <c r="C34834" s="374"/>
      <c r="CV34834" s="376"/>
    </row>
    <row r="34835" spans="1:100">
      <c r="A34835" s="374"/>
      <c r="C34835" s="374"/>
      <c r="CV34835" s="376"/>
    </row>
    <row r="34836" spans="1:100">
      <c r="A34836" s="374"/>
      <c r="C34836" s="374"/>
      <c r="CV34836" s="376"/>
    </row>
    <row r="34837" spans="1:100">
      <c r="A34837" s="374"/>
      <c r="C34837" s="374"/>
      <c r="CV34837" s="376"/>
    </row>
    <row r="34838" spans="1:100">
      <c r="A34838" s="374"/>
      <c r="C34838" s="374"/>
      <c r="CV34838" s="376"/>
    </row>
    <row r="34839" spans="1:100">
      <c r="A34839" s="374"/>
      <c r="C34839" s="374"/>
      <c r="CV34839" s="376"/>
    </row>
    <row r="34840" spans="1:100">
      <c r="A34840" s="374"/>
      <c r="C34840" s="374"/>
      <c r="CV34840" s="376"/>
    </row>
    <row r="34841" spans="1:100">
      <c r="A34841" s="374"/>
      <c r="C34841" s="374"/>
      <c r="CV34841" s="376"/>
    </row>
    <row r="34842" spans="1:100">
      <c r="A34842" s="374"/>
      <c r="C34842" s="374"/>
      <c r="CV34842" s="376"/>
    </row>
    <row r="34843" spans="1:100">
      <c r="A34843" s="374"/>
      <c r="C34843" s="374"/>
      <c r="CV34843" s="376"/>
    </row>
    <row r="34844" spans="1:100">
      <c r="A34844" s="374"/>
      <c r="C34844" s="374"/>
      <c r="CV34844" s="376"/>
    </row>
    <row r="34845" spans="1:100">
      <c r="A34845" s="374"/>
      <c r="C34845" s="374"/>
      <c r="CV34845" s="376"/>
    </row>
    <row r="34846" spans="1:100">
      <c r="A34846" s="374"/>
      <c r="C34846" s="374"/>
      <c r="CV34846" s="376"/>
    </row>
    <row r="34847" spans="1:100">
      <c r="A34847" s="374"/>
      <c r="C34847" s="374"/>
      <c r="CV34847" s="376"/>
    </row>
    <row r="34848" spans="1:100">
      <c r="A34848" s="374"/>
      <c r="C34848" s="374"/>
      <c r="CV34848" s="376"/>
    </row>
    <row r="34849" spans="1:100">
      <c r="A34849" s="374"/>
      <c r="C34849" s="374"/>
      <c r="CV34849" s="376"/>
    </row>
    <row r="34850" spans="1:100">
      <c r="A34850" s="374"/>
      <c r="C34850" s="374"/>
      <c r="CV34850" s="376"/>
    </row>
    <row r="34851" spans="1:100">
      <c r="A34851" s="374"/>
      <c r="C34851" s="374"/>
      <c r="CV34851" s="376"/>
    </row>
    <row r="34852" spans="1:100">
      <c r="A34852" s="374"/>
      <c r="C34852" s="374"/>
      <c r="CV34852" s="376"/>
    </row>
    <row r="34853" spans="1:100">
      <c r="A34853" s="374"/>
      <c r="C34853" s="374"/>
      <c r="CV34853" s="376"/>
    </row>
    <row r="34854" spans="1:100">
      <c r="A34854" s="374"/>
      <c r="C34854" s="374"/>
      <c r="CV34854" s="376"/>
    </row>
    <row r="34855" spans="1:100">
      <c r="A34855" s="374"/>
      <c r="C34855" s="374"/>
      <c r="CV34855" s="376"/>
    </row>
    <row r="34856" spans="1:100">
      <c r="A34856" s="374"/>
      <c r="C34856" s="374"/>
      <c r="CV34856" s="376"/>
    </row>
    <row r="34857" spans="1:100">
      <c r="A34857" s="374"/>
      <c r="C34857" s="374"/>
      <c r="CV34857" s="376"/>
    </row>
    <row r="34858" spans="1:100">
      <c r="A34858" s="374"/>
      <c r="C34858" s="374"/>
      <c r="CV34858" s="376"/>
    </row>
    <row r="34859" spans="1:100">
      <c r="A34859" s="374"/>
      <c r="C34859" s="374"/>
      <c r="CV34859" s="376"/>
    </row>
    <row r="34860" spans="1:100">
      <c r="A34860" s="374"/>
      <c r="C34860" s="374"/>
      <c r="CV34860" s="376"/>
    </row>
    <row r="34861" spans="1:100">
      <c r="A34861" s="374"/>
      <c r="C34861" s="374"/>
      <c r="CV34861" s="376"/>
    </row>
    <row r="34862" spans="1:100">
      <c r="A34862" s="374"/>
      <c r="C34862" s="374"/>
      <c r="CV34862" s="376"/>
    </row>
    <row r="34863" spans="1:100">
      <c r="A34863" s="374"/>
      <c r="C34863" s="374"/>
      <c r="CV34863" s="376"/>
    </row>
    <row r="34864" spans="1:100">
      <c r="A34864" s="374"/>
      <c r="C34864" s="374"/>
      <c r="CV34864" s="376"/>
    </row>
    <row r="34865" spans="1:100">
      <c r="A34865" s="374"/>
      <c r="C34865" s="374"/>
      <c r="CV34865" s="376"/>
    </row>
    <row r="34866" spans="1:100">
      <c r="A34866" s="374"/>
      <c r="C34866" s="374"/>
      <c r="CV34866" s="376"/>
    </row>
    <row r="34867" spans="1:100">
      <c r="A34867" s="374"/>
      <c r="C34867" s="374"/>
      <c r="CV34867" s="376"/>
    </row>
    <row r="34868" spans="1:100">
      <c r="A34868" s="374"/>
      <c r="C34868" s="374"/>
      <c r="CV34868" s="376"/>
    </row>
    <row r="34869" spans="1:100">
      <c r="A34869" s="374"/>
      <c r="C34869" s="374"/>
      <c r="CV34869" s="376"/>
    </row>
    <row r="34870" spans="1:100">
      <c r="A34870" s="374"/>
      <c r="C34870" s="374"/>
      <c r="CV34870" s="376"/>
    </row>
    <row r="34871" spans="1:100">
      <c r="A34871" s="374"/>
      <c r="C34871" s="374"/>
      <c r="CV34871" s="376"/>
    </row>
    <row r="34872" spans="1:100">
      <c r="A34872" s="374"/>
      <c r="C34872" s="374"/>
      <c r="CV34872" s="376"/>
    </row>
    <row r="34873" spans="1:100">
      <c r="A34873" s="374"/>
      <c r="C34873" s="374"/>
      <c r="CV34873" s="376"/>
    </row>
    <row r="34874" spans="1:100">
      <c r="A34874" s="374"/>
      <c r="C34874" s="374"/>
      <c r="CV34874" s="376"/>
    </row>
    <row r="34875" spans="1:100">
      <c r="A34875" s="374"/>
      <c r="C34875" s="374"/>
      <c r="CV34875" s="376"/>
    </row>
    <row r="34876" spans="1:100">
      <c r="A34876" s="374"/>
      <c r="C34876" s="374"/>
      <c r="CV34876" s="376"/>
    </row>
    <row r="34877" spans="1:100">
      <c r="A34877" s="374"/>
      <c r="C34877" s="374"/>
      <c r="CV34877" s="376"/>
    </row>
    <row r="34878" spans="1:100">
      <c r="A34878" s="374"/>
      <c r="C34878" s="374"/>
      <c r="CV34878" s="376"/>
    </row>
    <row r="34879" spans="1:100">
      <c r="A34879" s="374"/>
      <c r="C34879" s="374"/>
      <c r="CV34879" s="376"/>
    </row>
    <row r="34880" spans="1:100">
      <c r="A34880" s="374"/>
      <c r="C34880" s="374"/>
      <c r="CV34880" s="376"/>
    </row>
    <row r="34881" spans="1:100">
      <c r="A34881" s="374"/>
      <c r="C34881" s="374"/>
      <c r="CV34881" s="376"/>
    </row>
    <row r="34882" spans="1:100">
      <c r="A34882" s="374"/>
      <c r="C34882" s="374"/>
      <c r="CV34882" s="376"/>
    </row>
    <row r="34883" spans="1:100">
      <c r="A34883" s="374"/>
      <c r="C34883" s="374"/>
      <c r="CV34883" s="376"/>
    </row>
    <row r="34884" spans="1:100">
      <c r="A34884" s="374"/>
      <c r="C34884" s="374"/>
      <c r="CV34884" s="376"/>
    </row>
    <row r="34885" spans="1:100">
      <c r="A34885" s="374"/>
      <c r="C34885" s="374"/>
      <c r="CV34885" s="376"/>
    </row>
    <row r="34886" spans="1:100">
      <c r="A34886" s="374"/>
      <c r="C34886" s="374"/>
      <c r="CV34886" s="376"/>
    </row>
    <row r="34887" spans="1:100">
      <c r="A34887" s="374"/>
      <c r="C34887" s="374"/>
      <c r="CV34887" s="376"/>
    </row>
    <row r="34888" spans="1:100">
      <c r="A34888" s="374"/>
      <c r="C34888" s="374"/>
      <c r="CV34888" s="376"/>
    </row>
    <row r="34889" spans="1:100">
      <c r="A34889" s="374"/>
      <c r="C34889" s="374"/>
      <c r="CV34889" s="376"/>
    </row>
    <row r="34890" spans="1:100">
      <c r="A34890" s="374"/>
      <c r="C34890" s="374"/>
      <c r="CV34890" s="376"/>
    </row>
    <row r="34891" spans="1:100">
      <c r="A34891" s="374"/>
      <c r="C34891" s="374"/>
      <c r="CV34891" s="376"/>
    </row>
    <row r="34892" spans="1:100">
      <c r="A34892" s="374"/>
      <c r="C34892" s="374"/>
      <c r="CV34892" s="376"/>
    </row>
    <row r="34893" spans="1:100">
      <c r="A34893" s="374"/>
      <c r="C34893" s="374"/>
      <c r="CV34893" s="376"/>
    </row>
    <row r="34894" spans="1:100">
      <c r="A34894" s="374"/>
      <c r="C34894" s="374"/>
      <c r="CV34894" s="376"/>
    </row>
    <row r="34895" spans="1:100">
      <c r="A34895" s="374"/>
      <c r="C34895" s="374"/>
      <c r="CV34895" s="376"/>
    </row>
    <row r="34896" spans="1:100">
      <c r="A34896" s="374"/>
      <c r="C34896" s="374"/>
      <c r="CV34896" s="376"/>
    </row>
    <row r="34897" spans="1:100">
      <c r="A34897" s="374"/>
      <c r="C34897" s="374"/>
      <c r="CV34897" s="376"/>
    </row>
    <row r="34898" spans="1:100">
      <c r="A34898" s="374"/>
      <c r="C34898" s="374"/>
      <c r="CV34898" s="376"/>
    </row>
    <row r="34899" spans="1:100">
      <c r="A34899" s="374"/>
      <c r="C34899" s="374"/>
      <c r="CV34899" s="376"/>
    </row>
    <row r="34900" spans="1:100">
      <c r="A34900" s="374"/>
      <c r="C34900" s="374"/>
      <c r="CV34900" s="376"/>
    </row>
    <row r="34901" spans="1:100">
      <c r="A34901" s="374"/>
      <c r="C34901" s="374"/>
      <c r="CV34901" s="376"/>
    </row>
    <row r="34902" spans="1:100">
      <c r="A34902" s="374"/>
      <c r="C34902" s="374"/>
      <c r="CV34902" s="376"/>
    </row>
    <row r="34903" spans="1:100">
      <c r="A34903" s="374"/>
      <c r="C34903" s="374"/>
      <c r="CV34903" s="376"/>
    </row>
    <row r="34904" spans="1:100">
      <c r="A34904" s="374"/>
      <c r="C34904" s="374"/>
      <c r="CV34904" s="376"/>
    </row>
    <row r="34905" spans="1:100">
      <c r="A34905" s="374"/>
      <c r="C34905" s="374"/>
      <c r="CV34905" s="376"/>
    </row>
    <row r="34906" spans="1:100">
      <c r="A34906" s="374"/>
      <c r="C34906" s="374"/>
      <c r="CV34906" s="376"/>
    </row>
    <row r="34907" spans="1:100">
      <c r="A34907" s="374"/>
      <c r="C34907" s="374"/>
      <c r="CV34907" s="376"/>
    </row>
    <row r="34908" spans="1:100">
      <c r="A34908" s="374"/>
      <c r="C34908" s="374"/>
      <c r="CV34908" s="376"/>
    </row>
    <row r="34909" spans="1:100">
      <c r="A34909" s="374"/>
      <c r="C34909" s="374"/>
      <c r="CV34909" s="376"/>
    </row>
    <row r="34910" spans="1:100">
      <c r="A34910" s="374"/>
      <c r="C34910" s="374"/>
      <c r="CV34910" s="376"/>
    </row>
    <row r="34911" spans="1:100">
      <c r="A34911" s="374"/>
      <c r="C34911" s="374"/>
      <c r="CV34911" s="376"/>
    </row>
    <row r="34912" spans="1:100">
      <c r="A34912" s="374"/>
      <c r="C34912" s="374"/>
      <c r="CV34912" s="376"/>
    </row>
    <row r="34913" spans="1:100">
      <c r="A34913" s="374"/>
      <c r="C34913" s="374"/>
      <c r="CV34913" s="376"/>
    </row>
    <row r="34914" spans="1:100">
      <c r="A34914" s="374"/>
      <c r="C34914" s="374"/>
      <c r="CV34914" s="376"/>
    </row>
    <row r="34915" spans="1:100">
      <c r="A34915" s="374"/>
      <c r="C34915" s="374"/>
      <c r="CV34915" s="376"/>
    </row>
    <row r="34916" spans="1:100">
      <c r="A34916" s="374"/>
      <c r="C34916" s="374"/>
      <c r="CV34916" s="376"/>
    </row>
    <row r="34917" spans="1:100">
      <c r="A34917" s="374"/>
      <c r="C34917" s="374"/>
      <c r="CV34917" s="376"/>
    </row>
    <row r="34918" spans="1:100">
      <c r="A34918" s="374"/>
      <c r="C34918" s="374"/>
      <c r="CV34918" s="376"/>
    </row>
    <row r="34919" spans="1:100">
      <c r="A34919" s="374"/>
      <c r="C34919" s="374"/>
      <c r="CV34919" s="376"/>
    </row>
    <row r="34920" spans="1:100">
      <c r="A34920" s="374"/>
      <c r="C34920" s="374"/>
      <c r="CV34920" s="376"/>
    </row>
    <row r="34921" spans="1:100">
      <c r="A34921" s="374"/>
      <c r="C34921" s="374"/>
      <c r="CV34921" s="376"/>
    </row>
    <row r="34922" spans="1:100">
      <c r="A34922" s="374"/>
      <c r="C34922" s="374"/>
      <c r="CV34922" s="376"/>
    </row>
    <row r="34923" spans="1:100">
      <c r="A34923" s="374"/>
      <c r="C34923" s="374"/>
      <c r="CV34923" s="376"/>
    </row>
    <row r="34924" spans="1:100">
      <c r="A34924" s="374"/>
      <c r="C34924" s="374"/>
      <c r="CV34924" s="376"/>
    </row>
    <row r="34925" spans="1:100">
      <c r="A34925" s="374"/>
      <c r="C34925" s="374"/>
      <c r="CV34925" s="376"/>
    </row>
    <row r="34926" spans="1:100">
      <c r="A34926" s="374"/>
      <c r="C34926" s="374"/>
      <c r="CV34926" s="376"/>
    </row>
    <row r="34927" spans="1:100">
      <c r="A34927" s="374"/>
      <c r="C34927" s="374"/>
      <c r="CV34927" s="376"/>
    </row>
    <row r="34928" spans="1:100">
      <c r="A34928" s="374"/>
      <c r="C34928" s="374"/>
      <c r="CV34928" s="376"/>
    </row>
    <row r="34929" spans="1:100">
      <c r="A34929" s="374"/>
      <c r="C34929" s="374"/>
      <c r="CV34929" s="376"/>
    </row>
    <row r="34930" spans="1:100">
      <c r="A34930" s="374"/>
      <c r="C34930" s="374"/>
      <c r="CV34930" s="376"/>
    </row>
    <row r="34931" spans="1:100">
      <c r="A34931" s="374"/>
      <c r="C34931" s="374"/>
      <c r="CV34931" s="376"/>
    </row>
    <row r="34932" spans="1:100">
      <c r="A34932" s="374"/>
      <c r="C34932" s="374"/>
      <c r="CV34932" s="376"/>
    </row>
    <row r="34933" spans="1:100">
      <c r="A34933" s="374"/>
      <c r="C34933" s="374"/>
      <c r="CV34933" s="376"/>
    </row>
    <row r="34934" spans="1:100">
      <c r="A34934" s="374"/>
      <c r="C34934" s="374"/>
      <c r="CV34934" s="376"/>
    </row>
    <row r="34935" spans="1:100">
      <c r="A34935" s="374"/>
      <c r="C34935" s="374"/>
      <c r="CV34935" s="376"/>
    </row>
    <row r="34936" spans="1:100">
      <c r="A34936" s="374"/>
      <c r="C34936" s="374"/>
      <c r="CV34936" s="376"/>
    </row>
    <row r="34937" spans="1:100">
      <c r="A34937" s="374"/>
      <c r="C34937" s="374"/>
      <c r="CV34937" s="376"/>
    </row>
    <row r="34938" spans="1:100">
      <c r="A34938" s="374"/>
      <c r="C34938" s="374"/>
      <c r="CV34938" s="376"/>
    </row>
    <row r="34939" spans="1:100">
      <c r="A34939" s="374"/>
      <c r="C34939" s="374"/>
      <c r="CV34939" s="376"/>
    </row>
    <row r="34940" spans="1:100">
      <c r="A34940" s="374"/>
      <c r="C34940" s="374"/>
      <c r="CV34940" s="376"/>
    </row>
    <row r="34941" spans="1:100">
      <c r="A34941" s="374"/>
      <c r="C34941" s="374"/>
      <c r="CV34941" s="376"/>
    </row>
    <row r="34942" spans="1:100">
      <c r="A34942" s="374"/>
      <c r="C34942" s="374"/>
      <c r="CV34942" s="376"/>
    </row>
    <row r="34943" spans="1:100">
      <c r="A34943" s="374"/>
      <c r="C34943" s="374"/>
      <c r="CV34943" s="376"/>
    </row>
    <row r="34944" spans="1:100">
      <c r="A34944" s="374"/>
      <c r="C34944" s="374"/>
      <c r="CV34944" s="376"/>
    </row>
    <row r="34945" spans="1:100">
      <c r="A34945" s="374"/>
      <c r="C34945" s="374"/>
      <c r="CV34945" s="376"/>
    </row>
    <row r="34946" spans="1:100">
      <c r="A34946" s="374"/>
      <c r="C34946" s="374"/>
      <c r="CV34946" s="376"/>
    </row>
    <row r="34947" spans="1:100">
      <c r="A34947" s="374"/>
      <c r="C34947" s="374"/>
      <c r="CV34947" s="376"/>
    </row>
    <row r="34948" spans="1:100">
      <c r="A34948" s="374"/>
      <c r="C34948" s="374"/>
      <c r="CV34948" s="376"/>
    </row>
    <row r="34949" spans="1:100">
      <c r="A34949" s="374"/>
      <c r="C34949" s="374"/>
      <c r="CV34949" s="376"/>
    </row>
    <row r="34950" spans="1:100">
      <c r="A34950" s="374"/>
      <c r="C34950" s="374"/>
      <c r="CV34950" s="376"/>
    </row>
    <row r="34951" spans="1:100">
      <c r="A34951" s="374"/>
      <c r="C34951" s="374"/>
      <c r="CV34951" s="376"/>
    </row>
    <row r="34952" spans="1:100">
      <c r="A34952" s="374"/>
      <c r="C34952" s="374"/>
      <c r="CV34952" s="376"/>
    </row>
    <row r="34953" spans="1:100">
      <c r="A34953" s="374"/>
      <c r="C34953" s="374"/>
      <c r="CV34953" s="376"/>
    </row>
    <row r="34954" spans="1:100">
      <c r="A34954" s="374"/>
      <c r="C34954" s="374"/>
      <c r="CV34954" s="376"/>
    </row>
    <row r="34955" spans="1:100">
      <c r="A34955" s="374"/>
      <c r="C34955" s="374"/>
      <c r="CV34955" s="376"/>
    </row>
    <row r="34956" spans="1:100">
      <c r="A34956" s="374"/>
      <c r="C34956" s="374"/>
      <c r="CV34956" s="376"/>
    </row>
    <row r="34957" spans="1:100">
      <c r="A34957" s="374"/>
      <c r="C34957" s="374"/>
      <c r="CV34957" s="376"/>
    </row>
    <row r="34958" spans="1:100">
      <c r="A34958" s="374"/>
      <c r="C34958" s="374"/>
      <c r="CV34958" s="376"/>
    </row>
    <row r="34959" spans="1:100">
      <c r="A34959" s="374"/>
      <c r="C34959" s="374"/>
      <c r="CV34959" s="376"/>
    </row>
    <row r="34960" spans="1:100">
      <c r="A34960" s="374"/>
      <c r="C34960" s="374"/>
      <c r="CV34960" s="376"/>
    </row>
    <row r="34961" spans="1:100">
      <c r="A34961" s="374"/>
      <c r="C34961" s="374"/>
      <c r="CV34961" s="376"/>
    </row>
    <row r="34962" spans="1:100">
      <c r="A34962" s="374"/>
      <c r="C34962" s="374"/>
      <c r="CV34962" s="376"/>
    </row>
    <row r="34963" spans="1:100">
      <c r="A34963" s="374"/>
      <c r="C34963" s="374"/>
      <c r="CV34963" s="376"/>
    </row>
    <row r="34964" spans="1:100">
      <c r="A34964" s="374"/>
      <c r="C34964" s="374"/>
      <c r="CV34964" s="376"/>
    </row>
    <row r="34965" spans="1:100">
      <c r="A34965" s="374"/>
      <c r="C34965" s="374"/>
      <c r="CV34965" s="376"/>
    </row>
    <row r="34966" spans="1:100">
      <c r="A34966" s="374"/>
      <c r="C34966" s="374"/>
      <c r="CV34966" s="376"/>
    </row>
    <row r="34967" spans="1:100">
      <c r="A34967" s="374"/>
      <c r="C34967" s="374"/>
      <c r="CV34967" s="376"/>
    </row>
    <row r="34968" spans="1:100">
      <c r="A34968" s="374"/>
      <c r="C34968" s="374"/>
      <c r="CV34968" s="376"/>
    </row>
    <row r="34969" spans="1:100">
      <c r="A34969" s="374"/>
      <c r="C34969" s="374"/>
      <c r="CV34969" s="376"/>
    </row>
    <row r="34970" spans="1:100">
      <c r="A34970" s="374"/>
      <c r="C34970" s="374"/>
      <c r="CV34970" s="376"/>
    </row>
    <row r="34971" spans="1:100">
      <c r="A34971" s="374"/>
      <c r="C34971" s="374"/>
      <c r="CV34971" s="376"/>
    </row>
    <row r="34972" spans="1:100">
      <c r="A34972" s="374"/>
      <c r="C34972" s="374"/>
      <c r="CV34972" s="376"/>
    </row>
    <row r="34973" spans="1:100">
      <c r="A34973" s="374"/>
      <c r="C34973" s="374"/>
      <c r="CV34973" s="376"/>
    </row>
    <row r="34974" spans="1:100">
      <c r="A34974" s="374"/>
      <c r="C34974" s="374"/>
      <c r="CV34974" s="376"/>
    </row>
    <row r="34975" spans="1:100">
      <c r="A34975" s="374"/>
      <c r="C34975" s="374"/>
      <c r="CV34975" s="376"/>
    </row>
    <row r="34976" spans="1:100">
      <c r="A34976" s="374"/>
      <c r="C34976" s="374"/>
      <c r="CV34976" s="376"/>
    </row>
    <row r="34977" spans="1:100">
      <c r="A34977" s="374"/>
      <c r="C34977" s="374"/>
      <c r="CV34977" s="376"/>
    </row>
    <row r="34978" spans="1:100">
      <c r="A34978" s="374"/>
      <c r="C34978" s="374"/>
      <c r="CV34978" s="376"/>
    </row>
    <row r="34979" spans="1:100">
      <c r="A34979" s="374"/>
      <c r="C34979" s="374"/>
      <c r="CV34979" s="376"/>
    </row>
    <row r="34980" spans="1:100">
      <c r="A34980" s="374"/>
      <c r="C34980" s="374"/>
      <c r="CV34980" s="376"/>
    </row>
    <row r="34981" spans="1:100">
      <c r="A34981" s="374"/>
      <c r="C34981" s="374"/>
      <c r="CV34981" s="376"/>
    </row>
    <row r="34982" spans="1:100">
      <c r="A34982" s="374"/>
      <c r="C34982" s="374"/>
      <c r="CV34982" s="376"/>
    </row>
    <row r="34983" spans="1:100">
      <c r="A34983" s="374"/>
      <c r="C34983" s="374"/>
      <c r="CV34983" s="376"/>
    </row>
    <row r="34984" spans="1:100">
      <c r="A34984" s="374"/>
      <c r="C34984" s="374"/>
      <c r="CV34984" s="376"/>
    </row>
    <row r="34985" spans="1:100">
      <c r="A34985" s="374"/>
      <c r="C34985" s="374"/>
      <c r="CV34985" s="376"/>
    </row>
    <row r="34986" spans="1:100">
      <c r="A34986" s="374"/>
      <c r="C34986" s="374"/>
      <c r="CV34986" s="376"/>
    </row>
    <row r="34987" spans="1:100">
      <c r="A34987" s="374"/>
      <c r="C34987" s="374"/>
      <c r="CV34987" s="376"/>
    </row>
    <row r="34988" spans="1:100">
      <c r="A34988" s="374"/>
      <c r="C34988" s="374"/>
      <c r="CV34988" s="376"/>
    </row>
    <row r="34989" spans="1:100">
      <c r="A34989" s="374"/>
      <c r="C34989" s="374"/>
      <c r="CV34989" s="376"/>
    </row>
    <row r="34990" spans="1:100">
      <c r="A34990" s="374"/>
      <c r="C34990" s="374"/>
      <c r="CV34990" s="376"/>
    </row>
    <row r="34991" spans="1:100">
      <c r="A34991" s="374"/>
      <c r="C34991" s="374"/>
      <c r="CV34991" s="376"/>
    </row>
    <row r="34992" spans="1:100">
      <c r="A34992" s="374"/>
      <c r="C34992" s="374"/>
      <c r="CV34992" s="376"/>
    </row>
    <row r="34993" spans="1:100">
      <c r="A34993" s="374"/>
      <c r="C34993" s="374"/>
      <c r="CV34993" s="376"/>
    </row>
    <row r="34994" spans="1:100">
      <c r="A34994" s="374"/>
      <c r="C34994" s="374"/>
      <c r="CV34994" s="376"/>
    </row>
    <row r="34995" spans="1:100">
      <c r="A34995" s="374"/>
      <c r="C34995" s="374"/>
      <c r="CV34995" s="376"/>
    </row>
    <row r="34996" spans="1:100">
      <c r="A34996" s="374"/>
      <c r="C34996" s="374"/>
      <c r="CV34996" s="376"/>
    </row>
    <row r="34997" spans="1:100">
      <c r="A34997" s="374"/>
      <c r="C34997" s="374"/>
      <c r="CV34997" s="376"/>
    </row>
    <row r="34998" spans="1:100">
      <c r="A34998" s="374"/>
      <c r="C34998" s="374"/>
      <c r="CV34998" s="376"/>
    </row>
    <row r="34999" spans="1:100">
      <c r="A34999" s="374"/>
      <c r="C34999" s="374"/>
      <c r="CV34999" s="376"/>
    </row>
    <row r="35000" spans="1:100">
      <c r="A35000" s="374"/>
      <c r="C35000" s="374"/>
      <c r="CV35000" s="376"/>
    </row>
    <row r="35001" spans="1:100">
      <c r="A35001" s="374"/>
      <c r="C35001" s="374"/>
      <c r="CV35001" s="376"/>
    </row>
    <row r="35002" spans="1:100">
      <c r="A35002" s="374"/>
      <c r="C35002" s="374"/>
      <c r="CV35002" s="376"/>
    </row>
    <row r="35003" spans="1:100">
      <c r="A35003" s="374"/>
      <c r="C35003" s="374"/>
      <c r="CV35003" s="376"/>
    </row>
    <row r="35004" spans="1:100">
      <c r="A35004" s="374"/>
      <c r="C35004" s="374"/>
      <c r="CV35004" s="376"/>
    </row>
    <row r="35005" spans="1:100">
      <c r="A35005" s="374"/>
      <c r="C35005" s="374"/>
      <c r="CV35005" s="376"/>
    </row>
    <row r="35006" spans="1:100">
      <c r="A35006" s="374"/>
      <c r="C35006" s="374"/>
      <c r="CV35006" s="376"/>
    </row>
    <row r="35007" spans="1:100">
      <c r="A35007" s="374"/>
      <c r="C35007" s="374"/>
      <c r="CV35007" s="376"/>
    </row>
    <row r="35008" spans="1:100">
      <c r="A35008" s="374"/>
      <c r="C35008" s="374"/>
      <c r="CV35008" s="376"/>
    </row>
    <row r="35009" spans="1:100">
      <c r="A35009" s="374"/>
      <c r="C35009" s="374"/>
      <c r="CV35009" s="376"/>
    </row>
    <row r="35010" spans="1:100">
      <c r="A35010" s="374"/>
      <c r="C35010" s="374"/>
      <c r="CV35010" s="376"/>
    </row>
    <row r="35011" spans="1:100">
      <c r="A35011" s="374"/>
      <c r="C35011" s="374"/>
      <c r="CV35011" s="376"/>
    </row>
    <row r="35012" spans="1:100">
      <c r="A35012" s="374"/>
      <c r="C35012" s="374"/>
      <c r="CV35012" s="376"/>
    </row>
    <row r="35013" spans="1:100">
      <c r="A35013" s="374"/>
      <c r="C35013" s="374"/>
      <c r="CV35013" s="376"/>
    </row>
    <row r="35014" spans="1:100">
      <c r="A35014" s="374"/>
      <c r="C35014" s="374"/>
      <c r="CV35014" s="376"/>
    </row>
    <row r="35015" spans="1:100">
      <c r="A35015" s="374"/>
      <c r="C35015" s="374"/>
      <c r="CV35015" s="376"/>
    </row>
    <row r="35016" spans="1:100">
      <c r="A35016" s="374"/>
      <c r="C35016" s="374"/>
      <c r="CV35016" s="376"/>
    </row>
    <row r="35017" spans="1:100">
      <c r="A35017" s="374"/>
      <c r="C35017" s="374"/>
      <c r="CV35017" s="376"/>
    </row>
    <row r="35018" spans="1:100">
      <c r="A35018" s="374"/>
      <c r="C35018" s="374"/>
      <c r="CV35018" s="376"/>
    </row>
    <row r="35019" spans="1:100">
      <c r="A35019" s="374"/>
      <c r="C35019" s="374"/>
      <c r="CV35019" s="376"/>
    </row>
    <row r="35020" spans="1:100">
      <c r="A35020" s="374"/>
      <c r="C35020" s="374"/>
      <c r="CV35020" s="376"/>
    </row>
    <row r="35021" spans="1:100">
      <c r="A35021" s="374"/>
      <c r="C35021" s="374"/>
      <c r="CV35021" s="376"/>
    </row>
    <row r="35022" spans="1:100">
      <c r="A35022" s="374"/>
      <c r="C35022" s="374"/>
      <c r="CV35022" s="376"/>
    </row>
    <row r="35023" spans="1:100">
      <c r="A35023" s="374"/>
      <c r="C35023" s="374"/>
      <c r="CV35023" s="376"/>
    </row>
    <row r="35024" spans="1:100">
      <c r="A35024" s="374"/>
      <c r="C35024" s="374"/>
      <c r="CV35024" s="376"/>
    </row>
    <row r="35025" spans="1:100">
      <c r="A35025" s="374"/>
      <c r="C35025" s="374"/>
      <c r="CV35025" s="376"/>
    </row>
    <row r="35026" spans="1:100">
      <c r="A35026" s="374"/>
      <c r="C35026" s="374"/>
      <c r="CV35026" s="376"/>
    </row>
    <row r="35027" spans="1:100">
      <c r="A35027" s="374"/>
      <c r="C35027" s="374"/>
      <c r="CV35027" s="376"/>
    </row>
    <row r="35028" spans="1:100">
      <c r="A35028" s="374"/>
      <c r="C35028" s="374"/>
      <c r="CV35028" s="376"/>
    </row>
    <row r="35029" spans="1:100">
      <c r="A35029" s="374"/>
      <c r="C35029" s="374"/>
      <c r="CV35029" s="376"/>
    </row>
    <row r="35030" spans="1:100">
      <c r="A35030" s="374"/>
      <c r="C35030" s="374"/>
      <c r="CV35030" s="376"/>
    </row>
    <row r="35031" spans="1:100">
      <c r="A35031" s="374"/>
      <c r="C35031" s="374"/>
      <c r="CV35031" s="376"/>
    </row>
    <row r="35032" spans="1:100">
      <c r="A35032" s="374"/>
      <c r="C35032" s="374"/>
      <c r="CV35032" s="376"/>
    </row>
    <row r="35033" spans="1:100">
      <c r="A35033" s="374"/>
      <c r="C35033" s="374"/>
      <c r="CV35033" s="376"/>
    </row>
    <row r="35034" spans="1:100">
      <c r="A35034" s="374"/>
      <c r="C35034" s="374"/>
      <c r="CV35034" s="376"/>
    </row>
    <row r="35035" spans="1:100">
      <c r="A35035" s="374"/>
      <c r="C35035" s="374"/>
      <c r="CV35035" s="376"/>
    </row>
    <row r="35036" spans="1:100">
      <c r="A35036" s="374"/>
      <c r="C35036" s="374"/>
      <c r="CV35036" s="376"/>
    </row>
    <row r="35037" spans="1:100">
      <c r="A35037" s="374"/>
      <c r="C35037" s="374"/>
      <c r="CV35037" s="376"/>
    </row>
    <row r="35038" spans="1:100">
      <c r="A35038" s="374"/>
      <c r="C35038" s="374"/>
      <c r="CV35038" s="376"/>
    </row>
    <row r="35039" spans="1:100">
      <c r="A35039" s="374"/>
      <c r="C35039" s="374"/>
      <c r="CV35039" s="376"/>
    </row>
    <row r="35040" spans="1:100">
      <c r="A35040" s="374"/>
      <c r="C35040" s="374"/>
      <c r="CV35040" s="376"/>
    </row>
    <row r="35041" spans="1:100">
      <c r="A35041" s="374"/>
      <c r="C35041" s="374"/>
      <c r="CV35041" s="376"/>
    </row>
    <row r="35042" spans="1:100">
      <c r="A35042" s="374"/>
      <c r="C35042" s="374"/>
      <c r="CV35042" s="376"/>
    </row>
    <row r="35043" spans="1:100">
      <c r="A35043" s="374"/>
      <c r="C35043" s="374"/>
      <c r="CV35043" s="376"/>
    </row>
    <row r="35044" spans="1:100">
      <c r="A35044" s="374"/>
      <c r="C35044" s="374"/>
      <c r="CV35044" s="376"/>
    </row>
    <row r="35045" spans="1:100">
      <c r="A35045" s="374"/>
      <c r="C35045" s="374"/>
      <c r="CV35045" s="376"/>
    </row>
    <row r="35046" spans="1:100">
      <c r="A35046" s="374"/>
      <c r="C35046" s="374"/>
      <c r="CV35046" s="376"/>
    </row>
    <row r="35047" spans="1:100">
      <c r="A35047" s="374"/>
      <c r="C35047" s="374"/>
      <c r="CV35047" s="376"/>
    </row>
    <row r="35048" spans="1:100">
      <c r="A35048" s="374"/>
      <c r="C35048" s="374"/>
      <c r="CV35048" s="376"/>
    </row>
    <row r="35049" spans="1:100">
      <c r="A35049" s="374"/>
      <c r="C35049" s="374"/>
      <c r="CV35049" s="376"/>
    </row>
    <row r="35050" spans="1:100">
      <c r="A35050" s="374"/>
      <c r="C35050" s="374"/>
      <c r="CV35050" s="376"/>
    </row>
    <row r="35051" spans="1:100">
      <c r="A35051" s="374"/>
      <c r="C35051" s="374"/>
      <c r="CV35051" s="376"/>
    </row>
    <row r="35052" spans="1:100">
      <c r="A35052" s="374"/>
      <c r="C35052" s="374"/>
      <c r="CV35052" s="376"/>
    </row>
    <row r="35053" spans="1:100">
      <c r="A35053" s="374"/>
      <c r="C35053" s="374"/>
      <c r="CV35053" s="376"/>
    </row>
    <row r="35054" spans="1:100">
      <c r="A35054" s="374"/>
      <c r="C35054" s="374"/>
      <c r="CV35054" s="376"/>
    </row>
    <row r="35055" spans="1:100">
      <c r="A35055" s="374"/>
      <c r="C35055" s="374"/>
      <c r="CV35055" s="376"/>
    </row>
    <row r="35056" spans="1:100">
      <c r="A35056" s="374"/>
      <c r="C35056" s="374"/>
      <c r="CV35056" s="376"/>
    </row>
    <row r="35057" spans="1:100">
      <c r="A35057" s="374"/>
      <c r="C35057" s="374"/>
      <c r="CV35057" s="376"/>
    </row>
    <row r="35058" spans="1:100">
      <c r="A35058" s="374"/>
      <c r="C35058" s="374"/>
      <c r="CV35058" s="376"/>
    </row>
    <row r="35059" spans="1:100">
      <c r="A35059" s="374"/>
      <c r="C35059" s="374"/>
      <c r="CV35059" s="376"/>
    </row>
    <row r="35060" spans="1:100">
      <c r="A35060" s="374"/>
      <c r="C35060" s="374"/>
      <c r="CV35060" s="376"/>
    </row>
    <row r="35061" spans="1:100">
      <c r="A35061" s="374"/>
      <c r="C35061" s="374"/>
      <c r="CV35061" s="376"/>
    </row>
    <row r="35062" spans="1:100">
      <c r="A35062" s="374"/>
      <c r="C35062" s="374"/>
      <c r="CV35062" s="376"/>
    </row>
    <row r="35063" spans="1:100">
      <c r="A35063" s="374"/>
      <c r="C35063" s="374"/>
      <c r="CV35063" s="376"/>
    </row>
    <row r="35064" spans="1:100">
      <c r="A35064" s="374"/>
      <c r="C35064" s="374"/>
      <c r="CV35064" s="376"/>
    </row>
    <row r="35065" spans="1:100">
      <c r="A35065" s="374"/>
      <c r="C35065" s="374"/>
      <c r="CV35065" s="376"/>
    </row>
    <row r="35066" spans="1:100">
      <c r="A35066" s="374"/>
      <c r="C35066" s="374"/>
      <c r="CV35066" s="376"/>
    </row>
    <row r="35067" spans="1:100">
      <c r="A35067" s="374"/>
      <c r="C35067" s="374"/>
      <c r="CV35067" s="376"/>
    </row>
    <row r="35068" spans="1:100">
      <c r="A35068" s="374"/>
      <c r="C35068" s="374"/>
      <c r="CV35068" s="376"/>
    </row>
    <row r="35069" spans="1:100">
      <c r="A35069" s="374"/>
      <c r="C35069" s="374"/>
      <c r="CV35069" s="376"/>
    </row>
    <row r="35070" spans="1:100">
      <c r="A35070" s="374"/>
      <c r="C35070" s="374"/>
      <c r="CV35070" s="376"/>
    </row>
    <row r="35071" spans="1:100">
      <c r="A35071" s="374"/>
      <c r="C35071" s="374"/>
      <c r="CV35071" s="376"/>
    </row>
    <row r="35072" spans="1:100">
      <c r="A35072" s="374"/>
      <c r="C35072" s="374"/>
      <c r="CV35072" s="376"/>
    </row>
    <row r="35073" spans="1:100">
      <c r="A35073" s="374"/>
      <c r="C35073" s="374"/>
      <c r="CV35073" s="376"/>
    </row>
    <row r="35074" spans="1:100">
      <c r="A35074" s="374"/>
      <c r="C35074" s="374"/>
      <c r="CV35074" s="376"/>
    </row>
    <row r="35075" spans="1:100">
      <c r="A35075" s="374"/>
      <c r="C35075" s="374"/>
      <c r="CV35075" s="376"/>
    </row>
    <row r="35076" spans="1:100">
      <c r="A35076" s="374"/>
      <c r="C35076" s="374"/>
      <c r="CV35076" s="376"/>
    </row>
    <row r="35077" spans="1:100">
      <c r="A35077" s="374"/>
      <c r="C35077" s="374"/>
      <c r="CV35077" s="376"/>
    </row>
    <row r="35078" spans="1:100">
      <c r="A35078" s="374"/>
      <c r="C35078" s="374"/>
      <c r="CV35078" s="376"/>
    </row>
    <row r="35079" spans="1:100">
      <c r="A35079" s="374"/>
      <c r="C35079" s="374"/>
      <c r="CV35079" s="376"/>
    </row>
    <row r="35080" spans="1:100">
      <c r="A35080" s="374"/>
      <c r="C35080" s="374"/>
      <c r="CV35080" s="376"/>
    </row>
    <row r="35081" spans="1:100">
      <c r="A35081" s="374"/>
      <c r="C35081" s="374"/>
      <c r="CV35081" s="376"/>
    </row>
    <row r="35082" spans="1:100">
      <c r="A35082" s="374"/>
      <c r="C35082" s="374"/>
      <c r="CV35082" s="376"/>
    </row>
    <row r="35083" spans="1:100">
      <c r="A35083" s="374"/>
      <c r="C35083" s="374"/>
      <c r="CV35083" s="376"/>
    </row>
    <row r="35084" spans="1:100">
      <c r="A35084" s="374"/>
      <c r="C35084" s="374"/>
      <c r="CV35084" s="376"/>
    </row>
    <row r="35085" spans="1:100">
      <c r="A35085" s="374"/>
      <c r="C35085" s="374"/>
      <c r="CV35085" s="376"/>
    </row>
    <row r="35086" spans="1:100">
      <c r="A35086" s="374"/>
      <c r="C35086" s="374"/>
      <c r="CV35086" s="376"/>
    </row>
    <row r="35087" spans="1:100">
      <c r="A35087" s="374"/>
      <c r="C35087" s="374"/>
      <c r="CV35087" s="376"/>
    </row>
    <row r="35088" spans="1:100">
      <c r="A35088" s="374"/>
      <c r="C35088" s="374"/>
      <c r="CV35088" s="376"/>
    </row>
    <row r="35089" spans="1:100">
      <c r="A35089" s="374"/>
      <c r="C35089" s="374"/>
      <c r="CV35089" s="376"/>
    </row>
    <row r="35090" spans="1:100">
      <c r="A35090" s="374"/>
      <c r="C35090" s="374"/>
      <c r="CV35090" s="376"/>
    </row>
    <row r="35091" spans="1:100">
      <c r="A35091" s="374"/>
      <c r="C35091" s="374"/>
      <c r="CV35091" s="376"/>
    </row>
    <row r="35092" spans="1:100">
      <c r="A35092" s="374"/>
      <c r="C35092" s="374"/>
      <c r="CV35092" s="376"/>
    </row>
    <row r="35093" spans="1:100">
      <c r="A35093" s="374"/>
      <c r="C35093" s="374"/>
      <c r="CV35093" s="376"/>
    </row>
    <row r="35094" spans="1:100">
      <c r="A35094" s="374"/>
      <c r="C35094" s="374"/>
      <c r="CV35094" s="376"/>
    </row>
    <row r="35095" spans="1:100">
      <c r="A35095" s="374"/>
      <c r="C35095" s="374"/>
      <c r="CV35095" s="376"/>
    </row>
    <row r="35096" spans="1:100">
      <c r="A35096" s="374"/>
      <c r="C35096" s="374"/>
      <c r="CV35096" s="376"/>
    </row>
    <row r="35097" spans="1:100">
      <c r="A35097" s="374"/>
      <c r="C35097" s="374"/>
      <c r="CV35097" s="376"/>
    </row>
    <row r="35098" spans="1:100">
      <c r="A35098" s="374"/>
      <c r="C35098" s="374"/>
      <c r="CV35098" s="376"/>
    </row>
    <row r="35099" spans="1:100">
      <c r="A35099" s="374"/>
      <c r="C35099" s="374"/>
      <c r="CV35099" s="376"/>
    </row>
    <row r="35100" spans="1:100">
      <c r="A35100" s="374"/>
      <c r="C35100" s="374"/>
      <c r="CV35100" s="376"/>
    </row>
    <row r="35101" spans="1:100">
      <c r="A35101" s="374"/>
      <c r="C35101" s="374"/>
      <c r="CV35101" s="376"/>
    </row>
    <row r="35102" spans="1:100">
      <c r="A35102" s="374"/>
      <c r="C35102" s="374"/>
      <c r="CV35102" s="376"/>
    </row>
    <row r="35103" spans="1:100">
      <c r="A35103" s="374"/>
      <c r="C35103" s="374"/>
      <c r="CV35103" s="376"/>
    </row>
    <row r="35104" spans="1:100">
      <c r="A35104" s="374"/>
      <c r="C35104" s="374"/>
      <c r="CV35104" s="376"/>
    </row>
    <row r="35105" spans="1:100">
      <c r="A35105" s="374"/>
      <c r="C35105" s="374"/>
      <c r="CV35105" s="376"/>
    </row>
    <row r="35106" spans="1:100">
      <c r="A35106" s="374"/>
      <c r="C35106" s="374"/>
      <c r="CV35106" s="376"/>
    </row>
    <row r="35107" spans="1:100">
      <c r="A35107" s="374"/>
      <c r="C35107" s="374"/>
      <c r="CV35107" s="376"/>
    </row>
    <row r="35108" spans="1:100">
      <c r="A35108" s="374"/>
      <c r="C35108" s="374"/>
      <c r="CV35108" s="376"/>
    </row>
    <row r="35109" spans="1:100">
      <c r="A35109" s="374"/>
      <c r="C35109" s="374"/>
      <c r="CV35109" s="376"/>
    </row>
    <row r="35110" spans="1:100">
      <c r="A35110" s="374"/>
      <c r="C35110" s="374"/>
      <c r="CV35110" s="376"/>
    </row>
    <row r="35111" spans="1:100">
      <c r="A35111" s="374"/>
      <c r="C35111" s="374"/>
      <c r="CV35111" s="376"/>
    </row>
    <row r="35112" spans="1:100">
      <c r="A35112" s="374"/>
      <c r="C35112" s="374"/>
      <c r="CV35112" s="376"/>
    </row>
    <row r="35113" spans="1:100">
      <c r="A35113" s="374"/>
      <c r="C35113" s="374"/>
      <c r="CV35113" s="376"/>
    </row>
    <row r="35114" spans="1:100">
      <c r="A35114" s="374"/>
      <c r="C35114" s="374"/>
      <c r="CV35114" s="376"/>
    </row>
    <row r="35115" spans="1:100">
      <c r="A35115" s="374"/>
      <c r="C35115" s="374"/>
      <c r="CV35115" s="376"/>
    </row>
    <row r="35116" spans="1:100">
      <c r="A35116" s="374"/>
      <c r="C35116" s="374"/>
      <c r="CV35116" s="376"/>
    </row>
    <row r="35117" spans="1:100">
      <c r="A35117" s="374"/>
      <c r="C35117" s="374"/>
      <c r="CV35117" s="376"/>
    </row>
    <row r="35118" spans="1:100">
      <c r="A35118" s="374"/>
      <c r="C35118" s="374"/>
      <c r="CV35118" s="376"/>
    </row>
    <row r="35119" spans="1:100">
      <c r="A35119" s="374"/>
      <c r="C35119" s="374"/>
      <c r="CV35119" s="376"/>
    </row>
    <row r="35120" spans="1:100">
      <c r="A35120" s="374"/>
      <c r="C35120" s="374"/>
      <c r="CV35120" s="376"/>
    </row>
    <row r="35121" spans="1:100">
      <c r="A35121" s="374"/>
      <c r="C35121" s="374"/>
      <c r="CV35121" s="376"/>
    </row>
    <row r="35122" spans="1:100">
      <c r="A35122" s="374"/>
      <c r="C35122" s="374"/>
      <c r="CV35122" s="376"/>
    </row>
    <row r="35123" spans="1:100">
      <c r="A35123" s="374"/>
      <c r="C35123" s="374"/>
      <c r="CV35123" s="376"/>
    </row>
    <row r="35124" spans="1:100">
      <c r="A35124" s="374"/>
      <c r="C35124" s="374"/>
      <c r="CV35124" s="376"/>
    </row>
    <row r="35125" spans="1:100">
      <c r="A35125" s="374"/>
      <c r="C35125" s="374"/>
      <c r="CV35125" s="376"/>
    </row>
    <row r="35126" spans="1:100">
      <c r="A35126" s="374"/>
      <c r="C35126" s="374"/>
      <c r="CV35126" s="376"/>
    </row>
    <row r="35127" spans="1:100">
      <c r="A35127" s="374"/>
      <c r="C35127" s="374"/>
      <c r="CV35127" s="376"/>
    </row>
    <row r="35128" spans="1:100">
      <c r="A35128" s="374"/>
      <c r="C35128" s="374"/>
      <c r="CV35128" s="376"/>
    </row>
    <row r="35129" spans="1:100">
      <c r="A35129" s="374"/>
      <c r="C35129" s="374"/>
      <c r="CV35129" s="376"/>
    </row>
    <row r="35130" spans="1:100">
      <c r="A35130" s="374"/>
      <c r="C35130" s="374"/>
      <c r="CV35130" s="376"/>
    </row>
    <row r="35131" spans="1:100">
      <c r="A35131" s="374"/>
      <c r="C35131" s="374"/>
      <c r="CV35131" s="376"/>
    </row>
    <row r="35132" spans="1:100">
      <c r="A35132" s="374"/>
      <c r="C35132" s="374"/>
      <c r="CV35132" s="376"/>
    </row>
    <row r="35133" spans="1:100">
      <c r="A35133" s="374"/>
      <c r="C35133" s="374"/>
      <c r="CV35133" s="376"/>
    </row>
    <row r="35134" spans="1:100">
      <c r="A35134" s="374"/>
      <c r="C35134" s="374"/>
      <c r="CV35134" s="376"/>
    </row>
    <row r="35135" spans="1:100">
      <c r="A35135" s="374"/>
      <c r="C35135" s="374"/>
      <c r="CV35135" s="376"/>
    </row>
    <row r="35136" spans="1:100">
      <c r="A35136" s="374"/>
      <c r="C35136" s="374"/>
      <c r="CV35136" s="376"/>
    </row>
    <row r="35137" spans="1:100">
      <c r="A35137" s="374"/>
      <c r="C35137" s="374"/>
      <c r="CV35137" s="376"/>
    </row>
    <row r="35138" spans="1:100">
      <c r="A35138" s="374"/>
      <c r="C35138" s="374"/>
      <c r="CV35138" s="376"/>
    </row>
    <row r="35139" spans="1:100">
      <c r="A35139" s="374"/>
      <c r="C35139" s="374"/>
      <c r="CV35139" s="376"/>
    </row>
    <row r="35140" spans="1:100">
      <c r="A35140" s="374"/>
      <c r="C35140" s="374"/>
      <c r="CV35140" s="376"/>
    </row>
    <row r="35141" spans="1:100">
      <c r="A35141" s="374"/>
      <c r="C35141" s="374"/>
      <c r="CV35141" s="376"/>
    </row>
    <row r="35142" spans="1:100">
      <c r="A35142" s="374"/>
      <c r="C35142" s="374"/>
      <c r="CV35142" s="376"/>
    </row>
    <row r="35143" spans="1:100">
      <c r="A35143" s="374"/>
      <c r="C35143" s="374"/>
      <c r="CV35143" s="376"/>
    </row>
    <row r="35144" spans="1:100">
      <c r="A35144" s="374"/>
      <c r="C35144" s="374"/>
      <c r="CV35144" s="376"/>
    </row>
    <row r="35145" spans="1:100">
      <c r="A35145" s="374"/>
      <c r="C35145" s="374"/>
      <c r="CV35145" s="376"/>
    </row>
    <row r="35146" spans="1:100">
      <c r="A35146" s="374"/>
      <c r="C35146" s="374"/>
      <c r="CV35146" s="376"/>
    </row>
    <row r="35147" spans="1:100">
      <c r="A35147" s="374"/>
      <c r="C35147" s="374"/>
      <c r="CV35147" s="376"/>
    </row>
    <row r="35148" spans="1:100">
      <c r="A35148" s="374"/>
      <c r="C35148" s="374"/>
      <c r="CV35148" s="376"/>
    </row>
    <row r="35149" spans="1:100">
      <c r="A35149" s="374"/>
      <c r="C35149" s="374"/>
      <c r="CV35149" s="376"/>
    </row>
    <row r="35150" spans="1:100">
      <c r="A35150" s="374"/>
      <c r="C35150" s="374"/>
      <c r="CV35150" s="376"/>
    </row>
    <row r="35151" spans="1:100">
      <c r="A35151" s="374"/>
      <c r="C35151" s="374"/>
      <c r="CV35151" s="376"/>
    </row>
    <row r="35152" spans="1:100">
      <c r="A35152" s="374"/>
      <c r="C35152" s="374"/>
      <c r="CV35152" s="376"/>
    </row>
    <row r="35153" spans="1:100">
      <c r="A35153" s="374"/>
      <c r="C35153" s="374"/>
      <c r="CV35153" s="376"/>
    </row>
    <row r="35154" spans="1:100">
      <c r="A35154" s="374"/>
      <c r="C35154" s="374"/>
      <c r="CV35154" s="376"/>
    </row>
    <row r="35155" spans="1:100">
      <c r="A35155" s="374"/>
      <c r="C35155" s="374"/>
      <c r="CV35155" s="376"/>
    </row>
    <row r="35156" spans="1:100">
      <c r="A35156" s="374"/>
      <c r="C35156" s="374"/>
      <c r="CV35156" s="376"/>
    </row>
    <row r="35157" spans="1:100">
      <c r="A35157" s="374"/>
      <c r="C35157" s="374"/>
      <c r="CV35157" s="376"/>
    </row>
    <row r="35158" spans="1:100">
      <c r="A35158" s="374"/>
      <c r="C35158" s="374"/>
      <c r="CV35158" s="376"/>
    </row>
    <row r="35159" spans="1:100">
      <c r="A35159" s="374"/>
      <c r="C35159" s="374"/>
      <c r="CV35159" s="376"/>
    </row>
    <row r="35160" spans="1:100">
      <c r="A35160" s="374"/>
      <c r="C35160" s="374"/>
      <c r="CV35160" s="376"/>
    </row>
    <row r="35161" spans="1:100">
      <c r="A35161" s="374"/>
      <c r="C35161" s="374"/>
      <c r="CV35161" s="376"/>
    </row>
    <row r="35162" spans="1:100">
      <c r="A35162" s="374"/>
      <c r="C35162" s="374"/>
      <c r="CV35162" s="376"/>
    </row>
    <row r="35163" spans="1:100">
      <c r="A35163" s="374"/>
      <c r="C35163" s="374"/>
      <c r="CV35163" s="376"/>
    </row>
    <row r="35164" spans="1:100">
      <c r="A35164" s="374"/>
      <c r="C35164" s="374"/>
      <c r="CV35164" s="376"/>
    </row>
    <row r="35165" spans="1:100">
      <c r="A35165" s="374"/>
      <c r="C35165" s="374"/>
      <c r="CV35165" s="376"/>
    </row>
    <row r="35166" spans="1:100">
      <c r="A35166" s="374"/>
      <c r="C35166" s="374"/>
      <c r="CV35166" s="376"/>
    </row>
    <row r="35167" spans="1:100">
      <c r="A35167" s="374"/>
      <c r="C35167" s="374"/>
      <c r="CV35167" s="376"/>
    </row>
    <row r="35168" spans="1:100">
      <c r="A35168" s="374"/>
      <c r="C35168" s="374"/>
      <c r="CV35168" s="376"/>
    </row>
    <row r="35169" spans="1:100">
      <c r="A35169" s="374"/>
      <c r="C35169" s="374"/>
      <c r="CV35169" s="376"/>
    </row>
    <row r="35170" spans="1:100">
      <c r="A35170" s="374"/>
      <c r="C35170" s="374"/>
      <c r="CV35170" s="376"/>
    </row>
    <row r="35171" spans="1:100">
      <c r="A35171" s="374"/>
      <c r="C35171" s="374"/>
      <c r="CV35171" s="376"/>
    </row>
    <row r="35172" spans="1:100">
      <c r="A35172" s="374"/>
      <c r="C35172" s="374"/>
      <c r="CV35172" s="376"/>
    </row>
    <row r="35173" spans="1:100">
      <c r="A35173" s="374"/>
      <c r="C35173" s="374"/>
      <c r="CV35173" s="376"/>
    </row>
    <row r="35174" spans="1:100">
      <c r="A35174" s="374"/>
      <c r="C35174" s="374"/>
      <c r="CV35174" s="376"/>
    </row>
    <row r="35175" spans="1:100">
      <c r="A35175" s="374"/>
      <c r="C35175" s="374"/>
      <c r="CV35175" s="376"/>
    </row>
    <row r="35176" spans="1:100">
      <c r="A35176" s="374"/>
      <c r="C35176" s="374"/>
      <c r="CV35176" s="376"/>
    </row>
    <row r="35177" spans="1:100">
      <c r="A35177" s="374"/>
      <c r="C35177" s="374"/>
      <c r="CV35177" s="376"/>
    </row>
    <row r="35178" spans="1:100">
      <c r="A35178" s="374"/>
      <c r="C35178" s="374"/>
      <c r="CV35178" s="376"/>
    </row>
    <row r="35179" spans="1:100">
      <c r="A35179" s="374"/>
      <c r="C35179" s="374"/>
      <c r="CV35179" s="376"/>
    </row>
    <row r="35180" spans="1:100">
      <c r="A35180" s="374"/>
      <c r="C35180" s="374"/>
      <c r="CV35180" s="376"/>
    </row>
    <row r="35181" spans="1:100">
      <c r="A35181" s="374"/>
      <c r="C35181" s="374"/>
      <c r="CV35181" s="376"/>
    </row>
    <row r="35182" spans="1:100">
      <c r="A35182" s="374"/>
      <c r="C35182" s="374"/>
      <c r="CV35182" s="376"/>
    </row>
    <row r="35183" spans="1:100">
      <c r="A35183" s="374"/>
      <c r="C35183" s="374"/>
      <c r="CV35183" s="376"/>
    </row>
    <row r="35184" spans="1:100">
      <c r="A35184" s="374"/>
      <c r="C35184" s="374"/>
      <c r="CV35184" s="376"/>
    </row>
    <row r="35185" spans="1:100">
      <c r="A35185" s="374"/>
      <c r="C35185" s="374"/>
      <c r="CV35185" s="376"/>
    </row>
    <row r="35186" spans="1:100">
      <c r="A35186" s="374"/>
      <c r="C35186" s="374"/>
      <c r="CV35186" s="376"/>
    </row>
    <row r="35187" spans="1:100">
      <c r="A35187" s="374"/>
      <c r="C35187" s="374"/>
      <c r="CV35187" s="376"/>
    </row>
    <row r="35188" spans="1:100">
      <c r="A35188" s="374"/>
      <c r="C35188" s="374"/>
      <c r="CV35188" s="376"/>
    </row>
    <row r="35189" spans="1:100">
      <c r="A35189" s="374"/>
      <c r="C35189" s="374"/>
      <c r="CV35189" s="376"/>
    </row>
    <row r="35190" spans="1:100">
      <c r="A35190" s="374"/>
      <c r="C35190" s="374"/>
      <c r="CV35190" s="376"/>
    </row>
    <row r="35191" spans="1:100">
      <c r="A35191" s="374"/>
      <c r="C35191" s="374"/>
      <c r="CV35191" s="376"/>
    </row>
    <row r="35192" spans="1:100">
      <c r="A35192" s="374"/>
      <c r="C35192" s="374"/>
      <c r="CV35192" s="376"/>
    </row>
    <row r="35193" spans="1:100">
      <c r="A35193" s="374"/>
      <c r="C35193" s="374"/>
      <c r="CV35193" s="376"/>
    </row>
    <row r="35194" spans="1:100">
      <c r="A35194" s="374"/>
      <c r="C35194" s="374"/>
      <c r="CV35194" s="376"/>
    </row>
    <row r="35195" spans="1:100">
      <c r="A35195" s="374"/>
      <c r="C35195" s="374"/>
      <c r="CV35195" s="376"/>
    </row>
    <row r="35196" spans="1:100">
      <c r="A35196" s="374"/>
      <c r="C35196" s="374"/>
      <c r="CV35196" s="376"/>
    </row>
    <row r="35197" spans="1:100">
      <c r="A35197" s="374"/>
      <c r="C35197" s="374"/>
      <c r="CV35197" s="376"/>
    </row>
    <row r="35198" spans="1:100">
      <c r="A35198" s="374"/>
      <c r="C35198" s="374"/>
      <c r="CV35198" s="376"/>
    </row>
    <row r="35199" spans="1:100">
      <c r="A35199" s="374"/>
      <c r="C35199" s="374"/>
      <c r="CV35199" s="376"/>
    </row>
    <row r="35200" spans="1:100">
      <c r="A35200" s="374"/>
      <c r="C35200" s="374"/>
      <c r="CV35200" s="376"/>
    </row>
    <row r="35201" spans="1:100">
      <c r="A35201" s="374"/>
      <c r="C35201" s="374"/>
      <c r="CV35201" s="376"/>
    </row>
    <row r="35202" spans="1:100">
      <c r="A35202" s="374"/>
      <c r="C35202" s="374"/>
      <c r="CV35202" s="376"/>
    </row>
    <row r="35203" spans="1:100">
      <c r="A35203" s="374"/>
      <c r="C35203" s="374"/>
      <c r="CV35203" s="376"/>
    </row>
    <row r="35204" spans="1:100">
      <c r="A35204" s="374"/>
      <c r="C35204" s="374"/>
      <c r="CV35204" s="376"/>
    </row>
    <row r="35205" spans="1:100">
      <c r="A35205" s="374"/>
      <c r="C35205" s="374"/>
      <c r="CV35205" s="376"/>
    </row>
    <row r="35206" spans="1:100">
      <c r="A35206" s="374"/>
      <c r="C35206" s="374"/>
      <c r="CV35206" s="376"/>
    </row>
    <row r="35207" spans="1:100">
      <c r="A35207" s="374"/>
      <c r="C35207" s="374"/>
      <c r="CV35207" s="376"/>
    </row>
    <row r="35208" spans="1:100">
      <c r="A35208" s="374"/>
      <c r="C35208" s="374"/>
      <c r="CV35208" s="376"/>
    </row>
    <row r="35209" spans="1:100">
      <c r="A35209" s="374"/>
      <c r="C35209" s="374"/>
      <c r="CV35209" s="376"/>
    </row>
    <row r="35210" spans="1:100">
      <c r="A35210" s="374"/>
      <c r="C35210" s="374"/>
      <c r="CV35210" s="376"/>
    </row>
    <row r="35211" spans="1:100">
      <c r="A35211" s="374"/>
      <c r="C35211" s="374"/>
      <c r="CV35211" s="376"/>
    </row>
    <row r="35212" spans="1:100">
      <c r="A35212" s="374"/>
      <c r="C35212" s="374"/>
      <c r="CV35212" s="376"/>
    </row>
    <row r="35213" spans="1:100">
      <c r="A35213" s="374"/>
      <c r="C35213" s="374"/>
      <c r="CV35213" s="376"/>
    </row>
    <row r="35214" spans="1:100">
      <c r="A35214" s="374"/>
      <c r="C35214" s="374"/>
      <c r="CV35214" s="376"/>
    </row>
    <row r="35215" spans="1:100">
      <c r="A35215" s="374"/>
      <c r="C35215" s="374"/>
      <c r="CV35215" s="376"/>
    </row>
    <row r="35216" spans="1:100">
      <c r="A35216" s="374"/>
      <c r="C35216" s="374"/>
      <c r="CV35216" s="376"/>
    </row>
    <row r="35217" spans="1:100">
      <c r="A35217" s="374"/>
      <c r="C35217" s="374"/>
      <c r="CV35217" s="376"/>
    </row>
    <row r="35218" spans="1:100">
      <c r="A35218" s="374"/>
      <c r="C35218" s="374"/>
      <c r="CV35218" s="376"/>
    </row>
    <row r="35219" spans="1:100">
      <c r="A35219" s="374"/>
      <c r="C35219" s="374"/>
      <c r="CV35219" s="376"/>
    </row>
    <row r="35220" spans="1:100">
      <c r="A35220" s="374"/>
      <c r="C35220" s="374"/>
      <c r="CV35220" s="376"/>
    </row>
    <row r="35221" spans="1:100">
      <c r="A35221" s="374"/>
      <c r="C35221" s="374"/>
      <c r="CV35221" s="376"/>
    </row>
    <row r="35222" spans="1:100">
      <c r="A35222" s="374"/>
      <c r="C35222" s="374"/>
      <c r="CV35222" s="376"/>
    </row>
    <row r="35223" spans="1:100">
      <c r="A35223" s="374"/>
      <c r="C35223" s="374"/>
      <c r="CV35223" s="376"/>
    </row>
    <row r="35224" spans="1:100">
      <c r="A35224" s="374"/>
      <c r="C35224" s="374"/>
      <c r="CV35224" s="376"/>
    </row>
    <row r="35225" spans="1:100">
      <c r="A35225" s="374"/>
      <c r="C35225" s="374"/>
      <c r="CV35225" s="376"/>
    </row>
    <row r="35226" spans="1:100">
      <c r="A35226" s="374"/>
      <c r="C35226" s="374"/>
      <c r="CV35226" s="376"/>
    </row>
    <row r="35227" spans="1:100">
      <c r="A35227" s="374"/>
      <c r="C35227" s="374"/>
      <c r="CV35227" s="376"/>
    </row>
    <row r="35228" spans="1:100">
      <c r="A35228" s="374"/>
      <c r="C35228" s="374"/>
      <c r="CV35228" s="376"/>
    </row>
    <row r="35229" spans="1:100">
      <c r="A35229" s="374"/>
      <c r="C35229" s="374"/>
      <c r="CV35229" s="376"/>
    </row>
    <row r="35230" spans="1:100">
      <c r="A35230" s="374"/>
      <c r="C35230" s="374"/>
      <c r="CV35230" s="376"/>
    </row>
    <row r="35231" spans="1:100">
      <c r="A35231" s="374"/>
      <c r="C35231" s="374"/>
      <c r="CV35231" s="376"/>
    </row>
    <row r="35232" spans="1:100">
      <c r="A35232" s="374"/>
      <c r="C35232" s="374"/>
      <c r="CV35232" s="376"/>
    </row>
    <row r="35233" spans="1:100">
      <c r="A35233" s="374"/>
      <c r="C35233" s="374"/>
      <c r="CV35233" s="376"/>
    </row>
    <row r="35234" spans="1:100">
      <c r="A35234" s="374"/>
      <c r="C35234" s="374"/>
      <c r="CV35234" s="376"/>
    </row>
    <row r="35235" spans="1:100">
      <c r="A35235" s="374"/>
      <c r="C35235" s="374"/>
      <c r="CV35235" s="376"/>
    </row>
    <row r="35236" spans="1:100">
      <c r="A35236" s="374"/>
      <c r="C35236" s="374"/>
      <c r="CV35236" s="376"/>
    </row>
    <row r="35237" spans="1:100">
      <c r="A35237" s="374"/>
      <c r="C35237" s="374"/>
      <c r="CV35237" s="376"/>
    </row>
    <row r="35238" spans="1:100">
      <c r="A35238" s="374"/>
      <c r="C35238" s="374"/>
      <c r="CV35238" s="376"/>
    </row>
    <row r="35239" spans="1:100">
      <c r="A35239" s="374"/>
      <c r="C35239" s="374"/>
      <c r="CV35239" s="376"/>
    </row>
    <row r="35240" spans="1:100">
      <c r="A35240" s="374"/>
      <c r="C35240" s="374"/>
      <c r="CV35240" s="376"/>
    </row>
    <row r="35241" spans="1:100">
      <c r="A35241" s="374"/>
      <c r="C35241" s="374"/>
      <c r="CV35241" s="376"/>
    </row>
    <row r="35242" spans="1:100">
      <c r="A35242" s="374"/>
      <c r="C35242" s="374"/>
      <c r="CV35242" s="376"/>
    </row>
    <row r="35243" spans="1:100">
      <c r="A35243" s="374"/>
      <c r="C35243" s="374"/>
      <c r="CV35243" s="376"/>
    </row>
    <row r="35244" spans="1:100">
      <c r="A35244" s="374"/>
      <c r="C35244" s="374"/>
      <c r="CV35244" s="376"/>
    </row>
    <row r="35245" spans="1:100">
      <c r="A35245" s="374"/>
      <c r="C35245" s="374"/>
      <c r="CV35245" s="376"/>
    </row>
    <row r="35246" spans="1:100">
      <c r="A35246" s="374"/>
      <c r="C35246" s="374"/>
      <c r="CV35246" s="376"/>
    </row>
    <row r="35247" spans="1:100">
      <c r="A35247" s="374"/>
      <c r="C35247" s="374"/>
      <c r="CV35247" s="376"/>
    </row>
    <row r="35248" spans="1:100">
      <c r="A35248" s="374"/>
      <c r="C35248" s="374"/>
      <c r="CV35248" s="376"/>
    </row>
    <row r="35249" spans="1:100">
      <c r="A35249" s="374"/>
      <c r="C35249" s="374"/>
      <c r="CV35249" s="376"/>
    </row>
    <row r="35250" spans="1:100">
      <c r="A35250" s="374"/>
      <c r="C35250" s="374"/>
      <c r="CV35250" s="376"/>
    </row>
    <row r="35251" spans="1:100">
      <c r="A35251" s="374"/>
      <c r="C35251" s="374"/>
      <c r="CV35251" s="376"/>
    </row>
    <row r="35252" spans="1:100">
      <c r="A35252" s="374"/>
      <c r="C35252" s="374"/>
      <c r="CV35252" s="376"/>
    </row>
    <row r="35253" spans="1:100">
      <c r="A35253" s="374"/>
      <c r="C35253" s="374"/>
      <c r="CV35253" s="376"/>
    </row>
    <row r="35254" spans="1:100">
      <c r="A35254" s="374"/>
      <c r="C35254" s="374"/>
      <c r="CV35254" s="376"/>
    </row>
    <row r="35255" spans="1:100">
      <c r="A35255" s="374"/>
      <c r="C35255" s="374"/>
      <c r="CV35255" s="376"/>
    </row>
    <row r="35256" spans="1:100">
      <c r="A35256" s="374"/>
      <c r="C35256" s="374"/>
      <c r="CV35256" s="376"/>
    </row>
    <row r="35257" spans="1:100">
      <c r="A35257" s="374"/>
      <c r="C35257" s="374"/>
      <c r="CV35257" s="376"/>
    </row>
    <row r="35258" spans="1:100">
      <c r="A35258" s="374"/>
      <c r="C35258" s="374"/>
      <c r="CV35258" s="376"/>
    </row>
    <row r="35259" spans="1:100">
      <c r="A35259" s="374"/>
      <c r="C35259" s="374"/>
      <c r="CV35259" s="376"/>
    </row>
    <row r="35260" spans="1:100">
      <c r="A35260" s="374"/>
      <c r="C35260" s="374"/>
      <c r="CV35260" s="376"/>
    </row>
    <row r="35261" spans="1:100">
      <c r="A35261" s="374"/>
      <c r="C35261" s="374"/>
      <c r="CV35261" s="376"/>
    </row>
    <row r="35262" spans="1:100">
      <c r="A35262" s="374"/>
      <c r="C35262" s="374"/>
      <c r="CV35262" s="376"/>
    </row>
    <row r="35263" spans="1:100">
      <c r="A35263" s="374"/>
      <c r="C35263" s="374"/>
      <c r="CV35263" s="376"/>
    </row>
    <row r="35264" spans="1:100">
      <c r="A35264" s="374"/>
      <c r="C35264" s="374"/>
      <c r="CV35264" s="376"/>
    </row>
    <row r="35265" spans="1:100">
      <c r="A35265" s="374"/>
      <c r="C35265" s="374"/>
      <c r="CV35265" s="376"/>
    </row>
    <row r="35266" spans="1:100">
      <c r="A35266" s="374"/>
      <c r="C35266" s="374"/>
      <c r="CV35266" s="376"/>
    </row>
    <row r="35267" spans="1:100">
      <c r="A35267" s="374"/>
      <c r="C35267" s="374"/>
      <c r="CV35267" s="376"/>
    </row>
    <row r="35268" spans="1:100">
      <c r="A35268" s="374"/>
      <c r="C35268" s="374"/>
      <c r="CV35268" s="376"/>
    </row>
    <row r="35269" spans="1:100">
      <c r="A35269" s="374"/>
      <c r="C35269" s="374"/>
      <c r="CV35269" s="376"/>
    </row>
    <row r="35270" spans="1:100">
      <c r="A35270" s="374"/>
      <c r="C35270" s="374"/>
      <c r="CV35270" s="376"/>
    </row>
    <row r="35271" spans="1:100">
      <c r="A35271" s="374"/>
      <c r="C35271" s="374"/>
      <c r="CV35271" s="376"/>
    </row>
    <row r="35272" spans="1:100">
      <c r="A35272" s="374"/>
      <c r="C35272" s="374"/>
      <c r="CV35272" s="376"/>
    </row>
    <row r="35273" spans="1:100">
      <c r="A35273" s="374"/>
      <c r="C35273" s="374"/>
      <c r="CV35273" s="376"/>
    </row>
    <row r="35274" spans="1:100">
      <c r="A35274" s="374"/>
      <c r="C35274" s="374"/>
      <c r="CV35274" s="376"/>
    </row>
    <row r="35275" spans="1:100">
      <c r="A35275" s="374"/>
      <c r="C35275" s="374"/>
      <c r="CV35275" s="376"/>
    </row>
    <row r="35276" spans="1:100">
      <c r="A35276" s="374"/>
      <c r="C35276" s="374"/>
      <c r="CV35276" s="376"/>
    </row>
    <row r="35277" spans="1:100">
      <c r="A35277" s="374"/>
      <c r="C35277" s="374"/>
      <c r="CV35277" s="376"/>
    </row>
    <row r="35278" spans="1:100">
      <c r="A35278" s="374"/>
      <c r="C35278" s="374"/>
      <c r="CV35278" s="376"/>
    </row>
    <row r="35279" spans="1:100">
      <c r="A35279" s="374"/>
      <c r="C35279" s="374"/>
      <c r="CV35279" s="376"/>
    </row>
    <row r="35280" spans="1:100">
      <c r="A35280" s="374"/>
      <c r="C35280" s="374"/>
      <c r="CV35280" s="376"/>
    </row>
    <row r="35281" spans="1:100">
      <c r="A35281" s="374"/>
      <c r="C35281" s="374"/>
      <c r="CV35281" s="376"/>
    </row>
    <row r="35282" spans="1:100">
      <c r="A35282" s="374"/>
      <c r="C35282" s="374"/>
      <c r="CV35282" s="376"/>
    </row>
    <row r="35283" spans="1:100">
      <c r="A35283" s="374"/>
      <c r="C35283" s="374"/>
      <c r="CV35283" s="376"/>
    </row>
    <row r="35284" spans="1:100">
      <c r="A35284" s="374"/>
      <c r="C35284" s="374"/>
      <c r="CV35284" s="376"/>
    </row>
    <row r="35285" spans="1:100">
      <c r="A35285" s="374"/>
      <c r="C35285" s="374"/>
      <c r="CV35285" s="376"/>
    </row>
    <row r="35286" spans="1:100">
      <c r="A35286" s="374"/>
      <c r="C35286" s="374"/>
      <c r="CV35286" s="376"/>
    </row>
    <row r="35287" spans="1:100">
      <c r="A35287" s="374"/>
      <c r="C35287" s="374"/>
      <c r="CV35287" s="376"/>
    </row>
    <row r="35288" spans="1:100">
      <c r="A35288" s="374"/>
      <c r="C35288" s="374"/>
      <c r="CV35288" s="376"/>
    </row>
    <row r="35289" spans="1:100">
      <c r="A35289" s="374"/>
      <c r="C35289" s="374"/>
      <c r="CV35289" s="376"/>
    </row>
    <row r="35290" spans="1:100">
      <c r="A35290" s="374"/>
      <c r="C35290" s="374"/>
      <c r="CV35290" s="376"/>
    </row>
    <row r="35291" spans="1:100">
      <c r="A35291" s="374"/>
      <c r="C35291" s="374"/>
      <c r="CV35291" s="376"/>
    </row>
    <row r="35292" spans="1:100">
      <c r="A35292" s="374"/>
      <c r="C35292" s="374"/>
      <c r="CV35292" s="376"/>
    </row>
    <row r="35293" spans="1:100">
      <c r="A35293" s="374"/>
      <c r="C35293" s="374"/>
      <c r="CV35293" s="376"/>
    </row>
    <row r="35294" spans="1:100">
      <c r="A35294" s="374"/>
      <c r="C35294" s="374"/>
      <c r="CV35294" s="376"/>
    </row>
    <row r="35295" spans="1:100">
      <c r="A35295" s="374"/>
      <c r="C35295" s="374"/>
      <c r="CV35295" s="376"/>
    </row>
    <row r="35296" spans="1:100">
      <c r="A35296" s="374"/>
      <c r="C35296" s="374"/>
      <c r="CV35296" s="376"/>
    </row>
    <row r="35297" spans="1:100">
      <c r="A35297" s="374"/>
      <c r="C35297" s="374"/>
      <c r="CV35297" s="376"/>
    </row>
    <row r="35298" spans="1:100">
      <c r="A35298" s="374"/>
      <c r="C35298" s="374"/>
      <c r="CV35298" s="376"/>
    </row>
    <row r="35299" spans="1:100">
      <c r="A35299" s="374"/>
      <c r="C35299" s="374"/>
      <c r="CV35299" s="376"/>
    </row>
    <row r="35300" spans="1:100">
      <c r="A35300" s="374"/>
      <c r="C35300" s="374"/>
      <c r="CV35300" s="376"/>
    </row>
    <row r="35301" spans="1:100">
      <c r="A35301" s="374"/>
      <c r="C35301" s="374"/>
      <c r="CV35301" s="376"/>
    </row>
    <row r="35302" spans="1:100">
      <c r="A35302" s="374"/>
      <c r="C35302" s="374"/>
      <c r="CV35302" s="376"/>
    </row>
    <row r="35303" spans="1:100">
      <c r="A35303" s="374"/>
      <c r="C35303" s="374"/>
      <c r="CV35303" s="376"/>
    </row>
    <row r="35304" spans="1:100">
      <c r="A35304" s="374"/>
      <c r="C35304" s="374"/>
      <c r="CV35304" s="376"/>
    </row>
    <row r="35305" spans="1:100">
      <c r="A35305" s="374"/>
      <c r="C35305" s="374"/>
      <c r="CV35305" s="376"/>
    </row>
    <row r="35306" spans="1:100">
      <c r="A35306" s="374"/>
      <c r="C35306" s="374"/>
      <c r="CV35306" s="376"/>
    </row>
    <row r="35307" spans="1:100">
      <c r="A35307" s="374"/>
      <c r="C35307" s="374"/>
      <c r="CV35307" s="376"/>
    </row>
    <row r="35308" spans="1:100">
      <c r="A35308" s="374"/>
      <c r="C35308" s="374"/>
      <c r="CV35308" s="376"/>
    </row>
    <row r="35309" spans="1:100">
      <c r="A35309" s="374"/>
      <c r="C35309" s="374"/>
      <c r="CV35309" s="376"/>
    </row>
    <row r="35310" spans="1:100">
      <c r="A35310" s="374"/>
      <c r="C35310" s="374"/>
      <c r="CV35310" s="376"/>
    </row>
    <row r="35311" spans="1:100">
      <c r="A35311" s="374"/>
      <c r="C35311" s="374"/>
      <c r="CV35311" s="376"/>
    </row>
    <row r="35312" spans="1:100">
      <c r="A35312" s="374"/>
      <c r="C35312" s="374"/>
      <c r="CV35312" s="376"/>
    </row>
    <row r="35313" spans="1:100">
      <c r="A35313" s="374"/>
      <c r="C35313" s="374"/>
      <c r="CV35313" s="376"/>
    </row>
    <row r="35314" spans="1:100">
      <c r="A35314" s="374"/>
      <c r="C35314" s="374"/>
      <c r="CV35314" s="376"/>
    </row>
    <row r="35315" spans="1:100">
      <c r="A35315" s="374"/>
      <c r="C35315" s="374"/>
      <c r="CV35315" s="376"/>
    </row>
    <row r="35316" spans="1:100">
      <c r="A35316" s="374"/>
      <c r="C35316" s="374"/>
      <c r="CV35316" s="376"/>
    </row>
    <row r="35317" spans="1:100">
      <c r="A35317" s="374"/>
      <c r="C35317" s="374"/>
      <c r="CV35317" s="376"/>
    </row>
    <row r="35318" spans="1:100">
      <c r="A35318" s="374"/>
      <c r="C35318" s="374"/>
      <c r="CV35318" s="376"/>
    </row>
    <row r="35319" spans="1:100">
      <c r="A35319" s="374"/>
      <c r="C35319" s="374"/>
      <c r="CV35319" s="376"/>
    </row>
    <row r="35320" spans="1:100">
      <c r="A35320" s="374"/>
      <c r="C35320" s="374"/>
      <c r="CV35320" s="376"/>
    </row>
    <row r="35321" spans="1:100">
      <c r="A35321" s="374"/>
      <c r="C35321" s="374"/>
      <c r="CV35321" s="376"/>
    </row>
    <row r="35322" spans="1:100">
      <c r="A35322" s="374"/>
      <c r="C35322" s="374"/>
      <c r="CV35322" s="376"/>
    </row>
    <row r="35323" spans="1:100">
      <c r="A35323" s="374"/>
      <c r="C35323" s="374"/>
      <c r="CV35323" s="376"/>
    </row>
    <row r="35324" spans="1:100">
      <c r="A35324" s="374"/>
      <c r="C35324" s="374"/>
      <c r="CV35324" s="376"/>
    </row>
    <row r="35325" spans="1:100">
      <c r="A35325" s="374"/>
      <c r="C35325" s="374"/>
      <c r="CV35325" s="376"/>
    </row>
    <row r="35326" spans="1:100">
      <c r="A35326" s="374"/>
      <c r="C35326" s="374"/>
      <c r="CV35326" s="376"/>
    </row>
    <row r="35327" spans="1:100">
      <c r="A35327" s="374"/>
      <c r="C35327" s="374"/>
      <c r="CV35327" s="376"/>
    </row>
    <row r="35328" spans="1:100">
      <c r="A35328" s="374"/>
      <c r="C35328" s="374"/>
      <c r="CV35328" s="376"/>
    </row>
    <row r="35329" spans="1:100">
      <c r="A35329" s="374"/>
      <c r="C35329" s="374"/>
      <c r="CV35329" s="376"/>
    </row>
    <row r="35330" spans="1:100">
      <c r="A35330" s="374"/>
      <c r="C35330" s="374"/>
      <c r="CV35330" s="376"/>
    </row>
    <row r="35331" spans="1:100">
      <c r="A35331" s="374"/>
      <c r="C35331" s="374"/>
      <c r="CV35331" s="376"/>
    </row>
    <row r="35332" spans="1:100">
      <c r="A35332" s="374"/>
      <c r="C35332" s="374"/>
      <c r="CV35332" s="376"/>
    </row>
    <row r="35333" spans="1:100">
      <c r="A35333" s="374"/>
      <c r="C35333" s="374"/>
      <c r="CV35333" s="376"/>
    </row>
    <row r="35334" spans="1:100">
      <c r="A35334" s="374"/>
      <c r="C35334" s="374"/>
      <c r="CV35334" s="376"/>
    </row>
    <row r="35335" spans="1:100">
      <c r="A35335" s="374"/>
      <c r="C35335" s="374"/>
      <c r="CV35335" s="376"/>
    </row>
    <row r="35336" spans="1:100">
      <c r="A35336" s="374"/>
      <c r="C35336" s="374"/>
      <c r="CV35336" s="376"/>
    </row>
    <row r="35337" spans="1:100">
      <c r="A35337" s="374"/>
      <c r="C35337" s="374"/>
      <c r="CV35337" s="376"/>
    </row>
    <row r="35338" spans="1:100">
      <c r="A35338" s="374"/>
      <c r="C35338" s="374"/>
      <c r="CV35338" s="376"/>
    </row>
    <row r="35339" spans="1:100">
      <c r="A35339" s="374"/>
      <c r="C35339" s="374"/>
      <c r="CV35339" s="376"/>
    </row>
    <row r="35340" spans="1:100">
      <c r="A35340" s="374"/>
      <c r="C35340" s="374"/>
      <c r="CV35340" s="376"/>
    </row>
    <row r="35341" spans="1:100">
      <c r="A35341" s="374"/>
      <c r="C35341" s="374"/>
      <c r="CV35341" s="376"/>
    </row>
    <row r="35342" spans="1:100">
      <c r="A35342" s="374"/>
      <c r="C35342" s="374"/>
      <c r="CV35342" s="376"/>
    </row>
    <row r="35343" spans="1:100">
      <c r="A35343" s="374"/>
      <c r="C35343" s="374"/>
      <c r="CV35343" s="376"/>
    </row>
    <row r="35344" spans="1:100">
      <c r="A35344" s="374"/>
      <c r="C35344" s="374"/>
      <c r="CV35344" s="376"/>
    </row>
    <row r="35345" spans="1:100">
      <c r="A35345" s="374"/>
      <c r="C35345" s="374"/>
      <c r="CV35345" s="376"/>
    </row>
    <row r="35346" spans="1:100">
      <c r="A35346" s="374"/>
      <c r="C35346" s="374"/>
      <c r="CV35346" s="376"/>
    </row>
    <row r="35347" spans="1:100">
      <c r="A35347" s="374"/>
      <c r="C35347" s="374"/>
      <c r="CV35347" s="376"/>
    </row>
    <row r="35348" spans="1:100">
      <c r="A35348" s="374"/>
      <c r="C35348" s="374"/>
      <c r="CV35348" s="376"/>
    </row>
    <row r="35349" spans="1:100">
      <c r="A35349" s="374"/>
      <c r="C35349" s="374"/>
      <c r="CV35349" s="376"/>
    </row>
    <row r="35350" spans="1:100">
      <c r="A35350" s="374"/>
      <c r="C35350" s="374"/>
      <c r="CV35350" s="376"/>
    </row>
    <row r="35351" spans="1:100">
      <c r="A35351" s="374"/>
      <c r="C35351" s="374"/>
      <c r="CV35351" s="376"/>
    </row>
    <row r="35352" spans="1:100">
      <c r="A35352" s="374"/>
      <c r="C35352" s="374"/>
      <c r="CV35352" s="376"/>
    </row>
    <row r="35353" spans="1:100">
      <c r="A35353" s="374"/>
      <c r="C35353" s="374"/>
      <c r="CV35353" s="376"/>
    </row>
    <row r="35354" spans="1:100">
      <c r="A35354" s="374"/>
      <c r="C35354" s="374"/>
      <c r="CV35354" s="376"/>
    </row>
    <row r="35355" spans="1:100">
      <c r="A35355" s="374"/>
      <c r="C35355" s="374"/>
      <c r="CV35355" s="376"/>
    </row>
    <row r="35356" spans="1:100">
      <c r="A35356" s="374"/>
      <c r="C35356" s="374"/>
      <c r="CV35356" s="376"/>
    </row>
    <row r="35357" spans="1:100">
      <c r="A35357" s="374"/>
      <c r="C35357" s="374"/>
      <c r="CV35357" s="376"/>
    </row>
    <row r="35358" spans="1:100">
      <c r="A35358" s="374"/>
      <c r="C35358" s="374"/>
      <c r="CV35358" s="376"/>
    </row>
    <row r="35359" spans="1:100">
      <c r="A35359" s="374"/>
      <c r="C35359" s="374"/>
      <c r="CV35359" s="376"/>
    </row>
    <row r="35360" spans="1:100">
      <c r="A35360" s="374"/>
      <c r="C35360" s="374"/>
      <c r="CV35360" s="376"/>
    </row>
    <row r="35361" spans="1:100">
      <c r="A35361" s="374"/>
      <c r="C35361" s="374"/>
      <c r="CV35361" s="376"/>
    </row>
    <row r="35362" spans="1:100">
      <c r="A35362" s="374"/>
      <c r="C35362" s="374"/>
      <c r="CV35362" s="376"/>
    </row>
    <row r="35363" spans="1:100">
      <c r="A35363" s="374"/>
      <c r="C35363" s="374"/>
      <c r="CV35363" s="376"/>
    </row>
    <row r="35364" spans="1:100">
      <c r="A35364" s="374"/>
      <c r="C35364" s="374"/>
      <c r="CV35364" s="376"/>
    </row>
    <row r="35365" spans="1:100">
      <c r="A35365" s="374"/>
      <c r="C35365" s="374"/>
      <c r="CV35365" s="376"/>
    </row>
    <row r="35366" spans="1:100">
      <c r="A35366" s="374"/>
      <c r="C35366" s="374"/>
      <c r="CV35366" s="376"/>
    </row>
    <row r="35367" spans="1:100">
      <c r="A35367" s="374"/>
      <c r="C35367" s="374"/>
      <c r="CV35367" s="376"/>
    </row>
    <row r="35368" spans="1:100">
      <c r="A35368" s="374"/>
      <c r="C35368" s="374"/>
      <c r="CV35368" s="376"/>
    </row>
    <row r="35369" spans="1:100">
      <c r="A35369" s="374"/>
      <c r="C35369" s="374"/>
      <c r="CV35369" s="376"/>
    </row>
    <row r="35370" spans="1:100">
      <c r="A35370" s="374"/>
      <c r="C35370" s="374"/>
      <c r="CV35370" s="376"/>
    </row>
    <row r="35371" spans="1:100">
      <c r="A35371" s="374"/>
      <c r="C35371" s="374"/>
      <c r="CV35371" s="376"/>
    </row>
    <row r="35372" spans="1:100">
      <c r="A35372" s="374"/>
      <c r="C35372" s="374"/>
      <c r="CV35372" s="376"/>
    </row>
    <row r="35373" spans="1:100">
      <c r="A35373" s="374"/>
      <c r="C35373" s="374"/>
      <c r="CV35373" s="376"/>
    </row>
    <row r="35374" spans="1:100">
      <c r="A35374" s="374"/>
      <c r="C35374" s="374"/>
      <c r="CV35374" s="376"/>
    </row>
    <row r="35375" spans="1:100">
      <c r="A35375" s="374"/>
      <c r="C35375" s="374"/>
      <c r="CV35375" s="376"/>
    </row>
    <row r="35376" spans="1:100">
      <c r="A35376" s="374"/>
      <c r="C35376" s="374"/>
      <c r="CV35376" s="376"/>
    </row>
    <row r="35377" spans="1:100">
      <c r="A35377" s="374"/>
      <c r="C35377" s="374"/>
      <c r="CV35377" s="376"/>
    </row>
    <row r="35378" spans="1:100">
      <c r="A35378" s="374"/>
      <c r="C35378" s="374"/>
      <c r="CV35378" s="376"/>
    </row>
    <row r="35379" spans="1:100">
      <c r="A35379" s="374"/>
      <c r="C35379" s="374"/>
      <c r="CV35379" s="376"/>
    </row>
    <row r="35380" spans="1:100">
      <c r="A35380" s="374"/>
      <c r="C35380" s="374"/>
      <c r="CV35380" s="376"/>
    </row>
    <row r="35381" spans="1:100">
      <c r="A35381" s="374"/>
      <c r="C35381" s="374"/>
      <c r="CV35381" s="376"/>
    </row>
    <row r="35382" spans="1:100">
      <c r="A35382" s="374"/>
      <c r="C35382" s="374"/>
      <c r="CV35382" s="376"/>
    </row>
    <row r="35383" spans="1:100">
      <c r="A35383" s="374"/>
      <c r="C35383" s="374"/>
      <c r="CV35383" s="376"/>
    </row>
    <row r="35384" spans="1:100">
      <c r="A35384" s="374"/>
      <c r="C35384" s="374"/>
      <c r="CV35384" s="376"/>
    </row>
    <row r="35385" spans="1:100">
      <c r="A35385" s="374"/>
      <c r="C35385" s="374"/>
      <c r="CV35385" s="376"/>
    </row>
    <row r="35386" spans="1:100">
      <c r="A35386" s="374"/>
      <c r="C35386" s="374"/>
      <c r="CV35386" s="376"/>
    </row>
    <row r="35387" spans="1:100">
      <c r="A35387" s="374"/>
      <c r="C35387" s="374"/>
      <c r="CV35387" s="376"/>
    </row>
    <row r="35388" spans="1:100">
      <c r="A35388" s="374"/>
      <c r="C35388" s="374"/>
      <c r="CV35388" s="376"/>
    </row>
    <row r="35389" spans="1:100">
      <c r="A35389" s="374"/>
      <c r="C35389" s="374"/>
      <c r="CV35389" s="376"/>
    </row>
    <row r="35390" spans="1:100">
      <c r="A35390" s="374"/>
      <c r="C35390" s="374"/>
      <c r="CV35390" s="376"/>
    </row>
    <row r="35391" spans="1:100">
      <c r="A35391" s="374"/>
      <c r="C35391" s="374"/>
      <c r="CV35391" s="376"/>
    </row>
    <row r="35392" spans="1:100">
      <c r="A35392" s="374"/>
      <c r="C35392" s="374"/>
      <c r="CV35392" s="376"/>
    </row>
    <row r="35393" spans="1:100">
      <c r="A35393" s="374"/>
      <c r="C35393" s="374"/>
      <c r="CV35393" s="376"/>
    </row>
    <row r="35394" spans="1:100">
      <c r="A35394" s="374"/>
      <c r="C35394" s="374"/>
      <c r="CV35394" s="376"/>
    </row>
    <row r="35395" spans="1:100">
      <c r="A35395" s="374"/>
      <c r="C35395" s="374"/>
      <c r="CV35395" s="376"/>
    </row>
    <row r="35396" spans="1:100">
      <c r="A35396" s="374"/>
      <c r="C35396" s="374"/>
      <c r="CV35396" s="376"/>
    </row>
    <row r="35397" spans="1:100">
      <c r="A35397" s="374"/>
      <c r="C35397" s="374"/>
      <c r="CV35397" s="376"/>
    </row>
    <row r="35398" spans="1:100">
      <c r="A35398" s="374"/>
      <c r="C35398" s="374"/>
      <c r="CV35398" s="376"/>
    </row>
    <row r="35399" spans="1:100">
      <c r="A35399" s="374"/>
      <c r="C35399" s="374"/>
      <c r="CV35399" s="376"/>
    </row>
    <row r="35400" spans="1:100">
      <c r="A35400" s="374"/>
      <c r="C35400" s="374"/>
      <c r="CV35400" s="376"/>
    </row>
    <row r="35401" spans="1:100">
      <c r="A35401" s="374"/>
      <c r="C35401" s="374"/>
      <c r="CV35401" s="376"/>
    </row>
    <row r="35402" spans="1:100">
      <c r="A35402" s="374"/>
      <c r="C35402" s="374"/>
      <c r="CV35402" s="376"/>
    </row>
    <row r="35403" spans="1:100">
      <c r="A35403" s="374"/>
      <c r="C35403" s="374"/>
      <c r="CV35403" s="376"/>
    </row>
    <row r="35404" spans="1:100">
      <c r="A35404" s="374"/>
      <c r="C35404" s="374"/>
      <c r="CV35404" s="376"/>
    </row>
    <row r="35405" spans="1:100">
      <c r="A35405" s="374"/>
      <c r="C35405" s="374"/>
      <c r="CV35405" s="376"/>
    </row>
    <row r="35406" spans="1:100">
      <c r="A35406" s="374"/>
      <c r="C35406" s="374"/>
      <c r="CV35406" s="376"/>
    </row>
    <row r="35407" spans="1:100">
      <c r="A35407" s="374"/>
      <c r="C35407" s="374"/>
      <c r="CV35407" s="376"/>
    </row>
    <row r="35408" spans="1:100">
      <c r="A35408" s="374"/>
      <c r="C35408" s="374"/>
      <c r="CV35408" s="376"/>
    </row>
    <row r="35409" spans="1:100">
      <c r="A35409" s="374"/>
      <c r="C35409" s="374"/>
      <c r="CV35409" s="376"/>
    </row>
    <row r="35410" spans="1:100">
      <c r="A35410" s="374"/>
      <c r="C35410" s="374"/>
      <c r="CV35410" s="376"/>
    </row>
    <row r="35411" spans="1:100">
      <c r="A35411" s="374"/>
      <c r="C35411" s="374"/>
      <c r="CV35411" s="376"/>
    </row>
    <row r="35412" spans="1:100">
      <c r="A35412" s="374"/>
      <c r="C35412" s="374"/>
      <c r="CV35412" s="376"/>
    </row>
    <row r="35413" spans="1:100">
      <c r="A35413" s="374"/>
      <c r="C35413" s="374"/>
      <c r="CV35413" s="376"/>
    </row>
    <row r="35414" spans="1:100">
      <c r="A35414" s="374"/>
      <c r="C35414" s="374"/>
      <c r="CV35414" s="376"/>
    </row>
    <row r="35415" spans="1:100">
      <c r="A35415" s="374"/>
      <c r="C35415" s="374"/>
      <c r="CV35415" s="376"/>
    </row>
    <row r="35416" spans="1:100">
      <c r="A35416" s="374"/>
      <c r="C35416" s="374"/>
      <c r="CV35416" s="376"/>
    </row>
    <row r="35417" spans="1:100">
      <c r="A35417" s="374"/>
      <c r="C35417" s="374"/>
      <c r="CV35417" s="376"/>
    </row>
    <row r="35418" spans="1:100">
      <c r="A35418" s="374"/>
      <c r="C35418" s="374"/>
      <c r="CV35418" s="376"/>
    </row>
    <row r="35419" spans="1:100">
      <c r="A35419" s="374"/>
      <c r="C35419" s="374"/>
      <c r="CV35419" s="376"/>
    </row>
    <row r="35420" spans="1:100">
      <c r="A35420" s="374"/>
      <c r="C35420" s="374"/>
      <c r="CV35420" s="376"/>
    </row>
    <row r="35421" spans="1:100">
      <c r="A35421" s="374"/>
      <c r="C35421" s="374"/>
      <c r="CV35421" s="376"/>
    </row>
    <row r="35422" spans="1:100">
      <c r="A35422" s="374"/>
      <c r="C35422" s="374"/>
      <c r="CV35422" s="376"/>
    </row>
    <row r="35423" spans="1:100">
      <c r="A35423" s="374"/>
      <c r="C35423" s="374"/>
      <c r="CV35423" s="376"/>
    </row>
    <row r="35424" spans="1:100">
      <c r="A35424" s="374"/>
      <c r="C35424" s="374"/>
      <c r="CV35424" s="376"/>
    </row>
    <row r="35425" spans="1:100">
      <c r="A35425" s="374"/>
      <c r="C35425" s="374"/>
      <c r="CV35425" s="376"/>
    </row>
    <row r="35426" spans="1:100">
      <c r="A35426" s="374"/>
      <c r="C35426" s="374"/>
      <c r="CV35426" s="376"/>
    </row>
    <row r="35427" spans="1:100">
      <c r="A35427" s="374"/>
      <c r="C35427" s="374"/>
      <c r="CV35427" s="376"/>
    </row>
    <row r="35428" spans="1:100">
      <c r="A35428" s="374"/>
      <c r="C35428" s="374"/>
      <c r="CV35428" s="376"/>
    </row>
    <row r="35429" spans="1:100">
      <c r="A35429" s="374"/>
      <c r="C35429" s="374"/>
      <c r="CV35429" s="376"/>
    </row>
    <row r="35430" spans="1:100">
      <c r="A35430" s="374"/>
      <c r="C35430" s="374"/>
      <c r="CV35430" s="376"/>
    </row>
    <row r="35431" spans="1:100">
      <c r="A35431" s="374"/>
      <c r="C35431" s="374"/>
      <c r="CV35431" s="376"/>
    </row>
    <row r="35432" spans="1:100">
      <c r="A35432" s="374"/>
      <c r="C35432" s="374"/>
      <c r="CV35432" s="376"/>
    </row>
    <row r="35433" spans="1:100">
      <c r="A35433" s="374"/>
      <c r="C35433" s="374"/>
      <c r="CV35433" s="376"/>
    </row>
    <row r="35434" spans="1:100">
      <c r="A35434" s="374"/>
      <c r="C35434" s="374"/>
      <c r="CV35434" s="376"/>
    </row>
    <row r="35435" spans="1:100">
      <c r="A35435" s="374"/>
      <c r="C35435" s="374"/>
      <c r="CV35435" s="376"/>
    </row>
    <row r="35436" spans="1:100">
      <c r="A35436" s="374"/>
      <c r="C35436" s="374"/>
      <c r="CV35436" s="376"/>
    </row>
    <row r="35437" spans="1:100">
      <c r="A35437" s="374"/>
      <c r="C35437" s="374"/>
      <c r="CV35437" s="376"/>
    </row>
    <row r="35438" spans="1:100">
      <c r="A35438" s="374"/>
      <c r="C35438" s="374"/>
      <c r="CV35438" s="376"/>
    </row>
    <row r="35439" spans="1:100">
      <c r="A35439" s="374"/>
      <c r="C35439" s="374"/>
      <c r="CV35439" s="376"/>
    </row>
    <row r="35440" spans="1:100">
      <c r="A35440" s="374"/>
      <c r="C35440" s="374"/>
      <c r="CV35440" s="376"/>
    </row>
    <row r="35441" spans="1:100">
      <c r="A35441" s="374"/>
      <c r="C35441" s="374"/>
      <c r="CV35441" s="376"/>
    </row>
    <row r="35442" spans="1:100">
      <c r="A35442" s="374"/>
      <c r="C35442" s="374"/>
      <c r="CV35442" s="376"/>
    </row>
    <row r="35443" spans="1:100">
      <c r="A35443" s="374"/>
      <c r="C35443" s="374"/>
      <c r="CV35443" s="376"/>
    </row>
    <row r="35444" spans="1:100">
      <c r="A35444" s="374"/>
      <c r="C35444" s="374"/>
      <c r="CV35444" s="376"/>
    </row>
    <row r="35445" spans="1:100">
      <c r="A35445" s="374"/>
      <c r="C35445" s="374"/>
      <c r="CV35445" s="376"/>
    </row>
    <row r="35446" spans="1:100">
      <c r="A35446" s="374"/>
      <c r="C35446" s="374"/>
      <c r="CV35446" s="376"/>
    </row>
    <row r="35447" spans="1:100">
      <c r="A35447" s="374"/>
      <c r="C35447" s="374"/>
      <c r="CV35447" s="376"/>
    </row>
    <row r="35448" spans="1:100">
      <c r="A35448" s="374"/>
      <c r="C35448" s="374"/>
      <c r="CV35448" s="376"/>
    </row>
    <row r="35449" spans="1:100">
      <c r="A35449" s="374"/>
      <c r="C35449" s="374"/>
      <c r="CV35449" s="376"/>
    </row>
    <row r="35450" spans="1:100">
      <c r="A35450" s="374"/>
      <c r="C35450" s="374"/>
      <c r="CV35450" s="376"/>
    </row>
    <row r="35451" spans="1:100">
      <c r="A35451" s="374"/>
      <c r="C35451" s="374"/>
      <c r="CV35451" s="376"/>
    </row>
    <row r="35452" spans="1:100">
      <c r="A35452" s="374"/>
      <c r="C35452" s="374"/>
      <c r="CV35452" s="376"/>
    </row>
    <row r="35453" spans="1:100">
      <c r="A35453" s="374"/>
      <c r="C35453" s="374"/>
      <c r="CV35453" s="376"/>
    </row>
    <row r="35454" spans="1:100">
      <c r="A35454" s="374"/>
      <c r="C35454" s="374"/>
      <c r="CV35454" s="376"/>
    </row>
    <row r="35455" spans="1:100">
      <c r="A35455" s="374"/>
      <c r="C35455" s="374"/>
      <c r="CV35455" s="376"/>
    </row>
    <row r="35456" spans="1:100">
      <c r="A35456" s="374"/>
      <c r="C35456" s="374"/>
      <c r="CV35456" s="376"/>
    </row>
    <row r="35457" spans="1:100">
      <c r="A35457" s="374"/>
      <c r="C35457" s="374"/>
      <c r="CV35457" s="376"/>
    </row>
    <row r="35458" spans="1:100">
      <c r="A35458" s="374"/>
      <c r="C35458" s="374"/>
      <c r="CV35458" s="376"/>
    </row>
    <row r="35459" spans="1:100">
      <c r="A35459" s="374"/>
      <c r="C35459" s="374"/>
      <c r="CV35459" s="376"/>
    </row>
    <row r="35460" spans="1:100">
      <c r="A35460" s="374"/>
      <c r="C35460" s="374"/>
      <c r="CV35460" s="376"/>
    </row>
    <row r="35461" spans="1:100">
      <c r="A35461" s="374"/>
      <c r="C35461" s="374"/>
      <c r="CV35461" s="376"/>
    </row>
    <row r="35462" spans="1:100">
      <c r="A35462" s="374"/>
      <c r="C35462" s="374"/>
      <c r="CV35462" s="376"/>
    </row>
    <row r="35463" spans="1:100">
      <c r="A35463" s="374"/>
      <c r="C35463" s="374"/>
      <c r="CV35463" s="376"/>
    </row>
    <row r="35464" spans="1:100">
      <c r="A35464" s="374"/>
      <c r="C35464" s="374"/>
      <c r="CV35464" s="376"/>
    </row>
    <row r="35465" spans="1:100">
      <c r="A35465" s="374"/>
      <c r="C35465" s="374"/>
      <c r="CV35465" s="376"/>
    </row>
    <row r="35466" spans="1:100">
      <c r="A35466" s="374"/>
      <c r="C35466" s="374"/>
      <c r="CV35466" s="376"/>
    </row>
    <row r="35467" spans="1:100">
      <c r="A35467" s="374"/>
      <c r="C35467" s="374"/>
      <c r="CV35467" s="376"/>
    </row>
    <row r="35468" spans="1:100">
      <c r="A35468" s="374"/>
      <c r="C35468" s="374"/>
      <c r="CV35468" s="376"/>
    </row>
    <row r="35469" spans="1:100">
      <c r="A35469" s="374"/>
      <c r="C35469" s="374"/>
      <c r="CV35469" s="376"/>
    </row>
    <row r="35470" spans="1:100">
      <c r="A35470" s="374"/>
      <c r="C35470" s="374"/>
      <c r="CV35470" s="376"/>
    </row>
    <row r="35471" spans="1:100">
      <c r="A35471" s="374"/>
      <c r="C35471" s="374"/>
      <c r="CV35471" s="376"/>
    </row>
    <row r="35472" spans="1:100">
      <c r="A35472" s="374"/>
      <c r="C35472" s="374"/>
      <c r="CV35472" s="376"/>
    </row>
    <row r="35473" spans="1:100">
      <c r="A35473" s="374"/>
      <c r="C35473" s="374"/>
      <c r="CV35473" s="376"/>
    </row>
    <row r="35474" spans="1:100">
      <c r="A35474" s="374"/>
      <c r="C35474" s="374"/>
      <c r="CV35474" s="376"/>
    </row>
    <row r="35475" spans="1:100">
      <c r="A35475" s="374"/>
      <c r="C35475" s="374"/>
      <c r="CV35475" s="376"/>
    </row>
    <row r="35476" spans="1:100">
      <c r="A35476" s="374"/>
      <c r="C35476" s="374"/>
      <c r="CV35476" s="376"/>
    </row>
    <row r="35477" spans="1:100">
      <c r="A35477" s="374"/>
      <c r="C35477" s="374"/>
      <c r="CV35477" s="376"/>
    </row>
    <row r="35478" spans="1:100">
      <c r="A35478" s="374"/>
      <c r="C35478" s="374"/>
      <c r="CV35478" s="376"/>
    </row>
    <row r="35479" spans="1:100">
      <c r="A35479" s="374"/>
      <c r="C35479" s="374"/>
      <c r="CV35479" s="376"/>
    </row>
    <row r="35480" spans="1:100">
      <c r="A35480" s="374"/>
      <c r="C35480" s="374"/>
      <c r="CV35480" s="376"/>
    </row>
    <row r="35481" spans="1:100">
      <c r="A35481" s="374"/>
      <c r="C35481" s="374"/>
      <c r="CV35481" s="376"/>
    </row>
    <row r="35482" spans="1:100">
      <c r="A35482" s="374"/>
      <c r="C35482" s="374"/>
      <c r="CV35482" s="376"/>
    </row>
    <row r="35483" spans="1:100">
      <c r="A35483" s="374"/>
      <c r="C35483" s="374"/>
      <c r="CV35483" s="376"/>
    </row>
    <row r="35484" spans="1:100">
      <c r="A35484" s="374"/>
      <c r="C35484" s="374"/>
      <c r="CV35484" s="376"/>
    </row>
    <row r="35485" spans="1:100">
      <c r="A35485" s="374"/>
      <c r="C35485" s="374"/>
      <c r="CV35485" s="376"/>
    </row>
    <row r="35486" spans="1:100">
      <c r="A35486" s="374"/>
      <c r="C35486" s="374"/>
      <c r="CV35486" s="376"/>
    </row>
    <row r="35487" spans="1:100">
      <c r="A35487" s="374"/>
      <c r="C35487" s="374"/>
      <c r="CV35487" s="376"/>
    </row>
    <row r="35488" spans="1:100">
      <c r="A35488" s="374"/>
      <c r="C35488" s="374"/>
      <c r="CV35488" s="376"/>
    </row>
    <row r="35489" spans="1:100">
      <c r="A35489" s="374"/>
      <c r="C35489" s="374"/>
      <c r="CV35489" s="376"/>
    </row>
    <row r="35490" spans="1:100">
      <c r="A35490" s="374"/>
      <c r="C35490" s="374"/>
      <c r="CV35490" s="376"/>
    </row>
    <row r="35491" spans="1:100">
      <c r="A35491" s="374"/>
      <c r="C35491" s="374"/>
      <c r="CV35491" s="376"/>
    </row>
    <row r="35492" spans="1:100">
      <c r="A35492" s="374"/>
      <c r="C35492" s="374"/>
      <c r="CV35492" s="376"/>
    </row>
    <row r="35493" spans="1:100">
      <c r="A35493" s="374"/>
      <c r="C35493" s="374"/>
      <c r="CV35493" s="376"/>
    </row>
    <row r="35494" spans="1:100">
      <c r="A35494" s="374"/>
      <c r="C35494" s="374"/>
      <c r="CV35494" s="376"/>
    </row>
    <row r="35495" spans="1:100">
      <c r="A35495" s="374"/>
      <c r="C35495" s="374"/>
      <c r="CV35495" s="376"/>
    </row>
    <row r="35496" spans="1:100">
      <c r="A35496" s="374"/>
      <c r="C35496" s="374"/>
      <c r="CV35496" s="376"/>
    </row>
    <row r="35497" spans="1:100">
      <c r="A35497" s="374"/>
      <c r="C35497" s="374"/>
      <c r="CV35497" s="376"/>
    </row>
    <row r="35498" spans="1:100">
      <c r="A35498" s="374"/>
      <c r="C35498" s="374"/>
      <c r="CV35498" s="376"/>
    </row>
    <row r="35499" spans="1:100">
      <c r="A35499" s="374"/>
      <c r="C35499" s="374"/>
      <c r="CV35499" s="376"/>
    </row>
    <row r="35500" spans="1:100">
      <c r="A35500" s="374"/>
      <c r="C35500" s="374"/>
      <c r="CV35500" s="376"/>
    </row>
    <row r="35501" spans="1:100">
      <c r="A35501" s="374"/>
      <c r="C35501" s="374"/>
      <c r="CV35501" s="376"/>
    </row>
    <row r="35502" spans="1:100">
      <c r="A35502" s="374"/>
      <c r="C35502" s="374"/>
      <c r="CV35502" s="376"/>
    </row>
    <row r="35503" spans="1:100">
      <c r="A35503" s="374"/>
      <c r="C35503" s="374"/>
      <c r="CV35503" s="376"/>
    </row>
    <row r="35504" spans="1:100">
      <c r="A35504" s="374"/>
      <c r="C35504" s="374"/>
      <c r="CV35504" s="376"/>
    </row>
    <row r="35505" spans="1:100">
      <c r="A35505" s="374"/>
      <c r="C35505" s="374"/>
      <c r="CV35505" s="376"/>
    </row>
    <row r="35506" spans="1:100">
      <c r="A35506" s="374"/>
      <c r="C35506" s="374"/>
      <c r="CV35506" s="376"/>
    </row>
    <row r="35507" spans="1:100">
      <c r="A35507" s="374"/>
      <c r="C35507" s="374"/>
      <c r="CV35507" s="376"/>
    </row>
    <row r="35508" spans="1:100">
      <c r="A35508" s="374"/>
      <c r="C35508" s="374"/>
      <c r="CV35508" s="376"/>
    </row>
    <row r="35509" spans="1:100">
      <c r="A35509" s="374"/>
      <c r="C35509" s="374"/>
      <c r="CV35509" s="376"/>
    </row>
    <row r="35510" spans="1:100">
      <c r="A35510" s="374"/>
      <c r="C35510" s="374"/>
      <c r="CV35510" s="376"/>
    </row>
    <row r="35511" spans="1:100">
      <c r="A35511" s="374"/>
      <c r="C35511" s="374"/>
      <c r="CV35511" s="376"/>
    </row>
    <row r="35512" spans="1:100">
      <c r="A35512" s="374"/>
      <c r="C35512" s="374"/>
      <c r="CV35512" s="376"/>
    </row>
    <row r="35513" spans="1:100">
      <c r="A35513" s="374"/>
      <c r="C35513" s="374"/>
      <c r="CV35513" s="376"/>
    </row>
    <row r="35514" spans="1:100">
      <c r="A35514" s="374"/>
      <c r="C35514" s="374"/>
      <c r="CV35514" s="376"/>
    </row>
    <row r="35515" spans="1:100">
      <c r="A35515" s="374"/>
      <c r="C35515" s="374"/>
      <c r="CV35515" s="376"/>
    </row>
    <row r="35516" spans="1:100">
      <c r="A35516" s="374"/>
      <c r="C35516" s="374"/>
      <c r="CV35516" s="376"/>
    </row>
    <row r="35517" spans="1:100">
      <c r="A35517" s="374"/>
      <c r="C35517" s="374"/>
      <c r="CV35517" s="376"/>
    </row>
    <row r="35518" spans="1:100">
      <c r="A35518" s="374"/>
      <c r="C35518" s="374"/>
      <c r="CV35518" s="376"/>
    </row>
    <row r="35519" spans="1:100">
      <c r="A35519" s="374"/>
      <c r="C35519" s="374"/>
      <c r="CV35519" s="376"/>
    </row>
    <row r="35520" spans="1:100">
      <c r="A35520" s="374"/>
      <c r="C35520" s="374"/>
      <c r="CV35520" s="376"/>
    </row>
    <row r="35521" spans="1:100">
      <c r="A35521" s="374"/>
      <c r="C35521" s="374"/>
      <c r="CV35521" s="376"/>
    </row>
    <row r="35522" spans="1:100">
      <c r="A35522" s="374"/>
      <c r="C35522" s="374"/>
      <c r="CV35522" s="376"/>
    </row>
    <row r="35523" spans="1:100">
      <c r="A35523" s="374"/>
      <c r="C35523" s="374"/>
      <c r="CV35523" s="376"/>
    </row>
    <row r="35524" spans="1:100">
      <c r="A35524" s="374"/>
      <c r="C35524" s="374"/>
      <c r="CV35524" s="376"/>
    </row>
    <row r="35525" spans="1:100">
      <c r="A35525" s="374"/>
      <c r="C35525" s="374"/>
      <c r="CV35525" s="376"/>
    </row>
    <row r="35526" spans="1:100">
      <c r="A35526" s="374"/>
      <c r="C35526" s="374"/>
      <c r="CV35526" s="376"/>
    </row>
    <row r="35527" spans="1:100">
      <c r="A35527" s="374"/>
      <c r="C35527" s="374"/>
      <c r="CV35527" s="376"/>
    </row>
    <row r="35528" spans="1:100">
      <c r="A35528" s="374"/>
      <c r="C35528" s="374"/>
      <c r="CV35528" s="376"/>
    </row>
    <row r="35529" spans="1:100">
      <c r="A35529" s="374"/>
      <c r="C35529" s="374"/>
      <c r="CV35529" s="376"/>
    </row>
    <row r="35530" spans="1:100">
      <c r="A35530" s="374"/>
      <c r="C35530" s="374"/>
      <c r="CV35530" s="376"/>
    </row>
    <row r="35531" spans="1:100">
      <c r="A35531" s="374"/>
      <c r="C35531" s="374"/>
      <c r="CV35531" s="376"/>
    </row>
    <row r="35532" spans="1:100">
      <c r="A35532" s="374"/>
      <c r="C35532" s="374"/>
      <c r="CV35532" s="376"/>
    </row>
    <row r="35533" spans="1:100">
      <c r="A35533" s="374"/>
      <c r="C35533" s="374"/>
      <c r="CV35533" s="376"/>
    </row>
    <row r="35534" spans="1:100">
      <c r="A35534" s="374"/>
      <c r="C35534" s="374"/>
      <c r="CV35534" s="376"/>
    </row>
    <row r="35535" spans="1:100">
      <c r="A35535" s="374"/>
      <c r="C35535" s="374"/>
      <c r="CV35535" s="376"/>
    </row>
    <row r="35536" spans="1:100">
      <c r="A35536" s="374"/>
      <c r="C35536" s="374"/>
      <c r="CV35536" s="376"/>
    </row>
    <row r="35537" spans="1:100">
      <c r="A35537" s="374"/>
      <c r="C35537" s="374"/>
      <c r="CV35537" s="376"/>
    </row>
    <row r="35538" spans="1:100">
      <c r="A35538" s="374"/>
      <c r="C35538" s="374"/>
      <c r="CV35538" s="376"/>
    </row>
    <row r="35539" spans="1:100">
      <c r="A35539" s="374"/>
      <c r="C35539" s="374"/>
      <c r="CV35539" s="376"/>
    </row>
    <row r="35540" spans="1:100">
      <c r="A35540" s="374"/>
      <c r="C35540" s="374"/>
      <c r="CV35540" s="376"/>
    </row>
    <row r="35541" spans="1:100">
      <c r="A35541" s="374"/>
      <c r="C35541" s="374"/>
      <c r="CV35541" s="376"/>
    </row>
    <row r="35542" spans="1:100">
      <c r="A35542" s="374"/>
      <c r="C35542" s="374"/>
      <c r="CV35542" s="376"/>
    </row>
    <row r="35543" spans="1:100">
      <c r="A35543" s="374"/>
      <c r="C35543" s="374"/>
      <c r="CV35543" s="376"/>
    </row>
    <row r="35544" spans="1:100">
      <c r="A35544" s="374"/>
      <c r="C35544" s="374"/>
      <c r="CV35544" s="376"/>
    </row>
    <row r="35545" spans="1:100">
      <c r="A35545" s="374"/>
      <c r="C35545" s="374"/>
      <c r="CV35545" s="376"/>
    </row>
    <row r="35546" spans="1:100">
      <c r="A35546" s="374"/>
      <c r="C35546" s="374"/>
      <c r="CV35546" s="376"/>
    </row>
    <row r="35547" spans="1:100">
      <c r="A35547" s="374"/>
      <c r="C35547" s="374"/>
      <c r="CV35547" s="376"/>
    </row>
    <row r="35548" spans="1:100">
      <c r="A35548" s="374"/>
      <c r="C35548" s="374"/>
      <c r="CV35548" s="376"/>
    </row>
    <row r="35549" spans="1:100">
      <c r="A35549" s="374"/>
      <c r="C35549" s="374"/>
      <c r="CV35549" s="376"/>
    </row>
    <row r="35550" spans="1:100">
      <c r="A35550" s="374"/>
      <c r="C35550" s="374"/>
      <c r="CV35550" s="376"/>
    </row>
    <row r="35551" spans="1:100">
      <c r="A35551" s="374"/>
      <c r="C35551" s="374"/>
      <c r="CV35551" s="376"/>
    </row>
    <row r="35552" spans="1:100">
      <c r="A35552" s="374"/>
      <c r="C35552" s="374"/>
      <c r="CV35552" s="376"/>
    </row>
    <row r="35553" spans="1:100">
      <c r="A35553" s="374"/>
      <c r="C35553" s="374"/>
      <c r="CV35553" s="376"/>
    </row>
    <row r="35554" spans="1:100">
      <c r="A35554" s="374"/>
      <c r="C35554" s="374"/>
      <c r="CV35554" s="376"/>
    </row>
    <row r="35555" spans="1:100">
      <c r="A35555" s="374"/>
      <c r="C35555" s="374"/>
      <c r="CV35555" s="376"/>
    </row>
    <row r="35556" spans="1:100">
      <c r="A35556" s="374"/>
      <c r="C35556" s="374"/>
      <c r="CV35556" s="376"/>
    </row>
    <row r="35557" spans="1:100">
      <c r="A35557" s="374"/>
      <c r="C35557" s="374"/>
      <c r="CV35557" s="376"/>
    </row>
    <row r="35558" spans="1:100">
      <c r="A35558" s="374"/>
      <c r="C35558" s="374"/>
      <c r="CV35558" s="376"/>
    </row>
    <row r="35559" spans="1:100">
      <c r="A35559" s="374"/>
      <c r="C35559" s="374"/>
      <c r="CV35559" s="376"/>
    </row>
    <row r="35560" spans="1:100">
      <c r="A35560" s="374"/>
      <c r="C35560" s="374"/>
      <c r="CV35560" s="376"/>
    </row>
    <row r="35561" spans="1:100">
      <c r="A35561" s="374"/>
      <c r="C35561" s="374"/>
      <c r="CV35561" s="376"/>
    </row>
    <row r="35562" spans="1:100">
      <c r="A35562" s="374"/>
      <c r="C35562" s="374"/>
      <c r="CV35562" s="376"/>
    </row>
    <row r="35563" spans="1:100">
      <c r="A35563" s="374"/>
      <c r="C35563" s="374"/>
      <c r="CV35563" s="376"/>
    </row>
    <row r="35564" spans="1:100">
      <c r="A35564" s="374"/>
      <c r="C35564" s="374"/>
      <c r="CV35564" s="376"/>
    </row>
    <row r="35565" spans="1:100">
      <c r="A35565" s="374"/>
      <c r="C35565" s="374"/>
      <c r="CV35565" s="376"/>
    </row>
    <row r="35566" spans="1:100">
      <c r="A35566" s="374"/>
      <c r="C35566" s="374"/>
      <c r="CV35566" s="376"/>
    </row>
    <row r="35567" spans="1:100">
      <c r="A35567" s="374"/>
      <c r="C35567" s="374"/>
      <c r="CV35567" s="376"/>
    </row>
    <row r="35568" spans="1:100">
      <c r="A35568" s="374"/>
      <c r="C35568" s="374"/>
      <c r="CV35568" s="376"/>
    </row>
    <row r="35569" spans="1:100">
      <c r="A35569" s="374"/>
      <c r="C35569" s="374"/>
      <c r="CV35569" s="376"/>
    </row>
    <row r="35570" spans="1:100">
      <c r="A35570" s="374"/>
      <c r="C35570" s="374"/>
      <c r="CV35570" s="376"/>
    </row>
    <row r="35571" spans="1:100">
      <c r="A35571" s="374"/>
      <c r="C35571" s="374"/>
      <c r="CV35571" s="376"/>
    </row>
    <row r="35572" spans="1:100">
      <c r="A35572" s="374"/>
      <c r="C35572" s="374"/>
      <c r="CV35572" s="376"/>
    </row>
    <row r="35573" spans="1:100">
      <c r="A35573" s="374"/>
      <c r="C35573" s="374"/>
      <c r="CV35573" s="376"/>
    </row>
    <row r="35574" spans="1:100">
      <c r="A35574" s="374"/>
      <c r="C35574" s="374"/>
      <c r="CV35574" s="376"/>
    </row>
    <row r="35575" spans="1:100">
      <c r="A35575" s="374"/>
      <c r="C35575" s="374"/>
      <c r="CV35575" s="376"/>
    </row>
    <row r="35576" spans="1:100">
      <c r="A35576" s="374"/>
      <c r="C35576" s="374"/>
      <c r="CV35576" s="376"/>
    </row>
    <row r="35577" spans="1:100">
      <c r="A35577" s="374"/>
      <c r="C35577" s="374"/>
      <c r="CV35577" s="376"/>
    </row>
    <row r="35578" spans="1:100">
      <c r="A35578" s="374"/>
      <c r="C35578" s="374"/>
      <c r="CV35578" s="376"/>
    </row>
    <row r="35579" spans="1:100">
      <c r="A35579" s="374"/>
      <c r="C35579" s="374"/>
      <c r="CV35579" s="376"/>
    </row>
    <row r="35580" spans="1:100">
      <c r="A35580" s="374"/>
      <c r="C35580" s="374"/>
      <c r="CV35580" s="376"/>
    </row>
    <row r="35581" spans="1:100">
      <c r="A35581" s="374"/>
      <c r="C35581" s="374"/>
      <c r="CV35581" s="376"/>
    </row>
    <row r="35582" spans="1:100">
      <c r="A35582" s="374"/>
      <c r="C35582" s="374"/>
      <c r="CV35582" s="376"/>
    </row>
    <row r="35583" spans="1:100">
      <c r="A35583" s="374"/>
      <c r="C35583" s="374"/>
      <c r="CV35583" s="376"/>
    </row>
    <row r="35584" spans="1:100">
      <c r="A35584" s="374"/>
      <c r="C35584" s="374"/>
      <c r="CV35584" s="376"/>
    </row>
    <row r="35585" spans="1:100">
      <c r="A35585" s="374"/>
      <c r="C35585" s="374"/>
      <c r="CV35585" s="376"/>
    </row>
    <row r="35586" spans="1:100">
      <c r="A35586" s="374"/>
      <c r="C35586" s="374"/>
      <c r="CV35586" s="376"/>
    </row>
    <row r="35587" spans="1:100">
      <c r="A35587" s="374"/>
      <c r="C35587" s="374"/>
      <c r="CV35587" s="376"/>
    </row>
    <row r="35588" spans="1:100">
      <c r="A35588" s="374"/>
      <c r="C35588" s="374"/>
      <c r="CV35588" s="376"/>
    </row>
    <row r="35589" spans="1:100">
      <c r="A35589" s="374"/>
      <c r="C35589" s="374"/>
      <c r="CV35589" s="376"/>
    </row>
    <row r="35590" spans="1:100">
      <c r="A35590" s="374"/>
      <c r="C35590" s="374"/>
      <c r="CV35590" s="376"/>
    </row>
    <row r="35591" spans="1:100">
      <c r="A35591" s="374"/>
      <c r="C35591" s="374"/>
      <c r="CV35591" s="376"/>
    </row>
    <row r="35592" spans="1:100">
      <c r="A35592" s="374"/>
      <c r="C35592" s="374"/>
      <c r="CV35592" s="376"/>
    </row>
    <row r="35593" spans="1:100">
      <c r="A35593" s="374"/>
      <c r="C35593" s="374"/>
      <c r="CV35593" s="376"/>
    </row>
    <row r="35594" spans="1:100">
      <c r="A35594" s="374"/>
      <c r="C35594" s="374"/>
      <c r="CV35594" s="376"/>
    </row>
    <row r="35595" spans="1:100">
      <c r="A35595" s="374"/>
      <c r="C35595" s="374"/>
      <c r="CV35595" s="376"/>
    </row>
    <row r="35596" spans="1:100">
      <c r="A35596" s="374"/>
      <c r="C35596" s="374"/>
      <c r="CV35596" s="376"/>
    </row>
    <row r="35597" spans="1:100">
      <c r="A35597" s="374"/>
      <c r="C35597" s="374"/>
      <c r="CV35597" s="376"/>
    </row>
    <row r="35598" spans="1:100">
      <c r="A35598" s="374"/>
      <c r="C35598" s="374"/>
      <c r="CV35598" s="376"/>
    </row>
    <row r="35599" spans="1:100">
      <c r="A35599" s="374"/>
      <c r="C35599" s="374"/>
      <c r="CV35599" s="376"/>
    </row>
    <row r="35600" spans="1:100">
      <c r="A35600" s="374"/>
      <c r="C35600" s="374"/>
      <c r="CV35600" s="376"/>
    </row>
    <row r="35601" spans="1:100">
      <c r="A35601" s="374"/>
      <c r="C35601" s="374"/>
      <c r="CV35601" s="376"/>
    </row>
    <row r="35602" spans="1:100">
      <c r="A35602" s="374"/>
      <c r="C35602" s="374"/>
      <c r="CV35602" s="376"/>
    </row>
    <row r="35603" spans="1:100">
      <c r="A35603" s="374"/>
      <c r="C35603" s="374"/>
      <c r="CV35603" s="376"/>
    </row>
    <row r="35604" spans="1:100">
      <c r="A35604" s="374"/>
      <c r="C35604" s="374"/>
      <c r="CV35604" s="376"/>
    </row>
    <row r="35605" spans="1:100">
      <c r="A35605" s="374"/>
      <c r="C35605" s="374"/>
      <c r="CV35605" s="376"/>
    </row>
    <row r="35606" spans="1:100">
      <c r="A35606" s="374"/>
      <c r="C35606" s="374"/>
      <c r="CV35606" s="376"/>
    </row>
    <row r="35607" spans="1:100">
      <c r="A35607" s="374"/>
      <c r="C35607" s="374"/>
      <c r="CV35607" s="376"/>
    </row>
    <row r="35608" spans="1:100">
      <c r="A35608" s="374"/>
      <c r="C35608" s="374"/>
      <c r="CV35608" s="376"/>
    </row>
    <row r="35609" spans="1:100">
      <c r="A35609" s="374"/>
      <c r="C35609" s="374"/>
      <c r="CV35609" s="376"/>
    </row>
    <row r="35610" spans="1:100">
      <c r="A35610" s="374"/>
      <c r="C35610" s="374"/>
      <c r="CV35610" s="376"/>
    </row>
    <row r="35611" spans="1:100">
      <c r="A35611" s="374"/>
      <c r="C35611" s="374"/>
      <c r="CV35611" s="376"/>
    </row>
    <row r="35612" spans="1:100">
      <c r="A35612" s="374"/>
      <c r="C35612" s="374"/>
      <c r="CV35612" s="376"/>
    </row>
    <row r="35613" spans="1:100">
      <c r="A35613" s="374"/>
      <c r="C35613" s="374"/>
      <c r="CV35613" s="376"/>
    </row>
    <row r="35614" spans="1:100">
      <c r="A35614" s="374"/>
      <c r="C35614" s="374"/>
      <c r="CV35614" s="376"/>
    </row>
    <row r="35615" spans="1:100">
      <c r="A35615" s="374"/>
      <c r="C35615" s="374"/>
      <c r="CV35615" s="376"/>
    </row>
    <row r="35616" spans="1:100">
      <c r="A35616" s="374"/>
      <c r="C35616" s="374"/>
      <c r="CV35616" s="376"/>
    </row>
    <row r="35617" spans="1:100">
      <c r="A35617" s="374"/>
      <c r="C35617" s="374"/>
      <c r="CV35617" s="376"/>
    </row>
    <row r="35618" spans="1:100">
      <c r="A35618" s="374"/>
      <c r="C35618" s="374"/>
      <c r="CV35618" s="376"/>
    </row>
    <row r="35619" spans="1:100">
      <c r="A35619" s="374"/>
      <c r="C35619" s="374"/>
      <c r="CV35619" s="376"/>
    </row>
    <row r="35620" spans="1:100">
      <c r="A35620" s="374"/>
      <c r="C35620" s="374"/>
      <c r="CV35620" s="376"/>
    </row>
    <row r="35621" spans="1:100">
      <c r="A35621" s="374"/>
      <c r="C35621" s="374"/>
      <c r="CV35621" s="376"/>
    </row>
    <row r="35622" spans="1:100">
      <c r="A35622" s="374"/>
      <c r="C35622" s="374"/>
      <c r="CV35622" s="376"/>
    </row>
    <row r="35623" spans="1:100">
      <c r="A35623" s="374"/>
      <c r="C35623" s="374"/>
      <c r="CV35623" s="376"/>
    </row>
    <row r="35624" spans="1:100">
      <c r="A35624" s="374"/>
      <c r="C35624" s="374"/>
      <c r="CV35624" s="376"/>
    </row>
    <row r="35625" spans="1:100">
      <c r="A35625" s="374"/>
      <c r="C35625" s="374"/>
      <c r="CV35625" s="376"/>
    </row>
    <row r="35626" spans="1:100">
      <c r="A35626" s="374"/>
      <c r="C35626" s="374"/>
      <c r="CV35626" s="376"/>
    </row>
    <row r="35627" spans="1:100">
      <c r="A35627" s="374"/>
      <c r="C35627" s="374"/>
      <c r="CV35627" s="376"/>
    </row>
    <row r="35628" spans="1:100">
      <c r="A35628" s="374"/>
      <c r="C35628" s="374"/>
      <c r="CV35628" s="376"/>
    </row>
    <row r="35629" spans="1:100">
      <c r="A35629" s="374"/>
      <c r="C35629" s="374"/>
      <c r="CV35629" s="376"/>
    </row>
    <row r="35630" spans="1:100">
      <c r="A35630" s="374"/>
      <c r="C35630" s="374"/>
      <c r="CV35630" s="376"/>
    </row>
    <row r="35631" spans="1:100">
      <c r="A35631" s="374"/>
      <c r="C35631" s="374"/>
      <c r="CV35631" s="376"/>
    </row>
    <row r="35632" spans="1:100">
      <c r="A35632" s="374"/>
      <c r="C35632" s="374"/>
      <c r="CV35632" s="376"/>
    </row>
    <row r="35633" spans="1:100">
      <c r="A35633" s="374"/>
      <c r="C35633" s="374"/>
      <c r="CV35633" s="376"/>
    </row>
    <row r="35634" spans="1:100">
      <c r="A35634" s="374"/>
      <c r="C35634" s="374"/>
      <c r="CV35634" s="376"/>
    </row>
    <row r="35635" spans="1:100">
      <c r="A35635" s="374"/>
      <c r="C35635" s="374"/>
      <c r="CV35635" s="376"/>
    </row>
    <row r="35636" spans="1:100">
      <c r="A35636" s="374"/>
      <c r="C35636" s="374"/>
      <c r="CV35636" s="376"/>
    </row>
    <row r="35637" spans="1:100">
      <c r="A35637" s="374"/>
      <c r="C35637" s="374"/>
      <c r="CV35637" s="376"/>
    </row>
    <row r="35638" spans="1:100">
      <c r="A35638" s="374"/>
      <c r="C35638" s="374"/>
      <c r="CV35638" s="376"/>
    </row>
    <row r="35639" spans="1:100">
      <c r="A35639" s="374"/>
      <c r="C35639" s="374"/>
      <c r="CV35639" s="376"/>
    </row>
    <row r="35640" spans="1:100">
      <c r="A35640" s="374"/>
      <c r="C35640" s="374"/>
      <c r="CV35640" s="376"/>
    </row>
    <row r="35641" spans="1:100">
      <c r="A35641" s="374"/>
      <c r="C35641" s="374"/>
      <c r="CV35641" s="376"/>
    </row>
    <row r="35642" spans="1:100">
      <c r="A35642" s="374"/>
      <c r="C35642" s="374"/>
      <c r="CV35642" s="376"/>
    </row>
    <row r="35643" spans="1:100">
      <c r="A35643" s="374"/>
      <c r="C35643" s="374"/>
      <c r="CV35643" s="376"/>
    </row>
    <row r="35644" spans="1:100">
      <c r="A35644" s="374"/>
      <c r="C35644" s="374"/>
      <c r="CV35644" s="376"/>
    </row>
    <row r="35645" spans="1:100">
      <c r="A35645" s="374"/>
      <c r="C35645" s="374"/>
      <c r="CV35645" s="376"/>
    </row>
    <row r="35646" spans="1:100">
      <c r="A35646" s="374"/>
      <c r="C35646" s="374"/>
      <c r="CV35646" s="376"/>
    </row>
    <row r="35647" spans="1:100">
      <c r="A35647" s="374"/>
      <c r="C35647" s="374"/>
      <c r="CV35647" s="376"/>
    </row>
    <row r="35648" spans="1:100">
      <c r="A35648" s="374"/>
      <c r="C35648" s="374"/>
      <c r="CV35648" s="376"/>
    </row>
    <row r="35649" spans="1:100">
      <c r="A35649" s="374"/>
      <c r="C35649" s="374"/>
      <c r="CV35649" s="376"/>
    </row>
    <row r="35650" spans="1:100">
      <c r="A35650" s="374"/>
      <c r="C35650" s="374"/>
      <c r="CV35650" s="376"/>
    </row>
    <row r="35651" spans="1:100">
      <c r="A35651" s="374"/>
      <c r="C35651" s="374"/>
      <c r="CV35651" s="376"/>
    </row>
    <row r="35652" spans="1:100">
      <c r="A35652" s="374"/>
      <c r="C35652" s="374"/>
      <c r="CV35652" s="376"/>
    </row>
    <row r="35653" spans="1:100">
      <c r="A35653" s="374"/>
      <c r="C35653" s="374"/>
      <c r="CV35653" s="376"/>
    </row>
    <row r="35654" spans="1:100">
      <c r="A35654" s="374"/>
      <c r="C35654" s="374"/>
      <c r="CV35654" s="376"/>
    </row>
    <row r="35655" spans="1:100">
      <c r="A35655" s="374"/>
      <c r="C35655" s="374"/>
      <c r="CV35655" s="376"/>
    </row>
    <row r="35656" spans="1:100">
      <c r="A35656" s="374"/>
      <c r="C35656" s="374"/>
      <c r="CV35656" s="376"/>
    </row>
    <row r="35657" spans="1:100">
      <c r="A35657" s="374"/>
      <c r="C35657" s="374"/>
      <c r="CV35657" s="376"/>
    </row>
    <row r="35658" spans="1:100">
      <c r="A35658" s="374"/>
      <c r="C35658" s="374"/>
      <c r="CV35658" s="376"/>
    </row>
    <row r="35659" spans="1:100">
      <c r="A35659" s="374"/>
      <c r="C35659" s="374"/>
      <c r="CV35659" s="376"/>
    </row>
    <row r="35660" spans="1:100">
      <c r="A35660" s="374"/>
      <c r="C35660" s="374"/>
      <c r="CV35660" s="376"/>
    </row>
    <row r="35661" spans="1:100">
      <c r="A35661" s="374"/>
      <c r="C35661" s="374"/>
      <c r="CV35661" s="376"/>
    </row>
    <row r="35662" spans="1:100">
      <c r="A35662" s="374"/>
      <c r="C35662" s="374"/>
      <c r="CV35662" s="376"/>
    </row>
    <row r="35663" spans="1:100">
      <c r="A35663" s="374"/>
      <c r="C35663" s="374"/>
      <c r="CV35663" s="376"/>
    </row>
    <row r="35664" spans="1:100">
      <c r="A35664" s="374"/>
      <c r="C35664" s="374"/>
      <c r="CV35664" s="376"/>
    </row>
    <row r="35665" spans="1:100">
      <c r="A35665" s="374"/>
      <c r="C35665" s="374"/>
      <c r="CV35665" s="376"/>
    </row>
    <row r="35666" spans="1:100">
      <c r="A35666" s="374"/>
      <c r="C35666" s="374"/>
      <c r="CV35666" s="376"/>
    </row>
    <row r="35667" spans="1:100">
      <c r="A35667" s="374"/>
      <c r="C35667" s="374"/>
      <c r="CV35667" s="376"/>
    </row>
    <row r="35668" spans="1:100">
      <c r="A35668" s="374"/>
      <c r="C35668" s="374"/>
      <c r="CV35668" s="376"/>
    </row>
    <row r="35669" spans="1:100">
      <c r="A35669" s="374"/>
      <c r="C35669" s="374"/>
      <c r="CV35669" s="376"/>
    </row>
    <row r="35670" spans="1:100">
      <c r="A35670" s="374"/>
      <c r="C35670" s="374"/>
      <c r="CV35670" s="376"/>
    </row>
    <row r="35671" spans="1:100">
      <c r="A35671" s="374"/>
      <c r="C35671" s="374"/>
      <c r="CV35671" s="376"/>
    </row>
    <row r="35672" spans="1:100">
      <c r="A35672" s="374"/>
      <c r="C35672" s="374"/>
      <c r="CV35672" s="376"/>
    </row>
    <row r="35673" spans="1:100">
      <c r="A35673" s="374"/>
      <c r="C35673" s="374"/>
      <c r="CV35673" s="376"/>
    </row>
    <row r="35674" spans="1:100">
      <c r="A35674" s="374"/>
      <c r="C35674" s="374"/>
      <c r="CV35674" s="376"/>
    </row>
    <row r="35675" spans="1:100">
      <c r="A35675" s="374"/>
      <c r="C35675" s="374"/>
      <c r="CV35675" s="376"/>
    </row>
    <row r="35676" spans="1:100">
      <c r="A35676" s="374"/>
      <c r="C35676" s="374"/>
      <c r="CV35676" s="376"/>
    </row>
    <row r="35677" spans="1:100">
      <c r="A35677" s="374"/>
      <c r="C35677" s="374"/>
      <c r="CV35677" s="376"/>
    </row>
    <row r="35678" spans="1:100">
      <c r="A35678" s="374"/>
      <c r="C35678" s="374"/>
      <c r="CV35678" s="376"/>
    </row>
    <row r="35679" spans="1:100">
      <c r="A35679" s="374"/>
      <c r="C35679" s="374"/>
      <c r="CV35679" s="376"/>
    </row>
    <row r="35680" spans="1:100">
      <c r="A35680" s="374"/>
      <c r="C35680" s="374"/>
      <c r="CV35680" s="376"/>
    </row>
    <row r="35681" spans="1:100">
      <c r="A35681" s="374"/>
      <c r="C35681" s="374"/>
      <c r="CV35681" s="376"/>
    </row>
    <row r="35682" spans="1:100">
      <c r="A35682" s="374"/>
      <c r="C35682" s="374"/>
      <c r="CV35682" s="376"/>
    </row>
    <row r="35683" spans="1:100">
      <c r="A35683" s="374"/>
      <c r="C35683" s="374"/>
      <c r="CV35683" s="376"/>
    </row>
    <row r="35684" spans="1:100">
      <c r="A35684" s="374"/>
      <c r="C35684" s="374"/>
      <c r="CV35684" s="376"/>
    </row>
    <row r="35685" spans="1:100">
      <c r="A35685" s="374"/>
      <c r="C35685" s="374"/>
      <c r="CV35685" s="376"/>
    </row>
    <row r="35686" spans="1:100">
      <c r="A35686" s="374"/>
      <c r="C35686" s="374"/>
      <c r="CV35686" s="376"/>
    </row>
    <row r="35687" spans="1:100">
      <c r="A35687" s="374"/>
      <c r="C35687" s="374"/>
      <c r="CV35687" s="376"/>
    </row>
    <row r="35688" spans="1:100">
      <c r="A35688" s="374"/>
      <c r="C35688" s="374"/>
      <c r="CV35688" s="376"/>
    </row>
    <row r="35689" spans="1:100">
      <c r="A35689" s="374"/>
      <c r="C35689" s="374"/>
      <c r="CV35689" s="376"/>
    </row>
    <row r="35690" spans="1:100">
      <c r="A35690" s="374"/>
      <c r="C35690" s="374"/>
      <c r="CV35690" s="376"/>
    </row>
    <row r="35691" spans="1:100">
      <c r="A35691" s="374"/>
      <c r="C35691" s="374"/>
      <c r="CV35691" s="376"/>
    </row>
    <row r="35692" spans="1:100">
      <c r="A35692" s="374"/>
      <c r="C35692" s="374"/>
      <c r="CV35692" s="376"/>
    </row>
    <row r="35693" spans="1:100">
      <c r="A35693" s="374"/>
      <c r="C35693" s="374"/>
      <c r="CV35693" s="376"/>
    </row>
    <row r="35694" spans="1:100">
      <c r="A35694" s="374"/>
      <c r="C35694" s="374"/>
      <c r="CV35694" s="376"/>
    </row>
    <row r="35695" spans="1:100">
      <c r="A35695" s="374"/>
      <c r="C35695" s="374"/>
      <c r="CV35695" s="376"/>
    </row>
    <row r="35696" spans="1:100">
      <c r="A35696" s="374"/>
      <c r="C35696" s="374"/>
      <c r="CV35696" s="376"/>
    </row>
    <row r="35697" spans="1:100">
      <c r="A35697" s="374"/>
      <c r="C35697" s="374"/>
      <c r="CV35697" s="376"/>
    </row>
    <row r="35698" spans="1:100">
      <c r="A35698" s="374"/>
      <c r="C35698" s="374"/>
      <c r="CV35698" s="376"/>
    </row>
    <row r="35699" spans="1:100">
      <c r="A35699" s="374"/>
      <c r="C35699" s="374"/>
      <c r="CV35699" s="376"/>
    </row>
    <row r="35700" spans="1:100">
      <c r="A35700" s="374"/>
      <c r="C35700" s="374"/>
      <c r="CV35700" s="376"/>
    </row>
    <row r="35701" spans="1:100">
      <c r="A35701" s="374"/>
      <c r="C35701" s="374"/>
      <c r="CV35701" s="376"/>
    </row>
    <row r="35702" spans="1:100">
      <c r="A35702" s="374"/>
      <c r="C35702" s="374"/>
      <c r="CV35702" s="376"/>
    </row>
    <row r="35703" spans="1:100">
      <c r="A35703" s="374"/>
      <c r="C35703" s="374"/>
      <c r="CV35703" s="376"/>
    </row>
    <row r="35704" spans="1:100">
      <c r="A35704" s="374"/>
      <c r="C35704" s="374"/>
      <c r="CV35704" s="376"/>
    </row>
    <row r="35705" spans="1:100">
      <c r="A35705" s="374"/>
      <c r="C35705" s="374"/>
      <c r="CV35705" s="376"/>
    </row>
    <row r="35706" spans="1:100">
      <c r="A35706" s="374"/>
      <c r="C35706" s="374"/>
      <c r="CV35706" s="376"/>
    </row>
    <row r="35707" spans="1:100">
      <c r="A35707" s="374"/>
      <c r="C35707" s="374"/>
      <c r="CV35707" s="376"/>
    </row>
    <row r="35708" spans="1:100">
      <c r="A35708" s="374"/>
      <c r="C35708" s="374"/>
      <c r="CV35708" s="376"/>
    </row>
    <row r="35709" spans="1:100">
      <c r="A35709" s="374"/>
      <c r="C35709" s="374"/>
      <c r="CV35709" s="376"/>
    </row>
    <row r="35710" spans="1:100">
      <c r="A35710" s="374"/>
      <c r="C35710" s="374"/>
      <c r="CV35710" s="376"/>
    </row>
    <row r="35711" spans="1:100">
      <c r="A35711" s="374"/>
      <c r="C35711" s="374"/>
      <c r="CV35711" s="376"/>
    </row>
    <row r="35712" spans="1:100">
      <c r="A35712" s="374"/>
      <c r="C35712" s="374"/>
      <c r="CV35712" s="376"/>
    </row>
    <row r="35713" spans="1:100">
      <c r="A35713" s="374"/>
      <c r="C35713" s="374"/>
      <c r="CV35713" s="376"/>
    </row>
    <row r="35714" spans="1:100">
      <c r="A35714" s="374"/>
      <c r="C35714" s="374"/>
      <c r="CV35714" s="376"/>
    </row>
    <row r="35715" spans="1:100">
      <c r="A35715" s="374"/>
      <c r="C35715" s="374"/>
      <c r="CV35715" s="376"/>
    </row>
    <row r="35716" spans="1:100">
      <c r="A35716" s="374"/>
      <c r="C35716" s="374"/>
      <c r="CV35716" s="376"/>
    </row>
    <row r="35717" spans="1:100">
      <c r="A35717" s="374"/>
      <c r="C35717" s="374"/>
      <c r="CV35717" s="376"/>
    </row>
    <row r="35718" spans="1:100">
      <c r="A35718" s="374"/>
      <c r="C35718" s="374"/>
      <c r="CV35718" s="376"/>
    </row>
    <row r="35719" spans="1:100">
      <c r="A35719" s="374"/>
      <c r="C35719" s="374"/>
      <c r="CV35719" s="376"/>
    </row>
    <row r="35720" spans="1:100">
      <c r="A35720" s="374"/>
      <c r="C35720" s="374"/>
      <c r="CV35720" s="376"/>
    </row>
    <row r="35721" spans="1:100">
      <c r="A35721" s="374"/>
      <c r="C35721" s="374"/>
      <c r="CV35721" s="376"/>
    </row>
    <row r="35722" spans="1:100">
      <c r="A35722" s="374"/>
      <c r="C35722" s="374"/>
      <c r="CV35722" s="376"/>
    </row>
    <row r="35723" spans="1:100">
      <c r="A35723" s="374"/>
      <c r="C35723" s="374"/>
      <c r="CV35723" s="376"/>
    </row>
    <row r="35724" spans="1:100">
      <c r="A35724" s="374"/>
      <c r="C35724" s="374"/>
      <c r="CV35724" s="376"/>
    </row>
    <row r="35725" spans="1:100">
      <c r="A35725" s="374"/>
      <c r="C35725" s="374"/>
      <c r="CV35725" s="376"/>
    </row>
    <row r="35726" spans="1:100">
      <c r="A35726" s="374"/>
      <c r="C35726" s="374"/>
      <c r="CV35726" s="376"/>
    </row>
    <row r="35727" spans="1:100">
      <c r="A35727" s="374"/>
      <c r="C35727" s="374"/>
      <c r="CV35727" s="376"/>
    </row>
    <row r="35728" spans="1:100">
      <c r="A35728" s="374"/>
      <c r="C35728" s="374"/>
      <c r="CV35728" s="376"/>
    </row>
    <row r="35729" spans="1:100">
      <c r="A35729" s="374"/>
      <c r="C35729" s="374"/>
      <c r="CV35729" s="376"/>
    </row>
    <row r="35730" spans="1:100">
      <c r="A35730" s="374"/>
      <c r="C35730" s="374"/>
      <c r="CV35730" s="376"/>
    </row>
    <row r="35731" spans="1:100">
      <c r="A35731" s="374"/>
      <c r="C35731" s="374"/>
      <c r="CV35731" s="376"/>
    </row>
    <row r="35732" spans="1:100">
      <c r="A35732" s="374"/>
      <c r="C35732" s="374"/>
      <c r="CV35732" s="376"/>
    </row>
    <row r="35733" spans="1:100">
      <c r="A35733" s="374"/>
      <c r="C35733" s="374"/>
      <c r="CV35733" s="376"/>
    </row>
    <row r="35734" spans="1:100">
      <c r="A35734" s="374"/>
      <c r="C35734" s="374"/>
      <c r="CV35734" s="376"/>
    </row>
    <row r="35735" spans="1:100">
      <c r="A35735" s="374"/>
      <c r="C35735" s="374"/>
      <c r="CV35735" s="376"/>
    </row>
    <row r="35736" spans="1:100">
      <c r="A35736" s="374"/>
      <c r="C35736" s="374"/>
      <c r="CV35736" s="376"/>
    </row>
    <row r="35737" spans="1:100">
      <c r="A35737" s="374"/>
      <c r="C35737" s="374"/>
      <c r="CV35737" s="376"/>
    </row>
    <row r="35738" spans="1:100">
      <c r="A35738" s="374"/>
      <c r="C35738" s="374"/>
      <c r="CV35738" s="376"/>
    </row>
    <row r="35739" spans="1:100">
      <c r="A35739" s="374"/>
      <c r="C35739" s="374"/>
      <c r="CV35739" s="376"/>
    </row>
    <row r="35740" spans="1:100">
      <c r="A35740" s="374"/>
      <c r="C35740" s="374"/>
      <c r="CV35740" s="376"/>
    </row>
    <row r="35741" spans="1:100">
      <c r="A35741" s="374"/>
      <c r="C35741" s="374"/>
      <c r="CV35741" s="376"/>
    </row>
    <row r="35742" spans="1:100">
      <c r="A35742" s="374"/>
      <c r="C35742" s="374"/>
      <c r="CV35742" s="376"/>
    </row>
    <row r="35743" spans="1:100">
      <c r="A35743" s="374"/>
      <c r="C35743" s="374"/>
      <c r="CV35743" s="376"/>
    </row>
    <row r="35744" spans="1:100">
      <c r="A35744" s="374"/>
      <c r="C35744" s="374"/>
      <c r="CV35744" s="376"/>
    </row>
    <row r="35745" spans="1:100">
      <c r="A35745" s="374"/>
      <c r="C35745" s="374"/>
      <c r="CV35745" s="376"/>
    </row>
    <row r="35746" spans="1:100">
      <c r="A35746" s="374"/>
      <c r="C35746" s="374"/>
      <c r="CV35746" s="376"/>
    </row>
    <row r="35747" spans="1:100">
      <c r="A35747" s="374"/>
      <c r="C35747" s="374"/>
      <c r="CV35747" s="376"/>
    </row>
    <row r="35748" spans="1:100">
      <c r="A35748" s="374"/>
      <c r="C35748" s="374"/>
      <c r="CV35748" s="376"/>
    </row>
    <row r="35749" spans="1:100">
      <c r="A35749" s="374"/>
      <c r="C35749" s="374"/>
      <c r="CV35749" s="376"/>
    </row>
    <row r="35750" spans="1:100">
      <c r="A35750" s="374"/>
      <c r="C35750" s="374"/>
      <c r="CV35750" s="376"/>
    </row>
    <row r="35751" spans="1:100">
      <c r="A35751" s="374"/>
      <c r="C35751" s="374"/>
      <c r="CV35751" s="376"/>
    </row>
    <row r="35752" spans="1:100">
      <c r="A35752" s="374"/>
      <c r="C35752" s="374"/>
      <c r="CV35752" s="376"/>
    </row>
    <row r="35753" spans="1:100">
      <c r="A35753" s="374"/>
      <c r="C35753" s="374"/>
      <c r="CV35753" s="376"/>
    </row>
    <row r="35754" spans="1:100">
      <c r="A35754" s="374"/>
      <c r="C35754" s="374"/>
      <c r="CV35754" s="376"/>
    </row>
    <row r="35755" spans="1:100">
      <c r="A35755" s="374"/>
      <c r="C35755" s="374"/>
      <c r="CV35755" s="376"/>
    </row>
    <row r="35756" spans="1:100">
      <c r="A35756" s="374"/>
      <c r="C35756" s="374"/>
      <c r="CV35756" s="376"/>
    </row>
    <row r="35757" spans="1:100">
      <c r="A35757" s="374"/>
      <c r="C35757" s="374"/>
      <c r="CV35757" s="376"/>
    </row>
    <row r="35758" spans="1:100">
      <c r="A35758" s="374"/>
      <c r="C35758" s="374"/>
      <c r="CV35758" s="376"/>
    </row>
    <row r="35759" spans="1:100">
      <c r="A35759" s="374"/>
      <c r="C35759" s="374"/>
      <c r="CV35759" s="376"/>
    </row>
    <row r="35760" spans="1:100">
      <c r="A35760" s="374"/>
      <c r="C35760" s="374"/>
      <c r="CV35760" s="376"/>
    </row>
    <row r="35761" spans="1:100">
      <c r="A35761" s="374"/>
      <c r="C35761" s="374"/>
      <c r="CV35761" s="376"/>
    </row>
    <row r="35762" spans="1:100">
      <c r="A35762" s="374"/>
      <c r="C35762" s="374"/>
      <c r="CV35762" s="376"/>
    </row>
    <row r="35763" spans="1:100">
      <c r="A35763" s="374"/>
      <c r="C35763" s="374"/>
      <c r="CV35763" s="376"/>
    </row>
    <row r="35764" spans="1:100">
      <c r="A35764" s="374"/>
      <c r="C35764" s="374"/>
      <c r="CV35764" s="376"/>
    </row>
    <row r="35765" spans="1:100">
      <c r="A35765" s="374"/>
      <c r="C35765" s="374"/>
      <c r="CV35765" s="376"/>
    </row>
    <row r="35766" spans="1:100">
      <c r="A35766" s="374"/>
      <c r="C35766" s="374"/>
      <c r="CV35766" s="376"/>
    </row>
    <row r="35767" spans="1:100">
      <c r="A35767" s="374"/>
      <c r="C35767" s="374"/>
      <c r="CV35767" s="376"/>
    </row>
    <row r="35768" spans="1:100">
      <c r="A35768" s="374"/>
      <c r="C35768" s="374"/>
      <c r="CV35768" s="376"/>
    </row>
    <row r="35769" spans="1:100">
      <c r="A35769" s="374"/>
      <c r="C35769" s="374"/>
      <c r="CV35769" s="376"/>
    </row>
    <row r="35770" spans="1:100">
      <c r="A35770" s="374"/>
      <c r="C35770" s="374"/>
      <c r="CV35770" s="376"/>
    </row>
    <row r="35771" spans="1:100">
      <c r="A35771" s="374"/>
      <c r="C35771" s="374"/>
      <c r="CV35771" s="376"/>
    </row>
    <row r="35772" spans="1:100">
      <c r="A35772" s="374"/>
      <c r="C35772" s="374"/>
      <c r="CV35772" s="376"/>
    </row>
    <row r="35773" spans="1:100">
      <c r="A35773" s="374"/>
      <c r="C35773" s="374"/>
      <c r="CV35773" s="376"/>
    </row>
    <row r="35774" spans="1:100">
      <c r="A35774" s="374"/>
      <c r="C35774" s="374"/>
      <c r="CV35774" s="376"/>
    </row>
    <row r="35775" spans="1:100">
      <c r="A35775" s="374"/>
      <c r="C35775" s="374"/>
      <c r="CV35775" s="376"/>
    </row>
    <row r="35776" spans="1:100">
      <c r="A35776" s="374"/>
      <c r="C35776" s="374"/>
      <c r="CV35776" s="376"/>
    </row>
    <row r="35777" spans="1:100">
      <c r="A35777" s="374"/>
      <c r="C35777" s="374"/>
      <c r="CV35777" s="376"/>
    </row>
    <row r="35778" spans="1:100">
      <c r="A35778" s="374"/>
      <c r="C35778" s="374"/>
      <c r="CV35778" s="376"/>
    </row>
    <row r="35779" spans="1:100">
      <c r="A35779" s="374"/>
      <c r="C35779" s="374"/>
      <c r="CV35779" s="376"/>
    </row>
    <row r="35780" spans="1:100">
      <c r="A35780" s="374"/>
      <c r="C35780" s="374"/>
      <c r="CV35780" s="376"/>
    </row>
    <row r="35781" spans="1:100">
      <c r="A35781" s="374"/>
      <c r="C35781" s="374"/>
      <c r="CV35781" s="376"/>
    </row>
    <row r="35782" spans="1:100">
      <c r="A35782" s="374"/>
      <c r="C35782" s="374"/>
      <c r="CV35782" s="376"/>
    </row>
    <row r="35783" spans="1:100">
      <c r="A35783" s="374"/>
      <c r="C35783" s="374"/>
      <c r="CV35783" s="376"/>
    </row>
    <row r="35784" spans="1:100">
      <c r="A35784" s="374"/>
      <c r="C35784" s="374"/>
      <c r="CV35784" s="376"/>
    </row>
    <row r="35785" spans="1:100">
      <c r="A35785" s="374"/>
      <c r="C35785" s="374"/>
      <c r="CV35785" s="376"/>
    </row>
    <row r="35786" spans="1:100">
      <c r="A35786" s="374"/>
      <c r="C35786" s="374"/>
      <c r="CV35786" s="376"/>
    </row>
    <row r="35787" spans="1:100">
      <c r="A35787" s="374"/>
      <c r="C35787" s="374"/>
      <c r="CV35787" s="376"/>
    </row>
    <row r="35788" spans="1:100">
      <c r="A35788" s="374"/>
      <c r="C35788" s="374"/>
      <c r="CV35788" s="376"/>
    </row>
    <row r="35789" spans="1:100">
      <c r="A35789" s="374"/>
      <c r="C35789" s="374"/>
      <c r="CV35789" s="376"/>
    </row>
    <row r="35790" spans="1:100">
      <c r="A35790" s="374"/>
      <c r="C35790" s="374"/>
      <c r="CV35790" s="376"/>
    </row>
    <row r="35791" spans="1:100">
      <c r="A35791" s="374"/>
      <c r="C35791" s="374"/>
      <c r="CV35791" s="376"/>
    </row>
    <row r="35792" spans="1:100">
      <c r="A35792" s="374"/>
      <c r="C35792" s="374"/>
      <c r="CV35792" s="376"/>
    </row>
    <row r="35793" spans="1:100">
      <c r="A35793" s="374"/>
      <c r="C35793" s="374"/>
      <c r="CV35793" s="376"/>
    </row>
    <row r="35794" spans="1:100">
      <c r="A35794" s="374"/>
      <c r="C35794" s="374"/>
      <c r="CV35794" s="376"/>
    </row>
    <row r="35795" spans="1:100">
      <c r="A35795" s="374"/>
      <c r="C35795" s="374"/>
      <c r="CV35795" s="376"/>
    </row>
    <row r="35796" spans="1:100">
      <c r="A35796" s="374"/>
      <c r="C35796" s="374"/>
      <c r="CV35796" s="376"/>
    </row>
    <row r="35797" spans="1:100">
      <c r="A35797" s="374"/>
      <c r="C35797" s="374"/>
      <c r="CV35797" s="376"/>
    </row>
    <row r="35798" spans="1:100">
      <c r="A35798" s="374"/>
      <c r="C35798" s="374"/>
      <c r="CV35798" s="376"/>
    </row>
    <row r="35799" spans="1:100">
      <c r="A35799" s="374"/>
      <c r="C35799" s="374"/>
      <c r="CV35799" s="376"/>
    </row>
    <row r="35800" spans="1:100">
      <c r="A35800" s="374"/>
      <c r="C35800" s="374"/>
      <c r="CV35800" s="376"/>
    </row>
    <row r="35801" spans="1:100">
      <c r="A35801" s="374"/>
      <c r="C35801" s="374"/>
      <c r="CV35801" s="376"/>
    </row>
    <row r="35802" spans="1:100">
      <c r="A35802" s="374"/>
      <c r="C35802" s="374"/>
      <c r="CV35802" s="376"/>
    </row>
    <row r="35803" spans="1:100">
      <c r="A35803" s="374"/>
      <c r="C35803" s="374"/>
      <c r="CV35803" s="376"/>
    </row>
    <row r="35804" spans="1:100">
      <c r="A35804" s="374"/>
      <c r="C35804" s="374"/>
      <c r="CV35804" s="376"/>
    </row>
    <row r="35805" spans="1:100">
      <c r="A35805" s="374"/>
      <c r="C35805" s="374"/>
      <c r="CV35805" s="376"/>
    </row>
    <row r="35806" spans="1:100">
      <c r="A35806" s="374"/>
      <c r="C35806" s="374"/>
      <c r="CV35806" s="376"/>
    </row>
    <row r="35807" spans="1:100">
      <c r="A35807" s="374"/>
      <c r="C35807" s="374"/>
      <c r="CV35807" s="376"/>
    </row>
    <row r="35808" spans="1:100">
      <c r="A35808" s="374"/>
      <c r="C35808" s="374"/>
      <c r="CV35808" s="376"/>
    </row>
    <row r="35809" spans="1:100">
      <c r="A35809" s="374"/>
      <c r="C35809" s="374"/>
      <c r="CV35809" s="376"/>
    </row>
    <row r="35810" spans="1:100">
      <c r="A35810" s="374"/>
      <c r="C35810" s="374"/>
      <c r="CV35810" s="376"/>
    </row>
    <row r="35811" spans="1:100">
      <c r="A35811" s="374"/>
      <c r="C35811" s="374"/>
      <c r="CV35811" s="376"/>
    </row>
    <row r="35812" spans="1:100">
      <c r="A35812" s="374"/>
      <c r="C35812" s="374"/>
      <c r="CV35812" s="376"/>
    </row>
    <row r="35813" spans="1:100">
      <c r="A35813" s="374"/>
      <c r="C35813" s="374"/>
      <c r="CV35813" s="376"/>
    </row>
    <row r="35814" spans="1:100">
      <c r="A35814" s="374"/>
      <c r="C35814" s="374"/>
      <c r="CV35814" s="376"/>
    </row>
    <row r="35815" spans="1:100">
      <c r="A35815" s="374"/>
      <c r="C35815" s="374"/>
      <c r="CV35815" s="376"/>
    </row>
    <row r="35816" spans="1:100">
      <c r="A35816" s="374"/>
      <c r="C35816" s="374"/>
      <c r="CV35816" s="376"/>
    </row>
    <row r="35817" spans="1:100">
      <c r="A35817" s="374"/>
      <c r="C35817" s="374"/>
      <c r="CV35817" s="376"/>
    </row>
    <row r="35818" spans="1:100">
      <c r="A35818" s="374"/>
      <c r="C35818" s="374"/>
      <c r="CV35818" s="376"/>
    </row>
    <row r="35819" spans="1:100">
      <c r="A35819" s="374"/>
      <c r="C35819" s="374"/>
      <c r="CV35819" s="376"/>
    </row>
    <row r="35820" spans="1:100">
      <c r="A35820" s="374"/>
      <c r="C35820" s="374"/>
      <c r="CV35820" s="376"/>
    </row>
    <row r="35821" spans="1:100">
      <c r="A35821" s="374"/>
      <c r="C35821" s="374"/>
      <c r="CV35821" s="376"/>
    </row>
    <row r="35822" spans="1:100">
      <c r="A35822" s="374"/>
      <c r="C35822" s="374"/>
      <c r="CV35822" s="376"/>
    </row>
    <row r="35823" spans="1:100">
      <c r="A35823" s="374"/>
      <c r="C35823" s="374"/>
      <c r="CV35823" s="376"/>
    </row>
    <row r="35824" spans="1:100">
      <c r="A35824" s="374"/>
      <c r="C35824" s="374"/>
      <c r="CV35824" s="376"/>
    </row>
    <row r="35825" spans="1:100">
      <c r="A35825" s="374"/>
      <c r="C35825" s="374"/>
      <c r="CV35825" s="376"/>
    </row>
    <row r="35826" spans="1:100">
      <c r="A35826" s="374"/>
      <c r="C35826" s="374"/>
      <c r="CV35826" s="376"/>
    </row>
    <row r="35827" spans="1:100">
      <c r="A35827" s="374"/>
      <c r="C35827" s="374"/>
      <c r="CV35827" s="376"/>
    </row>
    <row r="35828" spans="1:100">
      <c r="A35828" s="374"/>
      <c r="C35828" s="374"/>
      <c r="CV35828" s="376"/>
    </row>
    <row r="35829" spans="1:100">
      <c r="A35829" s="374"/>
      <c r="C35829" s="374"/>
      <c r="CV35829" s="376"/>
    </row>
    <row r="35830" spans="1:100">
      <c r="A35830" s="374"/>
      <c r="C35830" s="374"/>
      <c r="CV35830" s="376"/>
    </row>
    <row r="35831" spans="1:100">
      <c r="A35831" s="374"/>
      <c r="C35831" s="374"/>
      <c r="CV35831" s="376"/>
    </row>
    <row r="35832" spans="1:100">
      <c r="A35832" s="374"/>
      <c r="C35832" s="374"/>
      <c r="CV35832" s="376"/>
    </row>
    <row r="35833" spans="1:100">
      <c r="A35833" s="374"/>
      <c r="C35833" s="374"/>
      <c r="CV35833" s="376"/>
    </row>
    <row r="35834" spans="1:100">
      <c r="A35834" s="374"/>
      <c r="C35834" s="374"/>
      <c r="CV35834" s="376"/>
    </row>
    <row r="35835" spans="1:100">
      <c r="A35835" s="374"/>
      <c r="C35835" s="374"/>
      <c r="CV35835" s="376"/>
    </row>
    <row r="35836" spans="1:100">
      <c r="A35836" s="374"/>
      <c r="C35836" s="374"/>
      <c r="CV35836" s="376"/>
    </row>
    <row r="35837" spans="1:100">
      <c r="A35837" s="374"/>
      <c r="C35837" s="374"/>
      <c r="CV35837" s="376"/>
    </row>
    <row r="35838" spans="1:100">
      <c r="A35838" s="374"/>
      <c r="C35838" s="374"/>
      <c r="CV35838" s="376"/>
    </row>
    <row r="35839" spans="1:100">
      <c r="A35839" s="374"/>
      <c r="C35839" s="374"/>
      <c r="CV35839" s="376"/>
    </row>
    <row r="35840" spans="1:100">
      <c r="A35840" s="374"/>
      <c r="C35840" s="374"/>
      <c r="CV35840" s="376"/>
    </row>
    <row r="35841" spans="1:100">
      <c r="A35841" s="374"/>
      <c r="C35841" s="374"/>
      <c r="CV35841" s="376"/>
    </row>
    <row r="35842" spans="1:100">
      <c r="A35842" s="374"/>
      <c r="C35842" s="374"/>
      <c r="CV35842" s="376"/>
    </row>
    <row r="35843" spans="1:100">
      <c r="A35843" s="374"/>
      <c r="C35843" s="374"/>
      <c r="CV35843" s="376"/>
    </row>
    <row r="35844" spans="1:100">
      <c r="A35844" s="374"/>
      <c r="C35844" s="374"/>
      <c r="CV35844" s="376"/>
    </row>
    <row r="35845" spans="1:100">
      <c r="A35845" s="374"/>
      <c r="C35845" s="374"/>
      <c r="CV35845" s="376"/>
    </row>
    <row r="35846" spans="1:100">
      <c r="A35846" s="374"/>
      <c r="C35846" s="374"/>
      <c r="CV35846" s="376"/>
    </row>
    <row r="35847" spans="1:100">
      <c r="A35847" s="374"/>
      <c r="C35847" s="374"/>
      <c r="CV35847" s="376"/>
    </row>
    <row r="35848" spans="1:100">
      <c r="A35848" s="374"/>
      <c r="C35848" s="374"/>
      <c r="CV35848" s="376"/>
    </row>
    <row r="35849" spans="1:100">
      <c r="A35849" s="374"/>
      <c r="C35849" s="374"/>
      <c r="CV35849" s="376"/>
    </row>
    <row r="35850" spans="1:100">
      <c r="A35850" s="374"/>
      <c r="C35850" s="374"/>
      <c r="CV35850" s="376"/>
    </row>
    <row r="35851" spans="1:100">
      <c r="A35851" s="374"/>
      <c r="C35851" s="374"/>
      <c r="CV35851" s="376"/>
    </row>
    <row r="35852" spans="1:100">
      <c r="A35852" s="374"/>
      <c r="C35852" s="374"/>
      <c r="CV35852" s="376"/>
    </row>
    <row r="35853" spans="1:100">
      <c r="A35853" s="374"/>
      <c r="C35853" s="374"/>
      <c r="CV35853" s="376"/>
    </row>
    <row r="35854" spans="1:100">
      <c r="A35854" s="374"/>
      <c r="C35854" s="374"/>
      <c r="CV35854" s="376"/>
    </row>
    <row r="35855" spans="1:100">
      <c r="A35855" s="374"/>
      <c r="C35855" s="374"/>
      <c r="CV35855" s="376"/>
    </row>
    <row r="35856" spans="1:100">
      <c r="A35856" s="374"/>
      <c r="C35856" s="374"/>
      <c r="CV35856" s="376"/>
    </row>
    <row r="35857" spans="1:100">
      <c r="A35857" s="374"/>
      <c r="C35857" s="374"/>
      <c r="CV35857" s="376"/>
    </row>
    <row r="35858" spans="1:100">
      <c r="A35858" s="374"/>
      <c r="C35858" s="374"/>
      <c r="CV35858" s="376"/>
    </row>
    <row r="35859" spans="1:100">
      <c r="A35859" s="374"/>
      <c r="C35859" s="374"/>
      <c r="CV35859" s="376"/>
    </row>
    <row r="35860" spans="1:100">
      <c r="A35860" s="374"/>
      <c r="C35860" s="374"/>
      <c r="CV35860" s="376"/>
    </row>
    <row r="35861" spans="1:100">
      <c r="A35861" s="374"/>
      <c r="C35861" s="374"/>
      <c r="CV35861" s="376"/>
    </row>
    <row r="35862" spans="1:100">
      <c r="A35862" s="374"/>
      <c r="C35862" s="374"/>
      <c r="CV35862" s="376"/>
    </row>
    <row r="35863" spans="1:100">
      <c r="A35863" s="374"/>
      <c r="C35863" s="374"/>
      <c r="CV35863" s="376"/>
    </row>
    <row r="35864" spans="1:100">
      <c r="A35864" s="374"/>
      <c r="C35864" s="374"/>
      <c r="CV35864" s="376"/>
    </row>
    <row r="35865" spans="1:100">
      <c r="A35865" s="374"/>
      <c r="C35865" s="374"/>
      <c r="CV35865" s="376"/>
    </row>
    <row r="35866" spans="1:100">
      <c r="A35866" s="374"/>
      <c r="C35866" s="374"/>
      <c r="CV35866" s="376"/>
    </row>
    <row r="35867" spans="1:100">
      <c r="A35867" s="374"/>
      <c r="C35867" s="374"/>
      <c r="CV35867" s="376"/>
    </row>
    <row r="35868" spans="1:100">
      <c r="A35868" s="374"/>
      <c r="C35868" s="374"/>
      <c r="CV35868" s="376"/>
    </row>
    <row r="35869" spans="1:100">
      <c r="A35869" s="374"/>
      <c r="C35869" s="374"/>
      <c r="CV35869" s="376"/>
    </row>
    <row r="35870" spans="1:100">
      <c r="A35870" s="374"/>
      <c r="C35870" s="374"/>
      <c r="CV35870" s="376"/>
    </row>
    <row r="35871" spans="1:100">
      <c r="A35871" s="374"/>
      <c r="C35871" s="374"/>
      <c r="CV35871" s="376"/>
    </row>
    <row r="35872" spans="1:100">
      <c r="A35872" s="374"/>
      <c r="C35872" s="374"/>
      <c r="CV35872" s="376"/>
    </row>
    <row r="35873" spans="1:100">
      <c r="A35873" s="374"/>
      <c r="C35873" s="374"/>
      <c r="CV35873" s="376"/>
    </row>
    <row r="35874" spans="1:100">
      <c r="A35874" s="374"/>
      <c r="C35874" s="374"/>
      <c r="CV35874" s="376"/>
    </row>
    <row r="35875" spans="1:100">
      <c r="A35875" s="374"/>
      <c r="C35875" s="374"/>
      <c r="CV35875" s="376"/>
    </row>
    <row r="35876" spans="1:100">
      <c r="A35876" s="374"/>
      <c r="C35876" s="374"/>
      <c r="CV35876" s="376"/>
    </row>
    <row r="35877" spans="1:100">
      <c r="A35877" s="374"/>
      <c r="C35877" s="374"/>
      <c r="CV35877" s="376"/>
    </row>
    <row r="35878" spans="1:100">
      <c r="A35878" s="374"/>
      <c r="C35878" s="374"/>
      <c r="CV35878" s="376"/>
    </row>
    <row r="35879" spans="1:100">
      <c r="A35879" s="374"/>
      <c r="C35879" s="374"/>
      <c r="CV35879" s="376"/>
    </row>
    <row r="35880" spans="1:100">
      <c r="A35880" s="374"/>
      <c r="C35880" s="374"/>
      <c r="CV35880" s="376"/>
    </row>
    <row r="35881" spans="1:100">
      <c r="A35881" s="374"/>
      <c r="C35881" s="374"/>
      <c r="CV35881" s="376"/>
    </row>
    <row r="35882" spans="1:100">
      <c r="A35882" s="374"/>
      <c r="C35882" s="374"/>
      <c r="CV35882" s="376"/>
    </row>
    <row r="35883" spans="1:100">
      <c r="A35883" s="374"/>
      <c r="C35883" s="374"/>
      <c r="CV35883" s="376"/>
    </row>
    <row r="35884" spans="1:100">
      <c r="A35884" s="374"/>
      <c r="C35884" s="374"/>
      <c r="CV35884" s="376"/>
    </row>
    <row r="35885" spans="1:100">
      <c r="A35885" s="374"/>
      <c r="C35885" s="374"/>
      <c r="CV35885" s="376"/>
    </row>
    <row r="35886" spans="1:100">
      <c r="A35886" s="374"/>
      <c r="C35886" s="374"/>
      <c r="CV35886" s="376"/>
    </row>
    <row r="35887" spans="1:100">
      <c r="A35887" s="374"/>
      <c r="C35887" s="374"/>
      <c r="CV35887" s="376"/>
    </row>
    <row r="35888" spans="1:100">
      <c r="A35888" s="374"/>
      <c r="C35888" s="374"/>
      <c r="CV35888" s="376"/>
    </row>
    <row r="35889" spans="1:100">
      <c r="A35889" s="374"/>
      <c r="C35889" s="374"/>
      <c r="CV35889" s="376"/>
    </row>
    <row r="35890" spans="1:100">
      <c r="A35890" s="374"/>
      <c r="C35890" s="374"/>
      <c r="CV35890" s="376"/>
    </row>
    <row r="35891" spans="1:100">
      <c r="A35891" s="374"/>
      <c r="C35891" s="374"/>
      <c r="CV35891" s="376"/>
    </row>
    <row r="35892" spans="1:100">
      <c r="A35892" s="374"/>
      <c r="C35892" s="374"/>
      <c r="CV35892" s="376"/>
    </row>
    <row r="35893" spans="1:100">
      <c r="A35893" s="374"/>
      <c r="C35893" s="374"/>
      <c r="CV35893" s="376"/>
    </row>
    <row r="35894" spans="1:100">
      <c r="A35894" s="374"/>
      <c r="C35894" s="374"/>
      <c r="CV35894" s="376"/>
    </row>
    <row r="35895" spans="1:100">
      <c r="A35895" s="374"/>
      <c r="C35895" s="374"/>
      <c r="CV35895" s="376"/>
    </row>
    <row r="35896" spans="1:100">
      <c r="A35896" s="374"/>
      <c r="C35896" s="374"/>
      <c r="CV35896" s="376"/>
    </row>
    <row r="35897" spans="1:100">
      <c r="A35897" s="374"/>
      <c r="C35897" s="374"/>
      <c r="CV35897" s="376"/>
    </row>
    <row r="35898" spans="1:100">
      <c r="A35898" s="374"/>
      <c r="C35898" s="374"/>
      <c r="CV35898" s="376"/>
    </row>
    <row r="35899" spans="1:100">
      <c r="A35899" s="374"/>
      <c r="C35899" s="374"/>
      <c r="CV35899" s="376"/>
    </row>
    <row r="35900" spans="1:100">
      <c r="A35900" s="374"/>
      <c r="C35900" s="374"/>
      <c r="CV35900" s="376"/>
    </row>
    <row r="35901" spans="1:100">
      <c r="A35901" s="374"/>
      <c r="C35901" s="374"/>
      <c r="CV35901" s="376"/>
    </row>
    <row r="35902" spans="1:100">
      <c r="A35902" s="374"/>
      <c r="C35902" s="374"/>
      <c r="CV35902" s="376"/>
    </row>
    <row r="35903" spans="1:100">
      <c r="A35903" s="374"/>
      <c r="C35903" s="374"/>
      <c r="CV35903" s="376"/>
    </row>
    <row r="35904" spans="1:100">
      <c r="A35904" s="374"/>
      <c r="C35904" s="374"/>
      <c r="CV35904" s="376"/>
    </row>
    <row r="35905" spans="1:100">
      <c r="A35905" s="374"/>
      <c r="C35905" s="374"/>
      <c r="CV35905" s="376"/>
    </row>
    <row r="35906" spans="1:100">
      <c r="A35906" s="374"/>
      <c r="C35906" s="374"/>
      <c r="CV35906" s="376"/>
    </row>
    <row r="35907" spans="1:100">
      <c r="A35907" s="374"/>
      <c r="C35907" s="374"/>
      <c r="CV35907" s="376"/>
    </row>
    <row r="35908" spans="1:100">
      <c r="A35908" s="374"/>
      <c r="C35908" s="374"/>
      <c r="CV35908" s="376"/>
    </row>
    <row r="35909" spans="1:100">
      <c r="A35909" s="374"/>
      <c r="C35909" s="374"/>
      <c r="CV35909" s="376"/>
    </row>
    <row r="35910" spans="1:100">
      <c r="A35910" s="374"/>
      <c r="C35910" s="374"/>
      <c r="CV35910" s="376"/>
    </row>
    <row r="35911" spans="1:100">
      <c r="A35911" s="374"/>
      <c r="C35911" s="374"/>
      <c r="CV35911" s="376"/>
    </row>
    <row r="35912" spans="1:100">
      <c r="A35912" s="374"/>
      <c r="C35912" s="374"/>
      <c r="CV35912" s="376"/>
    </row>
    <row r="35913" spans="1:100">
      <c r="A35913" s="374"/>
      <c r="C35913" s="374"/>
      <c r="CV35913" s="376"/>
    </row>
    <row r="35914" spans="1:100">
      <c r="A35914" s="374"/>
      <c r="C35914" s="374"/>
      <c r="CV35914" s="376"/>
    </row>
    <row r="35915" spans="1:100">
      <c r="A35915" s="374"/>
      <c r="C35915" s="374"/>
      <c r="CV35915" s="376"/>
    </row>
    <row r="35916" spans="1:100">
      <c r="A35916" s="374"/>
      <c r="C35916" s="374"/>
      <c r="CV35916" s="376"/>
    </row>
    <row r="35917" spans="1:100">
      <c r="A35917" s="374"/>
      <c r="C35917" s="374"/>
      <c r="CV35917" s="376"/>
    </row>
    <row r="35918" spans="1:100">
      <c r="A35918" s="374"/>
      <c r="C35918" s="374"/>
      <c r="CV35918" s="376"/>
    </row>
    <row r="35919" spans="1:100">
      <c r="A35919" s="374"/>
      <c r="C35919" s="374"/>
      <c r="CV35919" s="376"/>
    </row>
    <row r="35920" spans="1:100">
      <c r="A35920" s="374"/>
      <c r="C35920" s="374"/>
      <c r="CV35920" s="376"/>
    </row>
    <row r="35921" spans="1:100">
      <c r="A35921" s="374"/>
      <c r="C35921" s="374"/>
      <c r="CV35921" s="376"/>
    </row>
    <row r="35922" spans="1:100">
      <c r="A35922" s="374"/>
      <c r="C35922" s="374"/>
      <c r="CV35922" s="376"/>
    </row>
    <row r="35923" spans="1:100">
      <c r="A35923" s="374"/>
      <c r="C35923" s="374"/>
      <c r="CV35923" s="376"/>
    </row>
    <row r="35924" spans="1:100">
      <c r="A35924" s="374"/>
      <c r="C35924" s="374"/>
      <c r="CV35924" s="376"/>
    </row>
    <row r="35925" spans="1:100">
      <c r="A35925" s="374"/>
      <c r="C35925" s="374"/>
      <c r="CV35925" s="376"/>
    </row>
    <row r="35926" spans="1:100">
      <c r="A35926" s="374"/>
      <c r="C35926" s="374"/>
      <c r="CV35926" s="376"/>
    </row>
    <row r="35927" spans="1:100">
      <c r="A35927" s="374"/>
      <c r="C35927" s="374"/>
      <c r="CV35927" s="376"/>
    </row>
    <row r="35928" spans="1:100">
      <c r="A35928" s="374"/>
      <c r="C35928" s="374"/>
      <c r="CV35928" s="376"/>
    </row>
    <row r="35929" spans="1:100">
      <c r="A35929" s="374"/>
      <c r="C35929" s="374"/>
      <c r="CV35929" s="376"/>
    </row>
    <row r="35930" spans="1:100">
      <c r="A35930" s="374"/>
      <c r="C35930" s="374"/>
      <c r="CV35930" s="376"/>
    </row>
    <row r="35931" spans="1:100">
      <c r="A35931" s="374"/>
      <c r="C35931" s="374"/>
      <c r="CV35931" s="376"/>
    </row>
    <row r="35932" spans="1:100">
      <c r="A35932" s="374"/>
      <c r="C35932" s="374"/>
      <c r="CV35932" s="376"/>
    </row>
    <row r="35933" spans="1:100">
      <c r="A35933" s="374"/>
      <c r="C35933" s="374"/>
      <c r="CV35933" s="376"/>
    </row>
    <row r="35934" spans="1:100">
      <c r="A35934" s="374"/>
      <c r="C35934" s="374"/>
      <c r="CV35934" s="376"/>
    </row>
    <row r="35935" spans="1:100">
      <c r="A35935" s="374"/>
      <c r="C35935" s="374"/>
      <c r="CV35935" s="376"/>
    </row>
    <row r="35936" spans="1:100">
      <c r="A35936" s="374"/>
      <c r="C35936" s="374"/>
      <c r="CV35936" s="376"/>
    </row>
    <row r="35937" spans="1:100">
      <c r="A35937" s="374"/>
      <c r="C35937" s="374"/>
      <c r="CV35937" s="376"/>
    </row>
    <row r="35938" spans="1:100">
      <c r="A35938" s="374"/>
      <c r="C35938" s="374"/>
      <c r="CV35938" s="376"/>
    </row>
    <row r="35939" spans="1:100">
      <c r="A35939" s="374"/>
      <c r="C35939" s="374"/>
      <c r="CV35939" s="376"/>
    </row>
    <row r="35940" spans="1:100">
      <c r="A35940" s="374"/>
      <c r="C35940" s="374"/>
      <c r="CV35940" s="376"/>
    </row>
    <row r="35941" spans="1:100">
      <c r="A35941" s="374"/>
      <c r="C35941" s="374"/>
      <c r="CV35941" s="376"/>
    </row>
    <row r="35942" spans="1:100">
      <c r="A35942" s="374"/>
      <c r="C35942" s="374"/>
      <c r="CV35942" s="376"/>
    </row>
    <row r="35943" spans="1:100">
      <c r="A35943" s="374"/>
      <c r="C35943" s="374"/>
      <c r="CV35943" s="376"/>
    </row>
    <row r="35944" spans="1:100">
      <c r="A35944" s="374"/>
      <c r="C35944" s="374"/>
      <c r="CV35944" s="376"/>
    </row>
    <row r="35945" spans="1:100">
      <c r="A35945" s="374"/>
      <c r="C35945" s="374"/>
      <c r="CV35945" s="376"/>
    </row>
    <row r="35946" spans="1:100">
      <c r="A35946" s="374"/>
      <c r="C35946" s="374"/>
      <c r="CV35946" s="376"/>
    </row>
    <row r="35947" spans="1:100">
      <c r="A35947" s="374"/>
      <c r="C35947" s="374"/>
      <c r="CV35947" s="376"/>
    </row>
    <row r="35948" spans="1:100">
      <c r="A35948" s="374"/>
      <c r="C35948" s="374"/>
      <c r="CV35948" s="376"/>
    </row>
    <row r="35949" spans="1:100">
      <c r="A35949" s="374"/>
      <c r="C35949" s="374"/>
      <c r="CV35949" s="376"/>
    </row>
    <row r="35950" spans="1:100">
      <c r="A35950" s="374"/>
      <c r="C35950" s="374"/>
      <c r="CV35950" s="376"/>
    </row>
    <row r="35951" spans="1:100">
      <c r="A35951" s="374"/>
      <c r="C35951" s="374"/>
      <c r="CV35951" s="376"/>
    </row>
    <row r="35952" spans="1:100">
      <c r="A35952" s="374"/>
      <c r="C35952" s="374"/>
      <c r="CV35952" s="376"/>
    </row>
    <row r="35953" spans="1:100">
      <c r="A35953" s="374"/>
      <c r="C35953" s="374"/>
      <c r="CV35953" s="376"/>
    </row>
    <row r="35954" spans="1:100">
      <c r="A35954" s="374"/>
      <c r="C35954" s="374"/>
      <c r="CV35954" s="376"/>
    </row>
    <row r="35955" spans="1:100">
      <c r="A35955" s="374"/>
      <c r="C35955" s="374"/>
      <c r="CV35955" s="376"/>
    </row>
    <row r="35956" spans="1:100">
      <c r="A35956" s="374"/>
      <c r="C35956" s="374"/>
      <c r="CV35956" s="376"/>
    </row>
    <row r="35957" spans="1:100">
      <c r="A35957" s="374"/>
      <c r="C35957" s="374"/>
      <c r="CV35957" s="376"/>
    </row>
    <row r="35958" spans="1:100">
      <c r="A35958" s="374"/>
      <c r="C35958" s="374"/>
      <c r="CV35958" s="376"/>
    </row>
    <row r="35959" spans="1:100">
      <c r="A35959" s="374"/>
      <c r="C35959" s="374"/>
      <c r="CV35959" s="376"/>
    </row>
    <row r="35960" spans="1:100">
      <c r="A35960" s="374"/>
      <c r="C35960" s="374"/>
      <c r="CV35960" s="376"/>
    </row>
    <row r="35961" spans="1:100">
      <c r="A35961" s="374"/>
      <c r="C35961" s="374"/>
      <c r="CV35961" s="376"/>
    </row>
    <row r="35962" spans="1:100">
      <c r="A35962" s="374"/>
      <c r="C35962" s="374"/>
      <c r="CV35962" s="376"/>
    </row>
    <row r="35963" spans="1:100">
      <c r="A35963" s="374"/>
      <c r="C35963" s="374"/>
      <c r="CV35963" s="376"/>
    </row>
    <row r="35964" spans="1:100">
      <c r="A35964" s="374"/>
      <c r="C35964" s="374"/>
      <c r="CV35964" s="376"/>
    </row>
    <row r="35965" spans="1:100">
      <c r="A35965" s="374"/>
      <c r="C35965" s="374"/>
      <c r="CV35965" s="376"/>
    </row>
    <row r="35966" spans="1:100">
      <c r="A35966" s="374"/>
      <c r="C35966" s="374"/>
      <c r="CV35966" s="376"/>
    </row>
    <row r="35967" spans="1:100">
      <c r="A35967" s="374"/>
      <c r="C35967" s="374"/>
      <c r="CV35967" s="376"/>
    </row>
    <row r="35968" spans="1:100">
      <c r="A35968" s="374"/>
      <c r="C35968" s="374"/>
      <c r="CV35968" s="376"/>
    </row>
    <row r="35969" spans="1:100">
      <c r="A35969" s="374"/>
      <c r="C35969" s="374"/>
      <c r="CV35969" s="376"/>
    </row>
    <row r="35970" spans="1:100">
      <c r="A35970" s="374"/>
      <c r="C35970" s="374"/>
      <c r="CV35970" s="376"/>
    </row>
    <row r="35971" spans="1:100">
      <c r="A35971" s="374"/>
      <c r="C35971" s="374"/>
      <c r="CV35971" s="376"/>
    </row>
    <row r="35972" spans="1:100">
      <c r="A35972" s="374"/>
      <c r="C35972" s="374"/>
      <c r="CV35972" s="376"/>
    </row>
    <row r="35973" spans="1:100">
      <c r="A35973" s="374"/>
      <c r="C35973" s="374"/>
      <c r="CV35973" s="376"/>
    </row>
    <row r="35974" spans="1:100">
      <c r="A35974" s="374"/>
      <c r="C35974" s="374"/>
      <c r="CV35974" s="376"/>
    </row>
    <row r="35975" spans="1:100">
      <c r="A35975" s="374"/>
      <c r="C35975" s="374"/>
      <c r="CV35975" s="376"/>
    </row>
    <row r="35976" spans="1:100">
      <c r="A35976" s="374"/>
      <c r="C35976" s="374"/>
      <c r="CV35976" s="376"/>
    </row>
    <row r="35977" spans="1:100">
      <c r="A35977" s="374"/>
      <c r="C35977" s="374"/>
      <c r="CV35977" s="376"/>
    </row>
    <row r="35978" spans="1:100">
      <c r="A35978" s="374"/>
      <c r="C35978" s="374"/>
      <c r="CV35978" s="376"/>
    </row>
    <row r="35979" spans="1:100">
      <c r="A35979" s="374"/>
      <c r="C35979" s="374"/>
      <c r="CV35979" s="376"/>
    </row>
    <row r="35980" spans="1:100">
      <c r="A35980" s="374"/>
      <c r="C35980" s="374"/>
      <c r="CV35980" s="376"/>
    </row>
    <row r="35981" spans="1:100">
      <c r="A35981" s="374"/>
      <c r="C35981" s="374"/>
      <c r="CV35981" s="376"/>
    </row>
    <row r="35982" spans="1:100">
      <c r="A35982" s="374"/>
      <c r="C35982" s="374"/>
      <c r="CV35982" s="376"/>
    </row>
    <row r="35983" spans="1:100">
      <c r="A35983" s="374"/>
      <c r="C35983" s="374"/>
      <c r="CV35983" s="376"/>
    </row>
    <row r="35984" spans="1:100">
      <c r="A35984" s="374"/>
      <c r="C35984" s="374"/>
      <c r="CV35984" s="376"/>
    </row>
    <row r="35985" spans="1:100">
      <c r="A35985" s="374"/>
      <c r="C35985" s="374"/>
      <c r="CV35985" s="376"/>
    </row>
    <row r="35986" spans="1:100">
      <c r="A35986" s="374"/>
      <c r="C35986" s="374"/>
      <c r="CV35986" s="376"/>
    </row>
    <row r="35987" spans="1:100">
      <c r="A35987" s="374"/>
      <c r="C35987" s="374"/>
      <c r="CV35987" s="376"/>
    </row>
    <row r="35988" spans="1:100">
      <c r="A35988" s="374"/>
      <c r="C35988" s="374"/>
      <c r="CV35988" s="376"/>
    </row>
    <row r="35989" spans="1:100">
      <c r="A35989" s="374"/>
      <c r="C35989" s="374"/>
      <c r="CV35989" s="376"/>
    </row>
    <row r="35990" spans="1:100">
      <c r="A35990" s="374"/>
      <c r="C35990" s="374"/>
      <c r="CV35990" s="376"/>
    </row>
    <row r="35991" spans="1:100">
      <c r="A35991" s="374"/>
      <c r="C35991" s="374"/>
      <c r="CV35991" s="376"/>
    </row>
    <row r="35992" spans="1:100">
      <c r="A35992" s="374"/>
      <c r="C35992" s="374"/>
      <c r="CV35992" s="376"/>
    </row>
    <row r="35993" spans="1:100">
      <c r="A35993" s="374"/>
      <c r="C35993" s="374"/>
      <c r="CV35993" s="376"/>
    </row>
    <row r="35994" spans="1:100">
      <c r="A35994" s="374"/>
      <c r="C35994" s="374"/>
      <c r="CV35994" s="376"/>
    </row>
    <row r="35995" spans="1:100">
      <c r="A35995" s="374"/>
      <c r="C35995" s="374"/>
      <c r="CV35995" s="376"/>
    </row>
    <row r="35996" spans="1:100">
      <c r="A35996" s="374"/>
      <c r="C35996" s="374"/>
      <c r="CV35996" s="376"/>
    </row>
    <row r="35997" spans="1:100">
      <c r="A35997" s="374"/>
      <c r="C35997" s="374"/>
      <c r="CV35997" s="376"/>
    </row>
    <row r="35998" spans="1:100">
      <c r="A35998" s="374"/>
      <c r="C35998" s="374"/>
      <c r="CV35998" s="376"/>
    </row>
    <row r="35999" spans="1:100">
      <c r="A35999" s="374"/>
      <c r="C35999" s="374"/>
      <c r="CV35999" s="376"/>
    </row>
    <row r="36000" spans="1:100">
      <c r="A36000" s="374"/>
      <c r="C36000" s="374"/>
      <c r="CV36000" s="376"/>
    </row>
    <row r="36001" spans="1:100">
      <c r="A36001" s="374"/>
      <c r="C36001" s="374"/>
      <c r="CV36001" s="376"/>
    </row>
    <row r="36002" spans="1:100">
      <c r="A36002" s="374"/>
      <c r="C36002" s="374"/>
      <c r="CV36002" s="376"/>
    </row>
    <row r="36003" spans="1:100">
      <c r="A36003" s="374"/>
      <c r="C36003" s="374"/>
      <c r="CV36003" s="376"/>
    </row>
    <row r="36004" spans="1:100">
      <c r="A36004" s="374"/>
      <c r="C36004" s="374"/>
      <c r="CV36004" s="376"/>
    </row>
    <row r="36005" spans="1:100">
      <c r="A36005" s="374"/>
      <c r="C36005" s="374"/>
      <c r="CV36005" s="376"/>
    </row>
    <row r="36006" spans="1:100">
      <c r="A36006" s="374"/>
      <c r="C36006" s="374"/>
      <c r="CV36006" s="376"/>
    </row>
    <row r="36007" spans="1:100">
      <c r="A36007" s="374"/>
      <c r="C36007" s="374"/>
      <c r="CV36007" s="376"/>
    </row>
    <row r="36008" spans="1:100">
      <c r="A36008" s="374"/>
      <c r="C36008" s="374"/>
      <c r="CV36008" s="376"/>
    </row>
    <row r="36009" spans="1:100">
      <c r="A36009" s="374"/>
      <c r="C36009" s="374"/>
      <c r="CV36009" s="376"/>
    </row>
    <row r="36010" spans="1:100">
      <c r="A36010" s="374"/>
      <c r="C36010" s="374"/>
      <c r="CV36010" s="376"/>
    </row>
    <row r="36011" spans="1:100">
      <c r="A36011" s="374"/>
      <c r="C36011" s="374"/>
      <c r="CV36011" s="376"/>
    </row>
    <row r="36012" spans="1:100">
      <c r="A36012" s="374"/>
      <c r="C36012" s="374"/>
      <c r="CV36012" s="376"/>
    </row>
    <row r="36013" spans="1:100">
      <c r="A36013" s="374"/>
      <c r="C36013" s="374"/>
      <c r="CV36013" s="376"/>
    </row>
    <row r="36014" spans="1:100">
      <c r="A36014" s="374"/>
      <c r="C36014" s="374"/>
      <c r="CV36014" s="376"/>
    </row>
    <row r="36015" spans="1:100">
      <c r="A36015" s="374"/>
      <c r="C36015" s="374"/>
      <c r="CV36015" s="376"/>
    </row>
    <row r="36016" spans="1:100">
      <c r="A36016" s="374"/>
      <c r="C36016" s="374"/>
      <c r="CV36016" s="376"/>
    </row>
    <row r="36017" spans="1:100">
      <c r="A36017" s="374"/>
      <c r="C36017" s="374"/>
      <c r="CV36017" s="376"/>
    </row>
    <row r="36018" spans="1:100">
      <c r="A36018" s="374"/>
      <c r="C36018" s="374"/>
      <c r="CV36018" s="376"/>
    </row>
    <row r="36019" spans="1:100">
      <c r="A36019" s="374"/>
      <c r="C36019" s="374"/>
      <c r="CV36019" s="376"/>
    </row>
    <row r="36020" spans="1:100">
      <c r="A36020" s="374"/>
      <c r="C36020" s="374"/>
      <c r="CV36020" s="376"/>
    </row>
    <row r="36021" spans="1:100">
      <c r="A36021" s="374"/>
      <c r="C36021" s="374"/>
      <c r="CV36021" s="376"/>
    </row>
    <row r="36022" spans="1:100">
      <c r="A36022" s="374"/>
      <c r="C36022" s="374"/>
      <c r="CV36022" s="376"/>
    </row>
    <row r="36023" spans="1:100">
      <c r="A36023" s="374"/>
      <c r="C36023" s="374"/>
      <c r="CV36023" s="376"/>
    </row>
    <row r="36024" spans="1:100">
      <c r="A36024" s="374"/>
      <c r="C36024" s="374"/>
      <c r="CV36024" s="376"/>
    </row>
    <row r="36025" spans="1:100">
      <c r="A36025" s="374"/>
      <c r="C36025" s="374"/>
      <c r="CV36025" s="376"/>
    </row>
    <row r="36026" spans="1:100">
      <c r="A36026" s="374"/>
      <c r="C36026" s="374"/>
      <c r="CV36026" s="376"/>
    </row>
    <row r="36027" spans="1:100">
      <c r="A36027" s="374"/>
      <c r="C36027" s="374"/>
      <c r="CV36027" s="376"/>
    </row>
    <row r="36028" spans="1:100">
      <c r="A36028" s="374"/>
      <c r="C36028" s="374"/>
      <c r="CV36028" s="376"/>
    </row>
    <row r="36029" spans="1:100">
      <c r="A36029" s="374"/>
      <c r="C36029" s="374"/>
      <c r="CV36029" s="376"/>
    </row>
    <row r="36030" spans="1:100">
      <c r="A36030" s="374"/>
      <c r="C36030" s="374"/>
      <c r="CV36030" s="376"/>
    </row>
    <row r="36031" spans="1:100">
      <c r="A36031" s="374"/>
      <c r="C36031" s="374"/>
      <c r="CV36031" s="376"/>
    </row>
    <row r="36032" spans="1:100">
      <c r="A36032" s="374"/>
      <c r="C36032" s="374"/>
      <c r="CV36032" s="376"/>
    </row>
    <row r="36033" spans="1:100">
      <c r="A36033" s="374"/>
      <c r="C36033" s="374"/>
      <c r="CV36033" s="376"/>
    </row>
    <row r="36034" spans="1:100">
      <c r="A36034" s="374"/>
      <c r="C36034" s="374"/>
      <c r="CV36034" s="376"/>
    </row>
    <row r="36035" spans="1:100">
      <c r="A36035" s="374"/>
      <c r="C36035" s="374"/>
      <c r="CV36035" s="376"/>
    </row>
    <row r="36036" spans="1:100">
      <c r="A36036" s="374"/>
      <c r="C36036" s="374"/>
      <c r="CV36036" s="376"/>
    </row>
    <row r="36037" spans="1:100">
      <c r="A36037" s="374"/>
      <c r="C36037" s="374"/>
      <c r="CV36037" s="376"/>
    </row>
    <row r="36038" spans="1:100">
      <c r="A36038" s="374"/>
      <c r="C36038" s="374"/>
      <c r="CV36038" s="376"/>
    </row>
    <row r="36039" spans="1:100">
      <c r="A36039" s="374"/>
      <c r="C36039" s="374"/>
      <c r="CV36039" s="376"/>
    </row>
    <row r="36040" spans="1:100">
      <c r="A36040" s="374"/>
      <c r="C36040" s="374"/>
      <c r="CV36040" s="376"/>
    </row>
    <row r="36041" spans="1:100">
      <c r="A36041" s="374"/>
      <c r="C36041" s="374"/>
      <c r="CV36041" s="376"/>
    </row>
    <row r="36042" spans="1:100">
      <c r="A36042" s="374"/>
      <c r="C36042" s="374"/>
      <c r="CV36042" s="376"/>
    </row>
    <row r="36043" spans="1:100">
      <c r="A36043" s="374"/>
      <c r="C36043" s="374"/>
      <c r="CV36043" s="376"/>
    </row>
    <row r="36044" spans="1:100">
      <c r="A36044" s="374"/>
      <c r="C36044" s="374"/>
      <c r="CV36044" s="376"/>
    </row>
    <row r="36045" spans="1:100">
      <c r="A36045" s="374"/>
      <c r="C36045" s="374"/>
      <c r="CV36045" s="376"/>
    </row>
    <row r="36046" spans="1:100">
      <c r="A36046" s="374"/>
      <c r="C36046" s="374"/>
      <c r="CV36046" s="376"/>
    </row>
    <row r="36047" spans="1:100">
      <c r="A36047" s="374"/>
      <c r="C36047" s="374"/>
      <c r="CV36047" s="376"/>
    </row>
    <row r="36048" spans="1:100">
      <c r="A36048" s="374"/>
      <c r="C36048" s="374"/>
      <c r="CV36048" s="376"/>
    </row>
    <row r="36049" spans="1:100">
      <c r="A36049" s="374"/>
      <c r="C36049" s="374"/>
      <c r="CV36049" s="376"/>
    </row>
    <row r="36050" spans="1:100">
      <c r="A36050" s="374"/>
      <c r="C36050" s="374"/>
      <c r="CV36050" s="376"/>
    </row>
    <row r="36051" spans="1:100">
      <c r="A36051" s="374"/>
      <c r="C36051" s="374"/>
      <c r="CV36051" s="376"/>
    </row>
    <row r="36052" spans="1:100">
      <c r="A36052" s="374"/>
      <c r="C36052" s="374"/>
      <c r="CV36052" s="376"/>
    </row>
    <row r="36053" spans="1:100">
      <c r="A36053" s="374"/>
      <c r="C36053" s="374"/>
      <c r="CV36053" s="376"/>
    </row>
    <row r="36054" spans="1:100">
      <c r="A36054" s="374"/>
      <c r="C36054" s="374"/>
      <c r="CV36054" s="376"/>
    </row>
    <row r="36055" spans="1:100">
      <c r="A36055" s="374"/>
      <c r="C36055" s="374"/>
      <c r="CV36055" s="376"/>
    </row>
    <row r="36056" spans="1:100">
      <c r="A36056" s="374"/>
      <c r="C36056" s="374"/>
      <c r="CV36056" s="376"/>
    </row>
    <row r="36057" spans="1:100">
      <c r="A36057" s="374"/>
      <c r="C36057" s="374"/>
      <c r="CV36057" s="376"/>
    </row>
    <row r="36058" spans="1:100">
      <c r="A36058" s="374"/>
      <c r="C36058" s="374"/>
      <c r="CV36058" s="376"/>
    </row>
    <row r="36059" spans="1:100">
      <c r="A36059" s="374"/>
      <c r="C36059" s="374"/>
      <c r="CV36059" s="376"/>
    </row>
    <row r="36060" spans="1:100">
      <c r="A36060" s="374"/>
      <c r="C36060" s="374"/>
      <c r="CV36060" s="376"/>
    </row>
    <row r="36061" spans="1:100">
      <c r="A36061" s="374"/>
      <c r="C36061" s="374"/>
      <c r="CV36061" s="376"/>
    </row>
    <row r="36062" spans="1:100">
      <c r="A36062" s="374"/>
      <c r="C36062" s="374"/>
      <c r="CV36062" s="376"/>
    </row>
    <row r="36063" spans="1:100">
      <c r="A36063" s="374"/>
      <c r="C36063" s="374"/>
      <c r="CV36063" s="376"/>
    </row>
    <row r="36064" spans="1:100">
      <c r="A36064" s="374"/>
      <c r="C36064" s="374"/>
      <c r="CV36064" s="376"/>
    </row>
    <row r="36065" spans="1:100">
      <c r="A36065" s="374"/>
      <c r="C36065" s="374"/>
      <c r="CV36065" s="376"/>
    </row>
    <row r="36066" spans="1:100">
      <c r="A36066" s="374"/>
      <c r="C36066" s="374"/>
      <c r="CV36066" s="376"/>
    </row>
    <row r="36067" spans="1:100">
      <c r="A36067" s="374"/>
      <c r="C36067" s="374"/>
      <c r="CV36067" s="376"/>
    </row>
    <row r="36068" spans="1:100">
      <c r="A36068" s="374"/>
      <c r="C36068" s="374"/>
      <c r="CV36068" s="376"/>
    </row>
    <row r="36069" spans="1:100">
      <c r="A36069" s="374"/>
      <c r="C36069" s="374"/>
      <c r="CV36069" s="376"/>
    </row>
    <row r="36070" spans="1:100">
      <c r="A36070" s="374"/>
      <c r="C36070" s="374"/>
      <c r="CV36070" s="376"/>
    </row>
    <row r="36071" spans="1:100">
      <c r="A36071" s="374"/>
      <c r="C36071" s="374"/>
      <c r="CV36071" s="376"/>
    </row>
    <row r="36072" spans="1:100">
      <c r="A36072" s="374"/>
      <c r="C36072" s="374"/>
      <c r="CV36072" s="376"/>
    </row>
    <row r="36073" spans="1:100">
      <c r="A36073" s="374"/>
      <c r="C36073" s="374"/>
      <c r="CV36073" s="376"/>
    </row>
    <row r="36074" spans="1:100">
      <c r="A36074" s="374"/>
      <c r="C36074" s="374"/>
      <c r="CV36074" s="376"/>
    </row>
    <row r="36075" spans="1:100">
      <c r="A36075" s="374"/>
      <c r="C36075" s="374"/>
      <c r="CV36075" s="376"/>
    </row>
    <row r="36076" spans="1:100">
      <c r="A36076" s="374"/>
      <c r="C36076" s="374"/>
      <c r="CV36076" s="376"/>
    </row>
    <row r="36077" spans="1:100">
      <c r="A36077" s="374"/>
      <c r="C36077" s="374"/>
      <c r="CV36077" s="376"/>
    </row>
    <row r="36078" spans="1:100">
      <c r="A36078" s="374"/>
      <c r="C36078" s="374"/>
      <c r="CV36078" s="376"/>
    </row>
    <row r="36079" spans="1:100">
      <c r="A36079" s="374"/>
      <c r="C36079" s="374"/>
      <c r="CV36079" s="376"/>
    </row>
    <row r="36080" spans="1:100">
      <c r="A36080" s="374"/>
      <c r="C36080" s="374"/>
      <c r="CV36080" s="376"/>
    </row>
    <row r="36081" spans="1:100">
      <c r="A36081" s="374"/>
      <c r="C36081" s="374"/>
      <c r="CV36081" s="376"/>
    </row>
    <row r="36082" spans="1:100">
      <c r="A36082" s="374"/>
      <c r="C36082" s="374"/>
      <c r="CV36082" s="376"/>
    </row>
    <row r="36083" spans="1:100">
      <c r="A36083" s="374"/>
      <c r="C36083" s="374"/>
      <c r="CV36083" s="376"/>
    </row>
    <row r="36084" spans="1:100">
      <c r="A36084" s="374"/>
      <c r="C36084" s="374"/>
      <c r="CV36084" s="376"/>
    </row>
    <row r="36085" spans="1:100">
      <c r="A36085" s="374"/>
      <c r="C36085" s="374"/>
      <c r="CV36085" s="376"/>
    </row>
    <row r="36086" spans="1:100">
      <c r="A36086" s="374"/>
      <c r="C36086" s="374"/>
      <c r="CV36086" s="376"/>
    </row>
    <row r="36087" spans="1:100">
      <c r="A36087" s="374"/>
      <c r="C36087" s="374"/>
      <c r="CV36087" s="376"/>
    </row>
    <row r="36088" spans="1:100">
      <c r="A36088" s="374"/>
      <c r="C36088" s="374"/>
      <c r="CV36088" s="376"/>
    </row>
    <row r="36089" spans="1:100">
      <c r="A36089" s="374"/>
      <c r="C36089" s="374"/>
      <c r="CV36089" s="376"/>
    </row>
    <row r="36090" spans="1:100">
      <c r="A36090" s="374"/>
      <c r="C36090" s="374"/>
      <c r="CV36090" s="376"/>
    </row>
    <row r="36091" spans="1:100">
      <c r="A36091" s="374"/>
      <c r="C36091" s="374"/>
      <c r="CV36091" s="376"/>
    </row>
    <row r="36092" spans="1:100">
      <c r="A36092" s="374"/>
      <c r="C36092" s="374"/>
      <c r="CV36092" s="376"/>
    </row>
    <row r="36093" spans="1:100">
      <c r="A36093" s="374"/>
      <c r="C36093" s="374"/>
      <c r="CV36093" s="376"/>
    </row>
    <row r="36094" spans="1:100">
      <c r="A36094" s="374"/>
      <c r="C36094" s="374"/>
      <c r="CV36094" s="376"/>
    </row>
    <row r="36095" spans="1:100">
      <c r="A36095" s="374"/>
      <c r="C36095" s="374"/>
      <c r="CV36095" s="376"/>
    </row>
    <row r="36096" spans="1:100">
      <c r="A36096" s="374"/>
      <c r="C36096" s="374"/>
      <c r="CV36096" s="376"/>
    </row>
    <row r="36097" spans="1:100">
      <c r="A36097" s="374"/>
      <c r="C36097" s="374"/>
      <c r="CV36097" s="376"/>
    </row>
    <row r="36098" spans="1:100">
      <c r="A36098" s="374"/>
      <c r="C36098" s="374"/>
      <c r="CV36098" s="376"/>
    </row>
    <row r="36099" spans="1:100">
      <c r="A36099" s="374"/>
      <c r="C36099" s="374"/>
      <c r="CV36099" s="376"/>
    </row>
    <row r="36100" spans="1:100">
      <c r="A36100" s="374"/>
      <c r="C36100" s="374"/>
      <c r="CV36100" s="376"/>
    </row>
    <row r="36101" spans="1:100">
      <c r="A36101" s="374"/>
      <c r="C36101" s="374"/>
      <c r="CV36101" s="376"/>
    </row>
    <row r="36102" spans="1:100">
      <c r="A36102" s="374"/>
      <c r="C36102" s="374"/>
      <c r="CV36102" s="376"/>
    </row>
    <row r="36103" spans="1:100">
      <c r="A36103" s="374"/>
      <c r="C36103" s="374"/>
      <c r="CV36103" s="376"/>
    </row>
    <row r="36104" spans="1:100">
      <c r="A36104" s="374"/>
      <c r="C36104" s="374"/>
      <c r="CV36104" s="376"/>
    </row>
    <row r="36105" spans="1:100">
      <c r="A36105" s="374"/>
      <c r="C36105" s="374"/>
      <c r="CV36105" s="376"/>
    </row>
    <row r="36106" spans="1:100">
      <c r="A36106" s="374"/>
      <c r="C36106" s="374"/>
      <c r="CV36106" s="376"/>
    </row>
    <row r="36107" spans="1:100">
      <c r="A36107" s="374"/>
      <c r="C36107" s="374"/>
      <c r="CV36107" s="376"/>
    </row>
    <row r="36108" spans="1:100">
      <c r="A36108" s="374"/>
      <c r="C36108" s="374"/>
      <c r="CV36108" s="376"/>
    </row>
    <row r="36109" spans="1:100">
      <c r="A36109" s="374"/>
      <c r="C36109" s="374"/>
      <c r="CV36109" s="376"/>
    </row>
    <row r="36110" spans="1:100">
      <c r="A36110" s="374"/>
      <c r="C36110" s="374"/>
      <c r="CV36110" s="376"/>
    </row>
    <row r="36111" spans="1:100">
      <c r="A36111" s="374"/>
      <c r="C36111" s="374"/>
      <c r="CV36111" s="376"/>
    </row>
    <row r="36112" spans="1:100">
      <c r="A36112" s="374"/>
      <c r="C36112" s="374"/>
      <c r="CV36112" s="376"/>
    </row>
    <row r="36113" spans="1:100">
      <c r="A36113" s="374"/>
      <c r="C36113" s="374"/>
      <c r="CV36113" s="376"/>
    </row>
    <row r="36114" spans="1:100">
      <c r="A36114" s="374"/>
      <c r="C36114" s="374"/>
      <c r="CV36114" s="376"/>
    </row>
    <row r="36115" spans="1:100">
      <c r="A36115" s="374"/>
      <c r="C36115" s="374"/>
      <c r="CV36115" s="376"/>
    </row>
    <row r="36116" spans="1:100">
      <c r="A36116" s="374"/>
      <c r="C36116" s="374"/>
      <c r="CV36116" s="376"/>
    </row>
    <row r="36117" spans="1:100">
      <c r="A36117" s="374"/>
      <c r="C36117" s="374"/>
      <c r="CV36117" s="376"/>
    </row>
    <row r="36118" spans="1:100">
      <c r="A36118" s="374"/>
      <c r="C36118" s="374"/>
      <c r="CV36118" s="376"/>
    </row>
    <row r="36119" spans="1:100">
      <c r="A36119" s="374"/>
      <c r="C36119" s="374"/>
      <c r="CV36119" s="376"/>
    </row>
    <row r="36120" spans="1:100">
      <c r="A36120" s="374"/>
      <c r="C36120" s="374"/>
      <c r="CV36120" s="376"/>
    </row>
    <row r="36121" spans="1:100">
      <c r="A36121" s="374"/>
      <c r="C36121" s="374"/>
      <c r="CV36121" s="376"/>
    </row>
    <row r="36122" spans="1:100">
      <c r="A36122" s="374"/>
      <c r="C36122" s="374"/>
      <c r="CV36122" s="376"/>
    </row>
    <row r="36123" spans="1:100">
      <c r="A36123" s="374"/>
      <c r="C36123" s="374"/>
      <c r="CV36123" s="376"/>
    </row>
    <row r="36124" spans="1:100">
      <c r="A36124" s="374"/>
      <c r="C36124" s="374"/>
      <c r="CV36124" s="376"/>
    </row>
    <row r="36125" spans="1:100">
      <c r="A36125" s="374"/>
      <c r="C36125" s="374"/>
      <c r="CV36125" s="376"/>
    </row>
    <row r="36126" spans="1:100">
      <c r="A36126" s="374"/>
      <c r="C36126" s="374"/>
      <c r="CV36126" s="376"/>
    </row>
    <row r="36127" spans="1:100">
      <c r="A36127" s="374"/>
      <c r="C36127" s="374"/>
      <c r="CV36127" s="376"/>
    </row>
    <row r="36128" spans="1:100">
      <c r="A36128" s="374"/>
      <c r="C36128" s="374"/>
      <c r="CV36128" s="376"/>
    </row>
    <row r="36129" spans="1:100">
      <c r="A36129" s="374"/>
      <c r="C36129" s="374"/>
      <c r="CV36129" s="376"/>
    </row>
    <row r="36130" spans="1:100">
      <c r="A36130" s="374"/>
      <c r="C36130" s="374"/>
      <c r="CV36130" s="376"/>
    </row>
    <row r="36131" spans="1:100">
      <c r="A36131" s="374"/>
      <c r="C36131" s="374"/>
      <c r="CV36131" s="376"/>
    </row>
    <row r="36132" spans="1:100">
      <c r="A36132" s="374"/>
      <c r="C36132" s="374"/>
      <c r="CV36132" s="376"/>
    </row>
    <row r="36133" spans="1:100">
      <c r="A36133" s="374"/>
      <c r="C36133" s="374"/>
      <c r="CV36133" s="376"/>
    </row>
    <row r="36134" spans="1:100">
      <c r="A36134" s="374"/>
      <c r="C36134" s="374"/>
      <c r="CV36134" s="376"/>
    </row>
    <row r="36135" spans="1:100">
      <c r="A36135" s="374"/>
      <c r="C36135" s="374"/>
      <c r="CV36135" s="376"/>
    </row>
    <row r="36136" spans="1:100">
      <c r="A36136" s="374"/>
      <c r="C36136" s="374"/>
      <c r="CV36136" s="376"/>
    </row>
    <row r="36137" spans="1:100">
      <c r="A36137" s="374"/>
      <c r="C36137" s="374"/>
      <c r="CV36137" s="376"/>
    </row>
    <row r="36138" spans="1:100">
      <c r="A36138" s="374"/>
      <c r="C36138" s="374"/>
      <c r="CV36138" s="376"/>
    </row>
    <row r="36139" spans="1:100">
      <c r="A36139" s="374"/>
      <c r="C36139" s="374"/>
      <c r="CV36139" s="376"/>
    </row>
    <row r="36140" spans="1:100">
      <c r="A36140" s="374"/>
      <c r="C36140" s="374"/>
      <c r="CV36140" s="376"/>
    </row>
    <row r="36141" spans="1:100">
      <c r="A36141" s="374"/>
      <c r="C36141" s="374"/>
      <c r="CV36141" s="376"/>
    </row>
    <row r="36142" spans="1:100">
      <c r="A36142" s="374"/>
      <c r="C36142" s="374"/>
      <c r="CV36142" s="376"/>
    </row>
    <row r="36143" spans="1:100">
      <c r="A36143" s="374"/>
      <c r="C36143" s="374"/>
      <c r="CV36143" s="376"/>
    </row>
    <row r="36144" spans="1:100">
      <c r="A36144" s="374"/>
      <c r="C36144" s="374"/>
      <c r="CV36144" s="376"/>
    </row>
    <row r="36145" spans="1:100">
      <c r="A36145" s="374"/>
      <c r="C36145" s="374"/>
      <c r="CV36145" s="376"/>
    </row>
    <row r="36146" spans="1:100">
      <c r="A36146" s="374"/>
      <c r="C36146" s="374"/>
      <c r="CV36146" s="376"/>
    </row>
    <row r="36147" spans="1:100">
      <c r="A36147" s="374"/>
      <c r="C36147" s="374"/>
      <c r="CV36147" s="376"/>
    </row>
    <row r="36148" spans="1:100">
      <c r="A36148" s="374"/>
      <c r="C36148" s="374"/>
      <c r="CV36148" s="376"/>
    </row>
    <row r="36149" spans="1:100">
      <c r="A36149" s="374"/>
      <c r="C36149" s="374"/>
      <c r="CV36149" s="376"/>
    </row>
    <row r="36150" spans="1:100">
      <c r="A36150" s="374"/>
      <c r="C36150" s="374"/>
      <c r="CV36150" s="376"/>
    </row>
    <row r="36151" spans="1:100">
      <c r="A36151" s="374"/>
      <c r="C36151" s="374"/>
      <c r="CV36151" s="376"/>
    </row>
    <row r="36152" spans="1:100">
      <c r="A36152" s="374"/>
      <c r="C36152" s="374"/>
      <c r="CV36152" s="376"/>
    </row>
    <row r="36153" spans="1:100">
      <c r="A36153" s="374"/>
      <c r="C36153" s="374"/>
      <c r="CV36153" s="376"/>
    </row>
    <row r="36154" spans="1:100">
      <c r="A36154" s="374"/>
      <c r="C36154" s="374"/>
      <c r="CV36154" s="376"/>
    </row>
    <row r="36155" spans="1:100">
      <c r="A36155" s="374"/>
      <c r="C36155" s="374"/>
      <c r="CV36155" s="376"/>
    </row>
    <row r="36156" spans="1:100">
      <c r="A36156" s="374"/>
      <c r="C36156" s="374"/>
      <c r="CV36156" s="376"/>
    </row>
    <row r="36157" spans="1:100">
      <c r="A36157" s="374"/>
      <c r="C36157" s="374"/>
      <c r="CV36157" s="376"/>
    </row>
    <row r="36158" spans="1:100">
      <c r="A36158" s="374"/>
      <c r="C36158" s="374"/>
      <c r="CV36158" s="376"/>
    </row>
    <row r="36159" spans="1:100">
      <c r="A36159" s="374"/>
      <c r="C36159" s="374"/>
      <c r="CV36159" s="376"/>
    </row>
    <row r="36160" spans="1:100">
      <c r="A36160" s="374"/>
      <c r="C36160" s="374"/>
      <c r="CV36160" s="376"/>
    </row>
    <row r="36161" spans="1:100">
      <c r="A36161" s="374"/>
      <c r="C36161" s="374"/>
      <c r="CV36161" s="376"/>
    </row>
    <row r="36162" spans="1:100">
      <c r="A36162" s="374"/>
      <c r="C36162" s="374"/>
      <c r="CV36162" s="376"/>
    </row>
    <row r="36163" spans="1:100">
      <c r="A36163" s="374"/>
      <c r="C36163" s="374"/>
      <c r="CV36163" s="376"/>
    </row>
    <row r="36164" spans="1:100">
      <c r="A36164" s="374"/>
      <c r="C36164" s="374"/>
      <c r="CV36164" s="376"/>
    </row>
    <row r="36165" spans="1:100">
      <c r="A36165" s="374"/>
      <c r="C36165" s="374"/>
      <c r="CV36165" s="376"/>
    </row>
    <row r="36166" spans="1:100">
      <c r="A36166" s="374"/>
      <c r="C36166" s="374"/>
      <c r="CV36166" s="376"/>
    </row>
    <row r="36167" spans="1:100">
      <c r="A36167" s="374"/>
      <c r="C36167" s="374"/>
      <c r="CV36167" s="376"/>
    </row>
    <row r="36168" spans="1:100">
      <c r="A36168" s="374"/>
      <c r="C36168" s="374"/>
      <c r="CV36168" s="376"/>
    </row>
    <row r="36169" spans="1:100">
      <c r="A36169" s="374"/>
      <c r="C36169" s="374"/>
      <c r="CV36169" s="376"/>
    </row>
    <row r="36170" spans="1:100">
      <c r="A36170" s="374"/>
      <c r="C36170" s="374"/>
      <c r="CV36170" s="376"/>
    </row>
    <row r="36171" spans="1:100">
      <c r="A36171" s="374"/>
      <c r="C36171" s="374"/>
      <c r="CV36171" s="376"/>
    </row>
    <row r="36172" spans="1:100">
      <c r="A36172" s="374"/>
      <c r="C36172" s="374"/>
      <c r="CV36172" s="376"/>
    </row>
    <row r="36173" spans="1:100">
      <c r="A36173" s="374"/>
      <c r="C36173" s="374"/>
      <c r="CV36173" s="376"/>
    </row>
    <row r="36174" spans="1:100">
      <c r="A36174" s="374"/>
      <c r="C36174" s="374"/>
      <c r="CV36174" s="376"/>
    </row>
    <row r="36175" spans="1:100">
      <c r="A36175" s="374"/>
      <c r="C36175" s="374"/>
      <c r="CV36175" s="376"/>
    </row>
    <row r="36176" spans="1:100">
      <c r="A36176" s="374"/>
      <c r="C36176" s="374"/>
      <c r="CV36176" s="376"/>
    </row>
    <row r="36177" spans="1:100">
      <c r="A36177" s="374"/>
      <c r="C36177" s="374"/>
      <c r="CV36177" s="376"/>
    </row>
    <row r="36178" spans="1:100">
      <c r="A36178" s="374"/>
      <c r="C36178" s="374"/>
      <c r="CV36178" s="376"/>
    </row>
    <row r="36179" spans="1:100">
      <c r="A36179" s="374"/>
      <c r="C36179" s="374"/>
      <c r="CV36179" s="376"/>
    </row>
    <row r="36180" spans="1:100">
      <c r="A36180" s="374"/>
      <c r="C36180" s="374"/>
      <c r="CV36180" s="376"/>
    </row>
    <row r="36181" spans="1:100">
      <c r="A36181" s="374"/>
      <c r="C36181" s="374"/>
      <c r="CV36181" s="376"/>
    </row>
    <row r="36182" spans="1:100">
      <c r="A36182" s="374"/>
      <c r="C36182" s="374"/>
      <c r="CV36182" s="376"/>
    </row>
    <row r="36183" spans="1:100">
      <c r="A36183" s="374"/>
      <c r="C36183" s="374"/>
      <c r="CV36183" s="376"/>
    </row>
    <row r="36184" spans="1:100">
      <c r="A36184" s="374"/>
      <c r="C36184" s="374"/>
      <c r="CV36184" s="376"/>
    </row>
    <row r="36185" spans="1:100">
      <c r="A36185" s="374"/>
      <c r="C36185" s="374"/>
      <c r="CV36185" s="376"/>
    </row>
    <row r="36186" spans="1:100">
      <c r="A36186" s="374"/>
      <c r="C36186" s="374"/>
      <c r="CV36186" s="376"/>
    </row>
    <row r="36187" spans="1:100">
      <c r="A36187" s="374"/>
      <c r="C36187" s="374"/>
      <c r="CV36187" s="376"/>
    </row>
    <row r="36188" spans="1:100">
      <c r="A36188" s="374"/>
      <c r="C36188" s="374"/>
      <c r="CV36188" s="376"/>
    </row>
    <row r="36189" spans="1:100">
      <c r="A36189" s="374"/>
      <c r="C36189" s="374"/>
      <c r="CV36189" s="376"/>
    </row>
    <row r="36190" spans="1:100">
      <c r="A36190" s="374"/>
      <c r="C36190" s="374"/>
      <c r="CV36190" s="376"/>
    </row>
    <row r="36191" spans="1:100">
      <c r="A36191" s="374"/>
      <c r="C36191" s="374"/>
      <c r="CV36191" s="376"/>
    </row>
    <row r="36192" spans="1:100">
      <c r="A36192" s="374"/>
      <c r="C36192" s="374"/>
      <c r="CV36192" s="376"/>
    </row>
    <row r="36193" spans="1:100">
      <c r="A36193" s="374"/>
      <c r="C36193" s="374"/>
      <c r="CV36193" s="376"/>
    </row>
    <row r="36194" spans="1:100">
      <c r="A36194" s="374"/>
      <c r="C36194" s="374"/>
      <c r="CV36194" s="376"/>
    </row>
    <row r="36195" spans="1:100">
      <c r="A36195" s="374"/>
      <c r="C36195" s="374"/>
      <c r="CV36195" s="376"/>
    </row>
    <row r="36196" spans="1:100">
      <c r="A36196" s="374"/>
      <c r="C36196" s="374"/>
      <c r="CV36196" s="376"/>
    </row>
    <row r="36197" spans="1:100">
      <c r="A36197" s="374"/>
      <c r="C36197" s="374"/>
      <c r="CV36197" s="376"/>
    </row>
    <row r="36198" spans="1:100">
      <c r="A36198" s="374"/>
      <c r="C36198" s="374"/>
      <c r="CV36198" s="376"/>
    </row>
    <row r="36199" spans="1:100">
      <c r="A36199" s="374"/>
      <c r="C36199" s="374"/>
      <c r="CV36199" s="376"/>
    </row>
    <row r="36200" spans="1:100">
      <c r="A36200" s="374"/>
      <c r="C36200" s="374"/>
      <c r="CV36200" s="376"/>
    </row>
    <row r="36201" spans="1:100">
      <c r="A36201" s="374"/>
      <c r="C36201" s="374"/>
      <c r="CV36201" s="376"/>
    </row>
    <row r="36202" spans="1:100">
      <c r="A36202" s="374"/>
      <c r="C36202" s="374"/>
      <c r="CV36202" s="376"/>
    </row>
    <row r="36203" spans="1:100">
      <c r="A36203" s="374"/>
      <c r="C36203" s="374"/>
      <c r="CV36203" s="376"/>
    </row>
    <row r="36204" spans="1:100">
      <c r="A36204" s="374"/>
      <c r="C36204" s="374"/>
      <c r="CV36204" s="376"/>
    </row>
    <row r="36205" spans="1:100">
      <c r="A36205" s="374"/>
      <c r="C36205" s="374"/>
      <c r="CV36205" s="376"/>
    </row>
    <row r="36206" spans="1:100">
      <c r="A36206" s="374"/>
      <c r="C36206" s="374"/>
      <c r="CV36206" s="376"/>
    </row>
    <row r="36207" spans="1:100">
      <c r="A36207" s="374"/>
      <c r="C36207" s="374"/>
      <c r="CV36207" s="376"/>
    </row>
    <row r="36208" spans="1:100">
      <c r="A36208" s="374"/>
      <c r="C36208" s="374"/>
      <c r="CV36208" s="376"/>
    </row>
    <row r="36209" spans="1:100">
      <c r="A36209" s="374"/>
      <c r="C36209" s="374"/>
      <c r="CV36209" s="376"/>
    </row>
    <row r="36210" spans="1:100">
      <c r="A36210" s="374"/>
      <c r="C36210" s="374"/>
      <c r="CV36210" s="376"/>
    </row>
    <row r="36211" spans="1:100">
      <c r="A36211" s="374"/>
      <c r="C36211" s="374"/>
      <c r="CV36211" s="376"/>
    </row>
    <row r="36212" spans="1:100">
      <c r="A36212" s="374"/>
      <c r="C36212" s="374"/>
      <c r="CV36212" s="376"/>
    </row>
    <row r="36213" spans="1:100">
      <c r="A36213" s="374"/>
      <c r="C36213" s="374"/>
      <c r="CV36213" s="376"/>
    </row>
    <row r="36214" spans="1:100">
      <c r="A36214" s="374"/>
      <c r="C36214" s="374"/>
      <c r="CV36214" s="376"/>
    </row>
    <row r="36215" spans="1:100">
      <c r="A36215" s="374"/>
      <c r="C36215" s="374"/>
      <c r="CV36215" s="376"/>
    </row>
    <row r="36216" spans="1:100">
      <c r="A36216" s="374"/>
      <c r="C36216" s="374"/>
      <c r="CV36216" s="376"/>
    </row>
    <row r="36217" spans="1:100">
      <c r="A36217" s="374"/>
      <c r="C36217" s="374"/>
      <c r="CV36217" s="376"/>
    </row>
    <row r="36218" spans="1:100">
      <c r="A36218" s="374"/>
      <c r="C36218" s="374"/>
      <c r="CV36218" s="376"/>
    </row>
    <row r="36219" spans="1:100">
      <c r="A36219" s="374"/>
      <c r="C36219" s="374"/>
      <c r="CV36219" s="376"/>
    </row>
    <row r="36220" spans="1:100">
      <c r="A36220" s="374"/>
      <c r="C36220" s="374"/>
      <c r="CV36220" s="376"/>
    </row>
    <row r="36221" spans="1:100">
      <c r="A36221" s="374"/>
      <c r="C36221" s="374"/>
      <c r="CV36221" s="376"/>
    </row>
    <row r="36222" spans="1:100">
      <c r="A36222" s="374"/>
      <c r="C36222" s="374"/>
      <c r="CV36222" s="376"/>
    </row>
    <row r="36223" spans="1:100">
      <c r="A36223" s="374"/>
      <c r="C36223" s="374"/>
      <c r="CV36223" s="376"/>
    </row>
    <row r="36224" spans="1:100">
      <c r="A36224" s="374"/>
      <c r="C36224" s="374"/>
      <c r="CV36224" s="376"/>
    </row>
    <row r="36225" spans="1:100">
      <c r="A36225" s="374"/>
      <c r="C36225" s="374"/>
      <c r="CV36225" s="376"/>
    </row>
    <row r="36226" spans="1:100">
      <c r="A36226" s="374"/>
      <c r="C36226" s="374"/>
      <c r="CV36226" s="376"/>
    </row>
    <row r="36227" spans="1:100">
      <c r="A36227" s="374"/>
      <c r="C36227" s="374"/>
      <c r="CV36227" s="376"/>
    </row>
    <row r="36228" spans="1:100">
      <c r="A36228" s="374"/>
      <c r="C36228" s="374"/>
      <c r="CV36228" s="376"/>
    </row>
    <row r="36229" spans="1:100">
      <c r="A36229" s="374"/>
      <c r="C36229" s="374"/>
      <c r="CV36229" s="376"/>
    </row>
    <row r="36230" spans="1:100">
      <c r="A36230" s="374"/>
      <c r="C36230" s="374"/>
      <c r="CV36230" s="376"/>
    </row>
    <row r="36231" spans="1:100">
      <c r="A36231" s="374"/>
      <c r="C36231" s="374"/>
      <c r="CV36231" s="376"/>
    </row>
    <row r="36232" spans="1:100">
      <c r="A36232" s="374"/>
      <c r="C36232" s="374"/>
      <c r="CV36232" s="376"/>
    </row>
    <row r="36233" spans="1:100">
      <c r="A36233" s="374"/>
      <c r="C36233" s="374"/>
      <c r="CV36233" s="376"/>
    </row>
    <row r="36234" spans="1:100">
      <c r="A36234" s="374"/>
      <c r="C36234" s="374"/>
      <c r="CV36234" s="376"/>
    </row>
    <row r="36235" spans="1:100">
      <c r="A36235" s="374"/>
      <c r="C36235" s="374"/>
      <c r="CV36235" s="376"/>
    </row>
    <row r="36236" spans="1:100">
      <c r="A36236" s="374"/>
      <c r="C36236" s="374"/>
      <c r="CV36236" s="376"/>
    </row>
    <row r="36237" spans="1:100">
      <c r="A36237" s="374"/>
      <c r="C36237" s="374"/>
      <c r="CV36237" s="376"/>
    </row>
    <row r="36238" spans="1:100">
      <c r="A36238" s="374"/>
      <c r="C36238" s="374"/>
      <c r="CV36238" s="376"/>
    </row>
    <row r="36239" spans="1:100">
      <c r="A36239" s="374"/>
      <c r="C36239" s="374"/>
      <c r="CV36239" s="376"/>
    </row>
    <row r="36240" spans="1:100">
      <c r="A36240" s="374"/>
      <c r="C36240" s="374"/>
      <c r="CV36240" s="376"/>
    </row>
    <row r="36241" spans="1:100">
      <c r="A36241" s="374"/>
      <c r="C36241" s="374"/>
      <c r="CV36241" s="376"/>
    </row>
    <row r="36242" spans="1:100">
      <c r="A36242" s="374"/>
      <c r="C36242" s="374"/>
      <c r="CV36242" s="376"/>
    </row>
    <row r="36243" spans="1:100">
      <c r="A36243" s="374"/>
      <c r="C36243" s="374"/>
      <c r="CV36243" s="376"/>
    </row>
    <row r="36244" spans="1:100">
      <c r="A36244" s="374"/>
      <c r="C36244" s="374"/>
      <c r="CV36244" s="376"/>
    </row>
    <row r="36245" spans="1:100">
      <c r="A36245" s="374"/>
      <c r="C36245" s="374"/>
      <c r="CV36245" s="376"/>
    </row>
    <row r="36246" spans="1:100">
      <c r="A36246" s="374"/>
      <c r="C36246" s="374"/>
      <c r="CV36246" s="376"/>
    </row>
    <row r="36247" spans="1:100">
      <c r="A36247" s="374"/>
      <c r="C36247" s="374"/>
      <c r="CV36247" s="376"/>
    </row>
    <row r="36248" spans="1:100">
      <c r="A36248" s="374"/>
      <c r="C36248" s="374"/>
      <c r="CV36248" s="376"/>
    </row>
    <row r="36249" spans="1:100">
      <c r="A36249" s="374"/>
      <c r="C36249" s="374"/>
      <c r="CV36249" s="376"/>
    </row>
    <row r="36250" spans="1:100">
      <c r="A36250" s="374"/>
      <c r="C36250" s="374"/>
      <c r="CV36250" s="376"/>
    </row>
    <row r="36251" spans="1:100">
      <c r="A36251" s="374"/>
      <c r="C36251" s="374"/>
      <c r="CV36251" s="376"/>
    </row>
    <row r="36252" spans="1:100">
      <c r="A36252" s="374"/>
      <c r="C36252" s="374"/>
      <c r="CV36252" s="376"/>
    </row>
    <row r="36253" spans="1:100">
      <c r="A36253" s="374"/>
      <c r="C36253" s="374"/>
      <c r="CV36253" s="376"/>
    </row>
    <row r="36254" spans="1:100">
      <c r="A36254" s="374"/>
      <c r="C36254" s="374"/>
      <c r="CV36254" s="376"/>
    </row>
    <row r="36255" spans="1:100">
      <c r="A36255" s="374"/>
      <c r="C36255" s="374"/>
      <c r="CV36255" s="376"/>
    </row>
    <row r="36256" spans="1:100">
      <c r="A36256" s="374"/>
      <c r="C36256" s="374"/>
      <c r="CV36256" s="376"/>
    </row>
    <row r="36257" spans="1:100">
      <c r="A36257" s="374"/>
      <c r="C36257" s="374"/>
      <c r="CV36257" s="376"/>
    </row>
    <row r="36258" spans="1:100">
      <c r="A36258" s="374"/>
      <c r="C36258" s="374"/>
      <c r="CV36258" s="376"/>
    </row>
    <row r="36259" spans="1:100">
      <c r="A36259" s="374"/>
      <c r="C36259" s="374"/>
      <c r="CV36259" s="376"/>
    </row>
    <row r="36260" spans="1:100">
      <c r="A36260" s="374"/>
      <c r="C36260" s="374"/>
      <c r="CV36260" s="376"/>
    </row>
    <row r="36261" spans="1:100">
      <c r="A36261" s="374"/>
      <c r="C36261" s="374"/>
      <c r="CV36261" s="376"/>
    </row>
    <row r="36262" spans="1:100">
      <c r="A36262" s="374"/>
      <c r="C36262" s="374"/>
      <c r="CV36262" s="376"/>
    </row>
    <row r="36263" spans="1:100">
      <c r="A36263" s="374"/>
      <c r="C36263" s="374"/>
      <c r="CV36263" s="376"/>
    </row>
    <row r="36264" spans="1:100">
      <c r="A36264" s="374"/>
      <c r="C36264" s="374"/>
      <c r="CV36264" s="376"/>
    </row>
    <row r="36265" spans="1:100">
      <c r="A36265" s="374"/>
      <c r="C36265" s="374"/>
      <c r="CV36265" s="376"/>
    </row>
    <row r="36266" spans="1:100">
      <c r="A36266" s="374"/>
      <c r="C36266" s="374"/>
      <c r="CV36266" s="376"/>
    </row>
    <row r="36267" spans="1:100">
      <c r="A36267" s="374"/>
      <c r="C36267" s="374"/>
      <c r="CV36267" s="376"/>
    </row>
    <row r="36268" spans="1:100">
      <c r="A36268" s="374"/>
      <c r="C36268" s="374"/>
      <c r="CV36268" s="376"/>
    </row>
    <row r="36269" spans="1:100">
      <c r="A36269" s="374"/>
      <c r="C36269" s="374"/>
      <c r="CV36269" s="376"/>
    </row>
    <row r="36270" spans="1:100">
      <c r="A36270" s="374"/>
      <c r="C36270" s="374"/>
      <c r="CV36270" s="376"/>
    </row>
    <row r="36271" spans="1:100">
      <c r="A36271" s="374"/>
      <c r="C36271" s="374"/>
      <c r="CV36271" s="376"/>
    </row>
    <row r="36272" spans="1:100">
      <c r="A36272" s="374"/>
      <c r="C36272" s="374"/>
      <c r="CV36272" s="376"/>
    </row>
    <row r="36273" spans="1:100">
      <c r="A36273" s="374"/>
      <c r="C36273" s="374"/>
      <c r="CV36273" s="376"/>
    </row>
    <row r="36274" spans="1:100">
      <c r="A36274" s="374"/>
      <c r="C36274" s="374"/>
      <c r="CV36274" s="376"/>
    </row>
    <row r="36275" spans="1:100">
      <c r="A36275" s="374"/>
      <c r="C36275" s="374"/>
      <c r="CV36275" s="376"/>
    </row>
    <row r="36276" spans="1:100">
      <c r="A36276" s="374"/>
      <c r="C36276" s="374"/>
      <c r="CV36276" s="376"/>
    </row>
    <row r="36277" spans="1:100">
      <c r="A36277" s="374"/>
      <c r="C36277" s="374"/>
      <c r="CV36277" s="376"/>
    </row>
    <row r="36278" spans="1:100">
      <c r="A36278" s="374"/>
      <c r="C36278" s="374"/>
      <c r="CV36278" s="376"/>
    </row>
    <row r="36279" spans="1:100">
      <c r="A36279" s="374"/>
      <c r="C36279" s="374"/>
      <c r="CV36279" s="376"/>
    </row>
    <row r="36280" spans="1:100">
      <c r="A36280" s="374"/>
      <c r="C36280" s="374"/>
      <c r="CV36280" s="376"/>
    </row>
    <row r="36281" spans="1:100">
      <c r="A36281" s="374"/>
      <c r="C36281" s="374"/>
      <c r="CV36281" s="376"/>
    </row>
    <row r="36282" spans="1:100">
      <c r="A36282" s="374"/>
      <c r="C36282" s="374"/>
      <c r="CV36282" s="376"/>
    </row>
    <row r="36283" spans="1:100">
      <c r="A36283" s="374"/>
      <c r="C36283" s="374"/>
      <c r="CV36283" s="376"/>
    </row>
    <row r="36284" spans="1:100">
      <c r="A36284" s="374"/>
      <c r="C36284" s="374"/>
      <c r="CV36284" s="376"/>
    </row>
    <row r="36285" spans="1:100">
      <c r="A36285" s="374"/>
      <c r="C36285" s="374"/>
      <c r="CV36285" s="376"/>
    </row>
    <row r="36286" spans="1:100">
      <c r="A36286" s="374"/>
      <c r="C36286" s="374"/>
      <c r="CV36286" s="376"/>
    </row>
    <row r="36287" spans="1:100">
      <c r="A36287" s="374"/>
      <c r="C36287" s="374"/>
      <c r="CV36287" s="376"/>
    </row>
    <row r="36288" spans="1:100">
      <c r="A36288" s="374"/>
      <c r="C36288" s="374"/>
      <c r="CV36288" s="376"/>
    </row>
    <row r="36289" spans="1:100">
      <c r="A36289" s="374"/>
      <c r="C36289" s="374"/>
      <c r="CV36289" s="376"/>
    </row>
    <row r="36290" spans="1:100">
      <c r="A36290" s="374"/>
      <c r="C36290" s="374"/>
      <c r="CV36290" s="376"/>
    </row>
    <row r="36291" spans="1:100">
      <c r="A36291" s="374"/>
      <c r="C36291" s="374"/>
      <c r="CV36291" s="376"/>
    </row>
    <row r="36292" spans="1:100">
      <c r="A36292" s="374"/>
      <c r="C36292" s="374"/>
      <c r="CV36292" s="376"/>
    </row>
    <row r="36293" spans="1:100">
      <c r="A36293" s="374"/>
      <c r="C36293" s="374"/>
      <c r="CV36293" s="376"/>
    </row>
    <row r="36294" spans="1:100">
      <c r="A36294" s="374"/>
      <c r="C36294" s="374"/>
      <c r="CV36294" s="376"/>
    </row>
    <row r="36295" spans="1:100">
      <c r="A36295" s="374"/>
      <c r="C36295" s="374"/>
      <c r="CV36295" s="376"/>
    </row>
    <row r="36296" spans="1:100">
      <c r="A36296" s="374"/>
      <c r="C36296" s="374"/>
      <c r="CV36296" s="376"/>
    </row>
    <row r="36297" spans="1:100">
      <c r="A36297" s="374"/>
      <c r="C36297" s="374"/>
      <c r="CV36297" s="376"/>
    </row>
    <row r="36298" spans="1:100">
      <c r="A36298" s="374"/>
      <c r="C36298" s="374"/>
      <c r="CV36298" s="376"/>
    </row>
    <row r="36299" spans="1:100">
      <c r="A36299" s="374"/>
      <c r="C36299" s="374"/>
      <c r="CV36299" s="376"/>
    </row>
    <row r="36300" spans="1:100">
      <c r="A36300" s="374"/>
      <c r="C36300" s="374"/>
      <c r="CV36300" s="376"/>
    </row>
    <row r="36301" spans="1:100">
      <c r="A36301" s="374"/>
      <c r="C36301" s="374"/>
      <c r="CV36301" s="376"/>
    </row>
    <row r="36302" spans="1:100">
      <c r="A36302" s="374"/>
      <c r="C36302" s="374"/>
      <c r="CV36302" s="376"/>
    </row>
    <row r="36303" spans="1:100">
      <c r="A36303" s="374"/>
      <c r="C36303" s="374"/>
      <c r="CV36303" s="376"/>
    </row>
    <row r="36304" spans="1:100">
      <c r="A36304" s="374"/>
      <c r="C36304" s="374"/>
      <c r="CV36304" s="376"/>
    </row>
    <row r="36305" spans="1:100">
      <c r="A36305" s="374"/>
      <c r="C36305" s="374"/>
      <c r="CV36305" s="376"/>
    </row>
    <row r="36306" spans="1:100">
      <c r="A36306" s="374"/>
      <c r="C36306" s="374"/>
      <c r="CV36306" s="376"/>
    </row>
    <row r="36307" spans="1:100">
      <c r="A36307" s="374"/>
      <c r="C36307" s="374"/>
      <c r="CV36307" s="376"/>
    </row>
    <row r="36308" spans="1:100">
      <c r="A36308" s="374"/>
      <c r="C36308" s="374"/>
      <c r="CV36308" s="376"/>
    </row>
    <row r="36309" spans="1:100">
      <c r="A36309" s="374"/>
      <c r="C36309" s="374"/>
      <c r="CV36309" s="376"/>
    </row>
    <row r="36310" spans="1:100">
      <c r="A36310" s="374"/>
      <c r="C36310" s="374"/>
      <c r="CV36310" s="376"/>
    </row>
    <row r="36311" spans="1:100">
      <c r="A36311" s="374"/>
      <c r="C36311" s="374"/>
      <c r="CV36311" s="376"/>
    </row>
    <row r="36312" spans="1:100">
      <c r="A36312" s="374"/>
      <c r="C36312" s="374"/>
      <c r="CV36312" s="376"/>
    </row>
    <row r="36313" spans="1:100">
      <c r="A36313" s="374"/>
      <c r="C36313" s="374"/>
      <c r="CV36313" s="376"/>
    </row>
    <row r="36314" spans="1:100">
      <c r="A36314" s="374"/>
      <c r="C36314" s="374"/>
      <c r="CV36314" s="376"/>
    </row>
    <row r="36315" spans="1:100">
      <c r="A36315" s="374"/>
      <c r="C36315" s="374"/>
      <c r="CV36315" s="376"/>
    </row>
    <row r="36316" spans="1:100">
      <c r="A36316" s="374"/>
      <c r="C36316" s="374"/>
      <c r="CV36316" s="376"/>
    </row>
    <row r="36317" spans="1:100">
      <c r="A36317" s="374"/>
      <c r="C36317" s="374"/>
      <c r="CV36317" s="376"/>
    </row>
    <row r="36318" spans="1:100">
      <c r="A36318" s="374"/>
      <c r="C36318" s="374"/>
      <c r="CV36318" s="376"/>
    </row>
    <row r="36319" spans="1:100">
      <c r="A36319" s="374"/>
      <c r="C36319" s="374"/>
      <c r="CV36319" s="376"/>
    </row>
    <row r="36320" spans="1:100">
      <c r="A36320" s="374"/>
      <c r="C36320" s="374"/>
      <c r="CV36320" s="376"/>
    </row>
    <row r="36321" spans="1:100">
      <c r="A36321" s="374"/>
      <c r="C36321" s="374"/>
      <c r="CV36321" s="376"/>
    </row>
    <row r="36322" spans="1:100">
      <c r="A36322" s="374"/>
      <c r="C36322" s="374"/>
      <c r="CV36322" s="376"/>
    </row>
    <row r="36323" spans="1:100">
      <c r="A36323" s="374"/>
      <c r="C36323" s="374"/>
      <c r="CV36323" s="376"/>
    </row>
    <row r="36324" spans="1:100">
      <c r="A36324" s="374"/>
      <c r="C36324" s="374"/>
      <c r="CV36324" s="376"/>
    </row>
    <row r="36325" spans="1:100">
      <c r="A36325" s="374"/>
      <c r="C36325" s="374"/>
      <c r="CV36325" s="376"/>
    </row>
    <row r="36326" spans="1:100">
      <c r="A36326" s="374"/>
      <c r="C36326" s="374"/>
      <c r="CV36326" s="376"/>
    </row>
    <row r="36327" spans="1:100">
      <c r="A36327" s="374"/>
      <c r="C36327" s="374"/>
      <c r="CV36327" s="376"/>
    </row>
    <row r="36328" spans="1:100">
      <c r="A36328" s="374"/>
      <c r="C36328" s="374"/>
      <c r="CV36328" s="376"/>
    </row>
    <row r="36329" spans="1:100">
      <c r="A36329" s="374"/>
      <c r="C36329" s="374"/>
      <c r="CV36329" s="376"/>
    </row>
    <row r="36330" spans="1:100">
      <c r="A36330" s="374"/>
      <c r="C36330" s="374"/>
      <c r="CV36330" s="376"/>
    </row>
    <row r="36331" spans="1:100">
      <c r="A36331" s="374"/>
      <c r="C36331" s="374"/>
      <c r="CV36331" s="376"/>
    </row>
    <row r="36332" spans="1:100">
      <c r="A36332" s="374"/>
      <c r="C36332" s="374"/>
      <c r="CV36332" s="376"/>
    </row>
    <row r="36333" spans="1:100">
      <c r="A36333" s="374"/>
      <c r="C36333" s="374"/>
      <c r="CV36333" s="376"/>
    </row>
    <row r="36334" spans="1:100">
      <c r="A36334" s="374"/>
      <c r="C36334" s="374"/>
      <c r="CV36334" s="376"/>
    </row>
    <row r="36335" spans="1:100">
      <c r="A36335" s="374"/>
      <c r="C36335" s="374"/>
      <c r="CV36335" s="376"/>
    </row>
    <row r="36336" spans="1:100">
      <c r="A36336" s="374"/>
      <c r="C36336" s="374"/>
      <c r="CV36336" s="376"/>
    </row>
    <row r="36337" spans="1:100">
      <c r="A36337" s="374"/>
      <c r="C36337" s="374"/>
      <c r="CV36337" s="376"/>
    </row>
    <row r="36338" spans="1:100">
      <c r="A36338" s="374"/>
      <c r="C36338" s="374"/>
      <c r="CV36338" s="376"/>
    </row>
    <row r="36339" spans="1:100">
      <c r="A36339" s="374"/>
      <c r="C36339" s="374"/>
      <c r="CV36339" s="376"/>
    </row>
    <row r="36340" spans="1:100">
      <c r="A36340" s="374"/>
      <c r="C36340" s="374"/>
      <c r="CV36340" s="376"/>
    </row>
    <row r="36341" spans="1:100">
      <c r="A36341" s="374"/>
      <c r="C36341" s="374"/>
      <c r="CV36341" s="376"/>
    </row>
    <row r="36342" spans="1:100">
      <c r="A36342" s="374"/>
      <c r="C36342" s="374"/>
      <c r="CV36342" s="376"/>
    </row>
    <row r="36343" spans="1:100">
      <c r="A36343" s="374"/>
      <c r="C36343" s="374"/>
      <c r="CV36343" s="376"/>
    </row>
    <row r="36344" spans="1:100">
      <c r="A36344" s="374"/>
      <c r="C36344" s="374"/>
      <c r="CV36344" s="376"/>
    </row>
    <row r="36345" spans="1:100">
      <c r="A36345" s="374"/>
      <c r="C36345" s="374"/>
      <c r="CV36345" s="376"/>
    </row>
    <row r="36346" spans="1:100">
      <c r="A36346" s="374"/>
      <c r="C36346" s="374"/>
      <c r="CV36346" s="376"/>
    </row>
    <row r="36347" spans="1:100">
      <c r="A36347" s="374"/>
      <c r="C36347" s="374"/>
      <c r="CV36347" s="376"/>
    </row>
    <row r="36348" spans="1:100">
      <c r="A36348" s="374"/>
      <c r="C36348" s="374"/>
      <c r="CV36348" s="376"/>
    </row>
    <row r="36349" spans="1:100">
      <c r="A36349" s="374"/>
      <c r="C36349" s="374"/>
      <c r="CV36349" s="376"/>
    </row>
    <row r="36350" spans="1:100">
      <c r="A36350" s="374"/>
      <c r="C36350" s="374"/>
      <c r="CV36350" s="376"/>
    </row>
    <row r="36351" spans="1:100">
      <c r="A36351" s="374"/>
      <c r="C36351" s="374"/>
      <c r="CV36351" s="376"/>
    </row>
    <row r="36352" spans="1:100">
      <c r="A36352" s="374"/>
      <c r="C36352" s="374"/>
      <c r="CV36352" s="376"/>
    </row>
    <row r="36353" spans="1:100">
      <c r="A36353" s="374"/>
      <c r="C36353" s="374"/>
      <c r="CV36353" s="376"/>
    </row>
    <row r="36354" spans="1:100">
      <c r="A36354" s="374"/>
      <c r="C36354" s="374"/>
      <c r="CV36354" s="376"/>
    </row>
    <row r="36355" spans="1:100">
      <c r="A36355" s="374"/>
      <c r="C36355" s="374"/>
      <c r="CV36355" s="376"/>
    </row>
    <row r="36356" spans="1:100">
      <c r="A36356" s="374"/>
      <c r="C36356" s="374"/>
      <c r="CV36356" s="376"/>
    </row>
    <row r="36357" spans="1:100">
      <c r="A36357" s="374"/>
      <c r="C36357" s="374"/>
      <c r="CV36357" s="376"/>
    </row>
    <row r="36358" spans="1:100">
      <c r="A36358" s="374"/>
      <c r="C36358" s="374"/>
      <c r="CV36358" s="376"/>
    </row>
    <row r="36359" spans="1:100">
      <c r="A36359" s="374"/>
      <c r="C36359" s="374"/>
      <c r="CV36359" s="376"/>
    </row>
    <row r="36360" spans="1:100">
      <c r="A36360" s="374"/>
      <c r="C36360" s="374"/>
      <c r="CV36360" s="376"/>
    </row>
    <row r="36361" spans="1:100">
      <c r="A36361" s="374"/>
      <c r="C36361" s="374"/>
      <c r="CV36361" s="376"/>
    </row>
    <row r="36362" spans="1:100">
      <c r="A36362" s="374"/>
      <c r="C36362" s="374"/>
      <c r="CV36362" s="376"/>
    </row>
    <row r="36363" spans="1:100">
      <c r="A36363" s="374"/>
      <c r="C36363" s="374"/>
      <c r="CV36363" s="376"/>
    </row>
    <row r="36364" spans="1:100">
      <c r="A36364" s="374"/>
      <c r="C36364" s="374"/>
      <c r="CV36364" s="376"/>
    </row>
    <row r="36365" spans="1:100">
      <c r="A36365" s="374"/>
      <c r="C36365" s="374"/>
      <c r="CV36365" s="376"/>
    </row>
    <row r="36366" spans="1:100">
      <c r="A36366" s="374"/>
      <c r="C36366" s="374"/>
      <c r="CV36366" s="376"/>
    </row>
    <row r="36367" spans="1:100">
      <c r="A36367" s="374"/>
      <c r="C36367" s="374"/>
      <c r="CV36367" s="376"/>
    </row>
    <row r="36368" spans="1:100">
      <c r="A36368" s="374"/>
      <c r="C36368" s="374"/>
      <c r="CV36368" s="376"/>
    </row>
    <row r="36369" spans="1:100">
      <c r="A36369" s="374"/>
      <c r="C36369" s="374"/>
      <c r="CV36369" s="376"/>
    </row>
    <row r="36370" spans="1:100">
      <c r="A36370" s="374"/>
      <c r="C36370" s="374"/>
      <c r="CV36370" s="376"/>
    </row>
    <row r="36371" spans="1:100">
      <c r="A36371" s="374"/>
      <c r="C36371" s="374"/>
      <c r="CV36371" s="376"/>
    </row>
    <row r="36372" spans="1:100">
      <c r="A36372" s="374"/>
      <c r="C36372" s="374"/>
      <c r="CV36372" s="376"/>
    </row>
    <row r="36373" spans="1:100">
      <c r="A36373" s="374"/>
      <c r="C36373" s="374"/>
      <c r="CV36373" s="376"/>
    </row>
    <row r="36374" spans="1:100">
      <c r="A36374" s="374"/>
      <c r="C36374" s="374"/>
      <c r="CV36374" s="376"/>
    </row>
    <row r="36375" spans="1:100">
      <c r="A36375" s="374"/>
      <c r="C36375" s="374"/>
      <c r="CV36375" s="376"/>
    </row>
    <row r="36376" spans="1:100">
      <c r="A36376" s="374"/>
      <c r="C36376" s="374"/>
      <c r="CV36376" s="376"/>
    </row>
    <row r="36377" spans="1:100">
      <c r="A36377" s="374"/>
      <c r="C36377" s="374"/>
      <c r="CV36377" s="376"/>
    </row>
    <row r="36378" spans="1:100">
      <c r="A36378" s="374"/>
      <c r="C36378" s="374"/>
      <c r="CV36378" s="376"/>
    </row>
    <row r="36379" spans="1:100">
      <c r="A36379" s="374"/>
      <c r="C36379" s="374"/>
      <c r="CV36379" s="376"/>
    </row>
    <row r="36380" spans="1:100">
      <c r="A36380" s="374"/>
      <c r="C36380" s="374"/>
      <c r="CV36380" s="376"/>
    </row>
    <row r="36381" spans="1:100">
      <c r="A36381" s="374"/>
      <c r="C36381" s="374"/>
      <c r="CV36381" s="376"/>
    </row>
    <row r="36382" spans="1:100">
      <c r="A36382" s="374"/>
      <c r="C36382" s="374"/>
      <c r="CV36382" s="376"/>
    </row>
    <row r="36383" spans="1:100">
      <c r="A36383" s="374"/>
      <c r="C36383" s="374"/>
      <c r="CV36383" s="376"/>
    </row>
    <row r="36384" spans="1:100">
      <c r="A36384" s="374"/>
      <c r="C36384" s="374"/>
      <c r="CV36384" s="376"/>
    </row>
    <row r="36385" spans="1:100">
      <c r="A36385" s="374"/>
      <c r="C36385" s="374"/>
      <c r="CV36385" s="376"/>
    </row>
    <row r="36386" spans="1:100">
      <c r="A36386" s="374"/>
      <c r="C36386" s="374"/>
      <c r="CV36386" s="376"/>
    </row>
    <row r="36387" spans="1:100">
      <c r="A36387" s="374"/>
      <c r="C36387" s="374"/>
      <c r="CV36387" s="376"/>
    </row>
    <row r="36388" spans="1:100">
      <c r="A36388" s="374"/>
      <c r="C36388" s="374"/>
      <c r="CV36388" s="376"/>
    </row>
    <row r="36389" spans="1:100">
      <c r="A36389" s="374"/>
      <c r="C36389" s="374"/>
      <c r="CV36389" s="376"/>
    </row>
    <row r="36390" spans="1:100">
      <c r="A36390" s="374"/>
      <c r="C36390" s="374"/>
      <c r="CV36390" s="376"/>
    </row>
    <row r="36391" spans="1:100">
      <c r="A36391" s="374"/>
      <c r="C36391" s="374"/>
      <c r="CV36391" s="376"/>
    </row>
    <row r="36392" spans="1:100">
      <c r="A36392" s="374"/>
      <c r="C36392" s="374"/>
      <c r="CV36392" s="376"/>
    </row>
    <row r="36393" spans="1:100">
      <c r="A36393" s="374"/>
      <c r="C36393" s="374"/>
      <c r="CV36393" s="376"/>
    </row>
    <row r="36394" spans="1:100">
      <c r="A36394" s="374"/>
      <c r="C36394" s="374"/>
      <c r="CV36394" s="376"/>
    </row>
    <row r="36395" spans="1:100">
      <c r="A36395" s="374"/>
      <c r="C36395" s="374"/>
      <c r="CV36395" s="376"/>
    </row>
    <row r="36396" spans="1:100">
      <c r="A36396" s="374"/>
      <c r="C36396" s="374"/>
      <c r="CV36396" s="376"/>
    </row>
    <row r="36397" spans="1:100">
      <c r="A36397" s="374"/>
      <c r="C36397" s="374"/>
      <c r="CV36397" s="376"/>
    </row>
    <row r="36398" spans="1:100">
      <c r="A36398" s="374"/>
      <c r="C36398" s="374"/>
      <c r="CV36398" s="376"/>
    </row>
    <row r="36399" spans="1:100">
      <c r="A36399" s="374"/>
      <c r="C36399" s="374"/>
      <c r="CV36399" s="376"/>
    </row>
    <row r="36400" spans="1:100">
      <c r="A36400" s="374"/>
      <c r="C36400" s="374"/>
      <c r="CV36400" s="376"/>
    </row>
    <row r="36401" spans="1:100">
      <c r="A36401" s="374"/>
      <c r="C36401" s="374"/>
      <c r="CV36401" s="376"/>
    </row>
    <row r="36402" spans="1:100">
      <c r="A36402" s="374"/>
      <c r="C36402" s="374"/>
      <c r="CV36402" s="376"/>
    </row>
    <row r="36403" spans="1:100">
      <c r="A36403" s="374"/>
      <c r="C36403" s="374"/>
      <c r="CV36403" s="376"/>
    </row>
    <row r="36404" spans="1:100">
      <c r="A36404" s="374"/>
      <c r="C36404" s="374"/>
      <c r="CV36404" s="376"/>
    </row>
    <row r="36405" spans="1:100">
      <c r="A36405" s="374"/>
      <c r="C36405" s="374"/>
      <c r="CV36405" s="376"/>
    </row>
    <row r="36406" spans="1:100">
      <c r="A36406" s="374"/>
      <c r="C36406" s="374"/>
      <c r="CV36406" s="376"/>
    </row>
    <row r="36407" spans="1:100">
      <c r="A36407" s="374"/>
      <c r="C36407" s="374"/>
      <c r="CV36407" s="376"/>
    </row>
    <row r="36408" spans="1:100">
      <c r="A36408" s="374"/>
      <c r="C36408" s="374"/>
      <c r="CV36408" s="376"/>
    </row>
    <row r="36409" spans="1:100">
      <c r="A36409" s="374"/>
      <c r="C36409" s="374"/>
      <c r="CV36409" s="376"/>
    </row>
    <row r="36410" spans="1:100">
      <c r="A36410" s="374"/>
      <c r="C36410" s="374"/>
      <c r="CV36410" s="376"/>
    </row>
    <row r="36411" spans="1:100">
      <c r="A36411" s="374"/>
      <c r="C36411" s="374"/>
      <c r="CV36411" s="376"/>
    </row>
    <row r="36412" spans="1:100">
      <c r="A36412" s="374"/>
      <c r="C36412" s="374"/>
      <c r="CV36412" s="376"/>
    </row>
    <row r="36413" spans="1:100">
      <c r="A36413" s="374"/>
      <c r="C36413" s="374"/>
      <c r="CV36413" s="376"/>
    </row>
    <row r="36414" spans="1:100">
      <c r="A36414" s="374"/>
      <c r="C36414" s="374"/>
      <c r="CV36414" s="376"/>
    </row>
    <row r="36415" spans="1:100">
      <c r="A36415" s="374"/>
      <c r="C36415" s="374"/>
      <c r="CV36415" s="376"/>
    </row>
    <row r="36416" spans="1:100">
      <c r="A36416" s="374"/>
      <c r="C36416" s="374"/>
      <c r="CV36416" s="376"/>
    </row>
    <row r="36417" spans="1:100">
      <c r="A36417" s="374"/>
      <c r="C36417" s="374"/>
      <c r="CV36417" s="376"/>
    </row>
    <row r="36418" spans="1:100">
      <c r="A36418" s="374"/>
      <c r="C36418" s="374"/>
      <c r="CV36418" s="376"/>
    </row>
    <row r="36419" spans="1:100">
      <c r="A36419" s="374"/>
      <c r="C36419" s="374"/>
      <c r="CV36419" s="376"/>
    </row>
    <row r="36420" spans="1:100">
      <c r="A36420" s="374"/>
      <c r="C36420" s="374"/>
      <c r="CV36420" s="376"/>
    </row>
    <row r="36421" spans="1:100">
      <c r="A36421" s="374"/>
      <c r="C36421" s="374"/>
      <c r="CV36421" s="376"/>
    </row>
    <row r="36422" spans="1:100">
      <c r="A36422" s="374"/>
      <c r="C36422" s="374"/>
      <c r="CV36422" s="376"/>
    </row>
    <row r="36423" spans="1:100">
      <c r="A36423" s="374"/>
      <c r="C36423" s="374"/>
      <c r="CV36423" s="376"/>
    </row>
    <row r="36424" spans="1:100">
      <c r="A36424" s="374"/>
      <c r="C36424" s="374"/>
      <c r="CV36424" s="376"/>
    </row>
    <row r="36425" spans="1:100">
      <c r="A36425" s="374"/>
      <c r="C36425" s="374"/>
      <c r="CV36425" s="376"/>
    </row>
    <row r="36426" spans="1:100">
      <c r="A36426" s="374"/>
      <c r="C36426" s="374"/>
      <c r="CV36426" s="376"/>
    </row>
    <row r="36427" spans="1:100">
      <c r="A36427" s="374"/>
      <c r="C36427" s="374"/>
      <c r="CV36427" s="376"/>
    </row>
    <row r="36428" spans="1:100">
      <c r="A36428" s="374"/>
      <c r="C36428" s="374"/>
      <c r="CV36428" s="376"/>
    </row>
    <row r="36429" spans="1:100">
      <c r="A36429" s="374"/>
      <c r="C36429" s="374"/>
      <c r="CV36429" s="376"/>
    </row>
    <row r="36430" spans="1:100">
      <c r="A36430" s="374"/>
      <c r="C36430" s="374"/>
      <c r="CV36430" s="376"/>
    </row>
    <row r="36431" spans="1:100">
      <c r="A36431" s="374"/>
      <c r="C36431" s="374"/>
      <c r="CV36431" s="376"/>
    </row>
    <row r="36432" spans="1:100">
      <c r="A36432" s="374"/>
      <c r="C36432" s="374"/>
      <c r="CV36432" s="376"/>
    </row>
    <row r="36433" spans="1:100">
      <c r="A36433" s="374"/>
      <c r="C36433" s="374"/>
      <c r="CV36433" s="376"/>
    </row>
    <row r="36434" spans="1:100">
      <c r="A36434" s="374"/>
      <c r="C36434" s="374"/>
      <c r="CV36434" s="376"/>
    </row>
    <row r="36435" spans="1:100">
      <c r="A36435" s="374"/>
      <c r="C36435" s="374"/>
      <c r="CV36435" s="376"/>
    </row>
    <row r="36436" spans="1:100">
      <c r="A36436" s="374"/>
      <c r="C36436" s="374"/>
      <c r="CV36436" s="376"/>
    </row>
    <row r="36437" spans="1:100">
      <c r="A36437" s="374"/>
      <c r="C36437" s="374"/>
      <c r="CV36437" s="376"/>
    </row>
    <row r="36438" spans="1:100">
      <c r="A36438" s="374"/>
      <c r="C36438" s="374"/>
      <c r="CV36438" s="376"/>
    </row>
    <row r="36439" spans="1:100">
      <c r="A36439" s="374"/>
      <c r="C36439" s="374"/>
      <c r="CV36439" s="376"/>
    </row>
    <row r="36440" spans="1:100">
      <c r="A36440" s="374"/>
      <c r="C36440" s="374"/>
      <c r="CV36440" s="376"/>
    </row>
    <row r="36441" spans="1:100">
      <c r="A36441" s="374"/>
      <c r="C36441" s="374"/>
      <c r="CV36441" s="376"/>
    </row>
    <row r="36442" spans="1:100">
      <c r="A36442" s="374"/>
      <c r="C36442" s="374"/>
      <c r="CV36442" s="376"/>
    </row>
    <row r="36443" spans="1:100">
      <c r="A36443" s="374"/>
      <c r="C36443" s="374"/>
      <c r="CV36443" s="376"/>
    </row>
    <row r="36444" spans="1:100">
      <c r="A36444" s="374"/>
      <c r="C36444" s="374"/>
      <c r="CV36444" s="376"/>
    </row>
    <row r="36445" spans="1:100">
      <c r="A36445" s="374"/>
      <c r="C36445" s="374"/>
      <c r="CV36445" s="376"/>
    </row>
    <row r="36446" spans="1:100">
      <c r="A36446" s="374"/>
      <c r="C36446" s="374"/>
      <c r="CV36446" s="376"/>
    </row>
    <row r="36447" spans="1:100">
      <c r="A36447" s="374"/>
      <c r="C36447" s="374"/>
      <c r="CV36447" s="376"/>
    </row>
    <row r="36448" spans="1:100">
      <c r="A36448" s="374"/>
      <c r="C36448" s="374"/>
      <c r="CV36448" s="376"/>
    </row>
    <row r="36449" spans="1:100">
      <c r="A36449" s="374"/>
      <c r="C36449" s="374"/>
      <c r="CV36449" s="376"/>
    </row>
    <row r="36450" spans="1:100">
      <c r="A36450" s="374"/>
      <c r="C36450" s="374"/>
      <c r="CV36450" s="376"/>
    </row>
    <row r="36451" spans="1:100">
      <c r="A36451" s="374"/>
      <c r="C36451" s="374"/>
      <c r="CV36451" s="376"/>
    </row>
    <row r="36452" spans="1:100">
      <c r="A36452" s="374"/>
      <c r="C36452" s="374"/>
      <c r="CV36452" s="376"/>
    </row>
    <row r="36453" spans="1:100">
      <c r="A36453" s="374"/>
      <c r="C36453" s="374"/>
      <c r="CV36453" s="376"/>
    </row>
    <row r="36454" spans="1:100">
      <c r="A36454" s="374"/>
      <c r="C36454" s="374"/>
      <c r="CV36454" s="376"/>
    </row>
    <row r="36455" spans="1:100">
      <c r="A36455" s="374"/>
      <c r="C36455" s="374"/>
      <c r="CV36455" s="376"/>
    </row>
    <row r="36456" spans="1:100">
      <c r="A36456" s="374"/>
      <c r="C36456" s="374"/>
      <c r="CV36456" s="376"/>
    </row>
    <row r="36457" spans="1:100">
      <c r="A36457" s="374"/>
      <c r="C36457" s="374"/>
      <c r="CV36457" s="376"/>
    </row>
    <row r="36458" spans="1:100">
      <c r="A36458" s="374"/>
      <c r="C36458" s="374"/>
      <c r="CV36458" s="376"/>
    </row>
    <row r="36459" spans="1:100">
      <c r="A36459" s="374"/>
      <c r="C36459" s="374"/>
      <c r="CV36459" s="376"/>
    </row>
    <row r="36460" spans="1:100">
      <c r="A36460" s="374"/>
      <c r="C36460" s="374"/>
      <c r="CV36460" s="376"/>
    </row>
    <row r="36461" spans="1:100">
      <c r="A36461" s="374"/>
      <c r="C36461" s="374"/>
      <c r="CV36461" s="376"/>
    </row>
    <row r="36462" spans="1:100">
      <c r="A36462" s="374"/>
      <c r="C36462" s="374"/>
      <c r="CV36462" s="376"/>
    </row>
    <row r="36463" spans="1:100">
      <c r="A36463" s="374"/>
      <c r="C36463" s="374"/>
      <c r="CV36463" s="376"/>
    </row>
    <row r="36464" spans="1:100">
      <c r="A36464" s="374"/>
      <c r="C36464" s="374"/>
      <c r="CV36464" s="376"/>
    </row>
    <row r="36465" spans="1:100">
      <c r="A36465" s="374"/>
      <c r="C36465" s="374"/>
      <c r="CV36465" s="376"/>
    </row>
    <row r="36466" spans="1:100">
      <c r="A36466" s="374"/>
      <c r="C36466" s="374"/>
      <c r="CV36466" s="376"/>
    </row>
    <row r="36467" spans="1:100">
      <c r="A36467" s="374"/>
      <c r="C36467" s="374"/>
      <c r="CV36467" s="376"/>
    </row>
    <row r="36468" spans="1:100">
      <c r="A36468" s="374"/>
      <c r="C36468" s="374"/>
      <c r="CV36468" s="376"/>
    </row>
    <row r="36469" spans="1:100">
      <c r="A36469" s="374"/>
      <c r="C36469" s="374"/>
      <c r="CV36469" s="376"/>
    </row>
    <row r="36470" spans="1:100">
      <c r="A36470" s="374"/>
      <c r="C36470" s="374"/>
      <c r="CV36470" s="376"/>
    </row>
    <row r="36471" spans="1:100">
      <c r="A36471" s="374"/>
      <c r="C36471" s="374"/>
      <c r="CV36471" s="376"/>
    </row>
    <row r="36472" spans="1:100">
      <c r="A36472" s="374"/>
      <c r="C36472" s="374"/>
      <c r="CV36472" s="376"/>
    </row>
    <row r="36473" spans="1:100">
      <c r="A36473" s="374"/>
      <c r="C36473" s="374"/>
      <c r="CV36473" s="376"/>
    </row>
    <row r="36474" spans="1:100">
      <c r="A36474" s="374"/>
      <c r="C36474" s="374"/>
      <c r="CV36474" s="376"/>
    </row>
    <row r="36475" spans="1:100">
      <c r="A36475" s="374"/>
      <c r="C36475" s="374"/>
      <c r="CV36475" s="376"/>
    </row>
    <row r="36476" spans="1:100">
      <c r="A36476" s="374"/>
      <c r="C36476" s="374"/>
      <c r="CV36476" s="376"/>
    </row>
    <row r="36477" spans="1:100">
      <c r="A36477" s="374"/>
      <c r="C36477" s="374"/>
      <c r="CV36477" s="376"/>
    </row>
    <row r="36478" spans="1:100">
      <c r="A36478" s="374"/>
      <c r="C36478" s="374"/>
      <c r="CV36478" s="376"/>
    </row>
    <row r="36479" spans="1:100">
      <c r="A36479" s="374"/>
      <c r="C36479" s="374"/>
      <c r="CV36479" s="376"/>
    </row>
    <row r="36480" spans="1:100">
      <c r="A36480" s="374"/>
      <c r="C36480" s="374"/>
      <c r="CV36480" s="376"/>
    </row>
    <row r="36481" spans="1:100">
      <c r="A36481" s="374"/>
      <c r="C36481" s="374"/>
      <c r="CV36481" s="376"/>
    </row>
    <row r="36482" spans="1:100">
      <c r="A36482" s="374"/>
      <c r="C36482" s="374"/>
      <c r="CV36482" s="376"/>
    </row>
    <row r="36483" spans="1:100">
      <c r="A36483" s="374"/>
      <c r="C36483" s="374"/>
      <c r="CV36483" s="376"/>
    </row>
    <row r="36484" spans="1:100">
      <c r="A36484" s="374"/>
      <c r="C36484" s="374"/>
      <c r="CV36484" s="376"/>
    </row>
    <row r="36485" spans="1:100">
      <c r="A36485" s="374"/>
      <c r="C36485" s="374"/>
      <c r="CV36485" s="376"/>
    </row>
    <row r="36486" spans="1:100">
      <c r="A36486" s="374"/>
      <c r="C36486" s="374"/>
      <c r="CV36486" s="376"/>
    </row>
    <row r="36487" spans="1:100">
      <c r="A36487" s="374"/>
      <c r="C36487" s="374"/>
      <c r="CV36487" s="376"/>
    </row>
    <row r="36488" spans="1:100">
      <c r="A36488" s="374"/>
      <c r="C36488" s="374"/>
      <c r="CV36488" s="376"/>
    </row>
    <row r="36489" spans="1:100">
      <c r="A36489" s="374"/>
      <c r="C36489" s="374"/>
      <c r="CV36489" s="376"/>
    </row>
    <row r="36490" spans="1:100">
      <c r="A36490" s="374"/>
      <c r="C36490" s="374"/>
      <c r="CV36490" s="376"/>
    </row>
    <row r="36491" spans="1:100">
      <c r="A36491" s="374"/>
      <c r="C36491" s="374"/>
      <c r="CV36491" s="376"/>
    </row>
    <row r="36492" spans="1:100">
      <c r="A36492" s="374"/>
      <c r="C36492" s="374"/>
      <c r="CV36492" s="376"/>
    </row>
    <row r="36493" spans="1:100">
      <c r="A36493" s="374"/>
      <c r="C36493" s="374"/>
      <c r="CV36493" s="376"/>
    </row>
    <row r="36494" spans="1:100">
      <c r="A36494" s="374"/>
      <c r="C36494" s="374"/>
      <c r="CV36494" s="376"/>
    </row>
    <row r="36495" spans="1:100">
      <c r="A36495" s="374"/>
      <c r="C36495" s="374"/>
      <c r="CV36495" s="376"/>
    </row>
    <row r="36496" spans="1:100">
      <c r="A36496" s="374"/>
      <c r="C36496" s="374"/>
      <c r="CV36496" s="376"/>
    </row>
    <row r="36497" spans="1:100">
      <c r="A36497" s="374"/>
      <c r="C36497" s="374"/>
      <c r="CV36497" s="376"/>
    </row>
    <row r="36498" spans="1:100">
      <c r="A36498" s="374"/>
      <c r="C36498" s="374"/>
      <c r="CV36498" s="376"/>
    </row>
    <row r="36499" spans="1:100">
      <c r="A36499" s="374"/>
      <c r="C36499" s="374"/>
      <c r="CV36499" s="376"/>
    </row>
    <row r="36500" spans="1:100">
      <c r="A36500" s="374"/>
      <c r="C36500" s="374"/>
      <c r="CV36500" s="376"/>
    </row>
    <row r="36501" spans="1:100">
      <c r="A36501" s="374"/>
      <c r="C36501" s="374"/>
      <c r="CV36501" s="376"/>
    </row>
    <row r="36502" spans="1:100">
      <c r="A36502" s="374"/>
      <c r="C36502" s="374"/>
      <c r="CV36502" s="376"/>
    </row>
    <row r="36503" spans="1:100">
      <c r="A36503" s="374"/>
      <c r="C36503" s="374"/>
      <c r="CV36503" s="376"/>
    </row>
    <row r="36504" spans="1:100">
      <c r="A36504" s="374"/>
      <c r="C36504" s="374"/>
      <c r="CV36504" s="376"/>
    </row>
    <row r="36505" spans="1:100">
      <c r="A36505" s="374"/>
      <c r="C36505" s="374"/>
      <c r="CV36505" s="376"/>
    </row>
    <row r="36506" spans="1:100">
      <c r="A36506" s="374"/>
      <c r="C36506" s="374"/>
      <c r="CV36506" s="376"/>
    </row>
    <row r="36507" spans="1:100">
      <c r="A36507" s="374"/>
      <c r="C36507" s="374"/>
      <c r="CV36507" s="376"/>
    </row>
    <row r="36508" spans="1:100">
      <c r="A36508" s="374"/>
      <c r="C36508" s="374"/>
      <c r="CV36508" s="376"/>
    </row>
    <row r="36509" spans="1:100">
      <c r="A36509" s="374"/>
      <c r="C36509" s="374"/>
      <c r="CV36509" s="376"/>
    </row>
    <row r="36510" spans="1:100">
      <c r="A36510" s="374"/>
      <c r="C36510" s="374"/>
      <c r="CV36510" s="376"/>
    </row>
    <row r="36511" spans="1:100">
      <c r="A36511" s="374"/>
      <c r="C36511" s="374"/>
      <c r="CV36511" s="376"/>
    </row>
    <row r="36512" spans="1:100">
      <c r="A36512" s="374"/>
      <c r="C36512" s="374"/>
      <c r="CV36512" s="376"/>
    </row>
    <row r="36513" spans="1:100">
      <c r="A36513" s="374"/>
      <c r="C36513" s="374"/>
      <c r="CV36513" s="376"/>
    </row>
    <row r="36514" spans="1:100">
      <c r="A36514" s="374"/>
      <c r="C36514" s="374"/>
      <c r="CV36514" s="376"/>
    </row>
    <row r="36515" spans="1:100">
      <c r="A36515" s="374"/>
      <c r="C36515" s="374"/>
      <c r="CV36515" s="376"/>
    </row>
    <row r="36516" spans="1:100">
      <c r="A36516" s="374"/>
      <c r="C36516" s="374"/>
      <c r="CV36516" s="376"/>
    </row>
    <row r="36517" spans="1:100">
      <c r="A36517" s="374"/>
      <c r="C36517" s="374"/>
      <c r="CV36517" s="376"/>
    </row>
    <row r="36518" spans="1:100">
      <c r="A36518" s="374"/>
      <c r="C36518" s="374"/>
      <c r="CV36518" s="376"/>
    </row>
    <row r="36519" spans="1:100">
      <c r="A36519" s="374"/>
      <c r="C36519" s="374"/>
      <c r="CV36519" s="376"/>
    </row>
    <row r="36520" spans="1:100">
      <c r="A36520" s="374"/>
      <c r="C36520" s="374"/>
      <c r="CV36520" s="376"/>
    </row>
    <row r="36521" spans="1:100">
      <c r="A36521" s="374"/>
      <c r="C36521" s="374"/>
      <c r="CV36521" s="376"/>
    </row>
    <row r="36522" spans="1:100">
      <c r="A36522" s="374"/>
      <c r="C36522" s="374"/>
      <c r="CV36522" s="376"/>
    </row>
    <row r="36523" spans="1:100">
      <c r="A36523" s="374"/>
      <c r="C36523" s="374"/>
      <c r="CV36523" s="376"/>
    </row>
    <row r="36524" spans="1:100">
      <c r="A36524" s="374"/>
      <c r="C36524" s="374"/>
      <c r="CV36524" s="376"/>
    </row>
    <row r="36525" spans="1:100">
      <c r="A36525" s="374"/>
      <c r="C36525" s="374"/>
      <c r="CV36525" s="376"/>
    </row>
    <row r="36526" spans="1:100">
      <c r="A36526" s="374"/>
      <c r="C36526" s="374"/>
      <c r="CV36526" s="376"/>
    </row>
    <row r="36527" spans="1:100">
      <c r="A36527" s="374"/>
      <c r="C36527" s="374"/>
      <c r="CV36527" s="376"/>
    </row>
    <row r="36528" spans="1:100">
      <c r="A36528" s="374"/>
      <c r="C36528" s="374"/>
      <c r="CV36528" s="376"/>
    </row>
    <row r="36529" spans="1:100">
      <c r="A36529" s="374"/>
      <c r="C36529" s="374"/>
      <c r="CV36529" s="376"/>
    </row>
    <row r="36530" spans="1:100">
      <c r="A36530" s="374"/>
      <c r="C36530" s="374"/>
      <c r="CV36530" s="376"/>
    </row>
    <row r="36531" spans="1:100">
      <c r="A36531" s="374"/>
      <c r="C36531" s="374"/>
      <c r="CV36531" s="376"/>
    </row>
    <row r="36532" spans="1:100">
      <c r="A36532" s="374"/>
      <c r="C36532" s="374"/>
      <c r="CV36532" s="376"/>
    </row>
    <row r="36533" spans="1:100">
      <c r="A36533" s="374"/>
      <c r="C36533" s="374"/>
      <c r="CV36533" s="376"/>
    </row>
    <row r="36534" spans="1:100">
      <c r="A36534" s="374"/>
      <c r="C36534" s="374"/>
      <c r="CV36534" s="376"/>
    </row>
    <row r="36535" spans="1:100">
      <c r="A36535" s="374"/>
      <c r="C36535" s="374"/>
      <c r="CV36535" s="376"/>
    </row>
    <row r="36536" spans="1:100">
      <c r="A36536" s="374"/>
      <c r="C36536" s="374"/>
      <c r="CV36536" s="376"/>
    </row>
    <row r="36537" spans="1:100">
      <c r="A36537" s="374"/>
      <c r="C36537" s="374"/>
      <c r="CV36537" s="376"/>
    </row>
    <row r="36538" spans="1:100">
      <c r="A36538" s="374"/>
      <c r="C36538" s="374"/>
      <c r="CV36538" s="376"/>
    </row>
    <row r="36539" spans="1:100">
      <c r="A36539" s="374"/>
      <c r="C36539" s="374"/>
      <c r="CV36539" s="376"/>
    </row>
    <row r="36540" spans="1:100">
      <c r="A36540" s="374"/>
      <c r="C36540" s="374"/>
      <c r="CV36540" s="376"/>
    </row>
    <row r="36541" spans="1:100">
      <c r="A36541" s="374"/>
      <c r="C36541" s="374"/>
      <c r="CV36541" s="376"/>
    </row>
    <row r="36542" spans="1:100">
      <c r="A36542" s="374"/>
      <c r="C36542" s="374"/>
      <c r="CV36542" s="376"/>
    </row>
    <row r="36543" spans="1:100">
      <c r="A36543" s="374"/>
      <c r="C36543" s="374"/>
      <c r="CV36543" s="376"/>
    </row>
    <row r="36544" spans="1:100">
      <c r="A36544" s="374"/>
      <c r="C36544" s="374"/>
      <c r="CV36544" s="376"/>
    </row>
    <row r="36545" spans="1:100">
      <c r="A36545" s="374"/>
      <c r="C36545" s="374"/>
      <c r="CV36545" s="376"/>
    </row>
    <row r="36546" spans="1:100">
      <c r="A36546" s="374"/>
      <c r="C36546" s="374"/>
      <c r="CV36546" s="376"/>
    </row>
    <row r="36547" spans="1:100">
      <c r="A36547" s="374"/>
      <c r="C36547" s="374"/>
      <c r="CV36547" s="376"/>
    </row>
    <row r="36548" spans="1:100">
      <c r="A36548" s="374"/>
      <c r="C36548" s="374"/>
      <c r="CV36548" s="376"/>
    </row>
    <row r="36549" spans="1:100">
      <c r="A36549" s="374"/>
      <c r="C36549" s="374"/>
      <c r="CV36549" s="376"/>
    </row>
    <row r="36550" spans="1:100">
      <c r="A36550" s="374"/>
      <c r="C36550" s="374"/>
      <c r="CV36550" s="376"/>
    </row>
    <row r="36551" spans="1:100">
      <c r="A36551" s="374"/>
      <c r="C36551" s="374"/>
      <c r="CV36551" s="376"/>
    </row>
    <row r="36552" spans="1:100">
      <c r="A36552" s="374"/>
      <c r="C36552" s="374"/>
      <c r="CV36552" s="376"/>
    </row>
    <row r="36553" spans="1:100">
      <c r="A36553" s="374"/>
      <c r="C36553" s="374"/>
      <c r="CV36553" s="376"/>
    </row>
    <row r="36554" spans="1:100">
      <c r="A36554" s="374"/>
      <c r="C36554" s="374"/>
      <c r="CV36554" s="376"/>
    </row>
    <row r="36555" spans="1:100">
      <c r="A36555" s="374"/>
      <c r="C36555" s="374"/>
      <c r="CV36555" s="376"/>
    </row>
    <row r="36556" spans="1:100">
      <c r="A36556" s="374"/>
      <c r="C36556" s="374"/>
      <c r="CV36556" s="376"/>
    </row>
    <row r="36557" spans="1:100">
      <c r="A36557" s="374"/>
      <c r="C36557" s="374"/>
      <c r="CV36557" s="376"/>
    </row>
    <row r="36558" spans="1:100">
      <c r="A36558" s="374"/>
      <c r="C36558" s="374"/>
      <c r="CV36558" s="376"/>
    </row>
    <row r="36559" spans="1:100">
      <c r="A36559" s="374"/>
      <c r="C36559" s="374"/>
      <c r="CV36559" s="376"/>
    </row>
    <row r="36560" spans="1:100">
      <c r="A36560" s="374"/>
      <c r="C36560" s="374"/>
      <c r="CV36560" s="376"/>
    </row>
    <row r="36561" spans="1:100">
      <c r="A36561" s="374"/>
      <c r="C36561" s="374"/>
      <c r="CV36561" s="376"/>
    </row>
    <row r="36562" spans="1:100">
      <c r="A36562" s="374"/>
      <c r="C36562" s="374"/>
      <c r="CV36562" s="376"/>
    </row>
    <row r="36563" spans="1:100">
      <c r="A36563" s="374"/>
      <c r="C36563" s="374"/>
      <c r="CV36563" s="376"/>
    </row>
    <row r="36564" spans="1:100">
      <c r="A36564" s="374"/>
      <c r="C36564" s="374"/>
      <c r="CV36564" s="376"/>
    </row>
    <row r="36565" spans="1:100">
      <c r="A36565" s="374"/>
      <c r="C36565" s="374"/>
      <c r="CV36565" s="376"/>
    </row>
    <row r="36566" spans="1:100">
      <c r="A36566" s="374"/>
      <c r="C36566" s="374"/>
      <c r="CV36566" s="376"/>
    </row>
    <row r="36567" spans="1:100">
      <c r="A36567" s="374"/>
      <c r="C36567" s="374"/>
      <c r="CV36567" s="376"/>
    </row>
    <row r="36568" spans="1:100">
      <c r="A36568" s="374"/>
      <c r="C36568" s="374"/>
      <c r="CV36568" s="376"/>
    </row>
    <row r="36569" spans="1:100">
      <c r="A36569" s="374"/>
      <c r="C36569" s="374"/>
      <c r="CV36569" s="376"/>
    </row>
    <row r="36570" spans="1:100">
      <c r="A36570" s="374"/>
      <c r="C36570" s="374"/>
      <c r="CV36570" s="376"/>
    </row>
    <row r="36571" spans="1:100">
      <c r="A36571" s="374"/>
      <c r="C36571" s="374"/>
      <c r="CV36571" s="376"/>
    </row>
    <row r="36572" spans="1:100">
      <c r="A36572" s="374"/>
      <c r="C36572" s="374"/>
      <c r="CV36572" s="376"/>
    </row>
    <row r="36573" spans="1:100">
      <c r="A36573" s="374"/>
      <c r="C36573" s="374"/>
      <c r="CV36573" s="376"/>
    </row>
    <row r="36574" spans="1:100">
      <c r="A36574" s="374"/>
      <c r="C36574" s="374"/>
      <c r="CV36574" s="376"/>
    </row>
    <row r="36575" spans="1:100">
      <c r="A36575" s="374"/>
      <c r="C36575" s="374"/>
      <c r="CV36575" s="376"/>
    </row>
    <row r="36576" spans="1:100">
      <c r="A36576" s="374"/>
      <c r="C36576" s="374"/>
      <c r="CV36576" s="376"/>
    </row>
    <row r="36577" spans="1:100">
      <c r="A36577" s="374"/>
      <c r="C36577" s="374"/>
      <c r="CV36577" s="376"/>
    </row>
    <row r="36578" spans="1:100">
      <c r="A36578" s="374"/>
      <c r="C36578" s="374"/>
      <c r="CV36578" s="376"/>
    </row>
    <row r="36579" spans="1:100">
      <c r="A36579" s="374"/>
      <c r="C36579" s="374"/>
      <c r="CV36579" s="376"/>
    </row>
    <row r="36580" spans="1:100">
      <c r="A36580" s="374"/>
      <c r="C36580" s="374"/>
      <c r="CV36580" s="376"/>
    </row>
    <row r="36581" spans="1:100">
      <c r="A36581" s="374"/>
      <c r="C36581" s="374"/>
      <c r="CV36581" s="376"/>
    </row>
    <row r="36582" spans="1:100">
      <c r="A36582" s="374"/>
      <c r="C36582" s="374"/>
      <c r="CV36582" s="376"/>
    </row>
    <row r="36583" spans="1:100">
      <c r="A36583" s="374"/>
      <c r="C36583" s="374"/>
      <c r="CV36583" s="376"/>
    </row>
    <row r="36584" spans="1:100">
      <c r="A36584" s="374"/>
      <c r="C36584" s="374"/>
      <c r="CV36584" s="376"/>
    </row>
    <row r="36585" spans="1:100">
      <c r="A36585" s="374"/>
      <c r="C36585" s="374"/>
      <c r="CV36585" s="376"/>
    </row>
    <row r="36586" spans="1:100">
      <c r="A36586" s="374"/>
      <c r="C36586" s="374"/>
      <c r="CV36586" s="376"/>
    </row>
    <row r="36587" spans="1:100">
      <c r="A36587" s="374"/>
      <c r="C36587" s="374"/>
      <c r="CV36587" s="376"/>
    </row>
    <row r="36588" spans="1:100">
      <c r="A36588" s="374"/>
      <c r="C36588" s="374"/>
      <c r="CV36588" s="376"/>
    </row>
    <row r="36589" spans="1:100">
      <c r="A36589" s="374"/>
      <c r="C36589" s="374"/>
      <c r="CV36589" s="376"/>
    </row>
    <row r="36590" spans="1:100">
      <c r="A36590" s="374"/>
      <c r="C36590" s="374"/>
      <c r="CV36590" s="376"/>
    </row>
    <row r="36591" spans="1:100">
      <c r="A36591" s="374"/>
      <c r="C36591" s="374"/>
      <c r="CV36591" s="376"/>
    </row>
    <row r="36592" spans="1:100">
      <c r="A36592" s="374"/>
      <c r="C36592" s="374"/>
      <c r="CV36592" s="376"/>
    </row>
    <row r="36593" spans="1:100">
      <c r="A36593" s="374"/>
      <c r="C36593" s="374"/>
      <c r="CV36593" s="376"/>
    </row>
    <row r="36594" spans="1:100">
      <c r="A36594" s="374"/>
      <c r="C36594" s="374"/>
      <c r="CV36594" s="376"/>
    </row>
    <row r="36595" spans="1:100">
      <c r="A36595" s="374"/>
      <c r="C36595" s="374"/>
      <c r="CV36595" s="376"/>
    </row>
    <row r="36596" spans="1:100">
      <c r="A36596" s="374"/>
      <c r="C36596" s="374"/>
      <c r="CV36596" s="376"/>
    </row>
    <row r="36597" spans="1:100">
      <c r="A36597" s="374"/>
      <c r="C36597" s="374"/>
      <c r="CV36597" s="376"/>
    </row>
    <row r="36598" spans="1:100">
      <c r="A36598" s="374"/>
      <c r="C36598" s="374"/>
      <c r="CV36598" s="376"/>
    </row>
    <row r="36599" spans="1:100">
      <c r="A36599" s="374"/>
      <c r="C36599" s="374"/>
      <c r="CV36599" s="376"/>
    </row>
    <row r="36600" spans="1:100">
      <c r="A36600" s="374"/>
      <c r="C36600" s="374"/>
      <c r="CV36600" s="376"/>
    </row>
    <row r="36601" spans="1:100">
      <c r="A36601" s="374"/>
      <c r="C36601" s="374"/>
      <c r="CV36601" s="376"/>
    </row>
    <row r="36602" spans="1:100">
      <c r="A36602" s="374"/>
      <c r="C36602" s="374"/>
      <c r="CV36602" s="376"/>
    </row>
    <row r="36603" spans="1:100">
      <c r="A36603" s="374"/>
      <c r="C36603" s="374"/>
      <c r="CV36603" s="376"/>
    </row>
    <row r="36604" spans="1:100">
      <c r="A36604" s="374"/>
      <c r="C36604" s="374"/>
      <c r="CV36604" s="376"/>
    </row>
    <row r="36605" spans="1:100">
      <c r="A36605" s="374"/>
      <c r="C36605" s="374"/>
      <c r="CV36605" s="376"/>
    </row>
    <row r="36606" spans="1:100">
      <c r="A36606" s="374"/>
      <c r="C36606" s="374"/>
      <c r="CV36606" s="376"/>
    </row>
    <row r="36607" spans="1:100">
      <c r="A36607" s="374"/>
      <c r="C36607" s="374"/>
      <c r="CV36607" s="376"/>
    </row>
    <row r="36608" spans="1:100">
      <c r="A36608" s="374"/>
      <c r="C36608" s="374"/>
      <c r="CV36608" s="376"/>
    </row>
    <row r="36609" spans="1:100">
      <c r="A36609" s="374"/>
      <c r="C36609" s="374"/>
      <c r="CV36609" s="376"/>
    </row>
    <row r="36610" spans="1:100">
      <c r="A36610" s="374"/>
      <c r="C36610" s="374"/>
      <c r="CV36610" s="376"/>
    </row>
    <row r="36611" spans="1:100">
      <c r="A36611" s="374"/>
      <c r="C36611" s="374"/>
      <c r="CV36611" s="376"/>
    </row>
    <row r="36612" spans="1:100">
      <c r="A36612" s="374"/>
      <c r="C36612" s="374"/>
      <c r="CV36612" s="376"/>
    </row>
    <row r="36613" spans="1:100">
      <c r="A36613" s="374"/>
      <c r="C36613" s="374"/>
      <c r="CV36613" s="376"/>
    </row>
    <row r="36614" spans="1:100">
      <c r="A36614" s="374"/>
      <c r="C36614" s="374"/>
      <c r="CV36614" s="376"/>
    </row>
    <row r="36615" spans="1:100">
      <c r="A36615" s="374"/>
      <c r="C36615" s="374"/>
      <c r="CV36615" s="376"/>
    </row>
    <row r="36616" spans="1:100">
      <c r="A36616" s="374"/>
      <c r="C36616" s="374"/>
      <c r="CV36616" s="376"/>
    </row>
    <row r="36617" spans="1:100">
      <c r="A36617" s="374"/>
      <c r="C36617" s="374"/>
      <c r="CV36617" s="376"/>
    </row>
    <row r="36618" spans="1:100">
      <c r="A36618" s="374"/>
      <c r="C36618" s="374"/>
      <c r="CV36618" s="376"/>
    </row>
    <row r="36619" spans="1:100">
      <c r="A36619" s="374"/>
      <c r="C36619" s="374"/>
      <c r="CV36619" s="376"/>
    </row>
    <row r="36620" spans="1:100">
      <c r="A36620" s="374"/>
      <c r="C36620" s="374"/>
      <c r="CV36620" s="376"/>
    </row>
    <row r="36621" spans="1:100">
      <c r="A36621" s="374"/>
      <c r="C36621" s="374"/>
      <c r="CV36621" s="376"/>
    </row>
    <row r="36622" spans="1:100">
      <c r="A36622" s="374"/>
      <c r="C36622" s="374"/>
      <c r="CV36622" s="376"/>
    </row>
    <row r="36623" spans="1:100">
      <c r="A36623" s="374"/>
      <c r="C36623" s="374"/>
      <c r="CV36623" s="376"/>
    </row>
    <row r="36624" spans="1:100">
      <c r="A36624" s="374"/>
      <c r="C36624" s="374"/>
      <c r="CV36624" s="376"/>
    </row>
    <row r="36625" spans="1:100">
      <c r="A36625" s="374"/>
      <c r="C36625" s="374"/>
      <c r="CV36625" s="376"/>
    </row>
    <row r="36626" spans="1:100">
      <c r="A36626" s="374"/>
      <c r="C36626" s="374"/>
      <c r="CV36626" s="376"/>
    </row>
    <row r="36627" spans="1:100">
      <c r="A36627" s="374"/>
      <c r="C36627" s="374"/>
      <c r="CV36627" s="376"/>
    </row>
    <row r="36628" spans="1:100">
      <c r="A36628" s="374"/>
      <c r="C36628" s="374"/>
      <c r="CV36628" s="376"/>
    </row>
    <row r="36629" spans="1:100">
      <c r="A36629" s="374"/>
      <c r="C36629" s="374"/>
      <c r="CV36629" s="376"/>
    </row>
    <row r="36630" spans="1:100">
      <c r="A36630" s="374"/>
      <c r="C36630" s="374"/>
      <c r="CV36630" s="376"/>
    </row>
    <row r="36631" spans="1:100">
      <c r="A36631" s="374"/>
      <c r="C36631" s="374"/>
      <c r="CV36631" s="376"/>
    </row>
    <row r="36632" spans="1:100">
      <c r="A36632" s="374"/>
      <c r="C36632" s="374"/>
      <c r="CV36632" s="376"/>
    </row>
    <row r="36633" spans="1:100">
      <c r="A36633" s="374"/>
      <c r="C36633" s="374"/>
      <c r="CV36633" s="376"/>
    </row>
    <row r="36634" spans="1:100">
      <c r="A36634" s="374"/>
      <c r="C36634" s="374"/>
      <c r="CV36634" s="376"/>
    </row>
    <row r="36635" spans="1:100">
      <c r="A36635" s="374"/>
      <c r="C36635" s="374"/>
      <c r="CV36635" s="376"/>
    </row>
    <row r="36636" spans="1:100">
      <c r="A36636" s="374"/>
      <c r="C36636" s="374"/>
      <c r="CV36636" s="376"/>
    </row>
    <row r="36637" spans="1:100">
      <c r="A36637" s="374"/>
      <c r="C36637" s="374"/>
      <c r="CV36637" s="376"/>
    </row>
    <row r="36638" spans="1:100">
      <c r="A36638" s="374"/>
      <c r="C36638" s="374"/>
      <c r="CV36638" s="376"/>
    </row>
    <row r="36639" spans="1:100">
      <c r="A36639" s="374"/>
      <c r="C36639" s="374"/>
      <c r="CV36639" s="376"/>
    </row>
    <row r="36640" spans="1:100">
      <c r="A36640" s="374"/>
      <c r="C36640" s="374"/>
      <c r="CV36640" s="376"/>
    </row>
    <row r="36641" spans="1:100">
      <c r="A36641" s="374"/>
      <c r="C36641" s="374"/>
      <c r="CV36641" s="376"/>
    </row>
    <row r="36642" spans="1:100">
      <c r="A36642" s="374"/>
      <c r="C36642" s="374"/>
      <c r="CV36642" s="376"/>
    </row>
    <row r="36643" spans="1:100">
      <c r="A36643" s="374"/>
      <c r="C36643" s="374"/>
      <c r="CV36643" s="376"/>
    </row>
    <row r="36644" spans="1:100">
      <c r="A36644" s="374"/>
      <c r="C36644" s="374"/>
      <c r="CV36644" s="376"/>
    </row>
    <row r="36645" spans="1:100">
      <c r="A36645" s="374"/>
      <c r="C36645" s="374"/>
      <c r="CV36645" s="376"/>
    </row>
    <row r="36646" spans="1:100">
      <c r="A36646" s="374"/>
      <c r="C36646" s="374"/>
      <c r="CV36646" s="376"/>
    </row>
    <row r="36647" spans="1:100">
      <c r="A36647" s="374"/>
      <c r="C36647" s="374"/>
      <c r="CV36647" s="376"/>
    </row>
    <row r="36648" spans="1:100">
      <c r="A36648" s="374"/>
      <c r="C36648" s="374"/>
      <c r="CV36648" s="376"/>
    </row>
    <row r="36649" spans="1:100">
      <c r="A36649" s="374"/>
      <c r="C36649" s="374"/>
      <c r="CV36649" s="376"/>
    </row>
    <row r="36650" spans="1:100">
      <c r="A36650" s="374"/>
      <c r="C36650" s="374"/>
      <c r="CV36650" s="376"/>
    </row>
    <row r="36651" spans="1:100">
      <c r="A36651" s="374"/>
      <c r="C36651" s="374"/>
      <c r="CV36651" s="376"/>
    </row>
    <row r="36652" spans="1:100">
      <c r="A36652" s="374"/>
      <c r="C36652" s="374"/>
      <c r="CV36652" s="376"/>
    </row>
    <row r="36653" spans="1:100">
      <c r="A36653" s="374"/>
      <c r="C36653" s="374"/>
      <c r="CV36653" s="376"/>
    </row>
    <row r="36654" spans="1:100">
      <c r="A36654" s="374"/>
      <c r="C36654" s="374"/>
      <c r="CV36654" s="376"/>
    </row>
    <row r="36655" spans="1:100">
      <c r="A36655" s="374"/>
      <c r="C36655" s="374"/>
      <c r="CV36655" s="376"/>
    </row>
    <row r="36656" spans="1:100">
      <c r="A36656" s="374"/>
      <c r="C36656" s="374"/>
      <c r="CV36656" s="376"/>
    </row>
    <row r="36657" spans="1:100">
      <c r="A36657" s="374"/>
      <c r="C36657" s="374"/>
      <c r="CV36657" s="376"/>
    </row>
    <row r="36658" spans="1:100">
      <c r="A36658" s="374"/>
      <c r="C36658" s="374"/>
      <c r="CV36658" s="376"/>
    </row>
    <row r="36659" spans="1:100">
      <c r="A36659" s="374"/>
      <c r="C36659" s="374"/>
      <c r="CV36659" s="376"/>
    </row>
    <row r="36660" spans="1:100">
      <c r="A36660" s="374"/>
      <c r="C36660" s="374"/>
      <c r="CV36660" s="376"/>
    </row>
    <row r="36661" spans="1:100">
      <c r="A36661" s="374"/>
      <c r="C36661" s="374"/>
      <c r="CV36661" s="376"/>
    </row>
    <row r="36662" spans="1:100">
      <c r="A36662" s="374"/>
      <c r="C36662" s="374"/>
      <c r="CV36662" s="376"/>
    </row>
    <row r="36663" spans="1:100">
      <c r="A36663" s="374"/>
      <c r="C36663" s="374"/>
      <c r="CV36663" s="376"/>
    </row>
    <row r="36664" spans="1:100">
      <c r="A36664" s="374"/>
      <c r="C36664" s="374"/>
      <c r="CV36664" s="376"/>
    </row>
    <row r="36665" spans="1:100">
      <c r="A36665" s="374"/>
      <c r="C36665" s="374"/>
      <c r="CV36665" s="376"/>
    </row>
    <row r="36666" spans="1:100">
      <c r="A36666" s="374"/>
      <c r="C36666" s="374"/>
      <c r="CV36666" s="376"/>
    </row>
    <row r="36667" spans="1:100">
      <c r="A36667" s="374"/>
      <c r="C36667" s="374"/>
      <c r="CV36667" s="376"/>
    </row>
    <row r="36668" spans="1:100">
      <c r="A36668" s="374"/>
      <c r="C36668" s="374"/>
      <c r="CV36668" s="376"/>
    </row>
    <row r="36669" spans="1:100">
      <c r="A36669" s="374"/>
      <c r="C36669" s="374"/>
      <c r="CV36669" s="376"/>
    </row>
    <row r="36670" spans="1:100">
      <c r="A36670" s="374"/>
      <c r="C36670" s="374"/>
      <c r="CV36670" s="376"/>
    </row>
    <row r="36671" spans="1:100">
      <c r="A36671" s="374"/>
      <c r="C36671" s="374"/>
      <c r="CV36671" s="376"/>
    </row>
    <row r="36672" spans="1:100">
      <c r="A36672" s="374"/>
      <c r="C36672" s="374"/>
      <c r="CV36672" s="376"/>
    </row>
    <row r="36673" spans="1:100">
      <c r="A36673" s="374"/>
      <c r="C36673" s="374"/>
      <c r="CV36673" s="376"/>
    </row>
    <row r="36674" spans="1:100">
      <c r="A36674" s="374"/>
      <c r="C36674" s="374"/>
      <c r="CV36674" s="376"/>
    </row>
    <row r="36675" spans="1:100">
      <c r="A36675" s="374"/>
      <c r="C36675" s="374"/>
      <c r="CV36675" s="376"/>
    </row>
    <row r="36676" spans="1:100">
      <c r="A36676" s="374"/>
      <c r="C36676" s="374"/>
      <c r="CV36676" s="376"/>
    </row>
    <row r="36677" spans="1:100">
      <c r="A36677" s="374"/>
      <c r="C36677" s="374"/>
      <c r="CV36677" s="376"/>
    </row>
    <row r="36678" spans="1:100">
      <c r="A36678" s="374"/>
      <c r="C36678" s="374"/>
      <c r="CV36678" s="376"/>
    </row>
    <row r="36679" spans="1:100">
      <c r="A36679" s="374"/>
      <c r="C36679" s="374"/>
      <c r="CV36679" s="376"/>
    </row>
    <row r="36680" spans="1:100">
      <c r="A36680" s="374"/>
      <c r="C36680" s="374"/>
      <c r="CV36680" s="376"/>
    </row>
    <row r="36681" spans="1:100">
      <c r="A36681" s="374"/>
      <c r="C36681" s="374"/>
      <c r="CV36681" s="376"/>
    </row>
    <row r="36682" spans="1:100">
      <c r="A36682" s="374"/>
      <c r="C36682" s="374"/>
      <c r="CV36682" s="376"/>
    </row>
    <row r="36683" spans="1:100">
      <c r="A36683" s="374"/>
      <c r="C36683" s="374"/>
      <c r="CV36683" s="376"/>
    </row>
    <row r="36684" spans="1:100">
      <c r="A36684" s="374"/>
      <c r="C36684" s="374"/>
      <c r="CV36684" s="376"/>
    </row>
    <row r="36685" spans="1:100">
      <c r="A36685" s="374"/>
      <c r="C36685" s="374"/>
      <c r="CV36685" s="376"/>
    </row>
    <row r="36686" spans="1:100">
      <c r="A36686" s="374"/>
      <c r="C36686" s="374"/>
      <c r="CV36686" s="376"/>
    </row>
    <row r="36687" spans="1:100">
      <c r="A36687" s="374"/>
      <c r="C36687" s="374"/>
      <c r="CV36687" s="376"/>
    </row>
    <row r="36688" spans="1:100">
      <c r="A36688" s="374"/>
      <c r="C36688" s="374"/>
      <c r="CV36688" s="376"/>
    </row>
    <row r="36689" spans="1:100">
      <c r="A36689" s="374"/>
      <c r="C36689" s="374"/>
      <c r="CV36689" s="376"/>
    </row>
    <row r="36690" spans="1:100">
      <c r="A36690" s="374"/>
      <c r="C36690" s="374"/>
      <c r="CV36690" s="376"/>
    </row>
    <row r="36691" spans="1:100">
      <c r="A36691" s="374"/>
      <c r="C36691" s="374"/>
      <c r="CV36691" s="376"/>
    </row>
    <row r="36692" spans="1:100">
      <c r="A36692" s="374"/>
      <c r="C36692" s="374"/>
      <c r="CV36692" s="376"/>
    </row>
    <row r="36693" spans="1:100">
      <c r="A36693" s="374"/>
      <c r="C36693" s="374"/>
      <c r="CV36693" s="376"/>
    </row>
    <row r="36694" spans="1:100">
      <c r="A36694" s="374"/>
      <c r="C36694" s="374"/>
      <c r="CV36694" s="376"/>
    </row>
    <row r="36695" spans="1:100">
      <c r="A36695" s="374"/>
      <c r="C36695" s="374"/>
      <c r="CV36695" s="376"/>
    </row>
    <row r="36696" spans="1:100">
      <c r="A36696" s="374"/>
      <c r="C36696" s="374"/>
      <c r="CV36696" s="376"/>
    </row>
    <row r="36697" spans="1:100">
      <c r="A36697" s="374"/>
      <c r="C36697" s="374"/>
      <c r="CV36697" s="376"/>
    </row>
    <row r="36698" spans="1:100">
      <c r="A36698" s="374"/>
      <c r="C36698" s="374"/>
      <c r="CV36698" s="376"/>
    </row>
    <row r="36699" spans="1:100">
      <c r="A36699" s="374"/>
      <c r="C36699" s="374"/>
      <c r="CV36699" s="376"/>
    </row>
    <row r="36700" spans="1:100">
      <c r="A36700" s="374"/>
      <c r="C36700" s="374"/>
      <c r="CV36700" s="376"/>
    </row>
    <row r="36701" spans="1:100">
      <c r="A36701" s="374"/>
      <c r="C36701" s="374"/>
      <c r="CV36701" s="376"/>
    </row>
    <row r="36702" spans="1:100">
      <c r="A36702" s="374"/>
      <c r="C36702" s="374"/>
      <c r="CV36702" s="376"/>
    </row>
    <row r="36703" spans="1:100">
      <c r="A36703" s="374"/>
      <c r="C36703" s="374"/>
      <c r="CV36703" s="376"/>
    </row>
    <row r="36704" spans="1:100">
      <c r="A36704" s="374"/>
      <c r="C36704" s="374"/>
      <c r="CV36704" s="376"/>
    </row>
    <row r="36705" spans="1:100">
      <c r="A36705" s="374"/>
      <c r="C36705" s="374"/>
      <c r="CV36705" s="376"/>
    </row>
    <row r="36706" spans="1:100">
      <c r="A36706" s="374"/>
      <c r="C36706" s="374"/>
      <c r="CV36706" s="376"/>
    </row>
    <row r="36707" spans="1:100">
      <c r="A36707" s="374"/>
      <c r="C36707" s="374"/>
      <c r="CV36707" s="376"/>
    </row>
    <row r="36708" spans="1:100">
      <c r="A36708" s="374"/>
      <c r="C36708" s="374"/>
      <c r="CV36708" s="376"/>
    </row>
    <row r="36709" spans="1:100">
      <c r="A36709" s="374"/>
      <c r="C36709" s="374"/>
      <c r="CV36709" s="376"/>
    </row>
    <row r="36710" spans="1:100">
      <c r="A36710" s="374"/>
      <c r="C36710" s="374"/>
      <c r="CV36710" s="376"/>
    </row>
    <row r="36711" spans="1:100">
      <c r="A36711" s="374"/>
      <c r="C36711" s="374"/>
      <c r="CV36711" s="376"/>
    </row>
    <row r="36712" spans="1:100">
      <c r="A36712" s="374"/>
      <c r="C36712" s="374"/>
      <c r="CV36712" s="376"/>
    </row>
    <row r="36713" spans="1:100">
      <c r="A36713" s="374"/>
      <c r="C36713" s="374"/>
      <c r="CV36713" s="376"/>
    </row>
    <row r="36714" spans="1:100">
      <c r="A36714" s="374"/>
      <c r="C36714" s="374"/>
      <c r="CV36714" s="376"/>
    </row>
    <row r="36715" spans="1:100">
      <c r="A36715" s="374"/>
      <c r="C36715" s="374"/>
      <c r="CV36715" s="376"/>
    </row>
    <row r="36716" spans="1:100">
      <c r="A36716" s="374"/>
      <c r="C36716" s="374"/>
      <c r="CV36716" s="376"/>
    </row>
    <row r="36717" spans="1:100">
      <c r="A36717" s="374"/>
      <c r="C36717" s="374"/>
      <c r="CV36717" s="376"/>
    </row>
    <row r="36718" spans="1:100">
      <c r="A36718" s="374"/>
      <c r="C36718" s="374"/>
      <c r="CV36718" s="376"/>
    </row>
    <row r="36719" spans="1:100">
      <c r="A36719" s="374"/>
      <c r="C36719" s="374"/>
      <c r="CV36719" s="376"/>
    </row>
    <row r="36720" spans="1:100">
      <c r="A36720" s="374"/>
      <c r="C36720" s="374"/>
      <c r="CV36720" s="376"/>
    </row>
    <row r="36721" spans="1:100">
      <c r="A36721" s="374"/>
      <c r="C36721" s="374"/>
      <c r="CV36721" s="376"/>
    </row>
    <row r="36722" spans="1:100">
      <c r="A36722" s="374"/>
      <c r="C36722" s="374"/>
      <c r="CV36722" s="376"/>
    </row>
    <row r="36723" spans="1:100">
      <c r="A36723" s="374"/>
      <c r="C36723" s="374"/>
      <c r="CV36723" s="376"/>
    </row>
    <row r="36724" spans="1:100">
      <c r="A36724" s="374"/>
      <c r="C36724" s="374"/>
      <c r="CV36724" s="376"/>
    </row>
    <row r="36725" spans="1:100">
      <c r="A36725" s="374"/>
      <c r="C36725" s="374"/>
      <c r="CV36725" s="376"/>
    </row>
    <row r="36726" spans="1:100">
      <c r="A36726" s="374"/>
      <c r="C36726" s="374"/>
      <c r="CV36726" s="376"/>
    </row>
    <row r="36727" spans="1:100">
      <c r="A36727" s="374"/>
      <c r="C36727" s="374"/>
      <c r="CV36727" s="376"/>
    </row>
    <row r="36728" spans="1:100">
      <c r="A36728" s="374"/>
      <c r="C36728" s="374"/>
      <c r="CV36728" s="376"/>
    </row>
    <row r="36729" spans="1:100">
      <c r="A36729" s="374"/>
      <c r="C36729" s="374"/>
      <c r="CV36729" s="376"/>
    </row>
    <row r="36730" spans="1:100">
      <c r="A36730" s="374"/>
      <c r="C36730" s="374"/>
      <c r="CV36730" s="376"/>
    </row>
    <row r="36731" spans="1:100">
      <c r="A36731" s="374"/>
      <c r="C36731" s="374"/>
      <c r="CV36731" s="376"/>
    </row>
    <row r="36732" spans="1:100">
      <c r="A36732" s="374"/>
      <c r="C36732" s="374"/>
      <c r="CV36732" s="376"/>
    </row>
    <row r="36733" spans="1:100">
      <c r="A36733" s="374"/>
      <c r="C36733" s="374"/>
      <c r="CV36733" s="376"/>
    </row>
    <row r="36734" spans="1:100">
      <c r="A36734" s="374"/>
      <c r="C36734" s="374"/>
      <c r="CV36734" s="376"/>
    </row>
    <row r="36735" spans="1:100">
      <c r="A36735" s="374"/>
      <c r="C36735" s="374"/>
      <c r="CV36735" s="376"/>
    </row>
    <row r="36736" spans="1:100">
      <c r="A36736" s="374"/>
      <c r="C36736" s="374"/>
      <c r="CV36736" s="376"/>
    </row>
    <row r="36737" spans="1:100">
      <c r="A36737" s="374"/>
      <c r="C36737" s="374"/>
      <c r="CV36737" s="376"/>
    </row>
    <row r="36738" spans="1:100">
      <c r="A36738" s="374"/>
      <c r="C36738" s="374"/>
      <c r="CV36738" s="376"/>
    </row>
    <row r="36739" spans="1:100">
      <c r="A36739" s="374"/>
      <c r="C36739" s="374"/>
      <c r="CV36739" s="376"/>
    </row>
    <row r="36740" spans="1:100">
      <c r="A36740" s="374"/>
      <c r="C36740" s="374"/>
      <c r="CV36740" s="376"/>
    </row>
    <row r="36741" spans="1:100">
      <c r="A36741" s="374"/>
      <c r="C36741" s="374"/>
      <c r="CV36741" s="376"/>
    </row>
    <row r="36742" spans="1:100">
      <c r="A36742" s="374"/>
      <c r="C36742" s="374"/>
      <c r="CV36742" s="376"/>
    </row>
    <row r="36743" spans="1:100">
      <c r="A36743" s="374"/>
      <c r="C36743" s="374"/>
      <c r="CV36743" s="376"/>
    </row>
    <row r="36744" spans="1:100">
      <c r="A36744" s="374"/>
      <c r="C36744" s="374"/>
      <c r="CV36744" s="376"/>
    </row>
    <row r="36745" spans="1:100">
      <c r="A36745" s="374"/>
      <c r="C36745" s="374"/>
      <c r="CV36745" s="376"/>
    </row>
    <row r="36746" spans="1:100">
      <c r="A36746" s="374"/>
      <c r="C36746" s="374"/>
      <c r="CV36746" s="376"/>
    </row>
    <row r="36747" spans="1:100">
      <c r="A36747" s="374"/>
      <c r="C36747" s="374"/>
      <c r="CV36747" s="376"/>
    </row>
    <row r="36748" spans="1:100">
      <c r="A36748" s="374"/>
      <c r="C36748" s="374"/>
      <c r="CV36748" s="376"/>
    </row>
    <row r="36749" spans="1:100">
      <c r="A36749" s="374"/>
      <c r="C36749" s="374"/>
      <c r="CV36749" s="376"/>
    </row>
    <row r="36750" spans="1:100">
      <c r="A36750" s="374"/>
      <c r="C36750" s="374"/>
      <c r="CV36750" s="376"/>
    </row>
    <row r="36751" spans="1:100">
      <c r="A36751" s="374"/>
      <c r="C36751" s="374"/>
      <c r="CV36751" s="376"/>
    </row>
    <row r="36752" spans="1:100">
      <c r="A36752" s="374"/>
      <c r="C36752" s="374"/>
      <c r="CV36752" s="376"/>
    </row>
    <row r="36753" spans="1:100">
      <c r="A36753" s="374"/>
      <c r="C36753" s="374"/>
      <c r="CV36753" s="376"/>
    </row>
    <row r="36754" spans="1:100">
      <c r="A36754" s="374"/>
      <c r="C36754" s="374"/>
      <c r="CV36754" s="376"/>
    </row>
    <row r="36755" spans="1:100">
      <c r="A36755" s="374"/>
      <c r="C36755" s="374"/>
      <c r="CV36755" s="376"/>
    </row>
    <row r="36756" spans="1:100">
      <c r="A36756" s="374"/>
      <c r="C36756" s="374"/>
      <c r="CV36756" s="376"/>
    </row>
    <row r="36757" spans="1:100">
      <c r="A36757" s="374"/>
      <c r="C36757" s="374"/>
      <c r="CV36757" s="376"/>
    </row>
    <row r="36758" spans="1:100">
      <c r="A36758" s="374"/>
      <c r="C36758" s="374"/>
      <c r="CV36758" s="376"/>
    </row>
    <row r="36759" spans="1:100">
      <c r="A36759" s="374"/>
      <c r="C36759" s="374"/>
      <c r="CV36759" s="376"/>
    </row>
    <row r="36760" spans="1:100">
      <c r="A36760" s="374"/>
      <c r="C36760" s="374"/>
      <c r="CV36760" s="376"/>
    </row>
    <row r="36761" spans="1:100">
      <c r="A36761" s="374"/>
      <c r="C36761" s="374"/>
      <c r="CV36761" s="376"/>
    </row>
    <row r="36762" spans="1:100">
      <c r="A36762" s="374"/>
      <c r="C36762" s="374"/>
      <c r="CV36762" s="376"/>
    </row>
    <row r="36763" spans="1:100">
      <c r="A36763" s="374"/>
      <c r="C36763" s="374"/>
      <c r="CV36763" s="376"/>
    </row>
    <row r="36764" spans="1:100">
      <c r="A36764" s="374"/>
      <c r="C36764" s="374"/>
      <c r="CV36764" s="376"/>
    </row>
    <row r="36765" spans="1:100">
      <c r="A36765" s="374"/>
      <c r="C36765" s="374"/>
      <c r="CV36765" s="376"/>
    </row>
    <row r="36766" spans="1:100">
      <c r="A36766" s="374"/>
      <c r="C36766" s="374"/>
      <c r="CV36766" s="376"/>
    </row>
    <row r="36767" spans="1:100">
      <c r="A36767" s="374"/>
      <c r="C36767" s="374"/>
      <c r="CV36767" s="376"/>
    </row>
    <row r="36768" spans="1:100">
      <c r="A36768" s="374"/>
      <c r="C36768" s="374"/>
      <c r="CV36768" s="376"/>
    </row>
    <row r="36769" spans="1:100">
      <c r="A36769" s="374"/>
      <c r="C36769" s="374"/>
      <c r="CV36769" s="376"/>
    </row>
    <row r="36770" spans="1:100">
      <c r="A36770" s="374"/>
      <c r="C36770" s="374"/>
      <c r="CV36770" s="376"/>
    </row>
    <row r="36771" spans="1:100">
      <c r="A36771" s="374"/>
      <c r="C36771" s="374"/>
      <c r="CV36771" s="376"/>
    </row>
    <row r="36772" spans="1:100">
      <c r="A36772" s="374"/>
      <c r="C36772" s="374"/>
      <c r="CV36772" s="376"/>
    </row>
    <row r="36773" spans="1:100">
      <c r="A36773" s="374"/>
      <c r="C36773" s="374"/>
      <c r="CV36773" s="376"/>
    </row>
    <row r="36774" spans="1:100">
      <c r="A36774" s="374"/>
      <c r="C36774" s="374"/>
      <c r="CV36774" s="376"/>
    </row>
    <row r="36775" spans="1:100">
      <c r="A36775" s="374"/>
      <c r="C36775" s="374"/>
      <c r="CV36775" s="376"/>
    </row>
    <row r="36776" spans="1:100">
      <c r="A36776" s="374"/>
      <c r="C36776" s="374"/>
      <c r="CV36776" s="376"/>
    </row>
    <row r="36777" spans="1:100">
      <c r="A36777" s="374"/>
      <c r="C36777" s="374"/>
      <c r="CV36777" s="376"/>
    </row>
    <row r="36778" spans="1:100">
      <c r="A36778" s="374"/>
      <c r="C36778" s="374"/>
      <c r="CV36778" s="376"/>
    </row>
    <row r="36779" spans="1:100">
      <c r="A36779" s="374"/>
      <c r="C36779" s="374"/>
      <c r="CV36779" s="376"/>
    </row>
    <row r="36780" spans="1:100">
      <c r="A36780" s="374"/>
      <c r="C36780" s="374"/>
      <c r="CV36780" s="376"/>
    </row>
    <row r="36781" spans="1:100">
      <c r="A36781" s="374"/>
      <c r="C36781" s="374"/>
      <c r="CV36781" s="376"/>
    </row>
    <row r="36782" spans="1:100">
      <c r="A36782" s="374"/>
      <c r="C36782" s="374"/>
      <c r="CV36782" s="376"/>
    </row>
    <row r="36783" spans="1:100">
      <c r="A36783" s="374"/>
      <c r="C36783" s="374"/>
      <c r="CV36783" s="376"/>
    </row>
    <row r="36784" spans="1:100">
      <c r="A36784" s="374"/>
      <c r="C36784" s="374"/>
      <c r="CV36784" s="376"/>
    </row>
    <row r="36785" spans="1:100">
      <c r="A36785" s="374"/>
      <c r="C36785" s="374"/>
      <c r="CV36785" s="376"/>
    </row>
    <row r="36786" spans="1:100">
      <c r="A36786" s="374"/>
      <c r="C36786" s="374"/>
      <c r="CV36786" s="376"/>
    </row>
    <row r="36787" spans="1:100">
      <c r="A36787" s="374"/>
      <c r="C36787" s="374"/>
      <c r="CV36787" s="376"/>
    </row>
    <row r="36788" spans="1:100">
      <c r="A36788" s="374"/>
      <c r="C36788" s="374"/>
      <c r="CV36788" s="376"/>
    </row>
    <row r="36789" spans="1:100">
      <c r="A36789" s="374"/>
      <c r="C36789" s="374"/>
      <c r="CV36789" s="376"/>
    </row>
    <row r="36790" spans="1:100">
      <c r="A36790" s="374"/>
      <c r="C36790" s="374"/>
      <c r="CV36790" s="376"/>
    </row>
    <row r="36791" spans="1:100">
      <c r="A36791" s="374"/>
      <c r="C36791" s="374"/>
      <c r="CV36791" s="376"/>
    </row>
    <row r="36792" spans="1:100">
      <c r="A36792" s="374"/>
      <c r="C36792" s="374"/>
      <c r="CV36792" s="376"/>
    </row>
    <row r="36793" spans="1:100">
      <c r="A36793" s="374"/>
      <c r="C36793" s="374"/>
      <c r="CV36793" s="376"/>
    </row>
    <row r="36794" spans="1:100">
      <c r="A36794" s="374"/>
      <c r="C36794" s="374"/>
      <c r="CV36794" s="376"/>
    </row>
    <row r="36795" spans="1:100">
      <c r="A36795" s="374"/>
      <c r="C36795" s="374"/>
      <c r="CV36795" s="376"/>
    </row>
    <row r="36796" spans="1:100">
      <c r="A36796" s="374"/>
      <c r="C36796" s="374"/>
      <c r="CV36796" s="376"/>
    </row>
    <row r="36797" spans="1:100">
      <c r="A36797" s="374"/>
      <c r="C36797" s="374"/>
      <c r="CV36797" s="376"/>
    </row>
    <row r="36798" spans="1:100">
      <c r="A36798" s="374"/>
      <c r="C36798" s="374"/>
      <c r="CV36798" s="376"/>
    </row>
    <row r="36799" spans="1:100">
      <c r="A36799" s="374"/>
      <c r="C36799" s="374"/>
      <c r="CV36799" s="376"/>
    </row>
    <row r="36800" spans="1:100">
      <c r="A36800" s="374"/>
      <c r="C36800" s="374"/>
      <c r="CV36800" s="376"/>
    </row>
    <row r="36801" spans="1:100">
      <c r="A36801" s="374"/>
      <c r="C36801" s="374"/>
      <c r="CV36801" s="376"/>
    </row>
    <row r="36802" spans="1:100">
      <c r="A36802" s="374"/>
      <c r="C36802" s="374"/>
      <c r="CV36802" s="376"/>
    </row>
    <row r="36803" spans="1:100">
      <c r="A36803" s="374"/>
      <c r="C36803" s="374"/>
      <c r="CV36803" s="376"/>
    </row>
    <row r="36804" spans="1:100">
      <c r="A36804" s="374"/>
      <c r="C36804" s="374"/>
      <c r="CV36804" s="376"/>
    </row>
    <row r="36805" spans="1:100">
      <c r="A36805" s="374"/>
      <c r="C36805" s="374"/>
      <c r="CV36805" s="376"/>
    </row>
    <row r="36806" spans="1:100">
      <c r="A36806" s="374"/>
      <c r="C36806" s="374"/>
      <c r="CV36806" s="376"/>
    </row>
    <row r="36807" spans="1:100">
      <c r="A36807" s="374"/>
      <c r="C36807" s="374"/>
      <c r="CV36807" s="376"/>
    </row>
    <row r="36808" spans="1:100">
      <c r="A36808" s="374"/>
      <c r="C36808" s="374"/>
      <c r="CV36808" s="376"/>
    </row>
    <row r="36809" spans="1:100">
      <c r="A36809" s="374"/>
      <c r="C36809" s="374"/>
      <c r="CV36809" s="376"/>
    </row>
    <row r="36810" spans="1:100">
      <c r="A36810" s="374"/>
      <c r="C36810" s="374"/>
      <c r="CV36810" s="376"/>
    </row>
    <row r="36811" spans="1:100">
      <c r="A36811" s="374"/>
      <c r="C36811" s="374"/>
      <c r="CV36811" s="376"/>
    </row>
    <row r="36812" spans="1:100">
      <c r="A36812" s="374"/>
      <c r="C36812" s="374"/>
      <c r="CV36812" s="376"/>
    </row>
    <row r="36813" spans="1:100">
      <c r="A36813" s="374"/>
      <c r="C36813" s="374"/>
      <c r="CV36813" s="376"/>
    </row>
    <row r="36814" spans="1:100">
      <c r="A36814" s="374"/>
      <c r="C36814" s="374"/>
      <c r="CV36814" s="376"/>
    </row>
    <row r="36815" spans="1:100">
      <c r="A36815" s="374"/>
      <c r="C36815" s="374"/>
      <c r="CV36815" s="376"/>
    </row>
    <row r="36816" spans="1:100">
      <c r="A36816" s="374"/>
      <c r="C36816" s="374"/>
      <c r="CV36816" s="376"/>
    </row>
    <row r="36817" spans="1:100">
      <c r="A36817" s="374"/>
      <c r="C36817" s="374"/>
      <c r="CV36817" s="376"/>
    </row>
    <row r="36818" spans="1:100">
      <c r="A36818" s="374"/>
      <c r="C36818" s="374"/>
      <c r="CV36818" s="376"/>
    </row>
    <row r="36819" spans="1:100">
      <c r="A36819" s="374"/>
      <c r="C36819" s="374"/>
      <c r="CV36819" s="376"/>
    </row>
    <row r="36820" spans="1:100">
      <c r="A36820" s="374"/>
      <c r="C36820" s="374"/>
      <c r="CV36820" s="376"/>
    </row>
    <row r="36821" spans="1:100">
      <c r="A36821" s="374"/>
      <c r="C36821" s="374"/>
      <c r="CV36821" s="376"/>
    </row>
    <row r="36822" spans="1:100">
      <c r="A36822" s="374"/>
      <c r="C36822" s="374"/>
      <c r="CV36822" s="376"/>
    </row>
    <row r="36823" spans="1:100">
      <c r="A36823" s="374"/>
      <c r="C36823" s="374"/>
      <c r="CV36823" s="376"/>
    </row>
    <row r="36824" spans="1:100">
      <c r="A36824" s="374"/>
      <c r="C36824" s="374"/>
      <c r="CV36824" s="376"/>
    </row>
    <row r="36825" spans="1:100">
      <c r="A36825" s="374"/>
      <c r="C36825" s="374"/>
      <c r="CV36825" s="376"/>
    </row>
    <row r="36826" spans="1:100">
      <c r="A36826" s="374"/>
      <c r="C36826" s="374"/>
      <c r="CV36826" s="376"/>
    </row>
    <row r="36827" spans="1:100">
      <c r="A36827" s="374"/>
      <c r="C36827" s="374"/>
      <c r="CV36827" s="376"/>
    </row>
    <row r="36828" spans="1:100">
      <c r="A36828" s="374"/>
      <c r="C36828" s="374"/>
      <c r="CV36828" s="376"/>
    </row>
    <row r="36829" spans="1:100">
      <c r="A36829" s="374"/>
      <c r="C36829" s="374"/>
      <c r="CV36829" s="376"/>
    </row>
    <row r="36830" spans="1:100">
      <c r="A36830" s="374"/>
      <c r="C36830" s="374"/>
      <c r="CV36830" s="376"/>
    </row>
    <row r="36831" spans="1:100">
      <c r="A36831" s="374"/>
      <c r="C36831" s="374"/>
      <c r="CV36831" s="376"/>
    </row>
    <row r="36832" spans="1:100">
      <c r="A36832" s="374"/>
      <c r="C36832" s="374"/>
      <c r="CV36832" s="376"/>
    </row>
    <row r="36833" spans="1:100">
      <c r="A36833" s="374"/>
      <c r="C36833" s="374"/>
      <c r="CV36833" s="376"/>
    </row>
    <row r="36834" spans="1:100">
      <c r="A36834" s="374"/>
      <c r="C36834" s="374"/>
      <c r="CV36834" s="376"/>
    </row>
    <row r="36835" spans="1:100">
      <c r="A36835" s="374"/>
      <c r="C36835" s="374"/>
      <c r="CV36835" s="376"/>
    </row>
    <row r="36836" spans="1:100">
      <c r="A36836" s="374"/>
      <c r="C36836" s="374"/>
      <c r="CV36836" s="376"/>
    </row>
    <row r="36837" spans="1:100">
      <c r="A36837" s="374"/>
      <c r="C36837" s="374"/>
      <c r="CV36837" s="376"/>
    </row>
    <row r="36838" spans="1:100">
      <c r="A36838" s="374"/>
      <c r="C36838" s="374"/>
      <c r="CV36838" s="376"/>
    </row>
    <row r="36839" spans="1:100">
      <c r="A36839" s="374"/>
      <c r="C36839" s="374"/>
      <c r="CV36839" s="376"/>
    </row>
    <row r="36840" spans="1:100">
      <c r="A36840" s="374"/>
      <c r="C36840" s="374"/>
      <c r="CV36840" s="376"/>
    </row>
    <row r="36841" spans="1:100">
      <c r="A36841" s="374"/>
      <c r="C36841" s="374"/>
      <c r="CV36841" s="376"/>
    </row>
    <row r="36842" spans="1:100">
      <c r="A36842" s="374"/>
      <c r="C36842" s="374"/>
      <c r="CV36842" s="376"/>
    </row>
    <row r="36843" spans="1:100">
      <c r="A36843" s="374"/>
      <c r="C36843" s="374"/>
      <c r="CV36843" s="376"/>
    </row>
    <row r="36844" spans="1:100">
      <c r="A36844" s="374"/>
      <c r="C36844" s="374"/>
      <c r="CV36844" s="376"/>
    </row>
    <row r="36845" spans="1:100">
      <c r="A36845" s="374"/>
      <c r="C36845" s="374"/>
      <c r="CV36845" s="376"/>
    </row>
    <row r="36846" spans="1:100">
      <c r="A36846" s="374"/>
      <c r="C36846" s="374"/>
      <c r="CV36846" s="376"/>
    </row>
    <row r="36847" spans="1:100">
      <c r="A36847" s="374"/>
      <c r="C36847" s="374"/>
      <c r="CV36847" s="376"/>
    </row>
    <row r="36848" spans="1:100">
      <c r="A36848" s="374"/>
      <c r="C36848" s="374"/>
      <c r="CV36848" s="376"/>
    </row>
    <row r="36849" spans="1:100">
      <c r="A36849" s="374"/>
      <c r="C36849" s="374"/>
      <c r="CV36849" s="376"/>
    </row>
    <row r="36850" spans="1:100">
      <c r="A36850" s="374"/>
      <c r="C36850" s="374"/>
      <c r="CV36850" s="376"/>
    </row>
    <row r="36851" spans="1:100">
      <c r="A36851" s="374"/>
      <c r="C36851" s="374"/>
      <c r="CV36851" s="376"/>
    </row>
    <row r="36852" spans="1:100">
      <c r="A36852" s="374"/>
      <c r="C36852" s="374"/>
      <c r="CV36852" s="376"/>
    </row>
    <row r="36853" spans="1:100">
      <c r="A36853" s="374"/>
      <c r="C36853" s="374"/>
      <c r="CV36853" s="376"/>
    </row>
    <row r="36854" spans="1:100">
      <c r="A36854" s="374"/>
      <c r="C36854" s="374"/>
      <c r="CV36854" s="376"/>
    </row>
    <row r="36855" spans="1:100">
      <c r="A36855" s="374"/>
      <c r="C36855" s="374"/>
      <c r="CV36855" s="376"/>
    </row>
    <row r="36856" spans="1:100">
      <c r="A36856" s="374"/>
      <c r="C36856" s="374"/>
      <c r="CV36856" s="376"/>
    </row>
    <row r="36857" spans="1:100">
      <c r="A36857" s="374"/>
      <c r="C36857" s="374"/>
      <c r="CV36857" s="376"/>
    </row>
    <row r="36858" spans="1:100">
      <c r="A36858" s="374"/>
      <c r="C36858" s="374"/>
      <c r="CV36858" s="376"/>
    </row>
    <row r="36859" spans="1:100">
      <c r="A36859" s="374"/>
      <c r="C36859" s="374"/>
      <c r="CV36859" s="376"/>
    </row>
    <row r="36860" spans="1:100">
      <c r="A36860" s="374"/>
      <c r="C36860" s="374"/>
      <c r="CV36860" s="376"/>
    </row>
    <row r="36861" spans="1:100">
      <c r="A36861" s="374"/>
      <c r="C36861" s="374"/>
      <c r="CV36861" s="376"/>
    </row>
    <row r="36862" spans="1:100">
      <c r="A36862" s="374"/>
      <c r="C36862" s="374"/>
      <c r="CV36862" s="376"/>
    </row>
    <row r="36863" spans="1:100">
      <c r="A36863" s="374"/>
      <c r="C36863" s="374"/>
      <c r="CV36863" s="376"/>
    </row>
    <row r="36864" spans="1:100">
      <c r="A36864" s="374"/>
      <c r="C36864" s="374"/>
      <c r="CV36864" s="376"/>
    </row>
    <row r="36865" spans="1:100">
      <c r="A36865" s="374"/>
      <c r="C36865" s="374"/>
      <c r="CV36865" s="376"/>
    </row>
    <row r="36866" spans="1:100">
      <c r="A36866" s="374"/>
      <c r="C36866" s="374"/>
      <c r="CV36866" s="376"/>
    </row>
    <row r="36867" spans="1:100">
      <c r="A36867" s="374"/>
      <c r="C36867" s="374"/>
      <c r="CV36867" s="376"/>
    </row>
    <row r="36868" spans="1:100">
      <c r="A36868" s="374"/>
      <c r="C36868" s="374"/>
      <c r="CV36868" s="376"/>
    </row>
    <row r="36869" spans="1:100">
      <c r="A36869" s="374"/>
      <c r="C36869" s="374"/>
      <c r="CV36869" s="376"/>
    </row>
    <row r="36870" spans="1:100">
      <c r="A36870" s="374"/>
      <c r="C36870" s="374"/>
      <c r="CV36870" s="376"/>
    </row>
    <row r="36871" spans="1:100">
      <c r="A36871" s="374"/>
      <c r="C36871" s="374"/>
      <c r="CV36871" s="376"/>
    </row>
    <row r="36872" spans="1:100">
      <c r="A36872" s="374"/>
      <c r="C36872" s="374"/>
      <c r="CV36872" s="376"/>
    </row>
    <row r="36873" spans="1:100">
      <c r="A36873" s="374"/>
      <c r="C36873" s="374"/>
      <c r="CV36873" s="376"/>
    </row>
    <row r="36874" spans="1:100">
      <c r="A36874" s="374"/>
      <c r="C36874" s="374"/>
      <c r="CV36874" s="376"/>
    </row>
    <row r="36875" spans="1:100">
      <c r="A36875" s="374"/>
      <c r="C36875" s="374"/>
      <c r="CV36875" s="376"/>
    </row>
    <row r="36876" spans="1:100">
      <c r="A36876" s="374"/>
      <c r="C36876" s="374"/>
      <c r="CV36876" s="376"/>
    </row>
    <row r="36877" spans="1:100">
      <c r="A36877" s="374"/>
      <c r="C36877" s="374"/>
      <c r="CV36877" s="376"/>
    </row>
    <row r="36878" spans="1:100">
      <c r="A36878" s="374"/>
      <c r="C36878" s="374"/>
      <c r="CV36878" s="376"/>
    </row>
    <row r="36879" spans="1:100">
      <c r="A36879" s="374"/>
      <c r="C36879" s="374"/>
      <c r="CV36879" s="376"/>
    </row>
    <row r="36880" spans="1:100">
      <c r="A36880" s="374"/>
      <c r="C36880" s="374"/>
      <c r="CV36880" s="376"/>
    </row>
    <row r="36881" spans="1:100">
      <c r="A36881" s="374"/>
      <c r="C36881" s="374"/>
      <c r="CV36881" s="376"/>
    </row>
    <row r="36882" spans="1:100">
      <c r="A36882" s="374"/>
      <c r="C36882" s="374"/>
      <c r="CV36882" s="376"/>
    </row>
    <row r="36883" spans="1:100">
      <c r="A36883" s="374"/>
      <c r="C36883" s="374"/>
      <c r="CV36883" s="376"/>
    </row>
    <row r="36884" spans="1:100">
      <c r="A36884" s="374"/>
      <c r="C36884" s="374"/>
      <c r="CV36884" s="376"/>
    </row>
    <row r="36885" spans="1:100">
      <c r="A36885" s="374"/>
      <c r="C36885" s="374"/>
      <c r="CV36885" s="376"/>
    </row>
    <row r="36886" spans="1:100">
      <c r="A36886" s="374"/>
      <c r="C36886" s="374"/>
      <c r="CV36886" s="376"/>
    </row>
    <row r="36887" spans="1:100">
      <c r="A36887" s="374"/>
      <c r="C36887" s="374"/>
      <c r="CV36887" s="376"/>
    </row>
    <row r="36888" spans="1:100">
      <c r="A36888" s="374"/>
      <c r="C36888" s="374"/>
      <c r="CV36888" s="376"/>
    </row>
    <row r="36889" spans="1:100">
      <c r="A36889" s="374"/>
      <c r="C36889" s="374"/>
      <c r="CV36889" s="376"/>
    </row>
    <row r="36890" spans="1:100">
      <c r="A36890" s="374"/>
      <c r="C36890" s="374"/>
      <c r="CV36890" s="376"/>
    </row>
    <row r="36891" spans="1:100">
      <c r="A36891" s="374"/>
      <c r="C36891" s="374"/>
      <c r="CV36891" s="376"/>
    </row>
    <row r="36892" spans="1:100">
      <c r="A36892" s="374"/>
      <c r="C36892" s="374"/>
      <c r="CV36892" s="376"/>
    </row>
    <row r="36893" spans="1:100">
      <c r="A36893" s="374"/>
      <c r="C36893" s="374"/>
      <c r="CV36893" s="376"/>
    </row>
    <row r="36894" spans="1:100">
      <c r="A36894" s="374"/>
      <c r="C36894" s="374"/>
      <c r="CV36894" s="376"/>
    </row>
    <row r="36895" spans="1:100">
      <c r="A36895" s="374"/>
      <c r="C36895" s="374"/>
      <c r="CV36895" s="376"/>
    </row>
    <row r="36896" spans="1:100">
      <c r="A36896" s="374"/>
      <c r="C36896" s="374"/>
      <c r="CV36896" s="376"/>
    </row>
    <row r="36897" spans="1:100">
      <c r="A36897" s="374"/>
      <c r="C36897" s="374"/>
      <c r="CV36897" s="376"/>
    </row>
    <row r="36898" spans="1:100">
      <c r="A36898" s="374"/>
      <c r="C36898" s="374"/>
      <c r="CV36898" s="376"/>
    </row>
    <row r="36899" spans="1:100">
      <c r="A36899" s="374"/>
      <c r="C36899" s="374"/>
      <c r="CV36899" s="376"/>
    </row>
    <row r="36900" spans="1:100">
      <c r="A36900" s="374"/>
      <c r="C36900" s="374"/>
      <c r="CV36900" s="376"/>
    </row>
    <row r="36901" spans="1:100">
      <c r="A36901" s="374"/>
      <c r="C36901" s="374"/>
      <c r="CV36901" s="376"/>
    </row>
    <row r="36902" spans="1:100">
      <c r="A36902" s="374"/>
      <c r="C36902" s="374"/>
      <c r="CV36902" s="376"/>
    </row>
    <row r="36903" spans="1:100">
      <c r="A36903" s="374"/>
      <c r="C36903" s="374"/>
      <c r="CV36903" s="376"/>
    </row>
    <row r="36904" spans="1:100">
      <c r="A36904" s="374"/>
      <c r="C36904" s="374"/>
      <c r="CV36904" s="376"/>
    </row>
    <row r="36905" spans="1:100">
      <c r="A36905" s="374"/>
      <c r="C36905" s="374"/>
      <c r="CV36905" s="376"/>
    </row>
    <row r="36906" spans="1:100">
      <c r="A36906" s="374"/>
      <c r="C36906" s="374"/>
      <c r="CV36906" s="376"/>
    </row>
    <row r="36907" spans="1:100">
      <c r="A36907" s="374"/>
      <c r="C36907" s="374"/>
      <c r="CV36907" s="376"/>
    </row>
    <row r="36908" spans="1:100">
      <c r="A36908" s="374"/>
      <c r="C36908" s="374"/>
      <c r="CV36908" s="376"/>
    </row>
    <row r="36909" spans="1:100">
      <c r="A36909" s="374"/>
      <c r="C36909" s="374"/>
      <c r="CV36909" s="376"/>
    </row>
    <row r="36910" spans="1:100">
      <c r="A36910" s="374"/>
      <c r="C36910" s="374"/>
      <c r="CV36910" s="376"/>
    </row>
    <row r="36911" spans="1:100">
      <c r="A36911" s="374"/>
      <c r="C36911" s="374"/>
      <c r="CV36911" s="376"/>
    </row>
    <row r="36912" spans="1:100">
      <c r="A36912" s="374"/>
      <c r="C36912" s="374"/>
      <c r="CV36912" s="376"/>
    </row>
    <row r="36913" spans="1:100">
      <c r="A36913" s="374"/>
      <c r="C36913" s="374"/>
      <c r="CV36913" s="376"/>
    </row>
    <row r="36914" spans="1:100">
      <c r="A36914" s="374"/>
      <c r="C36914" s="374"/>
      <c r="CV36914" s="376"/>
    </row>
    <row r="36915" spans="1:100">
      <c r="A36915" s="374"/>
      <c r="C36915" s="374"/>
      <c r="CV36915" s="376"/>
    </row>
    <row r="36916" spans="1:100">
      <c r="A36916" s="374"/>
      <c r="C36916" s="374"/>
      <c r="CV36916" s="376"/>
    </row>
    <row r="36917" spans="1:100">
      <c r="A36917" s="374"/>
      <c r="C36917" s="374"/>
      <c r="CV36917" s="376"/>
    </row>
    <row r="36918" spans="1:100">
      <c r="A36918" s="374"/>
      <c r="C36918" s="374"/>
      <c r="CV36918" s="376"/>
    </row>
    <row r="36919" spans="1:100">
      <c r="A36919" s="374"/>
      <c r="C36919" s="374"/>
      <c r="CV36919" s="376"/>
    </row>
    <row r="36920" spans="1:100">
      <c r="A36920" s="374"/>
      <c r="C36920" s="374"/>
      <c r="CV36920" s="376"/>
    </row>
    <row r="36921" spans="1:100">
      <c r="A36921" s="374"/>
      <c r="C36921" s="374"/>
      <c r="CV36921" s="376"/>
    </row>
    <row r="36922" spans="1:100">
      <c r="A36922" s="374"/>
      <c r="C36922" s="374"/>
      <c r="CV36922" s="376"/>
    </row>
    <row r="36923" spans="1:100">
      <c r="A36923" s="374"/>
      <c r="C36923" s="374"/>
      <c r="CV36923" s="376"/>
    </row>
    <row r="36924" spans="1:100">
      <c r="A36924" s="374"/>
      <c r="C36924" s="374"/>
      <c r="CV36924" s="376"/>
    </row>
    <row r="36925" spans="1:100">
      <c r="A36925" s="374"/>
      <c r="C36925" s="374"/>
      <c r="CV36925" s="376"/>
    </row>
    <row r="36926" spans="1:100">
      <c r="A36926" s="374"/>
      <c r="C36926" s="374"/>
      <c r="CV36926" s="376"/>
    </row>
    <row r="36927" spans="1:100">
      <c r="A36927" s="374"/>
      <c r="C36927" s="374"/>
      <c r="CV36927" s="376"/>
    </row>
    <row r="36928" spans="1:100">
      <c r="A36928" s="374"/>
      <c r="C36928" s="374"/>
      <c r="CV36928" s="376"/>
    </row>
    <row r="36929" spans="1:100">
      <c r="A36929" s="374"/>
      <c r="C36929" s="374"/>
      <c r="CV36929" s="376"/>
    </row>
    <row r="36930" spans="1:100">
      <c r="A36930" s="374"/>
      <c r="C36930" s="374"/>
      <c r="CV36930" s="376"/>
    </row>
    <row r="36931" spans="1:100">
      <c r="A36931" s="374"/>
      <c r="C36931" s="374"/>
      <c r="CV36931" s="376"/>
    </row>
    <row r="36932" spans="1:100">
      <c r="A36932" s="374"/>
      <c r="C36932" s="374"/>
      <c r="CV36932" s="376"/>
    </row>
    <row r="36933" spans="1:100">
      <c r="A36933" s="374"/>
      <c r="C36933" s="374"/>
      <c r="CV36933" s="376"/>
    </row>
    <row r="36934" spans="1:100">
      <c r="A36934" s="374"/>
      <c r="C36934" s="374"/>
      <c r="CV36934" s="376"/>
    </row>
    <row r="36935" spans="1:100">
      <c r="A36935" s="374"/>
      <c r="C36935" s="374"/>
      <c r="CV36935" s="376"/>
    </row>
    <row r="36936" spans="1:100">
      <c r="A36936" s="374"/>
      <c r="C36936" s="374"/>
      <c r="CV36936" s="376"/>
    </row>
    <row r="36937" spans="1:100">
      <c r="A36937" s="374"/>
      <c r="C36937" s="374"/>
      <c r="CV36937" s="376"/>
    </row>
    <row r="36938" spans="1:100">
      <c r="A36938" s="374"/>
      <c r="C36938" s="374"/>
      <c r="CV36938" s="376"/>
    </row>
    <row r="36939" spans="1:100">
      <c r="A36939" s="374"/>
      <c r="C36939" s="374"/>
      <c r="CV36939" s="376"/>
    </row>
    <row r="36940" spans="1:100">
      <c r="A36940" s="374"/>
      <c r="C36940" s="374"/>
      <c r="CV36940" s="376"/>
    </row>
    <row r="36941" spans="1:100">
      <c r="A36941" s="374"/>
      <c r="C36941" s="374"/>
      <c r="CV36941" s="376"/>
    </row>
    <row r="36942" spans="1:100">
      <c r="A36942" s="374"/>
      <c r="C36942" s="374"/>
      <c r="CV36942" s="376"/>
    </row>
    <row r="36943" spans="1:100">
      <c r="A36943" s="374"/>
      <c r="C36943" s="374"/>
      <c r="CV36943" s="376"/>
    </row>
    <row r="36944" spans="1:100">
      <c r="A36944" s="374"/>
      <c r="C36944" s="374"/>
      <c r="CV36944" s="376"/>
    </row>
    <row r="36945" spans="1:100">
      <c r="A36945" s="374"/>
      <c r="C36945" s="374"/>
      <c r="CV36945" s="376"/>
    </row>
    <row r="36946" spans="1:100">
      <c r="A36946" s="374"/>
      <c r="C36946" s="374"/>
      <c r="CV36946" s="376"/>
    </row>
    <row r="36947" spans="1:100">
      <c r="A36947" s="374"/>
      <c r="C36947" s="374"/>
      <c r="CV36947" s="376"/>
    </row>
    <row r="36948" spans="1:100">
      <c r="A36948" s="374"/>
      <c r="C36948" s="374"/>
      <c r="CV36948" s="376"/>
    </row>
    <row r="36949" spans="1:100">
      <c r="A36949" s="374"/>
      <c r="C36949" s="374"/>
      <c r="CV36949" s="376"/>
    </row>
    <row r="36950" spans="1:100">
      <c r="A36950" s="374"/>
      <c r="C36950" s="374"/>
      <c r="CV36950" s="376"/>
    </row>
    <row r="36951" spans="1:100">
      <c r="A36951" s="374"/>
      <c r="C36951" s="374"/>
      <c r="CV36951" s="376"/>
    </row>
    <row r="36952" spans="1:100">
      <c r="A36952" s="374"/>
      <c r="C36952" s="374"/>
      <c r="CV36952" s="376"/>
    </row>
    <row r="36953" spans="1:100">
      <c r="A36953" s="374"/>
      <c r="C36953" s="374"/>
      <c r="CV36953" s="376"/>
    </row>
    <row r="36954" spans="1:100">
      <c r="A36954" s="374"/>
      <c r="C36954" s="374"/>
      <c r="CV36954" s="376"/>
    </row>
    <row r="36955" spans="1:100">
      <c r="A36955" s="374"/>
      <c r="C36955" s="374"/>
      <c r="CV36955" s="376"/>
    </row>
    <row r="36956" spans="1:100">
      <c r="A36956" s="374"/>
      <c r="C36956" s="374"/>
      <c r="CV36956" s="376"/>
    </row>
    <row r="36957" spans="1:100">
      <c r="A36957" s="374"/>
      <c r="C36957" s="374"/>
      <c r="CV36957" s="376"/>
    </row>
    <row r="36958" spans="1:100">
      <c r="A36958" s="374"/>
      <c r="C36958" s="374"/>
      <c r="CV36958" s="376"/>
    </row>
    <row r="36959" spans="1:100">
      <c r="A36959" s="374"/>
      <c r="C36959" s="374"/>
      <c r="CV36959" s="376"/>
    </row>
    <row r="36960" spans="1:100">
      <c r="A36960" s="374"/>
      <c r="C36960" s="374"/>
      <c r="CV36960" s="376"/>
    </row>
    <row r="36961" spans="1:100">
      <c r="A36961" s="374"/>
      <c r="C36961" s="374"/>
      <c r="CV36961" s="376"/>
    </row>
    <row r="36962" spans="1:100">
      <c r="A36962" s="374"/>
      <c r="C36962" s="374"/>
      <c r="CV36962" s="376"/>
    </row>
    <row r="36963" spans="1:100">
      <c r="A36963" s="374"/>
      <c r="C36963" s="374"/>
      <c r="CV36963" s="376"/>
    </row>
    <row r="36964" spans="1:100">
      <c r="A36964" s="374"/>
      <c r="C36964" s="374"/>
      <c r="CV36964" s="376"/>
    </row>
    <row r="36965" spans="1:100">
      <c r="A36965" s="374"/>
      <c r="C36965" s="374"/>
      <c r="CV36965" s="376"/>
    </row>
    <row r="36966" spans="1:100">
      <c r="A36966" s="374"/>
      <c r="C36966" s="374"/>
      <c r="CV36966" s="376"/>
    </row>
    <row r="36967" spans="1:100">
      <c r="A36967" s="374"/>
      <c r="C36967" s="374"/>
      <c r="CV36967" s="376"/>
    </row>
    <row r="36968" spans="1:100">
      <c r="A36968" s="374"/>
      <c r="C36968" s="374"/>
      <c r="CV36968" s="376"/>
    </row>
    <row r="36969" spans="1:100">
      <c r="A36969" s="374"/>
      <c r="C36969" s="374"/>
      <c r="CV36969" s="376"/>
    </row>
    <row r="36970" spans="1:100">
      <c r="A36970" s="374"/>
      <c r="C36970" s="374"/>
      <c r="CV36970" s="376"/>
    </row>
    <row r="36971" spans="1:100">
      <c r="A36971" s="374"/>
      <c r="C36971" s="374"/>
      <c r="CV36971" s="376"/>
    </row>
    <row r="36972" spans="1:100">
      <c r="A36972" s="374"/>
      <c r="C36972" s="374"/>
      <c r="CV36972" s="376"/>
    </row>
    <row r="36973" spans="1:100">
      <c r="A36973" s="374"/>
      <c r="C36973" s="374"/>
      <c r="CV36973" s="376"/>
    </row>
    <row r="36974" spans="1:100">
      <c r="A36974" s="374"/>
      <c r="C36974" s="374"/>
      <c r="CV36974" s="376"/>
    </row>
    <row r="36975" spans="1:100">
      <c r="A36975" s="374"/>
      <c r="C36975" s="374"/>
      <c r="CV36975" s="376"/>
    </row>
    <row r="36976" spans="1:100">
      <c r="A36976" s="374"/>
      <c r="C36976" s="374"/>
      <c r="CV36976" s="376"/>
    </row>
    <row r="36977" spans="1:100">
      <c r="A36977" s="374"/>
      <c r="C36977" s="374"/>
      <c r="CV36977" s="376"/>
    </row>
    <row r="36978" spans="1:100">
      <c r="A36978" s="374"/>
      <c r="C36978" s="374"/>
      <c r="CV36978" s="376"/>
    </row>
    <row r="36979" spans="1:100">
      <c r="A36979" s="374"/>
      <c r="C36979" s="374"/>
      <c r="CV36979" s="376"/>
    </row>
    <row r="36980" spans="1:100">
      <c r="A36980" s="374"/>
      <c r="C36980" s="374"/>
      <c r="CV36980" s="376"/>
    </row>
    <row r="36981" spans="1:100">
      <c r="A36981" s="374"/>
      <c r="C36981" s="374"/>
      <c r="CV36981" s="376"/>
    </row>
    <row r="36982" spans="1:100">
      <c r="A36982" s="374"/>
      <c r="C36982" s="374"/>
      <c r="CV36982" s="376"/>
    </row>
    <row r="36983" spans="1:100">
      <c r="A36983" s="374"/>
      <c r="C36983" s="374"/>
      <c r="CV36983" s="376"/>
    </row>
    <row r="36984" spans="1:100">
      <c r="A36984" s="374"/>
      <c r="C36984" s="374"/>
      <c r="CV36984" s="376"/>
    </row>
    <row r="36985" spans="1:100">
      <c r="A36985" s="374"/>
      <c r="C36985" s="374"/>
      <c r="CV36985" s="376"/>
    </row>
    <row r="36986" spans="1:100">
      <c r="A36986" s="374"/>
      <c r="C36986" s="374"/>
      <c r="CV36986" s="376"/>
    </row>
    <row r="36987" spans="1:100">
      <c r="A36987" s="374"/>
      <c r="C36987" s="374"/>
      <c r="CV36987" s="376"/>
    </row>
    <row r="36988" spans="1:100">
      <c r="A36988" s="374"/>
      <c r="C36988" s="374"/>
      <c r="CV36988" s="376"/>
    </row>
    <row r="36989" spans="1:100">
      <c r="A36989" s="374"/>
      <c r="C36989" s="374"/>
      <c r="CV36989" s="376"/>
    </row>
    <row r="36990" spans="1:100">
      <c r="A36990" s="374"/>
      <c r="C36990" s="374"/>
      <c r="CV36990" s="376"/>
    </row>
    <row r="36991" spans="1:100">
      <c r="A36991" s="374"/>
      <c r="C36991" s="374"/>
      <c r="CV36991" s="376"/>
    </row>
    <row r="36992" spans="1:100">
      <c r="A36992" s="374"/>
      <c r="C36992" s="374"/>
      <c r="CV36992" s="376"/>
    </row>
    <row r="36993" spans="1:100">
      <c r="A36993" s="374"/>
      <c r="C36993" s="374"/>
      <c r="CV36993" s="376"/>
    </row>
    <row r="36994" spans="1:100">
      <c r="A36994" s="374"/>
      <c r="C36994" s="374"/>
      <c r="CV36994" s="376"/>
    </row>
    <row r="36995" spans="1:100">
      <c r="A36995" s="374"/>
      <c r="C36995" s="374"/>
      <c r="CV36995" s="376"/>
    </row>
    <row r="36996" spans="1:100">
      <c r="A36996" s="374"/>
      <c r="C36996" s="374"/>
      <c r="CV36996" s="376"/>
    </row>
    <row r="36997" spans="1:100">
      <c r="A36997" s="374"/>
      <c r="C36997" s="374"/>
      <c r="CV36997" s="376"/>
    </row>
    <row r="36998" spans="1:100">
      <c r="A36998" s="374"/>
      <c r="C36998" s="374"/>
      <c r="CV36998" s="376"/>
    </row>
    <row r="36999" spans="1:100">
      <c r="A36999" s="374"/>
      <c r="C36999" s="374"/>
      <c r="CV36999" s="376"/>
    </row>
    <row r="37000" spans="1:100">
      <c r="A37000" s="374"/>
      <c r="C37000" s="374"/>
      <c r="CV37000" s="376"/>
    </row>
    <row r="37001" spans="1:100">
      <c r="A37001" s="374"/>
      <c r="C37001" s="374"/>
      <c r="CV37001" s="376"/>
    </row>
    <row r="37002" spans="1:100">
      <c r="A37002" s="374"/>
      <c r="C37002" s="374"/>
      <c r="CV37002" s="376"/>
    </row>
    <row r="37003" spans="1:100">
      <c r="A37003" s="374"/>
      <c r="C37003" s="374"/>
      <c r="CV37003" s="376"/>
    </row>
    <row r="37004" spans="1:100">
      <c r="A37004" s="374"/>
      <c r="C37004" s="374"/>
      <c r="CV37004" s="376"/>
    </row>
    <row r="37005" spans="1:100">
      <c r="A37005" s="374"/>
      <c r="C37005" s="374"/>
      <c r="CV37005" s="376"/>
    </row>
    <row r="37006" spans="1:100">
      <c r="A37006" s="374"/>
      <c r="C37006" s="374"/>
      <c r="CV37006" s="376"/>
    </row>
    <row r="37007" spans="1:100">
      <c r="A37007" s="374"/>
      <c r="C37007" s="374"/>
      <c r="CV37007" s="376"/>
    </row>
    <row r="37008" spans="1:100">
      <c r="A37008" s="374"/>
      <c r="C37008" s="374"/>
      <c r="CV37008" s="376"/>
    </row>
    <row r="37009" spans="1:100">
      <c r="A37009" s="374"/>
      <c r="C37009" s="374"/>
      <c r="CV37009" s="376"/>
    </row>
    <row r="37010" spans="1:100">
      <c r="A37010" s="374"/>
      <c r="C37010" s="374"/>
      <c r="CV37010" s="376"/>
    </row>
    <row r="37011" spans="1:100">
      <c r="A37011" s="374"/>
      <c r="C37011" s="374"/>
      <c r="CV37011" s="376"/>
    </row>
    <row r="37012" spans="1:100">
      <c r="A37012" s="374"/>
      <c r="C37012" s="374"/>
      <c r="CV37012" s="376"/>
    </row>
    <row r="37013" spans="1:100">
      <c r="A37013" s="374"/>
      <c r="C37013" s="374"/>
      <c r="CV37013" s="376"/>
    </row>
    <row r="37014" spans="1:100">
      <c r="A37014" s="374"/>
      <c r="C37014" s="374"/>
      <c r="CV37014" s="376"/>
    </row>
    <row r="37015" spans="1:100">
      <c r="A37015" s="374"/>
      <c r="C37015" s="374"/>
      <c r="CV37015" s="376"/>
    </row>
    <row r="37016" spans="1:100">
      <c r="A37016" s="374"/>
      <c r="C37016" s="374"/>
      <c r="CV37016" s="376"/>
    </row>
    <row r="37017" spans="1:100">
      <c r="A37017" s="374"/>
      <c r="C37017" s="374"/>
      <c r="CV37017" s="376"/>
    </row>
    <row r="37018" spans="1:100">
      <c r="A37018" s="374"/>
      <c r="C37018" s="374"/>
      <c r="CV37018" s="376"/>
    </row>
    <row r="37019" spans="1:100">
      <c r="A37019" s="374"/>
      <c r="C37019" s="374"/>
      <c r="CV37019" s="376"/>
    </row>
    <row r="37020" spans="1:100">
      <c r="A37020" s="374"/>
      <c r="C37020" s="374"/>
      <c r="CV37020" s="376"/>
    </row>
    <row r="37021" spans="1:100">
      <c r="A37021" s="374"/>
      <c r="C37021" s="374"/>
      <c r="CV37021" s="376"/>
    </row>
    <row r="37022" spans="1:100">
      <c r="A37022" s="374"/>
      <c r="C37022" s="374"/>
      <c r="CV37022" s="376"/>
    </row>
    <row r="37023" spans="1:100">
      <c r="A37023" s="374"/>
      <c r="C37023" s="374"/>
      <c r="CV37023" s="376"/>
    </row>
    <row r="37024" spans="1:100">
      <c r="A37024" s="374"/>
      <c r="C37024" s="374"/>
      <c r="CV37024" s="376"/>
    </row>
    <row r="37025" spans="1:100">
      <c r="A37025" s="374"/>
      <c r="C37025" s="374"/>
      <c r="CV37025" s="376"/>
    </row>
    <row r="37026" spans="1:100">
      <c r="A37026" s="374"/>
      <c r="C37026" s="374"/>
      <c r="CV37026" s="376"/>
    </row>
    <row r="37027" spans="1:100">
      <c r="A37027" s="374"/>
      <c r="C37027" s="374"/>
      <c r="CV37027" s="376"/>
    </row>
    <row r="37028" spans="1:100">
      <c r="A37028" s="374"/>
      <c r="C37028" s="374"/>
      <c r="CV37028" s="376"/>
    </row>
    <row r="37029" spans="1:100">
      <c r="A37029" s="374"/>
      <c r="C37029" s="374"/>
      <c r="CV37029" s="376"/>
    </row>
    <row r="37030" spans="1:100">
      <c r="A37030" s="374"/>
      <c r="C37030" s="374"/>
      <c r="CV37030" s="376"/>
    </row>
    <row r="37031" spans="1:100">
      <c r="A37031" s="374"/>
      <c r="C37031" s="374"/>
      <c r="CV37031" s="376"/>
    </row>
    <row r="37032" spans="1:100">
      <c r="A37032" s="374"/>
      <c r="C37032" s="374"/>
      <c r="CV37032" s="376"/>
    </row>
    <row r="37033" spans="1:100">
      <c r="A37033" s="374"/>
      <c r="C37033" s="374"/>
      <c r="CV37033" s="376"/>
    </row>
    <row r="37034" spans="1:100">
      <c r="A37034" s="374"/>
      <c r="C37034" s="374"/>
      <c r="CV37034" s="376"/>
    </row>
    <row r="37035" spans="1:100">
      <c r="A37035" s="374"/>
      <c r="C37035" s="374"/>
      <c r="CV37035" s="376"/>
    </row>
    <row r="37036" spans="1:100">
      <c r="A37036" s="374"/>
      <c r="C37036" s="374"/>
      <c r="CV37036" s="376"/>
    </row>
    <row r="37037" spans="1:100">
      <c r="A37037" s="374"/>
      <c r="C37037" s="374"/>
      <c r="CV37037" s="376"/>
    </row>
    <row r="37038" spans="1:100">
      <c r="A37038" s="374"/>
      <c r="C37038" s="374"/>
      <c r="CV37038" s="376"/>
    </row>
    <row r="37039" spans="1:100">
      <c r="A37039" s="374"/>
      <c r="C37039" s="374"/>
      <c r="CV37039" s="376"/>
    </row>
    <row r="37040" spans="1:100">
      <c r="A37040" s="374"/>
      <c r="C37040" s="374"/>
      <c r="CV37040" s="376"/>
    </row>
    <row r="37041" spans="1:100">
      <c r="A37041" s="374"/>
      <c r="C37041" s="374"/>
      <c r="CV37041" s="376"/>
    </row>
    <row r="37042" spans="1:100">
      <c r="A37042" s="374"/>
      <c r="C37042" s="374"/>
      <c r="CV37042" s="376"/>
    </row>
    <row r="37043" spans="1:100">
      <c r="A37043" s="374"/>
      <c r="C37043" s="374"/>
      <c r="CV37043" s="376"/>
    </row>
    <row r="37044" spans="1:100">
      <c r="A37044" s="374"/>
      <c r="C37044" s="374"/>
      <c r="CV37044" s="376"/>
    </row>
    <row r="37045" spans="1:100">
      <c r="A37045" s="374"/>
      <c r="C37045" s="374"/>
      <c r="CV37045" s="376"/>
    </row>
    <row r="37046" spans="1:100">
      <c r="A37046" s="374"/>
      <c r="C37046" s="374"/>
      <c r="CV37046" s="376"/>
    </row>
    <row r="37047" spans="1:100">
      <c r="A37047" s="374"/>
      <c r="C37047" s="374"/>
      <c r="CV37047" s="376"/>
    </row>
    <row r="37048" spans="1:100">
      <c r="A37048" s="374"/>
      <c r="C37048" s="374"/>
      <c r="CV37048" s="376"/>
    </row>
    <row r="37049" spans="1:100">
      <c r="A37049" s="374"/>
      <c r="C37049" s="374"/>
      <c r="CV37049" s="376"/>
    </row>
    <row r="37050" spans="1:100">
      <c r="A37050" s="374"/>
      <c r="C37050" s="374"/>
      <c r="CV37050" s="376"/>
    </row>
    <row r="37051" spans="1:100">
      <c r="A37051" s="374"/>
      <c r="C37051" s="374"/>
      <c r="CV37051" s="376"/>
    </row>
    <row r="37052" spans="1:100">
      <c r="A37052" s="374"/>
      <c r="C37052" s="374"/>
      <c r="CV37052" s="376"/>
    </row>
    <row r="37053" spans="1:100">
      <c r="A37053" s="374"/>
      <c r="C37053" s="374"/>
      <c r="CV37053" s="376"/>
    </row>
    <row r="37054" spans="1:100">
      <c r="A37054" s="374"/>
      <c r="C37054" s="374"/>
      <c r="CV37054" s="376"/>
    </row>
    <row r="37055" spans="1:100">
      <c r="A37055" s="374"/>
      <c r="C37055" s="374"/>
      <c r="CV37055" s="376"/>
    </row>
    <row r="37056" spans="1:100">
      <c r="A37056" s="374"/>
      <c r="C37056" s="374"/>
      <c r="CV37056" s="376"/>
    </row>
    <row r="37057" spans="1:100">
      <c r="A37057" s="374"/>
      <c r="C37057" s="374"/>
      <c r="CV37057" s="376"/>
    </row>
    <row r="37058" spans="1:100">
      <c r="A37058" s="374"/>
      <c r="C37058" s="374"/>
      <c r="CV37058" s="376"/>
    </row>
    <row r="37059" spans="1:100">
      <c r="A37059" s="374"/>
      <c r="C37059" s="374"/>
      <c r="CV37059" s="376"/>
    </row>
    <row r="37060" spans="1:100">
      <c r="A37060" s="374"/>
      <c r="C37060" s="374"/>
      <c r="CV37060" s="376"/>
    </row>
    <row r="37061" spans="1:100">
      <c r="A37061" s="374"/>
      <c r="C37061" s="374"/>
      <c r="CV37061" s="376"/>
    </row>
    <row r="37062" spans="1:100">
      <c r="A37062" s="374"/>
      <c r="C37062" s="374"/>
      <c r="CV37062" s="376"/>
    </row>
    <row r="37063" spans="1:100">
      <c r="A37063" s="374"/>
      <c r="C37063" s="374"/>
      <c r="CV37063" s="376"/>
    </row>
    <row r="37064" spans="1:100">
      <c r="A37064" s="374"/>
      <c r="C37064" s="374"/>
      <c r="CV37064" s="376"/>
    </row>
    <row r="37065" spans="1:100">
      <c r="A37065" s="374"/>
      <c r="C37065" s="374"/>
      <c r="CV37065" s="376"/>
    </row>
    <row r="37066" spans="1:100">
      <c r="A37066" s="374"/>
      <c r="C37066" s="374"/>
      <c r="CV37066" s="376"/>
    </row>
    <row r="37067" spans="1:100">
      <c r="A37067" s="374"/>
      <c r="C37067" s="374"/>
      <c r="CV37067" s="376"/>
    </row>
    <row r="37068" spans="1:100">
      <c r="A37068" s="374"/>
      <c r="C37068" s="374"/>
      <c r="CV37068" s="376"/>
    </row>
    <row r="37069" spans="1:100">
      <c r="A37069" s="374"/>
      <c r="C37069" s="374"/>
      <c r="CV37069" s="376"/>
    </row>
    <row r="37070" spans="1:100">
      <c r="A37070" s="374"/>
      <c r="C37070" s="374"/>
      <c r="CV37070" s="376"/>
    </row>
    <row r="37071" spans="1:100">
      <c r="A37071" s="374"/>
      <c r="C37071" s="374"/>
      <c r="CV37071" s="376"/>
    </row>
    <row r="37072" spans="1:100">
      <c r="A37072" s="374"/>
      <c r="C37072" s="374"/>
      <c r="CV37072" s="376"/>
    </row>
    <row r="37073" spans="1:100">
      <c r="A37073" s="374"/>
      <c r="C37073" s="374"/>
      <c r="CV37073" s="376"/>
    </row>
    <row r="37074" spans="1:100">
      <c r="A37074" s="374"/>
      <c r="C37074" s="374"/>
      <c r="CV37074" s="376"/>
    </row>
    <row r="37075" spans="1:100">
      <c r="A37075" s="374"/>
      <c r="C37075" s="374"/>
      <c r="CV37075" s="376"/>
    </row>
    <row r="37076" spans="1:100">
      <c r="A37076" s="374"/>
      <c r="C37076" s="374"/>
      <c r="CV37076" s="376"/>
    </row>
    <row r="37077" spans="1:100">
      <c r="A37077" s="374"/>
      <c r="C37077" s="374"/>
      <c r="CV37077" s="376"/>
    </row>
    <row r="37078" spans="1:100">
      <c r="A37078" s="374"/>
      <c r="C37078" s="374"/>
      <c r="CV37078" s="376"/>
    </row>
    <row r="37079" spans="1:100">
      <c r="A37079" s="374"/>
      <c r="C37079" s="374"/>
      <c r="CV37079" s="376"/>
    </row>
    <row r="37080" spans="1:100">
      <c r="A37080" s="374"/>
      <c r="C37080" s="374"/>
      <c r="CV37080" s="376"/>
    </row>
    <row r="37081" spans="1:100">
      <c r="A37081" s="374"/>
      <c r="C37081" s="374"/>
      <c r="CV37081" s="376"/>
    </row>
    <row r="37082" spans="1:100">
      <c r="A37082" s="374"/>
      <c r="C37082" s="374"/>
      <c r="CV37082" s="376"/>
    </row>
    <row r="37083" spans="1:100">
      <c r="A37083" s="374"/>
      <c r="C37083" s="374"/>
      <c r="CV37083" s="376"/>
    </row>
    <row r="37084" spans="1:100">
      <c r="A37084" s="374"/>
      <c r="C37084" s="374"/>
      <c r="CV37084" s="376"/>
    </row>
    <row r="37085" spans="1:100">
      <c r="A37085" s="374"/>
      <c r="C37085" s="374"/>
      <c r="CV37085" s="376"/>
    </row>
    <row r="37086" spans="1:100">
      <c r="A37086" s="374"/>
      <c r="C37086" s="374"/>
      <c r="CV37086" s="376"/>
    </row>
    <row r="37087" spans="1:100">
      <c r="A37087" s="374"/>
      <c r="C37087" s="374"/>
      <c r="CV37087" s="376"/>
    </row>
    <row r="37088" spans="1:100">
      <c r="A37088" s="374"/>
      <c r="C37088" s="374"/>
      <c r="CV37088" s="376"/>
    </row>
    <row r="37089" spans="1:100">
      <c r="A37089" s="374"/>
      <c r="C37089" s="374"/>
      <c r="CV37089" s="376"/>
    </row>
    <row r="37090" spans="1:100">
      <c r="A37090" s="374"/>
      <c r="C37090" s="374"/>
      <c r="CV37090" s="376"/>
    </row>
    <row r="37091" spans="1:100">
      <c r="A37091" s="374"/>
      <c r="C37091" s="374"/>
      <c r="CV37091" s="376"/>
    </row>
    <row r="37092" spans="1:100">
      <c r="A37092" s="374"/>
      <c r="C37092" s="374"/>
      <c r="CV37092" s="376"/>
    </row>
    <row r="37093" spans="1:100">
      <c r="A37093" s="374"/>
      <c r="C37093" s="374"/>
      <c r="CV37093" s="376"/>
    </row>
    <row r="37094" spans="1:100">
      <c r="A37094" s="374"/>
      <c r="C37094" s="374"/>
      <c r="CV37094" s="376"/>
    </row>
    <row r="37095" spans="1:100">
      <c r="A37095" s="374"/>
      <c r="C37095" s="374"/>
      <c r="CV37095" s="376"/>
    </row>
    <row r="37096" spans="1:100">
      <c r="A37096" s="374"/>
      <c r="C37096" s="374"/>
      <c r="CV37096" s="376"/>
    </row>
    <row r="37097" spans="1:100">
      <c r="A37097" s="374"/>
      <c r="C37097" s="374"/>
      <c r="CV37097" s="376"/>
    </row>
    <row r="37098" spans="1:100">
      <c r="A37098" s="374"/>
      <c r="C37098" s="374"/>
      <c r="CV37098" s="376"/>
    </row>
    <row r="37099" spans="1:100">
      <c r="A37099" s="374"/>
      <c r="C37099" s="374"/>
      <c r="CV37099" s="376"/>
    </row>
    <row r="37100" spans="1:100">
      <c r="A37100" s="374"/>
      <c r="C37100" s="374"/>
      <c r="CV37100" s="376"/>
    </row>
    <row r="37101" spans="1:100">
      <c r="A37101" s="374"/>
      <c r="C37101" s="374"/>
      <c r="CV37101" s="376"/>
    </row>
    <row r="37102" spans="1:100">
      <c r="A37102" s="374"/>
      <c r="C37102" s="374"/>
      <c r="CV37102" s="376"/>
    </row>
    <row r="37103" spans="1:100">
      <c r="A37103" s="374"/>
      <c r="C37103" s="374"/>
      <c r="CV37103" s="376"/>
    </row>
    <row r="37104" spans="1:100">
      <c r="A37104" s="374"/>
      <c r="C37104" s="374"/>
      <c r="CV37104" s="376"/>
    </row>
    <row r="37105" spans="1:100">
      <c r="A37105" s="374"/>
      <c r="C37105" s="374"/>
      <c r="CV37105" s="376"/>
    </row>
    <row r="37106" spans="1:100">
      <c r="A37106" s="374"/>
      <c r="C37106" s="374"/>
      <c r="CV37106" s="376"/>
    </row>
    <row r="37107" spans="1:100">
      <c r="A37107" s="374"/>
      <c r="C37107" s="374"/>
      <c r="CV37107" s="376"/>
    </row>
    <row r="37108" spans="1:100">
      <c r="A37108" s="374"/>
      <c r="C37108" s="374"/>
      <c r="CV37108" s="376"/>
    </row>
    <row r="37109" spans="1:100">
      <c r="A37109" s="374"/>
      <c r="C37109" s="374"/>
      <c r="CV37109" s="376"/>
    </row>
    <row r="37110" spans="1:100">
      <c r="A37110" s="374"/>
      <c r="C37110" s="374"/>
      <c r="CV37110" s="376"/>
    </row>
    <row r="37111" spans="1:100">
      <c r="A37111" s="374"/>
      <c r="C37111" s="374"/>
      <c r="CV37111" s="376"/>
    </row>
    <row r="37112" spans="1:100">
      <c r="A37112" s="374"/>
      <c r="C37112" s="374"/>
      <c r="CV37112" s="376"/>
    </row>
    <row r="37113" spans="1:100">
      <c r="A37113" s="374"/>
      <c r="C37113" s="374"/>
      <c r="CV37113" s="376"/>
    </row>
    <row r="37114" spans="1:100">
      <c r="A37114" s="374"/>
      <c r="C37114" s="374"/>
      <c r="CV37114" s="376"/>
    </row>
    <row r="37115" spans="1:100">
      <c r="A37115" s="374"/>
      <c r="C37115" s="374"/>
      <c r="CV37115" s="376"/>
    </row>
    <row r="37116" spans="1:100">
      <c r="A37116" s="374"/>
      <c r="C37116" s="374"/>
      <c r="CV37116" s="376"/>
    </row>
    <row r="37117" spans="1:100">
      <c r="A37117" s="374"/>
      <c r="C37117" s="374"/>
      <c r="CV37117" s="376"/>
    </row>
    <row r="37118" spans="1:100">
      <c r="A37118" s="374"/>
      <c r="C37118" s="374"/>
      <c r="CV37118" s="376"/>
    </row>
    <row r="37119" spans="1:100">
      <c r="A37119" s="374"/>
      <c r="C37119" s="374"/>
      <c r="CV37119" s="376"/>
    </row>
    <row r="37120" spans="1:100">
      <c r="A37120" s="374"/>
      <c r="C37120" s="374"/>
      <c r="CV37120" s="376"/>
    </row>
    <row r="37121" spans="1:100">
      <c r="A37121" s="374"/>
      <c r="C37121" s="374"/>
      <c r="CV37121" s="376"/>
    </row>
    <row r="37122" spans="1:100">
      <c r="A37122" s="374"/>
      <c r="C37122" s="374"/>
      <c r="CV37122" s="376"/>
    </row>
    <row r="37123" spans="1:100">
      <c r="A37123" s="374"/>
      <c r="C37123" s="374"/>
      <c r="CV37123" s="376"/>
    </row>
    <row r="37124" spans="1:100">
      <c r="A37124" s="374"/>
      <c r="C37124" s="374"/>
      <c r="CV37124" s="376"/>
    </row>
    <row r="37125" spans="1:100">
      <c r="A37125" s="374"/>
      <c r="C37125" s="374"/>
      <c r="CV37125" s="376"/>
    </row>
    <row r="37126" spans="1:100">
      <c r="A37126" s="374"/>
      <c r="C37126" s="374"/>
      <c r="CV37126" s="376"/>
    </row>
    <row r="37127" spans="1:100">
      <c r="A37127" s="374"/>
      <c r="C37127" s="374"/>
      <c r="CV37127" s="376"/>
    </row>
    <row r="37128" spans="1:100">
      <c r="A37128" s="374"/>
      <c r="C37128" s="374"/>
      <c r="CV37128" s="376"/>
    </row>
    <row r="37129" spans="1:100">
      <c r="A37129" s="374"/>
      <c r="C37129" s="374"/>
      <c r="CV37129" s="376"/>
    </row>
    <row r="37130" spans="1:100">
      <c r="A37130" s="374"/>
      <c r="C37130" s="374"/>
      <c r="CV37130" s="376"/>
    </row>
    <row r="37131" spans="1:100">
      <c r="A37131" s="374"/>
      <c r="C37131" s="374"/>
      <c r="CV37131" s="376"/>
    </row>
    <row r="37132" spans="1:100">
      <c r="A37132" s="374"/>
      <c r="C37132" s="374"/>
      <c r="CV37132" s="376"/>
    </row>
    <row r="37133" spans="1:100">
      <c r="A37133" s="374"/>
      <c r="C37133" s="374"/>
      <c r="CV37133" s="376"/>
    </row>
    <row r="37134" spans="1:100">
      <c r="A37134" s="374"/>
      <c r="C37134" s="374"/>
      <c r="CV37134" s="376"/>
    </row>
    <row r="37135" spans="1:100">
      <c r="A37135" s="374"/>
      <c r="C37135" s="374"/>
      <c r="CV37135" s="376"/>
    </row>
    <row r="37136" spans="1:100">
      <c r="A37136" s="374"/>
      <c r="C37136" s="374"/>
      <c r="CV37136" s="376"/>
    </row>
    <row r="37137" spans="1:100">
      <c r="A37137" s="374"/>
      <c r="C37137" s="374"/>
      <c r="CV37137" s="376"/>
    </row>
    <row r="37138" spans="1:100">
      <c r="A37138" s="374"/>
      <c r="C37138" s="374"/>
      <c r="CV37138" s="376"/>
    </row>
    <row r="37139" spans="1:100">
      <c r="A37139" s="374"/>
      <c r="C37139" s="374"/>
      <c r="CV37139" s="376"/>
    </row>
    <row r="37140" spans="1:100">
      <c r="A37140" s="374"/>
      <c r="C37140" s="374"/>
      <c r="CV37140" s="376"/>
    </row>
    <row r="37141" spans="1:100">
      <c r="A37141" s="374"/>
      <c r="C37141" s="374"/>
      <c r="CV37141" s="376"/>
    </row>
    <row r="37142" spans="1:100">
      <c r="A37142" s="374"/>
      <c r="C37142" s="374"/>
      <c r="CV37142" s="376"/>
    </row>
    <row r="37143" spans="1:100">
      <c r="A37143" s="374"/>
      <c r="C37143" s="374"/>
      <c r="CV37143" s="376"/>
    </row>
    <row r="37144" spans="1:100">
      <c r="A37144" s="374"/>
      <c r="C37144" s="374"/>
      <c r="CV37144" s="376"/>
    </row>
    <row r="37145" spans="1:100">
      <c r="A37145" s="374"/>
      <c r="C37145" s="374"/>
      <c r="CV37145" s="376"/>
    </row>
    <row r="37146" spans="1:100">
      <c r="A37146" s="374"/>
      <c r="C37146" s="374"/>
      <c r="CV37146" s="376"/>
    </row>
    <row r="37147" spans="1:100">
      <c r="A37147" s="374"/>
      <c r="C37147" s="374"/>
      <c r="CV37147" s="376"/>
    </row>
    <row r="37148" spans="1:100">
      <c r="A37148" s="374"/>
      <c r="C37148" s="374"/>
      <c r="CV37148" s="376"/>
    </row>
    <row r="37149" spans="1:100">
      <c r="A37149" s="374"/>
      <c r="C37149" s="374"/>
      <c r="CV37149" s="376"/>
    </row>
    <row r="37150" spans="1:100">
      <c r="A37150" s="374"/>
      <c r="C37150" s="374"/>
      <c r="CV37150" s="376"/>
    </row>
    <row r="37151" spans="1:100">
      <c r="A37151" s="374"/>
      <c r="C37151" s="374"/>
      <c r="CV37151" s="376"/>
    </row>
    <row r="37152" spans="1:100">
      <c r="A37152" s="374"/>
      <c r="C37152" s="374"/>
      <c r="CV37152" s="376"/>
    </row>
    <row r="37153" spans="1:100">
      <c r="A37153" s="374"/>
      <c r="C37153" s="374"/>
      <c r="CV37153" s="376"/>
    </row>
    <row r="37154" spans="1:100">
      <c r="A37154" s="374"/>
      <c r="C37154" s="374"/>
      <c r="CV37154" s="376"/>
    </row>
    <row r="37155" spans="1:100">
      <c r="A37155" s="374"/>
      <c r="C37155" s="374"/>
      <c r="CV37155" s="376"/>
    </row>
    <row r="37156" spans="1:100">
      <c r="A37156" s="374"/>
      <c r="C37156" s="374"/>
      <c r="CV37156" s="376"/>
    </row>
    <row r="37157" spans="1:100">
      <c r="A37157" s="374"/>
      <c r="C37157" s="374"/>
      <c r="CV37157" s="376"/>
    </row>
    <row r="37158" spans="1:100">
      <c r="A37158" s="374"/>
      <c r="C37158" s="374"/>
      <c r="CV37158" s="376"/>
    </row>
    <row r="37159" spans="1:100">
      <c r="A37159" s="374"/>
      <c r="C37159" s="374"/>
      <c r="CV37159" s="376"/>
    </row>
    <row r="37160" spans="1:100">
      <c r="A37160" s="374"/>
      <c r="C37160" s="374"/>
      <c r="CV37160" s="376"/>
    </row>
    <row r="37161" spans="1:100">
      <c r="A37161" s="374"/>
      <c r="C37161" s="374"/>
      <c r="CV37161" s="376"/>
    </row>
    <row r="37162" spans="1:100">
      <c r="A37162" s="374"/>
      <c r="C37162" s="374"/>
      <c r="CV37162" s="376"/>
    </row>
    <row r="37163" spans="1:100">
      <c r="A37163" s="374"/>
      <c r="C37163" s="374"/>
      <c r="CV37163" s="376"/>
    </row>
    <row r="37164" spans="1:100">
      <c r="A37164" s="374"/>
      <c r="C37164" s="374"/>
      <c r="CV37164" s="376"/>
    </row>
    <row r="37165" spans="1:100">
      <c r="A37165" s="374"/>
      <c r="C37165" s="374"/>
      <c r="CV37165" s="376"/>
    </row>
    <row r="37166" spans="1:100">
      <c r="A37166" s="374"/>
      <c r="C37166" s="374"/>
      <c r="CV37166" s="376"/>
    </row>
    <row r="37167" spans="1:100">
      <c r="A37167" s="374"/>
      <c r="C37167" s="374"/>
      <c r="CV37167" s="376"/>
    </row>
    <row r="37168" spans="1:100">
      <c r="A37168" s="374"/>
      <c r="C37168" s="374"/>
      <c r="CV37168" s="376"/>
    </row>
    <row r="37169" spans="1:100">
      <c r="A37169" s="374"/>
      <c r="C37169" s="374"/>
      <c r="CV37169" s="376"/>
    </row>
    <row r="37170" spans="1:100">
      <c r="A37170" s="374"/>
      <c r="C37170" s="374"/>
      <c r="CV37170" s="376"/>
    </row>
    <row r="37171" spans="1:100">
      <c r="A37171" s="374"/>
      <c r="C37171" s="374"/>
      <c r="CV37171" s="376"/>
    </row>
    <row r="37172" spans="1:100">
      <c r="A37172" s="374"/>
      <c r="C37172" s="374"/>
      <c r="CV37172" s="376"/>
    </row>
    <row r="37173" spans="1:100">
      <c r="A37173" s="374"/>
      <c r="C37173" s="374"/>
      <c r="CV37173" s="376"/>
    </row>
    <row r="37174" spans="1:100">
      <c r="A37174" s="374"/>
      <c r="C37174" s="374"/>
      <c r="CV37174" s="376"/>
    </row>
    <row r="37175" spans="1:100">
      <c r="A37175" s="374"/>
      <c r="C37175" s="374"/>
      <c r="CV37175" s="376"/>
    </row>
    <row r="37176" spans="1:100">
      <c r="A37176" s="374"/>
      <c r="C37176" s="374"/>
      <c r="CV37176" s="376"/>
    </row>
    <row r="37177" spans="1:100">
      <c r="A37177" s="374"/>
      <c r="C37177" s="374"/>
      <c r="CV37177" s="376"/>
    </row>
    <row r="37178" spans="1:100">
      <c r="A37178" s="374"/>
      <c r="C37178" s="374"/>
      <c r="CV37178" s="376"/>
    </row>
    <row r="37179" spans="1:100">
      <c r="A37179" s="374"/>
      <c r="C37179" s="374"/>
      <c r="CV37179" s="376"/>
    </row>
    <row r="37180" spans="1:100">
      <c r="A37180" s="374"/>
      <c r="C37180" s="374"/>
      <c r="CV37180" s="376"/>
    </row>
    <row r="37181" spans="1:100">
      <c r="A37181" s="374"/>
      <c r="C37181" s="374"/>
      <c r="CV37181" s="376"/>
    </row>
    <row r="37182" spans="1:100">
      <c r="A37182" s="374"/>
      <c r="C37182" s="374"/>
      <c r="CV37182" s="376"/>
    </row>
    <row r="37183" spans="1:100">
      <c r="A37183" s="374"/>
      <c r="C37183" s="374"/>
      <c r="CV37183" s="376"/>
    </row>
    <row r="37184" spans="1:100">
      <c r="A37184" s="374"/>
      <c r="C37184" s="374"/>
      <c r="CV37184" s="376"/>
    </row>
    <row r="37185" spans="1:100">
      <c r="A37185" s="374"/>
      <c r="C37185" s="374"/>
      <c r="CV37185" s="376"/>
    </row>
    <row r="37186" spans="1:100">
      <c r="A37186" s="374"/>
      <c r="C37186" s="374"/>
      <c r="CV37186" s="376"/>
    </row>
    <row r="37187" spans="1:100">
      <c r="A37187" s="374"/>
      <c r="C37187" s="374"/>
      <c r="CV37187" s="376"/>
    </row>
    <row r="37188" spans="1:100">
      <c r="A37188" s="374"/>
      <c r="C37188" s="374"/>
      <c r="CV37188" s="376"/>
    </row>
    <row r="37189" spans="1:100">
      <c r="A37189" s="374"/>
      <c r="C37189" s="374"/>
      <c r="CV37189" s="376"/>
    </row>
    <row r="37190" spans="1:100">
      <c r="A37190" s="374"/>
      <c r="C37190" s="374"/>
      <c r="CV37190" s="376"/>
    </row>
    <row r="37191" spans="1:100">
      <c r="A37191" s="374"/>
      <c r="C37191" s="374"/>
      <c r="CV37191" s="376"/>
    </row>
    <row r="37192" spans="1:100">
      <c r="A37192" s="374"/>
      <c r="C37192" s="374"/>
      <c r="CV37192" s="376"/>
    </row>
    <row r="37193" spans="1:100">
      <c r="A37193" s="374"/>
      <c r="C37193" s="374"/>
      <c r="CV37193" s="376"/>
    </row>
    <row r="37194" spans="1:100">
      <c r="A37194" s="374"/>
      <c r="C37194" s="374"/>
      <c r="CV37194" s="376"/>
    </row>
    <row r="37195" spans="1:100">
      <c r="A37195" s="374"/>
      <c r="C37195" s="374"/>
      <c r="CV37195" s="376"/>
    </row>
    <row r="37196" spans="1:100">
      <c r="A37196" s="374"/>
      <c r="C37196" s="374"/>
      <c r="CV37196" s="376"/>
    </row>
    <row r="37197" spans="1:100">
      <c r="A37197" s="374"/>
      <c r="C37197" s="374"/>
      <c r="CV37197" s="376"/>
    </row>
    <row r="37198" spans="1:100">
      <c r="A37198" s="374"/>
      <c r="C37198" s="374"/>
      <c r="CV37198" s="376"/>
    </row>
    <row r="37199" spans="1:100">
      <c r="A37199" s="374"/>
      <c r="C37199" s="374"/>
      <c r="CV37199" s="376"/>
    </row>
    <row r="37200" spans="1:100">
      <c r="A37200" s="374"/>
      <c r="C37200" s="374"/>
      <c r="CV37200" s="376"/>
    </row>
    <row r="37201" spans="1:100">
      <c r="A37201" s="374"/>
      <c r="C37201" s="374"/>
      <c r="CV37201" s="376"/>
    </row>
    <row r="37202" spans="1:100">
      <c r="A37202" s="374"/>
      <c r="C37202" s="374"/>
      <c r="CV37202" s="376"/>
    </row>
    <row r="37203" spans="1:100">
      <c r="A37203" s="374"/>
      <c r="C37203" s="374"/>
      <c r="CV37203" s="376"/>
    </row>
    <row r="37204" spans="1:100">
      <c r="A37204" s="374"/>
      <c r="C37204" s="374"/>
      <c r="CV37204" s="376"/>
    </row>
    <row r="37205" spans="1:100">
      <c r="A37205" s="374"/>
      <c r="C37205" s="374"/>
      <c r="CV37205" s="376"/>
    </row>
    <row r="37206" spans="1:100">
      <c r="A37206" s="374"/>
      <c r="C37206" s="374"/>
      <c r="CV37206" s="376"/>
    </row>
    <row r="37207" spans="1:100">
      <c r="A37207" s="374"/>
      <c r="C37207" s="374"/>
      <c r="CV37207" s="376"/>
    </row>
    <row r="37208" spans="1:100">
      <c r="A37208" s="374"/>
      <c r="C37208" s="374"/>
      <c r="CV37208" s="376"/>
    </row>
    <row r="37209" spans="1:100">
      <c r="A37209" s="374"/>
      <c r="C37209" s="374"/>
      <c r="CV37209" s="376"/>
    </row>
    <row r="37210" spans="1:100">
      <c r="A37210" s="374"/>
      <c r="C37210" s="374"/>
      <c r="CV37210" s="376"/>
    </row>
    <row r="37211" spans="1:100">
      <c r="A37211" s="374"/>
      <c r="C37211" s="374"/>
      <c r="CV37211" s="376"/>
    </row>
    <row r="37212" spans="1:100">
      <c r="A37212" s="374"/>
      <c r="C37212" s="374"/>
      <c r="CV37212" s="376"/>
    </row>
    <row r="37213" spans="1:100">
      <c r="A37213" s="374"/>
      <c r="C37213" s="374"/>
      <c r="CV37213" s="376"/>
    </row>
    <row r="37214" spans="1:100">
      <c r="A37214" s="374"/>
      <c r="C37214" s="374"/>
      <c r="CV37214" s="376"/>
    </row>
    <row r="37215" spans="1:100">
      <c r="A37215" s="374"/>
      <c r="C37215" s="374"/>
      <c r="CV37215" s="376"/>
    </row>
    <row r="37216" spans="1:100">
      <c r="A37216" s="374"/>
      <c r="C37216" s="374"/>
      <c r="CV37216" s="376"/>
    </row>
    <row r="37217" spans="1:100">
      <c r="A37217" s="374"/>
      <c r="C37217" s="374"/>
      <c r="CV37217" s="376"/>
    </row>
    <row r="37218" spans="1:100">
      <c r="A37218" s="374"/>
      <c r="C37218" s="374"/>
      <c r="CV37218" s="376"/>
    </row>
    <row r="37219" spans="1:100">
      <c r="A37219" s="374"/>
      <c r="C37219" s="374"/>
      <c r="CV37219" s="376"/>
    </row>
    <row r="37220" spans="1:100">
      <c r="A37220" s="374"/>
      <c r="C37220" s="374"/>
      <c r="CV37220" s="376"/>
    </row>
    <row r="37221" spans="1:100">
      <c r="A37221" s="374"/>
      <c r="C37221" s="374"/>
      <c r="CV37221" s="376"/>
    </row>
    <row r="37222" spans="1:100">
      <c r="A37222" s="374"/>
      <c r="C37222" s="374"/>
      <c r="CV37222" s="376"/>
    </row>
    <row r="37223" spans="1:100">
      <c r="A37223" s="374"/>
      <c r="C37223" s="374"/>
      <c r="CV37223" s="376"/>
    </row>
    <row r="37224" spans="1:100">
      <c r="A37224" s="374"/>
      <c r="C37224" s="374"/>
      <c r="CV37224" s="376"/>
    </row>
    <row r="37225" spans="1:100">
      <c r="A37225" s="374"/>
      <c r="C37225" s="374"/>
      <c r="CV37225" s="376"/>
    </row>
    <row r="37226" spans="1:100">
      <c r="A37226" s="374"/>
      <c r="C37226" s="374"/>
      <c r="CV37226" s="376"/>
    </row>
    <row r="37227" spans="1:100">
      <c r="A37227" s="374"/>
      <c r="C37227" s="374"/>
      <c r="CV37227" s="376"/>
    </row>
    <row r="37228" spans="1:100">
      <c r="A37228" s="374"/>
      <c r="C37228" s="374"/>
      <c r="CV37228" s="376"/>
    </row>
    <row r="37229" spans="1:100">
      <c r="A37229" s="374"/>
      <c r="C37229" s="374"/>
      <c r="CV37229" s="376"/>
    </row>
    <row r="37230" spans="1:100">
      <c r="A37230" s="374"/>
      <c r="C37230" s="374"/>
      <c r="CV37230" s="376"/>
    </row>
    <row r="37231" spans="1:100">
      <c r="A37231" s="374"/>
      <c r="C37231" s="374"/>
      <c r="CV37231" s="376"/>
    </row>
    <row r="37232" spans="1:100">
      <c r="A37232" s="374"/>
      <c r="C37232" s="374"/>
      <c r="CV37232" s="376"/>
    </row>
    <row r="37233" spans="1:100">
      <c r="A37233" s="374"/>
      <c r="C37233" s="374"/>
      <c r="CV37233" s="376"/>
    </row>
    <row r="37234" spans="1:100">
      <c r="A37234" s="374"/>
      <c r="C37234" s="374"/>
      <c r="CV37234" s="376"/>
    </row>
    <row r="37235" spans="1:100">
      <c r="A37235" s="374"/>
      <c r="C37235" s="374"/>
      <c r="CV37235" s="376"/>
    </row>
    <row r="37236" spans="1:100">
      <c r="A37236" s="374"/>
      <c r="C37236" s="374"/>
      <c r="CV37236" s="376"/>
    </row>
    <row r="37237" spans="1:100">
      <c r="A37237" s="374"/>
      <c r="C37237" s="374"/>
      <c r="CV37237" s="376"/>
    </row>
    <row r="37238" spans="1:100">
      <c r="A37238" s="374"/>
      <c r="C37238" s="374"/>
      <c r="CV37238" s="376"/>
    </row>
    <row r="37239" spans="1:100">
      <c r="A37239" s="374"/>
      <c r="C37239" s="374"/>
      <c r="CV37239" s="376"/>
    </row>
    <row r="37240" spans="1:100">
      <c r="A37240" s="374"/>
      <c r="C37240" s="374"/>
      <c r="CV37240" s="376"/>
    </row>
    <row r="37241" spans="1:100">
      <c r="A37241" s="374"/>
      <c r="C37241" s="374"/>
      <c r="CV37241" s="376"/>
    </row>
    <row r="37242" spans="1:100">
      <c r="A37242" s="374"/>
      <c r="C37242" s="374"/>
      <c r="CV37242" s="376"/>
    </row>
    <row r="37243" spans="1:100">
      <c r="A37243" s="374"/>
      <c r="C37243" s="374"/>
      <c r="CV37243" s="376"/>
    </row>
    <row r="37244" spans="1:100">
      <c r="A37244" s="374"/>
      <c r="C37244" s="374"/>
      <c r="CV37244" s="376"/>
    </row>
    <row r="37245" spans="1:100">
      <c r="A37245" s="374"/>
      <c r="C37245" s="374"/>
      <c r="CV37245" s="376"/>
    </row>
    <row r="37246" spans="1:100">
      <c r="A37246" s="374"/>
      <c r="C37246" s="374"/>
      <c r="CV37246" s="376"/>
    </row>
    <row r="37247" spans="1:100">
      <c r="A37247" s="374"/>
      <c r="C37247" s="374"/>
      <c r="CV37247" s="376"/>
    </row>
    <row r="37248" spans="1:100">
      <c r="A37248" s="374"/>
      <c r="C37248" s="374"/>
      <c r="CV37248" s="376"/>
    </row>
    <row r="37249" spans="1:100">
      <c r="A37249" s="374"/>
      <c r="C37249" s="374"/>
      <c r="CV37249" s="376"/>
    </row>
    <row r="37250" spans="1:100">
      <c r="A37250" s="374"/>
      <c r="C37250" s="374"/>
      <c r="CV37250" s="376"/>
    </row>
    <row r="37251" spans="1:100">
      <c r="A37251" s="374"/>
      <c r="C37251" s="374"/>
      <c r="CV37251" s="376"/>
    </row>
    <row r="37252" spans="1:100">
      <c r="A37252" s="374"/>
      <c r="C37252" s="374"/>
      <c r="CV37252" s="376"/>
    </row>
    <row r="37253" spans="1:100">
      <c r="A37253" s="374"/>
      <c r="C37253" s="374"/>
      <c r="CV37253" s="376"/>
    </row>
    <row r="37254" spans="1:100">
      <c r="A37254" s="374"/>
      <c r="C37254" s="374"/>
      <c r="CV37254" s="376"/>
    </row>
    <row r="37255" spans="1:100">
      <c r="A37255" s="374"/>
      <c r="C37255" s="374"/>
      <c r="CV37255" s="376"/>
    </row>
    <row r="37256" spans="1:100">
      <c r="A37256" s="374"/>
      <c r="C37256" s="374"/>
      <c r="CV37256" s="376"/>
    </row>
    <row r="37257" spans="1:100">
      <c r="A37257" s="374"/>
      <c r="C37257" s="374"/>
      <c r="CV37257" s="376"/>
    </row>
    <row r="37258" spans="1:100">
      <c r="A37258" s="374"/>
      <c r="C37258" s="374"/>
      <c r="CV37258" s="376"/>
    </row>
    <row r="37259" spans="1:100">
      <c r="A37259" s="374"/>
      <c r="C37259" s="374"/>
      <c r="CV37259" s="376"/>
    </row>
    <row r="37260" spans="1:100">
      <c r="A37260" s="374"/>
      <c r="C37260" s="374"/>
      <c r="CV37260" s="376"/>
    </row>
    <row r="37261" spans="1:100">
      <c r="A37261" s="374"/>
      <c r="C37261" s="374"/>
      <c r="CV37261" s="376"/>
    </row>
    <row r="37262" spans="1:100">
      <c r="A37262" s="374"/>
      <c r="C37262" s="374"/>
      <c r="CV37262" s="376"/>
    </row>
    <row r="37263" spans="1:100">
      <c r="A37263" s="374"/>
      <c r="C37263" s="374"/>
      <c r="CV37263" s="376"/>
    </row>
    <row r="37264" spans="1:100">
      <c r="A37264" s="374"/>
      <c r="C37264" s="374"/>
      <c r="CV37264" s="376"/>
    </row>
    <row r="37265" spans="1:100">
      <c r="A37265" s="374"/>
      <c r="C37265" s="374"/>
      <c r="CV37265" s="376"/>
    </row>
    <row r="37266" spans="1:100">
      <c r="A37266" s="374"/>
      <c r="C37266" s="374"/>
      <c r="CV37266" s="376"/>
    </row>
    <row r="37267" spans="1:100">
      <c r="A37267" s="374"/>
      <c r="C37267" s="374"/>
      <c r="CV37267" s="376"/>
    </row>
    <row r="37268" spans="1:100">
      <c r="A37268" s="374"/>
      <c r="C37268" s="374"/>
      <c r="CV37268" s="376"/>
    </row>
    <row r="37269" spans="1:100">
      <c r="A37269" s="374"/>
      <c r="C37269" s="374"/>
      <c r="CV37269" s="376"/>
    </row>
    <row r="37270" spans="1:100">
      <c r="A37270" s="374"/>
      <c r="C37270" s="374"/>
      <c r="CV37270" s="376"/>
    </row>
    <row r="37271" spans="1:100">
      <c r="A37271" s="374"/>
      <c r="C37271" s="374"/>
      <c r="CV37271" s="376"/>
    </row>
    <row r="37272" spans="1:100">
      <c r="A37272" s="374"/>
      <c r="C37272" s="374"/>
      <c r="CV37272" s="376"/>
    </row>
    <row r="37273" spans="1:100">
      <c r="A37273" s="374"/>
      <c r="C37273" s="374"/>
      <c r="CV37273" s="376"/>
    </row>
    <row r="37274" spans="1:100">
      <c r="A37274" s="374"/>
      <c r="C37274" s="374"/>
      <c r="CV37274" s="376"/>
    </row>
    <row r="37275" spans="1:100">
      <c r="A37275" s="374"/>
      <c r="C37275" s="374"/>
      <c r="CV37275" s="376"/>
    </row>
    <row r="37276" spans="1:100">
      <c r="A37276" s="374"/>
      <c r="C37276" s="374"/>
      <c r="CV37276" s="376"/>
    </row>
    <row r="37277" spans="1:100">
      <c r="A37277" s="374"/>
      <c r="C37277" s="374"/>
      <c r="CV37277" s="376"/>
    </row>
    <row r="37278" spans="1:100">
      <c r="A37278" s="374"/>
      <c r="C37278" s="374"/>
      <c r="CV37278" s="376"/>
    </row>
    <row r="37279" spans="1:100">
      <c r="A37279" s="374"/>
      <c r="C37279" s="374"/>
      <c r="CV37279" s="376"/>
    </row>
    <row r="37280" spans="1:100">
      <c r="A37280" s="374"/>
      <c r="C37280" s="374"/>
      <c r="CV37280" s="376"/>
    </row>
    <row r="37281" spans="1:100">
      <c r="A37281" s="374"/>
      <c r="C37281" s="374"/>
      <c r="CV37281" s="376"/>
    </row>
    <row r="37282" spans="1:100">
      <c r="A37282" s="374"/>
      <c r="C37282" s="374"/>
      <c r="CV37282" s="376"/>
    </row>
    <row r="37283" spans="1:100">
      <c r="A37283" s="374"/>
      <c r="C37283" s="374"/>
      <c r="CV37283" s="376"/>
    </row>
    <row r="37284" spans="1:100">
      <c r="A37284" s="374"/>
      <c r="C37284" s="374"/>
      <c r="CV37284" s="376"/>
    </row>
    <row r="37285" spans="1:100">
      <c r="A37285" s="374"/>
      <c r="C37285" s="374"/>
      <c r="CV37285" s="376"/>
    </row>
    <row r="37286" spans="1:100">
      <c r="A37286" s="374"/>
      <c r="C37286" s="374"/>
      <c r="CV37286" s="376"/>
    </row>
    <row r="37287" spans="1:100">
      <c r="A37287" s="374"/>
      <c r="C37287" s="374"/>
      <c r="CV37287" s="376"/>
    </row>
    <row r="37288" spans="1:100">
      <c r="A37288" s="374"/>
      <c r="C37288" s="374"/>
      <c r="CV37288" s="376"/>
    </row>
    <row r="37289" spans="1:100">
      <c r="A37289" s="374"/>
      <c r="C37289" s="374"/>
      <c r="CV37289" s="376"/>
    </row>
    <row r="37290" spans="1:100">
      <c r="A37290" s="374"/>
      <c r="C37290" s="374"/>
      <c r="CV37290" s="376"/>
    </row>
    <row r="37291" spans="1:100">
      <c r="A37291" s="374"/>
      <c r="C37291" s="374"/>
      <c r="CV37291" s="376"/>
    </row>
    <row r="37292" spans="1:100">
      <c r="A37292" s="374"/>
      <c r="C37292" s="374"/>
      <c r="CV37292" s="376"/>
    </row>
    <row r="37293" spans="1:100">
      <c r="A37293" s="374"/>
      <c r="C37293" s="374"/>
      <c r="CV37293" s="376"/>
    </row>
    <row r="37294" spans="1:100">
      <c r="A37294" s="374"/>
      <c r="C37294" s="374"/>
      <c r="CV37294" s="376"/>
    </row>
    <row r="37295" spans="1:100">
      <c r="A37295" s="374"/>
      <c r="C37295" s="374"/>
      <c r="CV37295" s="376"/>
    </row>
    <row r="37296" spans="1:100">
      <c r="A37296" s="374"/>
      <c r="C37296" s="374"/>
      <c r="CV37296" s="376"/>
    </row>
    <row r="37297" spans="1:100">
      <c r="A37297" s="374"/>
      <c r="C37297" s="374"/>
      <c r="CV37297" s="376"/>
    </row>
    <row r="37298" spans="1:100">
      <c r="A37298" s="374"/>
      <c r="C37298" s="374"/>
      <c r="CV37298" s="376"/>
    </row>
    <row r="37299" spans="1:100">
      <c r="A37299" s="374"/>
      <c r="C37299" s="374"/>
      <c r="CV37299" s="376"/>
    </row>
    <row r="37300" spans="1:100">
      <c r="A37300" s="374"/>
      <c r="C37300" s="374"/>
      <c r="CV37300" s="376"/>
    </row>
    <row r="37301" spans="1:100">
      <c r="A37301" s="374"/>
      <c r="C37301" s="374"/>
      <c r="CV37301" s="376"/>
    </row>
    <row r="37302" spans="1:100">
      <c r="A37302" s="374"/>
      <c r="C37302" s="374"/>
      <c r="CV37302" s="376"/>
    </row>
    <row r="37303" spans="1:100">
      <c r="A37303" s="374"/>
      <c r="C37303" s="374"/>
      <c r="CV37303" s="376"/>
    </row>
    <row r="37304" spans="1:100">
      <c r="A37304" s="374"/>
      <c r="C37304" s="374"/>
      <c r="CV37304" s="376"/>
    </row>
    <row r="37305" spans="1:100">
      <c r="A37305" s="374"/>
      <c r="C37305" s="374"/>
      <c r="CV37305" s="376"/>
    </row>
    <row r="37306" spans="1:100">
      <c r="A37306" s="374"/>
      <c r="C37306" s="374"/>
      <c r="CV37306" s="376"/>
    </row>
    <row r="37307" spans="1:100">
      <c r="A37307" s="374"/>
      <c r="C37307" s="374"/>
      <c r="CV37307" s="376"/>
    </row>
    <row r="37308" spans="1:100">
      <c r="A37308" s="374"/>
      <c r="C37308" s="374"/>
      <c r="CV37308" s="376"/>
    </row>
    <row r="37309" spans="1:100">
      <c r="A37309" s="374"/>
      <c r="C37309" s="374"/>
      <c r="CV37309" s="376"/>
    </row>
    <row r="37310" spans="1:100">
      <c r="A37310" s="374"/>
      <c r="C37310" s="374"/>
      <c r="CV37310" s="376"/>
    </row>
    <row r="37311" spans="1:100">
      <c r="A37311" s="374"/>
      <c r="C37311" s="374"/>
      <c r="CV37311" s="376"/>
    </row>
    <row r="37312" spans="1:100">
      <c r="A37312" s="374"/>
      <c r="C37312" s="374"/>
      <c r="CV37312" s="376"/>
    </row>
    <row r="37313" spans="1:100">
      <c r="A37313" s="374"/>
      <c r="C37313" s="374"/>
      <c r="CV37313" s="376"/>
    </row>
    <row r="37314" spans="1:100">
      <c r="A37314" s="374"/>
      <c r="C37314" s="374"/>
      <c r="CV37314" s="376"/>
    </row>
    <row r="37315" spans="1:100">
      <c r="A37315" s="374"/>
      <c r="C37315" s="374"/>
      <c r="CV37315" s="376"/>
    </row>
    <row r="37316" spans="1:100">
      <c r="A37316" s="374"/>
      <c r="C37316" s="374"/>
      <c r="CV37316" s="376"/>
    </row>
    <row r="37317" spans="1:100">
      <c r="A37317" s="374"/>
      <c r="C37317" s="374"/>
      <c r="CV37317" s="376"/>
    </row>
    <row r="37318" spans="1:100">
      <c r="A37318" s="374"/>
      <c r="C37318" s="374"/>
      <c r="CV37318" s="376"/>
    </row>
    <row r="37319" spans="1:100">
      <c r="A37319" s="374"/>
      <c r="C37319" s="374"/>
      <c r="CV37319" s="376"/>
    </row>
    <row r="37320" spans="1:100">
      <c r="A37320" s="374"/>
      <c r="C37320" s="374"/>
      <c r="CV37320" s="376"/>
    </row>
    <row r="37321" spans="1:100">
      <c r="A37321" s="374"/>
      <c r="C37321" s="374"/>
      <c r="CV37321" s="376"/>
    </row>
    <row r="37322" spans="1:100">
      <c r="A37322" s="374"/>
      <c r="C37322" s="374"/>
      <c r="CV37322" s="376"/>
    </row>
    <row r="37323" spans="1:100">
      <c r="A37323" s="374"/>
      <c r="C37323" s="374"/>
      <c r="CV37323" s="376"/>
    </row>
    <row r="37324" spans="1:100">
      <c r="A37324" s="374"/>
      <c r="C37324" s="374"/>
      <c r="CV37324" s="376"/>
    </row>
    <row r="37325" spans="1:100">
      <c r="A37325" s="374"/>
      <c r="C37325" s="374"/>
      <c r="CV37325" s="376"/>
    </row>
    <row r="37326" spans="1:100">
      <c r="A37326" s="374"/>
      <c r="C37326" s="374"/>
      <c r="CV37326" s="376"/>
    </row>
    <row r="37327" spans="1:100">
      <c r="A37327" s="374"/>
      <c r="C37327" s="374"/>
      <c r="CV37327" s="376"/>
    </row>
    <row r="37328" spans="1:100">
      <c r="A37328" s="374"/>
      <c r="C37328" s="374"/>
      <c r="CV37328" s="376"/>
    </row>
    <row r="37329" spans="1:100">
      <c r="A37329" s="374"/>
      <c r="C37329" s="374"/>
      <c r="CV37329" s="376"/>
    </row>
    <row r="37330" spans="1:100">
      <c r="A37330" s="374"/>
      <c r="C37330" s="374"/>
      <c r="CV37330" s="376"/>
    </row>
    <row r="37331" spans="1:100">
      <c r="A37331" s="374"/>
      <c r="C37331" s="374"/>
      <c r="CV37331" s="376"/>
    </row>
    <row r="37332" spans="1:100">
      <c r="A37332" s="374"/>
      <c r="C37332" s="374"/>
      <c r="CV37332" s="376"/>
    </row>
    <row r="37333" spans="1:100">
      <c r="A37333" s="374"/>
      <c r="C37333" s="374"/>
      <c r="CV37333" s="376"/>
    </row>
    <row r="37334" spans="1:100">
      <c r="A37334" s="374"/>
      <c r="C37334" s="374"/>
      <c r="CV37334" s="376"/>
    </row>
    <row r="37335" spans="1:100">
      <c r="A37335" s="374"/>
      <c r="C37335" s="374"/>
      <c r="CV37335" s="376"/>
    </row>
    <row r="37336" spans="1:100">
      <c r="A37336" s="374"/>
      <c r="C37336" s="374"/>
      <c r="CV37336" s="376"/>
    </row>
    <row r="37337" spans="1:100">
      <c r="A37337" s="374"/>
      <c r="C37337" s="374"/>
      <c r="CV37337" s="376"/>
    </row>
    <row r="37338" spans="1:100">
      <c r="A37338" s="374"/>
      <c r="C37338" s="374"/>
      <c r="CV37338" s="376"/>
    </row>
    <row r="37339" spans="1:100">
      <c r="A37339" s="374"/>
      <c r="C37339" s="374"/>
      <c r="CV37339" s="376"/>
    </row>
    <row r="37340" spans="1:100">
      <c r="A37340" s="374"/>
      <c r="C37340" s="374"/>
      <c r="CV37340" s="376"/>
    </row>
    <row r="37341" spans="1:100">
      <c r="A37341" s="374"/>
      <c r="C37341" s="374"/>
      <c r="CV37341" s="376"/>
    </row>
    <row r="37342" spans="1:100">
      <c r="A37342" s="374"/>
      <c r="C37342" s="374"/>
      <c r="CV37342" s="376"/>
    </row>
    <row r="37343" spans="1:100">
      <c r="A37343" s="374"/>
      <c r="C37343" s="374"/>
      <c r="CV37343" s="376"/>
    </row>
    <row r="37344" spans="1:100">
      <c r="A37344" s="374"/>
      <c r="C37344" s="374"/>
      <c r="CV37344" s="376"/>
    </row>
    <row r="37345" spans="1:100">
      <c r="A37345" s="374"/>
      <c r="C37345" s="374"/>
      <c r="CV37345" s="376"/>
    </row>
    <row r="37346" spans="1:100">
      <c r="A37346" s="374"/>
      <c r="C37346" s="374"/>
      <c r="CV37346" s="376"/>
    </row>
    <row r="37347" spans="1:100">
      <c r="A37347" s="374"/>
      <c r="C37347" s="374"/>
      <c r="CV37347" s="376"/>
    </row>
    <row r="37348" spans="1:100">
      <c r="A37348" s="374"/>
      <c r="C37348" s="374"/>
      <c r="CV37348" s="376"/>
    </row>
    <row r="37349" spans="1:100">
      <c r="A37349" s="374"/>
      <c r="C37349" s="374"/>
      <c r="CV37349" s="376"/>
    </row>
    <row r="37350" spans="1:100">
      <c r="A37350" s="374"/>
      <c r="C37350" s="374"/>
      <c r="CV37350" s="376"/>
    </row>
    <row r="37351" spans="1:100">
      <c r="A37351" s="374"/>
      <c r="C37351" s="374"/>
      <c r="CV37351" s="376"/>
    </row>
    <row r="37352" spans="1:100">
      <c r="A37352" s="374"/>
      <c r="C37352" s="374"/>
      <c r="CV37352" s="376"/>
    </row>
    <row r="37353" spans="1:100">
      <c r="A37353" s="374"/>
      <c r="C37353" s="374"/>
      <c r="CV37353" s="376"/>
    </row>
    <row r="37354" spans="1:100">
      <c r="A37354" s="374"/>
      <c r="C37354" s="374"/>
      <c r="CV37354" s="376"/>
    </row>
    <row r="37355" spans="1:100">
      <c r="A37355" s="374"/>
      <c r="C37355" s="374"/>
      <c r="CV37355" s="376"/>
    </row>
    <row r="37356" spans="1:100">
      <c r="A37356" s="374"/>
      <c r="C37356" s="374"/>
      <c r="CV37356" s="376"/>
    </row>
    <row r="37357" spans="1:100">
      <c r="A37357" s="374"/>
      <c r="C37357" s="374"/>
      <c r="CV37357" s="376"/>
    </row>
    <row r="37358" spans="1:100">
      <c r="A37358" s="374"/>
      <c r="C37358" s="374"/>
      <c r="CV37358" s="376"/>
    </row>
    <row r="37359" spans="1:100">
      <c r="A37359" s="374"/>
      <c r="C37359" s="374"/>
      <c r="CV37359" s="376"/>
    </row>
    <row r="37360" spans="1:100">
      <c r="A37360" s="374"/>
      <c r="C37360" s="374"/>
      <c r="CV37360" s="376"/>
    </row>
    <row r="37361" spans="1:100">
      <c r="A37361" s="374"/>
      <c r="C37361" s="374"/>
      <c r="CV37361" s="376"/>
    </row>
    <row r="37362" spans="1:100">
      <c r="A37362" s="374"/>
      <c r="C37362" s="374"/>
      <c r="CV37362" s="376"/>
    </row>
    <row r="37363" spans="1:100">
      <c r="A37363" s="374"/>
      <c r="C37363" s="374"/>
      <c r="CV37363" s="376"/>
    </row>
    <row r="37364" spans="1:100">
      <c r="A37364" s="374"/>
      <c r="C37364" s="374"/>
      <c r="CV37364" s="376"/>
    </row>
    <row r="37365" spans="1:100">
      <c r="A37365" s="374"/>
      <c r="C37365" s="374"/>
      <c r="CV37365" s="376"/>
    </row>
    <row r="37366" spans="1:100">
      <c r="A37366" s="374"/>
      <c r="C37366" s="374"/>
      <c r="CV37366" s="376"/>
    </row>
    <row r="37367" spans="1:100">
      <c r="A37367" s="374"/>
      <c r="C37367" s="374"/>
      <c r="CV37367" s="376"/>
    </row>
    <row r="37368" spans="1:100">
      <c r="A37368" s="374"/>
      <c r="C37368" s="374"/>
      <c r="CV37368" s="376"/>
    </row>
    <row r="37369" spans="1:100">
      <c r="A37369" s="374"/>
      <c r="C37369" s="374"/>
      <c r="CV37369" s="376"/>
    </row>
    <row r="37370" spans="1:100">
      <c r="A37370" s="374"/>
      <c r="C37370" s="374"/>
      <c r="CV37370" s="376"/>
    </row>
    <row r="37371" spans="1:100">
      <c r="A37371" s="374"/>
      <c r="C37371" s="374"/>
      <c r="CV37371" s="376"/>
    </row>
    <row r="37372" spans="1:100">
      <c r="A37372" s="374"/>
      <c r="C37372" s="374"/>
      <c r="CV37372" s="376"/>
    </row>
    <row r="37373" spans="1:100">
      <c r="A37373" s="374"/>
      <c r="C37373" s="374"/>
      <c r="CV37373" s="376"/>
    </row>
    <row r="37374" spans="1:100">
      <c r="A37374" s="374"/>
      <c r="C37374" s="374"/>
      <c r="CV37374" s="376"/>
    </row>
    <row r="37375" spans="1:100">
      <c r="A37375" s="374"/>
      <c r="C37375" s="374"/>
      <c r="CV37375" s="376"/>
    </row>
    <row r="37376" spans="1:100">
      <c r="A37376" s="374"/>
      <c r="C37376" s="374"/>
      <c r="CV37376" s="376"/>
    </row>
    <row r="37377" spans="1:100">
      <c r="A37377" s="374"/>
      <c r="C37377" s="374"/>
      <c r="CV37377" s="376"/>
    </row>
    <row r="37378" spans="1:100">
      <c r="A37378" s="374"/>
      <c r="C37378" s="374"/>
      <c r="CV37378" s="376"/>
    </row>
    <row r="37379" spans="1:100">
      <c r="A37379" s="374"/>
      <c r="C37379" s="374"/>
      <c r="CV37379" s="376"/>
    </row>
    <row r="37380" spans="1:100">
      <c r="A37380" s="374"/>
      <c r="C37380" s="374"/>
      <c r="CV37380" s="376"/>
    </row>
    <row r="37381" spans="1:100">
      <c r="A37381" s="374"/>
      <c r="C37381" s="374"/>
      <c r="CV37381" s="376"/>
    </row>
    <row r="37382" spans="1:100">
      <c r="A37382" s="374"/>
      <c r="C37382" s="374"/>
      <c r="CV37382" s="376"/>
    </row>
    <row r="37383" spans="1:100">
      <c r="A37383" s="374"/>
      <c r="C37383" s="374"/>
      <c r="CV37383" s="376"/>
    </row>
    <row r="37384" spans="1:100">
      <c r="A37384" s="374"/>
      <c r="C37384" s="374"/>
      <c r="CV37384" s="376"/>
    </row>
    <row r="37385" spans="1:100">
      <c r="A37385" s="374"/>
      <c r="C37385" s="374"/>
      <c r="CV37385" s="376"/>
    </row>
    <row r="37386" spans="1:100">
      <c r="A37386" s="374"/>
      <c r="C37386" s="374"/>
      <c r="CV37386" s="376"/>
    </row>
    <row r="37387" spans="1:100">
      <c r="A37387" s="374"/>
      <c r="C37387" s="374"/>
      <c r="CV37387" s="376"/>
    </row>
    <row r="37388" spans="1:100">
      <c r="A37388" s="374"/>
      <c r="C37388" s="374"/>
      <c r="CV37388" s="376"/>
    </row>
    <row r="37389" spans="1:100">
      <c r="A37389" s="374"/>
      <c r="C37389" s="374"/>
      <c r="CV37389" s="376"/>
    </row>
    <row r="37390" spans="1:100">
      <c r="A37390" s="374"/>
      <c r="C37390" s="374"/>
      <c r="CV37390" s="376"/>
    </row>
    <row r="37391" spans="1:100">
      <c r="A37391" s="374"/>
      <c r="C37391" s="374"/>
      <c r="CV37391" s="376"/>
    </row>
    <row r="37392" spans="1:100">
      <c r="A37392" s="374"/>
      <c r="C37392" s="374"/>
      <c r="CV37392" s="376"/>
    </row>
    <row r="37393" spans="1:100">
      <c r="A37393" s="374"/>
      <c r="C37393" s="374"/>
      <c r="CV37393" s="376"/>
    </row>
    <row r="37394" spans="1:100">
      <c r="A37394" s="374"/>
      <c r="C37394" s="374"/>
      <c r="CV37394" s="376"/>
    </row>
    <row r="37395" spans="1:100">
      <c r="A37395" s="374"/>
      <c r="C37395" s="374"/>
      <c r="CV37395" s="376"/>
    </row>
    <row r="37396" spans="1:100">
      <c r="A37396" s="374"/>
      <c r="C37396" s="374"/>
      <c r="CV37396" s="376"/>
    </row>
    <row r="37397" spans="1:100">
      <c r="A37397" s="374"/>
      <c r="C37397" s="374"/>
      <c r="CV37397" s="376"/>
    </row>
    <row r="37398" spans="1:100">
      <c r="A37398" s="374"/>
      <c r="C37398" s="374"/>
      <c r="CV37398" s="376"/>
    </row>
    <row r="37399" spans="1:100">
      <c r="A37399" s="374"/>
      <c r="C37399" s="374"/>
      <c r="CV37399" s="376"/>
    </row>
    <row r="37400" spans="1:100">
      <c r="A37400" s="374"/>
      <c r="C37400" s="374"/>
      <c r="CV37400" s="376"/>
    </row>
    <row r="37401" spans="1:100">
      <c r="A37401" s="374"/>
      <c r="C37401" s="374"/>
      <c r="CV37401" s="376"/>
    </row>
    <row r="37402" spans="1:100">
      <c r="A37402" s="374"/>
      <c r="C37402" s="374"/>
      <c r="CV37402" s="376"/>
    </row>
    <row r="37403" spans="1:100">
      <c r="A37403" s="374"/>
      <c r="C37403" s="374"/>
      <c r="CV37403" s="376"/>
    </row>
    <row r="37404" spans="1:100">
      <c r="A37404" s="374"/>
      <c r="C37404" s="374"/>
      <c r="CV37404" s="376"/>
    </row>
    <row r="37405" spans="1:100">
      <c r="A37405" s="374"/>
      <c r="C37405" s="374"/>
      <c r="CV37405" s="376"/>
    </row>
    <row r="37406" spans="1:100">
      <c r="A37406" s="374"/>
      <c r="C37406" s="374"/>
      <c r="CV37406" s="376"/>
    </row>
    <row r="37407" spans="1:100">
      <c r="A37407" s="374"/>
      <c r="C37407" s="374"/>
      <c r="CV37407" s="376"/>
    </row>
    <row r="37408" spans="1:100">
      <c r="A37408" s="374"/>
      <c r="C37408" s="374"/>
      <c r="CV37408" s="376"/>
    </row>
    <row r="37409" spans="1:100">
      <c r="A37409" s="374"/>
      <c r="C37409" s="374"/>
      <c r="CV37409" s="376"/>
    </row>
    <row r="37410" spans="1:100">
      <c r="A37410" s="374"/>
      <c r="C37410" s="374"/>
      <c r="CV37410" s="376"/>
    </row>
    <row r="37411" spans="1:100">
      <c r="A37411" s="374"/>
      <c r="C37411" s="374"/>
      <c r="CV37411" s="376"/>
    </row>
    <row r="37412" spans="1:100">
      <c r="A37412" s="374"/>
      <c r="C37412" s="374"/>
      <c r="CV37412" s="376"/>
    </row>
    <row r="37413" spans="1:100">
      <c r="A37413" s="374"/>
      <c r="C37413" s="374"/>
      <c r="CV37413" s="376"/>
    </row>
    <row r="37414" spans="1:100">
      <c r="A37414" s="374"/>
      <c r="C37414" s="374"/>
      <c r="CV37414" s="376"/>
    </row>
    <row r="37415" spans="1:100">
      <c r="A37415" s="374"/>
      <c r="C37415" s="374"/>
      <c r="CV37415" s="376"/>
    </row>
    <row r="37416" spans="1:100">
      <c r="A37416" s="374"/>
      <c r="C37416" s="374"/>
      <c r="CV37416" s="376"/>
    </row>
    <row r="37417" spans="1:100">
      <c r="A37417" s="374"/>
      <c r="C37417" s="374"/>
      <c r="CV37417" s="376"/>
    </row>
    <row r="37418" spans="1:100">
      <c r="A37418" s="374"/>
      <c r="C37418" s="374"/>
      <c r="CV37418" s="376"/>
    </row>
    <row r="37419" spans="1:100">
      <c r="A37419" s="374"/>
      <c r="C37419" s="374"/>
      <c r="CV37419" s="376"/>
    </row>
    <row r="37420" spans="1:100">
      <c r="A37420" s="374"/>
      <c r="C37420" s="374"/>
      <c r="CV37420" s="376"/>
    </row>
    <row r="37421" spans="1:100">
      <c r="A37421" s="374"/>
      <c r="C37421" s="374"/>
      <c r="CV37421" s="376"/>
    </row>
    <row r="37422" spans="1:100">
      <c r="A37422" s="374"/>
      <c r="C37422" s="374"/>
      <c r="CV37422" s="376"/>
    </row>
    <row r="37423" spans="1:100">
      <c r="A37423" s="374"/>
      <c r="C37423" s="374"/>
      <c r="CV37423" s="376"/>
    </row>
    <row r="37424" spans="1:100">
      <c r="A37424" s="374"/>
      <c r="C37424" s="374"/>
      <c r="CV37424" s="376"/>
    </row>
    <row r="37425" spans="1:100">
      <c r="A37425" s="374"/>
      <c r="C37425" s="374"/>
      <c r="CV37425" s="376"/>
    </row>
    <row r="37426" spans="1:100">
      <c r="A37426" s="374"/>
      <c r="C37426" s="374"/>
      <c r="CV37426" s="376"/>
    </row>
    <row r="37427" spans="1:100">
      <c r="A37427" s="374"/>
      <c r="C37427" s="374"/>
      <c r="CV37427" s="376"/>
    </row>
    <row r="37428" spans="1:100">
      <c r="A37428" s="374"/>
      <c r="C37428" s="374"/>
      <c r="CV37428" s="376"/>
    </row>
    <row r="37429" spans="1:100">
      <c r="A37429" s="374"/>
      <c r="C37429" s="374"/>
      <c r="CV37429" s="376"/>
    </row>
    <row r="37430" spans="1:100">
      <c r="A37430" s="374"/>
      <c r="C37430" s="374"/>
      <c r="CV37430" s="376"/>
    </row>
    <row r="37431" spans="1:100">
      <c r="A37431" s="374"/>
      <c r="C37431" s="374"/>
      <c r="CV37431" s="376"/>
    </row>
    <row r="37432" spans="1:100">
      <c r="A37432" s="374"/>
      <c r="C37432" s="374"/>
      <c r="CV37432" s="376"/>
    </row>
    <row r="37433" spans="1:100">
      <c r="A37433" s="374"/>
      <c r="C37433" s="374"/>
      <c r="CV37433" s="376"/>
    </row>
    <row r="37434" spans="1:100">
      <c r="A37434" s="374"/>
      <c r="C37434" s="374"/>
      <c r="CV37434" s="376"/>
    </row>
    <row r="37435" spans="1:100">
      <c r="A37435" s="374"/>
      <c r="C37435" s="374"/>
      <c r="CV37435" s="376"/>
    </row>
    <row r="37436" spans="1:100">
      <c r="A37436" s="374"/>
      <c r="C37436" s="374"/>
      <c r="CV37436" s="376"/>
    </row>
    <row r="37437" spans="1:100">
      <c r="A37437" s="374"/>
      <c r="C37437" s="374"/>
      <c r="CV37437" s="376"/>
    </row>
    <row r="37438" spans="1:100">
      <c r="A37438" s="374"/>
      <c r="C37438" s="374"/>
      <c r="CV37438" s="376"/>
    </row>
    <row r="37439" spans="1:100">
      <c r="A37439" s="374"/>
      <c r="C37439" s="374"/>
      <c r="CV37439" s="376"/>
    </row>
    <row r="37440" spans="1:100">
      <c r="A37440" s="374"/>
      <c r="C37440" s="374"/>
      <c r="CV37440" s="376"/>
    </row>
    <row r="37441" spans="1:100">
      <c r="A37441" s="374"/>
      <c r="C37441" s="374"/>
      <c r="CV37441" s="376"/>
    </row>
    <row r="37442" spans="1:100">
      <c r="A37442" s="374"/>
      <c r="C37442" s="374"/>
      <c r="CV37442" s="376"/>
    </row>
    <row r="37443" spans="1:100">
      <c r="A37443" s="374"/>
      <c r="C37443" s="374"/>
      <c r="CV37443" s="376"/>
    </row>
    <row r="37444" spans="1:100">
      <c r="A37444" s="374"/>
      <c r="C37444" s="374"/>
      <c r="CV37444" s="376"/>
    </row>
    <row r="37445" spans="1:100">
      <c r="A37445" s="374"/>
      <c r="C37445" s="374"/>
      <c r="CV37445" s="376"/>
    </row>
    <row r="37446" spans="1:100">
      <c r="A37446" s="374"/>
      <c r="C37446" s="374"/>
      <c r="CV37446" s="376"/>
    </row>
    <row r="37447" spans="1:100">
      <c r="A37447" s="374"/>
      <c r="C37447" s="374"/>
      <c r="CV37447" s="376"/>
    </row>
    <row r="37448" spans="1:100">
      <c r="A37448" s="374"/>
      <c r="C37448" s="374"/>
      <c r="CV37448" s="376"/>
    </row>
    <row r="37449" spans="1:100">
      <c r="A37449" s="374"/>
      <c r="C37449" s="374"/>
      <c r="CV37449" s="376"/>
    </row>
    <row r="37450" spans="1:100">
      <c r="A37450" s="374"/>
      <c r="C37450" s="374"/>
      <c r="CV37450" s="376"/>
    </row>
    <row r="37451" spans="1:100">
      <c r="A37451" s="374"/>
      <c r="C37451" s="374"/>
      <c r="CV37451" s="376"/>
    </row>
    <row r="37452" spans="1:100">
      <c r="A37452" s="374"/>
      <c r="C37452" s="374"/>
      <c r="CV37452" s="376"/>
    </row>
    <row r="37453" spans="1:100">
      <c r="A37453" s="374"/>
      <c r="C37453" s="374"/>
      <c r="CV37453" s="376"/>
    </row>
    <row r="37454" spans="1:100">
      <c r="A37454" s="374"/>
      <c r="C37454" s="374"/>
      <c r="CV37454" s="376"/>
    </row>
    <row r="37455" spans="1:100">
      <c r="A37455" s="374"/>
      <c r="C37455" s="374"/>
      <c r="CV37455" s="376"/>
    </row>
    <row r="37456" spans="1:100">
      <c r="A37456" s="374"/>
      <c r="C37456" s="374"/>
      <c r="CV37456" s="376"/>
    </row>
    <row r="37457" spans="1:100">
      <c r="A37457" s="374"/>
      <c r="C37457" s="374"/>
      <c r="CV37457" s="376"/>
    </row>
    <row r="37458" spans="1:100">
      <c r="A37458" s="374"/>
      <c r="C37458" s="374"/>
      <c r="CV37458" s="376"/>
    </row>
    <row r="37459" spans="1:100">
      <c r="A37459" s="374"/>
      <c r="C37459" s="374"/>
      <c r="CV37459" s="376"/>
    </row>
    <row r="37460" spans="1:100">
      <c r="A37460" s="374"/>
      <c r="C37460" s="374"/>
      <c r="CV37460" s="376"/>
    </row>
    <row r="37461" spans="1:100">
      <c r="A37461" s="374"/>
      <c r="C37461" s="374"/>
      <c r="CV37461" s="376"/>
    </row>
    <row r="37462" spans="1:100">
      <c r="A37462" s="374"/>
      <c r="C37462" s="374"/>
      <c r="CV37462" s="376"/>
    </row>
    <row r="37463" spans="1:100">
      <c r="A37463" s="374"/>
      <c r="C37463" s="374"/>
      <c r="CV37463" s="376"/>
    </row>
    <row r="37464" spans="1:100">
      <c r="A37464" s="374"/>
      <c r="C37464" s="374"/>
      <c r="CV37464" s="376"/>
    </row>
    <row r="37465" spans="1:100">
      <c r="A37465" s="374"/>
      <c r="C37465" s="374"/>
      <c r="CV37465" s="376"/>
    </row>
    <row r="37466" spans="1:100">
      <c r="A37466" s="374"/>
      <c r="C37466" s="374"/>
      <c r="CV37466" s="376"/>
    </row>
    <row r="37467" spans="1:100">
      <c r="A37467" s="374"/>
      <c r="C37467" s="374"/>
      <c r="CV37467" s="376"/>
    </row>
    <row r="37468" spans="1:100">
      <c r="A37468" s="374"/>
      <c r="C37468" s="374"/>
      <c r="CV37468" s="376"/>
    </row>
    <row r="37469" spans="1:100">
      <c r="A37469" s="374"/>
      <c r="C37469" s="374"/>
      <c r="CV37469" s="376"/>
    </row>
    <row r="37470" spans="1:100">
      <c r="A37470" s="374"/>
      <c r="C37470" s="374"/>
      <c r="CV37470" s="376"/>
    </row>
    <row r="37471" spans="1:100">
      <c r="A37471" s="374"/>
      <c r="C37471" s="374"/>
      <c r="CV37471" s="376"/>
    </row>
    <row r="37472" spans="1:100">
      <c r="A37472" s="374"/>
      <c r="C37472" s="374"/>
      <c r="CV37472" s="376"/>
    </row>
    <row r="37473" spans="1:100">
      <c r="A37473" s="374"/>
      <c r="C37473" s="374"/>
      <c r="CV37473" s="376"/>
    </row>
    <row r="37474" spans="1:100">
      <c r="A37474" s="374"/>
      <c r="C37474" s="374"/>
      <c r="CV37474" s="376"/>
    </row>
    <row r="37475" spans="1:100">
      <c r="A37475" s="374"/>
      <c r="C37475" s="374"/>
      <c r="CV37475" s="376"/>
    </row>
    <row r="37476" spans="1:100">
      <c r="A37476" s="374"/>
      <c r="C37476" s="374"/>
      <c r="CV37476" s="376"/>
    </row>
    <row r="37477" spans="1:100">
      <c r="A37477" s="374"/>
      <c r="C37477" s="374"/>
      <c r="CV37477" s="376"/>
    </row>
    <row r="37478" spans="1:100">
      <c r="A37478" s="374"/>
      <c r="C37478" s="374"/>
      <c r="CV37478" s="376"/>
    </row>
    <row r="37479" spans="1:100">
      <c r="A37479" s="374"/>
      <c r="C37479" s="374"/>
      <c r="CV37479" s="376"/>
    </row>
    <row r="37480" spans="1:100">
      <c r="A37480" s="374"/>
      <c r="C37480" s="374"/>
      <c r="CV37480" s="376"/>
    </row>
    <row r="37481" spans="1:100">
      <c r="A37481" s="374"/>
      <c r="C37481" s="374"/>
      <c r="CV37481" s="376"/>
    </row>
    <row r="37482" spans="1:100">
      <c r="A37482" s="374"/>
      <c r="C37482" s="374"/>
      <c r="CV37482" s="376"/>
    </row>
    <row r="37483" spans="1:100">
      <c r="A37483" s="374"/>
      <c r="C37483" s="374"/>
      <c r="CV37483" s="376"/>
    </row>
    <row r="37484" spans="1:100">
      <c r="A37484" s="374"/>
      <c r="C37484" s="374"/>
      <c r="CV37484" s="376"/>
    </row>
    <row r="37485" spans="1:100">
      <c r="A37485" s="374"/>
      <c r="C37485" s="374"/>
      <c r="CV37485" s="376"/>
    </row>
    <row r="37486" spans="1:100">
      <c r="A37486" s="374"/>
      <c r="C37486" s="374"/>
      <c r="CV37486" s="376"/>
    </row>
    <row r="37487" spans="1:100">
      <c r="A37487" s="374"/>
      <c r="C37487" s="374"/>
      <c r="CV37487" s="376"/>
    </row>
    <row r="37488" spans="1:100">
      <c r="A37488" s="374"/>
      <c r="C37488" s="374"/>
      <c r="CV37488" s="376"/>
    </row>
    <row r="37489" spans="1:100">
      <c r="A37489" s="374"/>
      <c r="C37489" s="374"/>
      <c r="CV37489" s="376"/>
    </row>
    <row r="37490" spans="1:100">
      <c r="A37490" s="374"/>
      <c r="C37490" s="374"/>
      <c r="CV37490" s="376"/>
    </row>
    <row r="37491" spans="1:100">
      <c r="A37491" s="374"/>
      <c r="C37491" s="374"/>
      <c r="CV37491" s="376"/>
    </row>
    <row r="37492" spans="1:100">
      <c r="A37492" s="374"/>
      <c r="C37492" s="374"/>
      <c r="CV37492" s="376"/>
    </row>
    <row r="37493" spans="1:100">
      <c r="A37493" s="374"/>
      <c r="C37493" s="374"/>
      <c r="CV37493" s="376"/>
    </row>
    <row r="37494" spans="1:100">
      <c r="A37494" s="374"/>
      <c r="C37494" s="374"/>
      <c r="CV37494" s="376"/>
    </row>
    <row r="37495" spans="1:100">
      <c r="A37495" s="374"/>
      <c r="C37495" s="374"/>
      <c r="CV37495" s="376"/>
    </row>
    <row r="37496" spans="1:100">
      <c r="A37496" s="374"/>
      <c r="C37496" s="374"/>
      <c r="CV37496" s="376"/>
    </row>
    <row r="37497" spans="1:100">
      <c r="A37497" s="374"/>
      <c r="C37497" s="374"/>
      <c r="CV37497" s="376"/>
    </row>
    <row r="37498" spans="1:100">
      <c r="A37498" s="374"/>
      <c r="C37498" s="374"/>
      <c r="CV37498" s="376"/>
    </row>
    <row r="37499" spans="1:100">
      <c r="A37499" s="374"/>
      <c r="C37499" s="374"/>
      <c r="CV37499" s="376"/>
    </row>
    <row r="37500" spans="1:100">
      <c r="A37500" s="374"/>
      <c r="C37500" s="374"/>
      <c r="CV37500" s="376"/>
    </row>
    <row r="37501" spans="1:100">
      <c r="A37501" s="374"/>
      <c r="C37501" s="374"/>
      <c r="CV37501" s="376"/>
    </row>
    <row r="37502" spans="1:100">
      <c r="A37502" s="374"/>
      <c r="C37502" s="374"/>
      <c r="CV37502" s="376"/>
    </row>
    <row r="37503" spans="1:100">
      <c r="A37503" s="374"/>
      <c r="C37503" s="374"/>
      <c r="CV37503" s="376"/>
    </row>
    <row r="37504" spans="1:100">
      <c r="A37504" s="374"/>
      <c r="C37504" s="374"/>
      <c r="CV37504" s="376"/>
    </row>
    <row r="37505" spans="1:100">
      <c r="A37505" s="374"/>
      <c r="C37505" s="374"/>
      <c r="CV37505" s="376"/>
    </row>
    <row r="37506" spans="1:100">
      <c r="A37506" s="374"/>
      <c r="C37506" s="374"/>
      <c r="CV37506" s="376"/>
    </row>
    <row r="37507" spans="1:100">
      <c r="A37507" s="374"/>
      <c r="C37507" s="374"/>
      <c r="CV37507" s="376"/>
    </row>
    <row r="37508" spans="1:100">
      <c r="A37508" s="374"/>
      <c r="C37508" s="374"/>
      <c r="CV37508" s="376"/>
    </row>
    <row r="37509" spans="1:100">
      <c r="A37509" s="374"/>
      <c r="C37509" s="374"/>
      <c r="CV37509" s="376"/>
    </row>
    <row r="37510" spans="1:100">
      <c r="A37510" s="374"/>
      <c r="C37510" s="374"/>
      <c r="CV37510" s="376"/>
    </row>
    <row r="37511" spans="1:100">
      <c r="A37511" s="374"/>
      <c r="C37511" s="374"/>
      <c r="CV37511" s="376"/>
    </row>
    <row r="37512" spans="1:100">
      <c r="A37512" s="374"/>
      <c r="C37512" s="374"/>
      <c r="CV37512" s="376"/>
    </row>
    <row r="37513" spans="1:100">
      <c r="A37513" s="374"/>
      <c r="C37513" s="374"/>
      <c r="CV37513" s="376"/>
    </row>
    <row r="37514" spans="1:100">
      <c r="A37514" s="374"/>
      <c r="C37514" s="374"/>
      <c r="CV37514" s="376"/>
    </row>
    <row r="37515" spans="1:100">
      <c r="A37515" s="374"/>
      <c r="C37515" s="374"/>
      <c r="CV37515" s="376"/>
    </row>
    <row r="37516" spans="1:100">
      <c r="A37516" s="374"/>
      <c r="C37516" s="374"/>
      <c r="CV37516" s="376"/>
    </row>
    <row r="37517" spans="1:100">
      <c r="A37517" s="374"/>
      <c r="C37517" s="374"/>
      <c r="CV37517" s="376"/>
    </row>
    <row r="37518" spans="1:100">
      <c r="A37518" s="374"/>
      <c r="C37518" s="374"/>
      <c r="CV37518" s="376"/>
    </row>
    <row r="37519" spans="1:100">
      <c r="A37519" s="374"/>
      <c r="C37519" s="374"/>
      <c r="CV37519" s="376"/>
    </row>
    <row r="37520" spans="1:100">
      <c r="A37520" s="374"/>
      <c r="C37520" s="374"/>
      <c r="CV37520" s="376"/>
    </row>
    <row r="37521" spans="1:100">
      <c r="A37521" s="374"/>
      <c r="C37521" s="374"/>
      <c r="CV37521" s="376"/>
    </row>
    <row r="37522" spans="1:100">
      <c r="A37522" s="374"/>
      <c r="C37522" s="374"/>
      <c r="CV37522" s="376"/>
    </row>
    <row r="37523" spans="1:100">
      <c r="A37523" s="374"/>
      <c r="C37523" s="374"/>
      <c r="CV37523" s="376"/>
    </row>
    <row r="37524" spans="1:100">
      <c r="A37524" s="374"/>
      <c r="C37524" s="374"/>
      <c r="CV37524" s="376"/>
    </row>
    <row r="37525" spans="1:100">
      <c r="A37525" s="374"/>
      <c r="C37525" s="374"/>
      <c r="CV37525" s="376"/>
    </row>
    <row r="37526" spans="1:100">
      <c r="A37526" s="374"/>
      <c r="C37526" s="374"/>
      <c r="CV37526" s="376"/>
    </row>
    <row r="37527" spans="1:100">
      <c r="A37527" s="374"/>
      <c r="C37527" s="374"/>
      <c r="CV37527" s="376"/>
    </row>
    <row r="37528" spans="1:100">
      <c r="A37528" s="374"/>
      <c r="C37528" s="374"/>
      <c r="CV37528" s="376"/>
    </row>
    <row r="37529" spans="1:100">
      <c r="A37529" s="374"/>
      <c r="C37529" s="374"/>
      <c r="CV37529" s="376"/>
    </row>
    <row r="37530" spans="1:100">
      <c r="A37530" s="374"/>
      <c r="C37530" s="374"/>
      <c r="CV37530" s="376"/>
    </row>
    <row r="37531" spans="1:100">
      <c r="A37531" s="374"/>
      <c r="C37531" s="374"/>
      <c r="CV37531" s="376"/>
    </row>
    <row r="37532" spans="1:100">
      <c r="A37532" s="374"/>
      <c r="C37532" s="374"/>
      <c r="CV37532" s="376"/>
    </row>
    <row r="37533" spans="1:100">
      <c r="A37533" s="374"/>
      <c r="C37533" s="374"/>
      <c r="CV37533" s="376"/>
    </row>
    <row r="37534" spans="1:100">
      <c r="A37534" s="374"/>
      <c r="C37534" s="374"/>
      <c r="CV37534" s="376"/>
    </row>
    <row r="37535" spans="1:100">
      <c r="A37535" s="374"/>
      <c r="C37535" s="374"/>
      <c r="CV37535" s="376"/>
    </row>
    <row r="37536" spans="1:100">
      <c r="A37536" s="374"/>
      <c r="C37536" s="374"/>
      <c r="CV37536" s="376"/>
    </row>
    <row r="37537" spans="1:100">
      <c r="A37537" s="374"/>
      <c r="C37537" s="374"/>
      <c r="CV37537" s="376"/>
    </row>
    <row r="37538" spans="1:100">
      <c r="A37538" s="374"/>
      <c r="C37538" s="374"/>
      <c r="CV37538" s="376"/>
    </row>
    <row r="37539" spans="1:100">
      <c r="A37539" s="374"/>
      <c r="C37539" s="374"/>
      <c r="CV37539" s="376"/>
    </row>
    <row r="37540" spans="1:100">
      <c r="A37540" s="374"/>
      <c r="C37540" s="374"/>
      <c r="CV37540" s="376"/>
    </row>
    <row r="37541" spans="1:100">
      <c r="A37541" s="374"/>
      <c r="C37541" s="374"/>
      <c r="CV37541" s="376"/>
    </row>
    <row r="37542" spans="1:100">
      <c r="A37542" s="374"/>
      <c r="C37542" s="374"/>
      <c r="CV37542" s="376"/>
    </row>
    <row r="37543" spans="1:100">
      <c r="A37543" s="374"/>
      <c r="C37543" s="374"/>
      <c r="CV37543" s="376"/>
    </row>
    <row r="37544" spans="1:100">
      <c r="A37544" s="374"/>
      <c r="C37544" s="374"/>
      <c r="CV37544" s="376"/>
    </row>
    <row r="37545" spans="1:100">
      <c r="A37545" s="374"/>
      <c r="C37545" s="374"/>
      <c r="CV37545" s="376"/>
    </row>
    <row r="37546" spans="1:100">
      <c r="A37546" s="374"/>
      <c r="C37546" s="374"/>
      <c r="CV37546" s="376"/>
    </row>
    <row r="37547" spans="1:100">
      <c r="A37547" s="374"/>
      <c r="C37547" s="374"/>
      <c r="CV37547" s="376"/>
    </row>
    <row r="37548" spans="1:100">
      <c r="A37548" s="374"/>
      <c r="C37548" s="374"/>
      <c r="CV37548" s="376"/>
    </row>
    <row r="37549" spans="1:100">
      <c r="A37549" s="374"/>
      <c r="C37549" s="374"/>
      <c r="CV37549" s="376"/>
    </row>
    <row r="37550" spans="1:100">
      <c r="A37550" s="374"/>
      <c r="C37550" s="374"/>
      <c r="CV37550" s="376"/>
    </row>
    <row r="37551" spans="1:100">
      <c r="A37551" s="374"/>
      <c r="C37551" s="374"/>
      <c r="CV37551" s="376"/>
    </row>
    <row r="37552" spans="1:100">
      <c r="A37552" s="374"/>
      <c r="C37552" s="374"/>
      <c r="CV37552" s="376"/>
    </row>
    <row r="37553" spans="1:100">
      <c r="A37553" s="374"/>
      <c r="C37553" s="374"/>
      <c r="CV37553" s="376"/>
    </row>
    <row r="37554" spans="1:100">
      <c r="A37554" s="374"/>
      <c r="C37554" s="374"/>
      <c r="CV37554" s="376"/>
    </row>
    <row r="37555" spans="1:100">
      <c r="A37555" s="374"/>
      <c r="C37555" s="374"/>
      <c r="CV37555" s="376"/>
    </row>
    <row r="37556" spans="1:100">
      <c r="A37556" s="374"/>
      <c r="C37556" s="374"/>
      <c r="CV37556" s="376"/>
    </row>
    <row r="37557" spans="1:100">
      <c r="A37557" s="374"/>
      <c r="C37557" s="374"/>
      <c r="CV37557" s="376"/>
    </row>
    <row r="37558" spans="1:100">
      <c r="A37558" s="374"/>
      <c r="C37558" s="374"/>
      <c r="CV37558" s="376"/>
    </row>
    <row r="37559" spans="1:100">
      <c r="A37559" s="374"/>
      <c r="C37559" s="374"/>
      <c r="CV37559" s="376"/>
    </row>
    <row r="37560" spans="1:100">
      <c r="A37560" s="374"/>
      <c r="C37560" s="374"/>
      <c r="CV37560" s="376"/>
    </row>
    <row r="37561" spans="1:100">
      <c r="A37561" s="374"/>
      <c r="C37561" s="374"/>
      <c r="CV37561" s="376"/>
    </row>
    <row r="37562" spans="1:100">
      <c r="A37562" s="374"/>
      <c r="C37562" s="374"/>
      <c r="CV37562" s="376"/>
    </row>
    <row r="37563" spans="1:100">
      <c r="A37563" s="374"/>
      <c r="C37563" s="374"/>
      <c r="CV37563" s="376"/>
    </row>
    <row r="37564" spans="1:100">
      <c r="A37564" s="374"/>
      <c r="C37564" s="374"/>
      <c r="CV37564" s="376"/>
    </row>
    <row r="37565" spans="1:100">
      <c r="A37565" s="374"/>
      <c r="C37565" s="374"/>
      <c r="CV37565" s="376"/>
    </row>
    <row r="37566" spans="1:100">
      <c r="A37566" s="374"/>
      <c r="C37566" s="374"/>
      <c r="CV37566" s="376"/>
    </row>
    <row r="37567" spans="1:100">
      <c r="A37567" s="374"/>
      <c r="C37567" s="374"/>
      <c r="CV37567" s="376"/>
    </row>
    <row r="37568" spans="1:100">
      <c r="A37568" s="374"/>
      <c r="C37568" s="374"/>
      <c r="CV37568" s="376"/>
    </row>
    <row r="37569" spans="1:100">
      <c r="A37569" s="374"/>
      <c r="C37569" s="374"/>
      <c r="CV37569" s="376"/>
    </row>
    <row r="37570" spans="1:100">
      <c r="A37570" s="374"/>
      <c r="C37570" s="374"/>
      <c r="CV37570" s="376"/>
    </row>
    <row r="37571" spans="1:100">
      <c r="A37571" s="374"/>
      <c r="C37571" s="374"/>
      <c r="CV37571" s="376"/>
    </row>
    <row r="37572" spans="1:100">
      <c r="A37572" s="374"/>
      <c r="C37572" s="374"/>
      <c r="CV37572" s="376"/>
    </row>
    <row r="37573" spans="1:100">
      <c r="A37573" s="374"/>
      <c r="C37573" s="374"/>
      <c r="CV37573" s="376"/>
    </row>
    <row r="37574" spans="1:100">
      <c r="A37574" s="374"/>
      <c r="C37574" s="374"/>
      <c r="CV37574" s="376"/>
    </row>
    <row r="37575" spans="1:100">
      <c r="A37575" s="374"/>
      <c r="C37575" s="374"/>
      <c r="CV37575" s="376"/>
    </row>
    <row r="37576" spans="1:100">
      <c r="A37576" s="374"/>
      <c r="C37576" s="374"/>
      <c r="CV37576" s="376"/>
    </row>
    <row r="37577" spans="1:100">
      <c r="A37577" s="374"/>
      <c r="C37577" s="374"/>
      <c r="CV37577" s="376"/>
    </row>
    <row r="37578" spans="1:100">
      <c r="A37578" s="374"/>
      <c r="C37578" s="374"/>
      <c r="CV37578" s="376"/>
    </row>
    <row r="37579" spans="1:100">
      <c r="A37579" s="374"/>
      <c r="C37579" s="374"/>
      <c r="CV37579" s="376"/>
    </row>
    <row r="37580" spans="1:100">
      <c r="A37580" s="374"/>
      <c r="C37580" s="374"/>
      <c r="CV37580" s="376"/>
    </row>
    <row r="37581" spans="1:100">
      <c r="A37581" s="374"/>
      <c r="C37581" s="374"/>
      <c r="CV37581" s="376"/>
    </row>
    <row r="37582" spans="1:100">
      <c r="A37582" s="374"/>
      <c r="C37582" s="374"/>
      <c r="CV37582" s="376"/>
    </row>
    <row r="37583" spans="1:100">
      <c r="A37583" s="374"/>
      <c r="C37583" s="374"/>
      <c r="CV37583" s="376"/>
    </row>
    <row r="37584" spans="1:100">
      <c r="A37584" s="374"/>
      <c r="C37584" s="374"/>
      <c r="CV37584" s="376"/>
    </row>
    <row r="37585" spans="1:100">
      <c r="A37585" s="374"/>
      <c r="C37585" s="374"/>
      <c r="CV37585" s="376"/>
    </row>
    <row r="37586" spans="1:100">
      <c r="A37586" s="374"/>
      <c r="C37586" s="374"/>
      <c r="CV37586" s="376"/>
    </row>
    <row r="37587" spans="1:100">
      <c r="A37587" s="374"/>
      <c r="C37587" s="374"/>
      <c r="CV37587" s="376"/>
    </row>
    <row r="37588" spans="1:100">
      <c r="A37588" s="374"/>
      <c r="C37588" s="374"/>
      <c r="CV37588" s="376"/>
    </row>
    <row r="37589" spans="1:100">
      <c r="A37589" s="374"/>
      <c r="C37589" s="374"/>
      <c r="CV37589" s="376"/>
    </row>
    <row r="37590" spans="1:100">
      <c r="A37590" s="374"/>
      <c r="C37590" s="374"/>
      <c r="CV37590" s="376"/>
    </row>
    <row r="37591" spans="1:100">
      <c r="A37591" s="374"/>
      <c r="C37591" s="374"/>
      <c r="CV37591" s="376"/>
    </row>
    <row r="37592" spans="1:100">
      <c r="A37592" s="374"/>
      <c r="C37592" s="374"/>
      <c r="CV37592" s="376"/>
    </row>
    <row r="37593" spans="1:100">
      <c r="A37593" s="374"/>
      <c r="C37593" s="374"/>
      <c r="CV37593" s="376"/>
    </row>
    <row r="37594" spans="1:100">
      <c r="A37594" s="374"/>
      <c r="C37594" s="374"/>
      <c r="CV37594" s="376"/>
    </row>
    <row r="37595" spans="1:100">
      <c r="A37595" s="374"/>
      <c r="C37595" s="374"/>
      <c r="CV37595" s="376"/>
    </row>
    <row r="37596" spans="1:100">
      <c r="A37596" s="374"/>
      <c r="C37596" s="374"/>
      <c r="CV37596" s="376"/>
    </row>
    <row r="37597" spans="1:100">
      <c r="A37597" s="374"/>
      <c r="C37597" s="374"/>
      <c r="CV37597" s="376"/>
    </row>
    <row r="37598" spans="1:100">
      <c r="A37598" s="374"/>
      <c r="C37598" s="374"/>
      <c r="CV37598" s="376"/>
    </row>
    <row r="37599" spans="1:100">
      <c r="A37599" s="374"/>
      <c r="C37599" s="374"/>
      <c r="CV37599" s="376"/>
    </row>
    <row r="37600" spans="1:100">
      <c r="A37600" s="374"/>
      <c r="C37600" s="374"/>
      <c r="CV37600" s="376"/>
    </row>
    <row r="37601" spans="1:100">
      <c r="A37601" s="374"/>
      <c r="C37601" s="374"/>
      <c r="CV37601" s="376"/>
    </row>
    <row r="37602" spans="1:100">
      <c r="A37602" s="374"/>
      <c r="C37602" s="374"/>
      <c r="CV37602" s="376"/>
    </row>
    <row r="37603" spans="1:100">
      <c r="A37603" s="374"/>
      <c r="C37603" s="374"/>
      <c r="CV37603" s="376"/>
    </row>
    <row r="37604" spans="1:100">
      <c r="A37604" s="374"/>
      <c r="C37604" s="374"/>
      <c r="CV37604" s="376"/>
    </row>
    <row r="37605" spans="1:100">
      <c r="A37605" s="374"/>
      <c r="C37605" s="374"/>
      <c r="CV37605" s="376"/>
    </row>
    <row r="37606" spans="1:100">
      <c r="A37606" s="374"/>
      <c r="C37606" s="374"/>
      <c r="CV37606" s="376"/>
    </row>
    <row r="37607" spans="1:100">
      <c r="A37607" s="374"/>
      <c r="C37607" s="374"/>
      <c r="CV37607" s="376"/>
    </row>
    <row r="37608" spans="1:100">
      <c r="A37608" s="374"/>
      <c r="C37608" s="374"/>
      <c r="CV37608" s="376"/>
    </row>
    <row r="37609" spans="1:100">
      <c r="A37609" s="374"/>
      <c r="C37609" s="374"/>
      <c r="CV37609" s="376"/>
    </row>
    <row r="37610" spans="1:100">
      <c r="A37610" s="374"/>
      <c r="C37610" s="374"/>
      <c r="CV37610" s="376"/>
    </row>
    <row r="37611" spans="1:100">
      <c r="A37611" s="374"/>
      <c r="C37611" s="374"/>
      <c r="CV37611" s="376"/>
    </row>
    <row r="37612" spans="1:100">
      <c r="A37612" s="374"/>
      <c r="C37612" s="374"/>
      <c r="CV37612" s="376"/>
    </row>
    <row r="37613" spans="1:100">
      <c r="A37613" s="374"/>
      <c r="C37613" s="374"/>
      <c r="CV37613" s="376"/>
    </row>
    <row r="37614" spans="1:100">
      <c r="A37614" s="374"/>
      <c r="C37614" s="374"/>
      <c r="CV37614" s="376"/>
    </row>
    <row r="37615" spans="1:100">
      <c r="A37615" s="374"/>
      <c r="C37615" s="374"/>
      <c r="CV37615" s="376"/>
    </row>
    <row r="37616" spans="1:100">
      <c r="A37616" s="374"/>
      <c r="C37616" s="374"/>
      <c r="CV37616" s="376"/>
    </row>
    <row r="37617" spans="1:100">
      <c r="A37617" s="374"/>
      <c r="C37617" s="374"/>
      <c r="CV37617" s="376"/>
    </row>
    <row r="37618" spans="1:100">
      <c r="A37618" s="374"/>
      <c r="C37618" s="374"/>
      <c r="CV37618" s="376"/>
    </row>
    <row r="37619" spans="1:100">
      <c r="A37619" s="374"/>
      <c r="C37619" s="374"/>
      <c r="CV37619" s="376"/>
    </row>
    <row r="37620" spans="1:100">
      <c r="A37620" s="374"/>
      <c r="C37620" s="374"/>
      <c r="CV37620" s="376"/>
    </row>
    <row r="37621" spans="1:100">
      <c r="A37621" s="374"/>
      <c r="C37621" s="374"/>
      <c r="CV37621" s="376"/>
    </row>
    <row r="37622" spans="1:100">
      <c r="A37622" s="374"/>
      <c r="C37622" s="374"/>
      <c r="CV37622" s="376"/>
    </row>
    <row r="37623" spans="1:100">
      <c r="A37623" s="374"/>
      <c r="C37623" s="374"/>
      <c r="CV37623" s="376"/>
    </row>
    <row r="37624" spans="1:100">
      <c r="A37624" s="374"/>
      <c r="C37624" s="374"/>
      <c r="CV37624" s="376"/>
    </row>
    <row r="37625" spans="1:100">
      <c r="A37625" s="374"/>
      <c r="C37625" s="374"/>
      <c r="CV37625" s="376"/>
    </row>
    <row r="37626" spans="1:100">
      <c r="A37626" s="374"/>
      <c r="C37626" s="374"/>
      <c r="CV37626" s="376"/>
    </row>
    <row r="37627" spans="1:100">
      <c r="A37627" s="374"/>
      <c r="C37627" s="374"/>
      <c r="CV37627" s="376"/>
    </row>
    <row r="37628" spans="1:100">
      <c r="A37628" s="374"/>
      <c r="C37628" s="374"/>
      <c r="CV37628" s="376"/>
    </row>
    <row r="37629" spans="1:100">
      <c r="A37629" s="374"/>
      <c r="C37629" s="374"/>
      <c r="CV37629" s="376"/>
    </row>
    <row r="37630" spans="1:100">
      <c r="A37630" s="374"/>
      <c r="C37630" s="374"/>
      <c r="CV37630" s="376"/>
    </row>
    <row r="37631" spans="1:100">
      <c r="A37631" s="374"/>
      <c r="C37631" s="374"/>
      <c r="CV37631" s="376"/>
    </row>
    <row r="37632" spans="1:100">
      <c r="A37632" s="374"/>
      <c r="C37632" s="374"/>
      <c r="CV37632" s="376"/>
    </row>
    <row r="37633" spans="1:100">
      <c r="A37633" s="374"/>
      <c r="C37633" s="374"/>
      <c r="CV37633" s="376"/>
    </row>
    <row r="37634" spans="1:100">
      <c r="A37634" s="374"/>
      <c r="C37634" s="374"/>
      <c r="CV37634" s="376"/>
    </row>
    <row r="37635" spans="1:100">
      <c r="A37635" s="374"/>
      <c r="C37635" s="374"/>
      <c r="CV37635" s="376"/>
    </row>
    <row r="37636" spans="1:100">
      <c r="A37636" s="374"/>
      <c r="C37636" s="374"/>
      <c r="CV37636" s="376"/>
    </row>
    <row r="37637" spans="1:100">
      <c r="A37637" s="374"/>
      <c r="C37637" s="374"/>
      <c r="CV37637" s="376"/>
    </row>
    <row r="37638" spans="1:100">
      <c r="A37638" s="374"/>
      <c r="C37638" s="374"/>
      <c r="CV37638" s="376"/>
    </row>
    <row r="37639" spans="1:100">
      <c r="A37639" s="374"/>
      <c r="C37639" s="374"/>
      <c r="CV37639" s="376"/>
    </row>
    <row r="37640" spans="1:100">
      <c r="A37640" s="374"/>
      <c r="C37640" s="374"/>
      <c r="CV37640" s="376"/>
    </row>
    <row r="37641" spans="1:100">
      <c r="A37641" s="374"/>
      <c r="C37641" s="374"/>
      <c r="CV37641" s="376"/>
    </row>
    <row r="37642" spans="1:100">
      <c r="A37642" s="374"/>
      <c r="C37642" s="374"/>
      <c r="CV37642" s="376"/>
    </row>
    <row r="37643" spans="1:100">
      <c r="A37643" s="374"/>
      <c r="C37643" s="374"/>
      <c r="CV37643" s="376"/>
    </row>
    <row r="37644" spans="1:100">
      <c r="A37644" s="374"/>
      <c r="C37644" s="374"/>
      <c r="CV37644" s="376"/>
    </row>
    <row r="37645" spans="1:100">
      <c r="A37645" s="374"/>
      <c r="C37645" s="374"/>
      <c r="CV37645" s="376"/>
    </row>
    <row r="37646" spans="1:100">
      <c r="A37646" s="374"/>
      <c r="C37646" s="374"/>
      <c r="CV37646" s="376"/>
    </row>
    <row r="37647" spans="1:100">
      <c r="A37647" s="374"/>
      <c r="C37647" s="374"/>
      <c r="CV37647" s="376"/>
    </row>
    <row r="37648" spans="1:100">
      <c r="A37648" s="374"/>
      <c r="C37648" s="374"/>
      <c r="CV37648" s="376"/>
    </row>
    <row r="37649" spans="1:100">
      <c r="A37649" s="374"/>
      <c r="C37649" s="374"/>
      <c r="CV37649" s="376"/>
    </row>
    <row r="37650" spans="1:100">
      <c r="A37650" s="374"/>
      <c r="C37650" s="374"/>
      <c r="CV37650" s="376"/>
    </row>
    <row r="37651" spans="1:100">
      <c r="A37651" s="374"/>
      <c r="C37651" s="374"/>
      <c r="CV37651" s="376"/>
    </row>
    <row r="37652" spans="1:100">
      <c r="A37652" s="374"/>
      <c r="C37652" s="374"/>
      <c r="CV37652" s="376"/>
    </row>
    <row r="37653" spans="1:100">
      <c r="A37653" s="374"/>
      <c r="C37653" s="374"/>
      <c r="CV37653" s="376"/>
    </row>
    <row r="37654" spans="1:100">
      <c r="A37654" s="374"/>
      <c r="C37654" s="374"/>
      <c r="CV37654" s="376"/>
    </row>
    <row r="37655" spans="1:100">
      <c r="A37655" s="374"/>
      <c r="C37655" s="374"/>
      <c r="CV37655" s="376"/>
    </row>
    <row r="37656" spans="1:100">
      <c r="A37656" s="374"/>
      <c r="C37656" s="374"/>
      <c r="CV37656" s="376"/>
    </row>
    <row r="37657" spans="1:100">
      <c r="A37657" s="374"/>
      <c r="C37657" s="374"/>
      <c r="CV37657" s="376"/>
    </row>
    <row r="37658" spans="1:100">
      <c r="A37658" s="374"/>
      <c r="C37658" s="374"/>
      <c r="CV37658" s="376"/>
    </row>
    <row r="37659" spans="1:100">
      <c r="A37659" s="374"/>
      <c r="C37659" s="374"/>
      <c r="CV37659" s="376"/>
    </row>
    <row r="37660" spans="1:100">
      <c r="A37660" s="374"/>
      <c r="C37660" s="374"/>
      <c r="CV37660" s="376"/>
    </row>
    <row r="37661" spans="1:100">
      <c r="A37661" s="374"/>
      <c r="C37661" s="374"/>
      <c r="CV37661" s="376"/>
    </row>
    <row r="37662" spans="1:100">
      <c r="A37662" s="374"/>
      <c r="C37662" s="374"/>
      <c r="CV37662" s="376"/>
    </row>
    <row r="37663" spans="1:100">
      <c r="A37663" s="374"/>
      <c r="C37663" s="374"/>
      <c r="CV37663" s="376"/>
    </row>
    <row r="37664" spans="1:100">
      <c r="A37664" s="374"/>
      <c r="C37664" s="374"/>
      <c r="CV37664" s="376"/>
    </row>
    <row r="37665" spans="1:100">
      <c r="A37665" s="374"/>
      <c r="C37665" s="374"/>
      <c r="CV37665" s="376"/>
    </row>
    <row r="37666" spans="1:100">
      <c r="A37666" s="374"/>
      <c r="C37666" s="374"/>
      <c r="CV37666" s="376"/>
    </row>
    <row r="37667" spans="1:100">
      <c r="A37667" s="374"/>
      <c r="C37667" s="374"/>
      <c r="CV37667" s="376"/>
    </row>
    <row r="37668" spans="1:100">
      <c r="A37668" s="374"/>
      <c r="C37668" s="374"/>
      <c r="CV37668" s="376"/>
    </row>
    <row r="37669" spans="1:100">
      <c r="A37669" s="374"/>
      <c r="C37669" s="374"/>
      <c r="CV37669" s="376"/>
    </row>
    <row r="37670" spans="1:100">
      <c r="A37670" s="374"/>
      <c r="C37670" s="374"/>
      <c r="CV37670" s="376"/>
    </row>
    <row r="37671" spans="1:100">
      <c r="A37671" s="374"/>
      <c r="C37671" s="374"/>
      <c r="CV37671" s="376"/>
    </row>
    <row r="37672" spans="1:100">
      <c r="A37672" s="374"/>
      <c r="C37672" s="374"/>
      <c r="CV37672" s="376"/>
    </row>
    <row r="37673" spans="1:100">
      <c r="A37673" s="374"/>
      <c r="C37673" s="374"/>
      <c r="CV37673" s="376"/>
    </row>
    <row r="37674" spans="1:100">
      <c r="A37674" s="374"/>
      <c r="C37674" s="374"/>
      <c r="CV37674" s="376"/>
    </row>
    <row r="37675" spans="1:100">
      <c r="A37675" s="374"/>
      <c r="C37675" s="374"/>
      <c r="CV37675" s="376"/>
    </row>
    <row r="37676" spans="1:100">
      <c r="A37676" s="374"/>
      <c r="C37676" s="374"/>
      <c r="CV37676" s="376"/>
    </row>
    <row r="37677" spans="1:100">
      <c r="A37677" s="374"/>
      <c r="C37677" s="374"/>
      <c r="CV37677" s="376"/>
    </row>
    <row r="37678" spans="1:100">
      <c r="A37678" s="374"/>
      <c r="C37678" s="374"/>
      <c r="CV37678" s="376"/>
    </row>
    <row r="37679" spans="1:100">
      <c r="A37679" s="374"/>
      <c r="C37679" s="374"/>
      <c r="CV37679" s="376"/>
    </row>
    <row r="37680" spans="1:100">
      <c r="A37680" s="374"/>
      <c r="C37680" s="374"/>
      <c r="CV37680" s="376"/>
    </row>
    <row r="37681" spans="1:100">
      <c r="A37681" s="374"/>
      <c r="C37681" s="374"/>
      <c r="CV37681" s="376"/>
    </row>
    <row r="37682" spans="1:100">
      <c r="A37682" s="374"/>
      <c r="C37682" s="374"/>
      <c r="CV37682" s="376"/>
    </row>
    <row r="37683" spans="1:100">
      <c r="A37683" s="374"/>
      <c r="C37683" s="374"/>
      <c r="CV37683" s="376"/>
    </row>
    <row r="37684" spans="1:100">
      <c r="A37684" s="374"/>
      <c r="C37684" s="374"/>
      <c r="CV37684" s="376"/>
    </row>
    <row r="37685" spans="1:100">
      <c r="A37685" s="374"/>
      <c r="C37685" s="374"/>
      <c r="CV37685" s="376"/>
    </row>
    <row r="37686" spans="1:100">
      <c r="A37686" s="374"/>
      <c r="C37686" s="374"/>
      <c r="CV37686" s="376"/>
    </row>
    <row r="37687" spans="1:100">
      <c r="A37687" s="374"/>
      <c r="C37687" s="374"/>
      <c r="CV37687" s="376"/>
    </row>
    <row r="37688" spans="1:100">
      <c r="A37688" s="374"/>
      <c r="C37688" s="374"/>
      <c r="CV37688" s="376"/>
    </row>
    <row r="37689" spans="1:100">
      <c r="A37689" s="374"/>
      <c r="C37689" s="374"/>
      <c r="CV37689" s="376"/>
    </row>
    <row r="37690" spans="1:100">
      <c r="A37690" s="374"/>
      <c r="C37690" s="374"/>
      <c r="CV37690" s="376"/>
    </row>
    <row r="37691" spans="1:100">
      <c r="A37691" s="374"/>
      <c r="C37691" s="374"/>
      <c r="CV37691" s="376"/>
    </row>
    <row r="37692" spans="1:100">
      <c r="A37692" s="374"/>
      <c r="C37692" s="374"/>
      <c r="CV37692" s="376"/>
    </row>
    <row r="37693" spans="1:100">
      <c r="A37693" s="374"/>
      <c r="C37693" s="374"/>
      <c r="CV37693" s="376"/>
    </row>
    <row r="37694" spans="1:100">
      <c r="A37694" s="374"/>
      <c r="C37694" s="374"/>
      <c r="CV37694" s="376"/>
    </row>
    <row r="37695" spans="1:100">
      <c r="A37695" s="374"/>
      <c r="C37695" s="374"/>
      <c r="CV37695" s="376"/>
    </row>
    <row r="37696" spans="1:100">
      <c r="A37696" s="374"/>
      <c r="C37696" s="374"/>
      <c r="CV37696" s="376"/>
    </row>
    <row r="37697" spans="1:100">
      <c r="A37697" s="374"/>
      <c r="C37697" s="374"/>
      <c r="CV37697" s="376"/>
    </row>
    <row r="37698" spans="1:100">
      <c r="A37698" s="374"/>
      <c r="C37698" s="374"/>
      <c r="CV37698" s="376"/>
    </row>
    <row r="37699" spans="1:100">
      <c r="A37699" s="374"/>
      <c r="C37699" s="374"/>
      <c r="CV37699" s="376"/>
    </row>
    <row r="37700" spans="1:100">
      <c r="A37700" s="374"/>
      <c r="C37700" s="374"/>
      <c r="CV37700" s="376"/>
    </row>
    <row r="37701" spans="1:100">
      <c r="A37701" s="374"/>
      <c r="C37701" s="374"/>
      <c r="CV37701" s="376"/>
    </row>
    <row r="37702" spans="1:100">
      <c r="A37702" s="374"/>
      <c r="C37702" s="374"/>
      <c r="CV37702" s="376"/>
    </row>
    <row r="37703" spans="1:100">
      <c r="A37703" s="374"/>
      <c r="C37703" s="374"/>
      <c r="CV37703" s="376"/>
    </row>
    <row r="37704" spans="1:100">
      <c r="A37704" s="374"/>
      <c r="C37704" s="374"/>
      <c r="CV37704" s="376"/>
    </row>
    <row r="37705" spans="1:100">
      <c r="A37705" s="374"/>
      <c r="C37705" s="374"/>
      <c r="CV37705" s="376"/>
    </row>
    <row r="37706" spans="1:100">
      <c r="A37706" s="374"/>
      <c r="C37706" s="374"/>
      <c r="CV37706" s="376"/>
    </row>
    <row r="37707" spans="1:100">
      <c r="A37707" s="374"/>
      <c r="C37707" s="374"/>
      <c r="CV37707" s="376"/>
    </row>
    <row r="37708" spans="1:100">
      <c r="A37708" s="374"/>
      <c r="C37708" s="374"/>
      <c r="CV37708" s="376"/>
    </row>
    <row r="37709" spans="1:100">
      <c r="A37709" s="374"/>
      <c r="C37709" s="374"/>
      <c r="CV37709" s="376"/>
    </row>
    <row r="37710" spans="1:100">
      <c r="A37710" s="374"/>
      <c r="C37710" s="374"/>
      <c r="CV37710" s="376"/>
    </row>
    <row r="37711" spans="1:100">
      <c r="A37711" s="374"/>
      <c r="C37711" s="374"/>
      <c r="CV37711" s="376"/>
    </row>
    <row r="37712" spans="1:100">
      <c r="A37712" s="374"/>
      <c r="C37712" s="374"/>
      <c r="CV37712" s="376"/>
    </row>
    <row r="37713" spans="1:100">
      <c r="A37713" s="374"/>
      <c r="C37713" s="374"/>
      <c r="CV37713" s="376"/>
    </row>
    <row r="37714" spans="1:100">
      <c r="A37714" s="374"/>
      <c r="C37714" s="374"/>
      <c r="CV37714" s="376"/>
    </row>
    <row r="37715" spans="1:100">
      <c r="A37715" s="374"/>
      <c r="C37715" s="374"/>
      <c r="CV37715" s="376"/>
    </row>
    <row r="37716" spans="1:100">
      <c r="A37716" s="374"/>
      <c r="C37716" s="374"/>
      <c r="CV37716" s="376"/>
    </row>
    <row r="37717" spans="1:100">
      <c r="A37717" s="374"/>
      <c r="C37717" s="374"/>
      <c r="CV37717" s="376"/>
    </row>
    <row r="37718" spans="1:100">
      <c r="A37718" s="374"/>
      <c r="C37718" s="374"/>
      <c r="CV37718" s="376"/>
    </row>
    <row r="37719" spans="1:100">
      <c r="A37719" s="374"/>
      <c r="C37719" s="374"/>
      <c r="CV37719" s="376"/>
    </row>
    <row r="37720" spans="1:100">
      <c r="A37720" s="374"/>
      <c r="C37720" s="374"/>
      <c r="CV37720" s="376"/>
    </row>
    <row r="37721" spans="1:100">
      <c r="A37721" s="374"/>
      <c r="C37721" s="374"/>
      <c r="CV37721" s="376"/>
    </row>
    <row r="37722" spans="1:100">
      <c r="A37722" s="374"/>
      <c r="C37722" s="374"/>
      <c r="CV37722" s="376"/>
    </row>
    <row r="37723" spans="1:100">
      <c r="A37723" s="374"/>
      <c r="C37723" s="374"/>
      <c r="CV37723" s="376"/>
    </row>
    <row r="37724" spans="1:100">
      <c r="A37724" s="374"/>
      <c r="C37724" s="374"/>
      <c r="CV37724" s="376"/>
    </row>
    <row r="37725" spans="1:100">
      <c r="A37725" s="374"/>
      <c r="C37725" s="374"/>
      <c r="CV37725" s="376"/>
    </row>
    <row r="37726" spans="1:100">
      <c r="A37726" s="374"/>
      <c r="C37726" s="374"/>
      <c r="CV37726" s="376"/>
    </row>
    <row r="37727" spans="1:100">
      <c r="A37727" s="374"/>
      <c r="C37727" s="374"/>
      <c r="CV37727" s="376"/>
    </row>
    <row r="37728" spans="1:100">
      <c r="A37728" s="374"/>
      <c r="C37728" s="374"/>
      <c r="CV37728" s="376"/>
    </row>
    <row r="37729" spans="1:100">
      <c r="A37729" s="374"/>
      <c r="C37729" s="374"/>
      <c r="CV37729" s="376"/>
    </row>
    <row r="37730" spans="1:100">
      <c r="A37730" s="374"/>
      <c r="C37730" s="374"/>
      <c r="CV37730" s="376"/>
    </row>
    <row r="37731" spans="1:100">
      <c r="A37731" s="374"/>
      <c r="C37731" s="374"/>
      <c r="CV37731" s="376"/>
    </row>
    <row r="37732" spans="1:100">
      <c r="A37732" s="374"/>
      <c r="C37732" s="374"/>
      <c r="CV37732" s="376"/>
    </row>
    <row r="37733" spans="1:100">
      <c r="A37733" s="374"/>
      <c r="C37733" s="374"/>
      <c r="CV37733" s="376"/>
    </row>
    <row r="37734" spans="1:100">
      <c r="A37734" s="374"/>
      <c r="C37734" s="374"/>
      <c r="CV37734" s="376"/>
    </row>
    <row r="37735" spans="1:100">
      <c r="A37735" s="374"/>
      <c r="C37735" s="374"/>
      <c r="CV37735" s="376"/>
    </row>
    <row r="37736" spans="1:100">
      <c r="A37736" s="374"/>
      <c r="C37736" s="374"/>
      <c r="CV37736" s="376"/>
    </row>
    <row r="37737" spans="1:100">
      <c r="A37737" s="374"/>
      <c r="C37737" s="374"/>
      <c r="CV37737" s="376"/>
    </row>
    <row r="37738" spans="1:100">
      <c r="A37738" s="374"/>
      <c r="C37738" s="374"/>
      <c r="CV37738" s="376"/>
    </row>
    <row r="37739" spans="1:100">
      <c r="A37739" s="374"/>
      <c r="C37739" s="374"/>
      <c r="CV37739" s="376"/>
    </row>
    <row r="37740" spans="1:100">
      <c r="A37740" s="374"/>
      <c r="C37740" s="374"/>
      <c r="CV37740" s="376"/>
    </row>
    <row r="37741" spans="1:100">
      <c r="A37741" s="374"/>
      <c r="C37741" s="374"/>
      <c r="CV37741" s="376"/>
    </row>
    <row r="37742" spans="1:100">
      <c r="A37742" s="374"/>
      <c r="C37742" s="374"/>
      <c r="CV37742" s="376"/>
    </row>
    <row r="37743" spans="1:100">
      <c r="A37743" s="374"/>
      <c r="C37743" s="374"/>
      <c r="CV37743" s="376"/>
    </row>
    <row r="37744" spans="1:100">
      <c r="A37744" s="374"/>
      <c r="C37744" s="374"/>
      <c r="CV37744" s="376"/>
    </row>
    <row r="37745" spans="1:100">
      <c r="A37745" s="374"/>
      <c r="C37745" s="374"/>
      <c r="CV37745" s="376"/>
    </row>
    <row r="37746" spans="1:100">
      <c r="A37746" s="374"/>
      <c r="C37746" s="374"/>
      <c r="CV37746" s="376"/>
    </row>
    <row r="37747" spans="1:100">
      <c r="A37747" s="374"/>
      <c r="C37747" s="374"/>
      <c r="CV37747" s="376"/>
    </row>
    <row r="37748" spans="1:100">
      <c r="A37748" s="374"/>
      <c r="C37748" s="374"/>
      <c r="CV37748" s="376"/>
    </row>
    <row r="37749" spans="1:100">
      <c r="A37749" s="374"/>
      <c r="C37749" s="374"/>
      <c r="CV37749" s="376"/>
    </row>
    <row r="37750" spans="1:100">
      <c r="A37750" s="374"/>
      <c r="C37750" s="374"/>
      <c r="CV37750" s="376"/>
    </row>
    <row r="37751" spans="1:100">
      <c r="A37751" s="374"/>
      <c r="C37751" s="374"/>
      <c r="CV37751" s="376"/>
    </row>
    <row r="37752" spans="1:100">
      <c r="A37752" s="374"/>
      <c r="C37752" s="374"/>
      <c r="CV37752" s="376"/>
    </row>
    <row r="37753" spans="1:100">
      <c r="A37753" s="374"/>
      <c r="C37753" s="374"/>
      <c r="CV37753" s="376"/>
    </row>
    <row r="37754" spans="1:100">
      <c r="A37754" s="374"/>
      <c r="C37754" s="374"/>
      <c r="CV37754" s="376"/>
    </row>
    <row r="37755" spans="1:100">
      <c r="A37755" s="374"/>
      <c r="C37755" s="374"/>
      <c r="CV37755" s="376"/>
    </row>
    <row r="37756" spans="1:100">
      <c r="A37756" s="374"/>
      <c r="C37756" s="374"/>
      <c r="CV37756" s="376"/>
    </row>
    <row r="37757" spans="1:100">
      <c r="A37757" s="374"/>
      <c r="C37757" s="374"/>
      <c r="CV37757" s="376"/>
    </row>
    <row r="37758" spans="1:100">
      <c r="A37758" s="374"/>
      <c r="C37758" s="374"/>
      <c r="CV37758" s="376"/>
    </row>
    <row r="37759" spans="1:100">
      <c r="A37759" s="374"/>
      <c r="C37759" s="374"/>
      <c r="CV37759" s="376"/>
    </row>
    <row r="37760" spans="1:100">
      <c r="A37760" s="374"/>
      <c r="C37760" s="374"/>
      <c r="CV37760" s="376"/>
    </row>
    <row r="37761" spans="1:100">
      <c r="A37761" s="374"/>
      <c r="C37761" s="374"/>
      <c r="CV37761" s="376"/>
    </row>
    <row r="37762" spans="1:100">
      <c r="A37762" s="374"/>
      <c r="C37762" s="374"/>
      <c r="CV37762" s="376"/>
    </row>
    <row r="37763" spans="1:100">
      <c r="A37763" s="374"/>
      <c r="C37763" s="374"/>
      <c r="CV37763" s="376"/>
    </row>
    <row r="37764" spans="1:100">
      <c r="A37764" s="374"/>
      <c r="C37764" s="374"/>
      <c r="CV37764" s="376"/>
    </row>
    <row r="37765" spans="1:100">
      <c r="A37765" s="374"/>
      <c r="C37765" s="374"/>
      <c r="CV37765" s="376"/>
    </row>
    <row r="37766" spans="1:100">
      <c r="A37766" s="374"/>
      <c r="C37766" s="374"/>
      <c r="CV37766" s="376"/>
    </row>
    <row r="37767" spans="1:100">
      <c r="A37767" s="374"/>
      <c r="C37767" s="374"/>
      <c r="CV37767" s="376"/>
    </row>
    <row r="37768" spans="1:100">
      <c r="A37768" s="374"/>
      <c r="C37768" s="374"/>
      <c r="CV37768" s="376"/>
    </row>
    <row r="37769" spans="1:100">
      <c r="A37769" s="374"/>
      <c r="C37769" s="374"/>
      <c r="CV37769" s="376"/>
    </row>
    <row r="37770" spans="1:100">
      <c r="A37770" s="374"/>
      <c r="C37770" s="374"/>
      <c r="CV37770" s="376"/>
    </row>
    <row r="37771" spans="1:100">
      <c r="A37771" s="374"/>
      <c r="C37771" s="374"/>
      <c r="CV37771" s="376"/>
    </row>
    <row r="37772" spans="1:100">
      <c r="A37772" s="374"/>
      <c r="C37772" s="374"/>
      <c r="CV37772" s="376"/>
    </row>
    <row r="37773" spans="1:100">
      <c r="A37773" s="374"/>
      <c r="C37773" s="374"/>
      <c r="CV37773" s="376"/>
    </row>
    <row r="37774" spans="1:100">
      <c r="A37774" s="374"/>
      <c r="C37774" s="374"/>
      <c r="CV37774" s="376"/>
    </row>
    <row r="37775" spans="1:100">
      <c r="A37775" s="374"/>
      <c r="C37775" s="374"/>
      <c r="CV37775" s="376"/>
    </row>
    <row r="37776" spans="1:100">
      <c r="A37776" s="374"/>
      <c r="C37776" s="374"/>
      <c r="CV37776" s="376"/>
    </row>
    <row r="37777" spans="1:100">
      <c r="A37777" s="374"/>
      <c r="C37777" s="374"/>
      <c r="CV37777" s="376"/>
    </row>
    <row r="37778" spans="1:100">
      <c r="A37778" s="374"/>
      <c r="C37778" s="374"/>
      <c r="CV37778" s="376"/>
    </row>
    <row r="37779" spans="1:100">
      <c r="A37779" s="374"/>
      <c r="C37779" s="374"/>
      <c r="CV37779" s="376"/>
    </row>
    <row r="37780" spans="1:100">
      <c r="A37780" s="374"/>
      <c r="C37780" s="374"/>
      <c r="CV37780" s="376"/>
    </row>
    <row r="37781" spans="1:100">
      <c r="A37781" s="374"/>
      <c r="C37781" s="374"/>
      <c r="CV37781" s="376"/>
    </row>
    <row r="37782" spans="1:100">
      <c r="A37782" s="374"/>
      <c r="C37782" s="374"/>
      <c r="CV37782" s="376"/>
    </row>
    <row r="37783" spans="1:100">
      <c r="A37783" s="374"/>
      <c r="C37783" s="374"/>
      <c r="CV37783" s="376"/>
    </row>
    <row r="37784" spans="1:100">
      <c r="A37784" s="374"/>
      <c r="C37784" s="374"/>
      <c r="CV37784" s="376"/>
    </row>
    <row r="37785" spans="1:100">
      <c r="A37785" s="374"/>
      <c r="C37785" s="374"/>
      <c r="CV37785" s="376"/>
    </row>
    <row r="37786" spans="1:100">
      <c r="A37786" s="374"/>
      <c r="C37786" s="374"/>
      <c r="CV37786" s="376"/>
    </row>
    <row r="37787" spans="1:100">
      <c r="A37787" s="374"/>
      <c r="C37787" s="374"/>
      <c r="CV37787" s="376"/>
    </row>
    <row r="37788" spans="1:100">
      <c r="A37788" s="374"/>
      <c r="C37788" s="374"/>
      <c r="CV37788" s="376"/>
    </row>
    <row r="37789" spans="1:100">
      <c r="A37789" s="374"/>
      <c r="C37789" s="374"/>
      <c r="CV37789" s="376"/>
    </row>
    <row r="37790" spans="1:100">
      <c r="A37790" s="374"/>
      <c r="C37790" s="374"/>
      <c r="CV37790" s="376"/>
    </row>
    <row r="37791" spans="1:100">
      <c r="A37791" s="374"/>
      <c r="C37791" s="374"/>
      <c r="CV37791" s="376"/>
    </row>
    <row r="37792" spans="1:100">
      <c r="A37792" s="374"/>
      <c r="C37792" s="374"/>
      <c r="CV37792" s="376"/>
    </row>
    <row r="37793" spans="1:100">
      <c r="A37793" s="374"/>
      <c r="C37793" s="374"/>
      <c r="CV37793" s="376"/>
    </row>
    <row r="37794" spans="1:100">
      <c r="A37794" s="374"/>
      <c r="C37794" s="374"/>
      <c r="CV37794" s="376"/>
    </row>
    <row r="37795" spans="1:100">
      <c r="A37795" s="374"/>
      <c r="C37795" s="374"/>
      <c r="CV37795" s="376"/>
    </row>
    <row r="37796" spans="1:100">
      <c r="A37796" s="374"/>
      <c r="C37796" s="374"/>
      <c r="CV37796" s="376"/>
    </row>
    <row r="37797" spans="1:100">
      <c r="A37797" s="374"/>
      <c r="C37797" s="374"/>
      <c r="CV37797" s="376"/>
    </row>
    <row r="37798" spans="1:100">
      <c r="A37798" s="374"/>
      <c r="C37798" s="374"/>
      <c r="CV37798" s="376"/>
    </row>
    <row r="37799" spans="1:100">
      <c r="A37799" s="374"/>
      <c r="C37799" s="374"/>
      <c r="CV37799" s="376"/>
    </row>
    <row r="37800" spans="1:100">
      <c r="A37800" s="374"/>
      <c r="C37800" s="374"/>
      <c r="CV37800" s="376"/>
    </row>
    <row r="37801" spans="1:100">
      <c r="A37801" s="374"/>
      <c r="C37801" s="374"/>
      <c r="CV37801" s="376"/>
    </row>
    <row r="37802" spans="1:100">
      <c r="A37802" s="374"/>
      <c r="C37802" s="374"/>
      <c r="CV37802" s="376"/>
    </row>
    <row r="37803" spans="1:100">
      <c r="A37803" s="374"/>
      <c r="C37803" s="374"/>
      <c r="CV37803" s="376"/>
    </row>
    <row r="37804" spans="1:100">
      <c r="A37804" s="374"/>
      <c r="C37804" s="374"/>
      <c r="CV37804" s="376"/>
    </row>
    <row r="37805" spans="1:100">
      <c r="A37805" s="374"/>
      <c r="C37805" s="374"/>
      <c r="CV37805" s="376"/>
    </row>
    <row r="37806" spans="1:100">
      <c r="A37806" s="374"/>
      <c r="C37806" s="374"/>
      <c r="CV37806" s="376"/>
    </row>
    <row r="37807" spans="1:100">
      <c r="A37807" s="374"/>
      <c r="C37807" s="374"/>
      <c r="CV37807" s="376"/>
    </row>
    <row r="37808" spans="1:100">
      <c r="A37808" s="374"/>
      <c r="C37808" s="374"/>
      <c r="CV37808" s="376"/>
    </row>
    <row r="37809" spans="1:100">
      <c r="A37809" s="374"/>
      <c r="C37809" s="374"/>
      <c r="CV37809" s="376"/>
    </row>
    <row r="37810" spans="1:100">
      <c r="A37810" s="374"/>
      <c r="C37810" s="374"/>
      <c r="CV37810" s="376"/>
    </row>
    <row r="37811" spans="1:100">
      <c r="A37811" s="374"/>
      <c r="C37811" s="374"/>
      <c r="CV37811" s="376"/>
    </row>
    <row r="37812" spans="1:100">
      <c r="A37812" s="374"/>
      <c r="C37812" s="374"/>
      <c r="CV37812" s="376"/>
    </row>
    <row r="37813" spans="1:100">
      <c r="A37813" s="374"/>
      <c r="C37813" s="374"/>
      <c r="CV37813" s="376"/>
    </row>
    <row r="37814" spans="1:100">
      <c r="A37814" s="374"/>
      <c r="C37814" s="374"/>
      <c r="CV37814" s="376"/>
    </row>
    <row r="37815" spans="1:100">
      <c r="A37815" s="374"/>
      <c r="C37815" s="374"/>
      <c r="CV37815" s="376"/>
    </row>
    <row r="37816" spans="1:100">
      <c r="A37816" s="374"/>
      <c r="C37816" s="374"/>
      <c r="CV37816" s="376"/>
    </row>
    <row r="37817" spans="1:100">
      <c r="A37817" s="374"/>
      <c r="C37817" s="374"/>
      <c r="CV37817" s="376"/>
    </row>
    <row r="37818" spans="1:100">
      <c r="A37818" s="374"/>
      <c r="C37818" s="374"/>
      <c r="CV37818" s="376"/>
    </row>
    <row r="37819" spans="1:100">
      <c r="A37819" s="374"/>
      <c r="C37819" s="374"/>
      <c r="CV37819" s="376"/>
    </row>
    <row r="37820" spans="1:100">
      <c r="A37820" s="374"/>
      <c r="C37820" s="374"/>
      <c r="CV37820" s="376"/>
    </row>
    <row r="37821" spans="1:100">
      <c r="A37821" s="374"/>
      <c r="C37821" s="374"/>
      <c r="CV37821" s="376"/>
    </row>
    <row r="37822" spans="1:100">
      <c r="A37822" s="374"/>
      <c r="C37822" s="374"/>
      <c r="CV37822" s="376"/>
    </row>
    <row r="37823" spans="1:100">
      <c r="A37823" s="374"/>
      <c r="C37823" s="374"/>
      <c r="CV37823" s="376"/>
    </row>
    <row r="37824" spans="1:100">
      <c r="A37824" s="374"/>
      <c r="C37824" s="374"/>
      <c r="CV37824" s="376"/>
    </row>
    <row r="37825" spans="1:100">
      <c r="A37825" s="374"/>
      <c r="C37825" s="374"/>
      <c r="CV37825" s="376"/>
    </row>
    <row r="37826" spans="1:100">
      <c r="A37826" s="374"/>
      <c r="C37826" s="374"/>
      <c r="CV37826" s="376"/>
    </row>
    <row r="37827" spans="1:100">
      <c r="A37827" s="374"/>
      <c r="C37827" s="374"/>
      <c r="CV37827" s="376"/>
    </row>
    <row r="37828" spans="1:100">
      <c r="A37828" s="374"/>
      <c r="C37828" s="374"/>
      <c r="CV37828" s="376"/>
    </row>
    <row r="37829" spans="1:100">
      <c r="A37829" s="374"/>
      <c r="C37829" s="374"/>
      <c r="CV37829" s="376"/>
    </row>
    <row r="37830" spans="1:100">
      <c r="A37830" s="374"/>
      <c r="C37830" s="374"/>
      <c r="CV37830" s="376"/>
    </row>
    <row r="37831" spans="1:100">
      <c r="A37831" s="374"/>
      <c r="C37831" s="374"/>
      <c r="CV37831" s="376"/>
    </row>
    <row r="37832" spans="1:100">
      <c r="A37832" s="374"/>
      <c r="C37832" s="374"/>
      <c r="CV37832" s="376"/>
    </row>
    <row r="37833" spans="1:100">
      <c r="A37833" s="374"/>
      <c r="C37833" s="374"/>
      <c r="CV37833" s="376"/>
    </row>
    <row r="37834" spans="1:100">
      <c r="A37834" s="374"/>
      <c r="C37834" s="374"/>
      <c r="CV37834" s="376"/>
    </row>
    <row r="37835" spans="1:100">
      <c r="A37835" s="374"/>
      <c r="C37835" s="374"/>
      <c r="CV37835" s="376"/>
    </row>
    <row r="37836" spans="1:100">
      <c r="A37836" s="374"/>
      <c r="C37836" s="374"/>
      <c r="CV37836" s="376"/>
    </row>
    <row r="37837" spans="1:100">
      <c r="A37837" s="374"/>
      <c r="C37837" s="374"/>
      <c r="CV37837" s="376"/>
    </row>
    <row r="37838" spans="1:100">
      <c r="A37838" s="374"/>
      <c r="C37838" s="374"/>
      <c r="CV37838" s="376"/>
    </row>
    <row r="37839" spans="1:100">
      <c r="A37839" s="374"/>
      <c r="C37839" s="374"/>
      <c r="CV37839" s="376"/>
    </row>
    <row r="37840" spans="1:100">
      <c r="A37840" s="374"/>
      <c r="C37840" s="374"/>
      <c r="CV37840" s="376"/>
    </row>
    <row r="37841" spans="1:100">
      <c r="A37841" s="374"/>
      <c r="C37841" s="374"/>
      <c r="CV37841" s="376"/>
    </row>
    <row r="37842" spans="1:100">
      <c r="A37842" s="374"/>
      <c r="C37842" s="374"/>
      <c r="CV37842" s="376"/>
    </row>
    <row r="37843" spans="1:100">
      <c r="A37843" s="374"/>
      <c r="C37843" s="374"/>
      <c r="CV37843" s="376"/>
    </row>
    <row r="37844" spans="1:100">
      <c r="A37844" s="374"/>
      <c r="C37844" s="374"/>
      <c r="CV37844" s="376"/>
    </row>
    <row r="37845" spans="1:100">
      <c r="A37845" s="374"/>
      <c r="C37845" s="374"/>
      <c r="CV37845" s="376"/>
    </row>
    <row r="37846" spans="1:100">
      <c r="A37846" s="374"/>
      <c r="C37846" s="374"/>
      <c r="CV37846" s="376"/>
    </row>
    <row r="37847" spans="1:100">
      <c r="A37847" s="374"/>
      <c r="C37847" s="374"/>
      <c r="CV37847" s="376"/>
    </row>
    <row r="37848" spans="1:100">
      <c r="A37848" s="374"/>
      <c r="C37848" s="374"/>
      <c r="CV37848" s="376"/>
    </row>
    <row r="37849" spans="1:100">
      <c r="A37849" s="374"/>
      <c r="C37849" s="374"/>
      <c r="CV37849" s="376"/>
    </row>
    <row r="37850" spans="1:100">
      <c r="A37850" s="374"/>
      <c r="C37850" s="374"/>
      <c r="CV37850" s="376"/>
    </row>
    <row r="37851" spans="1:100">
      <c r="A37851" s="374"/>
      <c r="C37851" s="374"/>
      <c r="CV37851" s="376"/>
    </row>
    <row r="37852" spans="1:100">
      <c r="A37852" s="374"/>
      <c r="C37852" s="374"/>
      <c r="CV37852" s="376"/>
    </row>
    <row r="37853" spans="1:100">
      <c r="A37853" s="374"/>
      <c r="C37853" s="374"/>
      <c r="CV37853" s="376"/>
    </row>
    <row r="37854" spans="1:100">
      <c r="A37854" s="374"/>
      <c r="C37854" s="374"/>
      <c r="CV37854" s="376"/>
    </row>
    <row r="37855" spans="1:100">
      <c r="A37855" s="374"/>
      <c r="C37855" s="374"/>
      <c r="CV37855" s="376"/>
    </row>
    <row r="37856" spans="1:100">
      <c r="A37856" s="374"/>
      <c r="C37856" s="374"/>
      <c r="CV37856" s="376"/>
    </row>
    <row r="37857" spans="1:100">
      <c r="A37857" s="374"/>
      <c r="C37857" s="374"/>
      <c r="CV37857" s="376"/>
    </row>
    <row r="37858" spans="1:100">
      <c r="A37858" s="374"/>
      <c r="C37858" s="374"/>
      <c r="CV37858" s="376"/>
    </row>
    <row r="37859" spans="1:100">
      <c r="A37859" s="374"/>
      <c r="C37859" s="374"/>
      <c r="CV37859" s="376"/>
    </row>
    <row r="37860" spans="1:100">
      <c r="A37860" s="374"/>
      <c r="C37860" s="374"/>
      <c r="CV37860" s="376"/>
    </row>
    <row r="37861" spans="1:100">
      <c r="A37861" s="374"/>
      <c r="C37861" s="374"/>
      <c r="CV37861" s="376"/>
    </row>
    <row r="37862" spans="1:100">
      <c r="A37862" s="374"/>
      <c r="C37862" s="374"/>
      <c r="CV37862" s="376"/>
    </row>
    <row r="37863" spans="1:100">
      <c r="A37863" s="374"/>
      <c r="C37863" s="374"/>
      <c r="CV37863" s="376"/>
    </row>
    <row r="37864" spans="1:100">
      <c r="A37864" s="374"/>
      <c r="C37864" s="374"/>
      <c r="CV37864" s="376"/>
    </row>
    <row r="37865" spans="1:100">
      <c r="A37865" s="374"/>
      <c r="C37865" s="374"/>
      <c r="CV37865" s="376"/>
    </row>
    <row r="37866" spans="1:100">
      <c r="A37866" s="374"/>
      <c r="C37866" s="374"/>
      <c r="CV37866" s="376"/>
    </row>
    <row r="37867" spans="1:100">
      <c r="A37867" s="374"/>
      <c r="C37867" s="374"/>
      <c r="CV37867" s="376"/>
    </row>
    <row r="37868" spans="1:100">
      <c r="A37868" s="374"/>
      <c r="C37868" s="374"/>
      <c r="CV37868" s="376"/>
    </row>
    <row r="37869" spans="1:100">
      <c r="A37869" s="374"/>
      <c r="C37869" s="374"/>
      <c r="CV37869" s="376"/>
    </row>
    <row r="37870" spans="1:100">
      <c r="A37870" s="374"/>
      <c r="C37870" s="374"/>
      <c r="CV37870" s="376"/>
    </row>
    <row r="37871" spans="1:100">
      <c r="A37871" s="374"/>
      <c r="C37871" s="374"/>
      <c r="CV37871" s="376"/>
    </row>
    <row r="37872" spans="1:100">
      <c r="A37872" s="374"/>
      <c r="C37872" s="374"/>
      <c r="CV37872" s="376"/>
    </row>
    <row r="37873" spans="1:100">
      <c r="A37873" s="374"/>
      <c r="C37873" s="374"/>
      <c r="CV37873" s="376"/>
    </row>
    <row r="37874" spans="1:100">
      <c r="A37874" s="374"/>
      <c r="C37874" s="374"/>
      <c r="CV37874" s="376"/>
    </row>
    <row r="37875" spans="1:100">
      <c r="A37875" s="374"/>
      <c r="C37875" s="374"/>
      <c r="CV37875" s="376"/>
    </row>
    <row r="37876" spans="1:100">
      <c r="A37876" s="374"/>
      <c r="C37876" s="374"/>
      <c r="CV37876" s="376"/>
    </row>
    <row r="37877" spans="1:100">
      <c r="A37877" s="374"/>
      <c r="C37877" s="374"/>
      <c r="CV37877" s="376"/>
    </row>
    <row r="37878" spans="1:100">
      <c r="A37878" s="374"/>
      <c r="C37878" s="374"/>
      <c r="CV37878" s="376"/>
    </row>
    <row r="37879" spans="1:100">
      <c r="A37879" s="374"/>
      <c r="C37879" s="374"/>
      <c r="CV37879" s="376"/>
    </row>
    <row r="37880" spans="1:100">
      <c r="A37880" s="374"/>
      <c r="C37880" s="374"/>
      <c r="CV37880" s="376"/>
    </row>
    <row r="37881" spans="1:100">
      <c r="A37881" s="374"/>
      <c r="C37881" s="374"/>
      <c r="CV37881" s="376"/>
    </row>
    <row r="37882" spans="1:100">
      <c r="A37882" s="374"/>
      <c r="C37882" s="374"/>
      <c r="CV37882" s="376"/>
    </row>
    <row r="37883" spans="1:100">
      <c r="A37883" s="374"/>
      <c r="C37883" s="374"/>
      <c r="CV37883" s="376"/>
    </row>
    <row r="37884" spans="1:100">
      <c r="A37884" s="374"/>
      <c r="C37884" s="374"/>
      <c r="CV37884" s="376"/>
    </row>
    <row r="37885" spans="1:100">
      <c r="A37885" s="374"/>
      <c r="C37885" s="374"/>
      <c r="CV37885" s="376"/>
    </row>
    <row r="37886" spans="1:100">
      <c r="A37886" s="374"/>
      <c r="C37886" s="374"/>
      <c r="CV37886" s="376"/>
    </row>
    <row r="37887" spans="1:100">
      <c r="A37887" s="374"/>
      <c r="C37887" s="374"/>
      <c r="CV37887" s="376"/>
    </row>
    <row r="37888" spans="1:100">
      <c r="A37888" s="374"/>
      <c r="C37888" s="374"/>
      <c r="CV37888" s="376"/>
    </row>
    <row r="37889" spans="1:100">
      <c r="A37889" s="374"/>
      <c r="C37889" s="374"/>
      <c r="CV37889" s="376"/>
    </row>
    <row r="37890" spans="1:100">
      <c r="A37890" s="374"/>
      <c r="C37890" s="374"/>
      <c r="CV37890" s="376"/>
    </row>
    <row r="37891" spans="1:100">
      <c r="A37891" s="374"/>
      <c r="C37891" s="374"/>
      <c r="CV37891" s="376"/>
    </row>
    <row r="37892" spans="1:100">
      <c r="A37892" s="374"/>
      <c r="C37892" s="374"/>
      <c r="CV37892" s="376"/>
    </row>
    <row r="37893" spans="1:100">
      <c r="A37893" s="374"/>
      <c r="C37893" s="374"/>
      <c r="CV37893" s="376"/>
    </row>
    <row r="37894" spans="1:100">
      <c r="A37894" s="374"/>
      <c r="C37894" s="374"/>
      <c r="CV37894" s="376"/>
    </row>
    <row r="37895" spans="1:100">
      <c r="A37895" s="374"/>
      <c r="C37895" s="374"/>
      <c r="CV37895" s="376"/>
    </row>
    <row r="37896" spans="1:100">
      <c r="A37896" s="374"/>
      <c r="C37896" s="374"/>
      <c r="CV37896" s="376"/>
    </row>
    <row r="37897" spans="1:100">
      <c r="A37897" s="374"/>
      <c r="C37897" s="374"/>
      <c r="CV37897" s="376"/>
    </row>
    <row r="37898" spans="1:100">
      <c r="A37898" s="374"/>
      <c r="C37898" s="374"/>
      <c r="CV37898" s="376"/>
    </row>
    <row r="37899" spans="1:100">
      <c r="A37899" s="374"/>
      <c r="C37899" s="374"/>
      <c r="CV37899" s="376"/>
    </row>
    <row r="37900" spans="1:100">
      <c r="A37900" s="374"/>
      <c r="C37900" s="374"/>
      <c r="CV37900" s="376"/>
    </row>
    <row r="37901" spans="1:100">
      <c r="A37901" s="374"/>
      <c r="C37901" s="374"/>
      <c r="CV37901" s="376"/>
    </row>
    <row r="37902" spans="1:100">
      <c r="A37902" s="374"/>
      <c r="C37902" s="374"/>
      <c r="CV37902" s="376"/>
    </row>
    <row r="37903" spans="1:100">
      <c r="A37903" s="374"/>
      <c r="C37903" s="374"/>
      <c r="CV37903" s="376"/>
    </row>
    <row r="37904" spans="1:100">
      <c r="A37904" s="374"/>
      <c r="C37904" s="374"/>
      <c r="CV37904" s="376"/>
    </row>
    <row r="37905" spans="1:100">
      <c r="A37905" s="374"/>
      <c r="C37905" s="374"/>
      <c r="CV37905" s="376"/>
    </row>
    <row r="37906" spans="1:100">
      <c r="A37906" s="374"/>
      <c r="C37906" s="374"/>
      <c r="CV37906" s="376"/>
    </row>
    <row r="37907" spans="1:100">
      <c r="A37907" s="374"/>
      <c r="C37907" s="374"/>
      <c r="CV37907" s="376"/>
    </row>
    <row r="37908" spans="1:100">
      <c r="A37908" s="374"/>
      <c r="C37908" s="374"/>
      <c r="CV37908" s="376"/>
    </row>
    <row r="37909" spans="1:100">
      <c r="A37909" s="374"/>
      <c r="C37909" s="374"/>
      <c r="CV37909" s="376"/>
    </row>
    <row r="37910" spans="1:100">
      <c r="A37910" s="374"/>
      <c r="C37910" s="374"/>
      <c r="CV37910" s="376"/>
    </row>
    <row r="37911" spans="1:100">
      <c r="A37911" s="374"/>
      <c r="C37911" s="374"/>
      <c r="CV37911" s="376"/>
    </row>
    <row r="37912" spans="1:100">
      <c r="A37912" s="374"/>
      <c r="C37912" s="374"/>
      <c r="CV37912" s="376"/>
    </row>
    <row r="37913" spans="1:100">
      <c r="A37913" s="374"/>
      <c r="C37913" s="374"/>
      <c r="CV37913" s="376"/>
    </row>
    <row r="37914" spans="1:100">
      <c r="A37914" s="374"/>
      <c r="C37914" s="374"/>
      <c r="CV37914" s="376"/>
    </row>
    <row r="37915" spans="1:100">
      <c r="A37915" s="374"/>
      <c r="C37915" s="374"/>
      <c r="CV37915" s="376"/>
    </row>
    <row r="37916" spans="1:100">
      <c r="A37916" s="374"/>
      <c r="C37916" s="374"/>
      <c r="CV37916" s="376"/>
    </row>
    <row r="37917" spans="1:100">
      <c r="A37917" s="374"/>
      <c r="C37917" s="374"/>
      <c r="CV37917" s="376"/>
    </row>
    <row r="37918" spans="1:100">
      <c r="A37918" s="374"/>
      <c r="C37918" s="374"/>
      <c r="CV37918" s="376"/>
    </row>
    <row r="37919" spans="1:100">
      <c r="A37919" s="374"/>
      <c r="C37919" s="374"/>
      <c r="CV37919" s="376"/>
    </row>
    <row r="37920" spans="1:100">
      <c r="A37920" s="374"/>
      <c r="C37920" s="374"/>
      <c r="CV37920" s="376"/>
    </row>
    <row r="37921" spans="1:100">
      <c r="A37921" s="374"/>
      <c r="C37921" s="374"/>
      <c r="CV37921" s="376"/>
    </row>
    <row r="37922" spans="1:100">
      <c r="A37922" s="374"/>
      <c r="C37922" s="374"/>
      <c r="CV37922" s="376"/>
    </row>
    <row r="37923" spans="1:100">
      <c r="A37923" s="374"/>
      <c r="C37923" s="374"/>
      <c r="CV37923" s="376"/>
    </row>
    <row r="37924" spans="1:100">
      <c r="A37924" s="374"/>
      <c r="C37924" s="374"/>
      <c r="CV37924" s="376"/>
    </row>
    <row r="37925" spans="1:100">
      <c r="A37925" s="374"/>
      <c r="C37925" s="374"/>
      <c r="CV37925" s="376"/>
    </row>
    <row r="37926" spans="1:100">
      <c r="A37926" s="374"/>
      <c r="C37926" s="374"/>
      <c r="CV37926" s="376"/>
    </row>
    <row r="37927" spans="1:100">
      <c r="A37927" s="374"/>
      <c r="C37927" s="374"/>
      <c r="CV37927" s="376"/>
    </row>
    <row r="37928" spans="1:100">
      <c r="A37928" s="374"/>
      <c r="C37928" s="374"/>
      <c r="CV37928" s="376"/>
    </row>
    <row r="37929" spans="1:100">
      <c r="A37929" s="374"/>
      <c r="C37929" s="374"/>
      <c r="CV37929" s="376"/>
    </row>
    <row r="37930" spans="1:100">
      <c r="A37930" s="374"/>
      <c r="C37930" s="374"/>
      <c r="CV37930" s="376"/>
    </row>
    <row r="37931" spans="1:100">
      <c r="A37931" s="374"/>
      <c r="C37931" s="374"/>
      <c r="CV37931" s="376"/>
    </row>
    <row r="37932" spans="1:100">
      <c r="A37932" s="374"/>
      <c r="C37932" s="374"/>
      <c r="CV37932" s="376"/>
    </row>
    <row r="37933" spans="1:100">
      <c r="A37933" s="374"/>
      <c r="C37933" s="374"/>
      <c r="CV37933" s="376"/>
    </row>
    <row r="37934" spans="1:100">
      <c r="A37934" s="374"/>
      <c r="C37934" s="374"/>
      <c r="CV37934" s="376"/>
    </row>
    <row r="37935" spans="1:100">
      <c r="A37935" s="374"/>
      <c r="C37935" s="374"/>
      <c r="CV37935" s="376"/>
    </row>
    <row r="37936" spans="1:100">
      <c r="A37936" s="374"/>
      <c r="C37936" s="374"/>
      <c r="CV37936" s="376"/>
    </row>
    <row r="37937" spans="1:100">
      <c r="A37937" s="374"/>
      <c r="C37937" s="374"/>
      <c r="CV37937" s="376"/>
    </row>
    <row r="37938" spans="1:100">
      <c r="A37938" s="374"/>
      <c r="C37938" s="374"/>
      <c r="CV37938" s="376"/>
    </row>
    <row r="37939" spans="1:100">
      <c r="A37939" s="374"/>
      <c r="C37939" s="374"/>
      <c r="CV37939" s="376"/>
    </row>
    <row r="37940" spans="1:100">
      <c r="A37940" s="374"/>
      <c r="C37940" s="374"/>
      <c r="CV37940" s="376"/>
    </row>
    <row r="37941" spans="1:100">
      <c r="A37941" s="374"/>
      <c r="C37941" s="374"/>
      <c r="CV37941" s="376"/>
    </row>
    <row r="37942" spans="1:100">
      <c r="A37942" s="374"/>
      <c r="C37942" s="374"/>
      <c r="CV37942" s="376"/>
    </row>
    <row r="37943" spans="1:100">
      <c r="A37943" s="374"/>
      <c r="C37943" s="374"/>
      <c r="CV37943" s="376"/>
    </row>
    <row r="37944" spans="1:100">
      <c r="A37944" s="374"/>
      <c r="C37944" s="374"/>
      <c r="CV37944" s="376"/>
    </row>
    <row r="37945" spans="1:100">
      <c r="A37945" s="374"/>
      <c r="C37945" s="374"/>
      <c r="CV37945" s="376"/>
    </row>
    <row r="37946" spans="1:100">
      <c r="A37946" s="374"/>
      <c r="C37946" s="374"/>
      <c r="CV37946" s="376"/>
    </row>
    <row r="37947" spans="1:100">
      <c r="A37947" s="374"/>
      <c r="C37947" s="374"/>
      <c r="CV37947" s="376"/>
    </row>
    <row r="37948" spans="1:100">
      <c r="A37948" s="374"/>
      <c r="C37948" s="374"/>
      <c r="CV37948" s="376"/>
    </row>
    <row r="37949" spans="1:100">
      <c r="A37949" s="374"/>
      <c r="C37949" s="374"/>
      <c r="CV37949" s="376"/>
    </row>
    <row r="37950" spans="1:100">
      <c r="A37950" s="374"/>
      <c r="C37950" s="374"/>
      <c r="CV37950" s="376"/>
    </row>
    <row r="37951" spans="1:100">
      <c r="A37951" s="374"/>
      <c r="C37951" s="374"/>
      <c r="CV37951" s="376"/>
    </row>
    <row r="37952" spans="1:100">
      <c r="A37952" s="374"/>
      <c r="C37952" s="374"/>
      <c r="CV37952" s="376"/>
    </row>
    <row r="37953" spans="1:100">
      <c r="A37953" s="374"/>
      <c r="C37953" s="374"/>
      <c r="CV37953" s="376"/>
    </row>
    <row r="37954" spans="1:100">
      <c r="A37954" s="374"/>
      <c r="C37954" s="374"/>
      <c r="CV37954" s="376"/>
    </row>
    <row r="37955" spans="1:100">
      <c r="A37955" s="374"/>
      <c r="C37955" s="374"/>
      <c r="CV37955" s="376"/>
    </row>
    <row r="37956" spans="1:100">
      <c r="A37956" s="374"/>
      <c r="C37956" s="374"/>
      <c r="CV37956" s="376"/>
    </row>
    <row r="37957" spans="1:100">
      <c r="A37957" s="374"/>
      <c r="C37957" s="374"/>
      <c r="CV37957" s="376"/>
    </row>
    <row r="37958" spans="1:100">
      <c r="A37958" s="374"/>
      <c r="C37958" s="374"/>
      <c r="CV37958" s="376"/>
    </row>
    <row r="37959" spans="1:100">
      <c r="A37959" s="374"/>
      <c r="C37959" s="374"/>
      <c r="CV37959" s="376"/>
    </row>
    <row r="37960" spans="1:100">
      <c r="A37960" s="374"/>
      <c r="C37960" s="374"/>
      <c r="CV37960" s="376"/>
    </row>
    <row r="37961" spans="1:100">
      <c r="A37961" s="374"/>
      <c r="C37961" s="374"/>
      <c r="CV37961" s="376"/>
    </row>
    <row r="37962" spans="1:100">
      <c r="A37962" s="374"/>
      <c r="C37962" s="374"/>
      <c r="CV37962" s="376"/>
    </row>
    <row r="37963" spans="1:100">
      <c r="A37963" s="374"/>
      <c r="C37963" s="374"/>
      <c r="CV37963" s="376"/>
    </row>
    <row r="37964" spans="1:100">
      <c r="A37964" s="374"/>
      <c r="C37964" s="374"/>
      <c r="CV37964" s="376"/>
    </row>
    <row r="37965" spans="1:100">
      <c r="A37965" s="374"/>
      <c r="C37965" s="374"/>
      <c r="CV37965" s="376"/>
    </row>
    <row r="37966" spans="1:100">
      <c r="A37966" s="374"/>
      <c r="C37966" s="374"/>
      <c r="CV37966" s="376"/>
    </row>
    <row r="37967" spans="1:100">
      <c r="A37967" s="374"/>
      <c r="C37967" s="374"/>
      <c r="CV37967" s="376"/>
    </row>
    <row r="37968" spans="1:100">
      <c r="A37968" s="374"/>
      <c r="C37968" s="374"/>
      <c r="CV37968" s="376"/>
    </row>
    <row r="37969" spans="1:100">
      <c r="A37969" s="374"/>
      <c r="C37969" s="374"/>
      <c r="CV37969" s="376"/>
    </row>
    <row r="37970" spans="1:100">
      <c r="A37970" s="374"/>
      <c r="C37970" s="374"/>
      <c r="CV37970" s="376"/>
    </row>
    <row r="37971" spans="1:100">
      <c r="A37971" s="374"/>
      <c r="C37971" s="374"/>
      <c r="CV37971" s="376"/>
    </row>
    <row r="37972" spans="1:100">
      <c r="A37972" s="374"/>
      <c r="C37972" s="374"/>
      <c r="CV37972" s="376"/>
    </row>
    <row r="37973" spans="1:100">
      <c r="A37973" s="374"/>
      <c r="C37973" s="374"/>
      <c r="CV37973" s="376"/>
    </row>
    <row r="37974" spans="1:100">
      <c r="A37974" s="374"/>
      <c r="C37974" s="374"/>
      <c r="CV37974" s="376"/>
    </row>
    <row r="37975" spans="1:100">
      <c r="A37975" s="374"/>
      <c r="C37975" s="374"/>
      <c r="CV37975" s="376"/>
    </row>
    <row r="37976" spans="1:100">
      <c r="A37976" s="374"/>
      <c r="C37976" s="374"/>
      <c r="CV37976" s="376"/>
    </row>
    <row r="37977" spans="1:100">
      <c r="A37977" s="374"/>
      <c r="C37977" s="374"/>
      <c r="CV37977" s="376"/>
    </row>
    <row r="37978" spans="1:100">
      <c r="A37978" s="374"/>
      <c r="C37978" s="374"/>
      <c r="CV37978" s="376"/>
    </row>
    <row r="37979" spans="1:100">
      <c r="A37979" s="374"/>
      <c r="C37979" s="374"/>
      <c r="CV37979" s="376"/>
    </row>
    <row r="37980" spans="1:100">
      <c r="A37980" s="374"/>
      <c r="C37980" s="374"/>
      <c r="CV37980" s="376"/>
    </row>
    <row r="37981" spans="1:100">
      <c r="A37981" s="374"/>
      <c r="C37981" s="374"/>
      <c r="CV37981" s="376"/>
    </row>
    <row r="37982" spans="1:100">
      <c r="A37982" s="374"/>
      <c r="C37982" s="374"/>
      <c r="CV37982" s="376"/>
    </row>
    <row r="37983" spans="1:100">
      <c r="A37983" s="374"/>
      <c r="C37983" s="374"/>
      <c r="CV37983" s="376"/>
    </row>
    <row r="37984" spans="1:100">
      <c r="A37984" s="374"/>
      <c r="C37984" s="374"/>
      <c r="CV37984" s="376"/>
    </row>
    <row r="37985" spans="1:100">
      <c r="A37985" s="374"/>
      <c r="C37985" s="374"/>
      <c r="CV37985" s="376"/>
    </row>
    <row r="37986" spans="1:100">
      <c r="A37986" s="374"/>
      <c r="C37986" s="374"/>
      <c r="CV37986" s="376"/>
    </row>
    <row r="37987" spans="1:100">
      <c r="A37987" s="374"/>
      <c r="C37987" s="374"/>
      <c r="CV37987" s="376"/>
    </row>
    <row r="37988" spans="1:100">
      <c r="A37988" s="374"/>
      <c r="C37988" s="374"/>
      <c r="CV37988" s="376"/>
    </row>
    <row r="37989" spans="1:100">
      <c r="A37989" s="374"/>
      <c r="C37989" s="374"/>
      <c r="CV37989" s="376"/>
    </row>
    <row r="37990" spans="1:100">
      <c r="A37990" s="374"/>
      <c r="C37990" s="374"/>
      <c r="CV37990" s="376"/>
    </row>
    <row r="37991" spans="1:100">
      <c r="A37991" s="374"/>
      <c r="C37991" s="374"/>
      <c r="CV37991" s="376"/>
    </row>
    <row r="37992" spans="1:100">
      <c r="A37992" s="374"/>
      <c r="C37992" s="374"/>
      <c r="CV37992" s="376"/>
    </row>
    <row r="37993" spans="1:100">
      <c r="A37993" s="374"/>
      <c r="C37993" s="374"/>
      <c r="CV37993" s="376"/>
    </row>
    <row r="37994" spans="1:100">
      <c r="A37994" s="374"/>
      <c r="C37994" s="374"/>
      <c r="CV37994" s="376"/>
    </row>
    <row r="37995" spans="1:100">
      <c r="A37995" s="374"/>
      <c r="C37995" s="374"/>
      <c r="CV37995" s="376"/>
    </row>
    <row r="37996" spans="1:100">
      <c r="A37996" s="374"/>
      <c r="C37996" s="374"/>
      <c r="CV37996" s="376"/>
    </row>
    <row r="37997" spans="1:100">
      <c r="A37997" s="374"/>
      <c r="C37997" s="374"/>
      <c r="CV37997" s="376"/>
    </row>
    <row r="37998" spans="1:100">
      <c r="A37998" s="374"/>
      <c r="C37998" s="374"/>
      <c r="CV37998" s="376"/>
    </row>
    <row r="37999" spans="1:100">
      <c r="A37999" s="374"/>
      <c r="C37999" s="374"/>
      <c r="CV37999" s="376"/>
    </row>
    <row r="38000" spans="1:100">
      <c r="A38000" s="374"/>
      <c r="C38000" s="374"/>
      <c r="CV38000" s="376"/>
    </row>
    <row r="38001" spans="1:100">
      <c r="A38001" s="374"/>
      <c r="C38001" s="374"/>
      <c r="CV38001" s="376"/>
    </row>
    <row r="38002" spans="1:100">
      <c r="A38002" s="374"/>
      <c r="C38002" s="374"/>
      <c r="CV38002" s="376"/>
    </row>
    <row r="38003" spans="1:100">
      <c r="A38003" s="374"/>
      <c r="C38003" s="374"/>
      <c r="CV38003" s="376"/>
    </row>
    <row r="38004" spans="1:100">
      <c r="A38004" s="374"/>
      <c r="C38004" s="374"/>
      <c r="CV38004" s="376"/>
    </row>
    <row r="38005" spans="1:100">
      <c r="A38005" s="374"/>
      <c r="C38005" s="374"/>
      <c r="CV38005" s="376"/>
    </row>
    <row r="38006" spans="1:100">
      <c r="A38006" s="374"/>
      <c r="C38006" s="374"/>
      <c r="CV38006" s="376"/>
    </row>
    <row r="38007" spans="1:100">
      <c r="A38007" s="374"/>
      <c r="C38007" s="374"/>
      <c r="CV38007" s="376"/>
    </row>
    <row r="38008" spans="1:100">
      <c r="A38008" s="374"/>
      <c r="C38008" s="374"/>
      <c r="CV38008" s="376"/>
    </row>
    <row r="38009" spans="1:100">
      <c r="A38009" s="374"/>
      <c r="C38009" s="374"/>
      <c r="CV38009" s="376"/>
    </row>
    <row r="38010" spans="1:100">
      <c r="A38010" s="374"/>
      <c r="C38010" s="374"/>
      <c r="CV38010" s="376"/>
    </row>
    <row r="38011" spans="1:100">
      <c r="A38011" s="374"/>
      <c r="C38011" s="374"/>
      <c r="CV38011" s="376"/>
    </row>
    <row r="38012" spans="1:100">
      <c r="A38012" s="374"/>
      <c r="C38012" s="374"/>
      <c r="CV38012" s="376"/>
    </row>
    <row r="38013" spans="1:100">
      <c r="A38013" s="374"/>
      <c r="C38013" s="374"/>
      <c r="CV38013" s="376"/>
    </row>
    <row r="38014" spans="1:100">
      <c r="A38014" s="374"/>
      <c r="C38014" s="374"/>
      <c r="CV38014" s="376"/>
    </row>
    <row r="38015" spans="1:100">
      <c r="A38015" s="374"/>
      <c r="C38015" s="374"/>
      <c r="CV38015" s="376"/>
    </row>
    <row r="38016" spans="1:100">
      <c r="A38016" s="374"/>
      <c r="C38016" s="374"/>
      <c r="CV38016" s="376"/>
    </row>
    <row r="38017" spans="1:100">
      <c r="A38017" s="374"/>
      <c r="C38017" s="374"/>
      <c r="CV38017" s="376"/>
    </row>
    <row r="38018" spans="1:100">
      <c r="A38018" s="374"/>
      <c r="C38018" s="374"/>
      <c r="CV38018" s="376"/>
    </row>
    <row r="38019" spans="1:100">
      <c r="A38019" s="374"/>
      <c r="C38019" s="374"/>
      <c r="CV38019" s="376"/>
    </row>
    <row r="38020" spans="1:100">
      <c r="A38020" s="374"/>
      <c r="C38020" s="374"/>
      <c r="CV38020" s="376"/>
    </row>
    <row r="38021" spans="1:100">
      <c r="A38021" s="374"/>
      <c r="C38021" s="374"/>
      <c r="CV38021" s="376"/>
    </row>
    <row r="38022" spans="1:100">
      <c r="A38022" s="374"/>
      <c r="C38022" s="374"/>
      <c r="CV38022" s="376"/>
    </row>
    <row r="38023" spans="1:100">
      <c r="A38023" s="374"/>
      <c r="C38023" s="374"/>
      <c r="CV38023" s="376"/>
    </row>
    <row r="38024" spans="1:100">
      <c r="A38024" s="374"/>
      <c r="C38024" s="374"/>
      <c r="CV38024" s="376"/>
    </row>
    <row r="38025" spans="1:100">
      <c r="A38025" s="374"/>
      <c r="C38025" s="374"/>
      <c r="CV38025" s="376"/>
    </row>
    <row r="38026" spans="1:100">
      <c r="A38026" s="374"/>
      <c r="C38026" s="374"/>
      <c r="CV38026" s="376"/>
    </row>
    <row r="38027" spans="1:100">
      <c r="A38027" s="374"/>
      <c r="C38027" s="374"/>
      <c r="CV38027" s="376"/>
    </row>
    <row r="38028" spans="1:100">
      <c r="A38028" s="374"/>
      <c r="C38028" s="374"/>
      <c r="CV38028" s="376"/>
    </row>
    <row r="38029" spans="1:100">
      <c r="A38029" s="374"/>
      <c r="C38029" s="374"/>
      <c r="CV38029" s="376"/>
    </row>
    <row r="38030" spans="1:100">
      <c r="A38030" s="374"/>
      <c r="C38030" s="374"/>
      <c r="CV38030" s="376"/>
    </row>
    <row r="38031" spans="1:100">
      <c r="A38031" s="374"/>
      <c r="C38031" s="374"/>
      <c r="CV38031" s="376"/>
    </row>
    <row r="38032" spans="1:100">
      <c r="A38032" s="374"/>
      <c r="C38032" s="374"/>
      <c r="CV38032" s="376"/>
    </row>
    <row r="38033" spans="1:100">
      <c r="A38033" s="374"/>
      <c r="C38033" s="374"/>
      <c r="CV38033" s="376"/>
    </row>
    <row r="38034" spans="1:100">
      <c r="A38034" s="374"/>
      <c r="C38034" s="374"/>
      <c r="CV38034" s="376"/>
    </row>
    <row r="38035" spans="1:100">
      <c r="A38035" s="374"/>
      <c r="C38035" s="374"/>
      <c r="CV38035" s="376"/>
    </row>
    <row r="38036" spans="1:100">
      <c r="A38036" s="374"/>
      <c r="C38036" s="374"/>
      <c r="CV38036" s="376"/>
    </row>
    <row r="38037" spans="1:100">
      <c r="A38037" s="374"/>
      <c r="C38037" s="374"/>
      <c r="CV38037" s="376"/>
    </row>
    <row r="38038" spans="1:100">
      <c r="A38038" s="374"/>
      <c r="C38038" s="374"/>
      <c r="CV38038" s="376"/>
    </row>
    <row r="38039" spans="1:100">
      <c r="A38039" s="374"/>
      <c r="C38039" s="374"/>
      <c r="CV38039" s="376"/>
    </row>
    <row r="38040" spans="1:100">
      <c r="A38040" s="374"/>
      <c r="C38040" s="374"/>
      <c r="CV38040" s="376"/>
    </row>
    <row r="38041" spans="1:100">
      <c r="A38041" s="374"/>
      <c r="C38041" s="374"/>
      <c r="CV38041" s="376"/>
    </row>
    <row r="38042" spans="1:100">
      <c r="A38042" s="374"/>
      <c r="C38042" s="374"/>
      <c r="CV38042" s="376"/>
    </row>
    <row r="38043" spans="1:100">
      <c r="A38043" s="374"/>
      <c r="C38043" s="374"/>
      <c r="CV38043" s="376"/>
    </row>
    <row r="38044" spans="1:100">
      <c r="A38044" s="374"/>
      <c r="C38044" s="374"/>
      <c r="CV38044" s="376"/>
    </row>
    <row r="38045" spans="1:100">
      <c r="A38045" s="374"/>
      <c r="C38045" s="374"/>
      <c r="CV38045" s="376"/>
    </row>
    <row r="38046" spans="1:100">
      <c r="A38046" s="374"/>
      <c r="C38046" s="374"/>
      <c r="CV38046" s="376"/>
    </row>
    <row r="38047" spans="1:100">
      <c r="A38047" s="374"/>
      <c r="C38047" s="374"/>
      <c r="CV38047" s="376"/>
    </row>
    <row r="38048" spans="1:100">
      <c r="A38048" s="374"/>
      <c r="C38048" s="374"/>
      <c r="CV38048" s="376"/>
    </row>
    <row r="38049" spans="1:100">
      <c r="A38049" s="374"/>
      <c r="C38049" s="374"/>
      <c r="CV38049" s="376"/>
    </row>
    <row r="38050" spans="1:100">
      <c r="A38050" s="374"/>
      <c r="C38050" s="374"/>
      <c r="CV38050" s="376"/>
    </row>
    <row r="38051" spans="1:100">
      <c r="A38051" s="374"/>
      <c r="C38051" s="374"/>
      <c r="CV38051" s="376"/>
    </row>
    <row r="38052" spans="1:100">
      <c r="A38052" s="374"/>
      <c r="C38052" s="374"/>
      <c r="CV38052" s="376"/>
    </row>
    <row r="38053" spans="1:100">
      <c r="A38053" s="374"/>
      <c r="C38053" s="374"/>
      <c r="CV38053" s="376"/>
    </row>
    <row r="38054" spans="1:100">
      <c r="A38054" s="374"/>
      <c r="C38054" s="374"/>
      <c r="CV38054" s="376"/>
    </row>
    <row r="38055" spans="1:100">
      <c r="A38055" s="374"/>
      <c r="C38055" s="374"/>
      <c r="CV38055" s="376"/>
    </row>
    <row r="38056" spans="1:100">
      <c r="A38056" s="374"/>
      <c r="C38056" s="374"/>
      <c r="CV38056" s="376"/>
    </row>
    <row r="38057" spans="1:100">
      <c r="A38057" s="374"/>
      <c r="C38057" s="374"/>
      <c r="CV38057" s="376"/>
    </row>
    <row r="38058" spans="1:100">
      <c r="A38058" s="374"/>
      <c r="C38058" s="374"/>
      <c r="CV38058" s="376"/>
    </row>
    <row r="38059" spans="1:100">
      <c r="A38059" s="374"/>
      <c r="C38059" s="374"/>
      <c r="CV38059" s="376"/>
    </row>
    <row r="38060" spans="1:100">
      <c r="A38060" s="374"/>
      <c r="C38060" s="374"/>
      <c r="CV38060" s="376"/>
    </row>
    <row r="38061" spans="1:100">
      <c r="A38061" s="374"/>
      <c r="C38061" s="374"/>
      <c r="CV38061" s="376"/>
    </row>
    <row r="38062" spans="1:100">
      <c r="A38062" s="374"/>
      <c r="C38062" s="374"/>
      <c r="CV38062" s="376"/>
    </row>
    <row r="38063" spans="1:100">
      <c r="A38063" s="374"/>
      <c r="C38063" s="374"/>
      <c r="CV38063" s="376"/>
    </row>
    <row r="38064" spans="1:100">
      <c r="A38064" s="374"/>
      <c r="C38064" s="374"/>
      <c r="CV38064" s="376"/>
    </row>
    <row r="38065" spans="1:100">
      <c r="A38065" s="374"/>
      <c r="C38065" s="374"/>
      <c r="CV38065" s="376"/>
    </row>
    <row r="38066" spans="1:100">
      <c r="A38066" s="374"/>
      <c r="C38066" s="374"/>
      <c r="CV38066" s="376"/>
    </row>
    <row r="38067" spans="1:100">
      <c r="A38067" s="374"/>
      <c r="C38067" s="374"/>
      <c r="CV38067" s="376"/>
    </row>
    <row r="38068" spans="1:100">
      <c r="A38068" s="374"/>
      <c r="C38068" s="374"/>
      <c r="CV38068" s="376"/>
    </row>
    <row r="38069" spans="1:100">
      <c r="A38069" s="374"/>
      <c r="C38069" s="374"/>
      <c r="CV38069" s="376"/>
    </row>
    <row r="38070" spans="1:100">
      <c r="A38070" s="374"/>
      <c r="C38070" s="374"/>
      <c r="CV38070" s="376"/>
    </row>
    <row r="38071" spans="1:100">
      <c r="A38071" s="374"/>
      <c r="C38071" s="374"/>
      <c r="CV38071" s="376"/>
    </row>
    <row r="38072" spans="1:100">
      <c r="A38072" s="374"/>
      <c r="C38072" s="374"/>
      <c r="CV38072" s="376"/>
    </row>
    <row r="38073" spans="1:100">
      <c r="A38073" s="374"/>
      <c r="C38073" s="374"/>
      <c r="CV38073" s="376"/>
    </row>
    <row r="38074" spans="1:100">
      <c r="A38074" s="374"/>
      <c r="C38074" s="374"/>
      <c r="CV38074" s="376"/>
    </row>
    <row r="38075" spans="1:100">
      <c r="A38075" s="374"/>
      <c r="C38075" s="374"/>
      <c r="CV38075" s="376"/>
    </row>
    <row r="38076" spans="1:100">
      <c r="A38076" s="374"/>
      <c r="C38076" s="374"/>
      <c r="CV38076" s="376"/>
    </row>
    <row r="38077" spans="1:100">
      <c r="A38077" s="374"/>
      <c r="C38077" s="374"/>
      <c r="CV38077" s="376"/>
    </row>
    <row r="38078" spans="1:100">
      <c r="A38078" s="374"/>
      <c r="C38078" s="374"/>
      <c r="CV38078" s="376"/>
    </row>
    <row r="38079" spans="1:100">
      <c r="A38079" s="374"/>
      <c r="C38079" s="374"/>
      <c r="CV38079" s="376"/>
    </row>
    <row r="38080" spans="1:100">
      <c r="A38080" s="374"/>
      <c r="C38080" s="374"/>
      <c r="CV38080" s="376"/>
    </row>
    <row r="38081" spans="1:100">
      <c r="A38081" s="374"/>
      <c r="C38081" s="374"/>
      <c r="CV38081" s="376"/>
    </row>
    <row r="38082" spans="1:100">
      <c r="A38082" s="374"/>
      <c r="C38082" s="374"/>
      <c r="CV38082" s="376"/>
    </row>
    <row r="38083" spans="1:100">
      <c r="A38083" s="374"/>
      <c r="C38083" s="374"/>
      <c r="CV38083" s="376"/>
    </row>
    <row r="38084" spans="1:100">
      <c r="A38084" s="374"/>
      <c r="C38084" s="374"/>
      <c r="CV38084" s="376"/>
    </row>
    <row r="38085" spans="1:100">
      <c r="A38085" s="374"/>
      <c r="C38085" s="374"/>
      <c r="CV38085" s="376"/>
    </row>
    <row r="38086" spans="1:100">
      <c r="A38086" s="374"/>
      <c r="C38086" s="374"/>
      <c r="CV38086" s="376"/>
    </row>
    <row r="38087" spans="1:100">
      <c r="A38087" s="374"/>
      <c r="C38087" s="374"/>
      <c r="CV38087" s="376"/>
    </row>
    <row r="38088" spans="1:100">
      <c r="A38088" s="374"/>
      <c r="C38088" s="374"/>
      <c r="CV38088" s="376"/>
    </row>
    <row r="38089" spans="1:100">
      <c r="A38089" s="374"/>
      <c r="C38089" s="374"/>
      <c r="CV38089" s="376"/>
    </row>
    <row r="38090" spans="1:100">
      <c r="A38090" s="374"/>
      <c r="C38090" s="374"/>
      <c r="CV38090" s="376"/>
    </row>
    <row r="38091" spans="1:100">
      <c r="A38091" s="374"/>
      <c r="C38091" s="374"/>
      <c r="CV38091" s="376"/>
    </row>
    <row r="38092" spans="1:100">
      <c r="A38092" s="374"/>
      <c r="C38092" s="374"/>
      <c r="CV38092" s="376"/>
    </row>
    <row r="38093" spans="1:100">
      <c r="A38093" s="374"/>
      <c r="C38093" s="374"/>
      <c r="CV38093" s="376"/>
    </row>
    <row r="38094" spans="1:100">
      <c r="A38094" s="374"/>
      <c r="C38094" s="374"/>
      <c r="CV38094" s="376"/>
    </row>
    <row r="38095" spans="1:100">
      <c r="A38095" s="374"/>
      <c r="C38095" s="374"/>
      <c r="CV38095" s="376"/>
    </row>
    <row r="38096" spans="1:100">
      <c r="A38096" s="374"/>
      <c r="C38096" s="374"/>
      <c r="CV38096" s="376"/>
    </row>
    <row r="38097" spans="1:100">
      <c r="A38097" s="374"/>
      <c r="C38097" s="374"/>
      <c r="CV38097" s="376"/>
    </row>
    <row r="38098" spans="1:100">
      <c r="A38098" s="374"/>
      <c r="C38098" s="374"/>
      <c r="CV38098" s="376"/>
    </row>
    <row r="38099" spans="1:100">
      <c r="A38099" s="374"/>
      <c r="C38099" s="374"/>
      <c r="CV38099" s="376"/>
    </row>
    <row r="38100" spans="1:100">
      <c r="A38100" s="374"/>
      <c r="C38100" s="374"/>
      <c r="CV38100" s="376"/>
    </row>
    <row r="38101" spans="1:100">
      <c r="A38101" s="374"/>
      <c r="C38101" s="374"/>
      <c r="CV38101" s="376"/>
    </row>
    <row r="38102" spans="1:100">
      <c r="A38102" s="374"/>
      <c r="C38102" s="374"/>
      <c r="CV38102" s="376"/>
    </row>
    <row r="38103" spans="1:100">
      <c r="A38103" s="374"/>
      <c r="C38103" s="374"/>
      <c r="CV38103" s="376"/>
    </row>
    <row r="38104" spans="1:100">
      <c r="A38104" s="374"/>
      <c r="C38104" s="374"/>
      <c r="CV38104" s="376"/>
    </row>
    <row r="38105" spans="1:100">
      <c r="A38105" s="374"/>
      <c r="C38105" s="374"/>
      <c r="CV38105" s="376"/>
    </row>
    <row r="38106" spans="1:100">
      <c r="A38106" s="374"/>
      <c r="C38106" s="374"/>
      <c r="CV38106" s="376"/>
    </row>
    <row r="38107" spans="1:100">
      <c r="A38107" s="374"/>
      <c r="C38107" s="374"/>
      <c r="CV38107" s="376"/>
    </row>
    <row r="38108" spans="1:100">
      <c r="A38108" s="374"/>
      <c r="C38108" s="374"/>
      <c r="CV38108" s="376"/>
    </row>
    <row r="38109" spans="1:100">
      <c r="A38109" s="374"/>
      <c r="C38109" s="374"/>
      <c r="CV38109" s="376"/>
    </row>
    <row r="38110" spans="1:100">
      <c r="A38110" s="374"/>
      <c r="C38110" s="374"/>
      <c r="CV38110" s="376"/>
    </row>
    <row r="38111" spans="1:100">
      <c r="A38111" s="374"/>
      <c r="C38111" s="374"/>
      <c r="CV38111" s="376"/>
    </row>
    <row r="38112" spans="1:100">
      <c r="A38112" s="374"/>
      <c r="C38112" s="374"/>
      <c r="CV38112" s="376"/>
    </row>
    <row r="38113" spans="1:100">
      <c r="A38113" s="374"/>
      <c r="C38113" s="374"/>
      <c r="CV38113" s="376"/>
    </row>
    <row r="38114" spans="1:100">
      <c r="A38114" s="374"/>
      <c r="C38114" s="374"/>
      <c r="CV38114" s="376"/>
    </row>
    <row r="38115" spans="1:100">
      <c r="A38115" s="374"/>
      <c r="C38115" s="374"/>
      <c r="CV38115" s="376"/>
    </row>
    <row r="38116" spans="1:100">
      <c r="A38116" s="374"/>
      <c r="C38116" s="374"/>
      <c r="CV38116" s="376"/>
    </row>
    <row r="38117" spans="1:100">
      <c r="A38117" s="374"/>
      <c r="C38117" s="374"/>
      <c r="CV38117" s="376"/>
    </row>
    <row r="38118" spans="1:100">
      <c r="A38118" s="374"/>
      <c r="C38118" s="374"/>
      <c r="CV38118" s="376"/>
    </row>
    <row r="38119" spans="1:100">
      <c r="A38119" s="374"/>
      <c r="C38119" s="374"/>
      <c r="CV38119" s="376"/>
    </row>
    <row r="38120" spans="1:100">
      <c r="A38120" s="374"/>
      <c r="C38120" s="374"/>
      <c r="CV38120" s="376"/>
    </row>
    <row r="38121" spans="1:100">
      <c r="A38121" s="374"/>
      <c r="C38121" s="374"/>
      <c r="CV38121" s="376"/>
    </row>
    <row r="38122" spans="1:100">
      <c r="A38122" s="374"/>
      <c r="C38122" s="374"/>
      <c r="CV38122" s="376"/>
    </row>
    <row r="38123" spans="1:100">
      <c r="A38123" s="374"/>
      <c r="C38123" s="374"/>
      <c r="CV38123" s="376"/>
    </row>
    <row r="38124" spans="1:100">
      <c r="A38124" s="374"/>
      <c r="C38124" s="374"/>
      <c r="CV38124" s="376"/>
    </row>
    <row r="38125" spans="1:100">
      <c r="A38125" s="374"/>
      <c r="C38125" s="374"/>
      <c r="CV38125" s="376"/>
    </row>
    <row r="38126" spans="1:100">
      <c r="A38126" s="374"/>
      <c r="C38126" s="374"/>
      <c r="CV38126" s="376"/>
    </row>
    <row r="38127" spans="1:100">
      <c r="A38127" s="374"/>
      <c r="C38127" s="374"/>
      <c r="CV38127" s="376"/>
    </row>
    <row r="38128" spans="1:100">
      <c r="A38128" s="374"/>
      <c r="C38128" s="374"/>
      <c r="CV38128" s="376"/>
    </row>
    <row r="38129" spans="1:100">
      <c r="A38129" s="374"/>
      <c r="C38129" s="374"/>
      <c r="CV38129" s="376"/>
    </row>
    <row r="38130" spans="1:100">
      <c r="A38130" s="374"/>
      <c r="C38130" s="374"/>
      <c r="CV38130" s="376"/>
    </row>
    <row r="38131" spans="1:100">
      <c r="A38131" s="374"/>
      <c r="C38131" s="374"/>
      <c r="CV38131" s="376"/>
    </row>
    <row r="38132" spans="1:100">
      <c r="A38132" s="374"/>
      <c r="C38132" s="374"/>
      <c r="CV38132" s="376"/>
    </row>
    <row r="38133" spans="1:100">
      <c r="A38133" s="374"/>
      <c r="C38133" s="374"/>
      <c r="CV38133" s="376"/>
    </row>
    <row r="38134" spans="1:100">
      <c r="A38134" s="374"/>
      <c r="C38134" s="374"/>
      <c r="CV38134" s="376"/>
    </row>
    <row r="38135" spans="1:100">
      <c r="A38135" s="374"/>
      <c r="C38135" s="374"/>
      <c r="CV38135" s="376"/>
    </row>
    <row r="38136" spans="1:100">
      <c r="A38136" s="374"/>
      <c r="C38136" s="374"/>
      <c r="CV38136" s="376"/>
    </row>
    <row r="38137" spans="1:100">
      <c r="A38137" s="374"/>
      <c r="C38137" s="374"/>
      <c r="CV38137" s="376"/>
    </row>
    <row r="38138" spans="1:100">
      <c r="A38138" s="374"/>
      <c r="C38138" s="374"/>
      <c r="CV38138" s="376"/>
    </row>
    <row r="38139" spans="1:100">
      <c r="A38139" s="374"/>
      <c r="C38139" s="374"/>
      <c r="CV38139" s="376"/>
    </row>
    <row r="38140" spans="1:100">
      <c r="A38140" s="374"/>
      <c r="C38140" s="374"/>
      <c r="CV38140" s="376"/>
    </row>
    <row r="38141" spans="1:100">
      <c r="A38141" s="374"/>
      <c r="C38141" s="374"/>
      <c r="CV38141" s="376"/>
    </row>
    <row r="38142" spans="1:100">
      <c r="A38142" s="374"/>
      <c r="C38142" s="374"/>
      <c r="CV38142" s="376"/>
    </row>
    <row r="38143" spans="1:100">
      <c r="A38143" s="374"/>
      <c r="C38143" s="374"/>
      <c r="CV38143" s="376"/>
    </row>
    <row r="38144" spans="1:100">
      <c r="A38144" s="374"/>
      <c r="C38144" s="374"/>
      <c r="CV38144" s="376"/>
    </row>
    <row r="38145" spans="1:100">
      <c r="A38145" s="374"/>
      <c r="C38145" s="374"/>
      <c r="CV38145" s="376"/>
    </row>
    <row r="38146" spans="1:100">
      <c r="A38146" s="374"/>
      <c r="C38146" s="374"/>
      <c r="CV38146" s="376"/>
    </row>
    <row r="38147" spans="1:100">
      <c r="A38147" s="374"/>
      <c r="C38147" s="374"/>
      <c r="CV38147" s="376"/>
    </row>
    <row r="38148" spans="1:100">
      <c r="A38148" s="374"/>
      <c r="C38148" s="374"/>
      <c r="CV38148" s="376"/>
    </row>
    <row r="38149" spans="1:100">
      <c r="A38149" s="374"/>
      <c r="C38149" s="374"/>
      <c r="CV38149" s="376"/>
    </row>
    <row r="38150" spans="1:100">
      <c r="A38150" s="374"/>
      <c r="C38150" s="374"/>
      <c r="CV38150" s="376"/>
    </row>
    <row r="38151" spans="1:100">
      <c r="A38151" s="374"/>
      <c r="C38151" s="374"/>
      <c r="CV38151" s="376"/>
    </row>
    <row r="38152" spans="1:100">
      <c r="A38152" s="374"/>
      <c r="C38152" s="374"/>
      <c r="CV38152" s="376"/>
    </row>
    <row r="38153" spans="1:100">
      <c r="A38153" s="374"/>
      <c r="C38153" s="374"/>
      <c r="CV38153" s="376"/>
    </row>
    <row r="38154" spans="1:100">
      <c r="A38154" s="374"/>
      <c r="C38154" s="374"/>
      <c r="CV38154" s="376"/>
    </row>
    <row r="38155" spans="1:100">
      <c r="A38155" s="374"/>
      <c r="C38155" s="374"/>
      <c r="CV38155" s="376"/>
    </row>
    <row r="38156" spans="1:100">
      <c r="A38156" s="374"/>
      <c r="C38156" s="374"/>
      <c r="CV38156" s="376"/>
    </row>
    <row r="38157" spans="1:100">
      <c r="A38157" s="374"/>
      <c r="C38157" s="374"/>
      <c r="CV38157" s="376"/>
    </row>
    <row r="38158" spans="1:100">
      <c r="A38158" s="374"/>
      <c r="C38158" s="374"/>
      <c r="CV38158" s="376"/>
    </row>
    <row r="38159" spans="1:100">
      <c r="A38159" s="374"/>
      <c r="C38159" s="374"/>
      <c r="CV38159" s="376"/>
    </row>
    <row r="38160" spans="1:100">
      <c r="A38160" s="374"/>
      <c r="C38160" s="374"/>
      <c r="CV38160" s="376"/>
    </row>
    <row r="38161" spans="1:100">
      <c r="A38161" s="374"/>
      <c r="C38161" s="374"/>
      <c r="CV38161" s="376"/>
    </row>
    <row r="38162" spans="1:100">
      <c r="A38162" s="374"/>
      <c r="C38162" s="374"/>
      <c r="CV38162" s="376"/>
    </row>
    <row r="38163" spans="1:100">
      <c r="A38163" s="374"/>
      <c r="C38163" s="374"/>
      <c r="CV38163" s="376"/>
    </row>
    <row r="38164" spans="1:100">
      <c r="A38164" s="374"/>
      <c r="C38164" s="374"/>
      <c r="CV38164" s="376"/>
    </row>
    <row r="38165" spans="1:100">
      <c r="A38165" s="374"/>
      <c r="C38165" s="374"/>
      <c r="CV38165" s="376"/>
    </row>
    <row r="38166" spans="1:100">
      <c r="A38166" s="374"/>
      <c r="C38166" s="374"/>
      <c r="CV38166" s="376"/>
    </row>
    <row r="38167" spans="1:100">
      <c r="A38167" s="374"/>
      <c r="C38167" s="374"/>
      <c r="CV38167" s="376"/>
    </row>
    <row r="38168" spans="1:100">
      <c r="A38168" s="374"/>
      <c r="C38168" s="374"/>
      <c r="CV38168" s="376"/>
    </row>
    <row r="38169" spans="1:100">
      <c r="A38169" s="374"/>
      <c r="C38169" s="374"/>
      <c r="CV38169" s="376"/>
    </row>
    <row r="38170" spans="1:100">
      <c r="A38170" s="374"/>
      <c r="C38170" s="374"/>
      <c r="CV38170" s="376"/>
    </row>
    <row r="38171" spans="1:100">
      <c r="A38171" s="374"/>
      <c r="C38171" s="374"/>
      <c r="CV38171" s="376"/>
    </row>
    <row r="38172" spans="1:100">
      <c r="A38172" s="374"/>
      <c r="C38172" s="374"/>
      <c r="CV38172" s="376"/>
    </row>
    <row r="38173" spans="1:100">
      <c r="A38173" s="374"/>
      <c r="C38173" s="374"/>
      <c r="CV38173" s="376"/>
    </row>
    <row r="38174" spans="1:100">
      <c r="A38174" s="374"/>
      <c r="C38174" s="374"/>
      <c r="CV38174" s="376"/>
    </row>
    <row r="38175" spans="1:100">
      <c r="A38175" s="374"/>
      <c r="C38175" s="374"/>
      <c r="CV38175" s="376"/>
    </row>
    <row r="38176" spans="1:100">
      <c r="A38176" s="374"/>
      <c r="C38176" s="374"/>
      <c r="CV38176" s="376"/>
    </row>
    <row r="38177" spans="1:100">
      <c r="A38177" s="374"/>
      <c r="C38177" s="374"/>
      <c r="CV38177" s="376"/>
    </row>
    <row r="38178" spans="1:100">
      <c r="A38178" s="374"/>
      <c r="C38178" s="374"/>
      <c r="CV38178" s="376"/>
    </row>
    <row r="38179" spans="1:100">
      <c r="A38179" s="374"/>
      <c r="C38179" s="374"/>
      <c r="CV38179" s="376"/>
    </row>
    <row r="38180" spans="1:100">
      <c r="A38180" s="374"/>
      <c r="C38180" s="374"/>
      <c r="CV38180" s="376"/>
    </row>
    <row r="38181" spans="1:100">
      <c r="A38181" s="374"/>
      <c r="C38181" s="374"/>
      <c r="CV38181" s="376"/>
    </row>
    <row r="38182" spans="1:100">
      <c r="A38182" s="374"/>
      <c r="C38182" s="374"/>
      <c r="CV38182" s="376"/>
    </row>
    <row r="38183" spans="1:100">
      <c r="A38183" s="374"/>
      <c r="C38183" s="374"/>
      <c r="CV38183" s="376"/>
    </row>
    <row r="38184" spans="1:100">
      <c r="A38184" s="374"/>
      <c r="C38184" s="374"/>
      <c r="CV38184" s="376"/>
    </row>
    <row r="38185" spans="1:100">
      <c r="A38185" s="374"/>
      <c r="C38185" s="374"/>
      <c r="CV38185" s="376"/>
    </row>
    <row r="38186" spans="1:100">
      <c r="A38186" s="374"/>
      <c r="C38186" s="374"/>
      <c r="CV38186" s="376"/>
    </row>
    <row r="38187" spans="1:100">
      <c r="A38187" s="374"/>
      <c r="C38187" s="374"/>
      <c r="CV38187" s="376"/>
    </row>
    <row r="38188" spans="1:100">
      <c r="A38188" s="374"/>
      <c r="C38188" s="374"/>
      <c r="CV38188" s="376"/>
    </row>
    <row r="38189" spans="1:100">
      <c r="A38189" s="374"/>
      <c r="C38189" s="374"/>
      <c r="CV38189" s="376"/>
    </row>
    <row r="38190" spans="1:100">
      <c r="A38190" s="374"/>
      <c r="C38190" s="374"/>
      <c r="CV38190" s="376"/>
    </row>
    <row r="38191" spans="1:100">
      <c r="A38191" s="374"/>
      <c r="C38191" s="374"/>
      <c r="CV38191" s="376"/>
    </row>
    <row r="38192" spans="1:100">
      <c r="A38192" s="374"/>
      <c r="C38192" s="374"/>
      <c r="CV38192" s="376"/>
    </row>
    <row r="38193" spans="1:100">
      <c r="A38193" s="374"/>
      <c r="C38193" s="374"/>
      <c r="CV38193" s="376"/>
    </row>
    <row r="38194" spans="1:100">
      <c r="A38194" s="374"/>
      <c r="C38194" s="374"/>
      <c r="CV38194" s="376"/>
    </row>
    <row r="38195" spans="1:100">
      <c r="A38195" s="374"/>
      <c r="C38195" s="374"/>
      <c r="CV38195" s="376"/>
    </row>
    <row r="38196" spans="1:100">
      <c r="A38196" s="374"/>
      <c r="C38196" s="374"/>
      <c r="CV38196" s="376"/>
    </row>
    <row r="38197" spans="1:100">
      <c r="A38197" s="374"/>
      <c r="C38197" s="374"/>
      <c r="CV38197" s="376"/>
    </row>
    <row r="38198" spans="1:100">
      <c r="A38198" s="374"/>
      <c r="C38198" s="374"/>
      <c r="CV38198" s="376"/>
    </row>
    <row r="38199" spans="1:100">
      <c r="A38199" s="374"/>
      <c r="C38199" s="374"/>
      <c r="CV38199" s="376"/>
    </row>
    <row r="38200" spans="1:100">
      <c r="A38200" s="374"/>
      <c r="C38200" s="374"/>
      <c r="CV38200" s="376"/>
    </row>
    <row r="38201" spans="1:100">
      <c r="A38201" s="374"/>
      <c r="C38201" s="374"/>
      <c r="CV38201" s="376"/>
    </row>
    <row r="38202" spans="1:100">
      <c r="A38202" s="374"/>
      <c r="C38202" s="374"/>
      <c r="CV38202" s="376"/>
    </row>
    <row r="38203" spans="1:100">
      <c r="A38203" s="374"/>
      <c r="C38203" s="374"/>
      <c r="CV38203" s="376"/>
    </row>
    <row r="38204" spans="1:100">
      <c r="A38204" s="374"/>
      <c r="C38204" s="374"/>
      <c r="CV38204" s="376"/>
    </row>
    <row r="38205" spans="1:100">
      <c r="A38205" s="374"/>
      <c r="C38205" s="374"/>
      <c r="CV38205" s="376"/>
    </row>
    <row r="38206" spans="1:100">
      <c r="A38206" s="374"/>
      <c r="C38206" s="374"/>
      <c r="CV38206" s="376"/>
    </row>
    <row r="38207" spans="1:100">
      <c r="A38207" s="374"/>
      <c r="C38207" s="374"/>
      <c r="CV38207" s="376"/>
    </row>
    <row r="38208" spans="1:100">
      <c r="A38208" s="374"/>
      <c r="C38208" s="374"/>
      <c r="CV38208" s="376"/>
    </row>
    <row r="38209" spans="1:100">
      <c r="A38209" s="374"/>
      <c r="C38209" s="374"/>
      <c r="CV38209" s="376"/>
    </row>
    <row r="38210" spans="1:100">
      <c r="A38210" s="374"/>
      <c r="C38210" s="374"/>
      <c r="CV38210" s="376"/>
    </row>
    <row r="38211" spans="1:100">
      <c r="A38211" s="374"/>
      <c r="C38211" s="374"/>
      <c r="CV38211" s="376"/>
    </row>
    <row r="38212" spans="1:100">
      <c r="A38212" s="374"/>
      <c r="C38212" s="374"/>
      <c r="CV38212" s="376"/>
    </row>
    <row r="38213" spans="1:100">
      <c r="A38213" s="374"/>
      <c r="C38213" s="374"/>
      <c r="CV38213" s="376"/>
    </row>
    <row r="38214" spans="1:100">
      <c r="A38214" s="374"/>
      <c r="C38214" s="374"/>
      <c r="CV38214" s="376"/>
    </row>
    <row r="38215" spans="1:100">
      <c r="A38215" s="374"/>
      <c r="C38215" s="374"/>
      <c r="CV38215" s="376"/>
    </row>
    <row r="38216" spans="1:100">
      <c r="A38216" s="374"/>
      <c r="C38216" s="374"/>
      <c r="CV38216" s="376"/>
    </row>
    <row r="38217" spans="1:100">
      <c r="A38217" s="374"/>
      <c r="C38217" s="374"/>
      <c r="CV38217" s="376"/>
    </row>
    <row r="38218" spans="1:100">
      <c r="A38218" s="374"/>
      <c r="C38218" s="374"/>
      <c r="CV38218" s="376"/>
    </row>
    <row r="38219" spans="1:100">
      <c r="A38219" s="374"/>
      <c r="C38219" s="374"/>
      <c r="CV38219" s="376"/>
    </row>
    <row r="38220" spans="1:100">
      <c r="A38220" s="374"/>
      <c r="C38220" s="374"/>
      <c r="CV38220" s="376"/>
    </row>
    <row r="38221" spans="1:100">
      <c r="A38221" s="374"/>
      <c r="C38221" s="374"/>
      <c r="CV38221" s="376"/>
    </row>
    <row r="38222" spans="1:100">
      <c r="A38222" s="374"/>
      <c r="C38222" s="374"/>
      <c r="CV38222" s="376"/>
    </row>
    <row r="38223" spans="1:100">
      <c r="A38223" s="374"/>
      <c r="C38223" s="374"/>
      <c r="CV38223" s="376"/>
    </row>
    <row r="38224" spans="1:100">
      <c r="A38224" s="374"/>
      <c r="C38224" s="374"/>
      <c r="CV38224" s="376"/>
    </row>
    <row r="38225" spans="1:100">
      <c r="A38225" s="374"/>
      <c r="C38225" s="374"/>
      <c r="CV38225" s="376"/>
    </row>
    <row r="38226" spans="1:100">
      <c r="A38226" s="374"/>
      <c r="C38226" s="374"/>
      <c r="CV38226" s="376"/>
    </row>
    <row r="38227" spans="1:100">
      <c r="A38227" s="374"/>
      <c r="C38227" s="374"/>
      <c r="CV38227" s="376"/>
    </row>
    <row r="38228" spans="1:100">
      <c r="A38228" s="374"/>
      <c r="C38228" s="374"/>
      <c r="CV38228" s="376"/>
    </row>
    <row r="38229" spans="1:100">
      <c r="A38229" s="374"/>
      <c r="C38229" s="374"/>
      <c r="CV38229" s="376"/>
    </row>
    <row r="38230" spans="1:100">
      <c r="A38230" s="374"/>
      <c r="C38230" s="374"/>
      <c r="CV38230" s="376"/>
    </row>
    <row r="38231" spans="1:100">
      <c r="A38231" s="374"/>
      <c r="C38231" s="374"/>
      <c r="CV38231" s="376"/>
    </row>
    <row r="38232" spans="1:100">
      <c r="A38232" s="374"/>
      <c r="C38232" s="374"/>
      <c r="CV38232" s="376"/>
    </row>
    <row r="38233" spans="1:100">
      <c r="A38233" s="374"/>
      <c r="C38233" s="374"/>
      <c r="CV38233" s="376"/>
    </row>
    <row r="38234" spans="1:100">
      <c r="A38234" s="374"/>
      <c r="C38234" s="374"/>
      <c r="CV38234" s="376"/>
    </row>
    <row r="38235" spans="1:100">
      <c r="A38235" s="374"/>
      <c r="C38235" s="374"/>
      <c r="CV38235" s="376"/>
    </row>
    <row r="38236" spans="1:100">
      <c r="A38236" s="374"/>
      <c r="C38236" s="374"/>
      <c r="CV38236" s="376"/>
    </row>
    <row r="38237" spans="1:100">
      <c r="A38237" s="374"/>
      <c r="C38237" s="374"/>
      <c r="CV38237" s="376"/>
    </row>
    <row r="38238" spans="1:100">
      <c r="A38238" s="374"/>
      <c r="C38238" s="374"/>
      <c r="CV38238" s="376"/>
    </row>
    <row r="38239" spans="1:100">
      <c r="A38239" s="374"/>
      <c r="C38239" s="374"/>
      <c r="CV38239" s="376"/>
    </row>
    <row r="38240" spans="1:100">
      <c r="A38240" s="374"/>
      <c r="C38240" s="374"/>
      <c r="CV38240" s="376"/>
    </row>
    <row r="38241" spans="1:100">
      <c r="A38241" s="374"/>
      <c r="C38241" s="374"/>
      <c r="CV38241" s="376"/>
    </row>
    <row r="38242" spans="1:100">
      <c r="A38242" s="374"/>
      <c r="C38242" s="374"/>
      <c r="CV38242" s="376"/>
    </row>
    <row r="38243" spans="1:100">
      <c r="A38243" s="374"/>
      <c r="C38243" s="374"/>
      <c r="CV38243" s="376"/>
    </row>
    <row r="38244" spans="1:100">
      <c r="A38244" s="374"/>
      <c r="C38244" s="374"/>
      <c r="CV38244" s="376"/>
    </row>
    <row r="38245" spans="1:100">
      <c r="A38245" s="374"/>
      <c r="C38245" s="374"/>
      <c r="CV38245" s="376"/>
    </row>
    <row r="38246" spans="1:100">
      <c r="A38246" s="374"/>
      <c r="C38246" s="374"/>
      <c r="CV38246" s="376"/>
    </row>
    <row r="38247" spans="1:100">
      <c r="A38247" s="374"/>
      <c r="C38247" s="374"/>
      <c r="CV38247" s="376"/>
    </row>
    <row r="38248" spans="1:100">
      <c r="A38248" s="374"/>
      <c r="C38248" s="374"/>
      <c r="CV38248" s="376"/>
    </row>
    <row r="38249" spans="1:100">
      <c r="A38249" s="374"/>
      <c r="C38249" s="374"/>
      <c r="CV38249" s="376"/>
    </row>
    <row r="38250" spans="1:100">
      <c r="A38250" s="374"/>
      <c r="C38250" s="374"/>
      <c r="CV38250" s="376"/>
    </row>
    <row r="38251" spans="1:100">
      <c r="A38251" s="374"/>
      <c r="C38251" s="374"/>
      <c r="CV38251" s="376"/>
    </row>
    <row r="38252" spans="1:100">
      <c r="A38252" s="374"/>
      <c r="C38252" s="374"/>
      <c r="CV38252" s="376"/>
    </row>
    <row r="38253" spans="1:100">
      <c r="A38253" s="374"/>
      <c r="C38253" s="374"/>
      <c r="CV38253" s="376"/>
    </row>
    <row r="38254" spans="1:100">
      <c r="A38254" s="374"/>
      <c r="C38254" s="374"/>
      <c r="CV38254" s="376"/>
    </row>
    <row r="38255" spans="1:100">
      <c r="A38255" s="374"/>
      <c r="C38255" s="374"/>
      <c r="CV38255" s="376"/>
    </row>
    <row r="38256" spans="1:100">
      <c r="A38256" s="374"/>
      <c r="C38256" s="374"/>
      <c r="CV38256" s="376"/>
    </row>
    <row r="38257" spans="1:100">
      <c r="A38257" s="374"/>
      <c r="C38257" s="374"/>
      <c r="CV38257" s="376"/>
    </row>
    <row r="38258" spans="1:100">
      <c r="A38258" s="374"/>
      <c r="C38258" s="374"/>
      <c r="CV38258" s="376"/>
    </row>
    <row r="38259" spans="1:100">
      <c r="A38259" s="374"/>
      <c r="C38259" s="374"/>
      <c r="CV38259" s="376"/>
    </row>
    <row r="38260" spans="1:100">
      <c r="A38260" s="374"/>
      <c r="C38260" s="374"/>
      <c r="CV38260" s="376"/>
    </row>
    <row r="38261" spans="1:100">
      <c r="A38261" s="374"/>
      <c r="C38261" s="374"/>
      <c r="CV38261" s="376"/>
    </row>
    <row r="38262" spans="1:100">
      <c r="A38262" s="374"/>
      <c r="C38262" s="374"/>
      <c r="CV38262" s="376"/>
    </row>
    <row r="38263" spans="1:100">
      <c r="A38263" s="374"/>
      <c r="C38263" s="374"/>
      <c r="CV38263" s="376"/>
    </row>
    <row r="38264" spans="1:100">
      <c r="A38264" s="374"/>
      <c r="C38264" s="374"/>
      <c r="CV38264" s="376"/>
    </row>
    <row r="38265" spans="1:100">
      <c r="A38265" s="374"/>
      <c r="C38265" s="374"/>
      <c r="CV38265" s="376"/>
    </row>
    <row r="38266" spans="1:100">
      <c r="A38266" s="374"/>
      <c r="C38266" s="374"/>
      <c r="CV38266" s="376"/>
    </row>
    <row r="38267" spans="1:100">
      <c r="A38267" s="374"/>
      <c r="C38267" s="374"/>
      <c r="CV38267" s="376"/>
    </row>
    <row r="38268" spans="1:100">
      <c r="A38268" s="374"/>
      <c r="C38268" s="374"/>
      <c r="CV38268" s="376"/>
    </row>
    <row r="38269" spans="1:100">
      <c r="A38269" s="374"/>
      <c r="C38269" s="374"/>
      <c r="CV38269" s="376"/>
    </row>
    <row r="38270" spans="1:100">
      <c r="A38270" s="374"/>
      <c r="C38270" s="374"/>
      <c r="CV38270" s="376"/>
    </row>
    <row r="38271" spans="1:100">
      <c r="A38271" s="374"/>
      <c r="C38271" s="374"/>
      <c r="CV38271" s="376"/>
    </row>
    <row r="38272" spans="1:100">
      <c r="A38272" s="374"/>
      <c r="C38272" s="374"/>
      <c r="CV38272" s="376"/>
    </row>
    <row r="38273" spans="1:100">
      <c r="A38273" s="374"/>
      <c r="C38273" s="374"/>
      <c r="CV38273" s="376"/>
    </row>
    <row r="38274" spans="1:100">
      <c r="A38274" s="374"/>
      <c r="C38274" s="374"/>
      <c r="CV38274" s="376"/>
    </row>
    <row r="38275" spans="1:100">
      <c r="A38275" s="374"/>
      <c r="C38275" s="374"/>
      <c r="CV38275" s="376"/>
    </row>
    <row r="38276" spans="1:100">
      <c r="A38276" s="374"/>
      <c r="C38276" s="374"/>
      <c r="CV38276" s="376"/>
    </row>
    <row r="38277" spans="1:100">
      <c r="A38277" s="374"/>
      <c r="C38277" s="374"/>
      <c r="CV38277" s="376"/>
    </row>
    <row r="38278" spans="1:100">
      <c r="A38278" s="374"/>
      <c r="C38278" s="374"/>
      <c r="CV38278" s="376"/>
    </row>
    <row r="38279" spans="1:100">
      <c r="A38279" s="374"/>
      <c r="C38279" s="374"/>
      <c r="CV38279" s="376"/>
    </row>
    <row r="38280" spans="1:100">
      <c r="A38280" s="374"/>
      <c r="C38280" s="374"/>
      <c r="CV38280" s="376"/>
    </row>
    <row r="38281" spans="1:100">
      <c r="A38281" s="374"/>
      <c r="C38281" s="374"/>
      <c r="CV38281" s="376"/>
    </row>
    <row r="38282" spans="1:100">
      <c r="A38282" s="374"/>
      <c r="C38282" s="374"/>
      <c r="CV38282" s="376"/>
    </row>
    <row r="38283" spans="1:100">
      <c r="A38283" s="374"/>
      <c r="C38283" s="374"/>
      <c r="CV38283" s="376"/>
    </row>
    <row r="38284" spans="1:100">
      <c r="A38284" s="374"/>
      <c r="C38284" s="374"/>
      <c r="CV38284" s="376"/>
    </row>
    <row r="38285" spans="1:100">
      <c r="A38285" s="374"/>
      <c r="C38285" s="374"/>
      <c r="CV38285" s="376"/>
    </row>
    <row r="38286" spans="1:100">
      <c r="A38286" s="374"/>
      <c r="C38286" s="374"/>
      <c r="CV38286" s="376"/>
    </row>
    <row r="38287" spans="1:100">
      <c r="A38287" s="374"/>
      <c r="C38287" s="374"/>
      <c r="CV38287" s="376"/>
    </row>
    <row r="38288" spans="1:100">
      <c r="A38288" s="374"/>
      <c r="C38288" s="374"/>
      <c r="CV38288" s="376"/>
    </row>
    <row r="38289" spans="1:100">
      <c r="A38289" s="374"/>
      <c r="C38289" s="374"/>
      <c r="CV38289" s="376"/>
    </row>
    <row r="38290" spans="1:100">
      <c r="A38290" s="374"/>
      <c r="C38290" s="374"/>
      <c r="CV38290" s="376"/>
    </row>
    <row r="38291" spans="1:100">
      <c r="A38291" s="374"/>
      <c r="C38291" s="374"/>
      <c r="CV38291" s="376"/>
    </row>
    <row r="38292" spans="1:100">
      <c r="A38292" s="374"/>
      <c r="C38292" s="374"/>
      <c r="CV38292" s="376"/>
    </row>
    <row r="38293" spans="1:100">
      <c r="A38293" s="374"/>
      <c r="C38293" s="374"/>
      <c r="CV38293" s="376"/>
    </row>
    <row r="38294" spans="1:100">
      <c r="A38294" s="374"/>
      <c r="C38294" s="374"/>
      <c r="CV38294" s="376"/>
    </row>
    <row r="38295" spans="1:100">
      <c r="A38295" s="374"/>
      <c r="C38295" s="374"/>
      <c r="CV38295" s="376"/>
    </row>
    <row r="38296" spans="1:100">
      <c r="A38296" s="374"/>
      <c r="C38296" s="374"/>
      <c r="CV38296" s="376"/>
    </row>
    <row r="38297" spans="1:100">
      <c r="A38297" s="374"/>
      <c r="C38297" s="374"/>
      <c r="CV38297" s="376"/>
    </row>
    <row r="38298" spans="1:100">
      <c r="A38298" s="374"/>
      <c r="C38298" s="374"/>
      <c r="CV38298" s="376"/>
    </row>
    <row r="38299" spans="1:100">
      <c r="A38299" s="374"/>
      <c r="C38299" s="374"/>
      <c r="CV38299" s="376"/>
    </row>
    <row r="38300" spans="1:100">
      <c r="A38300" s="374"/>
      <c r="C38300" s="374"/>
      <c r="CV38300" s="376"/>
    </row>
    <row r="38301" spans="1:100">
      <c r="A38301" s="374"/>
      <c r="C38301" s="374"/>
      <c r="CV38301" s="376"/>
    </row>
    <row r="38302" spans="1:100">
      <c r="A38302" s="374"/>
      <c r="C38302" s="374"/>
      <c r="CV38302" s="376"/>
    </row>
    <row r="38303" spans="1:100">
      <c r="A38303" s="374"/>
      <c r="C38303" s="374"/>
      <c r="CV38303" s="376"/>
    </row>
    <row r="38304" spans="1:100">
      <c r="A38304" s="374"/>
      <c r="C38304" s="374"/>
      <c r="CV38304" s="376"/>
    </row>
    <row r="38305" spans="1:100">
      <c r="A38305" s="374"/>
      <c r="C38305" s="374"/>
      <c r="CV38305" s="376"/>
    </row>
    <row r="38306" spans="1:100">
      <c r="A38306" s="374"/>
      <c r="C38306" s="374"/>
      <c r="CV38306" s="376"/>
    </row>
    <row r="38307" spans="1:100">
      <c r="A38307" s="374"/>
      <c r="C38307" s="374"/>
      <c r="CV38307" s="376"/>
    </row>
    <row r="38308" spans="1:100">
      <c r="A38308" s="374"/>
      <c r="C38308" s="374"/>
      <c r="CV38308" s="376"/>
    </row>
    <row r="38309" spans="1:100">
      <c r="A38309" s="374"/>
      <c r="C38309" s="374"/>
      <c r="CV38309" s="376"/>
    </row>
    <row r="38310" spans="1:100">
      <c r="A38310" s="374"/>
      <c r="C38310" s="374"/>
      <c r="CV38310" s="376"/>
    </row>
    <row r="38311" spans="1:100">
      <c r="A38311" s="374"/>
      <c r="C38311" s="374"/>
      <c r="CV38311" s="376"/>
    </row>
    <row r="38312" spans="1:100">
      <c r="A38312" s="374"/>
      <c r="C38312" s="374"/>
      <c r="CV38312" s="376"/>
    </row>
    <row r="38313" spans="1:100">
      <c r="A38313" s="374"/>
      <c r="C38313" s="374"/>
      <c r="CV38313" s="376"/>
    </row>
    <row r="38314" spans="1:100">
      <c r="A38314" s="374"/>
      <c r="C38314" s="374"/>
      <c r="CV38314" s="376"/>
    </row>
    <row r="38315" spans="1:100">
      <c r="A38315" s="374"/>
      <c r="C38315" s="374"/>
      <c r="CV38315" s="376"/>
    </row>
    <row r="38316" spans="1:100">
      <c r="A38316" s="374"/>
      <c r="C38316" s="374"/>
      <c r="CV38316" s="376"/>
    </row>
    <row r="38317" spans="1:100">
      <c r="A38317" s="374"/>
      <c r="C38317" s="374"/>
      <c r="CV38317" s="376"/>
    </row>
    <row r="38318" spans="1:100">
      <c r="A38318" s="374"/>
      <c r="C38318" s="374"/>
      <c r="CV38318" s="376"/>
    </row>
    <row r="38319" spans="1:100">
      <c r="A38319" s="374"/>
      <c r="C38319" s="374"/>
      <c r="CV38319" s="376"/>
    </row>
    <row r="38320" spans="1:100">
      <c r="A38320" s="374"/>
      <c r="C38320" s="374"/>
      <c r="CV38320" s="376"/>
    </row>
    <row r="38321" spans="1:100">
      <c r="A38321" s="374"/>
      <c r="C38321" s="374"/>
      <c r="CV38321" s="376"/>
    </row>
    <row r="38322" spans="1:100">
      <c r="A38322" s="374"/>
      <c r="C38322" s="374"/>
      <c r="CV38322" s="376"/>
    </row>
    <row r="38323" spans="1:100">
      <c r="A38323" s="374"/>
      <c r="C38323" s="374"/>
      <c r="CV38323" s="376"/>
    </row>
    <row r="38324" spans="1:100">
      <c r="A38324" s="374"/>
      <c r="C38324" s="374"/>
      <c r="CV38324" s="376"/>
    </row>
    <row r="38325" spans="1:100">
      <c r="A38325" s="374"/>
      <c r="C38325" s="374"/>
      <c r="CV38325" s="376"/>
    </row>
    <row r="38326" spans="1:100">
      <c r="A38326" s="374"/>
      <c r="C38326" s="374"/>
      <c r="CV38326" s="376"/>
    </row>
    <row r="38327" spans="1:100">
      <c r="A38327" s="374"/>
      <c r="C38327" s="374"/>
      <c r="CV38327" s="376"/>
    </row>
    <row r="38328" spans="1:100">
      <c r="A38328" s="374"/>
      <c r="C38328" s="374"/>
      <c r="CV38328" s="376"/>
    </row>
    <row r="38329" spans="1:100">
      <c r="A38329" s="374"/>
      <c r="C38329" s="374"/>
      <c r="CV38329" s="376"/>
    </row>
    <row r="38330" spans="1:100">
      <c r="A38330" s="374"/>
      <c r="C38330" s="374"/>
      <c r="CV38330" s="376"/>
    </row>
    <row r="38331" spans="1:100">
      <c r="A38331" s="374"/>
      <c r="C38331" s="374"/>
      <c r="CV38331" s="376"/>
    </row>
    <row r="38332" spans="1:100">
      <c r="A38332" s="374"/>
      <c r="C38332" s="374"/>
      <c r="CV38332" s="376"/>
    </row>
    <row r="38333" spans="1:100">
      <c r="A38333" s="374"/>
      <c r="C38333" s="374"/>
      <c r="CV38333" s="376"/>
    </row>
    <row r="38334" spans="1:100">
      <c r="A38334" s="374"/>
      <c r="C38334" s="374"/>
      <c r="CV38334" s="376"/>
    </row>
    <row r="38335" spans="1:100">
      <c r="A38335" s="374"/>
      <c r="C38335" s="374"/>
      <c r="CV38335" s="376"/>
    </row>
    <row r="38336" spans="1:100">
      <c r="A38336" s="374"/>
      <c r="C38336" s="374"/>
      <c r="CV38336" s="376"/>
    </row>
    <row r="38337" spans="1:100">
      <c r="A38337" s="374"/>
      <c r="C38337" s="374"/>
      <c r="CV38337" s="376"/>
    </row>
    <row r="38338" spans="1:100">
      <c r="A38338" s="374"/>
      <c r="C38338" s="374"/>
      <c r="CV38338" s="376"/>
    </row>
    <row r="38339" spans="1:100">
      <c r="A38339" s="374"/>
      <c r="C38339" s="374"/>
      <c r="CV38339" s="376"/>
    </row>
    <row r="38340" spans="1:100">
      <c r="A38340" s="374"/>
      <c r="C38340" s="374"/>
      <c r="CV38340" s="376"/>
    </row>
    <row r="38341" spans="1:100">
      <c r="A38341" s="374"/>
      <c r="C38341" s="374"/>
      <c r="CV38341" s="376"/>
    </row>
    <row r="38342" spans="1:100">
      <c r="A38342" s="374"/>
      <c r="C38342" s="374"/>
      <c r="CV38342" s="376"/>
    </row>
    <row r="38343" spans="1:100">
      <c r="A38343" s="374"/>
      <c r="C38343" s="374"/>
      <c r="CV38343" s="376"/>
    </row>
    <row r="38344" spans="1:100">
      <c r="A38344" s="374"/>
      <c r="C38344" s="374"/>
      <c r="CV38344" s="376"/>
    </row>
    <row r="38345" spans="1:100">
      <c r="A38345" s="374"/>
      <c r="C38345" s="374"/>
      <c r="CV38345" s="376"/>
    </row>
    <row r="38346" spans="1:100">
      <c r="A38346" s="374"/>
      <c r="C38346" s="374"/>
      <c r="CV38346" s="376"/>
    </row>
    <row r="38347" spans="1:100">
      <c r="A38347" s="374"/>
      <c r="C38347" s="374"/>
      <c r="CV38347" s="376"/>
    </row>
    <row r="38348" spans="1:100">
      <c r="A38348" s="374"/>
      <c r="C38348" s="374"/>
      <c r="CV38348" s="376"/>
    </row>
    <row r="38349" spans="1:100">
      <c r="A38349" s="374"/>
      <c r="C38349" s="374"/>
      <c r="CV38349" s="376"/>
    </row>
    <row r="38350" spans="1:100">
      <c r="A38350" s="374"/>
      <c r="C38350" s="374"/>
      <c r="CV38350" s="376"/>
    </row>
    <row r="38351" spans="1:100">
      <c r="A38351" s="374"/>
      <c r="C38351" s="374"/>
      <c r="CV38351" s="376"/>
    </row>
    <row r="38352" spans="1:100">
      <c r="A38352" s="374"/>
      <c r="C38352" s="374"/>
      <c r="CV38352" s="376"/>
    </row>
    <row r="38353" spans="1:100">
      <c r="A38353" s="374"/>
      <c r="C38353" s="374"/>
      <c r="CV38353" s="376"/>
    </row>
    <row r="38354" spans="1:100">
      <c r="A38354" s="374"/>
      <c r="C38354" s="374"/>
      <c r="CV38354" s="376"/>
    </row>
    <row r="38355" spans="1:100">
      <c r="A38355" s="374"/>
      <c r="C38355" s="374"/>
      <c r="CV38355" s="376"/>
    </row>
    <row r="38356" spans="1:100">
      <c r="A38356" s="374"/>
      <c r="C38356" s="374"/>
      <c r="CV38356" s="376"/>
    </row>
    <row r="38357" spans="1:100">
      <c r="A38357" s="374"/>
      <c r="C38357" s="374"/>
      <c r="CV38357" s="376"/>
    </row>
    <row r="38358" spans="1:100">
      <c r="A38358" s="374"/>
      <c r="C38358" s="374"/>
      <c r="CV38358" s="376"/>
    </row>
    <row r="38359" spans="1:100">
      <c r="A38359" s="374"/>
      <c r="C38359" s="374"/>
      <c r="CV38359" s="376"/>
    </row>
    <row r="38360" spans="1:100">
      <c r="A38360" s="374"/>
      <c r="C38360" s="374"/>
      <c r="CV38360" s="376"/>
    </row>
    <row r="38361" spans="1:100">
      <c r="A38361" s="374"/>
      <c r="C38361" s="374"/>
      <c r="CV38361" s="376"/>
    </row>
    <row r="38362" spans="1:100">
      <c r="A38362" s="374"/>
      <c r="C38362" s="374"/>
      <c r="CV38362" s="376"/>
    </row>
    <row r="38363" spans="1:100">
      <c r="A38363" s="374"/>
      <c r="C38363" s="374"/>
      <c r="CV38363" s="376"/>
    </row>
    <row r="38364" spans="1:100">
      <c r="A38364" s="374"/>
      <c r="C38364" s="374"/>
      <c r="CV38364" s="376"/>
    </row>
    <row r="38365" spans="1:100">
      <c r="A38365" s="374"/>
      <c r="C38365" s="374"/>
      <c r="CV38365" s="376"/>
    </row>
    <row r="38366" spans="1:100">
      <c r="A38366" s="374"/>
      <c r="C38366" s="374"/>
      <c r="CV38366" s="376"/>
    </row>
    <row r="38367" spans="1:100">
      <c r="A38367" s="374"/>
      <c r="C38367" s="374"/>
      <c r="CV38367" s="376"/>
    </row>
    <row r="38368" spans="1:100">
      <c r="A38368" s="374"/>
      <c r="C38368" s="374"/>
      <c r="CV38368" s="376"/>
    </row>
    <row r="38369" spans="1:100">
      <c r="A38369" s="374"/>
      <c r="C38369" s="374"/>
      <c r="CV38369" s="376"/>
    </row>
    <row r="38370" spans="1:100">
      <c r="A38370" s="374"/>
      <c r="C38370" s="374"/>
      <c r="CV38370" s="376"/>
    </row>
    <row r="38371" spans="1:100">
      <c r="A38371" s="374"/>
      <c r="C38371" s="374"/>
      <c r="CV38371" s="376"/>
    </row>
    <row r="38372" spans="1:100">
      <c r="A38372" s="374"/>
      <c r="C38372" s="374"/>
      <c r="CV38372" s="376"/>
    </row>
    <row r="38373" spans="1:100">
      <c r="A38373" s="374"/>
      <c r="C38373" s="374"/>
      <c r="CV38373" s="376"/>
    </row>
    <row r="38374" spans="1:100">
      <c r="A38374" s="374"/>
      <c r="C38374" s="374"/>
      <c r="CV38374" s="376"/>
    </row>
    <row r="38375" spans="1:100">
      <c r="A38375" s="374"/>
      <c r="C38375" s="374"/>
      <c r="CV38375" s="376"/>
    </row>
    <row r="38376" spans="1:100">
      <c r="A38376" s="374"/>
      <c r="C38376" s="374"/>
      <c r="CV38376" s="376"/>
    </row>
    <row r="38377" spans="1:100">
      <c r="A38377" s="374"/>
      <c r="C38377" s="374"/>
      <c r="CV38377" s="376"/>
    </row>
    <row r="38378" spans="1:100">
      <c r="A38378" s="374"/>
      <c r="C38378" s="374"/>
      <c r="CV38378" s="376"/>
    </row>
    <row r="38379" spans="1:100">
      <c r="A38379" s="374"/>
      <c r="C38379" s="374"/>
      <c r="CV38379" s="376"/>
    </row>
    <row r="38380" spans="1:100">
      <c r="A38380" s="374"/>
      <c r="C38380" s="374"/>
      <c r="CV38380" s="376"/>
    </row>
    <row r="38381" spans="1:100">
      <c r="A38381" s="374"/>
      <c r="C38381" s="374"/>
      <c r="CV38381" s="376"/>
    </row>
    <row r="38382" spans="1:100">
      <c r="A38382" s="374"/>
      <c r="C38382" s="374"/>
      <c r="CV38382" s="376"/>
    </row>
    <row r="38383" spans="1:100">
      <c r="A38383" s="374"/>
      <c r="C38383" s="374"/>
      <c r="CV38383" s="376"/>
    </row>
    <row r="38384" spans="1:100">
      <c r="A38384" s="374"/>
      <c r="C38384" s="374"/>
      <c r="CV38384" s="376"/>
    </row>
    <row r="38385" spans="1:100">
      <c r="A38385" s="374"/>
      <c r="C38385" s="374"/>
      <c r="CV38385" s="376"/>
    </row>
    <row r="38386" spans="1:100">
      <c r="A38386" s="374"/>
      <c r="C38386" s="374"/>
      <c r="CV38386" s="376"/>
    </row>
    <row r="38387" spans="1:100">
      <c r="A38387" s="374"/>
      <c r="C38387" s="374"/>
      <c r="CV38387" s="376"/>
    </row>
    <row r="38388" spans="1:100">
      <c r="A38388" s="374"/>
      <c r="C38388" s="374"/>
      <c r="CV38388" s="376"/>
    </row>
    <row r="38389" spans="1:100">
      <c r="A38389" s="374"/>
      <c r="C38389" s="374"/>
      <c r="CV38389" s="376"/>
    </row>
    <row r="38390" spans="1:100">
      <c r="A38390" s="374"/>
      <c r="C38390" s="374"/>
      <c r="CV38390" s="376"/>
    </row>
    <row r="38391" spans="1:100">
      <c r="A38391" s="374"/>
      <c r="C38391" s="374"/>
      <c r="CV38391" s="376"/>
    </row>
    <row r="38392" spans="1:100">
      <c r="A38392" s="374"/>
      <c r="C38392" s="374"/>
      <c r="CV38392" s="376"/>
    </row>
    <row r="38393" spans="1:100">
      <c r="A38393" s="374"/>
      <c r="C38393" s="374"/>
      <c r="CV38393" s="376"/>
    </row>
    <row r="38394" spans="1:100">
      <c r="A38394" s="374"/>
      <c r="C38394" s="374"/>
      <c r="CV38394" s="376"/>
    </row>
    <row r="38395" spans="1:100">
      <c r="A38395" s="374"/>
      <c r="C38395" s="374"/>
      <c r="CV38395" s="376"/>
    </row>
    <row r="38396" spans="1:100">
      <c r="A38396" s="374"/>
      <c r="C38396" s="374"/>
      <c r="CV38396" s="376"/>
    </row>
    <row r="38397" spans="1:100">
      <c r="A38397" s="374"/>
      <c r="C38397" s="374"/>
      <c r="CV38397" s="376"/>
    </row>
    <row r="38398" spans="1:100">
      <c r="A38398" s="374"/>
      <c r="C38398" s="374"/>
      <c r="CV38398" s="376"/>
    </row>
    <row r="38399" spans="1:100">
      <c r="A38399" s="374"/>
      <c r="C38399" s="374"/>
      <c r="CV38399" s="376"/>
    </row>
    <row r="38400" spans="1:100">
      <c r="A38400" s="374"/>
      <c r="C38400" s="374"/>
      <c r="CV38400" s="376"/>
    </row>
    <row r="38401" spans="1:100">
      <c r="A38401" s="374"/>
      <c r="C38401" s="374"/>
      <c r="CV38401" s="376"/>
    </row>
    <row r="38402" spans="1:100">
      <c r="A38402" s="374"/>
      <c r="C38402" s="374"/>
      <c r="CV38402" s="376"/>
    </row>
    <row r="38403" spans="1:100">
      <c r="A38403" s="374"/>
      <c r="C38403" s="374"/>
      <c r="CV38403" s="376"/>
    </row>
    <row r="38404" spans="1:100">
      <c r="A38404" s="374"/>
      <c r="C38404" s="374"/>
      <c r="CV38404" s="376"/>
    </row>
    <row r="38405" spans="1:100">
      <c r="A38405" s="374"/>
      <c r="C38405" s="374"/>
      <c r="CV38405" s="376"/>
    </row>
    <row r="38406" spans="1:100">
      <c r="A38406" s="374"/>
      <c r="C38406" s="374"/>
      <c r="CV38406" s="376"/>
    </row>
    <row r="38407" spans="1:100">
      <c r="A38407" s="374"/>
      <c r="C38407" s="374"/>
      <c r="CV38407" s="376"/>
    </row>
    <row r="38408" spans="1:100">
      <c r="A38408" s="374"/>
      <c r="C38408" s="374"/>
      <c r="CV38408" s="376"/>
    </row>
    <row r="38409" spans="1:100">
      <c r="A38409" s="374"/>
      <c r="C38409" s="374"/>
      <c r="CV38409" s="376"/>
    </row>
    <row r="38410" spans="1:100">
      <c r="A38410" s="374"/>
      <c r="C38410" s="374"/>
      <c r="CV38410" s="376"/>
    </row>
    <row r="38411" spans="1:100">
      <c r="A38411" s="374"/>
      <c r="C38411" s="374"/>
      <c r="CV38411" s="376"/>
    </row>
    <row r="38412" spans="1:100">
      <c r="A38412" s="374"/>
      <c r="C38412" s="374"/>
      <c r="CV38412" s="376"/>
    </row>
    <row r="38413" spans="1:100">
      <c r="A38413" s="374"/>
      <c r="C38413" s="374"/>
      <c r="CV38413" s="376"/>
    </row>
    <row r="38414" spans="1:100">
      <c r="A38414" s="374"/>
      <c r="C38414" s="374"/>
      <c r="CV38414" s="376"/>
    </row>
    <row r="38415" spans="1:100">
      <c r="A38415" s="374"/>
      <c r="C38415" s="374"/>
      <c r="CV38415" s="376"/>
    </row>
    <row r="38416" spans="1:100">
      <c r="A38416" s="374"/>
      <c r="C38416" s="374"/>
      <c r="CV38416" s="376"/>
    </row>
    <row r="38417" spans="1:100">
      <c r="A38417" s="374"/>
      <c r="C38417" s="374"/>
      <c r="CV38417" s="376"/>
    </row>
    <row r="38418" spans="1:100">
      <c r="A38418" s="374"/>
      <c r="C38418" s="374"/>
      <c r="CV38418" s="376"/>
    </row>
    <row r="38419" spans="1:100">
      <c r="A38419" s="374"/>
      <c r="C38419" s="374"/>
      <c r="CV38419" s="376"/>
    </row>
    <row r="38420" spans="1:100">
      <c r="A38420" s="374"/>
      <c r="C38420" s="374"/>
      <c r="CV38420" s="376"/>
    </row>
    <row r="38421" spans="1:100">
      <c r="A38421" s="374"/>
      <c r="C38421" s="374"/>
      <c r="CV38421" s="376"/>
    </row>
    <row r="38422" spans="1:100">
      <c r="A38422" s="374"/>
      <c r="C38422" s="374"/>
      <c r="CV38422" s="376"/>
    </row>
    <row r="38423" spans="1:100">
      <c r="A38423" s="374"/>
      <c r="C38423" s="374"/>
      <c r="CV38423" s="376"/>
    </row>
    <row r="38424" spans="1:100">
      <c r="A38424" s="374"/>
      <c r="C38424" s="374"/>
      <c r="CV38424" s="376"/>
    </row>
    <row r="38425" spans="1:100">
      <c r="A38425" s="374"/>
      <c r="C38425" s="374"/>
      <c r="CV38425" s="376"/>
    </row>
    <row r="38426" spans="1:100">
      <c r="A38426" s="374"/>
      <c r="C38426" s="374"/>
      <c r="CV38426" s="376"/>
    </row>
    <row r="38427" spans="1:100">
      <c r="A38427" s="374"/>
      <c r="C38427" s="374"/>
      <c r="CV38427" s="376"/>
    </row>
    <row r="38428" spans="1:100">
      <c r="A38428" s="374"/>
      <c r="C38428" s="374"/>
      <c r="CV38428" s="376"/>
    </row>
    <row r="38429" spans="1:100">
      <c r="A38429" s="374"/>
      <c r="C38429" s="374"/>
      <c r="CV38429" s="376"/>
    </row>
    <row r="38430" spans="1:100">
      <c r="A38430" s="374"/>
      <c r="C38430" s="374"/>
      <c r="CV38430" s="376"/>
    </row>
    <row r="38431" spans="1:100">
      <c r="A38431" s="374"/>
      <c r="C38431" s="374"/>
      <c r="CV38431" s="376"/>
    </row>
    <row r="38432" spans="1:100">
      <c r="A38432" s="374"/>
      <c r="C38432" s="374"/>
      <c r="CV38432" s="376"/>
    </row>
    <row r="38433" spans="1:100">
      <c r="A38433" s="374"/>
      <c r="C38433" s="374"/>
      <c r="CV38433" s="376"/>
    </row>
    <row r="38434" spans="1:100">
      <c r="A38434" s="374"/>
      <c r="C38434" s="374"/>
      <c r="CV38434" s="376"/>
    </row>
    <row r="38435" spans="1:100">
      <c r="A38435" s="374"/>
      <c r="C38435" s="374"/>
      <c r="CV38435" s="376"/>
    </row>
    <row r="38436" spans="1:100">
      <c r="A38436" s="374"/>
      <c r="C38436" s="374"/>
      <c r="CV38436" s="376"/>
    </row>
    <row r="38437" spans="1:100">
      <c r="A38437" s="374"/>
      <c r="C38437" s="374"/>
      <c r="CV38437" s="376"/>
    </row>
    <row r="38438" spans="1:100">
      <c r="A38438" s="374"/>
      <c r="C38438" s="374"/>
      <c r="CV38438" s="376"/>
    </row>
    <row r="38439" spans="1:100">
      <c r="A38439" s="374"/>
      <c r="C38439" s="374"/>
      <c r="CV38439" s="376"/>
    </row>
    <row r="38440" spans="1:100">
      <c r="A38440" s="374"/>
      <c r="C38440" s="374"/>
      <c r="CV38440" s="376"/>
    </row>
    <row r="38441" spans="1:100">
      <c r="A38441" s="374"/>
      <c r="C38441" s="374"/>
      <c r="CV38441" s="376"/>
    </row>
    <row r="38442" spans="1:100">
      <c r="A38442" s="374"/>
      <c r="C38442" s="374"/>
      <c r="CV38442" s="376"/>
    </row>
    <row r="38443" spans="1:100">
      <c r="A38443" s="374"/>
      <c r="C38443" s="374"/>
      <c r="CV38443" s="376"/>
    </row>
    <row r="38444" spans="1:100">
      <c r="A38444" s="374"/>
      <c r="C38444" s="374"/>
      <c r="CV38444" s="376"/>
    </row>
    <row r="38445" spans="1:100">
      <c r="A38445" s="374"/>
      <c r="C38445" s="374"/>
      <c r="CV38445" s="376"/>
    </row>
    <row r="38446" spans="1:100">
      <c r="A38446" s="374"/>
      <c r="C38446" s="374"/>
      <c r="CV38446" s="376"/>
    </row>
    <row r="38447" spans="1:100">
      <c r="A38447" s="374"/>
      <c r="C38447" s="374"/>
      <c r="CV38447" s="376"/>
    </row>
    <row r="38448" spans="1:100">
      <c r="A38448" s="374"/>
      <c r="C38448" s="374"/>
      <c r="CV38448" s="376"/>
    </row>
    <row r="38449" spans="1:100">
      <c r="A38449" s="374"/>
      <c r="C38449" s="374"/>
      <c r="CV38449" s="376"/>
    </row>
    <row r="38450" spans="1:100">
      <c r="A38450" s="374"/>
      <c r="C38450" s="374"/>
      <c r="CV38450" s="376"/>
    </row>
    <row r="38451" spans="1:100">
      <c r="A38451" s="374"/>
      <c r="C38451" s="374"/>
      <c r="CV38451" s="376"/>
    </row>
    <row r="38452" spans="1:100">
      <c r="A38452" s="374"/>
      <c r="C38452" s="374"/>
      <c r="CV38452" s="376"/>
    </row>
    <row r="38453" spans="1:100">
      <c r="A38453" s="374"/>
      <c r="C38453" s="374"/>
      <c r="CV38453" s="376"/>
    </row>
    <row r="38454" spans="1:100">
      <c r="A38454" s="374"/>
      <c r="C38454" s="374"/>
      <c r="CV38454" s="376"/>
    </row>
    <row r="38455" spans="1:100">
      <c r="A38455" s="374"/>
      <c r="C38455" s="374"/>
      <c r="CV38455" s="376"/>
    </row>
    <row r="38456" spans="1:100">
      <c r="A38456" s="374"/>
      <c r="C38456" s="374"/>
      <c r="CV38456" s="376"/>
    </row>
    <row r="38457" spans="1:100">
      <c r="A38457" s="374"/>
      <c r="C38457" s="374"/>
      <c r="CV38457" s="376"/>
    </row>
    <row r="38458" spans="1:100">
      <c r="A38458" s="374"/>
      <c r="C38458" s="374"/>
      <c r="CV38458" s="376"/>
    </row>
    <row r="38459" spans="1:100">
      <c r="A38459" s="374"/>
      <c r="C38459" s="374"/>
      <c r="CV38459" s="376"/>
    </row>
    <row r="38460" spans="1:100">
      <c r="A38460" s="374"/>
      <c r="C38460" s="374"/>
      <c r="CV38460" s="376"/>
    </row>
    <row r="38461" spans="1:100">
      <c r="A38461" s="374"/>
      <c r="C38461" s="374"/>
      <c r="CV38461" s="376"/>
    </row>
    <row r="38462" spans="1:100">
      <c r="A38462" s="374"/>
      <c r="C38462" s="374"/>
      <c r="CV38462" s="376"/>
    </row>
    <row r="38463" spans="1:100">
      <c r="A38463" s="374"/>
      <c r="C38463" s="374"/>
      <c r="CV38463" s="376"/>
    </row>
    <row r="38464" spans="1:100">
      <c r="A38464" s="374"/>
      <c r="C38464" s="374"/>
      <c r="CV38464" s="376"/>
    </row>
    <row r="38465" spans="1:100">
      <c r="A38465" s="374"/>
      <c r="C38465" s="374"/>
      <c r="CV38465" s="376"/>
    </row>
    <row r="38466" spans="1:100">
      <c r="A38466" s="374"/>
      <c r="C38466" s="374"/>
      <c r="CV38466" s="376"/>
    </row>
    <row r="38467" spans="1:100">
      <c r="A38467" s="374"/>
      <c r="C38467" s="374"/>
      <c r="CV38467" s="376"/>
    </row>
    <row r="38468" spans="1:100">
      <c r="A38468" s="374"/>
      <c r="C38468" s="374"/>
      <c r="CV38468" s="376"/>
    </row>
    <row r="38469" spans="1:100">
      <c r="A38469" s="374"/>
      <c r="C38469" s="374"/>
      <c r="CV38469" s="376"/>
    </row>
    <row r="38470" spans="1:100">
      <c r="A38470" s="374"/>
      <c r="C38470" s="374"/>
      <c r="CV38470" s="376"/>
    </row>
    <row r="38471" spans="1:100">
      <c r="A38471" s="374"/>
      <c r="C38471" s="374"/>
      <c r="CV38471" s="376"/>
    </row>
    <row r="38472" spans="1:100">
      <c r="A38472" s="374"/>
      <c r="C38472" s="374"/>
      <c r="CV38472" s="376"/>
    </row>
    <row r="38473" spans="1:100">
      <c r="A38473" s="374"/>
      <c r="C38473" s="374"/>
      <c r="CV38473" s="376"/>
    </row>
    <row r="38474" spans="1:100">
      <c r="A38474" s="374"/>
      <c r="C38474" s="374"/>
      <c r="CV38474" s="376"/>
    </row>
    <row r="38475" spans="1:100">
      <c r="A38475" s="374"/>
      <c r="C38475" s="374"/>
      <c r="CV38475" s="376"/>
    </row>
    <row r="38476" spans="1:100">
      <c r="A38476" s="374"/>
      <c r="C38476" s="374"/>
      <c r="CV38476" s="376"/>
    </row>
    <row r="38477" spans="1:100">
      <c r="A38477" s="374"/>
      <c r="C38477" s="374"/>
      <c r="CV38477" s="376"/>
    </row>
    <row r="38478" spans="1:100">
      <c r="A38478" s="374"/>
      <c r="C38478" s="374"/>
      <c r="CV38478" s="376"/>
    </row>
    <row r="38479" spans="1:100">
      <c r="A38479" s="374"/>
      <c r="C38479" s="374"/>
      <c r="CV38479" s="376"/>
    </row>
    <row r="38480" spans="1:100">
      <c r="A38480" s="374"/>
      <c r="C38480" s="374"/>
      <c r="CV38480" s="376"/>
    </row>
    <row r="38481" spans="1:100">
      <c r="A38481" s="374"/>
      <c r="C38481" s="374"/>
      <c r="CV38481" s="376"/>
    </row>
    <row r="38482" spans="1:100">
      <c r="A38482" s="374"/>
      <c r="C38482" s="374"/>
      <c r="CV38482" s="376"/>
    </row>
    <row r="38483" spans="1:100">
      <c r="A38483" s="374"/>
      <c r="C38483" s="374"/>
      <c r="CV38483" s="376"/>
    </row>
    <row r="38484" spans="1:100">
      <c r="A38484" s="374"/>
      <c r="C38484" s="374"/>
      <c r="CV38484" s="376"/>
    </row>
    <row r="38485" spans="1:100">
      <c r="A38485" s="374"/>
      <c r="C38485" s="374"/>
      <c r="CV38485" s="376"/>
    </row>
    <row r="38486" spans="1:100">
      <c r="A38486" s="374"/>
      <c r="C38486" s="374"/>
      <c r="CV38486" s="376"/>
    </row>
    <row r="38487" spans="1:100">
      <c r="A38487" s="374"/>
      <c r="C38487" s="374"/>
      <c r="CV38487" s="376"/>
    </row>
    <row r="38488" spans="1:100">
      <c r="A38488" s="374"/>
      <c r="C38488" s="374"/>
      <c r="CV38488" s="376"/>
    </row>
    <row r="38489" spans="1:100">
      <c r="A38489" s="374"/>
      <c r="C38489" s="374"/>
      <c r="CV38489" s="376"/>
    </row>
    <row r="38490" spans="1:100">
      <c r="A38490" s="374"/>
      <c r="C38490" s="374"/>
      <c r="CV38490" s="376"/>
    </row>
    <row r="38491" spans="1:100">
      <c r="A38491" s="374"/>
      <c r="C38491" s="374"/>
      <c r="CV38491" s="376"/>
    </row>
    <row r="38492" spans="1:100">
      <c r="A38492" s="374"/>
      <c r="C38492" s="374"/>
      <c r="CV38492" s="376"/>
    </row>
    <row r="38493" spans="1:100">
      <c r="A38493" s="374"/>
      <c r="C38493" s="374"/>
      <c r="CV38493" s="376"/>
    </row>
    <row r="38494" spans="1:100">
      <c r="A38494" s="374"/>
      <c r="C38494" s="374"/>
      <c r="CV38494" s="376"/>
    </row>
    <row r="38495" spans="1:100">
      <c r="A38495" s="374"/>
      <c r="C38495" s="374"/>
      <c r="CV38495" s="376"/>
    </row>
    <row r="38496" spans="1:100">
      <c r="A38496" s="374"/>
      <c r="C38496" s="374"/>
      <c r="CV38496" s="376"/>
    </row>
    <row r="38497" spans="1:100">
      <c r="A38497" s="374"/>
      <c r="C38497" s="374"/>
      <c r="CV38497" s="376"/>
    </row>
    <row r="38498" spans="1:100">
      <c r="A38498" s="374"/>
      <c r="C38498" s="374"/>
      <c r="CV38498" s="376"/>
    </row>
    <row r="38499" spans="1:100">
      <c r="A38499" s="374"/>
      <c r="C38499" s="374"/>
      <c r="CV38499" s="376"/>
    </row>
    <row r="38500" spans="1:100">
      <c r="A38500" s="374"/>
      <c r="C38500" s="374"/>
      <c r="CV38500" s="376"/>
    </row>
    <row r="38501" spans="1:100">
      <c r="A38501" s="374"/>
      <c r="C38501" s="374"/>
      <c r="CV38501" s="376"/>
    </row>
    <row r="38502" spans="1:100">
      <c r="A38502" s="374"/>
      <c r="C38502" s="374"/>
      <c r="CV38502" s="376"/>
    </row>
    <row r="38503" spans="1:100">
      <c r="A38503" s="374"/>
      <c r="C38503" s="374"/>
      <c r="CV38503" s="376"/>
    </row>
    <row r="38504" spans="1:100">
      <c r="A38504" s="374"/>
      <c r="C38504" s="374"/>
      <c r="CV38504" s="376"/>
    </row>
    <row r="38505" spans="1:100">
      <c r="A38505" s="374"/>
      <c r="C38505" s="374"/>
      <c r="CV38505" s="376"/>
    </row>
    <row r="38506" spans="1:100">
      <c r="A38506" s="374"/>
      <c r="C38506" s="374"/>
      <c r="CV38506" s="376"/>
    </row>
    <row r="38507" spans="1:100">
      <c r="A38507" s="374"/>
      <c r="C38507" s="374"/>
      <c r="CV38507" s="376"/>
    </row>
    <row r="38508" spans="1:100">
      <c r="A38508" s="374"/>
      <c r="C38508" s="374"/>
      <c r="CV38508" s="376"/>
    </row>
    <row r="38509" spans="1:100">
      <c r="A38509" s="374"/>
      <c r="C38509" s="374"/>
      <c r="CV38509" s="376"/>
    </row>
    <row r="38510" spans="1:100">
      <c r="A38510" s="374"/>
      <c r="C38510" s="374"/>
      <c r="CV38510" s="376"/>
    </row>
    <row r="38511" spans="1:100">
      <c r="A38511" s="374"/>
      <c r="C38511" s="374"/>
      <c r="CV38511" s="376"/>
    </row>
    <row r="38512" spans="1:100">
      <c r="A38512" s="374"/>
      <c r="C38512" s="374"/>
      <c r="CV38512" s="376"/>
    </row>
    <row r="38513" spans="1:100">
      <c r="A38513" s="374"/>
      <c r="C38513" s="374"/>
      <c r="CV38513" s="376"/>
    </row>
    <row r="38514" spans="1:100">
      <c r="A38514" s="374"/>
      <c r="C38514" s="374"/>
      <c r="CV38514" s="376"/>
    </row>
    <row r="38515" spans="1:100">
      <c r="A38515" s="374"/>
      <c r="C38515" s="374"/>
      <c r="CV38515" s="376"/>
    </row>
    <row r="38516" spans="1:100">
      <c r="A38516" s="374"/>
      <c r="C38516" s="374"/>
      <c r="CV38516" s="376"/>
    </row>
    <row r="38517" spans="1:100">
      <c r="A38517" s="374"/>
      <c r="C38517" s="374"/>
      <c r="CV38517" s="376"/>
    </row>
    <row r="38518" spans="1:100">
      <c r="A38518" s="374"/>
      <c r="C38518" s="374"/>
      <c r="CV38518" s="376"/>
    </row>
    <row r="38519" spans="1:100">
      <c r="A38519" s="374"/>
      <c r="C38519" s="374"/>
      <c r="CV38519" s="376"/>
    </row>
    <row r="38520" spans="1:100">
      <c r="A38520" s="374"/>
      <c r="C38520" s="374"/>
      <c r="CV38520" s="376"/>
    </row>
    <row r="38521" spans="1:100">
      <c r="A38521" s="374"/>
      <c r="C38521" s="374"/>
      <c r="CV38521" s="376"/>
    </row>
    <row r="38522" spans="1:100">
      <c r="A38522" s="374"/>
      <c r="C38522" s="374"/>
      <c r="CV38522" s="376"/>
    </row>
    <row r="38523" spans="1:100">
      <c r="A38523" s="374"/>
      <c r="C38523" s="374"/>
      <c r="CV38523" s="376"/>
    </row>
    <row r="38524" spans="1:100">
      <c r="A38524" s="374"/>
      <c r="C38524" s="374"/>
      <c r="CV38524" s="376"/>
    </row>
    <row r="38525" spans="1:100">
      <c r="A38525" s="374"/>
      <c r="C38525" s="374"/>
      <c r="CV38525" s="376"/>
    </row>
    <row r="38526" spans="1:100">
      <c r="A38526" s="374"/>
      <c r="C38526" s="374"/>
      <c r="CV38526" s="376"/>
    </row>
    <row r="38527" spans="1:100">
      <c r="A38527" s="374"/>
      <c r="C38527" s="374"/>
      <c r="CV38527" s="376"/>
    </row>
    <row r="38528" spans="1:100">
      <c r="A38528" s="374"/>
      <c r="C38528" s="374"/>
      <c r="CV38528" s="376"/>
    </row>
    <row r="38529" spans="1:100">
      <c r="A38529" s="374"/>
      <c r="C38529" s="374"/>
      <c r="CV38529" s="376"/>
    </row>
    <row r="38530" spans="1:100">
      <c r="A38530" s="374"/>
      <c r="C38530" s="374"/>
      <c r="CV38530" s="376"/>
    </row>
    <row r="38531" spans="1:100">
      <c r="A38531" s="374"/>
      <c r="C38531" s="374"/>
      <c r="CV38531" s="376"/>
    </row>
    <row r="38532" spans="1:100">
      <c r="A38532" s="374"/>
      <c r="C38532" s="374"/>
      <c r="CV38532" s="376"/>
    </row>
    <row r="38533" spans="1:100">
      <c r="A38533" s="374"/>
      <c r="C38533" s="374"/>
      <c r="CV38533" s="376"/>
    </row>
    <row r="38534" spans="1:100">
      <c r="A38534" s="374"/>
      <c r="C38534" s="374"/>
      <c r="CV38534" s="376"/>
    </row>
    <row r="38535" spans="1:100">
      <c r="A38535" s="374"/>
      <c r="C38535" s="374"/>
      <c r="CV38535" s="376"/>
    </row>
    <row r="38536" spans="1:100">
      <c r="A38536" s="374"/>
      <c r="C38536" s="374"/>
      <c r="CV38536" s="376"/>
    </row>
    <row r="38537" spans="1:100">
      <c r="A38537" s="374"/>
      <c r="C38537" s="374"/>
      <c r="CV38537" s="376"/>
    </row>
    <row r="38538" spans="1:100">
      <c r="A38538" s="374"/>
      <c r="C38538" s="374"/>
      <c r="CV38538" s="376"/>
    </row>
    <row r="38539" spans="1:100">
      <c r="A38539" s="374"/>
      <c r="C38539" s="374"/>
      <c r="CV38539" s="376"/>
    </row>
    <row r="38540" spans="1:100">
      <c r="A38540" s="374"/>
      <c r="C38540" s="374"/>
      <c r="CV38540" s="376"/>
    </row>
    <row r="38541" spans="1:100">
      <c r="A38541" s="374"/>
      <c r="C38541" s="374"/>
      <c r="CV38541" s="376"/>
    </row>
    <row r="38542" spans="1:100">
      <c r="A38542" s="374"/>
      <c r="C38542" s="374"/>
      <c r="CV38542" s="376"/>
    </row>
    <row r="38543" spans="1:100">
      <c r="A38543" s="374"/>
      <c r="C38543" s="374"/>
      <c r="CV38543" s="376"/>
    </row>
    <row r="38544" spans="1:100">
      <c r="A38544" s="374"/>
      <c r="C38544" s="374"/>
      <c r="CV38544" s="376"/>
    </row>
    <row r="38545" spans="1:100">
      <c r="A38545" s="374"/>
      <c r="C38545" s="374"/>
      <c r="CV38545" s="376"/>
    </row>
    <row r="38546" spans="1:100">
      <c r="A38546" s="374"/>
      <c r="C38546" s="374"/>
      <c r="CV38546" s="376"/>
    </row>
    <row r="38547" spans="1:100">
      <c r="A38547" s="374"/>
      <c r="C38547" s="374"/>
      <c r="CV38547" s="376"/>
    </row>
    <row r="38548" spans="1:100">
      <c r="A38548" s="374"/>
      <c r="C38548" s="374"/>
      <c r="CV38548" s="376"/>
    </row>
    <row r="38549" spans="1:100">
      <c r="A38549" s="374"/>
      <c r="C38549" s="374"/>
      <c r="CV38549" s="376"/>
    </row>
    <row r="38550" spans="1:100">
      <c r="A38550" s="374"/>
      <c r="C38550" s="374"/>
      <c r="CV38550" s="376"/>
    </row>
    <row r="38551" spans="1:100">
      <c r="A38551" s="374"/>
      <c r="C38551" s="374"/>
      <c r="CV38551" s="376"/>
    </row>
    <row r="38552" spans="1:100">
      <c r="A38552" s="374"/>
      <c r="C38552" s="374"/>
      <c r="CV38552" s="376"/>
    </row>
    <row r="38553" spans="1:100">
      <c r="A38553" s="374"/>
      <c r="C38553" s="374"/>
      <c r="CV38553" s="376"/>
    </row>
    <row r="38554" spans="1:100">
      <c r="A38554" s="374"/>
      <c r="C38554" s="374"/>
      <c r="CV38554" s="376"/>
    </row>
    <row r="38555" spans="1:100">
      <c r="A38555" s="374"/>
      <c r="C38555" s="374"/>
      <c r="CV38555" s="376"/>
    </row>
    <row r="38556" spans="1:100">
      <c r="A38556" s="374"/>
      <c r="C38556" s="374"/>
      <c r="CV38556" s="376"/>
    </row>
    <row r="38557" spans="1:100">
      <c r="A38557" s="374"/>
      <c r="C38557" s="374"/>
      <c r="CV38557" s="376"/>
    </row>
    <row r="38558" spans="1:100">
      <c r="A38558" s="374"/>
      <c r="C38558" s="374"/>
      <c r="CV38558" s="376"/>
    </row>
    <row r="38559" spans="1:100">
      <c r="A38559" s="374"/>
      <c r="C38559" s="374"/>
      <c r="CV38559" s="376"/>
    </row>
    <row r="38560" spans="1:100">
      <c r="A38560" s="374"/>
      <c r="C38560" s="374"/>
      <c r="CV38560" s="376"/>
    </row>
    <row r="38561" spans="1:100">
      <c r="A38561" s="374"/>
      <c r="C38561" s="374"/>
      <c r="CV38561" s="376"/>
    </row>
    <row r="38562" spans="1:100">
      <c r="A38562" s="374"/>
      <c r="C38562" s="374"/>
      <c r="CV38562" s="376"/>
    </row>
    <row r="38563" spans="1:100">
      <c r="A38563" s="374"/>
      <c r="C38563" s="374"/>
      <c r="CV38563" s="376"/>
    </row>
    <row r="38564" spans="1:100">
      <c r="A38564" s="374"/>
      <c r="C38564" s="374"/>
      <c r="CV38564" s="376"/>
    </row>
    <row r="38565" spans="1:100">
      <c r="A38565" s="374"/>
      <c r="C38565" s="374"/>
      <c r="CV38565" s="376"/>
    </row>
    <row r="38566" spans="1:100">
      <c r="A38566" s="374"/>
      <c r="C38566" s="374"/>
      <c r="CV38566" s="376"/>
    </row>
    <row r="38567" spans="1:100">
      <c r="A38567" s="374"/>
      <c r="C38567" s="374"/>
      <c r="CV38567" s="376"/>
    </row>
    <row r="38568" spans="1:100">
      <c r="A38568" s="374"/>
      <c r="C38568" s="374"/>
      <c r="CV38568" s="376"/>
    </row>
    <row r="38569" spans="1:100">
      <c r="A38569" s="374"/>
      <c r="C38569" s="374"/>
      <c r="CV38569" s="376"/>
    </row>
    <row r="38570" spans="1:100">
      <c r="A38570" s="374"/>
      <c r="C38570" s="374"/>
      <c r="CV38570" s="376"/>
    </row>
    <row r="38571" spans="1:100">
      <c r="A38571" s="374"/>
      <c r="C38571" s="374"/>
      <c r="CV38571" s="376"/>
    </row>
    <row r="38572" spans="1:100">
      <c r="A38572" s="374"/>
      <c r="C38572" s="374"/>
      <c r="CV38572" s="376"/>
    </row>
    <row r="38573" spans="1:100">
      <c r="A38573" s="374"/>
      <c r="C38573" s="374"/>
      <c r="CV38573" s="376"/>
    </row>
    <row r="38574" spans="1:100">
      <c r="A38574" s="374"/>
      <c r="C38574" s="374"/>
      <c r="CV38574" s="376"/>
    </row>
    <row r="38575" spans="1:100">
      <c r="A38575" s="374"/>
      <c r="C38575" s="374"/>
      <c r="CV38575" s="376"/>
    </row>
    <row r="38576" spans="1:100">
      <c r="A38576" s="374"/>
      <c r="C38576" s="374"/>
      <c r="CV38576" s="376"/>
    </row>
    <row r="38577" spans="1:100">
      <c r="A38577" s="374"/>
      <c r="C38577" s="374"/>
      <c r="CV38577" s="376"/>
    </row>
    <row r="38578" spans="1:100">
      <c r="A38578" s="374"/>
      <c r="C38578" s="374"/>
      <c r="CV38578" s="376"/>
    </row>
    <row r="38579" spans="1:100">
      <c r="A38579" s="374"/>
      <c r="C38579" s="374"/>
      <c r="CV38579" s="376"/>
    </row>
    <row r="38580" spans="1:100">
      <c r="A38580" s="374"/>
      <c r="C38580" s="374"/>
      <c r="CV38580" s="376"/>
    </row>
    <row r="38581" spans="1:100">
      <c r="A38581" s="374"/>
      <c r="C38581" s="374"/>
      <c r="CV38581" s="376"/>
    </row>
    <row r="38582" spans="1:100">
      <c r="A38582" s="374"/>
      <c r="C38582" s="374"/>
      <c r="CV38582" s="376"/>
    </row>
    <row r="38583" spans="1:100">
      <c r="A38583" s="374"/>
      <c r="C38583" s="374"/>
      <c r="CV38583" s="376"/>
    </row>
    <row r="38584" spans="1:100">
      <c r="A38584" s="374"/>
      <c r="C38584" s="374"/>
      <c r="CV38584" s="376"/>
    </row>
    <row r="38585" spans="1:100">
      <c r="A38585" s="374"/>
      <c r="C38585" s="374"/>
      <c r="CV38585" s="376"/>
    </row>
    <row r="38586" spans="1:100">
      <c r="A38586" s="374"/>
      <c r="C38586" s="374"/>
      <c r="CV38586" s="376"/>
    </row>
    <row r="38587" spans="1:100">
      <c r="A38587" s="374"/>
      <c r="C38587" s="374"/>
      <c r="CV38587" s="376"/>
    </row>
    <row r="38588" spans="1:100">
      <c r="A38588" s="374"/>
      <c r="C38588" s="374"/>
      <c r="CV38588" s="376"/>
    </row>
    <row r="38589" spans="1:100">
      <c r="A38589" s="374"/>
      <c r="C38589" s="374"/>
      <c r="CV38589" s="376"/>
    </row>
    <row r="38590" spans="1:100">
      <c r="A38590" s="374"/>
      <c r="C38590" s="374"/>
      <c r="CV38590" s="376"/>
    </row>
    <row r="38591" spans="1:100">
      <c r="A38591" s="374"/>
      <c r="C38591" s="374"/>
      <c r="CV38591" s="376"/>
    </row>
    <row r="38592" spans="1:100">
      <c r="A38592" s="374"/>
      <c r="C38592" s="374"/>
      <c r="CV38592" s="376"/>
    </row>
    <row r="38593" spans="1:100">
      <c r="A38593" s="374"/>
      <c r="C38593" s="374"/>
      <c r="CV38593" s="376"/>
    </row>
    <row r="38594" spans="1:100">
      <c r="A38594" s="374"/>
      <c r="C38594" s="374"/>
      <c r="CV38594" s="376"/>
    </row>
    <row r="38595" spans="1:100">
      <c r="A38595" s="374"/>
      <c r="C38595" s="374"/>
      <c r="CV38595" s="376"/>
    </row>
    <row r="38596" spans="1:100">
      <c r="A38596" s="374"/>
      <c r="C38596" s="374"/>
      <c r="CV38596" s="376"/>
    </row>
    <row r="38597" spans="1:100">
      <c r="A38597" s="374"/>
      <c r="C38597" s="374"/>
      <c r="CV38597" s="376"/>
    </row>
    <row r="38598" spans="1:100">
      <c r="A38598" s="374"/>
      <c r="C38598" s="374"/>
      <c r="CV38598" s="376"/>
    </row>
    <row r="38599" spans="1:100">
      <c r="A38599" s="374"/>
      <c r="C38599" s="374"/>
      <c r="CV38599" s="376"/>
    </row>
    <row r="38600" spans="1:100">
      <c r="A38600" s="374"/>
      <c r="C38600" s="374"/>
      <c r="CV38600" s="376"/>
    </row>
    <row r="38601" spans="1:100">
      <c r="A38601" s="374"/>
      <c r="C38601" s="374"/>
      <c r="CV38601" s="376"/>
    </row>
    <row r="38602" spans="1:100">
      <c r="A38602" s="374"/>
      <c r="C38602" s="374"/>
      <c r="CV38602" s="376"/>
    </row>
    <row r="38603" spans="1:100">
      <c r="A38603" s="374"/>
      <c r="C38603" s="374"/>
      <c r="CV38603" s="376"/>
    </row>
    <row r="38604" spans="1:100">
      <c r="A38604" s="374"/>
      <c r="C38604" s="374"/>
      <c r="CV38604" s="376"/>
    </row>
    <row r="38605" spans="1:100">
      <c r="A38605" s="374"/>
      <c r="C38605" s="374"/>
      <c r="CV38605" s="376"/>
    </row>
    <row r="38606" spans="1:100">
      <c r="A38606" s="374"/>
      <c r="C38606" s="374"/>
      <c r="CV38606" s="376"/>
    </row>
    <row r="38607" spans="1:100">
      <c r="A38607" s="374"/>
      <c r="C38607" s="374"/>
      <c r="CV38607" s="376"/>
    </row>
    <row r="38608" spans="1:100">
      <c r="A38608" s="374"/>
      <c r="C38608" s="374"/>
      <c r="CV38608" s="376"/>
    </row>
    <row r="38609" spans="1:100">
      <c r="A38609" s="374"/>
      <c r="C38609" s="374"/>
      <c r="CV38609" s="376"/>
    </row>
    <row r="38610" spans="1:100">
      <c r="A38610" s="374"/>
      <c r="C38610" s="374"/>
      <c r="CV38610" s="376"/>
    </row>
    <row r="38611" spans="1:100">
      <c r="A38611" s="374"/>
      <c r="C38611" s="374"/>
      <c r="CV38611" s="376"/>
    </row>
    <row r="38612" spans="1:100">
      <c r="A38612" s="374"/>
      <c r="C38612" s="374"/>
      <c r="CV38612" s="376"/>
    </row>
    <row r="38613" spans="1:100">
      <c r="A38613" s="374"/>
      <c r="C38613" s="374"/>
      <c r="CV38613" s="376"/>
    </row>
    <row r="38614" spans="1:100">
      <c r="A38614" s="374"/>
      <c r="C38614" s="374"/>
      <c r="CV38614" s="376"/>
    </row>
    <row r="38615" spans="1:100">
      <c r="A38615" s="374"/>
      <c r="C38615" s="374"/>
      <c r="CV38615" s="376"/>
    </row>
    <row r="38616" spans="1:100">
      <c r="A38616" s="374"/>
      <c r="C38616" s="374"/>
      <c r="CV38616" s="376"/>
    </row>
    <row r="38617" spans="1:100">
      <c r="A38617" s="374"/>
      <c r="C38617" s="374"/>
      <c r="CV38617" s="376"/>
    </row>
    <row r="38618" spans="1:100">
      <c r="A38618" s="374"/>
      <c r="C38618" s="374"/>
      <c r="CV38618" s="376"/>
    </row>
    <row r="38619" spans="1:100">
      <c r="A38619" s="374"/>
      <c r="C38619" s="374"/>
      <c r="CV38619" s="376"/>
    </row>
    <row r="38620" spans="1:100">
      <c r="A38620" s="374"/>
      <c r="C38620" s="374"/>
      <c r="CV38620" s="376"/>
    </row>
    <row r="38621" spans="1:100">
      <c r="A38621" s="374"/>
      <c r="C38621" s="374"/>
      <c r="CV38621" s="376"/>
    </row>
    <row r="38622" spans="1:100">
      <c r="A38622" s="374"/>
      <c r="C38622" s="374"/>
      <c r="CV38622" s="376"/>
    </row>
    <row r="38623" spans="1:100">
      <c r="A38623" s="374"/>
      <c r="C38623" s="374"/>
      <c r="CV38623" s="376"/>
    </row>
    <row r="38624" spans="1:100">
      <c r="A38624" s="374"/>
      <c r="C38624" s="374"/>
      <c r="CV38624" s="376"/>
    </row>
    <row r="38625" spans="1:100">
      <c r="A38625" s="374"/>
      <c r="C38625" s="374"/>
      <c r="CV38625" s="376"/>
    </row>
    <row r="38626" spans="1:100">
      <c r="A38626" s="374"/>
      <c r="C38626" s="374"/>
      <c r="CV38626" s="376"/>
    </row>
    <row r="38627" spans="1:100">
      <c r="A38627" s="374"/>
      <c r="C38627" s="374"/>
      <c r="CV38627" s="376"/>
    </row>
    <row r="38628" spans="1:100">
      <c r="A38628" s="374"/>
      <c r="C38628" s="374"/>
      <c r="CV38628" s="376"/>
    </row>
    <row r="38629" spans="1:100">
      <c r="A38629" s="374"/>
      <c r="C38629" s="374"/>
      <c r="CV38629" s="376"/>
    </row>
    <row r="38630" spans="1:100">
      <c r="A38630" s="374"/>
      <c r="C38630" s="374"/>
      <c r="CV38630" s="376"/>
    </row>
    <row r="38631" spans="1:100">
      <c r="A38631" s="374"/>
      <c r="C38631" s="374"/>
      <c r="CV38631" s="376"/>
    </row>
    <row r="38632" spans="1:100">
      <c r="A38632" s="374"/>
      <c r="C38632" s="374"/>
      <c r="CV38632" s="376"/>
    </row>
    <row r="38633" spans="1:100">
      <c r="A38633" s="374"/>
      <c r="C38633" s="374"/>
      <c r="CV38633" s="376"/>
    </row>
    <row r="38634" spans="1:100">
      <c r="A38634" s="374"/>
      <c r="C38634" s="374"/>
      <c r="CV38634" s="376"/>
    </row>
    <row r="38635" spans="1:100">
      <c r="A38635" s="374"/>
      <c r="C38635" s="374"/>
      <c r="CV38635" s="376"/>
    </row>
    <row r="38636" spans="1:100">
      <c r="A38636" s="374"/>
      <c r="C38636" s="374"/>
      <c r="CV38636" s="376"/>
    </row>
    <row r="38637" spans="1:100">
      <c r="A38637" s="374"/>
      <c r="C38637" s="374"/>
      <c r="CV38637" s="376"/>
    </row>
    <row r="38638" spans="1:100">
      <c r="A38638" s="374"/>
      <c r="C38638" s="374"/>
      <c r="CV38638" s="376"/>
    </row>
    <row r="38639" spans="1:100">
      <c r="A38639" s="374"/>
      <c r="C38639" s="374"/>
      <c r="CV38639" s="376"/>
    </row>
    <row r="38640" spans="1:100">
      <c r="A38640" s="374"/>
      <c r="C38640" s="374"/>
      <c r="CV38640" s="376"/>
    </row>
    <row r="38641" spans="1:100">
      <c r="A38641" s="374"/>
      <c r="C38641" s="374"/>
      <c r="CV38641" s="376"/>
    </row>
    <row r="38642" spans="1:100">
      <c r="A38642" s="374"/>
      <c r="C38642" s="374"/>
      <c r="CV38642" s="376"/>
    </row>
    <row r="38643" spans="1:100">
      <c r="A38643" s="374"/>
      <c r="C38643" s="374"/>
      <c r="CV38643" s="376"/>
    </row>
    <row r="38644" spans="1:100">
      <c r="A38644" s="374"/>
      <c r="C38644" s="374"/>
      <c r="CV38644" s="376"/>
    </row>
    <row r="38645" spans="1:100">
      <c r="A38645" s="374"/>
      <c r="C38645" s="374"/>
      <c r="CV38645" s="376"/>
    </row>
    <row r="38646" spans="1:100">
      <c r="A38646" s="374"/>
      <c r="C38646" s="374"/>
      <c r="CV38646" s="376"/>
    </row>
    <row r="38647" spans="1:100">
      <c r="A38647" s="374"/>
      <c r="C38647" s="374"/>
      <c r="CV38647" s="376"/>
    </row>
    <row r="38648" spans="1:100">
      <c r="A38648" s="374"/>
      <c r="C38648" s="374"/>
      <c r="CV38648" s="376"/>
    </row>
    <row r="38649" spans="1:100">
      <c r="A38649" s="374"/>
      <c r="C38649" s="374"/>
      <c r="CV38649" s="376"/>
    </row>
    <row r="38650" spans="1:100">
      <c r="A38650" s="374"/>
      <c r="C38650" s="374"/>
      <c r="CV38650" s="376"/>
    </row>
    <row r="38651" spans="1:100">
      <c r="A38651" s="374"/>
      <c r="C38651" s="374"/>
      <c r="CV38651" s="376"/>
    </row>
    <row r="38652" spans="1:100">
      <c r="A38652" s="374"/>
      <c r="C38652" s="374"/>
      <c r="CV38652" s="376"/>
    </row>
    <row r="38653" spans="1:100">
      <c r="A38653" s="374"/>
      <c r="C38653" s="374"/>
      <c r="CV38653" s="376"/>
    </row>
    <row r="38654" spans="1:100">
      <c r="A38654" s="374"/>
      <c r="C38654" s="374"/>
      <c r="CV38654" s="376"/>
    </row>
    <row r="38655" spans="1:100">
      <c r="A38655" s="374"/>
      <c r="C38655" s="374"/>
      <c r="CV38655" s="376"/>
    </row>
    <row r="38656" spans="1:100">
      <c r="A38656" s="374"/>
      <c r="C38656" s="374"/>
      <c r="CV38656" s="376"/>
    </row>
    <row r="38657" spans="1:100">
      <c r="A38657" s="374"/>
      <c r="C38657" s="374"/>
      <c r="CV38657" s="376"/>
    </row>
    <row r="38658" spans="1:100">
      <c r="A38658" s="374"/>
      <c r="C38658" s="374"/>
      <c r="CV38658" s="376"/>
    </row>
    <row r="38659" spans="1:100">
      <c r="A38659" s="374"/>
      <c r="C38659" s="374"/>
      <c r="CV38659" s="376"/>
    </row>
    <row r="38660" spans="1:100">
      <c r="A38660" s="374"/>
      <c r="C38660" s="374"/>
      <c r="CV38660" s="376"/>
    </row>
    <row r="38661" spans="1:100">
      <c r="A38661" s="374"/>
      <c r="C38661" s="374"/>
      <c r="CV38661" s="376"/>
    </row>
    <row r="38662" spans="1:100">
      <c r="A38662" s="374"/>
      <c r="C38662" s="374"/>
      <c r="CV38662" s="376"/>
    </row>
    <row r="38663" spans="1:100">
      <c r="A38663" s="374"/>
      <c r="C38663" s="374"/>
      <c r="CV38663" s="376"/>
    </row>
    <row r="38664" spans="1:100">
      <c r="A38664" s="374"/>
      <c r="C38664" s="374"/>
      <c r="CV38664" s="376"/>
    </row>
    <row r="38665" spans="1:100">
      <c r="A38665" s="374"/>
      <c r="C38665" s="374"/>
      <c r="CV38665" s="376"/>
    </row>
    <row r="38666" spans="1:100">
      <c r="A38666" s="374"/>
      <c r="C38666" s="374"/>
      <c r="CV38666" s="376"/>
    </row>
    <row r="38667" spans="1:100">
      <c r="A38667" s="374"/>
      <c r="C38667" s="374"/>
      <c r="CV38667" s="376"/>
    </row>
    <row r="38668" spans="1:100">
      <c r="A38668" s="374"/>
      <c r="C38668" s="374"/>
      <c r="CV38668" s="376"/>
    </row>
    <row r="38669" spans="1:100">
      <c r="A38669" s="374"/>
      <c r="C38669" s="374"/>
      <c r="CV38669" s="376"/>
    </row>
    <row r="38670" spans="1:100">
      <c r="A38670" s="374"/>
      <c r="C38670" s="374"/>
      <c r="CV38670" s="376"/>
    </row>
    <row r="38671" spans="1:100">
      <c r="A38671" s="374"/>
      <c r="C38671" s="374"/>
      <c r="CV38671" s="376"/>
    </row>
    <row r="38672" spans="1:100">
      <c r="A38672" s="374"/>
      <c r="C38672" s="374"/>
      <c r="CV38672" s="376"/>
    </row>
    <row r="38673" spans="1:100">
      <c r="A38673" s="374"/>
      <c r="C38673" s="374"/>
      <c r="CV38673" s="376"/>
    </row>
    <row r="38674" spans="1:100">
      <c r="A38674" s="374"/>
      <c r="C38674" s="374"/>
      <c r="CV38674" s="376"/>
    </row>
    <row r="38675" spans="1:100">
      <c r="A38675" s="374"/>
      <c r="C38675" s="374"/>
      <c r="CV38675" s="376"/>
    </row>
    <row r="38676" spans="1:100">
      <c r="A38676" s="374"/>
      <c r="C38676" s="374"/>
      <c r="CV38676" s="376"/>
    </row>
    <row r="38677" spans="1:100">
      <c r="A38677" s="374"/>
      <c r="C38677" s="374"/>
      <c r="CV38677" s="376"/>
    </row>
    <row r="38678" spans="1:100">
      <c r="A38678" s="374"/>
      <c r="C38678" s="374"/>
      <c r="CV38678" s="376"/>
    </row>
    <row r="38679" spans="1:100">
      <c r="A38679" s="374"/>
      <c r="C38679" s="374"/>
      <c r="CV38679" s="376"/>
    </row>
    <row r="38680" spans="1:100">
      <c r="A38680" s="374"/>
      <c r="C38680" s="374"/>
      <c r="CV38680" s="376"/>
    </row>
    <row r="38681" spans="1:100">
      <c r="A38681" s="374"/>
      <c r="C38681" s="374"/>
      <c r="CV38681" s="376"/>
    </row>
    <row r="38682" spans="1:100">
      <c r="A38682" s="374"/>
      <c r="C38682" s="374"/>
      <c r="CV38682" s="376"/>
    </row>
    <row r="38683" spans="1:100">
      <c r="A38683" s="374"/>
      <c r="C38683" s="374"/>
      <c r="CV38683" s="376"/>
    </row>
    <row r="38684" spans="1:100">
      <c r="A38684" s="374"/>
      <c r="C38684" s="374"/>
      <c r="CV38684" s="376"/>
    </row>
    <row r="38685" spans="1:100">
      <c r="A38685" s="374"/>
      <c r="C38685" s="374"/>
      <c r="CV38685" s="376"/>
    </row>
    <row r="38686" spans="1:100">
      <c r="A38686" s="374"/>
      <c r="C38686" s="374"/>
      <c r="CV38686" s="376"/>
    </row>
    <row r="38687" spans="1:100">
      <c r="A38687" s="374"/>
      <c r="C38687" s="374"/>
      <c r="CV38687" s="376"/>
    </row>
    <row r="38688" spans="1:100">
      <c r="A38688" s="374"/>
      <c r="C38688" s="374"/>
      <c r="CV38688" s="376"/>
    </row>
    <row r="38689" spans="1:100">
      <c r="A38689" s="374"/>
      <c r="C38689" s="374"/>
      <c r="CV38689" s="376"/>
    </row>
    <row r="38690" spans="1:100">
      <c r="A38690" s="374"/>
      <c r="C38690" s="374"/>
      <c r="CV38690" s="376"/>
    </row>
    <row r="38691" spans="1:100">
      <c r="A38691" s="374"/>
      <c r="C38691" s="374"/>
      <c r="CV38691" s="376"/>
    </row>
    <row r="38692" spans="1:100">
      <c r="A38692" s="374"/>
      <c r="C38692" s="374"/>
      <c r="CV38692" s="376"/>
    </row>
    <row r="38693" spans="1:100">
      <c r="A38693" s="374"/>
      <c r="C38693" s="374"/>
      <c r="CV38693" s="376"/>
    </row>
    <row r="38694" spans="1:100">
      <c r="A38694" s="374"/>
      <c r="C38694" s="374"/>
      <c r="CV38694" s="376"/>
    </row>
    <row r="38695" spans="1:100">
      <c r="A38695" s="374"/>
      <c r="C38695" s="374"/>
      <c r="CV38695" s="376"/>
    </row>
    <row r="38696" spans="1:100">
      <c r="A38696" s="374"/>
      <c r="C38696" s="374"/>
      <c r="CV38696" s="376"/>
    </row>
    <row r="38697" spans="1:100">
      <c r="A38697" s="374"/>
      <c r="C38697" s="374"/>
      <c r="CV38697" s="376"/>
    </row>
    <row r="38698" spans="1:100">
      <c r="A38698" s="374"/>
      <c r="C38698" s="374"/>
      <c r="CV38698" s="376"/>
    </row>
    <row r="38699" spans="1:100">
      <c r="A38699" s="374"/>
      <c r="C38699" s="374"/>
      <c r="CV38699" s="376"/>
    </row>
    <row r="38700" spans="1:100">
      <c r="A38700" s="374"/>
      <c r="C38700" s="374"/>
      <c r="CV38700" s="376"/>
    </row>
    <row r="38701" spans="1:100">
      <c r="A38701" s="374"/>
      <c r="C38701" s="374"/>
      <c r="CV38701" s="376"/>
    </row>
    <row r="38702" spans="1:100">
      <c r="A38702" s="374"/>
      <c r="C38702" s="374"/>
      <c r="CV38702" s="376"/>
    </row>
    <row r="38703" spans="1:100">
      <c r="A38703" s="374"/>
      <c r="C38703" s="374"/>
      <c r="CV38703" s="376"/>
    </row>
    <row r="38704" spans="1:100">
      <c r="A38704" s="374"/>
      <c r="C38704" s="374"/>
      <c r="CV38704" s="376"/>
    </row>
    <row r="38705" spans="1:100">
      <c r="A38705" s="374"/>
      <c r="C38705" s="374"/>
      <c r="CV38705" s="376"/>
    </row>
    <row r="38706" spans="1:100">
      <c r="A38706" s="374"/>
      <c r="C38706" s="374"/>
      <c r="CV38706" s="376"/>
    </row>
    <row r="38707" spans="1:100">
      <c r="A38707" s="374"/>
      <c r="C38707" s="374"/>
      <c r="CV38707" s="376"/>
    </row>
    <row r="38708" spans="1:100">
      <c r="A38708" s="374"/>
      <c r="C38708" s="374"/>
      <c r="CV38708" s="376"/>
    </row>
    <row r="38709" spans="1:100">
      <c r="A38709" s="374"/>
      <c r="C38709" s="374"/>
      <c r="CV38709" s="376"/>
    </row>
    <row r="38710" spans="1:100">
      <c r="A38710" s="374"/>
      <c r="C38710" s="374"/>
      <c r="CV38710" s="376"/>
    </row>
    <row r="38711" spans="1:100">
      <c r="A38711" s="374"/>
      <c r="C38711" s="374"/>
      <c r="CV38711" s="376"/>
    </row>
    <row r="38712" spans="1:100">
      <c r="A38712" s="374"/>
      <c r="C38712" s="374"/>
      <c r="CV38712" s="376"/>
    </row>
    <row r="38713" spans="1:100">
      <c r="A38713" s="374"/>
      <c r="C38713" s="374"/>
      <c r="CV38713" s="376"/>
    </row>
    <row r="38714" spans="1:100">
      <c r="A38714" s="374"/>
      <c r="C38714" s="374"/>
      <c r="CV38714" s="376"/>
    </row>
    <row r="38715" spans="1:100">
      <c r="A38715" s="374"/>
      <c r="C38715" s="374"/>
      <c r="CV38715" s="376"/>
    </row>
    <row r="38716" spans="1:100">
      <c r="A38716" s="374"/>
      <c r="C38716" s="374"/>
      <c r="CV38716" s="376"/>
    </row>
    <row r="38717" spans="1:100">
      <c r="A38717" s="374"/>
      <c r="C38717" s="374"/>
      <c r="CV38717" s="376"/>
    </row>
    <row r="38718" spans="1:100">
      <c r="A38718" s="374"/>
      <c r="C38718" s="374"/>
      <c r="CV38718" s="376"/>
    </row>
    <row r="38719" spans="1:100">
      <c r="A38719" s="374"/>
      <c r="C38719" s="374"/>
      <c r="CV38719" s="376"/>
    </row>
    <row r="38720" spans="1:100">
      <c r="A38720" s="374"/>
      <c r="C38720" s="374"/>
      <c r="CV38720" s="376"/>
    </row>
    <row r="38721" spans="1:100">
      <c r="A38721" s="374"/>
      <c r="C38721" s="374"/>
      <c r="CV38721" s="376"/>
    </row>
    <row r="38722" spans="1:100">
      <c r="A38722" s="374"/>
      <c r="C38722" s="374"/>
      <c r="CV38722" s="376"/>
    </row>
    <row r="38723" spans="1:100">
      <c r="A38723" s="374"/>
      <c r="C38723" s="374"/>
      <c r="CV38723" s="376"/>
    </row>
    <row r="38724" spans="1:100">
      <c r="A38724" s="374"/>
      <c r="C38724" s="374"/>
      <c r="CV38724" s="376"/>
    </row>
    <row r="38725" spans="1:100">
      <c r="A38725" s="374"/>
      <c r="C38725" s="374"/>
      <c r="CV38725" s="376"/>
    </row>
    <row r="38726" spans="1:100">
      <c r="A38726" s="374"/>
      <c r="C38726" s="374"/>
      <c r="CV38726" s="376"/>
    </row>
    <row r="38727" spans="1:100">
      <c r="A38727" s="374"/>
      <c r="C38727" s="374"/>
      <c r="CV38727" s="376"/>
    </row>
    <row r="38728" spans="1:100">
      <c r="A38728" s="374"/>
      <c r="C38728" s="374"/>
      <c r="CV38728" s="376"/>
    </row>
    <row r="38729" spans="1:100">
      <c r="A38729" s="374"/>
      <c r="C38729" s="374"/>
      <c r="CV38729" s="376"/>
    </row>
    <row r="38730" spans="1:100">
      <c r="A38730" s="374"/>
      <c r="C38730" s="374"/>
      <c r="CV38730" s="376"/>
    </row>
    <row r="38731" spans="1:100">
      <c r="A38731" s="374"/>
      <c r="C38731" s="374"/>
      <c r="CV38731" s="376"/>
    </row>
    <row r="38732" spans="1:100">
      <c r="A38732" s="374"/>
      <c r="C38732" s="374"/>
      <c r="CV38732" s="376"/>
    </row>
    <row r="38733" spans="1:100">
      <c r="A38733" s="374"/>
      <c r="C38733" s="374"/>
      <c r="CV38733" s="376"/>
    </row>
    <row r="38734" spans="1:100">
      <c r="A38734" s="374"/>
      <c r="C38734" s="374"/>
      <c r="CV38734" s="376"/>
    </row>
    <row r="38735" spans="1:100">
      <c r="A38735" s="374"/>
      <c r="C38735" s="374"/>
      <c r="CV38735" s="376"/>
    </row>
    <row r="38736" spans="1:100">
      <c r="A38736" s="374"/>
      <c r="C38736" s="374"/>
      <c r="CV38736" s="376"/>
    </row>
    <row r="38737" spans="1:100">
      <c r="A38737" s="374"/>
      <c r="C38737" s="374"/>
      <c r="CV38737" s="376"/>
    </row>
    <row r="38738" spans="1:100">
      <c r="A38738" s="374"/>
      <c r="C38738" s="374"/>
      <c r="CV38738" s="376"/>
    </row>
    <row r="38739" spans="1:100">
      <c r="A38739" s="374"/>
      <c r="C38739" s="374"/>
      <c r="CV38739" s="376"/>
    </row>
    <row r="38740" spans="1:100">
      <c r="A38740" s="374"/>
      <c r="C38740" s="374"/>
      <c r="CV38740" s="376"/>
    </row>
    <row r="38741" spans="1:100">
      <c r="A38741" s="374"/>
      <c r="C38741" s="374"/>
      <c r="CV38741" s="376"/>
    </row>
    <row r="38742" spans="1:100">
      <c r="A38742" s="374"/>
      <c r="C38742" s="374"/>
      <c r="CV38742" s="376"/>
    </row>
    <row r="38743" spans="1:100">
      <c r="A38743" s="374"/>
      <c r="C38743" s="374"/>
      <c r="CV38743" s="376"/>
    </row>
    <row r="38744" spans="1:100">
      <c r="A38744" s="374"/>
      <c r="C38744" s="374"/>
      <c r="CV38744" s="376"/>
    </row>
    <row r="38745" spans="1:100">
      <c r="A38745" s="374"/>
      <c r="C38745" s="374"/>
      <c r="CV38745" s="376"/>
    </row>
    <row r="38746" spans="1:100">
      <c r="A38746" s="374"/>
      <c r="C38746" s="374"/>
      <c r="CV38746" s="376"/>
    </row>
    <row r="38747" spans="1:100">
      <c r="A38747" s="374"/>
      <c r="C38747" s="374"/>
      <c r="CV38747" s="376"/>
    </row>
    <row r="38748" spans="1:100">
      <c r="A38748" s="374"/>
      <c r="C38748" s="374"/>
      <c r="CV38748" s="376"/>
    </row>
    <row r="38749" spans="1:100">
      <c r="A38749" s="374"/>
      <c r="C38749" s="374"/>
      <c r="CV38749" s="376"/>
    </row>
    <row r="38750" spans="1:100">
      <c r="A38750" s="374"/>
      <c r="C38750" s="374"/>
      <c r="CV38750" s="376"/>
    </row>
    <row r="38751" spans="1:100">
      <c r="A38751" s="374"/>
      <c r="C38751" s="374"/>
      <c r="CV38751" s="376"/>
    </row>
    <row r="38752" spans="1:100">
      <c r="A38752" s="374"/>
      <c r="C38752" s="374"/>
      <c r="CV38752" s="376"/>
    </row>
    <row r="38753" spans="1:100">
      <c r="A38753" s="374"/>
      <c r="C38753" s="374"/>
      <c r="CV38753" s="376"/>
    </row>
    <row r="38754" spans="1:100">
      <c r="A38754" s="374"/>
      <c r="C38754" s="374"/>
      <c r="CV38754" s="376"/>
    </row>
    <row r="38755" spans="1:100">
      <c r="A38755" s="374"/>
      <c r="C38755" s="374"/>
      <c r="CV38755" s="376"/>
    </row>
    <row r="38756" spans="1:100">
      <c r="A38756" s="374"/>
      <c r="C38756" s="374"/>
      <c r="CV38756" s="376"/>
    </row>
    <row r="38757" spans="1:100">
      <c r="A38757" s="374"/>
      <c r="C38757" s="374"/>
      <c r="CV38757" s="376"/>
    </row>
    <row r="38758" spans="1:100">
      <c r="A38758" s="374"/>
      <c r="C38758" s="374"/>
      <c r="CV38758" s="376"/>
    </row>
    <row r="38759" spans="1:100">
      <c r="A38759" s="374"/>
      <c r="C38759" s="374"/>
      <c r="CV38759" s="376"/>
    </row>
    <row r="38760" spans="1:100">
      <c r="A38760" s="374"/>
      <c r="C38760" s="374"/>
      <c r="CV38760" s="376"/>
    </row>
    <row r="38761" spans="1:100">
      <c r="A38761" s="374"/>
      <c r="C38761" s="374"/>
      <c r="CV38761" s="376"/>
    </row>
    <row r="38762" spans="1:100">
      <c r="A38762" s="374"/>
      <c r="C38762" s="374"/>
      <c r="CV38762" s="376"/>
    </row>
    <row r="38763" spans="1:100">
      <c r="A38763" s="374"/>
      <c r="C38763" s="374"/>
      <c r="CV38763" s="376"/>
    </row>
    <row r="38764" spans="1:100">
      <c r="A38764" s="374"/>
      <c r="C38764" s="374"/>
      <c r="CV38764" s="376"/>
    </row>
    <row r="38765" spans="1:100">
      <c r="A38765" s="374"/>
      <c r="C38765" s="374"/>
      <c r="CV38765" s="376"/>
    </row>
    <row r="38766" spans="1:100">
      <c r="A38766" s="374"/>
      <c r="C38766" s="374"/>
      <c r="CV38766" s="376"/>
    </row>
    <row r="38767" spans="1:100">
      <c r="A38767" s="374"/>
      <c r="C38767" s="374"/>
      <c r="CV38767" s="376"/>
    </row>
    <row r="38768" spans="1:100">
      <c r="A38768" s="374"/>
      <c r="C38768" s="374"/>
      <c r="CV38768" s="376"/>
    </row>
    <row r="38769" spans="1:100">
      <c r="A38769" s="374"/>
      <c r="C38769" s="374"/>
      <c r="CV38769" s="376"/>
    </row>
    <row r="38770" spans="1:100">
      <c r="A38770" s="374"/>
      <c r="C38770" s="374"/>
      <c r="CV38770" s="376"/>
    </row>
    <row r="38771" spans="1:100">
      <c r="A38771" s="374"/>
      <c r="C38771" s="374"/>
      <c r="CV38771" s="376"/>
    </row>
    <row r="38772" spans="1:100">
      <c r="A38772" s="374"/>
      <c r="C38772" s="374"/>
      <c r="CV38772" s="376"/>
    </row>
    <row r="38773" spans="1:100">
      <c r="A38773" s="374"/>
      <c r="C38773" s="374"/>
      <c r="CV38773" s="376"/>
    </row>
    <row r="38774" spans="1:100">
      <c r="A38774" s="374"/>
      <c r="C38774" s="374"/>
      <c r="CV38774" s="376"/>
    </row>
    <row r="38775" spans="1:100">
      <c r="A38775" s="374"/>
      <c r="C38775" s="374"/>
      <c r="CV38775" s="376"/>
    </row>
    <row r="38776" spans="1:100">
      <c r="A38776" s="374"/>
      <c r="C38776" s="374"/>
      <c r="CV38776" s="376"/>
    </row>
    <row r="38777" spans="1:100">
      <c r="A38777" s="374"/>
      <c r="C38777" s="374"/>
      <c r="CV38777" s="376"/>
    </row>
    <row r="38778" spans="1:100">
      <c r="A38778" s="374"/>
      <c r="C38778" s="374"/>
      <c r="CV38778" s="376"/>
    </row>
    <row r="38779" spans="1:100">
      <c r="A38779" s="374"/>
      <c r="C38779" s="374"/>
      <c r="CV38779" s="376"/>
    </row>
    <row r="38780" spans="1:100">
      <c r="A38780" s="374"/>
      <c r="C38780" s="374"/>
      <c r="CV38780" s="376"/>
    </row>
    <row r="38781" spans="1:100">
      <c r="A38781" s="374"/>
      <c r="C38781" s="374"/>
      <c r="CV38781" s="376"/>
    </row>
    <row r="38782" spans="1:100">
      <c r="A38782" s="374"/>
      <c r="C38782" s="374"/>
      <c r="CV38782" s="376"/>
    </row>
    <row r="38783" spans="1:100">
      <c r="A38783" s="374"/>
      <c r="C38783" s="374"/>
      <c r="CV38783" s="376"/>
    </row>
    <row r="38784" spans="1:100">
      <c r="A38784" s="374"/>
      <c r="C38784" s="374"/>
      <c r="CV38784" s="376"/>
    </row>
    <row r="38785" spans="1:100">
      <c r="A38785" s="374"/>
      <c r="C38785" s="374"/>
      <c r="CV38785" s="376"/>
    </row>
    <row r="38786" spans="1:100">
      <c r="A38786" s="374"/>
      <c r="C38786" s="374"/>
      <c r="CV38786" s="376"/>
    </row>
    <row r="38787" spans="1:100">
      <c r="A38787" s="374"/>
      <c r="C38787" s="374"/>
      <c r="CV38787" s="376"/>
    </row>
    <row r="38788" spans="1:100">
      <c r="A38788" s="374"/>
      <c r="C38788" s="374"/>
      <c r="CV38788" s="376"/>
    </row>
    <row r="38789" spans="1:100">
      <c r="A38789" s="374"/>
      <c r="C38789" s="374"/>
      <c r="CV38789" s="376"/>
    </row>
    <row r="38790" spans="1:100">
      <c r="A38790" s="374"/>
      <c r="C38790" s="374"/>
      <c r="CV38790" s="376"/>
    </row>
    <row r="38791" spans="1:100">
      <c r="A38791" s="374"/>
      <c r="C38791" s="374"/>
      <c r="CV38791" s="376"/>
    </row>
    <row r="38792" spans="1:100">
      <c r="A38792" s="374"/>
      <c r="C38792" s="374"/>
      <c r="CV38792" s="376"/>
    </row>
    <row r="38793" spans="1:100">
      <c r="A38793" s="374"/>
      <c r="C38793" s="374"/>
      <c r="CV38793" s="376"/>
    </row>
    <row r="38794" spans="1:100">
      <c r="A38794" s="374"/>
      <c r="C38794" s="374"/>
      <c r="CV38794" s="376"/>
    </row>
    <row r="38795" spans="1:100">
      <c r="A38795" s="374"/>
      <c r="C38795" s="374"/>
      <c r="CV38795" s="376"/>
    </row>
    <row r="38796" spans="1:100">
      <c r="A38796" s="374"/>
      <c r="C38796" s="374"/>
      <c r="CV38796" s="376"/>
    </row>
    <row r="38797" spans="1:100">
      <c r="A38797" s="374"/>
      <c r="C38797" s="374"/>
      <c r="CV38797" s="376"/>
    </row>
    <row r="38798" spans="1:100">
      <c r="A38798" s="374"/>
      <c r="C38798" s="374"/>
      <c r="CV38798" s="376"/>
    </row>
    <row r="38799" spans="1:100">
      <c r="A38799" s="374"/>
      <c r="C38799" s="374"/>
      <c r="CV38799" s="376"/>
    </row>
    <row r="38800" spans="1:100">
      <c r="A38800" s="374"/>
      <c r="C38800" s="374"/>
      <c r="CV38800" s="376"/>
    </row>
    <row r="38801" spans="1:100">
      <c r="A38801" s="374"/>
      <c r="C38801" s="374"/>
      <c r="CV38801" s="376"/>
    </row>
    <row r="38802" spans="1:100">
      <c r="A38802" s="374"/>
      <c r="C38802" s="374"/>
      <c r="CV38802" s="376"/>
    </row>
    <row r="38803" spans="1:100">
      <c r="A38803" s="374"/>
      <c r="C38803" s="374"/>
      <c r="CV38803" s="376"/>
    </row>
    <row r="38804" spans="1:100">
      <c r="A38804" s="374"/>
      <c r="C38804" s="374"/>
      <c r="CV38804" s="376"/>
    </row>
    <row r="38805" spans="1:100">
      <c r="A38805" s="374"/>
      <c r="C38805" s="374"/>
      <c r="CV38805" s="376"/>
    </row>
    <row r="38806" spans="1:100">
      <c r="A38806" s="374"/>
      <c r="C38806" s="374"/>
      <c r="CV38806" s="376"/>
    </row>
    <row r="38807" spans="1:100">
      <c r="A38807" s="374"/>
      <c r="C38807" s="374"/>
      <c r="CV38807" s="376"/>
    </row>
    <row r="38808" spans="1:100">
      <c r="A38808" s="374"/>
      <c r="C38808" s="374"/>
      <c r="CV38808" s="376"/>
    </row>
    <row r="38809" spans="1:100">
      <c r="A38809" s="374"/>
      <c r="C38809" s="374"/>
      <c r="CV38809" s="376"/>
    </row>
    <row r="38810" spans="1:100">
      <c r="A38810" s="374"/>
      <c r="C38810" s="374"/>
      <c r="CV38810" s="376"/>
    </row>
    <row r="38811" spans="1:100">
      <c r="A38811" s="374"/>
      <c r="C38811" s="374"/>
      <c r="CV38811" s="376"/>
    </row>
    <row r="38812" spans="1:100">
      <c r="A38812" s="374"/>
      <c r="C38812" s="374"/>
      <c r="CV38812" s="376"/>
    </row>
    <row r="38813" spans="1:100">
      <c r="A38813" s="374"/>
      <c r="C38813" s="374"/>
      <c r="CV38813" s="376"/>
    </row>
    <row r="38814" spans="1:100">
      <c r="A38814" s="374"/>
      <c r="C38814" s="374"/>
      <c r="CV38814" s="376"/>
    </row>
    <row r="38815" spans="1:100">
      <c r="A38815" s="374"/>
      <c r="C38815" s="374"/>
      <c r="CV38815" s="376"/>
    </row>
    <row r="38816" spans="1:100">
      <c r="A38816" s="374"/>
      <c r="C38816" s="374"/>
      <c r="CV38816" s="376"/>
    </row>
    <row r="38817" spans="1:100">
      <c r="A38817" s="374"/>
      <c r="C38817" s="374"/>
      <c r="CV38817" s="376"/>
    </row>
    <row r="38818" spans="1:100">
      <c r="A38818" s="374"/>
      <c r="C38818" s="374"/>
      <c r="CV38818" s="376"/>
    </row>
    <row r="38819" spans="1:100">
      <c r="A38819" s="374"/>
      <c r="C38819" s="374"/>
      <c r="CV38819" s="376"/>
    </row>
    <row r="38820" spans="1:100">
      <c r="A38820" s="374"/>
      <c r="C38820" s="374"/>
      <c r="CV38820" s="376"/>
    </row>
    <row r="38821" spans="1:100">
      <c r="A38821" s="374"/>
      <c r="C38821" s="374"/>
      <c r="CV38821" s="376"/>
    </row>
    <row r="38822" spans="1:100">
      <c r="A38822" s="374"/>
      <c r="C38822" s="374"/>
      <c r="CV38822" s="376"/>
    </row>
    <row r="38823" spans="1:100">
      <c r="A38823" s="374"/>
      <c r="C38823" s="374"/>
      <c r="CV38823" s="376"/>
    </row>
    <row r="38824" spans="1:100">
      <c r="A38824" s="374"/>
      <c r="C38824" s="374"/>
      <c r="CV38824" s="376"/>
    </row>
    <row r="38825" spans="1:100">
      <c r="A38825" s="374"/>
      <c r="C38825" s="374"/>
      <c r="CV38825" s="376"/>
    </row>
    <row r="38826" spans="1:100">
      <c r="A38826" s="374"/>
      <c r="C38826" s="374"/>
      <c r="CV38826" s="376"/>
    </row>
    <row r="38827" spans="1:100">
      <c r="A38827" s="374"/>
      <c r="C38827" s="374"/>
      <c r="CV38827" s="376"/>
    </row>
    <row r="38828" spans="1:100">
      <c r="A38828" s="374"/>
      <c r="C38828" s="374"/>
      <c r="CV38828" s="376"/>
    </row>
    <row r="38829" spans="1:100">
      <c r="A38829" s="374"/>
      <c r="C38829" s="374"/>
      <c r="CV38829" s="376"/>
    </row>
    <row r="38830" spans="1:100">
      <c r="A38830" s="374"/>
      <c r="C38830" s="374"/>
      <c r="CV38830" s="376"/>
    </row>
    <row r="38831" spans="1:100">
      <c r="A38831" s="374"/>
      <c r="C38831" s="374"/>
      <c r="CV38831" s="376"/>
    </row>
    <row r="38832" spans="1:100">
      <c r="A38832" s="374"/>
      <c r="C38832" s="374"/>
      <c r="CV38832" s="376"/>
    </row>
    <row r="38833" spans="1:100">
      <c r="A38833" s="374"/>
      <c r="C38833" s="374"/>
      <c r="CV38833" s="376"/>
    </row>
    <row r="38834" spans="1:100">
      <c r="A38834" s="374"/>
      <c r="C38834" s="374"/>
      <c r="CV38834" s="376"/>
    </row>
    <row r="38835" spans="1:100">
      <c r="A38835" s="374"/>
      <c r="C38835" s="374"/>
      <c r="CV38835" s="376"/>
    </row>
    <row r="38836" spans="1:100">
      <c r="A38836" s="374"/>
      <c r="C38836" s="374"/>
      <c r="CV38836" s="376"/>
    </row>
    <row r="38837" spans="1:100">
      <c r="A38837" s="374"/>
      <c r="C38837" s="374"/>
      <c r="CV38837" s="376"/>
    </row>
    <row r="38838" spans="1:100">
      <c r="A38838" s="374"/>
      <c r="C38838" s="374"/>
      <c r="CV38838" s="376"/>
    </row>
    <row r="38839" spans="1:100">
      <c r="A38839" s="374"/>
      <c r="C38839" s="374"/>
      <c r="CV38839" s="376"/>
    </row>
    <row r="38840" spans="1:100">
      <c r="A38840" s="374"/>
      <c r="C38840" s="374"/>
      <c r="CV38840" s="376"/>
    </row>
    <row r="38841" spans="1:100">
      <c r="A38841" s="374"/>
      <c r="C38841" s="374"/>
      <c r="CV38841" s="376"/>
    </row>
    <row r="38842" spans="1:100">
      <c r="A38842" s="374"/>
      <c r="C38842" s="374"/>
      <c r="CV38842" s="376"/>
    </row>
    <row r="38843" spans="1:100">
      <c r="A38843" s="374"/>
      <c r="C38843" s="374"/>
      <c r="CV38843" s="376"/>
    </row>
    <row r="38844" spans="1:100">
      <c r="A38844" s="374"/>
      <c r="C38844" s="374"/>
      <c r="CV38844" s="376"/>
    </row>
    <row r="38845" spans="1:100">
      <c r="A38845" s="374"/>
      <c r="C38845" s="374"/>
      <c r="CV38845" s="376"/>
    </row>
    <row r="38846" spans="1:100">
      <c r="A38846" s="374"/>
      <c r="C38846" s="374"/>
      <c r="CV38846" s="376"/>
    </row>
    <row r="38847" spans="1:100">
      <c r="A38847" s="374"/>
      <c r="C38847" s="374"/>
      <c r="CV38847" s="376"/>
    </row>
    <row r="38848" spans="1:100">
      <c r="A38848" s="374"/>
      <c r="C38848" s="374"/>
      <c r="CV38848" s="376"/>
    </row>
    <row r="38849" spans="1:100">
      <c r="A38849" s="374"/>
      <c r="C38849" s="374"/>
      <c r="CV38849" s="376"/>
    </row>
    <row r="38850" spans="1:100">
      <c r="A38850" s="374"/>
      <c r="C38850" s="374"/>
      <c r="CV38850" s="376"/>
    </row>
    <row r="38851" spans="1:100">
      <c r="A38851" s="374"/>
      <c r="C38851" s="374"/>
      <c r="CV38851" s="376"/>
    </row>
    <row r="38852" spans="1:100">
      <c r="A38852" s="374"/>
      <c r="C38852" s="374"/>
      <c r="CV38852" s="376"/>
    </row>
    <row r="38853" spans="1:100">
      <c r="A38853" s="374"/>
      <c r="C38853" s="374"/>
      <c r="CV38853" s="376"/>
    </row>
    <row r="38854" spans="1:100">
      <c r="A38854" s="374"/>
      <c r="C38854" s="374"/>
      <c r="CV38854" s="376"/>
    </row>
    <row r="38855" spans="1:100">
      <c r="A38855" s="374"/>
      <c r="C38855" s="374"/>
      <c r="CV38855" s="376"/>
    </row>
    <row r="38856" spans="1:100">
      <c r="A38856" s="374"/>
      <c r="C38856" s="374"/>
      <c r="CV38856" s="376"/>
    </row>
    <row r="38857" spans="1:100">
      <c r="A38857" s="374"/>
      <c r="C38857" s="374"/>
      <c r="CV38857" s="376"/>
    </row>
    <row r="38858" spans="1:100">
      <c r="A38858" s="374"/>
      <c r="C38858" s="374"/>
      <c r="CV38858" s="376"/>
    </row>
    <row r="38859" spans="1:100">
      <c r="A38859" s="374"/>
      <c r="C38859" s="374"/>
      <c r="CV38859" s="376"/>
    </row>
    <row r="38860" spans="1:100">
      <c r="A38860" s="374"/>
      <c r="C38860" s="374"/>
      <c r="CV38860" s="376"/>
    </row>
    <row r="38861" spans="1:100">
      <c r="A38861" s="374"/>
      <c r="C38861" s="374"/>
      <c r="CV38861" s="376"/>
    </row>
    <row r="38862" spans="1:100">
      <c r="A38862" s="374"/>
      <c r="C38862" s="374"/>
      <c r="CV38862" s="376"/>
    </row>
    <row r="38863" spans="1:100">
      <c r="A38863" s="374"/>
      <c r="C38863" s="374"/>
      <c r="CV38863" s="376"/>
    </row>
    <row r="38864" spans="1:100">
      <c r="A38864" s="374"/>
      <c r="C38864" s="374"/>
      <c r="CV38864" s="376"/>
    </row>
    <row r="38865" spans="1:100">
      <c r="A38865" s="374"/>
      <c r="C38865" s="374"/>
      <c r="CV38865" s="376"/>
    </row>
    <row r="38866" spans="1:100">
      <c r="A38866" s="374"/>
      <c r="C38866" s="374"/>
      <c r="CV38866" s="376"/>
    </row>
    <row r="38867" spans="1:100">
      <c r="A38867" s="374"/>
      <c r="C38867" s="374"/>
      <c r="CV38867" s="376"/>
    </row>
    <row r="38868" spans="1:100">
      <c r="A38868" s="374"/>
      <c r="C38868" s="374"/>
      <c r="CV38868" s="376"/>
    </row>
    <row r="38869" spans="1:100">
      <c r="A38869" s="374"/>
      <c r="C38869" s="374"/>
      <c r="CV38869" s="376"/>
    </row>
    <row r="38870" spans="1:100">
      <c r="A38870" s="374"/>
      <c r="C38870" s="374"/>
      <c r="CV38870" s="376"/>
    </row>
    <row r="38871" spans="1:100">
      <c r="A38871" s="374"/>
      <c r="C38871" s="374"/>
      <c r="CV38871" s="376"/>
    </row>
    <row r="38872" spans="1:100">
      <c r="A38872" s="374"/>
      <c r="C38872" s="374"/>
      <c r="CV38872" s="376"/>
    </row>
    <row r="38873" spans="1:100">
      <c r="A38873" s="374"/>
      <c r="C38873" s="374"/>
      <c r="CV38873" s="376"/>
    </row>
    <row r="38874" spans="1:100">
      <c r="A38874" s="374"/>
      <c r="C38874" s="374"/>
      <c r="CV38874" s="376"/>
    </row>
    <row r="38875" spans="1:100">
      <c r="A38875" s="374"/>
      <c r="C38875" s="374"/>
      <c r="CV38875" s="376"/>
    </row>
    <row r="38876" spans="1:100">
      <c r="A38876" s="374"/>
      <c r="C38876" s="374"/>
      <c r="CV38876" s="376"/>
    </row>
    <row r="38877" spans="1:100">
      <c r="A38877" s="374"/>
      <c r="C38877" s="374"/>
      <c r="CV38877" s="376"/>
    </row>
    <row r="38878" spans="1:100">
      <c r="A38878" s="374"/>
      <c r="C38878" s="374"/>
      <c r="CV38878" s="376"/>
    </row>
    <row r="38879" spans="1:100">
      <c r="A38879" s="374"/>
      <c r="C38879" s="374"/>
      <c r="CV38879" s="376"/>
    </row>
    <row r="38880" spans="1:100">
      <c r="A38880" s="374"/>
      <c r="C38880" s="374"/>
      <c r="CV38880" s="376"/>
    </row>
    <row r="38881" spans="1:100">
      <c r="A38881" s="374"/>
      <c r="C38881" s="374"/>
      <c r="CV38881" s="376"/>
    </row>
    <row r="38882" spans="1:100">
      <c r="A38882" s="374"/>
      <c r="C38882" s="374"/>
      <c r="CV38882" s="376"/>
    </row>
    <row r="38883" spans="1:100">
      <c r="A38883" s="374"/>
      <c r="C38883" s="374"/>
      <c r="CV38883" s="376"/>
    </row>
    <row r="38884" spans="1:100">
      <c r="A38884" s="374"/>
      <c r="C38884" s="374"/>
      <c r="CV38884" s="376"/>
    </row>
    <row r="38885" spans="1:100">
      <c r="A38885" s="374"/>
      <c r="C38885" s="374"/>
      <c r="CV38885" s="376"/>
    </row>
    <row r="38886" spans="1:100">
      <c r="A38886" s="374"/>
      <c r="C38886" s="374"/>
      <c r="CV38886" s="376"/>
    </row>
    <row r="38887" spans="1:100">
      <c r="A38887" s="374"/>
      <c r="C38887" s="374"/>
      <c r="CV38887" s="376"/>
    </row>
    <row r="38888" spans="1:100">
      <c r="A38888" s="374"/>
      <c r="C38888" s="374"/>
      <c r="CV38888" s="376"/>
    </row>
    <row r="38889" spans="1:100">
      <c r="A38889" s="374"/>
      <c r="C38889" s="374"/>
      <c r="CV38889" s="376"/>
    </row>
    <row r="38890" spans="1:100">
      <c r="A38890" s="374"/>
      <c r="C38890" s="374"/>
      <c r="CV38890" s="376"/>
    </row>
    <row r="38891" spans="1:100">
      <c r="A38891" s="374"/>
      <c r="C38891" s="374"/>
      <c r="CV38891" s="376"/>
    </row>
    <row r="38892" spans="1:100">
      <c r="A38892" s="374"/>
      <c r="C38892" s="374"/>
      <c r="CV38892" s="376"/>
    </row>
    <row r="38893" spans="1:100">
      <c r="A38893" s="374"/>
      <c r="C38893" s="374"/>
      <c r="CV38893" s="376"/>
    </row>
    <row r="38894" spans="1:100">
      <c r="A38894" s="374"/>
      <c r="C38894" s="374"/>
      <c r="CV38894" s="376"/>
    </row>
    <row r="38895" spans="1:100">
      <c r="A38895" s="374"/>
      <c r="C38895" s="374"/>
      <c r="CV38895" s="376"/>
    </row>
    <row r="38896" spans="1:100">
      <c r="A38896" s="374"/>
      <c r="C38896" s="374"/>
      <c r="CV38896" s="376"/>
    </row>
    <row r="38897" spans="1:100">
      <c r="A38897" s="374"/>
      <c r="C38897" s="374"/>
      <c r="CV38897" s="376"/>
    </row>
    <row r="38898" spans="1:100">
      <c r="A38898" s="374"/>
      <c r="C38898" s="374"/>
      <c r="CV38898" s="376"/>
    </row>
    <row r="38899" spans="1:100">
      <c r="A38899" s="374"/>
      <c r="C38899" s="374"/>
      <c r="CV38899" s="376"/>
    </row>
    <row r="38900" spans="1:100">
      <c r="A38900" s="374"/>
      <c r="C38900" s="374"/>
      <c r="CV38900" s="376"/>
    </row>
    <row r="38901" spans="1:100">
      <c r="A38901" s="374"/>
      <c r="C38901" s="374"/>
      <c r="CV38901" s="376"/>
    </row>
    <row r="38902" spans="1:100">
      <c r="A38902" s="374"/>
      <c r="C38902" s="374"/>
      <c r="CV38902" s="376"/>
    </row>
    <row r="38903" spans="1:100">
      <c r="A38903" s="374"/>
      <c r="C38903" s="374"/>
      <c r="CV38903" s="376"/>
    </row>
    <row r="38904" spans="1:100">
      <c r="A38904" s="374"/>
      <c r="C38904" s="374"/>
      <c r="CV38904" s="376"/>
    </row>
    <row r="38905" spans="1:100">
      <c r="A38905" s="374"/>
      <c r="C38905" s="374"/>
      <c r="CV38905" s="376"/>
    </row>
    <row r="38906" spans="1:100">
      <c r="A38906" s="374"/>
      <c r="C38906" s="374"/>
      <c r="CV38906" s="376"/>
    </row>
    <row r="38907" spans="1:100">
      <c r="A38907" s="374"/>
      <c r="C38907" s="374"/>
      <c r="CV38907" s="376"/>
    </row>
    <row r="38908" spans="1:100">
      <c r="A38908" s="374"/>
      <c r="C38908" s="374"/>
      <c r="CV38908" s="376"/>
    </row>
    <row r="38909" spans="1:100">
      <c r="A38909" s="374"/>
      <c r="C38909" s="374"/>
      <c r="CV38909" s="376"/>
    </row>
    <row r="38910" spans="1:100">
      <c r="A38910" s="374"/>
      <c r="C38910" s="374"/>
      <c r="CV38910" s="376"/>
    </row>
    <row r="38911" spans="1:100">
      <c r="A38911" s="374"/>
      <c r="C38911" s="374"/>
      <c r="CV38911" s="376"/>
    </row>
    <row r="38912" spans="1:100">
      <c r="A38912" s="374"/>
      <c r="C38912" s="374"/>
      <c r="CV38912" s="376"/>
    </row>
    <row r="38913" spans="1:100">
      <c r="A38913" s="374"/>
      <c r="C38913" s="374"/>
      <c r="CV38913" s="376"/>
    </row>
    <row r="38914" spans="1:100">
      <c r="A38914" s="374"/>
      <c r="C38914" s="374"/>
      <c r="CV38914" s="376"/>
    </row>
    <row r="38915" spans="1:100">
      <c r="A38915" s="374"/>
      <c r="C38915" s="374"/>
      <c r="CV38915" s="376"/>
    </row>
    <row r="38916" spans="1:100">
      <c r="A38916" s="374"/>
      <c r="C38916" s="374"/>
      <c r="CV38916" s="376"/>
    </row>
    <row r="38917" spans="1:100">
      <c r="A38917" s="374"/>
      <c r="C38917" s="374"/>
      <c r="CV38917" s="376"/>
    </row>
    <row r="38918" spans="1:100">
      <c r="A38918" s="374"/>
      <c r="C38918" s="374"/>
      <c r="CV38918" s="376"/>
    </row>
    <row r="38919" spans="1:100">
      <c r="A38919" s="374"/>
      <c r="C38919" s="374"/>
      <c r="CV38919" s="376"/>
    </row>
    <row r="38920" spans="1:100">
      <c r="A38920" s="374"/>
      <c r="C38920" s="374"/>
      <c r="CV38920" s="376"/>
    </row>
    <row r="38921" spans="1:100">
      <c r="A38921" s="374"/>
      <c r="C38921" s="374"/>
      <c r="CV38921" s="376"/>
    </row>
    <row r="38922" spans="1:100">
      <c r="A38922" s="374"/>
      <c r="C38922" s="374"/>
      <c r="CV38922" s="376"/>
    </row>
    <row r="38923" spans="1:100">
      <c r="A38923" s="374"/>
      <c r="C38923" s="374"/>
      <c r="CV38923" s="376"/>
    </row>
    <row r="38924" spans="1:100">
      <c r="A38924" s="374"/>
      <c r="C38924" s="374"/>
      <c r="CV38924" s="376"/>
    </row>
    <row r="38925" spans="1:100">
      <c r="A38925" s="374"/>
      <c r="C38925" s="374"/>
      <c r="CV38925" s="376"/>
    </row>
    <row r="38926" spans="1:100">
      <c r="A38926" s="374"/>
      <c r="C38926" s="374"/>
      <c r="CV38926" s="376"/>
    </row>
    <row r="38927" spans="1:100">
      <c r="A38927" s="374"/>
      <c r="C38927" s="374"/>
      <c r="CV38927" s="376"/>
    </row>
    <row r="38928" spans="1:100">
      <c r="A38928" s="374"/>
      <c r="C38928" s="374"/>
      <c r="CV38928" s="376"/>
    </row>
    <row r="38929" spans="1:100">
      <c r="A38929" s="374"/>
      <c r="C38929" s="374"/>
      <c r="CV38929" s="376"/>
    </row>
    <row r="38930" spans="1:100">
      <c r="A38930" s="374"/>
      <c r="C38930" s="374"/>
      <c r="CV38930" s="376"/>
    </row>
    <row r="38931" spans="1:100">
      <c r="A38931" s="374"/>
      <c r="C38931" s="374"/>
      <c r="CV38931" s="376"/>
    </row>
    <row r="38932" spans="1:100">
      <c r="A38932" s="374"/>
      <c r="C38932" s="374"/>
      <c r="CV38932" s="376"/>
    </row>
    <row r="38933" spans="1:100">
      <c r="A38933" s="374"/>
      <c r="C38933" s="374"/>
      <c r="CV38933" s="376"/>
    </row>
    <row r="38934" spans="1:100">
      <c r="A38934" s="374"/>
      <c r="C38934" s="374"/>
      <c r="CV38934" s="376"/>
    </row>
    <row r="38935" spans="1:100">
      <c r="A38935" s="374"/>
      <c r="C38935" s="374"/>
      <c r="CV38935" s="376"/>
    </row>
    <row r="38936" spans="1:100">
      <c r="A38936" s="374"/>
      <c r="C38936" s="374"/>
      <c r="CV38936" s="376"/>
    </row>
    <row r="38937" spans="1:100">
      <c r="A38937" s="374"/>
      <c r="C38937" s="374"/>
      <c r="CV38937" s="376"/>
    </row>
    <row r="38938" spans="1:100">
      <c r="A38938" s="374"/>
      <c r="C38938" s="374"/>
      <c r="CV38938" s="376"/>
    </row>
    <row r="38939" spans="1:100">
      <c r="A38939" s="374"/>
      <c r="C38939" s="374"/>
      <c r="CV38939" s="376"/>
    </row>
    <row r="38940" spans="1:100">
      <c r="A38940" s="374"/>
      <c r="C38940" s="374"/>
      <c r="CV38940" s="376"/>
    </row>
    <row r="38941" spans="1:100">
      <c r="A38941" s="374"/>
      <c r="C38941" s="374"/>
      <c r="CV38941" s="376"/>
    </row>
    <row r="38942" spans="1:100">
      <c r="A38942" s="374"/>
      <c r="C38942" s="374"/>
      <c r="CV38942" s="376"/>
    </row>
    <row r="38943" spans="1:100">
      <c r="A38943" s="374"/>
      <c r="C38943" s="374"/>
      <c r="CV38943" s="376"/>
    </row>
    <row r="38944" spans="1:100">
      <c r="A38944" s="374"/>
      <c r="C38944" s="374"/>
      <c r="CV38944" s="376"/>
    </row>
    <row r="38945" spans="1:100">
      <c r="A38945" s="374"/>
      <c r="C38945" s="374"/>
      <c r="CV38945" s="376"/>
    </row>
    <row r="38946" spans="1:100">
      <c r="A38946" s="374"/>
      <c r="C38946" s="374"/>
      <c r="CV38946" s="376"/>
    </row>
    <row r="38947" spans="1:100">
      <c r="A38947" s="374"/>
      <c r="C38947" s="374"/>
      <c r="CV38947" s="376"/>
    </row>
    <row r="38948" spans="1:100">
      <c r="A38948" s="374"/>
      <c r="C38948" s="374"/>
      <c r="CV38948" s="376"/>
    </row>
    <row r="38949" spans="1:100">
      <c r="A38949" s="374"/>
      <c r="C38949" s="374"/>
      <c r="CV38949" s="376"/>
    </row>
    <row r="38950" spans="1:100">
      <c r="A38950" s="374"/>
      <c r="C38950" s="374"/>
      <c r="CV38950" s="376"/>
    </row>
    <row r="38951" spans="1:100">
      <c r="A38951" s="374"/>
      <c r="C38951" s="374"/>
      <c r="CV38951" s="376"/>
    </row>
    <row r="38952" spans="1:100">
      <c r="A38952" s="374"/>
      <c r="C38952" s="374"/>
      <c r="CV38952" s="376"/>
    </row>
    <row r="38953" spans="1:100">
      <c r="A38953" s="374"/>
      <c r="C38953" s="374"/>
      <c r="CV38953" s="376"/>
    </row>
    <row r="38954" spans="1:100">
      <c r="A38954" s="374"/>
      <c r="C38954" s="374"/>
      <c r="CV38954" s="376"/>
    </row>
    <row r="38955" spans="1:100">
      <c r="A38955" s="374"/>
      <c r="C38955" s="374"/>
      <c r="CV38955" s="376"/>
    </row>
    <row r="38956" spans="1:100">
      <c r="A38956" s="374"/>
      <c r="C38956" s="374"/>
      <c r="CV38956" s="376"/>
    </row>
    <row r="38957" spans="1:100">
      <c r="A38957" s="374"/>
      <c r="C38957" s="374"/>
      <c r="CV38957" s="376"/>
    </row>
    <row r="38958" spans="1:100">
      <c r="A38958" s="374"/>
      <c r="C38958" s="374"/>
      <c r="CV38958" s="376"/>
    </row>
    <row r="38959" spans="1:100">
      <c r="A38959" s="374"/>
      <c r="C38959" s="374"/>
      <c r="CV38959" s="376"/>
    </row>
    <row r="38960" spans="1:100">
      <c r="A38960" s="374"/>
      <c r="C38960" s="374"/>
      <c r="CV38960" s="376"/>
    </row>
    <row r="38961" spans="1:100">
      <c r="A38961" s="374"/>
      <c r="C38961" s="374"/>
      <c r="CV38961" s="376"/>
    </row>
    <row r="38962" spans="1:100">
      <c r="A38962" s="374"/>
      <c r="C38962" s="374"/>
      <c r="CV38962" s="376"/>
    </row>
    <row r="38963" spans="1:100">
      <c r="A38963" s="374"/>
      <c r="C38963" s="374"/>
      <c r="CV38963" s="376"/>
    </row>
    <row r="38964" spans="1:100">
      <c r="A38964" s="374"/>
      <c r="C38964" s="374"/>
      <c r="CV38964" s="376"/>
    </row>
    <row r="38965" spans="1:100">
      <c r="A38965" s="374"/>
      <c r="C38965" s="374"/>
      <c r="CV38965" s="376"/>
    </row>
    <row r="38966" spans="1:100">
      <c r="A38966" s="374"/>
      <c r="C38966" s="374"/>
      <c r="CV38966" s="376"/>
    </row>
    <row r="38967" spans="1:100">
      <c r="A38967" s="374"/>
      <c r="C38967" s="374"/>
      <c r="CV38967" s="376"/>
    </row>
    <row r="38968" spans="1:100">
      <c r="A38968" s="374"/>
      <c r="C38968" s="374"/>
      <c r="CV38968" s="376"/>
    </row>
    <row r="38969" spans="1:100">
      <c r="A38969" s="374"/>
      <c r="C38969" s="374"/>
      <c r="CV38969" s="376"/>
    </row>
    <row r="38970" spans="1:100">
      <c r="A38970" s="374"/>
      <c r="C38970" s="374"/>
      <c r="CV38970" s="376"/>
    </row>
    <row r="38971" spans="1:100">
      <c r="A38971" s="374"/>
      <c r="C38971" s="374"/>
      <c r="CV38971" s="376"/>
    </row>
    <row r="38972" spans="1:100">
      <c r="A38972" s="374"/>
      <c r="C38972" s="374"/>
      <c r="CV38972" s="376"/>
    </row>
    <row r="38973" spans="1:100">
      <c r="A38973" s="374"/>
      <c r="C38973" s="374"/>
      <c r="CV38973" s="376"/>
    </row>
    <row r="38974" spans="1:100">
      <c r="A38974" s="374"/>
      <c r="C38974" s="374"/>
      <c r="CV38974" s="376"/>
    </row>
    <row r="38975" spans="1:100">
      <c r="A38975" s="374"/>
      <c r="C38975" s="374"/>
      <c r="CV38975" s="376"/>
    </row>
    <row r="38976" spans="1:100">
      <c r="A38976" s="374"/>
      <c r="C38976" s="374"/>
      <c r="CV38976" s="376"/>
    </row>
    <row r="38977" spans="1:100">
      <c r="A38977" s="374"/>
      <c r="C38977" s="374"/>
      <c r="CV38977" s="376"/>
    </row>
    <row r="38978" spans="1:100">
      <c r="A38978" s="374"/>
      <c r="C38978" s="374"/>
      <c r="CV38978" s="376"/>
    </row>
    <row r="38979" spans="1:100">
      <c r="A38979" s="374"/>
      <c r="C38979" s="374"/>
      <c r="CV38979" s="376"/>
    </row>
    <row r="38980" spans="1:100">
      <c r="A38980" s="374"/>
      <c r="C38980" s="374"/>
      <c r="CV38980" s="376"/>
    </row>
    <row r="38981" spans="1:100">
      <c r="A38981" s="374"/>
      <c r="C38981" s="374"/>
      <c r="CV38981" s="376"/>
    </row>
    <row r="38982" spans="1:100">
      <c r="A38982" s="374"/>
      <c r="C38982" s="374"/>
      <c r="CV38982" s="376"/>
    </row>
    <row r="38983" spans="1:100">
      <c r="A38983" s="374"/>
      <c r="C38983" s="374"/>
      <c r="CV38983" s="376"/>
    </row>
    <row r="38984" spans="1:100">
      <c r="A38984" s="374"/>
      <c r="C38984" s="374"/>
      <c r="CV38984" s="376"/>
    </row>
    <row r="38985" spans="1:100">
      <c r="A38985" s="374"/>
      <c r="C38985" s="374"/>
      <c r="CV38985" s="376"/>
    </row>
    <row r="38986" spans="1:100">
      <c r="A38986" s="374"/>
      <c r="C38986" s="374"/>
      <c r="CV38986" s="376"/>
    </row>
    <row r="38987" spans="1:100">
      <c r="A38987" s="374"/>
      <c r="C38987" s="374"/>
      <c r="CV38987" s="376"/>
    </row>
    <row r="38988" spans="1:100">
      <c r="A38988" s="374"/>
      <c r="C38988" s="374"/>
      <c r="CV38988" s="376"/>
    </row>
    <row r="38989" spans="1:100">
      <c r="A38989" s="374"/>
      <c r="C38989" s="374"/>
      <c r="CV38989" s="376"/>
    </row>
    <row r="38990" spans="1:100">
      <c r="A38990" s="374"/>
      <c r="C38990" s="374"/>
      <c r="CV38990" s="376"/>
    </row>
    <row r="38991" spans="1:100">
      <c r="A38991" s="374"/>
      <c r="C38991" s="374"/>
      <c r="CV38991" s="376"/>
    </row>
    <row r="38992" spans="1:100">
      <c r="A38992" s="374"/>
      <c r="C38992" s="374"/>
      <c r="CV38992" s="376"/>
    </row>
    <row r="38993" spans="1:100">
      <c r="A38993" s="374"/>
      <c r="C38993" s="374"/>
      <c r="CV38993" s="376"/>
    </row>
    <row r="38994" spans="1:100">
      <c r="A38994" s="374"/>
      <c r="C38994" s="374"/>
      <c r="CV38994" s="376"/>
    </row>
    <row r="38995" spans="1:100">
      <c r="A38995" s="374"/>
      <c r="C38995" s="374"/>
      <c r="CV38995" s="376"/>
    </row>
    <row r="38996" spans="1:100">
      <c r="A38996" s="374"/>
      <c r="C38996" s="374"/>
      <c r="CV38996" s="376"/>
    </row>
    <row r="38997" spans="1:100">
      <c r="A38997" s="374"/>
      <c r="C38997" s="374"/>
      <c r="CV38997" s="376"/>
    </row>
    <row r="38998" spans="1:100">
      <c r="A38998" s="374"/>
      <c r="C38998" s="374"/>
      <c r="CV38998" s="376"/>
    </row>
    <row r="38999" spans="1:100">
      <c r="A38999" s="374"/>
      <c r="C38999" s="374"/>
      <c r="CV38999" s="376"/>
    </row>
    <row r="39000" spans="1:100">
      <c r="A39000" s="374"/>
      <c r="C39000" s="374"/>
      <c r="CV39000" s="376"/>
    </row>
    <row r="39001" spans="1:100">
      <c r="A39001" s="374"/>
      <c r="C39001" s="374"/>
      <c r="CV39001" s="376"/>
    </row>
    <row r="39002" spans="1:100">
      <c r="A39002" s="374"/>
      <c r="C39002" s="374"/>
      <c r="CV39002" s="376"/>
    </row>
    <row r="39003" spans="1:100">
      <c r="A39003" s="374"/>
      <c r="C39003" s="374"/>
      <c r="CV39003" s="376"/>
    </row>
    <row r="39004" spans="1:100">
      <c r="A39004" s="374"/>
      <c r="C39004" s="374"/>
      <c r="CV39004" s="376"/>
    </row>
    <row r="39005" spans="1:100">
      <c r="A39005" s="374"/>
      <c r="C39005" s="374"/>
      <c r="CV39005" s="376"/>
    </row>
    <row r="39006" spans="1:100">
      <c r="A39006" s="374"/>
      <c r="C39006" s="374"/>
      <c r="CV39006" s="376"/>
    </row>
    <row r="39007" spans="1:100">
      <c r="A39007" s="374"/>
      <c r="C39007" s="374"/>
      <c r="CV39007" s="376"/>
    </row>
    <row r="39008" spans="1:100">
      <c r="A39008" s="374"/>
      <c r="C39008" s="374"/>
      <c r="CV39008" s="376"/>
    </row>
    <row r="39009" spans="1:100">
      <c r="A39009" s="374"/>
      <c r="C39009" s="374"/>
      <c r="CV39009" s="376"/>
    </row>
    <row r="39010" spans="1:100">
      <c r="A39010" s="374"/>
      <c r="C39010" s="374"/>
      <c r="CV39010" s="376"/>
    </row>
    <row r="39011" spans="1:100">
      <c r="A39011" s="374"/>
      <c r="C39011" s="374"/>
      <c r="CV39011" s="376"/>
    </row>
    <row r="39012" spans="1:100">
      <c r="A39012" s="374"/>
      <c r="C39012" s="374"/>
      <c r="CV39012" s="376"/>
    </row>
    <row r="39013" spans="1:100">
      <c r="A39013" s="374"/>
      <c r="C39013" s="374"/>
      <c r="CV39013" s="376"/>
    </row>
    <row r="39014" spans="1:100">
      <c r="A39014" s="374"/>
      <c r="C39014" s="374"/>
      <c r="CV39014" s="376"/>
    </row>
    <row r="39015" spans="1:100">
      <c r="A39015" s="374"/>
      <c r="C39015" s="374"/>
      <c r="CV39015" s="376"/>
    </row>
    <row r="39016" spans="1:100">
      <c r="A39016" s="374"/>
      <c r="C39016" s="374"/>
      <c r="CV39016" s="376"/>
    </row>
    <row r="39017" spans="1:100">
      <c r="A39017" s="374"/>
      <c r="C39017" s="374"/>
      <c r="CV39017" s="376"/>
    </row>
    <row r="39018" spans="1:100">
      <c r="A39018" s="374"/>
      <c r="C39018" s="374"/>
      <c r="CV39018" s="376"/>
    </row>
    <row r="39019" spans="1:100">
      <c r="A39019" s="374"/>
      <c r="C39019" s="374"/>
      <c r="CV39019" s="376"/>
    </row>
    <row r="39020" spans="1:100">
      <c r="A39020" s="374"/>
      <c r="C39020" s="374"/>
      <c r="CV39020" s="376"/>
    </row>
    <row r="39021" spans="1:100">
      <c r="A39021" s="374"/>
      <c r="C39021" s="374"/>
      <c r="CV39021" s="376"/>
    </row>
    <row r="39022" spans="1:100">
      <c r="A39022" s="374"/>
      <c r="C39022" s="374"/>
      <c r="CV39022" s="376"/>
    </row>
    <row r="39023" spans="1:100">
      <c r="A39023" s="374"/>
      <c r="C39023" s="374"/>
      <c r="CV39023" s="376"/>
    </row>
    <row r="39024" spans="1:100">
      <c r="A39024" s="374"/>
      <c r="C39024" s="374"/>
      <c r="CV39024" s="376"/>
    </row>
    <row r="39025" spans="1:100">
      <c r="A39025" s="374"/>
      <c r="C39025" s="374"/>
      <c r="CV39025" s="376"/>
    </row>
    <row r="39026" spans="1:100">
      <c r="A39026" s="374"/>
      <c r="C39026" s="374"/>
      <c r="CV39026" s="376"/>
    </row>
    <row r="39027" spans="1:100">
      <c r="A39027" s="374"/>
      <c r="C39027" s="374"/>
      <c r="CV39027" s="376"/>
    </row>
    <row r="39028" spans="1:100">
      <c r="A39028" s="374"/>
      <c r="C39028" s="374"/>
      <c r="CV39028" s="376"/>
    </row>
    <row r="39029" spans="1:100">
      <c r="A39029" s="374"/>
      <c r="C39029" s="374"/>
      <c r="CV39029" s="376"/>
    </row>
    <row r="39030" spans="1:100">
      <c r="A39030" s="374"/>
      <c r="C39030" s="374"/>
      <c r="CV39030" s="376"/>
    </row>
    <row r="39031" spans="1:100">
      <c r="A39031" s="374"/>
      <c r="C39031" s="374"/>
      <c r="CV39031" s="376"/>
    </row>
    <row r="39032" spans="1:100">
      <c r="A39032" s="374"/>
      <c r="C39032" s="374"/>
      <c r="CV39032" s="376"/>
    </row>
    <row r="39033" spans="1:100">
      <c r="A39033" s="374"/>
      <c r="C39033" s="374"/>
      <c r="CV39033" s="376"/>
    </row>
    <row r="39034" spans="1:100">
      <c r="A39034" s="374"/>
      <c r="C39034" s="374"/>
      <c r="CV39034" s="376"/>
    </row>
    <row r="39035" spans="1:100">
      <c r="A39035" s="374"/>
      <c r="C39035" s="374"/>
      <c r="CV39035" s="376"/>
    </row>
    <row r="39036" spans="1:100">
      <c r="A39036" s="374"/>
      <c r="C39036" s="374"/>
      <c r="CV39036" s="376"/>
    </row>
    <row r="39037" spans="1:100">
      <c r="A39037" s="374"/>
      <c r="C39037" s="374"/>
      <c r="CV39037" s="376"/>
    </row>
    <row r="39038" spans="1:100">
      <c r="A39038" s="374"/>
      <c r="C39038" s="374"/>
      <c r="CV39038" s="376"/>
    </row>
    <row r="39039" spans="1:100">
      <c r="A39039" s="374"/>
      <c r="C39039" s="374"/>
      <c r="CV39039" s="376"/>
    </row>
    <row r="39040" spans="1:100">
      <c r="A39040" s="374"/>
      <c r="C39040" s="374"/>
      <c r="CV39040" s="376"/>
    </row>
    <row r="39041" spans="1:100">
      <c r="A39041" s="374"/>
      <c r="C39041" s="374"/>
      <c r="CV39041" s="376"/>
    </row>
    <row r="39042" spans="1:100">
      <c r="A39042" s="374"/>
      <c r="C39042" s="374"/>
      <c r="CV39042" s="376"/>
    </row>
    <row r="39043" spans="1:100">
      <c r="A39043" s="374"/>
      <c r="C39043" s="374"/>
      <c r="CV39043" s="376"/>
    </row>
    <row r="39044" spans="1:100">
      <c r="A39044" s="374"/>
      <c r="C39044" s="374"/>
      <c r="CV39044" s="376"/>
    </row>
    <row r="39045" spans="1:100">
      <c r="A39045" s="374"/>
      <c r="C39045" s="374"/>
      <c r="CV39045" s="376"/>
    </row>
    <row r="39046" spans="1:100">
      <c r="A39046" s="374"/>
      <c r="C39046" s="374"/>
      <c r="CV39046" s="376"/>
    </row>
    <row r="39047" spans="1:100">
      <c r="A39047" s="374"/>
      <c r="C39047" s="374"/>
      <c r="CV39047" s="376"/>
    </row>
    <row r="39048" spans="1:100">
      <c r="A39048" s="374"/>
      <c r="C39048" s="374"/>
      <c r="CV39048" s="376"/>
    </row>
    <row r="39049" spans="1:100">
      <c r="A39049" s="374"/>
      <c r="C39049" s="374"/>
      <c r="CV39049" s="376"/>
    </row>
    <row r="39050" spans="1:100">
      <c r="A39050" s="374"/>
      <c r="C39050" s="374"/>
      <c r="CV39050" s="376"/>
    </row>
    <row r="39051" spans="1:100">
      <c r="A39051" s="374"/>
      <c r="C39051" s="374"/>
      <c r="CV39051" s="376"/>
    </row>
    <row r="39052" spans="1:100">
      <c r="A39052" s="374"/>
      <c r="C39052" s="374"/>
      <c r="CV39052" s="376"/>
    </row>
    <row r="39053" spans="1:100">
      <c r="A39053" s="374"/>
      <c r="C39053" s="374"/>
      <c r="CV39053" s="376"/>
    </row>
    <row r="39054" spans="1:100">
      <c r="A39054" s="374"/>
      <c r="C39054" s="374"/>
      <c r="CV39054" s="376"/>
    </row>
    <row r="39055" spans="1:100">
      <c r="A39055" s="374"/>
      <c r="C39055" s="374"/>
      <c r="CV39055" s="376"/>
    </row>
    <row r="39056" spans="1:100">
      <c r="A39056" s="374"/>
      <c r="C39056" s="374"/>
      <c r="CV39056" s="376"/>
    </row>
    <row r="39057" spans="1:100">
      <c r="A39057" s="374"/>
      <c r="C39057" s="374"/>
      <c r="CV39057" s="376"/>
    </row>
    <row r="39058" spans="1:100">
      <c r="A39058" s="374"/>
      <c r="C39058" s="374"/>
      <c r="CV39058" s="376"/>
    </row>
    <row r="39059" spans="1:100">
      <c r="A39059" s="374"/>
      <c r="C39059" s="374"/>
      <c r="CV39059" s="376"/>
    </row>
    <row r="39060" spans="1:100">
      <c r="A39060" s="374"/>
      <c r="C39060" s="374"/>
      <c r="CV39060" s="376"/>
    </row>
    <row r="39061" spans="1:100">
      <c r="A39061" s="374"/>
      <c r="C39061" s="374"/>
      <c r="CV39061" s="376"/>
    </row>
    <row r="39062" spans="1:100">
      <c r="A39062" s="374"/>
      <c r="C39062" s="374"/>
      <c r="CV39062" s="376"/>
    </row>
    <row r="39063" spans="1:100">
      <c r="A39063" s="374"/>
      <c r="C39063" s="374"/>
      <c r="CV39063" s="376"/>
    </row>
    <row r="39064" spans="1:100">
      <c r="A39064" s="374"/>
      <c r="C39064" s="374"/>
      <c r="CV39064" s="376"/>
    </row>
    <row r="39065" spans="1:100">
      <c r="A39065" s="374"/>
      <c r="C39065" s="374"/>
      <c r="CV39065" s="376"/>
    </row>
    <row r="39066" spans="1:100">
      <c r="A39066" s="374"/>
      <c r="C39066" s="374"/>
      <c r="CV39066" s="376"/>
    </row>
    <row r="39067" spans="1:100">
      <c r="A39067" s="374"/>
      <c r="C39067" s="374"/>
      <c r="CV39067" s="376"/>
    </row>
    <row r="39068" spans="1:100">
      <c r="A39068" s="374"/>
      <c r="C39068" s="374"/>
      <c r="CV39068" s="376"/>
    </row>
    <row r="39069" spans="1:100">
      <c r="A39069" s="374"/>
      <c r="C39069" s="374"/>
      <c r="CV39069" s="376"/>
    </row>
    <row r="39070" spans="1:100">
      <c r="A39070" s="374"/>
      <c r="C39070" s="374"/>
      <c r="CV39070" s="376"/>
    </row>
    <row r="39071" spans="1:100">
      <c r="A39071" s="374"/>
      <c r="C39071" s="374"/>
      <c r="CV39071" s="376"/>
    </row>
    <row r="39072" spans="1:100">
      <c r="A39072" s="374"/>
      <c r="C39072" s="374"/>
      <c r="CV39072" s="376"/>
    </row>
    <row r="39073" spans="1:100">
      <c r="A39073" s="374"/>
      <c r="C39073" s="374"/>
      <c r="CV39073" s="376"/>
    </row>
    <row r="39074" spans="1:100">
      <c r="A39074" s="374"/>
      <c r="C39074" s="374"/>
      <c r="CV39074" s="376"/>
    </row>
    <row r="39075" spans="1:100">
      <c r="A39075" s="374"/>
      <c r="C39075" s="374"/>
      <c r="CV39075" s="376"/>
    </row>
    <row r="39076" spans="1:100">
      <c r="A39076" s="374"/>
      <c r="C39076" s="374"/>
      <c r="CV39076" s="376"/>
    </row>
    <row r="39077" spans="1:100">
      <c r="A39077" s="374"/>
      <c r="C39077" s="374"/>
      <c r="CV39077" s="376"/>
    </row>
    <row r="39078" spans="1:100">
      <c r="A39078" s="374"/>
      <c r="C39078" s="374"/>
      <c r="CV39078" s="376"/>
    </row>
    <row r="39079" spans="1:100">
      <c r="A39079" s="374"/>
      <c r="C39079" s="374"/>
      <c r="CV39079" s="376"/>
    </row>
    <row r="39080" spans="1:100">
      <c r="A39080" s="374"/>
      <c r="C39080" s="374"/>
      <c r="CV39080" s="376"/>
    </row>
    <row r="39081" spans="1:100">
      <c r="A39081" s="374"/>
      <c r="C39081" s="374"/>
      <c r="CV39081" s="376"/>
    </row>
    <row r="39082" spans="1:100">
      <c r="A39082" s="374"/>
      <c r="C39082" s="374"/>
      <c r="CV39082" s="376"/>
    </row>
    <row r="39083" spans="1:100">
      <c r="A39083" s="374"/>
      <c r="C39083" s="374"/>
      <c r="CV39083" s="376"/>
    </row>
    <row r="39084" spans="1:100">
      <c r="A39084" s="374"/>
      <c r="C39084" s="374"/>
      <c r="CV39084" s="376"/>
    </row>
    <row r="39085" spans="1:100">
      <c r="A39085" s="374"/>
      <c r="C39085" s="374"/>
      <c r="CV39085" s="376"/>
    </row>
    <row r="39086" spans="1:100">
      <c r="A39086" s="374"/>
      <c r="C39086" s="374"/>
      <c r="CV39086" s="376"/>
    </row>
    <row r="39087" spans="1:100">
      <c r="A39087" s="374"/>
      <c r="C39087" s="374"/>
      <c r="CV39087" s="376"/>
    </row>
    <row r="39088" spans="1:100">
      <c r="A39088" s="374"/>
      <c r="C39088" s="374"/>
      <c r="CV39088" s="376"/>
    </row>
    <row r="39089" spans="1:100">
      <c r="A39089" s="374"/>
      <c r="C39089" s="374"/>
      <c r="CV39089" s="376"/>
    </row>
    <row r="39090" spans="1:100">
      <c r="A39090" s="374"/>
      <c r="C39090" s="374"/>
      <c r="CV39090" s="376"/>
    </row>
    <row r="39091" spans="1:100">
      <c r="A39091" s="374"/>
      <c r="C39091" s="374"/>
      <c r="CV39091" s="376"/>
    </row>
    <row r="39092" spans="1:100">
      <c r="A39092" s="374"/>
      <c r="C39092" s="374"/>
      <c r="CV39092" s="376"/>
    </row>
    <row r="39093" spans="1:100">
      <c r="A39093" s="374"/>
      <c r="C39093" s="374"/>
      <c r="CV39093" s="376"/>
    </row>
    <row r="39094" spans="1:100">
      <c r="A39094" s="374"/>
      <c r="C39094" s="374"/>
      <c r="CV39094" s="376"/>
    </row>
    <row r="39095" spans="1:100">
      <c r="A39095" s="374"/>
      <c r="C39095" s="374"/>
      <c r="CV39095" s="376"/>
    </row>
    <row r="39096" spans="1:100">
      <c r="A39096" s="374"/>
      <c r="C39096" s="374"/>
      <c r="CV39096" s="376"/>
    </row>
    <row r="39097" spans="1:100">
      <c r="A39097" s="374"/>
      <c r="C39097" s="374"/>
      <c r="CV39097" s="376"/>
    </row>
    <row r="39098" spans="1:100">
      <c r="A39098" s="374"/>
      <c r="C39098" s="374"/>
      <c r="CV39098" s="376"/>
    </row>
    <row r="39099" spans="1:100">
      <c r="A39099" s="374"/>
      <c r="C39099" s="374"/>
      <c r="CV39099" s="376"/>
    </row>
    <row r="39100" spans="1:100">
      <c r="A39100" s="374"/>
      <c r="C39100" s="374"/>
      <c r="CV39100" s="376"/>
    </row>
    <row r="39101" spans="1:100">
      <c r="A39101" s="374"/>
      <c r="C39101" s="374"/>
      <c r="CV39101" s="376"/>
    </row>
    <row r="39102" spans="1:100">
      <c r="A39102" s="374"/>
      <c r="C39102" s="374"/>
      <c r="CV39102" s="376"/>
    </row>
    <row r="39103" spans="1:100">
      <c r="A39103" s="374"/>
      <c r="C39103" s="374"/>
      <c r="CV39103" s="376"/>
    </row>
    <row r="39104" spans="1:100">
      <c r="A39104" s="374"/>
      <c r="C39104" s="374"/>
      <c r="CV39104" s="376"/>
    </row>
    <row r="39105" spans="1:100">
      <c r="A39105" s="374"/>
      <c r="C39105" s="374"/>
      <c r="CV39105" s="376"/>
    </row>
    <row r="39106" spans="1:100">
      <c r="A39106" s="374"/>
      <c r="C39106" s="374"/>
      <c r="CV39106" s="376"/>
    </row>
    <row r="39107" spans="1:100">
      <c r="A39107" s="374"/>
      <c r="C39107" s="374"/>
      <c r="CV39107" s="376"/>
    </row>
    <row r="39108" spans="1:100">
      <c r="A39108" s="374"/>
      <c r="C39108" s="374"/>
      <c r="CV39108" s="376"/>
    </row>
    <row r="39109" spans="1:100">
      <c r="A39109" s="374"/>
      <c r="C39109" s="374"/>
      <c r="CV39109" s="376"/>
    </row>
    <row r="39110" spans="1:100">
      <c r="A39110" s="374"/>
      <c r="C39110" s="374"/>
      <c r="CV39110" s="376"/>
    </row>
    <row r="39111" spans="1:100">
      <c r="A39111" s="374"/>
      <c r="C39111" s="374"/>
      <c r="CV39111" s="376"/>
    </row>
    <row r="39112" spans="1:100">
      <c r="A39112" s="374"/>
      <c r="C39112" s="374"/>
      <c r="CV39112" s="376"/>
    </row>
    <row r="39113" spans="1:100">
      <c r="A39113" s="374"/>
      <c r="C39113" s="374"/>
      <c r="CV39113" s="376"/>
    </row>
    <row r="39114" spans="1:100">
      <c r="A39114" s="374"/>
      <c r="C39114" s="374"/>
      <c r="CV39114" s="376"/>
    </row>
    <row r="39115" spans="1:100">
      <c r="A39115" s="374"/>
      <c r="C39115" s="374"/>
      <c r="CV39115" s="376"/>
    </row>
    <row r="39116" spans="1:100">
      <c r="A39116" s="374"/>
      <c r="C39116" s="374"/>
      <c r="CV39116" s="376"/>
    </row>
    <row r="39117" spans="1:100">
      <c r="A39117" s="374"/>
      <c r="C39117" s="374"/>
      <c r="CV39117" s="376"/>
    </row>
    <row r="39118" spans="1:100">
      <c r="A39118" s="374"/>
      <c r="C39118" s="374"/>
      <c r="CV39118" s="376"/>
    </row>
    <row r="39119" spans="1:100">
      <c r="A39119" s="374"/>
      <c r="C39119" s="374"/>
      <c r="CV39119" s="376"/>
    </row>
    <row r="39120" spans="1:100">
      <c r="A39120" s="374"/>
      <c r="C39120" s="374"/>
      <c r="CV39120" s="376"/>
    </row>
    <row r="39121" spans="1:100">
      <c r="A39121" s="374"/>
      <c r="C39121" s="374"/>
      <c r="CV39121" s="376"/>
    </row>
    <row r="39122" spans="1:100">
      <c r="A39122" s="374"/>
      <c r="C39122" s="374"/>
      <c r="CV39122" s="376"/>
    </row>
    <row r="39123" spans="1:100">
      <c r="A39123" s="374"/>
      <c r="C39123" s="374"/>
      <c r="CV39123" s="376"/>
    </row>
    <row r="39124" spans="1:100">
      <c r="A39124" s="374"/>
      <c r="C39124" s="374"/>
      <c r="CV39124" s="376"/>
    </row>
    <row r="39125" spans="1:100">
      <c r="A39125" s="374"/>
      <c r="C39125" s="374"/>
      <c r="CV39125" s="376"/>
    </row>
    <row r="39126" spans="1:100">
      <c r="A39126" s="374"/>
      <c r="C39126" s="374"/>
      <c r="CV39126" s="376"/>
    </row>
    <row r="39127" spans="1:100">
      <c r="A39127" s="374"/>
      <c r="C39127" s="374"/>
      <c r="CV39127" s="376"/>
    </row>
    <row r="39128" spans="1:100">
      <c r="A39128" s="374"/>
      <c r="C39128" s="374"/>
      <c r="CV39128" s="376"/>
    </row>
    <row r="39129" spans="1:100">
      <c r="A39129" s="374"/>
      <c r="C39129" s="374"/>
      <c r="CV39129" s="376"/>
    </row>
    <row r="39130" spans="1:100">
      <c r="A39130" s="374"/>
      <c r="C39130" s="374"/>
      <c r="CV39130" s="376"/>
    </row>
    <row r="39131" spans="1:100">
      <c r="A39131" s="374"/>
      <c r="C39131" s="374"/>
      <c r="CV39131" s="376"/>
    </row>
    <row r="39132" spans="1:100">
      <c r="A39132" s="374"/>
      <c r="C39132" s="374"/>
      <c r="CV39132" s="376"/>
    </row>
    <row r="39133" spans="1:100">
      <c r="A39133" s="374"/>
      <c r="C39133" s="374"/>
      <c r="CV39133" s="376"/>
    </row>
    <row r="39134" spans="1:100">
      <c r="A39134" s="374"/>
      <c r="C39134" s="374"/>
      <c r="CV39134" s="376"/>
    </row>
    <row r="39135" spans="1:100">
      <c r="A39135" s="374"/>
      <c r="C39135" s="374"/>
      <c r="CV39135" s="376"/>
    </row>
    <row r="39136" spans="1:100">
      <c r="A39136" s="374"/>
      <c r="C39136" s="374"/>
      <c r="CV39136" s="376"/>
    </row>
    <row r="39137" spans="1:100">
      <c r="A39137" s="374"/>
      <c r="C39137" s="374"/>
      <c r="CV39137" s="376"/>
    </row>
    <row r="39138" spans="1:100">
      <c r="A39138" s="374"/>
      <c r="C39138" s="374"/>
      <c r="CV39138" s="376"/>
    </row>
    <row r="39139" spans="1:100">
      <c r="A39139" s="374"/>
      <c r="C39139" s="374"/>
      <c r="CV39139" s="376"/>
    </row>
    <row r="39140" spans="1:100">
      <c r="A39140" s="374"/>
      <c r="C39140" s="374"/>
      <c r="CV39140" s="376"/>
    </row>
    <row r="39141" spans="1:100">
      <c r="A39141" s="374"/>
      <c r="C39141" s="374"/>
      <c r="CV39141" s="376"/>
    </row>
    <row r="39142" spans="1:100">
      <c r="A39142" s="374"/>
      <c r="C39142" s="374"/>
      <c r="CV39142" s="376"/>
    </row>
    <row r="39143" spans="1:100">
      <c r="A39143" s="374"/>
      <c r="C39143" s="374"/>
      <c r="CV39143" s="376"/>
    </row>
    <row r="39144" spans="1:100">
      <c r="A39144" s="374"/>
      <c r="C39144" s="374"/>
      <c r="CV39144" s="376"/>
    </row>
    <row r="39145" spans="1:100">
      <c r="A39145" s="374"/>
      <c r="C39145" s="374"/>
      <c r="CV39145" s="376"/>
    </row>
    <row r="39146" spans="1:100">
      <c r="A39146" s="374"/>
      <c r="C39146" s="374"/>
      <c r="CV39146" s="376"/>
    </row>
    <row r="39147" spans="1:100">
      <c r="A39147" s="374"/>
      <c r="C39147" s="374"/>
      <c r="CV39147" s="376"/>
    </row>
    <row r="39148" spans="1:100">
      <c r="A39148" s="374"/>
      <c r="C39148" s="374"/>
      <c r="CV39148" s="376"/>
    </row>
    <row r="39149" spans="1:100">
      <c r="A39149" s="374"/>
      <c r="C39149" s="374"/>
      <c r="CV39149" s="376"/>
    </row>
    <row r="39150" spans="1:100">
      <c r="A39150" s="374"/>
      <c r="C39150" s="374"/>
      <c r="CV39150" s="376"/>
    </row>
    <row r="39151" spans="1:100">
      <c r="A39151" s="374"/>
      <c r="C39151" s="374"/>
      <c r="CV39151" s="376"/>
    </row>
    <row r="39152" spans="1:100">
      <c r="A39152" s="374"/>
      <c r="C39152" s="374"/>
      <c r="CV39152" s="376"/>
    </row>
    <row r="39153" spans="1:100">
      <c r="A39153" s="374"/>
      <c r="C39153" s="374"/>
      <c r="CV39153" s="376"/>
    </row>
    <row r="39154" spans="1:100">
      <c r="A39154" s="374"/>
      <c r="C39154" s="374"/>
      <c r="CV39154" s="376"/>
    </row>
    <row r="39155" spans="1:100">
      <c r="A39155" s="374"/>
      <c r="C39155" s="374"/>
      <c r="CV39155" s="376"/>
    </row>
    <row r="39156" spans="1:100">
      <c r="A39156" s="374"/>
      <c r="C39156" s="374"/>
      <c r="CV39156" s="376"/>
    </row>
    <row r="39157" spans="1:100">
      <c r="A39157" s="374"/>
      <c r="C39157" s="374"/>
      <c r="CV39157" s="376"/>
    </row>
    <row r="39158" spans="1:100">
      <c r="A39158" s="374"/>
      <c r="C39158" s="374"/>
      <c r="CV39158" s="376"/>
    </row>
    <row r="39159" spans="1:100">
      <c r="A39159" s="374"/>
      <c r="C39159" s="374"/>
      <c r="CV39159" s="376"/>
    </row>
    <row r="39160" spans="1:100">
      <c r="A39160" s="374"/>
      <c r="C39160" s="374"/>
      <c r="CV39160" s="376"/>
    </row>
    <row r="39161" spans="1:100">
      <c r="A39161" s="374"/>
      <c r="C39161" s="374"/>
      <c r="CV39161" s="376"/>
    </row>
    <row r="39162" spans="1:100">
      <c r="A39162" s="374"/>
      <c r="C39162" s="374"/>
      <c r="CV39162" s="376"/>
    </row>
    <row r="39163" spans="1:100">
      <c r="A39163" s="374"/>
      <c r="C39163" s="374"/>
      <c r="CV39163" s="376"/>
    </row>
    <row r="39164" spans="1:100">
      <c r="A39164" s="374"/>
      <c r="C39164" s="374"/>
      <c r="CV39164" s="376"/>
    </row>
    <row r="39165" spans="1:100">
      <c r="A39165" s="374"/>
      <c r="C39165" s="374"/>
      <c r="CV39165" s="376"/>
    </row>
    <row r="39166" spans="1:100">
      <c r="A39166" s="374"/>
      <c r="C39166" s="374"/>
      <c r="CV39166" s="376"/>
    </row>
    <row r="39167" spans="1:100">
      <c r="A39167" s="374"/>
      <c r="C39167" s="374"/>
      <c r="CV39167" s="376"/>
    </row>
    <row r="39168" spans="1:100">
      <c r="A39168" s="374"/>
      <c r="C39168" s="374"/>
      <c r="CV39168" s="376"/>
    </row>
    <row r="39169" spans="1:100">
      <c r="A39169" s="374"/>
      <c r="C39169" s="374"/>
      <c r="CV39169" s="376"/>
    </row>
    <row r="39170" spans="1:100">
      <c r="A39170" s="374"/>
      <c r="C39170" s="374"/>
      <c r="CV39170" s="376"/>
    </row>
    <row r="39171" spans="1:100">
      <c r="A39171" s="374"/>
      <c r="C39171" s="374"/>
      <c r="CV39171" s="376"/>
    </row>
    <row r="39172" spans="1:100">
      <c r="A39172" s="374"/>
      <c r="C39172" s="374"/>
      <c r="CV39172" s="376"/>
    </row>
    <row r="39173" spans="1:100">
      <c r="A39173" s="374"/>
      <c r="C39173" s="374"/>
      <c r="CV39173" s="376"/>
    </row>
    <row r="39174" spans="1:100">
      <c r="A39174" s="374"/>
      <c r="C39174" s="374"/>
      <c r="CV39174" s="376"/>
    </row>
    <row r="39175" spans="1:100">
      <c r="A39175" s="374"/>
      <c r="C39175" s="374"/>
      <c r="CV39175" s="376"/>
    </row>
    <row r="39176" spans="1:100">
      <c r="A39176" s="374"/>
      <c r="C39176" s="374"/>
      <c r="CV39176" s="376"/>
    </row>
    <row r="39177" spans="1:100">
      <c r="A39177" s="374"/>
      <c r="C39177" s="374"/>
      <c r="CV39177" s="376"/>
    </row>
    <row r="39178" spans="1:100">
      <c r="A39178" s="374"/>
      <c r="C39178" s="374"/>
      <c r="CV39178" s="376"/>
    </row>
    <row r="39179" spans="1:100">
      <c r="A39179" s="374"/>
      <c r="C39179" s="374"/>
      <c r="CV39179" s="376"/>
    </row>
    <row r="39180" spans="1:100">
      <c r="A39180" s="374"/>
      <c r="C39180" s="374"/>
      <c r="CV39180" s="376"/>
    </row>
    <row r="39181" spans="1:100">
      <c r="A39181" s="374"/>
      <c r="C39181" s="374"/>
      <c r="CV39181" s="376"/>
    </row>
    <row r="39182" spans="1:100">
      <c r="A39182" s="374"/>
      <c r="C39182" s="374"/>
      <c r="CV39182" s="376"/>
    </row>
    <row r="39183" spans="1:100">
      <c r="A39183" s="374"/>
      <c r="C39183" s="374"/>
      <c r="CV39183" s="376"/>
    </row>
    <row r="39184" spans="1:100">
      <c r="A39184" s="374"/>
      <c r="C39184" s="374"/>
      <c r="CV39184" s="376"/>
    </row>
    <row r="39185" spans="1:100">
      <c r="A39185" s="374"/>
      <c r="C39185" s="374"/>
      <c r="CV39185" s="376"/>
    </row>
    <row r="39186" spans="1:100">
      <c r="A39186" s="374"/>
      <c r="C39186" s="374"/>
      <c r="CV39186" s="376"/>
    </row>
    <row r="39187" spans="1:100">
      <c r="A39187" s="374"/>
      <c r="C39187" s="374"/>
      <c r="CV39187" s="376"/>
    </row>
    <row r="39188" spans="1:100">
      <c r="A39188" s="374"/>
      <c r="C39188" s="374"/>
      <c r="CV39188" s="376"/>
    </row>
    <row r="39189" spans="1:100">
      <c r="A39189" s="374"/>
      <c r="C39189" s="374"/>
      <c r="CV39189" s="376"/>
    </row>
    <row r="39190" spans="1:100">
      <c r="A39190" s="374"/>
      <c r="C39190" s="374"/>
      <c r="CV39190" s="376"/>
    </row>
    <row r="39191" spans="1:100">
      <c r="A39191" s="374"/>
      <c r="C39191" s="374"/>
      <c r="CV39191" s="376"/>
    </row>
    <row r="39192" spans="1:100">
      <c r="A39192" s="374"/>
      <c r="C39192" s="374"/>
      <c r="CV39192" s="376"/>
    </row>
    <row r="39193" spans="1:100">
      <c r="A39193" s="374"/>
      <c r="C39193" s="374"/>
      <c r="CV39193" s="376"/>
    </row>
    <row r="39194" spans="1:100">
      <c r="A39194" s="374"/>
      <c r="C39194" s="374"/>
      <c r="CV39194" s="376"/>
    </row>
    <row r="39195" spans="1:100">
      <c r="A39195" s="374"/>
      <c r="C39195" s="374"/>
      <c r="CV39195" s="376"/>
    </row>
    <row r="39196" spans="1:100">
      <c r="A39196" s="374"/>
      <c r="C39196" s="374"/>
      <c r="CV39196" s="376"/>
    </row>
    <row r="39197" spans="1:100">
      <c r="A39197" s="374"/>
      <c r="C39197" s="374"/>
      <c r="CV39197" s="376"/>
    </row>
    <row r="39198" spans="1:100">
      <c r="A39198" s="374"/>
      <c r="C39198" s="374"/>
      <c r="CV39198" s="376"/>
    </row>
    <row r="39199" spans="1:100">
      <c r="A39199" s="374"/>
      <c r="C39199" s="374"/>
      <c r="CV39199" s="376"/>
    </row>
    <row r="39200" spans="1:100">
      <c r="A39200" s="374"/>
      <c r="C39200" s="374"/>
      <c r="CV39200" s="376"/>
    </row>
    <row r="39201" spans="1:100">
      <c r="A39201" s="374"/>
      <c r="C39201" s="374"/>
      <c r="CV39201" s="376"/>
    </row>
    <row r="39202" spans="1:100">
      <c r="A39202" s="374"/>
      <c r="C39202" s="374"/>
      <c r="CV39202" s="376"/>
    </row>
    <row r="39203" spans="1:100">
      <c r="A39203" s="374"/>
      <c r="C39203" s="374"/>
      <c r="CV39203" s="376"/>
    </row>
    <row r="39204" spans="1:100">
      <c r="A39204" s="374"/>
      <c r="C39204" s="374"/>
      <c r="CV39204" s="376"/>
    </row>
    <row r="39205" spans="1:100">
      <c r="A39205" s="374"/>
      <c r="C39205" s="374"/>
      <c r="CV39205" s="376"/>
    </row>
    <row r="39206" spans="1:100">
      <c r="A39206" s="374"/>
      <c r="C39206" s="374"/>
      <c r="CV39206" s="376"/>
    </row>
    <row r="39207" spans="1:100">
      <c r="A39207" s="374"/>
      <c r="C39207" s="374"/>
      <c r="CV39207" s="376"/>
    </row>
    <row r="39208" spans="1:100">
      <c r="A39208" s="374"/>
      <c r="C39208" s="374"/>
      <c r="CV39208" s="376"/>
    </row>
    <row r="39209" spans="1:100">
      <c r="A39209" s="374"/>
      <c r="C39209" s="374"/>
      <c r="CV39209" s="376"/>
    </row>
    <row r="39210" spans="1:100">
      <c r="A39210" s="374"/>
      <c r="C39210" s="374"/>
      <c r="CV39210" s="376"/>
    </row>
    <row r="39211" spans="1:100">
      <c r="A39211" s="374"/>
      <c r="C39211" s="374"/>
      <c r="CV39211" s="376"/>
    </row>
    <row r="39212" spans="1:100">
      <c r="A39212" s="374"/>
      <c r="C39212" s="374"/>
      <c r="CV39212" s="376"/>
    </row>
    <row r="39213" spans="1:100">
      <c r="A39213" s="374"/>
      <c r="C39213" s="374"/>
      <c r="CV39213" s="376"/>
    </row>
    <row r="39214" spans="1:100">
      <c r="A39214" s="374"/>
      <c r="C39214" s="374"/>
      <c r="CV39214" s="376"/>
    </row>
    <row r="39215" spans="1:100">
      <c r="A39215" s="374"/>
      <c r="C39215" s="374"/>
      <c r="CV39215" s="376"/>
    </row>
    <row r="39216" spans="1:100">
      <c r="A39216" s="374"/>
      <c r="C39216" s="374"/>
      <c r="CV39216" s="376"/>
    </row>
    <row r="39217" spans="1:100">
      <c r="A39217" s="374"/>
      <c r="C39217" s="374"/>
      <c r="CV39217" s="376"/>
    </row>
    <row r="39218" spans="1:100">
      <c r="A39218" s="374"/>
      <c r="C39218" s="374"/>
      <c r="CV39218" s="376"/>
    </row>
    <row r="39219" spans="1:100">
      <c r="A39219" s="374"/>
      <c r="C39219" s="374"/>
      <c r="CV39219" s="376"/>
    </row>
    <row r="39220" spans="1:100">
      <c r="A39220" s="374"/>
      <c r="C39220" s="374"/>
      <c r="CV39220" s="376"/>
    </row>
    <row r="39221" spans="1:100">
      <c r="A39221" s="374"/>
      <c r="C39221" s="374"/>
      <c r="CV39221" s="376"/>
    </row>
    <row r="39222" spans="1:100">
      <c r="A39222" s="374"/>
      <c r="C39222" s="374"/>
      <c r="CV39222" s="376"/>
    </row>
    <row r="39223" spans="1:100">
      <c r="A39223" s="374"/>
      <c r="C39223" s="374"/>
      <c r="CV39223" s="376"/>
    </row>
    <row r="39224" spans="1:100">
      <c r="A39224" s="374"/>
      <c r="C39224" s="374"/>
      <c r="CV39224" s="376"/>
    </row>
    <row r="39225" spans="1:100">
      <c r="A39225" s="374"/>
      <c r="C39225" s="374"/>
      <c r="CV39225" s="376"/>
    </row>
    <row r="39226" spans="1:100">
      <c r="A39226" s="374"/>
      <c r="C39226" s="374"/>
      <c r="CV39226" s="376"/>
    </row>
    <row r="39227" spans="1:100">
      <c r="A39227" s="374"/>
      <c r="C39227" s="374"/>
      <c r="CV39227" s="376"/>
    </row>
    <row r="39228" spans="1:100">
      <c r="A39228" s="374"/>
      <c r="C39228" s="374"/>
      <c r="CV39228" s="376"/>
    </row>
    <row r="39229" spans="1:100">
      <c r="A39229" s="374"/>
      <c r="C39229" s="374"/>
      <c r="CV39229" s="376"/>
    </row>
    <row r="39230" spans="1:100">
      <c r="A39230" s="374"/>
      <c r="C39230" s="374"/>
      <c r="CV39230" s="376"/>
    </row>
    <row r="39231" spans="1:100">
      <c r="A39231" s="374"/>
      <c r="C39231" s="374"/>
      <c r="CV39231" s="376"/>
    </row>
    <row r="39232" spans="1:100">
      <c r="A39232" s="374"/>
      <c r="C39232" s="374"/>
      <c r="CV39232" s="376"/>
    </row>
    <row r="39233" spans="1:100">
      <c r="A39233" s="374"/>
      <c r="C39233" s="374"/>
      <c r="CV39233" s="376"/>
    </row>
    <row r="39234" spans="1:100">
      <c r="A39234" s="374"/>
      <c r="C39234" s="374"/>
      <c r="CV39234" s="376"/>
    </row>
    <row r="39235" spans="1:100">
      <c r="A39235" s="374"/>
      <c r="C39235" s="374"/>
      <c r="CV39235" s="376"/>
    </row>
    <row r="39236" spans="1:100">
      <c r="A39236" s="374"/>
      <c r="C39236" s="374"/>
      <c r="CV39236" s="376"/>
    </row>
    <row r="39237" spans="1:100">
      <c r="A39237" s="374"/>
      <c r="C39237" s="374"/>
      <c r="CV39237" s="376"/>
    </row>
    <row r="39238" spans="1:100">
      <c r="A39238" s="374"/>
      <c r="C39238" s="374"/>
      <c r="CV39238" s="376"/>
    </row>
    <row r="39239" spans="1:100">
      <c r="A39239" s="374"/>
      <c r="C39239" s="374"/>
      <c r="CV39239" s="376"/>
    </row>
    <row r="39240" spans="1:100">
      <c r="A39240" s="374"/>
      <c r="C39240" s="374"/>
      <c r="CV39240" s="376"/>
    </row>
    <row r="39241" spans="1:100">
      <c r="A39241" s="374"/>
      <c r="C39241" s="374"/>
      <c r="CV39241" s="376"/>
    </row>
    <row r="39242" spans="1:100">
      <c r="A39242" s="374"/>
      <c r="C39242" s="374"/>
      <c r="CV39242" s="376"/>
    </row>
    <row r="39243" spans="1:100">
      <c r="A39243" s="374"/>
      <c r="C39243" s="374"/>
      <c r="CV39243" s="376"/>
    </row>
    <row r="39244" spans="1:100">
      <c r="A39244" s="374"/>
      <c r="C39244" s="374"/>
      <c r="CV39244" s="376"/>
    </row>
    <row r="39245" spans="1:100">
      <c r="A39245" s="374"/>
      <c r="C39245" s="374"/>
      <c r="CV39245" s="376"/>
    </row>
    <row r="39246" spans="1:100">
      <c r="A39246" s="374"/>
      <c r="C39246" s="374"/>
      <c r="CV39246" s="376"/>
    </row>
    <row r="39247" spans="1:100">
      <c r="A39247" s="374"/>
      <c r="C39247" s="374"/>
      <c r="CV39247" s="376"/>
    </row>
    <row r="39248" spans="1:100">
      <c r="A39248" s="374"/>
      <c r="C39248" s="374"/>
      <c r="CV39248" s="376"/>
    </row>
    <row r="39249" spans="1:100">
      <c r="A39249" s="374"/>
      <c r="C39249" s="374"/>
      <c r="CV39249" s="376"/>
    </row>
    <row r="39250" spans="1:100">
      <c r="A39250" s="374"/>
      <c r="C39250" s="374"/>
      <c r="CV39250" s="376"/>
    </row>
    <row r="39251" spans="1:100">
      <c r="A39251" s="374"/>
      <c r="C39251" s="374"/>
      <c r="CV39251" s="376"/>
    </row>
    <row r="39252" spans="1:100">
      <c r="A39252" s="374"/>
      <c r="C39252" s="374"/>
      <c r="CV39252" s="376"/>
    </row>
    <row r="39253" spans="1:100">
      <c r="A39253" s="374"/>
      <c r="C39253" s="374"/>
      <c r="CV39253" s="376"/>
    </row>
    <row r="39254" spans="1:100">
      <c r="A39254" s="374"/>
      <c r="C39254" s="374"/>
      <c r="CV39254" s="376"/>
    </row>
    <row r="39255" spans="1:100">
      <c r="A39255" s="374"/>
      <c r="C39255" s="374"/>
      <c r="CV39255" s="376"/>
    </row>
    <row r="39256" spans="1:100">
      <c r="A39256" s="374"/>
      <c r="C39256" s="374"/>
      <c r="CV39256" s="376"/>
    </row>
    <row r="39257" spans="1:100">
      <c r="A39257" s="374"/>
      <c r="C39257" s="374"/>
      <c r="CV39257" s="376"/>
    </row>
    <row r="39258" spans="1:100">
      <c r="A39258" s="374"/>
      <c r="C39258" s="374"/>
      <c r="CV39258" s="376"/>
    </row>
    <row r="39259" spans="1:100">
      <c r="A39259" s="374"/>
      <c r="C39259" s="374"/>
      <c r="CV39259" s="376"/>
    </row>
    <row r="39260" spans="1:100">
      <c r="A39260" s="374"/>
      <c r="C39260" s="374"/>
      <c r="CV39260" s="376"/>
    </row>
    <row r="39261" spans="1:100">
      <c r="A39261" s="374"/>
      <c r="C39261" s="374"/>
      <c r="CV39261" s="376"/>
    </row>
    <row r="39262" spans="1:100">
      <c r="A39262" s="374"/>
      <c r="C39262" s="374"/>
      <c r="CV39262" s="376"/>
    </row>
    <row r="39263" spans="1:100">
      <c r="A39263" s="374"/>
      <c r="C39263" s="374"/>
      <c r="CV39263" s="376"/>
    </row>
    <row r="39264" spans="1:100">
      <c r="A39264" s="374"/>
      <c r="C39264" s="374"/>
      <c r="CV39264" s="376"/>
    </row>
    <row r="39265" spans="1:100">
      <c r="A39265" s="374"/>
      <c r="C39265" s="374"/>
      <c r="CV39265" s="376"/>
    </row>
    <row r="39266" spans="1:100">
      <c r="A39266" s="374"/>
      <c r="C39266" s="374"/>
      <c r="CV39266" s="376"/>
    </row>
    <row r="39267" spans="1:100">
      <c r="A39267" s="374"/>
      <c r="C39267" s="374"/>
      <c r="CV39267" s="376"/>
    </row>
    <row r="39268" spans="1:100">
      <c r="A39268" s="374"/>
      <c r="C39268" s="374"/>
      <c r="CV39268" s="376"/>
    </row>
    <row r="39269" spans="1:100">
      <c r="A39269" s="374"/>
      <c r="C39269" s="374"/>
      <c r="CV39269" s="376"/>
    </row>
    <row r="39270" spans="1:100">
      <c r="A39270" s="374"/>
      <c r="C39270" s="374"/>
      <c r="CV39270" s="376"/>
    </row>
    <row r="39271" spans="1:100">
      <c r="A39271" s="374"/>
      <c r="C39271" s="374"/>
      <c r="CV39271" s="376"/>
    </row>
    <row r="39272" spans="1:100">
      <c r="A39272" s="374"/>
      <c r="C39272" s="374"/>
      <c r="CV39272" s="376"/>
    </row>
    <row r="39273" spans="1:100">
      <c r="A39273" s="374"/>
      <c r="C39273" s="374"/>
      <c r="CV39273" s="376"/>
    </row>
    <row r="39274" spans="1:100">
      <c r="A39274" s="374"/>
      <c r="C39274" s="374"/>
      <c r="CV39274" s="376"/>
    </row>
    <row r="39275" spans="1:100">
      <c r="A39275" s="374"/>
      <c r="C39275" s="374"/>
      <c r="CV39275" s="376"/>
    </row>
    <row r="39276" spans="1:100">
      <c r="A39276" s="374"/>
      <c r="C39276" s="374"/>
      <c r="CV39276" s="376"/>
    </row>
    <row r="39277" spans="1:100">
      <c r="A39277" s="374"/>
      <c r="C39277" s="374"/>
      <c r="CV39277" s="376"/>
    </row>
    <row r="39278" spans="1:100">
      <c r="A39278" s="374"/>
      <c r="C39278" s="374"/>
      <c r="CV39278" s="376"/>
    </row>
    <row r="39279" spans="1:100">
      <c r="A39279" s="374"/>
      <c r="C39279" s="374"/>
      <c r="CV39279" s="376"/>
    </row>
    <row r="39280" spans="1:100">
      <c r="A39280" s="374"/>
      <c r="C39280" s="374"/>
      <c r="CV39280" s="376"/>
    </row>
    <row r="39281" spans="1:100">
      <c r="A39281" s="374"/>
      <c r="C39281" s="374"/>
      <c r="CV39281" s="376"/>
    </row>
    <row r="39282" spans="1:100">
      <c r="A39282" s="374"/>
      <c r="C39282" s="374"/>
      <c r="CV39282" s="376"/>
    </row>
    <row r="39283" spans="1:100">
      <c r="A39283" s="374"/>
      <c r="C39283" s="374"/>
      <c r="CV39283" s="376"/>
    </row>
    <row r="39284" spans="1:100">
      <c r="A39284" s="374"/>
      <c r="C39284" s="374"/>
      <c r="CV39284" s="376"/>
    </row>
    <row r="39285" spans="1:100">
      <c r="A39285" s="374"/>
      <c r="C39285" s="374"/>
      <c r="CV39285" s="376"/>
    </row>
    <row r="39286" spans="1:100">
      <c r="A39286" s="374"/>
      <c r="C39286" s="374"/>
      <c r="CV39286" s="376"/>
    </row>
    <row r="39287" spans="1:100">
      <c r="A39287" s="374"/>
      <c r="C39287" s="374"/>
      <c r="CV39287" s="376"/>
    </row>
    <row r="39288" spans="1:100">
      <c r="A39288" s="374"/>
      <c r="C39288" s="374"/>
      <c r="CV39288" s="376"/>
    </row>
    <row r="39289" spans="1:100">
      <c r="A39289" s="374"/>
      <c r="C39289" s="374"/>
      <c r="CV39289" s="376"/>
    </row>
    <row r="39290" spans="1:100">
      <c r="A39290" s="374"/>
      <c r="C39290" s="374"/>
      <c r="CV39290" s="376"/>
    </row>
    <row r="39291" spans="1:100">
      <c r="A39291" s="374"/>
      <c r="C39291" s="374"/>
      <c r="CV39291" s="376"/>
    </row>
    <row r="39292" spans="1:100">
      <c r="A39292" s="374"/>
      <c r="C39292" s="374"/>
      <c r="CV39292" s="376"/>
    </row>
    <row r="39293" spans="1:100">
      <c r="A39293" s="374"/>
      <c r="C39293" s="374"/>
      <c r="CV39293" s="376"/>
    </row>
    <row r="39294" spans="1:100">
      <c r="A39294" s="374"/>
      <c r="C39294" s="374"/>
      <c r="CV39294" s="376"/>
    </row>
    <row r="39295" spans="1:100">
      <c r="A39295" s="374"/>
      <c r="C39295" s="374"/>
      <c r="CV39295" s="376"/>
    </row>
    <row r="39296" spans="1:100">
      <c r="A39296" s="374"/>
      <c r="C39296" s="374"/>
      <c r="CV39296" s="376"/>
    </row>
    <row r="39297" spans="1:100">
      <c r="A39297" s="374"/>
      <c r="C39297" s="374"/>
      <c r="CV39297" s="376"/>
    </row>
    <row r="39298" spans="1:100">
      <c r="A39298" s="374"/>
      <c r="C39298" s="374"/>
      <c r="CV39298" s="376"/>
    </row>
    <row r="39299" spans="1:100">
      <c r="A39299" s="374"/>
      <c r="C39299" s="374"/>
      <c r="CV39299" s="376"/>
    </row>
    <row r="39300" spans="1:100">
      <c r="A39300" s="374"/>
      <c r="C39300" s="374"/>
      <c r="CV39300" s="376"/>
    </row>
    <row r="39301" spans="1:100">
      <c r="A39301" s="374"/>
      <c r="C39301" s="374"/>
      <c r="CV39301" s="376"/>
    </row>
    <row r="39302" spans="1:100">
      <c r="A39302" s="374"/>
      <c r="C39302" s="374"/>
      <c r="CV39302" s="376"/>
    </row>
    <row r="39303" spans="1:100">
      <c r="A39303" s="374"/>
      <c r="C39303" s="374"/>
      <c r="CV39303" s="376"/>
    </row>
    <row r="39304" spans="1:100">
      <c r="A39304" s="374"/>
      <c r="C39304" s="374"/>
      <c r="CV39304" s="376"/>
    </row>
    <row r="39305" spans="1:100">
      <c r="A39305" s="374"/>
      <c r="C39305" s="374"/>
      <c r="CV39305" s="376"/>
    </row>
    <row r="39306" spans="1:100">
      <c r="A39306" s="374"/>
      <c r="C39306" s="374"/>
      <c r="CV39306" s="376"/>
    </row>
    <row r="39307" spans="1:100">
      <c r="A39307" s="374"/>
      <c r="C39307" s="374"/>
      <c r="CV39307" s="376"/>
    </row>
    <row r="39308" spans="1:100">
      <c r="A39308" s="374"/>
      <c r="C39308" s="374"/>
      <c r="CV39308" s="376"/>
    </row>
    <row r="39309" spans="1:100">
      <c r="A39309" s="374"/>
      <c r="C39309" s="374"/>
      <c r="CV39309" s="376"/>
    </row>
    <row r="39310" spans="1:100">
      <c r="A39310" s="374"/>
      <c r="C39310" s="374"/>
      <c r="CV39310" s="376"/>
    </row>
    <row r="39311" spans="1:100">
      <c r="A39311" s="374"/>
      <c r="C39311" s="374"/>
      <c r="CV39311" s="376"/>
    </row>
    <row r="39312" spans="1:100">
      <c r="A39312" s="374"/>
      <c r="C39312" s="374"/>
      <c r="CV39312" s="376"/>
    </row>
    <row r="39313" spans="1:100">
      <c r="A39313" s="374"/>
      <c r="C39313" s="374"/>
      <c r="CV39313" s="376"/>
    </row>
    <row r="39314" spans="1:100">
      <c r="A39314" s="374"/>
      <c r="C39314" s="374"/>
      <c r="CV39314" s="376"/>
    </row>
    <row r="39315" spans="1:100">
      <c r="A39315" s="374"/>
      <c r="C39315" s="374"/>
      <c r="CV39315" s="376"/>
    </row>
    <row r="39316" spans="1:100">
      <c r="A39316" s="374"/>
      <c r="C39316" s="374"/>
      <c r="CV39316" s="376"/>
    </row>
    <row r="39317" spans="1:100">
      <c r="A39317" s="374"/>
      <c r="C39317" s="374"/>
      <c r="CV39317" s="376"/>
    </row>
    <row r="39318" spans="1:100">
      <c r="A39318" s="374"/>
      <c r="C39318" s="374"/>
      <c r="CV39318" s="376"/>
    </row>
    <row r="39319" spans="1:100">
      <c r="A39319" s="374"/>
      <c r="C39319" s="374"/>
      <c r="CV39319" s="376"/>
    </row>
    <row r="39320" spans="1:100">
      <c r="A39320" s="374"/>
      <c r="C39320" s="374"/>
      <c r="CV39320" s="376"/>
    </row>
    <row r="39321" spans="1:100">
      <c r="A39321" s="374"/>
      <c r="C39321" s="374"/>
      <c r="CV39321" s="376"/>
    </row>
    <row r="39322" spans="1:100">
      <c r="A39322" s="374"/>
      <c r="C39322" s="374"/>
      <c r="CV39322" s="376"/>
    </row>
    <row r="39323" spans="1:100">
      <c r="A39323" s="374"/>
      <c r="C39323" s="374"/>
      <c r="CV39323" s="376"/>
    </row>
    <row r="39324" spans="1:100">
      <c r="A39324" s="374"/>
      <c r="C39324" s="374"/>
      <c r="CV39324" s="376"/>
    </row>
    <row r="39325" spans="1:100">
      <c r="A39325" s="374"/>
      <c r="C39325" s="374"/>
      <c r="CV39325" s="376"/>
    </row>
    <row r="39326" spans="1:100">
      <c r="A39326" s="374"/>
      <c r="C39326" s="374"/>
      <c r="CV39326" s="376"/>
    </row>
    <row r="39327" spans="1:100">
      <c r="A39327" s="374"/>
      <c r="C39327" s="374"/>
      <c r="CV39327" s="376"/>
    </row>
    <row r="39328" spans="1:100">
      <c r="A39328" s="374"/>
      <c r="C39328" s="374"/>
      <c r="CV39328" s="376"/>
    </row>
    <row r="39329" spans="1:100">
      <c r="A39329" s="374"/>
      <c r="C39329" s="374"/>
      <c r="CV39329" s="376"/>
    </row>
    <row r="39330" spans="1:100">
      <c r="A39330" s="374"/>
      <c r="C39330" s="374"/>
      <c r="CV39330" s="376"/>
    </row>
    <row r="39331" spans="1:100">
      <c r="A39331" s="374"/>
      <c r="C39331" s="374"/>
      <c r="CV39331" s="376"/>
    </row>
    <row r="39332" spans="1:100">
      <c r="A39332" s="374"/>
      <c r="C39332" s="374"/>
      <c r="CV39332" s="376"/>
    </row>
    <row r="39333" spans="1:100">
      <c r="A39333" s="374"/>
      <c r="C39333" s="374"/>
      <c r="CV39333" s="376"/>
    </row>
    <row r="39334" spans="1:100">
      <c r="A39334" s="374"/>
      <c r="C39334" s="374"/>
      <c r="CV39334" s="376"/>
    </row>
    <row r="39335" spans="1:100">
      <c r="A39335" s="374"/>
      <c r="C39335" s="374"/>
      <c r="CV39335" s="376"/>
    </row>
    <row r="39336" spans="1:100">
      <c r="A39336" s="374"/>
      <c r="C39336" s="374"/>
      <c r="CV39336" s="376"/>
    </row>
    <row r="39337" spans="1:100">
      <c r="A39337" s="374"/>
      <c r="C39337" s="374"/>
      <c r="CV39337" s="376"/>
    </row>
    <row r="39338" spans="1:100">
      <c r="A39338" s="374"/>
      <c r="C39338" s="374"/>
      <c r="CV39338" s="376"/>
    </row>
    <row r="39339" spans="1:100">
      <c r="A39339" s="374"/>
      <c r="C39339" s="374"/>
      <c r="CV39339" s="376"/>
    </row>
    <row r="39340" spans="1:100">
      <c r="A39340" s="374"/>
      <c r="C39340" s="374"/>
      <c r="CV39340" s="376"/>
    </row>
    <row r="39341" spans="1:100">
      <c r="A39341" s="374"/>
      <c r="C39341" s="374"/>
      <c r="CV39341" s="376"/>
    </row>
    <row r="39342" spans="1:100">
      <c r="A39342" s="374"/>
      <c r="C39342" s="374"/>
      <c r="CV39342" s="376"/>
    </row>
    <row r="39343" spans="1:100">
      <c r="A39343" s="374"/>
      <c r="C39343" s="374"/>
      <c r="CV39343" s="376"/>
    </row>
    <row r="39344" spans="1:100">
      <c r="A39344" s="374"/>
      <c r="C39344" s="374"/>
      <c r="CV39344" s="376"/>
    </row>
    <row r="39345" spans="1:100">
      <c r="A39345" s="374"/>
      <c r="C39345" s="374"/>
      <c r="CV39345" s="376"/>
    </row>
    <row r="39346" spans="1:100">
      <c r="A39346" s="374"/>
      <c r="C39346" s="374"/>
      <c r="CV39346" s="376"/>
    </row>
    <row r="39347" spans="1:100">
      <c r="A39347" s="374"/>
      <c r="C39347" s="374"/>
      <c r="CV39347" s="376"/>
    </row>
    <row r="39348" spans="1:100">
      <c r="A39348" s="374"/>
      <c r="C39348" s="374"/>
      <c r="CV39348" s="376"/>
    </row>
    <row r="39349" spans="1:100">
      <c r="A39349" s="374"/>
      <c r="C39349" s="374"/>
      <c r="CV39349" s="376"/>
    </row>
    <row r="39350" spans="1:100">
      <c r="A39350" s="374"/>
      <c r="C39350" s="374"/>
      <c r="CV39350" s="376"/>
    </row>
    <row r="39351" spans="1:100">
      <c r="A39351" s="374"/>
      <c r="C39351" s="374"/>
      <c r="CV39351" s="376"/>
    </row>
    <row r="39352" spans="1:100">
      <c r="A39352" s="374"/>
      <c r="C39352" s="374"/>
      <c r="CV39352" s="376"/>
    </row>
    <row r="39353" spans="1:100">
      <c r="A39353" s="374"/>
      <c r="C39353" s="374"/>
      <c r="CV39353" s="376"/>
    </row>
    <row r="39354" spans="1:100">
      <c r="A39354" s="374"/>
      <c r="C39354" s="374"/>
      <c r="CV39354" s="376"/>
    </row>
    <row r="39355" spans="1:100">
      <c r="A39355" s="374"/>
      <c r="C39355" s="374"/>
      <c r="CV39355" s="376"/>
    </row>
    <row r="39356" spans="1:100">
      <c r="A39356" s="374"/>
      <c r="C39356" s="374"/>
      <c r="CV39356" s="376"/>
    </row>
    <row r="39357" spans="1:100">
      <c r="A39357" s="374"/>
      <c r="C39357" s="374"/>
      <c r="CV39357" s="376"/>
    </row>
    <row r="39358" spans="1:100">
      <c r="A39358" s="374"/>
      <c r="C39358" s="374"/>
      <c r="CV39358" s="376"/>
    </row>
    <row r="39359" spans="1:100">
      <c r="A39359" s="374"/>
      <c r="C39359" s="374"/>
      <c r="CV39359" s="376"/>
    </row>
    <row r="39360" spans="1:100">
      <c r="A39360" s="374"/>
      <c r="C39360" s="374"/>
      <c r="CV39360" s="376"/>
    </row>
    <row r="39361" spans="1:100">
      <c r="A39361" s="374"/>
      <c r="C39361" s="374"/>
      <c r="CV39361" s="376"/>
    </row>
    <row r="39362" spans="1:100">
      <c r="A39362" s="374"/>
      <c r="C39362" s="374"/>
      <c r="CV39362" s="376"/>
    </row>
    <row r="39363" spans="1:100">
      <c r="A39363" s="374"/>
      <c r="C39363" s="374"/>
      <c r="CV39363" s="376"/>
    </row>
    <row r="39364" spans="1:100">
      <c r="A39364" s="374"/>
      <c r="C39364" s="374"/>
      <c r="CV39364" s="376"/>
    </row>
    <row r="39365" spans="1:100">
      <c r="A39365" s="374"/>
      <c r="C39365" s="374"/>
      <c r="CV39365" s="376"/>
    </row>
    <row r="39366" spans="1:100">
      <c r="A39366" s="374"/>
      <c r="C39366" s="374"/>
      <c r="CV39366" s="376"/>
    </row>
    <row r="39367" spans="1:100">
      <c r="A39367" s="374"/>
      <c r="C39367" s="374"/>
      <c r="CV39367" s="376"/>
    </row>
    <row r="39368" spans="1:100">
      <c r="A39368" s="374"/>
      <c r="C39368" s="374"/>
      <c r="CV39368" s="376"/>
    </row>
    <row r="39369" spans="1:100">
      <c r="A39369" s="374"/>
      <c r="C39369" s="374"/>
      <c r="CV39369" s="376"/>
    </row>
    <row r="39370" spans="1:100">
      <c r="A39370" s="374"/>
      <c r="C39370" s="374"/>
      <c r="CV39370" s="376"/>
    </row>
    <row r="39371" spans="1:100">
      <c r="A39371" s="374"/>
      <c r="C39371" s="374"/>
      <c r="CV39371" s="376"/>
    </row>
    <row r="39372" spans="1:100">
      <c r="A39372" s="374"/>
      <c r="C39372" s="374"/>
      <c r="CV39372" s="376"/>
    </row>
    <row r="39373" spans="1:100">
      <c r="A39373" s="374"/>
      <c r="C39373" s="374"/>
      <c r="CV39373" s="376"/>
    </row>
    <row r="39374" spans="1:100">
      <c r="A39374" s="374"/>
      <c r="C39374" s="374"/>
      <c r="CV39374" s="376"/>
    </row>
    <row r="39375" spans="1:100">
      <c r="A39375" s="374"/>
      <c r="C39375" s="374"/>
      <c r="CV39375" s="376"/>
    </row>
    <row r="39376" spans="1:100">
      <c r="A39376" s="374"/>
      <c r="C39376" s="374"/>
      <c r="CV39376" s="376"/>
    </row>
    <row r="39377" spans="1:100">
      <c r="A39377" s="374"/>
      <c r="C39377" s="374"/>
      <c r="CV39377" s="376"/>
    </row>
    <row r="39378" spans="1:100">
      <c r="A39378" s="374"/>
      <c r="C39378" s="374"/>
      <c r="CV39378" s="376"/>
    </row>
    <row r="39379" spans="1:100">
      <c r="A39379" s="374"/>
      <c r="C39379" s="374"/>
      <c r="CV39379" s="376"/>
    </row>
    <row r="39380" spans="1:100">
      <c r="A39380" s="374"/>
      <c r="C39380" s="374"/>
      <c r="CV39380" s="376"/>
    </row>
    <row r="39381" spans="1:100">
      <c r="A39381" s="374"/>
      <c r="C39381" s="374"/>
      <c r="CV39381" s="376"/>
    </row>
    <row r="39382" spans="1:100">
      <c r="A39382" s="374"/>
      <c r="C39382" s="374"/>
      <c r="CV39382" s="376"/>
    </row>
    <row r="39383" spans="1:100">
      <c r="A39383" s="374"/>
      <c r="C39383" s="374"/>
      <c r="CV39383" s="376"/>
    </row>
    <row r="39384" spans="1:100">
      <c r="A39384" s="374"/>
      <c r="C39384" s="374"/>
      <c r="CV39384" s="376"/>
    </row>
    <row r="39385" spans="1:100">
      <c r="A39385" s="374"/>
      <c r="C39385" s="374"/>
      <c r="CV39385" s="376"/>
    </row>
    <row r="39386" spans="1:100">
      <c r="A39386" s="374"/>
      <c r="C39386" s="374"/>
      <c r="CV39386" s="376"/>
    </row>
    <row r="39387" spans="1:100">
      <c r="A39387" s="374"/>
      <c r="C39387" s="374"/>
      <c r="CV39387" s="376"/>
    </row>
    <row r="39388" spans="1:100">
      <c r="A39388" s="374"/>
      <c r="C39388" s="374"/>
      <c r="CV39388" s="376"/>
    </row>
    <row r="39389" spans="1:100">
      <c r="A39389" s="374"/>
      <c r="C39389" s="374"/>
      <c r="CV39389" s="376"/>
    </row>
    <row r="39390" spans="1:100">
      <c r="A39390" s="374"/>
      <c r="C39390" s="374"/>
      <c r="CV39390" s="376"/>
    </row>
    <row r="39391" spans="1:100">
      <c r="A39391" s="374"/>
      <c r="C39391" s="374"/>
      <c r="CV39391" s="376"/>
    </row>
    <row r="39392" spans="1:100">
      <c r="A39392" s="374"/>
      <c r="C39392" s="374"/>
      <c r="CV39392" s="376"/>
    </row>
    <row r="39393" spans="1:100">
      <c r="A39393" s="374"/>
      <c r="C39393" s="374"/>
      <c r="CV39393" s="376"/>
    </row>
    <row r="39394" spans="1:100">
      <c r="A39394" s="374"/>
      <c r="C39394" s="374"/>
      <c r="CV39394" s="376"/>
    </row>
    <row r="39395" spans="1:100">
      <c r="A39395" s="374"/>
      <c r="C39395" s="374"/>
      <c r="CV39395" s="376"/>
    </row>
    <row r="39396" spans="1:100">
      <c r="A39396" s="374"/>
      <c r="C39396" s="374"/>
      <c r="CV39396" s="376"/>
    </row>
    <row r="39397" spans="1:100">
      <c r="A39397" s="374"/>
      <c r="C39397" s="374"/>
      <c r="CV39397" s="376"/>
    </row>
    <row r="39398" spans="1:100">
      <c r="A39398" s="374"/>
      <c r="C39398" s="374"/>
      <c r="CV39398" s="376"/>
    </row>
    <row r="39399" spans="1:100">
      <c r="A39399" s="374"/>
      <c r="C39399" s="374"/>
      <c r="CV39399" s="376"/>
    </row>
    <row r="39400" spans="1:100">
      <c r="A39400" s="374"/>
      <c r="C39400" s="374"/>
      <c r="CV39400" s="376"/>
    </row>
    <row r="39401" spans="1:100">
      <c r="A39401" s="374"/>
      <c r="C39401" s="374"/>
      <c r="CV39401" s="376"/>
    </row>
    <row r="39402" spans="1:100">
      <c r="A39402" s="374"/>
      <c r="C39402" s="374"/>
      <c r="CV39402" s="376"/>
    </row>
    <row r="39403" spans="1:100">
      <c r="A39403" s="374"/>
      <c r="C39403" s="374"/>
      <c r="CV39403" s="376"/>
    </row>
    <row r="39404" spans="1:100">
      <c r="A39404" s="374"/>
      <c r="C39404" s="374"/>
      <c r="CV39404" s="376"/>
    </row>
    <row r="39405" spans="1:100">
      <c r="A39405" s="374"/>
      <c r="C39405" s="374"/>
      <c r="CV39405" s="376"/>
    </row>
    <row r="39406" spans="1:100">
      <c r="A39406" s="374"/>
      <c r="C39406" s="374"/>
      <c r="CV39406" s="376"/>
    </row>
    <row r="39407" spans="1:100">
      <c r="A39407" s="374"/>
      <c r="C39407" s="374"/>
      <c r="CV39407" s="376"/>
    </row>
    <row r="39408" spans="1:100">
      <c r="A39408" s="374"/>
      <c r="C39408" s="374"/>
      <c r="CV39408" s="376"/>
    </row>
    <row r="39409" spans="1:100">
      <c r="A39409" s="374"/>
      <c r="C39409" s="374"/>
      <c r="CV39409" s="376"/>
    </row>
    <row r="39410" spans="1:100">
      <c r="A39410" s="374"/>
      <c r="C39410" s="374"/>
      <c r="CV39410" s="376"/>
    </row>
    <row r="39411" spans="1:100">
      <c r="A39411" s="374"/>
      <c r="C39411" s="374"/>
      <c r="CV39411" s="376"/>
    </row>
    <row r="39412" spans="1:100">
      <c r="A39412" s="374"/>
      <c r="C39412" s="374"/>
      <c r="CV39412" s="376"/>
    </row>
    <row r="39413" spans="1:100">
      <c r="A39413" s="374"/>
      <c r="C39413" s="374"/>
      <c r="CV39413" s="376"/>
    </row>
    <row r="39414" spans="1:100">
      <c r="A39414" s="374"/>
      <c r="C39414" s="374"/>
      <c r="CV39414" s="376"/>
    </row>
    <row r="39415" spans="1:100">
      <c r="A39415" s="374"/>
      <c r="C39415" s="374"/>
      <c r="CV39415" s="376"/>
    </row>
    <row r="39416" spans="1:100">
      <c r="A39416" s="374"/>
      <c r="C39416" s="374"/>
      <c r="CV39416" s="376"/>
    </row>
    <row r="39417" spans="1:100">
      <c r="A39417" s="374"/>
      <c r="C39417" s="374"/>
      <c r="CV39417" s="376"/>
    </row>
    <row r="39418" spans="1:100">
      <c r="A39418" s="374"/>
      <c r="C39418" s="374"/>
      <c r="CV39418" s="376"/>
    </row>
    <row r="39419" spans="1:100">
      <c r="A39419" s="374"/>
      <c r="C39419" s="374"/>
      <c r="CV39419" s="376"/>
    </row>
    <row r="39420" spans="1:100">
      <c r="A39420" s="374"/>
      <c r="C39420" s="374"/>
      <c r="CV39420" s="376"/>
    </row>
    <row r="39421" spans="1:100">
      <c r="A39421" s="374"/>
      <c r="C39421" s="374"/>
      <c r="CV39421" s="376"/>
    </row>
    <row r="39422" spans="1:100">
      <c r="A39422" s="374"/>
      <c r="C39422" s="374"/>
      <c r="CV39422" s="376"/>
    </row>
    <row r="39423" spans="1:100">
      <c r="A39423" s="374"/>
      <c r="C39423" s="374"/>
      <c r="CV39423" s="376"/>
    </row>
    <row r="39424" spans="1:100">
      <c r="A39424" s="374"/>
      <c r="C39424" s="374"/>
      <c r="CV39424" s="376"/>
    </row>
    <row r="39425" spans="1:100">
      <c r="A39425" s="374"/>
      <c r="C39425" s="374"/>
      <c r="CV39425" s="376"/>
    </row>
    <row r="39426" spans="1:100">
      <c r="A39426" s="374"/>
      <c r="C39426" s="374"/>
      <c r="CV39426" s="376"/>
    </row>
    <row r="39427" spans="1:100">
      <c r="A39427" s="374"/>
      <c r="C39427" s="374"/>
      <c r="CV39427" s="376"/>
    </row>
    <row r="39428" spans="1:100">
      <c r="A39428" s="374"/>
      <c r="C39428" s="374"/>
      <c r="CV39428" s="376"/>
    </row>
    <row r="39429" spans="1:100">
      <c r="A39429" s="374"/>
      <c r="C39429" s="374"/>
      <c r="CV39429" s="376"/>
    </row>
    <row r="39430" spans="1:100">
      <c r="A39430" s="374"/>
      <c r="C39430" s="374"/>
      <c r="CV39430" s="376"/>
    </row>
    <row r="39431" spans="1:100">
      <c r="A39431" s="374"/>
      <c r="C39431" s="374"/>
      <c r="CV39431" s="376"/>
    </row>
    <row r="39432" spans="1:100">
      <c r="A39432" s="374"/>
      <c r="C39432" s="374"/>
      <c r="CV39432" s="376"/>
    </row>
    <row r="39433" spans="1:100">
      <c r="A39433" s="374"/>
      <c r="C39433" s="374"/>
      <c r="CV39433" s="376"/>
    </row>
    <row r="39434" spans="1:100">
      <c r="A39434" s="374"/>
      <c r="C39434" s="374"/>
      <c r="CV39434" s="376"/>
    </row>
    <row r="39435" spans="1:100">
      <c r="A39435" s="374"/>
      <c r="C39435" s="374"/>
      <c r="CV39435" s="376"/>
    </row>
    <row r="39436" spans="1:100">
      <c r="A39436" s="374"/>
      <c r="C39436" s="374"/>
      <c r="CV39436" s="376"/>
    </row>
    <row r="39437" spans="1:100">
      <c r="A39437" s="374"/>
      <c r="C39437" s="374"/>
      <c r="CV39437" s="376"/>
    </row>
    <row r="39438" spans="1:100">
      <c r="A39438" s="374"/>
      <c r="C39438" s="374"/>
      <c r="CV39438" s="376"/>
    </row>
    <row r="39439" spans="1:100">
      <c r="A39439" s="374"/>
      <c r="C39439" s="374"/>
      <c r="CV39439" s="376"/>
    </row>
    <row r="39440" spans="1:100">
      <c r="A39440" s="374"/>
      <c r="C39440" s="374"/>
      <c r="CV39440" s="376"/>
    </row>
    <row r="39441" spans="1:100">
      <c r="A39441" s="374"/>
      <c r="C39441" s="374"/>
      <c r="CV39441" s="376"/>
    </row>
    <row r="39442" spans="1:100">
      <c r="A39442" s="374"/>
      <c r="C39442" s="374"/>
      <c r="CV39442" s="376"/>
    </row>
    <row r="39443" spans="1:100">
      <c r="A39443" s="374"/>
      <c r="C39443" s="374"/>
      <c r="CV39443" s="376"/>
    </row>
    <row r="39444" spans="1:100">
      <c r="A39444" s="374"/>
      <c r="C39444" s="374"/>
      <c r="CV39444" s="376"/>
    </row>
    <row r="39445" spans="1:100">
      <c r="A39445" s="374"/>
      <c r="C39445" s="374"/>
      <c r="CV39445" s="376"/>
    </row>
    <row r="39446" spans="1:100">
      <c r="A39446" s="374"/>
      <c r="C39446" s="374"/>
      <c r="CV39446" s="376"/>
    </row>
    <row r="39447" spans="1:100">
      <c r="A39447" s="374"/>
      <c r="C39447" s="374"/>
      <c r="CV39447" s="376"/>
    </row>
    <row r="39448" spans="1:100">
      <c r="A39448" s="374"/>
      <c r="C39448" s="374"/>
      <c r="CV39448" s="376"/>
    </row>
    <row r="39449" spans="1:100">
      <c r="A39449" s="374"/>
      <c r="C39449" s="374"/>
      <c r="CV39449" s="376"/>
    </row>
    <row r="39450" spans="1:100">
      <c r="A39450" s="374"/>
      <c r="C39450" s="374"/>
      <c r="CV39450" s="376"/>
    </row>
    <row r="39451" spans="1:100">
      <c r="A39451" s="374"/>
      <c r="C39451" s="374"/>
      <c r="CV39451" s="376"/>
    </row>
    <row r="39452" spans="1:100">
      <c r="A39452" s="374"/>
      <c r="C39452" s="374"/>
      <c r="CV39452" s="376"/>
    </row>
    <row r="39453" spans="1:100">
      <c r="A39453" s="374"/>
      <c r="C39453" s="374"/>
      <c r="CV39453" s="376"/>
    </row>
    <row r="39454" spans="1:100">
      <c r="A39454" s="374"/>
      <c r="C39454" s="374"/>
      <c r="CV39454" s="376"/>
    </row>
    <row r="39455" spans="1:100">
      <c r="A39455" s="374"/>
      <c r="C39455" s="374"/>
      <c r="CV39455" s="376"/>
    </row>
    <row r="39456" spans="1:100">
      <c r="A39456" s="374"/>
      <c r="C39456" s="374"/>
      <c r="CV39456" s="376"/>
    </row>
    <row r="39457" spans="1:100">
      <c r="A39457" s="374"/>
      <c r="C39457" s="374"/>
      <c r="CV39457" s="376"/>
    </row>
    <row r="39458" spans="1:100">
      <c r="A39458" s="374"/>
      <c r="C39458" s="374"/>
      <c r="CV39458" s="376"/>
    </row>
    <row r="39459" spans="1:100">
      <c r="A39459" s="374"/>
      <c r="C39459" s="374"/>
      <c r="CV39459" s="376"/>
    </row>
    <row r="39460" spans="1:100">
      <c r="A39460" s="374"/>
      <c r="C39460" s="374"/>
      <c r="CV39460" s="376"/>
    </row>
    <row r="39461" spans="1:100">
      <c r="A39461" s="374"/>
      <c r="C39461" s="374"/>
      <c r="CV39461" s="376"/>
    </row>
    <row r="39462" spans="1:100">
      <c r="A39462" s="374"/>
      <c r="C39462" s="374"/>
      <c r="CV39462" s="376"/>
    </row>
    <row r="39463" spans="1:100">
      <c r="A39463" s="374"/>
      <c r="C39463" s="374"/>
      <c r="CV39463" s="376"/>
    </row>
    <row r="39464" spans="1:100">
      <c r="A39464" s="374"/>
      <c r="C39464" s="374"/>
      <c r="CV39464" s="376"/>
    </row>
    <row r="39465" spans="1:100">
      <c r="A39465" s="374"/>
      <c r="C39465" s="374"/>
      <c r="CV39465" s="376"/>
    </row>
    <row r="39466" spans="1:100">
      <c r="A39466" s="374"/>
      <c r="C39466" s="374"/>
      <c r="CV39466" s="376"/>
    </row>
    <row r="39467" spans="1:100">
      <c r="A39467" s="374"/>
      <c r="C39467" s="374"/>
      <c r="CV39467" s="376"/>
    </row>
    <row r="39468" spans="1:100">
      <c r="A39468" s="374"/>
      <c r="C39468" s="374"/>
      <c r="CV39468" s="376"/>
    </row>
    <row r="39469" spans="1:100">
      <c r="A39469" s="374"/>
      <c r="C39469" s="374"/>
      <c r="CV39469" s="376"/>
    </row>
    <row r="39470" spans="1:100">
      <c r="A39470" s="374"/>
      <c r="C39470" s="374"/>
      <c r="CV39470" s="376"/>
    </row>
    <row r="39471" spans="1:100">
      <c r="A39471" s="374"/>
      <c r="C39471" s="374"/>
      <c r="CV39471" s="376"/>
    </row>
    <row r="39472" spans="1:100">
      <c r="A39472" s="374"/>
      <c r="C39472" s="374"/>
      <c r="CV39472" s="376"/>
    </row>
    <row r="39473" spans="1:100">
      <c r="A39473" s="374"/>
      <c r="C39473" s="374"/>
      <c r="CV39473" s="376"/>
    </row>
    <row r="39474" spans="1:100">
      <c r="A39474" s="374"/>
      <c r="C39474" s="374"/>
      <c r="CV39474" s="376"/>
    </row>
    <row r="39475" spans="1:100">
      <c r="A39475" s="374"/>
      <c r="C39475" s="374"/>
      <c r="CV39475" s="376"/>
    </row>
    <row r="39476" spans="1:100">
      <c r="A39476" s="374"/>
      <c r="C39476" s="374"/>
      <c r="CV39476" s="376"/>
    </row>
    <row r="39477" spans="1:100">
      <c r="A39477" s="374"/>
      <c r="C39477" s="374"/>
      <c r="CV39477" s="376"/>
    </row>
    <row r="39478" spans="1:100">
      <c r="A39478" s="374"/>
      <c r="C39478" s="374"/>
      <c r="CV39478" s="376"/>
    </row>
    <row r="39479" spans="1:100">
      <c r="A39479" s="374"/>
      <c r="C39479" s="374"/>
      <c r="CV39479" s="376"/>
    </row>
    <row r="39480" spans="1:100">
      <c r="A39480" s="374"/>
      <c r="C39480" s="374"/>
      <c r="CV39480" s="376"/>
    </row>
    <row r="39481" spans="1:100">
      <c r="A39481" s="374"/>
      <c r="C39481" s="374"/>
      <c r="CV39481" s="376"/>
    </row>
    <row r="39482" spans="1:100">
      <c r="A39482" s="374"/>
      <c r="C39482" s="374"/>
      <c r="CV39482" s="376"/>
    </row>
    <row r="39483" spans="1:100">
      <c r="A39483" s="374"/>
      <c r="C39483" s="374"/>
      <c r="CV39483" s="376"/>
    </row>
    <row r="39484" spans="1:100">
      <c r="A39484" s="374"/>
      <c r="C39484" s="374"/>
      <c r="CV39484" s="376"/>
    </row>
    <row r="39485" spans="1:100">
      <c r="A39485" s="374"/>
      <c r="C39485" s="374"/>
      <c r="CV39485" s="376"/>
    </row>
    <row r="39486" spans="1:100">
      <c r="A39486" s="374"/>
      <c r="C39486" s="374"/>
      <c r="CV39486" s="376"/>
    </row>
    <row r="39487" spans="1:100">
      <c r="A39487" s="374"/>
      <c r="C39487" s="374"/>
      <c r="CV39487" s="376"/>
    </row>
    <row r="39488" spans="1:100">
      <c r="A39488" s="374"/>
      <c r="C39488" s="374"/>
      <c r="CV39488" s="376"/>
    </row>
    <row r="39489" spans="1:100">
      <c r="A39489" s="374"/>
      <c r="C39489" s="374"/>
      <c r="CV39489" s="376"/>
    </row>
    <row r="39490" spans="1:100">
      <c r="A39490" s="374"/>
      <c r="C39490" s="374"/>
      <c r="CV39490" s="376"/>
    </row>
    <row r="39491" spans="1:100">
      <c r="A39491" s="374"/>
      <c r="C39491" s="374"/>
      <c r="CV39491" s="376"/>
    </row>
    <row r="39492" spans="1:100">
      <c r="A39492" s="374"/>
      <c r="C39492" s="374"/>
      <c r="CV39492" s="376"/>
    </row>
    <row r="39493" spans="1:100">
      <c r="A39493" s="374"/>
      <c r="C39493" s="374"/>
      <c r="CV39493" s="376"/>
    </row>
    <row r="39494" spans="1:100">
      <c r="A39494" s="374"/>
      <c r="C39494" s="374"/>
      <c r="CV39494" s="376"/>
    </row>
    <row r="39495" spans="1:100">
      <c r="A39495" s="374"/>
      <c r="C39495" s="374"/>
      <c r="CV39495" s="376"/>
    </row>
    <row r="39496" spans="1:100">
      <c r="A39496" s="374"/>
      <c r="C39496" s="374"/>
      <c r="CV39496" s="376"/>
    </row>
    <row r="39497" spans="1:100">
      <c r="A39497" s="374"/>
      <c r="C39497" s="374"/>
      <c r="CV39497" s="376"/>
    </row>
    <row r="39498" spans="1:100">
      <c r="A39498" s="374"/>
      <c r="C39498" s="374"/>
      <c r="CV39498" s="376"/>
    </row>
    <row r="39499" spans="1:100">
      <c r="A39499" s="374"/>
      <c r="C39499" s="374"/>
      <c r="CV39499" s="376"/>
    </row>
    <row r="39500" spans="1:100">
      <c r="A39500" s="374"/>
      <c r="C39500" s="374"/>
      <c r="CV39500" s="376"/>
    </row>
    <row r="39501" spans="1:100">
      <c r="A39501" s="374"/>
      <c r="C39501" s="374"/>
      <c r="CV39501" s="376"/>
    </row>
    <row r="39502" spans="1:100">
      <c r="A39502" s="374"/>
      <c r="C39502" s="374"/>
      <c r="CV39502" s="376"/>
    </row>
    <row r="39503" spans="1:100">
      <c r="A39503" s="374"/>
      <c r="C39503" s="374"/>
      <c r="CV39503" s="376"/>
    </row>
    <row r="39504" spans="1:100">
      <c r="A39504" s="374"/>
      <c r="C39504" s="374"/>
      <c r="CV39504" s="376"/>
    </row>
    <row r="39505" spans="1:100">
      <c r="A39505" s="374"/>
      <c r="C39505" s="374"/>
      <c r="CV39505" s="376"/>
    </row>
    <row r="39506" spans="1:100">
      <c r="A39506" s="374"/>
      <c r="C39506" s="374"/>
      <c r="CV39506" s="376"/>
    </row>
    <row r="39507" spans="1:100">
      <c r="A39507" s="374"/>
      <c r="C39507" s="374"/>
      <c r="CV39507" s="376"/>
    </row>
    <row r="39508" spans="1:100">
      <c r="A39508" s="374"/>
      <c r="C39508" s="374"/>
      <c r="CV39508" s="376"/>
    </row>
    <row r="39509" spans="1:100">
      <c r="A39509" s="374"/>
      <c r="C39509" s="374"/>
      <c r="CV39509" s="376"/>
    </row>
    <row r="39510" spans="1:100">
      <c r="A39510" s="374"/>
      <c r="C39510" s="374"/>
      <c r="CV39510" s="376"/>
    </row>
    <row r="39511" spans="1:100">
      <c r="A39511" s="374"/>
      <c r="C39511" s="374"/>
      <c r="CV39511" s="376"/>
    </row>
    <row r="39512" spans="1:100">
      <c r="A39512" s="374"/>
      <c r="C39512" s="374"/>
      <c r="CV39512" s="376"/>
    </row>
    <row r="39513" spans="1:100">
      <c r="A39513" s="374"/>
      <c r="C39513" s="374"/>
      <c r="CV39513" s="376"/>
    </row>
    <row r="39514" spans="1:100">
      <c r="A39514" s="374"/>
      <c r="C39514" s="374"/>
      <c r="CV39514" s="376"/>
    </row>
    <row r="39515" spans="1:100">
      <c r="A39515" s="374"/>
      <c r="C39515" s="374"/>
      <c r="CV39515" s="376"/>
    </row>
    <row r="39516" spans="1:100">
      <c r="A39516" s="374"/>
      <c r="C39516" s="374"/>
      <c r="CV39516" s="376"/>
    </row>
    <row r="39517" spans="1:100">
      <c r="A39517" s="374"/>
      <c r="C39517" s="374"/>
      <c r="CV39517" s="376"/>
    </row>
    <row r="39518" spans="1:100">
      <c r="A39518" s="374"/>
      <c r="C39518" s="374"/>
      <c r="CV39518" s="376"/>
    </row>
    <row r="39519" spans="1:100">
      <c r="A39519" s="374"/>
      <c r="C39519" s="374"/>
      <c r="CV39519" s="376"/>
    </row>
    <row r="39520" spans="1:100">
      <c r="A39520" s="374"/>
      <c r="C39520" s="374"/>
      <c r="CV39520" s="376"/>
    </row>
    <row r="39521" spans="1:100">
      <c r="A39521" s="374"/>
      <c r="C39521" s="374"/>
      <c r="CV39521" s="376"/>
    </row>
    <row r="39522" spans="1:100">
      <c r="A39522" s="374"/>
      <c r="C39522" s="374"/>
      <c r="CV39522" s="376"/>
    </row>
    <row r="39523" spans="1:100">
      <c r="A39523" s="374"/>
      <c r="C39523" s="374"/>
      <c r="CV39523" s="376"/>
    </row>
    <row r="39524" spans="1:100">
      <c r="A39524" s="374"/>
      <c r="C39524" s="374"/>
      <c r="CV39524" s="376"/>
    </row>
    <row r="39525" spans="1:100">
      <c r="A39525" s="374"/>
      <c r="C39525" s="374"/>
      <c r="CV39525" s="376"/>
    </row>
    <row r="39526" spans="1:100">
      <c r="A39526" s="374"/>
      <c r="C39526" s="374"/>
      <c r="CV39526" s="376"/>
    </row>
    <row r="39527" spans="1:100">
      <c r="A39527" s="374"/>
      <c r="C39527" s="374"/>
      <c r="CV39527" s="376"/>
    </row>
    <row r="39528" spans="1:100">
      <c r="A39528" s="374"/>
      <c r="C39528" s="374"/>
      <c r="CV39528" s="376"/>
    </row>
    <row r="39529" spans="1:100">
      <c r="A39529" s="374"/>
      <c r="C39529" s="374"/>
      <c r="CV39529" s="376"/>
    </row>
    <row r="39530" spans="1:100">
      <c r="A39530" s="374"/>
      <c r="C39530" s="374"/>
      <c r="CV39530" s="376"/>
    </row>
    <row r="39531" spans="1:100">
      <c r="A39531" s="374"/>
      <c r="C39531" s="374"/>
      <c r="CV39531" s="376"/>
    </row>
    <row r="39532" spans="1:100">
      <c r="A39532" s="374"/>
      <c r="C39532" s="374"/>
      <c r="CV39532" s="376"/>
    </row>
    <row r="39533" spans="1:100">
      <c r="A39533" s="374"/>
      <c r="C39533" s="374"/>
      <c r="CV39533" s="376"/>
    </row>
    <row r="39534" spans="1:100">
      <c r="A39534" s="374"/>
      <c r="C39534" s="374"/>
      <c r="CV39534" s="376"/>
    </row>
    <row r="39535" spans="1:100">
      <c r="A39535" s="374"/>
      <c r="C39535" s="374"/>
      <c r="CV39535" s="376"/>
    </row>
    <row r="39536" spans="1:100">
      <c r="A39536" s="374"/>
      <c r="C39536" s="374"/>
      <c r="CV39536" s="376"/>
    </row>
    <row r="39537" spans="1:100">
      <c r="A39537" s="374"/>
      <c r="C39537" s="374"/>
      <c r="CV39537" s="376"/>
    </row>
    <row r="39538" spans="1:100">
      <c r="A39538" s="374"/>
      <c r="C39538" s="374"/>
      <c r="CV39538" s="376"/>
    </row>
    <row r="39539" spans="1:100">
      <c r="A39539" s="374"/>
      <c r="C39539" s="374"/>
      <c r="CV39539" s="376"/>
    </row>
    <row r="39540" spans="1:100">
      <c r="A39540" s="374"/>
      <c r="C39540" s="374"/>
      <c r="CV39540" s="376"/>
    </row>
    <row r="39541" spans="1:100">
      <c r="A39541" s="374"/>
      <c r="C39541" s="374"/>
      <c r="CV39541" s="376"/>
    </row>
    <row r="39542" spans="1:100">
      <c r="A39542" s="374"/>
      <c r="C39542" s="374"/>
      <c r="CV39542" s="376"/>
    </row>
    <row r="39543" spans="1:100">
      <c r="A39543" s="374"/>
      <c r="C39543" s="374"/>
      <c r="CV39543" s="376"/>
    </row>
    <row r="39544" spans="1:100">
      <c r="A39544" s="374"/>
      <c r="C39544" s="374"/>
      <c r="CV39544" s="376"/>
    </row>
    <row r="39545" spans="1:100">
      <c r="A39545" s="374"/>
      <c r="C39545" s="374"/>
      <c r="CV39545" s="376"/>
    </row>
    <row r="39546" spans="1:100">
      <c r="A39546" s="374"/>
      <c r="C39546" s="374"/>
      <c r="CV39546" s="376"/>
    </row>
    <row r="39547" spans="1:100">
      <c r="A39547" s="374"/>
      <c r="C39547" s="374"/>
      <c r="CV39547" s="376"/>
    </row>
    <row r="39548" spans="1:100">
      <c r="A39548" s="374"/>
      <c r="C39548" s="374"/>
      <c r="CV39548" s="376"/>
    </row>
    <row r="39549" spans="1:100">
      <c r="A39549" s="374"/>
      <c r="C39549" s="374"/>
      <c r="CV39549" s="376"/>
    </row>
    <row r="39550" spans="1:100">
      <c r="A39550" s="374"/>
      <c r="C39550" s="374"/>
      <c r="CV39550" s="376"/>
    </row>
    <row r="39551" spans="1:100">
      <c r="A39551" s="374"/>
      <c r="C39551" s="374"/>
      <c r="CV39551" s="376"/>
    </row>
    <row r="39552" spans="1:100">
      <c r="A39552" s="374"/>
      <c r="C39552" s="374"/>
      <c r="CV39552" s="376"/>
    </row>
    <row r="39553" spans="1:100">
      <c r="A39553" s="374"/>
      <c r="C39553" s="374"/>
      <c r="CV39553" s="376"/>
    </row>
    <row r="39554" spans="1:100">
      <c r="A39554" s="374"/>
      <c r="C39554" s="374"/>
      <c r="CV39554" s="376"/>
    </row>
    <row r="39555" spans="1:100">
      <c r="A39555" s="374"/>
      <c r="C39555" s="374"/>
      <c r="CV39555" s="376"/>
    </row>
    <row r="39556" spans="1:100">
      <c r="A39556" s="374"/>
      <c r="C39556" s="374"/>
      <c r="CV39556" s="376"/>
    </row>
    <row r="39557" spans="1:100">
      <c r="A39557" s="374"/>
      <c r="C39557" s="374"/>
      <c r="CV39557" s="376"/>
    </row>
    <row r="39558" spans="1:100">
      <c r="A39558" s="374"/>
      <c r="C39558" s="374"/>
      <c r="CV39558" s="376"/>
    </row>
    <row r="39559" spans="1:100">
      <c r="A39559" s="374"/>
      <c r="C39559" s="374"/>
      <c r="CV39559" s="376"/>
    </row>
    <row r="39560" spans="1:100">
      <c r="A39560" s="374"/>
      <c r="C39560" s="374"/>
      <c r="CV39560" s="376"/>
    </row>
    <row r="39561" spans="1:100">
      <c r="A39561" s="374"/>
      <c r="C39561" s="374"/>
      <c r="CV39561" s="376"/>
    </row>
    <row r="39562" spans="1:100">
      <c r="A39562" s="374"/>
      <c r="C39562" s="374"/>
      <c r="CV39562" s="376"/>
    </row>
    <row r="39563" spans="1:100">
      <c r="A39563" s="374"/>
      <c r="C39563" s="374"/>
      <c r="CV39563" s="376"/>
    </row>
    <row r="39564" spans="1:100">
      <c r="A39564" s="374"/>
      <c r="C39564" s="374"/>
      <c r="CV39564" s="376"/>
    </row>
    <row r="39565" spans="1:100">
      <c r="A39565" s="374"/>
      <c r="C39565" s="374"/>
      <c r="CV39565" s="376"/>
    </row>
    <row r="39566" spans="1:100">
      <c r="A39566" s="374"/>
      <c r="C39566" s="374"/>
      <c r="CV39566" s="376"/>
    </row>
    <row r="39567" spans="1:100">
      <c r="A39567" s="374"/>
      <c r="C39567" s="374"/>
      <c r="CV39567" s="376"/>
    </row>
    <row r="39568" spans="1:100">
      <c r="A39568" s="374"/>
      <c r="C39568" s="374"/>
      <c r="CV39568" s="376"/>
    </row>
    <row r="39569" spans="1:100">
      <c r="A39569" s="374"/>
      <c r="C39569" s="374"/>
      <c r="CV39569" s="376"/>
    </row>
    <row r="39570" spans="1:100">
      <c r="A39570" s="374"/>
      <c r="C39570" s="374"/>
      <c r="CV39570" s="376"/>
    </row>
    <row r="39571" spans="1:100">
      <c r="A39571" s="374"/>
      <c r="C39571" s="374"/>
      <c r="CV39571" s="376"/>
    </row>
    <row r="39572" spans="1:100">
      <c r="A39572" s="374"/>
      <c r="C39572" s="374"/>
      <c r="CV39572" s="376"/>
    </row>
    <row r="39573" spans="1:100">
      <c r="A39573" s="374"/>
      <c r="C39573" s="374"/>
      <c r="CV39573" s="376"/>
    </row>
    <row r="39574" spans="1:100">
      <c r="A39574" s="374"/>
      <c r="C39574" s="374"/>
      <c r="CV39574" s="376"/>
    </row>
    <row r="39575" spans="1:100">
      <c r="A39575" s="374"/>
      <c r="C39575" s="374"/>
      <c r="CV39575" s="376"/>
    </row>
    <row r="39576" spans="1:100">
      <c r="A39576" s="374"/>
      <c r="C39576" s="374"/>
      <c r="CV39576" s="376"/>
    </row>
    <row r="39577" spans="1:100">
      <c r="A39577" s="374"/>
      <c r="C39577" s="374"/>
      <c r="CV39577" s="376"/>
    </row>
    <row r="39578" spans="1:100">
      <c r="A39578" s="374"/>
      <c r="C39578" s="374"/>
      <c r="CV39578" s="376"/>
    </row>
    <row r="39579" spans="1:100">
      <c r="A39579" s="374"/>
      <c r="C39579" s="374"/>
      <c r="CV39579" s="376"/>
    </row>
    <row r="39580" spans="1:100">
      <c r="A39580" s="374"/>
      <c r="C39580" s="374"/>
      <c r="CV39580" s="376"/>
    </row>
    <row r="39581" spans="1:100">
      <c r="A39581" s="374"/>
      <c r="C39581" s="374"/>
      <c r="CV39581" s="376"/>
    </row>
    <row r="39582" spans="1:100">
      <c r="A39582" s="374"/>
      <c r="C39582" s="374"/>
      <c r="CV39582" s="376"/>
    </row>
    <row r="39583" spans="1:100">
      <c r="A39583" s="374"/>
      <c r="C39583" s="374"/>
      <c r="CV39583" s="376"/>
    </row>
    <row r="39584" spans="1:100">
      <c r="A39584" s="374"/>
      <c r="C39584" s="374"/>
      <c r="CV39584" s="376"/>
    </row>
    <row r="39585" spans="1:100">
      <c r="A39585" s="374"/>
      <c r="C39585" s="374"/>
      <c r="CV39585" s="376"/>
    </row>
    <row r="39586" spans="1:100">
      <c r="A39586" s="374"/>
      <c r="C39586" s="374"/>
      <c r="CV39586" s="376"/>
    </row>
    <row r="39587" spans="1:100">
      <c r="A39587" s="374"/>
      <c r="C39587" s="374"/>
      <c r="CV39587" s="376"/>
    </row>
    <row r="39588" spans="1:100">
      <c r="A39588" s="374"/>
      <c r="C39588" s="374"/>
      <c r="CV39588" s="376"/>
    </row>
    <row r="39589" spans="1:100">
      <c r="A39589" s="374"/>
      <c r="C39589" s="374"/>
      <c r="CV39589" s="376"/>
    </row>
    <row r="39590" spans="1:100">
      <c r="A39590" s="374"/>
      <c r="C39590" s="374"/>
      <c r="CV39590" s="376"/>
    </row>
    <row r="39591" spans="1:100">
      <c r="A39591" s="374"/>
      <c r="C39591" s="374"/>
      <c r="CV39591" s="376"/>
    </row>
    <row r="39592" spans="1:100">
      <c r="A39592" s="374"/>
      <c r="C39592" s="374"/>
      <c r="CV39592" s="376"/>
    </row>
    <row r="39593" spans="1:100">
      <c r="A39593" s="374"/>
      <c r="C39593" s="374"/>
      <c r="CV39593" s="376"/>
    </row>
    <row r="39594" spans="1:100">
      <c r="A39594" s="374"/>
      <c r="C39594" s="374"/>
      <c r="CV39594" s="376"/>
    </row>
    <row r="39595" spans="1:100">
      <c r="A39595" s="374"/>
      <c r="C39595" s="374"/>
      <c r="CV39595" s="376"/>
    </row>
    <row r="39596" spans="1:100">
      <c r="A39596" s="374"/>
      <c r="C39596" s="374"/>
      <c r="CV39596" s="376"/>
    </row>
    <row r="39597" spans="1:100">
      <c r="A39597" s="374"/>
      <c r="C39597" s="374"/>
      <c r="CV39597" s="376"/>
    </row>
    <row r="39598" spans="1:100">
      <c r="A39598" s="374"/>
      <c r="C39598" s="374"/>
      <c r="CV39598" s="376"/>
    </row>
    <row r="39599" spans="1:100">
      <c r="A39599" s="374"/>
      <c r="C39599" s="374"/>
      <c r="CV39599" s="376"/>
    </row>
    <row r="39600" spans="1:100">
      <c r="A39600" s="374"/>
      <c r="C39600" s="374"/>
      <c r="CV39600" s="376"/>
    </row>
    <row r="39601" spans="1:100">
      <c r="A39601" s="374"/>
      <c r="C39601" s="374"/>
      <c r="CV39601" s="376"/>
    </row>
    <row r="39602" spans="1:100">
      <c r="A39602" s="374"/>
      <c r="C39602" s="374"/>
      <c r="CV39602" s="376"/>
    </row>
    <row r="39603" spans="1:100">
      <c r="A39603" s="374"/>
      <c r="C39603" s="374"/>
      <c r="CV39603" s="376"/>
    </row>
    <row r="39604" spans="1:100">
      <c r="A39604" s="374"/>
      <c r="C39604" s="374"/>
      <c r="CV39604" s="376"/>
    </row>
    <row r="39605" spans="1:100">
      <c r="A39605" s="374"/>
      <c r="C39605" s="374"/>
      <c r="CV39605" s="376"/>
    </row>
    <row r="39606" spans="1:100">
      <c r="A39606" s="374"/>
      <c r="C39606" s="374"/>
      <c r="CV39606" s="376"/>
    </row>
    <row r="39607" spans="1:100">
      <c r="A39607" s="374"/>
      <c r="C39607" s="374"/>
      <c r="CV39607" s="376"/>
    </row>
    <row r="39608" spans="1:100">
      <c r="A39608" s="374"/>
      <c r="C39608" s="374"/>
      <c r="CV39608" s="376"/>
    </row>
    <row r="39609" spans="1:100">
      <c r="A39609" s="374"/>
      <c r="C39609" s="374"/>
      <c r="CV39609" s="376"/>
    </row>
    <row r="39610" spans="1:100">
      <c r="A39610" s="374"/>
      <c r="C39610" s="374"/>
      <c r="CV39610" s="376"/>
    </row>
    <row r="39611" spans="1:100">
      <c r="A39611" s="374"/>
      <c r="C39611" s="374"/>
      <c r="CV39611" s="376"/>
    </row>
    <row r="39612" spans="1:100">
      <c r="A39612" s="374"/>
      <c r="C39612" s="374"/>
      <c r="CV39612" s="376"/>
    </row>
    <row r="39613" spans="1:100">
      <c r="A39613" s="374"/>
      <c r="C39613" s="374"/>
      <c r="CV39613" s="376"/>
    </row>
    <row r="39614" spans="1:100">
      <c r="A39614" s="374"/>
      <c r="C39614" s="374"/>
      <c r="CV39614" s="376"/>
    </row>
    <row r="39615" spans="1:100">
      <c r="A39615" s="374"/>
      <c r="C39615" s="374"/>
      <c r="CV39615" s="376"/>
    </row>
    <row r="39616" spans="1:100">
      <c r="A39616" s="374"/>
      <c r="C39616" s="374"/>
      <c r="CV39616" s="376"/>
    </row>
    <row r="39617" spans="1:100">
      <c r="A39617" s="374"/>
      <c r="C39617" s="374"/>
      <c r="CV39617" s="376"/>
    </row>
    <row r="39618" spans="1:100">
      <c r="A39618" s="374"/>
      <c r="C39618" s="374"/>
      <c r="CV39618" s="376"/>
    </row>
    <row r="39619" spans="1:100">
      <c r="A39619" s="374"/>
      <c r="C39619" s="374"/>
      <c r="CV39619" s="376"/>
    </row>
    <row r="39620" spans="1:100">
      <c r="A39620" s="374"/>
      <c r="C39620" s="374"/>
      <c r="CV39620" s="376"/>
    </row>
    <row r="39621" spans="1:100">
      <c r="A39621" s="374"/>
      <c r="C39621" s="374"/>
      <c r="CV39621" s="376"/>
    </row>
    <row r="39622" spans="1:100">
      <c r="A39622" s="374"/>
      <c r="C39622" s="374"/>
      <c r="CV39622" s="376"/>
    </row>
    <row r="39623" spans="1:100">
      <c r="A39623" s="374"/>
      <c r="C39623" s="374"/>
      <c r="CV39623" s="376"/>
    </row>
    <row r="39624" spans="1:100">
      <c r="A39624" s="374"/>
      <c r="C39624" s="374"/>
      <c r="CV39624" s="376"/>
    </row>
    <row r="39625" spans="1:100">
      <c r="A39625" s="374"/>
      <c r="C39625" s="374"/>
      <c r="CV39625" s="376"/>
    </row>
    <row r="39626" spans="1:100">
      <c r="A39626" s="374"/>
      <c r="C39626" s="374"/>
      <c r="CV39626" s="376"/>
    </row>
    <row r="39627" spans="1:100">
      <c r="A39627" s="374"/>
      <c r="C39627" s="374"/>
      <c r="CV39627" s="376"/>
    </row>
    <row r="39628" spans="1:100">
      <c r="A39628" s="374"/>
      <c r="C39628" s="374"/>
      <c r="CV39628" s="376"/>
    </row>
    <row r="39629" spans="1:100">
      <c r="A39629" s="374"/>
      <c r="C39629" s="374"/>
      <c r="CV39629" s="376"/>
    </row>
    <row r="39630" spans="1:100">
      <c r="A39630" s="374"/>
      <c r="C39630" s="374"/>
      <c r="CV39630" s="376"/>
    </row>
    <row r="39631" spans="1:100">
      <c r="A39631" s="374"/>
      <c r="C39631" s="374"/>
      <c r="CV39631" s="376"/>
    </row>
    <row r="39632" spans="1:100">
      <c r="A39632" s="374"/>
      <c r="C39632" s="374"/>
      <c r="CV39632" s="376"/>
    </row>
    <row r="39633" spans="1:100">
      <c r="A39633" s="374"/>
      <c r="C39633" s="374"/>
      <c r="CV39633" s="376"/>
    </row>
    <row r="39634" spans="1:100">
      <c r="A39634" s="374"/>
      <c r="C39634" s="374"/>
      <c r="CV39634" s="376"/>
    </row>
    <row r="39635" spans="1:100">
      <c r="A39635" s="374"/>
      <c r="C39635" s="374"/>
      <c r="CV39635" s="376"/>
    </row>
    <row r="39636" spans="1:100">
      <c r="A39636" s="374"/>
      <c r="C39636" s="374"/>
      <c r="CV39636" s="376"/>
    </row>
    <row r="39637" spans="1:100">
      <c r="A39637" s="374"/>
      <c r="C39637" s="374"/>
      <c r="CV39637" s="376"/>
    </row>
    <row r="39638" spans="1:100">
      <c r="A39638" s="374"/>
      <c r="C39638" s="374"/>
      <c r="CV39638" s="376"/>
    </row>
    <row r="39639" spans="1:100">
      <c r="A39639" s="374"/>
      <c r="C39639" s="374"/>
      <c r="CV39639" s="376"/>
    </row>
    <row r="39640" spans="1:100">
      <c r="A39640" s="374"/>
      <c r="C39640" s="374"/>
      <c r="CV39640" s="376"/>
    </row>
    <row r="39641" spans="1:100">
      <c r="A39641" s="374"/>
      <c r="C39641" s="374"/>
      <c r="CV39641" s="376"/>
    </row>
    <row r="39642" spans="1:100">
      <c r="A39642" s="374"/>
      <c r="C39642" s="374"/>
      <c r="CV39642" s="376"/>
    </row>
    <row r="39643" spans="1:100">
      <c r="A39643" s="374"/>
      <c r="C39643" s="374"/>
      <c r="CV39643" s="376"/>
    </row>
    <row r="39644" spans="1:100">
      <c r="A39644" s="374"/>
      <c r="C39644" s="374"/>
      <c r="CV39644" s="376"/>
    </row>
    <row r="39645" spans="1:100">
      <c r="A39645" s="374"/>
      <c r="C39645" s="374"/>
      <c r="CV39645" s="376"/>
    </row>
    <row r="39646" spans="1:100">
      <c r="A39646" s="374"/>
      <c r="C39646" s="374"/>
      <c r="CV39646" s="376"/>
    </row>
    <row r="39647" spans="1:100">
      <c r="A39647" s="374"/>
      <c r="C39647" s="374"/>
      <c r="CV39647" s="376"/>
    </row>
    <row r="39648" spans="1:100">
      <c r="A39648" s="374"/>
      <c r="C39648" s="374"/>
      <c r="CV39648" s="376"/>
    </row>
    <row r="39649" spans="1:100">
      <c r="A39649" s="374"/>
      <c r="C39649" s="374"/>
      <c r="CV39649" s="376"/>
    </row>
    <row r="39650" spans="1:100">
      <c r="A39650" s="374"/>
      <c r="C39650" s="374"/>
      <c r="CV39650" s="376"/>
    </row>
    <row r="39651" spans="1:100">
      <c r="A39651" s="374"/>
      <c r="C39651" s="374"/>
      <c r="CV39651" s="376"/>
    </row>
    <row r="39652" spans="1:100">
      <c r="A39652" s="374"/>
      <c r="C39652" s="374"/>
      <c r="CV39652" s="376"/>
    </row>
    <row r="39653" spans="1:100">
      <c r="A39653" s="374"/>
      <c r="C39653" s="374"/>
      <c r="CV39653" s="376"/>
    </row>
    <row r="39654" spans="1:100">
      <c r="A39654" s="374"/>
      <c r="C39654" s="374"/>
      <c r="CV39654" s="376"/>
    </row>
    <row r="39655" spans="1:100">
      <c r="A39655" s="374"/>
      <c r="C39655" s="374"/>
      <c r="CV39655" s="376"/>
    </row>
    <row r="39656" spans="1:100">
      <c r="A39656" s="374"/>
      <c r="C39656" s="374"/>
      <c r="CV39656" s="376"/>
    </row>
    <row r="39657" spans="1:100">
      <c r="A39657" s="374"/>
      <c r="C39657" s="374"/>
      <c r="CV39657" s="376"/>
    </row>
    <row r="39658" spans="1:100">
      <c r="A39658" s="374"/>
      <c r="C39658" s="374"/>
      <c r="CV39658" s="376"/>
    </row>
    <row r="39659" spans="1:100">
      <c r="A39659" s="374"/>
      <c r="C39659" s="374"/>
      <c r="CV39659" s="376"/>
    </row>
    <row r="39660" spans="1:100">
      <c r="A39660" s="374"/>
      <c r="C39660" s="374"/>
      <c r="CV39660" s="376"/>
    </row>
    <row r="39661" spans="1:100">
      <c r="A39661" s="374"/>
      <c r="C39661" s="374"/>
      <c r="CV39661" s="376"/>
    </row>
    <row r="39662" spans="1:100">
      <c r="A39662" s="374"/>
      <c r="C39662" s="374"/>
      <c r="CV39662" s="376"/>
    </row>
    <row r="39663" spans="1:100">
      <c r="A39663" s="374"/>
      <c r="C39663" s="374"/>
      <c r="CV39663" s="376"/>
    </row>
    <row r="39664" spans="1:100">
      <c r="A39664" s="374"/>
      <c r="C39664" s="374"/>
      <c r="CV39664" s="376"/>
    </row>
    <row r="39665" spans="1:100">
      <c r="A39665" s="374"/>
      <c r="C39665" s="374"/>
      <c r="CV39665" s="376"/>
    </row>
    <row r="39666" spans="1:100">
      <c r="A39666" s="374"/>
      <c r="C39666" s="374"/>
      <c r="CV39666" s="376"/>
    </row>
    <row r="39667" spans="1:100">
      <c r="A39667" s="374"/>
      <c r="C39667" s="374"/>
      <c r="CV39667" s="376"/>
    </row>
    <row r="39668" spans="1:100">
      <c r="A39668" s="374"/>
      <c r="C39668" s="374"/>
      <c r="CV39668" s="376"/>
    </row>
    <row r="39669" spans="1:100">
      <c r="A39669" s="374"/>
      <c r="C39669" s="374"/>
      <c r="CV39669" s="376"/>
    </row>
    <row r="39670" spans="1:100">
      <c r="A39670" s="374"/>
      <c r="C39670" s="374"/>
      <c r="CV39670" s="376"/>
    </row>
    <row r="39671" spans="1:100">
      <c r="A39671" s="374"/>
      <c r="C39671" s="374"/>
      <c r="CV39671" s="376"/>
    </row>
    <row r="39672" spans="1:100">
      <c r="A39672" s="374"/>
      <c r="C39672" s="374"/>
      <c r="CV39672" s="376"/>
    </row>
    <row r="39673" spans="1:100">
      <c r="A39673" s="374"/>
      <c r="C39673" s="374"/>
      <c r="CV39673" s="376"/>
    </row>
    <row r="39674" spans="1:100">
      <c r="A39674" s="374"/>
      <c r="C39674" s="374"/>
      <c r="CV39674" s="376"/>
    </row>
    <row r="39675" spans="1:100">
      <c r="A39675" s="374"/>
      <c r="C39675" s="374"/>
      <c r="CV39675" s="376"/>
    </row>
    <row r="39676" spans="1:100">
      <c r="A39676" s="374"/>
      <c r="C39676" s="374"/>
      <c r="CV39676" s="376"/>
    </row>
    <row r="39677" spans="1:100">
      <c r="A39677" s="374"/>
      <c r="C39677" s="374"/>
      <c r="CV39677" s="376"/>
    </row>
    <row r="39678" spans="1:100">
      <c r="A39678" s="374"/>
      <c r="C39678" s="374"/>
      <c r="CV39678" s="376"/>
    </row>
    <row r="39679" spans="1:100">
      <c r="A39679" s="374"/>
      <c r="C39679" s="374"/>
      <c r="CV39679" s="376"/>
    </row>
    <row r="39680" spans="1:100">
      <c r="A39680" s="374"/>
      <c r="C39680" s="374"/>
      <c r="CV39680" s="376"/>
    </row>
    <row r="39681" spans="1:100">
      <c r="A39681" s="374"/>
      <c r="C39681" s="374"/>
      <c r="CV39681" s="376"/>
    </row>
    <row r="39682" spans="1:100">
      <c r="A39682" s="374"/>
      <c r="C39682" s="374"/>
      <c r="CV39682" s="376"/>
    </row>
    <row r="39683" spans="1:100">
      <c r="A39683" s="374"/>
      <c r="C39683" s="374"/>
      <c r="CV39683" s="376"/>
    </row>
    <row r="39684" spans="1:100">
      <c r="A39684" s="374"/>
      <c r="C39684" s="374"/>
      <c r="CV39684" s="376"/>
    </row>
    <row r="39685" spans="1:100">
      <c r="A39685" s="374"/>
      <c r="C39685" s="374"/>
      <c r="CV39685" s="376"/>
    </row>
    <row r="39686" spans="1:100">
      <c r="A39686" s="374"/>
      <c r="C39686" s="374"/>
      <c r="CV39686" s="376"/>
    </row>
    <row r="39687" spans="1:100">
      <c r="A39687" s="374"/>
      <c r="C39687" s="374"/>
      <c r="CV39687" s="376"/>
    </row>
    <row r="39688" spans="1:100">
      <c r="A39688" s="374"/>
      <c r="C39688" s="374"/>
      <c r="CV39688" s="376"/>
    </row>
    <row r="39689" spans="1:100">
      <c r="A39689" s="374"/>
      <c r="C39689" s="374"/>
      <c r="CV39689" s="376"/>
    </row>
    <row r="39690" spans="1:100">
      <c r="A39690" s="374"/>
      <c r="C39690" s="374"/>
      <c r="CV39690" s="376"/>
    </row>
    <row r="39691" spans="1:100">
      <c r="A39691" s="374"/>
      <c r="C39691" s="374"/>
      <c r="CV39691" s="376"/>
    </row>
    <row r="39692" spans="1:100">
      <c r="A39692" s="374"/>
      <c r="C39692" s="374"/>
      <c r="CV39692" s="376"/>
    </row>
    <row r="39693" spans="1:100">
      <c r="A39693" s="374"/>
      <c r="C39693" s="374"/>
      <c r="CV39693" s="376"/>
    </row>
    <row r="39694" spans="1:100">
      <c r="A39694" s="374"/>
      <c r="C39694" s="374"/>
      <c r="CV39694" s="376"/>
    </row>
    <row r="39695" spans="1:100">
      <c r="A39695" s="374"/>
      <c r="C39695" s="374"/>
      <c r="CV39695" s="376"/>
    </row>
    <row r="39696" spans="1:100">
      <c r="A39696" s="374"/>
      <c r="C39696" s="374"/>
      <c r="CV39696" s="376"/>
    </row>
    <row r="39697" spans="1:100">
      <c r="A39697" s="374"/>
      <c r="C39697" s="374"/>
      <c r="CV39697" s="376"/>
    </row>
    <row r="39698" spans="1:100">
      <c r="A39698" s="374"/>
      <c r="C39698" s="374"/>
      <c r="CV39698" s="376"/>
    </row>
    <row r="39699" spans="1:100">
      <c r="A39699" s="374"/>
      <c r="C39699" s="374"/>
      <c r="CV39699" s="376"/>
    </row>
    <row r="39700" spans="1:100">
      <c r="A39700" s="374"/>
      <c r="C39700" s="374"/>
      <c r="CV39700" s="376"/>
    </row>
    <row r="39701" spans="1:100">
      <c r="A39701" s="374"/>
      <c r="C39701" s="374"/>
      <c r="CV39701" s="376"/>
    </row>
    <row r="39702" spans="1:100">
      <c r="A39702" s="374"/>
      <c r="C39702" s="374"/>
      <c r="CV39702" s="376"/>
    </row>
    <row r="39703" spans="1:100">
      <c r="A39703" s="374"/>
      <c r="C39703" s="374"/>
      <c r="CV39703" s="376"/>
    </row>
    <row r="39704" spans="1:100">
      <c r="A39704" s="374"/>
      <c r="C39704" s="374"/>
      <c r="CV39704" s="376"/>
    </row>
    <row r="39705" spans="1:100">
      <c r="A39705" s="374"/>
      <c r="C39705" s="374"/>
      <c r="CV39705" s="376"/>
    </row>
    <row r="39706" spans="1:100">
      <c r="A39706" s="374"/>
      <c r="C39706" s="374"/>
      <c r="CV39706" s="376"/>
    </row>
    <row r="39707" spans="1:100">
      <c r="A39707" s="374"/>
      <c r="C39707" s="374"/>
      <c r="CV39707" s="376"/>
    </row>
    <row r="39708" spans="1:100">
      <c r="A39708" s="374"/>
      <c r="C39708" s="374"/>
      <c r="CV39708" s="376"/>
    </row>
    <row r="39709" spans="1:100">
      <c r="A39709" s="374"/>
      <c r="C39709" s="374"/>
      <c r="CV39709" s="376"/>
    </row>
    <row r="39710" spans="1:100">
      <c r="A39710" s="374"/>
      <c r="C39710" s="374"/>
      <c r="CV39710" s="376"/>
    </row>
    <row r="39711" spans="1:100">
      <c r="A39711" s="374"/>
      <c r="C39711" s="374"/>
      <c r="CV39711" s="376"/>
    </row>
    <row r="39712" spans="1:100">
      <c r="A39712" s="374"/>
      <c r="C39712" s="374"/>
      <c r="CV39712" s="376"/>
    </row>
    <row r="39713" spans="1:100">
      <c r="A39713" s="374"/>
      <c r="C39713" s="374"/>
      <c r="CV39713" s="376"/>
    </row>
    <row r="39714" spans="1:100">
      <c r="A39714" s="374"/>
      <c r="C39714" s="374"/>
      <c r="CV39714" s="376"/>
    </row>
    <row r="39715" spans="1:100">
      <c r="A39715" s="374"/>
      <c r="C39715" s="374"/>
      <c r="CV39715" s="376"/>
    </row>
    <row r="39716" spans="1:100">
      <c r="A39716" s="374"/>
      <c r="C39716" s="374"/>
      <c r="CV39716" s="376"/>
    </row>
    <row r="39717" spans="1:100">
      <c r="A39717" s="374"/>
      <c r="C39717" s="374"/>
      <c r="CV39717" s="376"/>
    </row>
    <row r="39718" spans="1:100">
      <c r="A39718" s="374"/>
      <c r="C39718" s="374"/>
      <c r="CV39718" s="376"/>
    </row>
    <row r="39719" spans="1:100">
      <c r="A39719" s="374"/>
      <c r="C39719" s="374"/>
      <c r="CV39719" s="376"/>
    </row>
    <row r="39720" spans="1:100">
      <c r="A39720" s="374"/>
      <c r="C39720" s="374"/>
      <c r="CV39720" s="376"/>
    </row>
    <row r="39721" spans="1:100">
      <c r="A39721" s="374"/>
      <c r="C39721" s="374"/>
      <c r="CV39721" s="376"/>
    </row>
    <row r="39722" spans="1:100">
      <c r="A39722" s="374"/>
      <c r="C39722" s="374"/>
      <c r="CV39722" s="376"/>
    </row>
    <row r="39723" spans="1:100">
      <c r="A39723" s="374"/>
      <c r="C39723" s="374"/>
      <c r="CV39723" s="376"/>
    </row>
    <row r="39724" spans="1:100">
      <c r="A39724" s="374"/>
      <c r="C39724" s="374"/>
      <c r="CV39724" s="376"/>
    </row>
    <row r="39725" spans="1:100">
      <c r="A39725" s="374"/>
      <c r="C39725" s="374"/>
      <c r="CV39725" s="376"/>
    </row>
    <row r="39726" spans="1:100">
      <c r="A39726" s="374"/>
      <c r="C39726" s="374"/>
      <c r="CV39726" s="376"/>
    </row>
    <row r="39727" spans="1:100">
      <c r="A39727" s="374"/>
      <c r="C39727" s="374"/>
      <c r="CV39727" s="376"/>
    </row>
    <row r="39728" spans="1:100">
      <c r="A39728" s="374"/>
      <c r="C39728" s="374"/>
      <c r="CV39728" s="376"/>
    </row>
    <row r="39729" spans="1:100">
      <c r="A39729" s="374"/>
      <c r="C39729" s="374"/>
      <c r="CV39729" s="376"/>
    </row>
    <row r="39730" spans="1:100">
      <c r="A39730" s="374"/>
      <c r="C39730" s="374"/>
      <c r="CV39730" s="376"/>
    </row>
    <row r="39731" spans="1:100">
      <c r="A39731" s="374"/>
      <c r="C39731" s="374"/>
      <c r="CV39731" s="376"/>
    </row>
    <row r="39732" spans="1:100">
      <c r="A39732" s="374"/>
      <c r="C39732" s="374"/>
      <c r="CV39732" s="376"/>
    </row>
    <row r="39733" spans="1:100">
      <c r="A39733" s="374"/>
      <c r="C39733" s="374"/>
      <c r="CV39733" s="376"/>
    </row>
    <row r="39734" spans="1:100">
      <c r="A39734" s="374"/>
      <c r="C39734" s="374"/>
      <c r="CV39734" s="376"/>
    </row>
    <row r="39735" spans="1:100">
      <c r="A39735" s="374"/>
      <c r="C39735" s="374"/>
      <c r="CV39735" s="376"/>
    </row>
    <row r="39736" spans="1:100">
      <c r="A39736" s="374"/>
      <c r="C39736" s="374"/>
      <c r="CV39736" s="376"/>
    </row>
    <row r="39737" spans="1:100">
      <c r="A39737" s="374"/>
      <c r="C39737" s="374"/>
      <c r="CV39737" s="376"/>
    </row>
    <row r="39738" spans="1:100">
      <c r="A39738" s="374"/>
      <c r="C39738" s="374"/>
      <c r="CV39738" s="376"/>
    </row>
    <row r="39739" spans="1:100">
      <c r="A39739" s="374"/>
      <c r="C39739" s="374"/>
      <c r="CV39739" s="376"/>
    </row>
    <row r="39740" spans="1:100">
      <c r="A39740" s="374"/>
      <c r="C39740" s="374"/>
      <c r="CV39740" s="376"/>
    </row>
    <row r="39741" spans="1:100">
      <c r="A39741" s="374"/>
      <c r="C39741" s="374"/>
      <c r="CV39741" s="376"/>
    </row>
    <row r="39742" spans="1:100">
      <c r="A39742" s="374"/>
      <c r="C39742" s="374"/>
      <c r="CV39742" s="376"/>
    </row>
    <row r="39743" spans="1:100">
      <c r="A39743" s="374"/>
      <c r="C39743" s="374"/>
      <c r="CV39743" s="376"/>
    </row>
    <row r="39744" spans="1:100">
      <c r="A39744" s="374"/>
      <c r="C39744" s="374"/>
      <c r="CV39744" s="376"/>
    </row>
    <row r="39745" spans="1:100">
      <c r="A39745" s="374"/>
      <c r="C39745" s="374"/>
      <c r="CV39745" s="376"/>
    </row>
    <row r="39746" spans="1:100">
      <c r="A39746" s="374"/>
      <c r="C39746" s="374"/>
      <c r="CV39746" s="376"/>
    </row>
    <row r="39747" spans="1:100">
      <c r="A39747" s="374"/>
      <c r="C39747" s="374"/>
      <c r="CV39747" s="376"/>
    </row>
    <row r="39748" spans="1:100">
      <c r="A39748" s="374"/>
      <c r="C39748" s="374"/>
      <c r="CV39748" s="376"/>
    </row>
    <row r="39749" spans="1:100">
      <c r="A39749" s="374"/>
      <c r="C39749" s="374"/>
      <c r="CV39749" s="376"/>
    </row>
    <row r="39750" spans="1:100">
      <c r="A39750" s="374"/>
      <c r="C39750" s="374"/>
      <c r="CV39750" s="376"/>
    </row>
    <row r="39751" spans="1:100">
      <c r="A39751" s="374"/>
      <c r="C39751" s="374"/>
      <c r="CV39751" s="376"/>
    </row>
    <row r="39752" spans="1:100">
      <c r="A39752" s="374"/>
      <c r="C39752" s="374"/>
      <c r="CV39752" s="376"/>
    </row>
    <row r="39753" spans="1:100">
      <c r="A39753" s="374"/>
      <c r="C39753" s="374"/>
      <c r="CV39753" s="376"/>
    </row>
    <row r="39754" spans="1:100">
      <c r="A39754" s="374"/>
      <c r="C39754" s="374"/>
      <c r="CV39754" s="376"/>
    </row>
    <row r="39755" spans="1:100">
      <c r="A39755" s="374"/>
      <c r="C39755" s="374"/>
      <c r="CV39755" s="376"/>
    </row>
    <row r="39756" spans="1:100">
      <c r="A39756" s="374"/>
      <c r="C39756" s="374"/>
      <c r="CV39756" s="376"/>
    </row>
    <row r="39757" spans="1:100">
      <c r="A39757" s="374"/>
      <c r="C39757" s="374"/>
      <c r="CV39757" s="376"/>
    </row>
    <row r="39758" spans="1:100">
      <c r="A39758" s="374"/>
      <c r="C39758" s="374"/>
      <c r="CV39758" s="376"/>
    </row>
    <row r="39759" spans="1:100">
      <c r="A39759" s="374"/>
      <c r="C39759" s="374"/>
      <c r="CV39759" s="376"/>
    </row>
    <row r="39760" spans="1:100">
      <c r="A39760" s="374"/>
      <c r="C39760" s="374"/>
      <c r="CV39760" s="376"/>
    </row>
    <row r="39761" spans="1:100">
      <c r="A39761" s="374"/>
      <c r="C39761" s="374"/>
      <c r="CV39761" s="376"/>
    </row>
    <row r="39762" spans="1:100">
      <c r="A39762" s="374"/>
      <c r="C39762" s="374"/>
      <c r="CV39762" s="376"/>
    </row>
    <row r="39763" spans="1:100">
      <c r="A39763" s="374"/>
      <c r="C39763" s="374"/>
      <c r="CV39763" s="376"/>
    </row>
    <row r="39764" spans="1:100">
      <c r="A39764" s="374"/>
      <c r="C39764" s="374"/>
      <c r="CV39764" s="376"/>
    </row>
    <row r="39765" spans="1:100">
      <c r="A39765" s="374"/>
      <c r="C39765" s="374"/>
      <c r="CV39765" s="376"/>
    </row>
    <row r="39766" spans="1:100">
      <c r="A39766" s="374"/>
      <c r="C39766" s="374"/>
      <c r="CV39766" s="376"/>
    </row>
    <row r="39767" spans="1:100">
      <c r="A39767" s="374"/>
      <c r="C39767" s="374"/>
      <c r="CV39767" s="376"/>
    </row>
    <row r="39768" spans="1:100">
      <c r="A39768" s="374"/>
      <c r="C39768" s="374"/>
      <c r="CV39768" s="376"/>
    </row>
    <row r="39769" spans="1:100">
      <c r="A39769" s="374"/>
      <c r="C39769" s="374"/>
      <c r="CV39769" s="376"/>
    </row>
    <row r="39770" spans="1:100">
      <c r="A39770" s="374"/>
      <c r="C39770" s="374"/>
      <c r="CV39770" s="376"/>
    </row>
    <row r="39771" spans="1:100">
      <c r="A39771" s="374"/>
      <c r="C39771" s="374"/>
      <c r="CV39771" s="376"/>
    </row>
    <row r="39772" spans="1:100">
      <c r="A39772" s="374"/>
      <c r="C39772" s="374"/>
      <c r="CV39772" s="376"/>
    </row>
    <row r="39773" spans="1:100">
      <c r="A39773" s="374"/>
      <c r="C39773" s="374"/>
      <c r="CV39773" s="376"/>
    </row>
    <row r="39774" spans="1:100">
      <c r="A39774" s="374"/>
      <c r="C39774" s="374"/>
      <c r="CV39774" s="376"/>
    </row>
    <row r="39775" spans="1:100">
      <c r="A39775" s="374"/>
      <c r="C39775" s="374"/>
      <c r="CV39775" s="376"/>
    </row>
    <row r="39776" spans="1:100">
      <c r="A39776" s="374"/>
      <c r="C39776" s="374"/>
      <c r="CV39776" s="376"/>
    </row>
    <row r="39777" spans="1:100">
      <c r="A39777" s="374"/>
      <c r="C39777" s="374"/>
      <c r="CV39777" s="376"/>
    </row>
    <row r="39778" spans="1:100">
      <c r="A39778" s="374"/>
      <c r="C39778" s="374"/>
      <c r="CV39778" s="376"/>
    </row>
    <row r="39779" spans="1:100">
      <c r="A39779" s="374"/>
      <c r="C39779" s="374"/>
      <c r="CV39779" s="376"/>
    </row>
    <row r="39780" spans="1:100">
      <c r="A39780" s="374"/>
      <c r="C39780" s="374"/>
      <c r="CV39780" s="376"/>
    </row>
    <row r="39781" spans="1:100">
      <c r="A39781" s="374"/>
      <c r="C39781" s="374"/>
      <c r="CV39781" s="376"/>
    </row>
    <row r="39782" spans="1:100">
      <c r="A39782" s="374"/>
      <c r="C39782" s="374"/>
      <c r="CV39782" s="376"/>
    </row>
    <row r="39783" spans="1:100">
      <c r="A39783" s="374"/>
      <c r="C39783" s="374"/>
      <c r="CV39783" s="376"/>
    </row>
    <row r="39784" spans="1:100">
      <c r="A39784" s="374"/>
      <c r="C39784" s="374"/>
      <c r="CV39784" s="376"/>
    </row>
    <row r="39785" spans="1:100">
      <c r="A39785" s="374"/>
      <c r="C39785" s="374"/>
      <c r="CV39785" s="376"/>
    </row>
    <row r="39786" spans="1:100">
      <c r="A39786" s="374"/>
      <c r="C39786" s="374"/>
      <c r="CV39786" s="376"/>
    </row>
    <row r="39787" spans="1:100">
      <c r="A39787" s="374"/>
      <c r="C39787" s="374"/>
      <c r="CV39787" s="376"/>
    </row>
    <row r="39788" spans="1:100">
      <c r="A39788" s="374"/>
      <c r="C39788" s="374"/>
      <c r="CV39788" s="376"/>
    </row>
    <row r="39789" spans="1:100">
      <c r="A39789" s="374"/>
      <c r="C39789" s="374"/>
      <c r="CV39789" s="376"/>
    </row>
    <row r="39790" spans="1:100">
      <c r="A39790" s="374"/>
      <c r="C39790" s="374"/>
      <c r="CV39790" s="376"/>
    </row>
    <row r="39791" spans="1:100">
      <c r="A39791" s="374"/>
      <c r="C39791" s="374"/>
      <c r="CV39791" s="376"/>
    </row>
    <row r="39792" spans="1:100">
      <c r="A39792" s="374"/>
      <c r="C39792" s="374"/>
      <c r="CV39792" s="376"/>
    </row>
    <row r="39793" spans="1:100">
      <c r="A39793" s="374"/>
      <c r="C39793" s="374"/>
      <c r="CV39793" s="376"/>
    </row>
    <row r="39794" spans="1:100">
      <c r="A39794" s="374"/>
      <c r="C39794" s="374"/>
      <c r="CV39794" s="376"/>
    </row>
    <row r="39795" spans="1:100">
      <c r="A39795" s="374"/>
      <c r="C39795" s="374"/>
      <c r="CV39795" s="376"/>
    </row>
    <row r="39796" spans="1:100">
      <c r="A39796" s="374"/>
      <c r="C39796" s="374"/>
      <c r="CV39796" s="376"/>
    </row>
    <row r="39797" spans="1:100">
      <c r="A39797" s="374"/>
      <c r="C39797" s="374"/>
      <c r="CV39797" s="376"/>
    </row>
    <row r="39798" spans="1:100">
      <c r="A39798" s="374"/>
      <c r="C39798" s="374"/>
      <c r="CV39798" s="376"/>
    </row>
    <row r="39799" spans="1:100">
      <c r="A39799" s="374"/>
      <c r="C39799" s="374"/>
      <c r="CV39799" s="376"/>
    </row>
    <row r="39800" spans="1:100">
      <c r="A39800" s="374"/>
      <c r="C39800" s="374"/>
      <c r="CV39800" s="376"/>
    </row>
    <row r="39801" spans="1:100">
      <c r="A39801" s="374"/>
      <c r="C39801" s="374"/>
      <c r="CV39801" s="376"/>
    </row>
    <row r="39802" spans="1:100">
      <c r="A39802" s="374"/>
      <c r="C39802" s="374"/>
      <c r="CV39802" s="376"/>
    </row>
    <row r="39803" spans="1:100">
      <c r="A39803" s="374"/>
      <c r="C39803" s="374"/>
      <c r="CV39803" s="376"/>
    </row>
    <row r="39804" spans="1:100">
      <c r="A39804" s="374"/>
      <c r="C39804" s="374"/>
      <c r="CV39804" s="376"/>
    </row>
    <row r="39805" spans="1:100">
      <c r="A39805" s="374"/>
      <c r="C39805" s="374"/>
      <c r="CV39805" s="376"/>
    </row>
    <row r="39806" spans="1:100">
      <c r="A39806" s="374"/>
      <c r="C39806" s="374"/>
      <c r="CV39806" s="376"/>
    </row>
    <row r="39807" spans="1:100">
      <c r="A39807" s="374"/>
      <c r="C39807" s="374"/>
      <c r="CV39807" s="376"/>
    </row>
    <row r="39808" spans="1:100">
      <c r="A39808" s="374"/>
      <c r="C39808" s="374"/>
      <c r="CV39808" s="376"/>
    </row>
    <row r="39809" spans="1:100">
      <c r="A39809" s="374"/>
      <c r="C39809" s="374"/>
      <c r="CV39809" s="376"/>
    </row>
    <row r="39810" spans="1:100">
      <c r="A39810" s="374"/>
      <c r="C39810" s="374"/>
      <c r="CV39810" s="376"/>
    </row>
    <row r="39811" spans="1:100">
      <c r="A39811" s="374"/>
      <c r="C39811" s="374"/>
      <c r="CV39811" s="376"/>
    </row>
    <row r="39812" spans="1:100">
      <c r="A39812" s="374"/>
      <c r="C39812" s="374"/>
      <c r="CV39812" s="376"/>
    </row>
    <row r="39813" spans="1:100">
      <c r="A39813" s="374"/>
      <c r="C39813" s="374"/>
      <c r="CV39813" s="376"/>
    </row>
    <row r="39814" spans="1:100">
      <c r="A39814" s="374"/>
      <c r="C39814" s="374"/>
      <c r="CV39814" s="376"/>
    </row>
    <row r="39815" spans="1:100">
      <c r="A39815" s="374"/>
      <c r="C39815" s="374"/>
      <c r="CV39815" s="376"/>
    </row>
    <row r="39816" spans="1:100">
      <c r="A39816" s="374"/>
      <c r="C39816" s="374"/>
      <c r="CV39816" s="376"/>
    </row>
    <row r="39817" spans="1:100">
      <c r="A39817" s="374"/>
      <c r="C39817" s="374"/>
      <c r="CV39817" s="376"/>
    </row>
    <row r="39818" spans="1:100">
      <c r="A39818" s="374"/>
      <c r="C39818" s="374"/>
      <c r="CV39818" s="376"/>
    </row>
    <row r="39819" spans="1:100">
      <c r="A39819" s="374"/>
      <c r="C39819" s="374"/>
      <c r="CV39819" s="376"/>
    </row>
    <row r="39820" spans="1:100">
      <c r="A39820" s="374"/>
      <c r="C39820" s="374"/>
      <c r="CV39820" s="376"/>
    </row>
    <row r="39821" spans="1:100">
      <c r="A39821" s="374"/>
      <c r="C39821" s="374"/>
      <c r="CV39821" s="376"/>
    </row>
    <row r="39822" spans="1:100">
      <c r="A39822" s="374"/>
      <c r="C39822" s="374"/>
      <c r="CV39822" s="376"/>
    </row>
    <row r="39823" spans="1:100">
      <c r="A39823" s="374"/>
      <c r="C39823" s="374"/>
      <c r="CV39823" s="376"/>
    </row>
    <row r="39824" spans="1:100">
      <c r="A39824" s="374"/>
      <c r="C39824" s="374"/>
      <c r="CV39824" s="376"/>
    </row>
    <row r="39825" spans="1:100">
      <c r="A39825" s="374"/>
      <c r="C39825" s="374"/>
      <c r="CV39825" s="376"/>
    </row>
    <row r="39826" spans="1:100">
      <c r="A39826" s="374"/>
      <c r="C39826" s="374"/>
      <c r="CV39826" s="376"/>
    </row>
    <row r="39827" spans="1:100">
      <c r="A39827" s="374"/>
      <c r="C39827" s="374"/>
      <c r="CV39827" s="376"/>
    </row>
    <row r="39828" spans="1:100">
      <c r="A39828" s="374"/>
      <c r="C39828" s="374"/>
      <c r="CV39828" s="376"/>
    </row>
    <row r="39829" spans="1:100">
      <c r="A39829" s="374"/>
      <c r="C39829" s="374"/>
      <c r="CV39829" s="376"/>
    </row>
    <row r="39830" spans="1:100">
      <c r="A39830" s="374"/>
      <c r="C39830" s="374"/>
      <c r="CV39830" s="376"/>
    </row>
    <row r="39831" spans="1:100">
      <c r="A39831" s="374"/>
      <c r="C39831" s="374"/>
      <c r="CV39831" s="376"/>
    </row>
    <row r="39832" spans="1:100">
      <c r="A39832" s="374"/>
      <c r="C39832" s="374"/>
      <c r="CV39832" s="376"/>
    </row>
    <row r="39833" spans="1:100">
      <c r="A39833" s="374"/>
      <c r="C39833" s="374"/>
      <c r="CV39833" s="376"/>
    </row>
    <row r="39834" spans="1:100">
      <c r="A39834" s="374"/>
      <c r="C39834" s="374"/>
      <c r="CV39834" s="376"/>
    </row>
    <row r="39835" spans="1:100">
      <c r="A39835" s="374"/>
      <c r="C39835" s="374"/>
      <c r="CV39835" s="376"/>
    </row>
    <row r="39836" spans="1:100">
      <c r="A39836" s="374"/>
      <c r="C39836" s="374"/>
      <c r="CV39836" s="376"/>
    </row>
    <row r="39837" spans="1:100">
      <c r="A39837" s="374"/>
      <c r="C39837" s="374"/>
      <c r="CV39837" s="376"/>
    </row>
    <row r="39838" spans="1:100">
      <c r="A39838" s="374"/>
      <c r="C39838" s="374"/>
      <c r="CV39838" s="376"/>
    </row>
    <row r="39839" spans="1:100">
      <c r="A39839" s="374"/>
      <c r="C39839" s="374"/>
      <c r="CV39839" s="376"/>
    </row>
    <row r="39840" spans="1:100">
      <c r="A39840" s="374"/>
      <c r="C39840" s="374"/>
      <c r="CV39840" s="376"/>
    </row>
    <row r="39841" spans="1:100">
      <c r="A39841" s="374"/>
      <c r="C39841" s="374"/>
      <c r="CV39841" s="376"/>
    </row>
    <row r="39842" spans="1:100">
      <c r="A39842" s="374"/>
      <c r="C39842" s="374"/>
      <c r="CV39842" s="376"/>
    </row>
    <row r="39843" spans="1:100">
      <c r="A39843" s="374"/>
      <c r="C39843" s="374"/>
      <c r="CV39843" s="376"/>
    </row>
    <row r="39844" spans="1:100">
      <c r="A39844" s="374"/>
      <c r="C39844" s="374"/>
      <c r="CV39844" s="376"/>
    </row>
    <row r="39845" spans="1:100">
      <c r="A39845" s="374"/>
      <c r="C39845" s="374"/>
      <c r="CV39845" s="376"/>
    </row>
    <row r="39846" spans="1:100">
      <c r="A39846" s="374"/>
      <c r="C39846" s="374"/>
      <c r="CV39846" s="376"/>
    </row>
    <row r="39847" spans="1:100">
      <c r="A39847" s="374"/>
      <c r="C39847" s="374"/>
      <c r="CV39847" s="376"/>
    </row>
    <row r="39848" spans="1:100">
      <c r="A39848" s="374"/>
      <c r="C39848" s="374"/>
      <c r="CV39848" s="376"/>
    </row>
    <row r="39849" spans="1:100">
      <c r="A39849" s="374"/>
      <c r="C39849" s="374"/>
      <c r="CV39849" s="376"/>
    </row>
    <row r="39850" spans="1:100">
      <c r="A39850" s="374"/>
      <c r="C39850" s="374"/>
      <c r="CV39850" s="376"/>
    </row>
    <row r="39851" spans="1:100">
      <c r="A39851" s="374"/>
      <c r="C39851" s="374"/>
      <c r="CV39851" s="376"/>
    </row>
    <row r="39852" spans="1:100">
      <c r="A39852" s="374"/>
      <c r="C39852" s="374"/>
      <c r="CV39852" s="376"/>
    </row>
    <row r="39853" spans="1:100">
      <c r="A39853" s="374"/>
      <c r="C39853" s="374"/>
      <c r="CV39853" s="376"/>
    </row>
    <row r="39854" spans="1:100">
      <c r="A39854" s="374"/>
      <c r="C39854" s="374"/>
      <c r="CV39854" s="376"/>
    </row>
    <row r="39855" spans="1:100">
      <c r="A39855" s="374"/>
      <c r="C39855" s="374"/>
      <c r="CV39855" s="376"/>
    </row>
    <row r="39856" spans="1:100">
      <c r="A39856" s="374"/>
      <c r="C39856" s="374"/>
      <c r="CV39856" s="376"/>
    </row>
    <row r="39857" spans="1:100">
      <c r="A39857" s="374"/>
      <c r="C39857" s="374"/>
      <c r="CV39857" s="376"/>
    </row>
    <row r="39858" spans="1:100">
      <c r="A39858" s="374"/>
      <c r="C39858" s="374"/>
      <c r="CV39858" s="376"/>
    </row>
    <row r="39859" spans="1:100">
      <c r="A39859" s="374"/>
      <c r="C39859" s="374"/>
      <c r="CV39859" s="376"/>
    </row>
    <row r="39860" spans="1:100">
      <c r="A39860" s="374"/>
      <c r="C39860" s="374"/>
      <c r="CV39860" s="376"/>
    </row>
    <row r="39861" spans="1:100">
      <c r="A39861" s="374"/>
      <c r="C39861" s="374"/>
      <c r="CV39861" s="376"/>
    </row>
    <row r="39862" spans="1:100">
      <c r="A39862" s="374"/>
      <c r="C39862" s="374"/>
      <c r="CV39862" s="376"/>
    </row>
    <row r="39863" spans="1:100">
      <c r="A39863" s="374"/>
      <c r="C39863" s="374"/>
      <c r="CV39863" s="376"/>
    </row>
    <row r="39864" spans="1:100">
      <c r="A39864" s="374"/>
      <c r="C39864" s="374"/>
      <c r="CV39864" s="376"/>
    </row>
    <row r="39865" spans="1:100">
      <c r="A39865" s="374"/>
      <c r="C39865" s="374"/>
      <c r="CV39865" s="376"/>
    </row>
    <row r="39866" spans="1:100">
      <c r="A39866" s="374"/>
      <c r="C39866" s="374"/>
      <c r="CV39866" s="376"/>
    </row>
    <row r="39867" spans="1:100">
      <c r="A39867" s="374"/>
      <c r="C39867" s="374"/>
      <c r="CV39867" s="376"/>
    </row>
    <row r="39868" spans="1:100">
      <c r="A39868" s="374"/>
      <c r="C39868" s="374"/>
      <c r="CV39868" s="376"/>
    </row>
    <row r="39869" spans="1:100">
      <c r="A39869" s="374"/>
      <c r="C39869" s="374"/>
      <c r="CV39869" s="376"/>
    </row>
    <row r="39870" spans="1:100">
      <c r="A39870" s="374"/>
      <c r="C39870" s="374"/>
      <c r="CV39870" s="376"/>
    </row>
    <row r="39871" spans="1:100">
      <c r="A39871" s="374"/>
      <c r="C39871" s="374"/>
      <c r="CV39871" s="376"/>
    </row>
    <row r="39872" spans="1:100">
      <c r="A39872" s="374"/>
      <c r="C39872" s="374"/>
      <c r="CV39872" s="376"/>
    </row>
    <row r="39873" spans="1:100">
      <c r="A39873" s="374"/>
      <c r="C39873" s="374"/>
      <c r="CV39873" s="376"/>
    </row>
    <row r="39874" spans="1:100">
      <c r="A39874" s="374"/>
      <c r="C39874" s="374"/>
      <c r="CV39874" s="376"/>
    </row>
    <row r="39875" spans="1:100">
      <c r="A39875" s="374"/>
      <c r="C39875" s="374"/>
      <c r="CV39875" s="376"/>
    </row>
    <row r="39876" spans="1:100">
      <c r="A39876" s="374"/>
      <c r="C39876" s="374"/>
      <c r="CV39876" s="376"/>
    </row>
    <row r="39877" spans="1:100">
      <c r="A39877" s="374"/>
      <c r="C39877" s="374"/>
      <c r="CV39877" s="376"/>
    </row>
    <row r="39878" spans="1:100">
      <c r="A39878" s="374"/>
      <c r="C39878" s="374"/>
      <c r="CV39878" s="376"/>
    </row>
    <row r="39879" spans="1:100">
      <c r="A39879" s="374"/>
      <c r="C39879" s="374"/>
      <c r="CV39879" s="376"/>
    </row>
    <row r="39880" spans="1:100">
      <c r="A39880" s="374"/>
      <c r="C39880" s="374"/>
      <c r="CV39880" s="376"/>
    </row>
    <row r="39881" spans="1:100">
      <c r="A39881" s="374"/>
      <c r="C39881" s="374"/>
      <c r="CV39881" s="376"/>
    </row>
    <row r="39882" spans="1:100">
      <c r="A39882" s="374"/>
      <c r="C39882" s="374"/>
      <c r="CV39882" s="376"/>
    </row>
    <row r="39883" spans="1:100">
      <c r="A39883" s="374"/>
      <c r="C39883" s="374"/>
      <c r="CV39883" s="376"/>
    </row>
    <row r="39884" spans="1:100">
      <c r="A39884" s="374"/>
      <c r="C39884" s="374"/>
      <c r="CV39884" s="376"/>
    </row>
    <row r="39885" spans="1:100">
      <c r="A39885" s="374"/>
      <c r="C39885" s="374"/>
      <c r="CV39885" s="376"/>
    </row>
    <row r="39886" spans="1:100">
      <c r="A39886" s="374"/>
      <c r="C39886" s="374"/>
      <c r="CV39886" s="376"/>
    </row>
    <row r="39887" spans="1:100">
      <c r="A39887" s="374"/>
      <c r="C39887" s="374"/>
      <c r="CV39887" s="376"/>
    </row>
    <row r="39888" spans="1:100">
      <c r="A39888" s="374"/>
      <c r="C39888" s="374"/>
      <c r="CV39888" s="376"/>
    </row>
    <row r="39889" spans="1:100">
      <c r="A39889" s="374"/>
      <c r="C39889" s="374"/>
      <c r="CV39889" s="376"/>
    </row>
    <row r="39890" spans="1:100">
      <c r="A39890" s="374"/>
      <c r="C39890" s="374"/>
      <c r="CV39890" s="376"/>
    </row>
    <row r="39891" spans="1:100">
      <c r="A39891" s="374"/>
      <c r="C39891" s="374"/>
      <c r="CV39891" s="376"/>
    </row>
    <row r="39892" spans="1:100">
      <c r="A39892" s="374"/>
      <c r="C39892" s="374"/>
      <c r="CV39892" s="376"/>
    </row>
    <row r="39893" spans="1:100">
      <c r="A39893" s="374"/>
      <c r="C39893" s="374"/>
      <c r="CV39893" s="376"/>
    </row>
    <row r="39894" spans="1:100">
      <c r="A39894" s="374"/>
      <c r="C39894" s="374"/>
      <c r="CV39894" s="376"/>
    </row>
    <row r="39895" spans="1:100">
      <c r="A39895" s="374"/>
      <c r="C39895" s="374"/>
      <c r="CV39895" s="376"/>
    </row>
    <row r="39896" spans="1:100">
      <c r="A39896" s="374"/>
      <c r="C39896" s="374"/>
      <c r="CV39896" s="376"/>
    </row>
    <row r="39897" spans="1:100">
      <c r="A39897" s="374"/>
      <c r="C39897" s="374"/>
      <c r="CV39897" s="376"/>
    </row>
    <row r="39898" spans="1:100">
      <c r="A39898" s="374"/>
      <c r="C39898" s="374"/>
      <c r="CV39898" s="376"/>
    </row>
    <row r="39899" spans="1:100">
      <c r="A39899" s="374"/>
      <c r="C39899" s="374"/>
      <c r="CV39899" s="376"/>
    </row>
    <row r="39900" spans="1:100">
      <c r="A39900" s="374"/>
      <c r="C39900" s="374"/>
      <c r="CV39900" s="376"/>
    </row>
    <row r="39901" spans="1:100">
      <c r="A39901" s="374"/>
      <c r="C39901" s="374"/>
      <c r="CV39901" s="376"/>
    </row>
    <row r="39902" spans="1:100">
      <c r="A39902" s="374"/>
      <c r="C39902" s="374"/>
      <c r="CV39902" s="376"/>
    </row>
    <row r="39903" spans="1:100">
      <c r="A39903" s="374"/>
      <c r="C39903" s="374"/>
      <c r="CV39903" s="376"/>
    </row>
    <row r="39904" spans="1:100">
      <c r="A39904" s="374"/>
      <c r="C39904" s="374"/>
      <c r="CV39904" s="376"/>
    </row>
    <row r="39905" spans="1:100">
      <c r="A39905" s="374"/>
      <c r="C39905" s="374"/>
      <c r="CV39905" s="376"/>
    </row>
    <row r="39906" spans="1:100">
      <c r="A39906" s="374"/>
      <c r="C39906" s="374"/>
      <c r="CV39906" s="376"/>
    </row>
    <row r="39907" spans="1:100">
      <c r="A39907" s="374"/>
      <c r="C39907" s="374"/>
      <c r="CV39907" s="376"/>
    </row>
    <row r="39908" spans="1:100">
      <c r="A39908" s="374"/>
      <c r="C39908" s="374"/>
      <c r="CV39908" s="376"/>
    </row>
    <row r="39909" spans="1:100">
      <c r="A39909" s="374"/>
      <c r="C39909" s="374"/>
      <c r="CV39909" s="376"/>
    </row>
    <row r="39910" spans="1:100">
      <c r="A39910" s="374"/>
      <c r="C39910" s="374"/>
      <c r="CV39910" s="376"/>
    </row>
    <row r="39911" spans="1:100">
      <c r="A39911" s="374"/>
      <c r="C39911" s="374"/>
      <c r="CV39911" s="376"/>
    </row>
    <row r="39912" spans="1:100">
      <c r="A39912" s="374"/>
      <c r="C39912" s="374"/>
      <c r="CV39912" s="376"/>
    </row>
    <row r="39913" spans="1:100">
      <c r="A39913" s="374"/>
      <c r="C39913" s="374"/>
      <c r="CV39913" s="376"/>
    </row>
    <row r="39914" spans="1:100">
      <c r="A39914" s="374"/>
      <c r="C39914" s="374"/>
      <c r="CV39914" s="376"/>
    </row>
    <row r="39915" spans="1:100">
      <c r="A39915" s="374"/>
      <c r="C39915" s="374"/>
      <c r="CV39915" s="376"/>
    </row>
    <row r="39916" spans="1:100">
      <c r="A39916" s="374"/>
      <c r="C39916" s="374"/>
      <c r="CV39916" s="376"/>
    </row>
    <row r="39917" spans="1:100">
      <c r="A39917" s="374"/>
      <c r="C39917" s="374"/>
      <c r="CV39917" s="376"/>
    </row>
    <row r="39918" spans="1:100">
      <c r="A39918" s="374"/>
      <c r="C39918" s="374"/>
      <c r="CV39918" s="376"/>
    </row>
    <row r="39919" spans="1:100">
      <c r="A39919" s="374"/>
      <c r="C39919" s="374"/>
      <c r="CV39919" s="376"/>
    </row>
    <row r="39920" spans="1:100">
      <c r="A39920" s="374"/>
      <c r="C39920" s="374"/>
      <c r="CV39920" s="376"/>
    </row>
    <row r="39921" spans="1:100">
      <c r="A39921" s="374"/>
      <c r="C39921" s="374"/>
      <c r="CV39921" s="376"/>
    </row>
    <row r="39922" spans="1:100">
      <c r="A39922" s="374"/>
      <c r="C39922" s="374"/>
      <c r="CV39922" s="376"/>
    </row>
    <row r="39923" spans="1:100">
      <c r="A39923" s="374"/>
      <c r="C39923" s="374"/>
      <c r="CV39923" s="376"/>
    </row>
    <row r="39924" spans="1:100">
      <c r="A39924" s="374"/>
      <c r="C39924" s="374"/>
      <c r="CV39924" s="376"/>
    </row>
    <row r="39925" spans="1:100">
      <c r="A39925" s="374"/>
      <c r="C39925" s="374"/>
      <c r="CV39925" s="376"/>
    </row>
    <row r="39926" spans="1:100">
      <c r="A39926" s="374"/>
      <c r="C39926" s="374"/>
      <c r="CV39926" s="376"/>
    </row>
    <row r="39927" spans="1:100">
      <c r="A39927" s="374"/>
      <c r="C39927" s="374"/>
      <c r="CV39927" s="376"/>
    </row>
    <row r="39928" spans="1:100">
      <c r="A39928" s="374"/>
      <c r="C39928" s="374"/>
      <c r="CV39928" s="376"/>
    </row>
    <row r="39929" spans="1:100">
      <c r="A39929" s="374"/>
      <c r="C39929" s="374"/>
      <c r="CV39929" s="376"/>
    </row>
    <row r="39930" spans="1:100">
      <c r="A39930" s="374"/>
      <c r="C39930" s="374"/>
      <c r="CV39930" s="376"/>
    </row>
    <row r="39931" spans="1:100">
      <c r="A39931" s="374"/>
      <c r="C39931" s="374"/>
      <c r="CV39931" s="376"/>
    </row>
    <row r="39932" spans="1:100">
      <c r="A39932" s="374"/>
      <c r="C39932" s="374"/>
      <c r="CV39932" s="376"/>
    </row>
    <row r="39933" spans="1:100">
      <c r="A39933" s="374"/>
      <c r="C39933" s="374"/>
      <c r="CV39933" s="376"/>
    </row>
    <row r="39934" spans="1:100">
      <c r="A39934" s="374"/>
      <c r="C39934" s="374"/>
      <c r="CV39934" s="376"/>
    </row>
    <row r="39935" spans="1:100">
      <c r="A39935" s="374"/>
      <c r="C39935" s="374"/>
      <c r="CV39935" s="376"/>
    </row>
    <row r="39936" spans="1:100">
      <c r="A39936" s="374"/>
      <c r="C39936" s="374"/>
      <c r="CV39936" s="376"/>
    </row>
    <row r="39937" spans="1:100">
      <c r="A39937" s="374"/>
      <c r="C39937" s="374"/>
      <c r="CV39937" s="376"/>
    </row>
    <row r="39938" spans="1:100">
      <c r="A39938" s="374"/>
      <c r="C39938" s="374"/>
      <c r="CV39938" s="376"/>
    </row>
    <row r="39939" spans="1:100">
      <c r="A39939" s="374"/>
      <c r="C39939" s="374"/>
      <c r="CV39939" s="376"/>
    </row>
    <row r="39940" spans="1:100">
      <c r="A39940" s="374"/>
      <c r="C39940" s="374"/>
      <c r="CV39940" s="376"/>
    </row>
    <row r="39941" spans="1:100">
      <c r="A39941" s="374"/>
      <c r="C39941" s="374"/>
      <c r="CV39941" s="376"/>
    </row>
    <row r="39942" spans="1:100">
      <c r="A39942" s="374"/>
      <c r="C39942" s="374"/>
      <c r="CV39942" s="376"/>
    </row>
    <row r="39943" spans="1:100">
      <c r="A39943" s="374"/>
      <c r="C39943" s="374"/>
      <c r="CV39943" s="376"/>
    </row>
    <row r="39944" spans="1:100">
      <c r="A39944" s="374"/>
      <c r="C39944" s="374"/>
      <c r="CV39944" s="376"/>
    </row>
    <row r="39945" spans="1:100">
      <c r="A39945" s="374"/>
      <c r="C39945" s="374"/>
      <c r="CV39945" s="376"/>
    </row>
    <row r="39946" spans="1:100">
      <c r="A39946" s="374"/>
      <c r="C39946" s="374"/>
      <c r="CV39946" s="376"/>
    </row>
    <row r="39947" spans="1:100">
      <c r="A39947" s="374"/>
      <c r="C39947" s="374"/>
      <c r="CV39947" s="376"/>
    </row>
    <row r="39948" spans="1:100">
      <c r="A39948" s="374"/>
      <c r="C39948" s="374"/>
      <c r="CV39948" s="376"/>
    </row>
    <row r="39949" spans="1:100">
      <c r="A39949" s="374"/>
      <c r="C39949" s="374"/>
      <c r="CV39949" s="376"/>
    </row>
    <row r="39950" spans="1:100">
      <c r="A39950" s="374"/>
      <c r="C39950" s="374"/>
      <c r="CV39950" s="376"/>
    </row>
    <row r="39951" spans="1:100">
      <c r="A39951" s="374"/>
      <c r="C39951" s="374"/>
      <c r="CV39951" s="376"/>
    </row>
    <row r="39952" spans="1:100">
      <c r="A39952" s="374"/>
      <c r="C39952" s="374"/>
      <c r="CV39952" s="376"/>
    </row>
    <row r="39953" spans="1:100">
      <c r="A39953" s="374"/>
      <c r="C39953" s="374"/>
      <c r="CV39953" s="376"/>
    </row>
    <row r="39954" spans="1:100">
      <c r="A39954" s="374"/>
      <c r="C39954" s="374"/>
      <c r="CV39954" s="376"/>
    </row>
    <row r="39955" spans="1:100">
      <c r="A39955" s="374"/>
      <c r="C39955" s="374"/>
      <c r="CV39955" s="376"/>
    </row>
    <row r="39956" spans="1:100">
      <c r="A39956" s="374"/>
      <c r="C39956" s="374"/>
      <c r="CV39956" s="376"/>
    </row>
    <row r="39957" spans="1:100">
      <c r="A39957" s="374"/>
      <c r="C39957" s="374"/>
      <c r="CV39957" s="376"/>
    </row>
    <row r="39958" spans="1:100">
      <c r="A39958" s="374"/>
      <c r="C39958" s="374"/>
      <c r="CV39958" s="376"/>
    </row>
    <row r="39959" spans="1:100">
      <c r="A39959" s="374"/>
      <c r="C39959" s="374"/>
      <c r="CV39959" s="376"/>
    </row>
    <row r="39960" spans="1:100">
      <c r="A39960" s="374"/>
      <c r="C39960" s="374"/>
      <c r="CV39960" s="376"/>
    </row>
    <row r="39961" spans="1:100">
      <c r="A39961" s="374"/>
      <c r="C39961" s="374"/>
      <c r="CV39961" s="376"/>
    </row>
    <row r="39962" spans="1:100">
      <c r="A39962" s="374"/>
      <c r="C39962" s="374"/>
      <c r="CV39962" s="376"/>
    </row>
    <row r="39963" spans="1:100">
      <c r="A39963" s="374"/>
      <c r="C39963" s="374"/>
      <c r="CV39963" s="376"/>
    </row>
    <row r="39964" spans="1:100">
      <c r="A39964" s="374"/>
      <c r="C39964" s="374"/>
      <c r="CV39964" s="376"/>
    </row>
    <row r="39965" spans="1:100">
      <c r="A39965" s="374"/>
      <c r="C39965" s="374"/>
      <c r="CV39965" s="376"/>
    </row>
    <row r="39966" spans="1:100">
      <c r="A39966" s="374"/>
      <c r="C39966" s="374"/>
      <c r="CV39966" s="376"/>
    </row>
    <row r="39967" spans="1:100">
      <c r="A39967" s="374"/>
      <c r="C39967" s="374"/>
      <c r="CV39967" s="376"/>
    </row>
    <row r="39968" spans="1:100">
      <c r="A39968" s="374"/>
      <c r="C39968" s="374"/>
      <c r="CV39968" s="376"/>
    </row>
    <row r="39969" spans="1:100">
      <c r="A39969" s="374"/>
      <c r="C39969" s="374"/>
      <c r="CV39969" s="376"/>
    </row>
    <row r="39970" spans="1:100">
      <c r="A39970" s="374"/>
      <c r="C39970" s="374"/>
      <c r="CV39970" s="376"/>
    </row>
    <row r="39971" spans="1:100">
      <c r="A39971" s="374"/>
      <c r="C39971" s="374"/>
      <c r="CV39971" s="376"/>
    </row>
    <row r="39972" spans="1:100">
      <c r="A39972" s="374"/>
      <c r="C39972" s="374"/>
      <c r="CV39972" s="376"/>
    </row>
    <row r="39973" spans="1:100">
      <c r="A39973" s="374"/>
      <c r="C39973" s="374"/>
      <c r="CV39973" s="376"/>
    </row>
    <row r="39974" spans="1:100">
      <c r="A39974" s="374"/>
      <c r="C39974" s="374"/>
      <c r="CV39974" s="376"/>
    </row>
    <row r="39975" spans="1:100">
      <c r="A39975" s="374"/>
      <c r="C39975" s="374"/>
      <c r="CV39975" s="376"/>
    </row>
    <row r="39976" spans="1:100">
      <c r="A39976" s="374"/>
      <c r="C39976" s="374"/>
      <c r="CV39976" s="376"/>
    </row>
    <row r="39977" spans="1:100">
      <c r="A39977" s="374"/>
      <c r="C39977" s="374"/>
      <c r="CV39977" s="376"/>
    </row>
    <row r="39978" spans="1:100">
      <c r="A39978" s="374"/>
      <c r="C39978" s="374"/>
      <c r="CV39978" s="376"/>
    </row>
    <row r="39979" spans="1:100">
      <c r="A39979" s="374"/>
      <c r="C39979" s="374"/>
      <c r="CV39979" s="376"/>
    </row>
    <row r="39980" spans="1:100">
      <c r="A39980" s="374"/>
      <c r="C39980" s="374"/>
      <c r="CV39980" s="376"/>
    </row>
    <row r="39981" spans="1:100">
      <c r="A39981" s="374"/>
      <c r="C39981" s="374"/>
      <c r="CV39981" s="376"/>
    </row>
    <row r="39982" spans="1:100">
      <c r="A39982" s="374"/>
      <c r="C39982" s="374"/>
      <c r="CV39982" s="376"/>
    </row>
    <row r="39983" spans="1:100">
      <c r="A39983" s="374"/>
      <c r="C39983" s="374"/>
      <c r="CV39983" s="376"/>
    </row>
    <row r="39984" spans="1:100">
      <c r="A39984" s="374"/>
      <c r="C39984" s="374"/>
      <c r="CV39984" s="376"/>
    </row>
    <row r="39985" spans="1:100">
      <c r="A39985" s="374"/>
      <c r="C39985" s="374"/>
      <c r="CV39985" s="376"/>
    </row>
    <row r="39986" spans="1:100">
      <c r="A39986" s="374"/>
      <c r="C39986" s="374"/>
      <c r="CV39986" s="376"/>
    </row>
    <row r="39987" spans="1:100">
      <c r="A39987" s="374"/>
      <c r="C39987" s="374"/>
      <c r="CV39987" s="376"/>
    </row>
    <row r="39988" spans="1:100">
      <c r="A39988" s="374"/>
      <c r="C39988" s="374"/>
      <c r="CV39988" s="376"/>
    </row>
    <row r="39989" spans="1:100">
      <c r="A39989" s="374"/>
      <c r="C39989" s="374"/>
      <c r="CV39989" s="376"/>
    </row>
    <row r="39990" spans="1:100">
      <c r="A39990" s="374"/>
      <c r="C39990" s="374"/>
      <c r="CV39990" s="376"/>
    </row>
    <row r="39991" spans="1:100">
      <c r="A39991" s="374"/>
      <c r="C39991" s="374"/>
      <c r="CV39991" s="376"/>
    </row>
    <row r="39992" spans="1:100">
      <c r="A39992" s="374"/>
      <c r="C39992" s="374"/>
      <c r="CV39992" s="376"/>
    </row>
    <row r="39993" spans="1:100">
      <c r="A39993" s="374"/>
      <c r="C39993" s="374"/>
      <c r="CV39993" s="376"/>
    </row>
    <row r="39994" spans="1:100">
      <c r="A39994" s="374"/>
      <c r="C39994" s="374"/>
      <c r="CV39994" s="376"/>
    </row>
    <row r="39995" spans="1:100">
      <c r="A39995" s="374"/>
      <c r="C39995" s="374"/>
      <c r="CV39995" s="376"/>
    </row>
    <row r="39996" spans="1:100">
      <c r="A39996" s="374"/>
      <c r="C39996" s="374"/>
      <c r="CV39996" s="376"/>
    </row>
    <row r="39997" spans="1:100">
      <c r="A39997" s="374"/>
      <c r="C39997" s="374"/>
      <c r="CV39997" s="376"/>
    </row>
    <row r="39998" spans="1:100">
      <c r="A39998" s="374"/>
      <c r="C39998" s="374"/>
      <c r="CV39998" s="376"/>
    </row>
    <row r="39999" spans="1:100">
      <c r="A39999" s="374"/>
      <c r="C39999" s="374"/>
      <c r="CV39999" s="376"/>
    </row>
    <row r="40000" spans="1:100">
      <c r="A40000" s="374"/>
      <c r="C40000" s="374"/>
      <c r="CV40000" s="376"/>
    </row>
    <row r="40001" spans="1:100">
      <c r="A40001" s="374"/>
      <c r="C40001" s="374"/>
      <c r="CV40001" s="376"/>
    </row>
    <row r="40002" spans="1:100">
      <c r="A40002" s="374"/>
      <c r="C40002" s="374"/>
      <c r="CV40002" s="376"/>
    </row>
    <row r="40003" spans="1:100">
      <c r="A40003" s="374"/>
      <c r="C40003" s="374"/>
      <c r="CV40003" s="376"/>
    </row>
    <row r="40004" spans="1:100">
      <c r="A40004" s="374"/>
      <c r="C40004" s="374"/>
      <c r="CV40004" s="376"/>
    </row>
    <row r="40005" spans="1:100">
      <c r="A40005" s="374"/>
      <c r="C40005" s="374"/>
      <c r="CV40005" s="376"/>
    </row>
    <row r="40006" spans="1:100">
      <c r="A40006" s="374"/>
      <c r="C40006" s="374"/>
      <c r="CV40006" s="376"/>
    </row>
    <row r="40007" spans="1:100">
      <c r="A40007" s="374"/>
      <c r="C40007" s="374"/>
      <c r="CV40007" s="376"/>
    </row>
    <row r="40008" spans="1:100">
      <c r="A40008" s="374"/>
      <c r="C40008" s="374"/>
      <c r="CV40008" s="376"/>
    </row>
    <row r="40009" spans="1:100">
      <c r="A40009" s="374"/>
      <c r="C40009" s="374"/>
      <c r="CV40009" s="376"/>
    </row>
    <row r="40010" spans="1:100">
      <c r="A40010" s="374"/>
      <c r="C40010" s="374"/>
      <c r="CV40010" s="376"/>
    </row>
    <row r="40011" spans="1:100">
      <c r="A40011" s="374"/>
      <c r="C40011" s="374"/>
      <c r="CV40011" s="376"/>
    </row>
    <row r="40012" spans="1:100">
      <c r="A40012" s="374"/>
      <c r="C40012" s="374"/>
      <c r="CV40012" s="376"/>
    </row>
    <row r="40013" spans="1:100">
      <c r="A40013" s="374"/>
      <c r="C40013" s="374"/>
      <c r="CV40013" s="376"/>
    </row>
    <row r="40014" spans="1:100">
      <c r="A40014" s="374"/>
      <c r="C40014" s="374"/>
      <c r="CV40014" s="376"/>
    </row>
    <row r="40015" spans="1:100">
      <c r="A40015" s="374"/>
      <c r="C40015" s="374"/>
      <c r="CV40015" s="376"/>
    </row>
    <row r="40016" spans="1:100">
      <c r="A40016" s="374"/>
      <c r="C40016" s="374"/>
      <c r="CV40016" s="376"/>
    </row>
    <row r="40017" spans="1:100">
      <c r="A40017" s="374"/>
      <c r="C40017" s="374"/>
      <c r="CV40017" s="376"/>
    </row>
    <row r="40018" spans="1:100">
      <c r="A40018" s="374"/>
      <c r="C40018" s="374"/>
      <c r="CV40018" s="376"/>
    </row>
    <row r="40019" spans="1:100">
      <c r="A40019" s="374"/>
      <c r="C40019" s="374"/>
      <c r="CV40019" s="376"/>
    </row>
    <row r="40020" spans="1:100">
      <c r="A40020" s="374"/>
      <c r="C40020" s="374"/>
      <c r="CV40020" s="376"/>
    </row>
    <row r="40021" spans="1:100">
      <c r="A40021" s="374"/>
      <c r="C40021" s="374"/>
      <c r="CV40021" s="376"/>
    </row>
    <row r="40022" spans="1:100">
      <c r="A40022" s="374"/>
      <c r="C40022" s="374"/>
      <c r="CV40022" s="376"/>
    </row>
    <row r="40023" spans="1:100">
      <c r="A40023" s="374"/>
      <c r="C40023" s="374"/>
      <c r="CV40023" s="376"/>
    </row>
    <row r="40024" spans="1:100">
      <c r="A40024" s="374"/>
      <c r="C40024" s="374"/>
      <c r="CV40024" s="376"/>
    </row>
    <row r="40025" spans="1:100">
      <c r="A40025" s="374"/>
      <c r="C40025" s="374"/>
      <c r="CV40025" s="376"/>
    </row>
    <row r="40026" spans="1:100">
      <c r="A40026" s="374"/>
      <c r="C40026" s="374"/>
      <c r="CV40026" s="376"/>
    </row>
    <row r="40027" spans="1:100">
      <c r="A40027" s="374"/>
      <c r="C40027" s="374"/>
      <c r="CV40027" s="376"/>
    </row>
    <row r="40028" spans="1:100">
      <c r="A40028" s="374"/>
      <c r="C40028" s="374"/>
      <c r="CV40028" s="376"/>
    </row>
    <row r="40029" spans="1:100">
      <c r="A40029" s="374"/>
      <c r="C40029" s="374"/>
      <c r="CV40029" s="376"/>
    </row>
    <row r="40030" spans="1:100">
      <c r="A40030" s="374"/>
      <c r="C40030" s="374"/>
      <c r="CV40030" s="376"/>
    </row>
    <row r="40031" spans="1:100">
      <c r="A40031" s="374"/>
      <c r="C40031" s="374"/>
      <c r="CV40031" s="376"/>
    </row>
    <row r="40032" spans="1:100">
      <c r="A40032" s="374"/>
      <c r="C40032" s="374"/>
      <c r="CV40032" s="376"/>
    </row>
    <row r="40033" spans="1:100">
      <c r="A40033" s="374"/>
      <c r="C40033" s="374"/>
      <c r="CV40033" s="376"/>
    </row>
    <row r="40034" spans="1:100">
      <c r="A40034" s="374"/>
      <c r="C40034" s="374"/>
      <c r="CV40034" s="376"/>
    </row>
    <row r="40035" spans="1:100">
      <c r="A40035" s="374"/>
      <c r="C40035" s="374"/>
      <c r="CV40035" s="376"/>
    </row>
    <row r="40036" spans="1:100">
      <c r="A40036" s="374"/>
      <c r="C40036" s="374"/>
      <c r="CV40036" s="376"/>
    </row>
    <row r="40037" spans="1:100">
      <c r="A40037" s="374"/>
      <c r="C40037" s="374"/>
      <c r="CV40037" s="376"/>
    </row>
    <row r="40038" spans="1:100">
      <c r="A40038" s="374"/>
      <c r="C40038" s="374"/>
      <c r="CV40038" s="376"/>
    </row>
    <row r="40039" spans="1:100">
      <c r="A40039" s="374"/>
      <c r="C40039" s="374"/>
      <c r="CV40039" s="376"/>
    </row>
    <row r="40040" spans="1:100">
      <c r="A40040" s="374"/>
      <c r="C40040" s="374"/>
      <c r="CV40040" s="376"/>
    </row>
    <row r="40041" spans="1:100">
      <c r="A40041" s="374"/>
      <c r="C40041" s="374"/>
      <c r="CV40041" s="376"/>
    </row>
    <row r="40042" spans="1:100">
      <c r="A40042" s="374"/>
      <c r="C40042" s="374"/>
      <c r="CV40042" s="376"/>
    </row>
    <row r="40043" spans="1:100">
      <c r="A40043" s="374"/>
      <c r="C40043" s="374"/>
      <c r="CV40043" s="376"/>
    </row>
    <row r="40044" spans="1:100">
      <c r="A40044" s="374"/>
      <c r="C40044" s="374"/>
      <c r="CV40044" s="376"/>
    </row>
    <row r="40045" spans="1:100">
      <c r="A40045" s="374"/>
      <c r="C40045" s="374"/>
      <c r="CV40045" s="376"/>
    </row>
    <row r="40046" spans="1:100">
      <c r="A40046" s="374"/>
      <c r="C40046" s="374"/>
      <c r="CV40046" s="376"/>
    </row>
    <row r="40047" spans="1:100">
      <c r="A40047" s="374"/>
      <c r="C40047" s="374"/>
      <c r="CV40047" s="376"/>
    </row>
    <row r="40048" spans="1:100">
      <c r="A40048" s="374"/>
      <c r="C40048" s="374"/>
      <c r="CV40048" s="376"/>
    </row>
    <row r="40049" spans="1:100">
      <c r="A40049" s="374"/>
      <c r="C40049" s="374"/>
      <c r="CV40049" s="376"/>
    </row>
    <row r="40050" spans="1:100">
      <c r="A40050" s="374"/>
      <c r="C40050" s="374"/>
      <c r="CV40050" s="376"/>
    </row>
    <row r="40051" spans="1:100">
      <c r="A40051" s="374"/>
      <c r="C40051" s="374"/>
      <c r="CV40051" s="376"/>
    </row>
    <row r="40052" spans="1:100">
      <c r="A40052" s="374"/>
      <c r="C40052" s="374"/>
      <c r="CV40052" s="376"/>
    </row>
    <row r="40053" spans="1:100">
      <c r="A40053" s="374"/>
      <c r="C40053" s="374"/>
      <c r="CV40053" s="376"/>
    </row>
    <row r="40054" spans="1:100">
      <c r="A40054" s="374"/>
      <c r="C40054" s="374"/>
      <c r="CV40054" s="376"/>
    </row>
    <row r="40055" spans="1:100">
      <c r="A40055" s="374"/>
      <c r="C40055" s="374"/>
      <c r="CV40055" s="376"/>
    </row>
    <row r="40056" spans="1:100">
      <c r="A40056" s="374"/>
      <c r="C40056" s="374"/>
      <c r="CV40056" s="376"/>
    </row>
    <row r="40057" spans="1:100">
      <c r="A40057" s="374"/>
      <c r="C40057" s="374"/>
      <c r="CV40057" s="376"/>
    </row>
    <row r="40058" spans="1:100">
      <c r="A40058" s="374"/>
      <c r="C40058" s="374"/>
      <c r="CV40058" s="376"/>
    </row>
    <row r="40059" spans="1:100">
      <c r="A40059" s="374"/>
      <c r="C40059" s="374"/>
      <c r="CV40059" s="376"/>
    </row>
    <row r="40060" spans="1:100">
      <c r="A40060" s="374"/>
      <c r="C40060" s="374"/>
      <c r="CV40060" s="376"/>
    </row>
    <row r="40061" spans="1:100">
      <c r="A40061" s="374"/>
      <c r="C40061" s="374"/>
      <c r="CV40061" s="376"/>
    </row>
    <row r="40062" spans="1:100">
      <c r="A40062" s="374"/>
      <c r="C40062" s="374"/>
      <c r="CV40062" s="376"/>
    </row>
    <row r="40063" spans="1:100">
      <c r="A40063" s="374"/>
      <c r="C40063" s="374"/>
      <c r="CV40063" s="376"/>
    </row>
    <row r="40064" spans="1:100">
      <c r="A40064" s="374"/>
      <c r="C40064" s="374"/>
      <c r="CV40064" s="376"/>
    </row>
    <row r="40065" spans="1:100">
      <c r="A40065" s="374"/>
      <c r="C40065" s="374"/>
      <c r="CV40065" s="376"/>
    </row>
    <row r="40066" spans="1:100">
      <c r="A40066" s="374"/>
      <c r="C40066" s="374"/>
      <c r="CV40066" s="376"/>
    </row>
    <row r="40067" spans="1:100">
      <c r="A40067" s="374"/>
      <c r="C40067" s="374"/>
      <c r="CV40067" s="376"/>
    </row>
    <row r="40068" spans="1:100">
      <c r="A40068" s="374"/>
      <c r="C40068" s="374"/>
      <c r="CV40068" s="376"/>
    </row>
    <row r="40069" spans="1:100">
      <c r="A40069" s="374"/>
      <c r="C40069" s="374"/>
      <c r="CV40069" s="376"/>
    </row>
    <row r="40070" spans="1:100">
      <c r="A40070" s="374"/>
      <c r="C40070" s="374"/>
      <c r="CV40070" s="376"/>
    </row>
    <row r="40071" spans="1:100">
      <c r="A40071" s="374"/>
      <c r="C40071" s="374"/>
      <c r="CV40071" s="376"/>
    </row>
    <row r="40072" spans="1:100">
      <c r="A40072" s="374"/>
      <c r="C40072" s="374"/>
      <c r="CV40072" s="376"/>
    </row>
    <row r="40073" spans="1:100">
      <c r="A40073" s="374"/>
      <c r="C40073" s="374"/>
      <c r="CV40073" s="376"/>
    </row>
    <row r="40074" spans="1:100">
      <c r="A40074" s="374"/>
      <c r="C40074" s="374"/>
      <c r="CV40074" s="376"/>
    </row>
    <row r="40075" spans="1:100">
      <c r="A40075" s="374"/>
      <c r="C40075" s="374"/>
      <c r="CV40075" s="376"/>
    </row>
    <row r="40076" spans="1:100">
      <c r="A40076" s="374"/>
      <c r="C40076" s="374"/>
      <c r="CV40076" s="376"/>
    </row>
    <row r="40077" spans="1:100">
      <c r="A40077" s="374"/>
      <c r="C40077" s="374"/>
      <c r="CV40077" s="376"/>
    </row>
    <row r="40078" spans="1:100">
      <c r="A40078" s="374"/>
      <c r="C40078" s="374"/>
      <c r="CV40078" s="376"/>
    </row>
    <row r="40079" spans="1:100">
      <c r="A40079" s="374"/>
      <c r="C40079" s="374"/>
      <c r="CV40079" s="376"/>
    </row>
    <row r="40080" spans="1:100">
      <c r="A40080" s="374"/>
      <c r="C40080" s="374"/>
      <c r="CV40080" s="376"/>
    </row>
    <row r="40081" spans="1:100">
      <c r="A40081" s="374"/>
      <c r="C40081" s="374"/>
      <c r="CV40081" s="376"/>
    </row>
    <row r="40082" spans="1:100">
      <c r="A40082" s="374"/>
      <c r="C40082" s="374"/>
      <c r="CV40082" s="376"/>
    </row>
    <row r="40083" spans="1:100">
      <c r="A40083" s="374"/>
      <c r="C40083" s="374"/>
      <c r="CV40083" s="376"/>
    </row>
    <row r="40084" spans="1:100">
      <c r="A40084" s="374"/>
      <c r="C40084" s="374"/>
      <c r="CV40084" s="376"/>
    </row>
    <row r="40085" spans="1:100">
      <c r="A40085" s="374"/>
      <c r="C40085" s="374"/>
      <c r="CV40085" s="376"/>
    </row>
    <row r="40086" spans="1:100">
      <c r="A40086" s="374"/>
      <c r="C40086" s="374"/>
      <c r="CV40086" s="376"/>
    </row>
    <row r="40087" spans="1:100">
      <c r="A40087" s="374"/>
      <c r="C40087" s="374"/>
      <c r="CV40087" s="376"/>
    </row>
    <row r="40088" spans="1:100">
      <c r="A40088" s="374"/>
      <c r="C40088" s="374"/>
      <c r="CV40088" s="376"/>
    </row>
    <row r="40089" spans="1:100">
      <c r="A40089" s="374"/>
      <c r="C40089" s="374"/>
      <c r="CV40089" s="376"/>
    </row>
    <row r="40090" spans="1:100">
      <c r="A40090" s="374"/>
      <c r="C40090" s="374"/>
      <c r="CV40090" s="376"/>
    </row>
    <row r="40091" spans="1:100">
      <c r="A40091" s="374"/>
      <c r="C40091" s="374"/>
      <c r="CV40091" s="376"/>
    </row>
    <row r="40092" spans="1:100">
      <c r="A40092" s="374"/>
      <c r="C40092" s="374"/>
      <c r="CV40092" s="376"/>
    </row>
    <row r="40093" spans="1:100">
      <c r="A40093" s="374"/>
      <c r="C40093" s="374"/>
      <c r="CV40093" s="376"/>
    </row>
    <row r="40094" spans="1:100">
      <c r="A40094" s="374"/>
      <c r="C40094" s="374"/>
      <c r="CV40094" s="376"/>
    </row>
    <row r="40095" spans="1:100">
      <c r="A40095" s="374"/>
      <c r="C40095" s="374"/>
      <c r="CV40095" s="376"/>
    </row>
    <row r="40096" spans="1:100">
      <c r="A40096" s="374"/>
      <c r="C40096" s="374"/>
      <c r="CV40096" s="376"/>
    </row>
    <row r="40097" spans="1:100">
      <c r="A40097" s="374"/>
      <c r="C40097" s="374"/>
      <c r="CV40097" s="376"/>
    </row>
    <row r="40098" spans="1:100">
      <c r="A40098" s="374"/>
      <c r="C40098" s="374"/>
      <c r="CV40098" s="376"/>
    </row>
    <row r="40099" spans="1:100">
      <c r="A40099" s="374"/>
      <c r="C40099" s="374"/>
      <c r="CV40099" s="376"/>
    </row>
    <row r="40100" spans="1:100">
      <c r="A40100" s="374"/>
      <c r="C40100" s="374"/>
      <c r="CV40100" s="376"/>
    </row>
    <row r="40101" spans="1:100">
      <c r="A40101" s="374"/>
      <c r="C40101" s="374"/>
      <c r="CV40101" s="376"/>
    </row>
    <row r="40102" spans="1:100">
      <c r="A40102" s="374"/>
      <c r="C40102" s="374"/>
      <c r="CV40102" s="376"/>
    </row>
    <row r="40103" spans="1:100">
      <c r="A40103" s="374"/>
      <c r="C40103" s="374"/>
      <c r="CV40103" s="376"/>
    </row>
    <row r="40104" spans="1:100">
      <c r="A40104" s="374"/>
      <c r="C40104" s="374"/>
      <c r="CV40104" s="376"/>
    </row>
    <row r="40105" spans="1:100">
      <c r="A40105" s="374"/>
      <c r="C40105" s="374"/>
      <c r="CV40105" s="376"/>
    </row>
    <row r="40106" spans="1:100">
      <c r="A40106" s="374"/>
      <c r="C40106" s="374"/>
      <c r="CV40106" s="376"/>
    </row>
    <row r="40107" spans="1:100">
      <c r="A40107" s="374"/>
      <c r="C40107" s="374"/>
      <c r="CV40107" s="376"/>
    </row>
    <row r="40108" spans="1:100">
      <c r="A40108" s="374"/>
      <c r="C40108" s="374"/>
      <c r="CV40108" s="376"/>
    </row>
    <row r="40109" spans="1:100">
      <c r="A40109" s="374"/>
      <c r="C40109" s="374"/>
      <c r="CV40109" s="376"/>
    </row>
    <row r="40110" spans="1:100">
      <c r="A40110" s="374"/>
      <c r="C40110" s="374"/>
      <c r="CV40110" s="376"/>
    </row>
    <row r="40111" spans="1:100">
      <c r="A40111" s="374"/>
      <c r="C40111" s="374"/>
      <c r="CV40111" s="376"/>
    </row>
    <row r="40112" spans="1:100">
      <c r="A40112" s="374"/>
      <c r="C40112" s="374"/>
      <c r="CV40112" s="376"/>
    </row>
    <row r="40113" spans="1:100">
      <c r="A40113" s="374"/>
      <c r="C40113" s="374"/>
      <c r="CV40113" s="376"/>
    </row>
    <row r="40114" spans="1:100">
      <c r="A40114" s="374"/>
      <c r="C40114" s="374"/>
      <c r="CV40114" s="376"/>
    </row>
    <row r="40115" spans="1:100">
      <c r="A40115" s="374"/>
      <c r="C40115" s="374"/>
      <c r="CV40115" s="376"/>
    </row>
    <row r="40116" spans="1:100">
      <c r="A40116" s="374"/>
      <c r="C40116" s="374"/>
      <c r="CV40116" s="376"/>
    </row>
    <row r="40117" spans="1:100">
      <c r="A40117" s="374"/>
      <c r="C40117" s="374"/>
      <c r="CV40117" s="376"/>
    </row>
    <row r="40118" spans="1:100">
      <c r="A40118" s="374"/>
      <c r="C40118" s="374"/>
      <c r="CV40118" s="376"/>
    </row>
    <row r="40119" spans="1:100">
      <c r="A40119" s="374"/>
      <c r="C40119" s="374"/>
      <c r="CV40119" s="376"/>
    </row>
    <row r="40120" spans="1:100">
      <c r="A40120" s="374"/>
      <c r="C40120" s="374"/>
      <c r="CV40120" s="376"/>
    </row>
    <row r="40121" spans="1:100">
      <c r="A40121" s="374"/>
      <c r="C40121" s="374"/>
      <c r="CV40121" s="376"/>
    </row>
    <row r="40122" spans="1:100">
      <c r="A40122" s="374"/>
      <c r="C40122" s="374"/>
      <c r="CV40122" s="376"/>
    </row>
    <row r="40123" spans="1:100">
      <c r="A40123" s="374"/>
      <c r="C40123" s="374"/>
      <c r="CV40123" s="376"/>
    </row>
    <row r="40124" spans="1:100">
      <c r="A40124" s="374"/>
      <c r="C40124" s="374"/>
      <c r="CV40124" s="376"/>
    </row>
    <row r="40125" spans="1:100">
      <c r="A40125" s="374"/>
      <c r="C40125" s="374"/>
      <c r="CV40125" s="376"/>
    </row>
    <row r="40126" spans="1:100">
      <c r="A40126" s="374"/>
      <c r="C40126" s="374"/>
      <c r="CV40126" s="376"/>
    </row>
    <row r="40127" spans="1:100">
      <c r="A40127" s="374"/>
      <c r="C40127" s="374"/>
      <c r="CV40127" s="376"/>
    </row>
    <row r="40128" spans="1:100">
      <c r="A40128" s="374"/>
      <c r="C40128" s="374"/>
      <c r="CV40128" s="376"/>
    </row>
    <row r="40129" spans="1:100">
      <c r="A40129" s="374"/>
      <c r="C40129" s="374"/>
      <c r="CV40129" s="376"/>
    </row>
    <row r="40130" spans="1:100">
      <c r="A40130" s="374"/>
      <c r="C40130" s="374"/>
      <c r="CV40130" s="376"/>
    </row>
    <row r="40131" spans="1:100">
      <c r="A40131" s="374"/>
      <c r="C40131" s="374"/>
      <c r="CV40131" s="376"/>
    </row>
    <row r="40132" spans="1:100">
      <c r="A40132" s="374"/>
      <c r="C40132" s="374"/>
      <c r="CV40132" s="376"/>
    </row>
    <row r="40133" spans="1:100">
      <c r="A40133" s="374"/>
      <c r="C40133" s="374"/>
      <c r="CV40133" s="376"/>
    </row>
    <row r="40134" spans="1:100">
      <c r="A40134" s="374"/>
      <c r="C40134" s="374"/>
      <c r="CV40134" s="376"/>
    </row>
    <row r="40135" spans="1:100">
      <c r="A40135" s="374"/>
      <c r="C40135" s="374"/>
      <c r="CV40135" s="376"/>
    </row>
    <row r="40136" spans="1:100">
      <c r="A40136" s="374"/>
      <c r="C40136" s="374"/>
      <c r="CV40136" s="376"/>
    </row>
    <row r="40137" spans="1:100">
      <c r="A40137" s="374"/>
      <c r="C40137" s="374"/>
      <c r="CV40137" s="376"/>
    </row>
    <row r="40138" spans="1:100">
      <c r="A40138" s="374"/>
      <c r="C40138" s="374"/>
      <c r="CV40138" s="376"/>
    </row>
    <row r="40139" spans="1:100">
      <c r="A40139" s="374"/>
      <c r="C40139" s="374"/>
      <c r="CV40139" s="376"/>
    </row>
    <row r="40140" spans="1:100">
      <c r="A40140" s="374"/>
      <c r="C40140" s="374"/>
      <c r="CV40140" s="376"/>
    </row>
    <row r="40141" spans="1:100">
      <c r="A40141" s="374"/>
      <c r="C40141" s="374"/>
      <c r="CV40141" s="376"/>
    </row>
    <row r="40142" spans="1:100">
      <c r="A40142" s="374"/>
      <c r="C40142" s="374"/>
      <c r="CV40142" s="376"/>
    </row>
    <row r="40143" spans="1:100">
      <c r="A40143" s="374"/>
      <c r="C40143" s="374"/>
      <c r="CV40143" s="376"/>
    </row>
    <row r="40144" spans="1:100">
      <c r="A40144" s="374"/>
      <c r="C40144" s="374"/>
      <c r="CV40144" s="376"/>
    </row>
    <row r="40145" spans="1:100">
      <c r="A40145" s="374"/>
      <c r="C40145" s="374"/>
      <c r="CV40145" s="376"/>
    </row>
    <row r="40146" spans="1:100">
      <c r="A40146" s="374"/>
      <c r="C40146" s="374"/>
      <c r="CV40146" s="376"/>
    </row>
    <row r="40147" spans="1:100">
      <c r="A40147" s="374"/>
      <c r="C40147" s="374"/>
      <c r="CV40147" s="376"/>
    </row>
    <row r="40148" spans="1:100">
      <c r="A40148" s="374"/>
      <c r="C40148" s="374"/>
      <c r="CV40148" s="376"/>
    </row>
    <row r="40149" spans="1:100">
      <c r="A40149" s="374"/>
      <c r="C40149" s="374"/>
      <c r="CV40149" s="376"/>
    </row>
    <row r="40150" spans="1:100">
      <c r="A40150" s="374"/>
      <c r="C40150" s="374"/>
      <c r="CV40150" s="376"/>
    </row>
    <row r="40151" spans="1:100">
      <c r="A40151" s="374"/>
      <c r="C40151" s="374"/>
      <c r="CV40151" s="376"/>
    </row>
    <row r="40152" spans="1:100">
      <c r="A40152" s="374"/>
      <c r="C40152" s="374"/>
      <c r="CV40152" s="376"/>
    </row>
    <row r="40153" spans="1:100">
      <c r="A40153" s="374"/>
      <c r="C40153" s="374"/>
      <c r="CV40153" s="376"/>
    </row>
    <row r="40154" spans="1:100">
      <c r="A40154" s="374"/>
      <c r="C40154" s="374"/>
      <c r="CV40154" s="376"/>
    </row>
    <row r="40155" spans="1:100">
      <c r="A40155" s="374"/>
      <c r="C40155" s="374"/>
      <c r="CV40155" s="376"/>
    </row>
    <row r="40156" spans="1:100">
      <c r="A40156" s="374"/>
      <c r="C40156" s="374"/>
      <c r="CV40156" s="376"/>
    </row>
    <row r="40157" spans="1:100">
      <c r="A40157" s="374"/>
      <c r="C40157" s="374"/>
      <c r="CV40157" s="376"/>
    </row>
    <row r="40158" spans="1:100">
      <c r="A40158" s="374"/>
      <c r="C40158" s="374"/>
      <c r="CV40158" s="376"/>
    </row>
    <row r="40159" spans="1:100">
      <c r="A40159" s="374"/>
      <c r="C40159" s="374"/>
      <c r="CV40159" s="376"/>
    </row>
    <row r="40160" spans="1:100">
      <c r="A40160" s="374"/>
      <c r="C40160" s="374"/>
      <c r="CV40160" s="376"/>
    </row>
    <row r="40161" spans="1:100">
      <c r="A40161" s="374"/>
      <c r="C40161" s="374"/>
      <c r="CV40161" s="376"/>
    </row>
    <row r="40162" spans="1:100">
      <c r="A40162" s="374"/>
      <c r="C40162" s="374"/>
      <c r="CV40162" s="376"/>
    </row>
    <row r="40163" spans="1:100">
      <c r="A40163" s="374"/>
      <c r="C40163" s="374"/>
      <c r="CV40163" s="376"/>
    </row>
    <row r="40164" spans="1:100">
      <c r="A40164" s="374"/>
      <c r="C40164" s="374"/>
      <c r="CV40164" s="376"/>
    </row>
    <row r="40165" spans="1:100">
      <c r="A40165" s="374"/>
      <c r="C40165" s="374"/>
      <c r="CV40165" s="376"/>
    </row>
    <row r="40166" spans="1:100">
      <c r="A40166" s="374"/>
      <c r="C40166" s="374"/>
      <c r="CV40166" s="376"/>
    </row>
    <row r="40167" spans="1:100">
      <c r="A40167" s="374"/>
      <c r="C40167" s="374"/>
      <c r="CV40167" s="376"/>
    </row>
    <row r="40168" spans="1:100">
      <c r="A40168" s="374"/>
      <c r="C40168" s="374"/>
      <c r="CV40168" s="376"/>
    </row>
    <row r="40169" spans="1:100">
      <c r="A40169" s="374"/>
      <c r="C40169" s="374"/>
      <c r="CV40169" s="376"/>
    </row>
    <row r="40170" spans="1:100">
      <c r="A40170" s="374"/>
      <c r="C40170" s="374"/>
      <c r="CV40170" s="376"/>
    </row>
    <row r="40171" spans="1:100">
      <c r="A40171" s="374"/>
      <c r="C40171" s="374"/>
      <c r="CV40171" s="376"/>
    </row>
    <row r="40172" spans="1:100">
      <c r="A40172" s="374"/>
      <c r="C40172" s="374"/>
      <c r="CV40172" s="376"/>
    </row>
    <row r="40173" spans="1:100">
      <c r="A40173" s="374"/>
      <c r="C40173" s="374"/>
      <c r="CV40173" s="376"/>
    </row>
    <row r="40174" spans="1:100">
      <c r="A40174" s="374"/>
      <c r="C40174" s="374"/>
      <c r="CV40174" s="376"/>
    </row>
    <row r="40175" spans="1:100">
      <c r="A40175" s="374"/>
      <c r="C40175" s="374"/>
      <c r="CV40175" s="376"/>
    </row>
    <row r="40176" spans="1:100">
      <c r="A40176" s="374"/>
      <c r="C40176" s="374"/>
      <c r="CV40176" s="376"/>
    </row>
    <row r="40177" spans="1:100">
      <c r="A40177" s="374"/>
      <c r="C40177" s="374"/>
      <c r="CV40177" s="376"/>
    </row>
    <row r="40178" spans="1:100">
      <c r="A40178" s="374"/>
      <c r="C40178" s="374"/>
      <c r="CV40178" s="376"/>
    </row>
    <row r="40179" spans="1:100">
      <c r="A40179" s="374"/>
      <c r="C40179" s="374"/>
      <c r="CV40179" s="376"/>
    </row>
    <row r="40180" spans="1:100">
      <c r="A40180" s="374"/>
      <c r="C40180" s="374"/>
      <c r="CV40180" s="376"/>
    </row>
    <row r="40181" spans="1:100">
      <c r="A40181" s="374"/>
      <c r="C40181" s="374"/>
      <c r="CV40181" s="376"/>
    </row>
    <row r="40182" spans="1:100">
      <c r="A40182" s="374"/>
      <c r="C40182" s="374"/>
      <c r="CV40182" s="376"/>
    </row>
    <row r="40183" spans="1:100">
      <c r="A40183" s="374"/>
      <c r="C40183" s="374"/>
      <c r="CV40183" s="376"/>
    </row>
    <row r="40184" spans="1:100">
      <c r="A40184" s="374"/>
      <c r="C40184" s="374"/>
      <c r="CV40184" s="376"/>
    </row>
    <row r="40185" spans="1:100">
      <c r="A40185" s="374"/>
      <c r="C40185" s="374"/>
      <c r="CV40185" s="376"/>
    </row>
    <row r="40186" spans="1:100">
      <c r="A40186" s="374"/>
      <c r="C40186" s="374"/>
      <c r="CV40186" s="376"/>
    </row>
    <row r="40187" spans="1:100">
      <c r="A40187" s="374"/>
      <c r="C40187" s="374"/>
      <c r="CV40187" s="376"/>
    </row>
    <row r="40188" spans="1:100">
      <c r="A40188" s="374"/>
      <c r="C40188" s="374"/>
      <c r="CV40188" s="376"/>
    </row>
    <row r="40189" spans="1:100">
      <c r="A40189" s="374"/>
      <c r="C40189" s="374"/>
      <c r="CV40189" s="376"/>
    </row>
    <row r="40190" spans="1:100">
      <c r="A40190" s="374"/>
      <c r="C40190" s="374"/>
      <c r="CV40190" s="376"/>
    </row>
    <row r="40191" spans="1:100">
      <c r="A40191" s="374"/>
      <c r="C40191" s="374"/>
      <c r="CV40191" s="376"/>
    </row>
    <row r="40192" spans="1:100">
      <c r="A40192" s="374"/>
      <c r="C40192" s="374"/>
      <c r="CV40192" s="376"/>
    </row>
    <row r="40193" spans="1:100">
      <c r="A40193" s="374"/>
      <c r="C40193" s="374"/>
      <c r="CV40193" s="376"/>
    </row>
    <row r="40194" spans="1:100">
      <c r="A40194" s="374"/>
      <c r="C40194" s="374"/>
      <c r="CV40194" s="376"/>
    </row>
    <row r="40195" spans="1:100">
      <c r="A40195" s="374"/>
      <c r="C40195" s="374"/>
      <c r="CV40195" s="376"/>
    </row>
    <row r="40196" spans="1:100">
      <c r="A40196" s="374"/>
      <c r="C40196" s="374"/>
      <c r="CV40196" s="376"/>
    </row>
    <row r="40197" spans="1:100">
      <c r="A40197" s="374"/>
      <c r="C40197" s="374"/>
      <c r="CV40197" s="376"/>
    </row>
    <row r="40198" spans="1:100">
      <c r="A40198" s="374"/>
      <c r="C40198" s="374"/>
      <c r="CV40198" s="376"/>
    </row>
    <row r="40199" spans="1:100">
      <c r="A40199" s="374"/>
      <c r="C40199" s="374"/>
      <c r="CV40199" s="376"/>
    </row>
    <row r="40200" spans="1:100">
      <c r="A40200" s="374"/>
      <c r="C40200" s="374"/>
      <c r="CV40200" s="376"/>
    </row>
    <row r="40201" spans="1:100">
      <c r="A40201" s="374"/>
      <c r="C40201" s="374"/>
      <c r="CV40201" s="376"/>
    </row>
    <row r="40202" spans="1:100">
      <c r="A40202" s="374"/>
      <c r="C40202" s="374"/>
      <c r="CV40202" s="376"/>
    </row>
    <row r="40203" spans="1:100">
      <c r="A40203" s="374"/>
      <c r="C40203" s="374"/>
      <c r="CV40203" s="376"/>
    </row>
    <row r="40204" spans="1:100">
      <c r="A40204" s="374"/>
      <c r="C40204" s="374"/>
      <c r="CV40204" s="376"/>
    </row>
    <row r="40205" spans="1:100">
      <c r="A40205" s="374"/>
      <c r="C40205" s="374"/>
      <c r="CV40205" s="376"/>
    </row>
    <row r="40206" spans="1:100">
      <c r="A40206" s="374"/>
      <c r="C40206" s="374"/>
      <c r="CV40206" s="376"/>
    </row>
    <row r="40207" spans="1:100">
      <c r="A40207" s="374"/>
      <c r="C40207" s="374"/>
      <c r="CV40207" s="376"/>
    </row>
    <row r="40208" spans="1:100">
      <c r="A40208" s="374"/>
      <c r="C40208" s="374"/>
      <c r="CV40208" s="376"/>
    </row>
    <row r="40209" spans="1:100">
      <c r="A40209" s="374"/>
      <c r="C40209" s="374"/>
      <c r="CV40209" s="376"/>
    </row>
    <row r="40210" spans="1:100">
      <c r="A40210" s="374"/>
      <c r="C40210" s="374"/>
      <c r="CV40210" s="376"/>
    </row>
    <row r="40211" spans="1:100">
      <c r="A40211" s="374"/>
      <c r="C40211" s="374"/>
      <c r="CV40211" s="376"/>
    </row>
    <row r="40212" spans="1:100">
      <c r="A40212" s="374"/>
      <c r="C40212" s="374"/>
      <c r="CV40212" s="376"/>
    </row>
    <row r="40213" spans="1:100">
      <c r="A40213" s="374"/>
      <c r="C40213" s="374"/>
      <c r="CV40213" s="376"/>
    </row>
    <row r="40214" spans="1:100">
      <c r="A40214" s="374"/>
      <c r="C40214" s="374"/>
      <c r="CV40214" s="376"/>
    </row>
    <row r="40215" spans="1:100">
      <c r="A40215" s="374"/>
      <c r="C40215" s="374"/>
      <c r="CV40215" s="376"/>
    </row>
    <row r="40216" spans="1:100">
      <c r="A40216" s="374"/>
      <c r="C40216" s="374"/>
      <c r="CV40216" s="376"/>
    </row>
    <row r="40217" spans="1:100">
      <c r="A40217" s="374"/>
      <c r="C40217" s="374"/>
      <c r="CV40217" s="376"/>
    </row>
    <row r="40218" spans="1:100">
      <c r="A40218" s="374"/>
      <c r="C40218" s="374"/>
      <c r="CV40218" s="376"/>
    </row>
    <row r="40219" spans="1:100">
      <c r="A40219" s="374"/>
      <c r="C40219" s="374"/>
      <c r="CV40219" s="376"/>
    </row>
    <row r="40220" spans="1:100">
      <c r="A40220" s="374"/>
      <c r="C40220" s="374"/>
      <c r="CV40220" s="376"/>
    </row>
    <row r="40221" spans="1:100">
      <c r="A40221" s="374"/>
      <c r="C40221" s="374"/>
      <c r="CV40221" s="376"/>
    </row>
    <row r="40222" spans="1:100">
      <c r="A40222" s="374"/>
      <c r="C40222" s="374"/>
      <c r="CV40222" s="376"/>
    </row>
    <row r="40223" spans="1:100">
      <c r="A40223" s="374"/>
      <c r="C40223" s="374"/>
      <c r="CV40223" s="376"/>
    </row>
    <row r="40224" spans="1:100">
      <c r="A40224" s="374"/>
      <c r="C40224" s="374"/>
      <c r="CV40224" s="376"/>
    </row>
    <row r="40225" spans="1:100">
      <c r="A40225" s="374"/>
      <c r="C40225" s="374"/>
      <c r="CV40225" s="376"/>
    </row>
    <row r="40226" spans="1:100">
      <c r="A40226" s="374"/>
      <c r="C40226" s="374"/>
      <c r="CV40226" s="376"/>
    </row>
    <row r="40227" spans="1:100">
      <c r="A40227" s="374"/>
      <c r="C40227" s="374"/>
      <c r="CV40227" s="376"/>
    </row>
    <row r="40228" spans="1:100">
      <c r="A40228" s="374"/>
      <c r="C40228" s="374"/>
      <c r="CV40228" s="376"/>
    </row>
    <row r="40229" spans="1:100">
      <c r="A40229" s="374"/>
      <c r="C40229" s="374"/>
      <c r="CV40229" s="376"/>
    </row>
    <row r="40230" spans="1:100">
      <c r="A40230" s="374"/>
      <c r="C40230" s="374"/>
      <c r="CV40230" s="376"/>
    </row>
    <row r="40231" spans="1:100">
      <c r="A40231" s="374"/>
      <c r="C40231" s="374"/>
      <c r="CV40231" s="376"/>
    </row>
    <row r="40232" spans="1:100">
      <c r="A40232" s="374"/>
      <c r="C40232" s="374"/>
      <c r="CV40232" s="376"/>
    </row>
    <row r="40233" spans="1:100">
      <c r="A40233" s="374"/>
      <c r="C40233" s="374"/>
      <c r="CV40233" s="376"/>
    </row>
    <row r="40234" spans="1:100">
      <c r="A40234" s="374"/>
      <c r="C40234" s="374"/>
      <c r="CV40234" s="376"/>
    </row>
    <row r="40235" spans="1:100">
      <c r="A40235" s="374"/>
      <c r="C40235" s="374"/>
      <c r="CV40235" s="376"/>
    </row>
    <row r="40236" spans="1:100">
      <c r="A40236" s="374"/>
      <c r="C40236" s="374"/>
      <c r="CV40236" s="376"/>
    </row>
    <row r="40237" spans="1:100">
      <c r="A40237" s="374"/>
      <c r="C40237" s="374"/>
      <c r="CV40237" s="376"/>
    </row>
    <row r="40238" spans="1:100">
      <c r="A40238" s="374"/>
      <c r="C40238" s="374"/>
      <c r="CV40238" s="376"/>
    </row>
    <row r="40239" spans="1:100">
      <c r="A40239" s="374"/>
      <c r="C40239" s="374"/>
      <c r="CV40239" s="376"/>
    </row>
    <row r="40240" spans="1:100">
      <c r="A40240" s="374"/>
      <c r="C40240" s="374"/>
      <c r="CV40240" s="376"/>
    </row>
    <row r="40241" spans="1:100">
      <c r="A40241" s="374"/>
      <c r="C40241" s="374"/>
      <c r="CV40241" s="376"/>
    </row>
    <row r="40242" spans="1:100">
      <c r="A40242" s="374"/>
      <c r="C40242" s="374"/>
      <c r="CV40242" s="376"/>
    </row>
    <row r="40243" spans="1:100">
      <c r="A40243" s="374"/>
      <c r="C40243" s="374"/>
      <c r="CV40243" s="376"/>
    </row>
    <row r="40244" spans="1:100">
      <c r="A40244" s="374"/>
      <c r="C40244" s="374"/>
      <c r="CV40244" s="376"/>
    </row>
    <row r="40245" spans="1:100">
      <c r="A40245" s="374"/>
      <c r="C40245" s="374"/>
      <c r="CV40245" s="376"/>
    </row>
    <row r="40246" spans="1:100">
      <c r="A40246" s="374"/>
      <c r="C40246" s="374"/>
      <c r="CV40246" s="376"/>
    </row>
    <row r="40247" spans="1:100">
      <c r="A40247" s="374"/>
      <c r="C40247" s="374"/>
      <c r="CV40247" s="376"/>
    </row>
    <row r="40248" spans="1:100">
      <c r="A40248" s="374"/>
      <c r="C40248" s="374"/>
      <c r="CV40248" s="376"/>
    </row>
    <row r="40249" spans="1:100">
      <c r="A40249" s="374"/>
      <c r="C40249" s="374"/>
      <c r="CV40249" s="376"/>
    </row>
    <row r="40250" spans="1:100">
      <c r="A40250" s="374"/>
      <c r="C40250" s="374"/>
      <c r="CV40250" s="376"/>
    </row>
    <row r="40251" spans="1:100">
      <c r="A40251" s="374"/>
      <c r="C40251" s="374"/>
      <c r="CV40251" s="376"/>
    </row>
    <row r="40252" spans="1:100">
      <c r="A40252" s="374"/>
      <c r="C40252" s="374"/>
      <c r="CV40252" s="376"/>
    </row>
    <row r="40253" spans="1:100">
      <c r="A40253" s="374"/>
      <c r="C40253" s="374"/>
      <c r="CV40253" s="376"/>
    </row>
    <row r="40254" spans="1:100">
      <c r="A40254" s="374"/>
      <c r="C40254" s="374"/>
      <c r="CV40254" s="376"/>
    </row>
    <row r="40255" spans="1:100">
      <c r="A40255" s="374"/>
      <c r="C40255" s="374"/>
      <c r="CV40255" s="376"/>
    </row>
    <row r="40256" spans="1:100">
      <c r="A40256" s="374"/>
      <c r="C40256" s="374"/>
      <c r="CV40256" s="376"/>
    </row>
    <row r="40257" spans="1:100">
      <c r="A40257" s="374"/>
      <c r="C40257" s="374"/>
      <c r="CV40257" s="376"/>
    </row>
    <row r="40258" spans="1:100">
      <c r="A40258" s="374"/>
      <c r="C40258" s="374"/>
      <c r="CV40258" s="376"/>
    </row>
    <row r="40259" spans="1:100">
      <c r="A40259" s="374"/>
      <c r="C40259" s="374"/>
      <c r="CV40259" s="376"/>
    </row>
    <row r="40260" spans="1:100">
      <c r="A40260" s="374"/>
      <c r="C40260" s="374"/>
      <c r="CV40260" s="376"/>
    </row>
    <row r="40261" spans="1:100">
      <c r="A40261" s="374"/>
      <c r="C40261" s="374"/>
      <c r="CV40261" s="376"/>
    </row>
    <row r="40262" spans="1:100">
      <c r="A40262" s="374"/>
      <c r="C40262" s="374"/>
      <c r="CV40262" s="376"/>
    </row>
    <row r="40263" spans="1:100">
      <c r="A40263" s="374"/>
      <c r="C40263" s="374"/>
      <c r="CV40263" s="376"/>
    </row>
    <row r="40264" spans="1:100">
      <c r="A40264" s="374"/>
      <c r="C40264" s="374"/>
      <c r="CV40264" s="376"/>
    </row>
    <row r="40265" spans="1:100">
      <c r="A40265" s="374"/>
      <c r="C40265" s="374"/>
      <c r="CV40265" s="376"/>
    </row>
    <row r="40266" spans="1:100">
      <c r="A40266" s="374"/>
      <c r="C40266" s="374"/>
      <c r="CV40266" s="376"/>
    </row>
    <row r="40267" spans="1:100">
      <c r="A40267" s="374"/>
      <c r="C40267" s="374"/>
      <c r="CV40267" s="376"/>
    </row>
    <row r="40268" spans="1:100">
      <c r="A40268" s="374"/>
      <c r="C40268" s="374"/>
      <c r="CV40268" s="376"/>
    </row>
    <row r="40269" spans="1:100">
      <c r="A40269" s="374"/>
      <c r="C40269" s="374"/>
      <c r="CV40269" s="376"/>
    </row>
    <row r="40270" spans="1:100">
      <c r="A40270" s="374"/>
      <c r="C40270" s="374"/>
      <c r="CV40270" s="376"/>
    </row>
    <row r="40271" spans="1:100">
      <c r="A40271" s="374"/>
      <c r="C40271" s="374"/>
      <c r="CV40271" s="376"/>
    </row>
    <row r="40272" spans="1:100">
      <c r="A40272" s="374"/>
      <c r="C40272" s="374"/>
      <c r="CV40272" s="376"/>
    </row>
    <row r="40273" spans="1:100">
      <c r="A40273" s="374"/>
      <c r="C40273" s="374"/>
      <c r="CV40273" s="376"/>
    </row>
    <row r="40274" spans="1:100">
      <c r="A40274" s="374"/>
      <c r="C40274" s="374"/>
      <c r="CV40274" s="376"/>
    </row>
    <row r="40275" spans="1:100">
      <c r="A40275" s="374"/>
      <c r="C40275" s="374"/>
      <c r="CV40275" s="376"/>
    </row>
    <row r="40276" spans="1:100">
      <c r="A40276" s="374"/>
      <c r="C40276" s="374"/>
      <c r="CV40276" s="376"/>
    </row>
    <row r="40277" spans="1:100">
      <c r="A40277" s="374"/>
      <c r="C40277" s="374"/>
      <c r="CV40277" s="376"/>
    </row>
    <row r="40278" spans="1:100">
      <c r="A40278" s="374"/>
      <c r="C40278" s="374"/>
      <c r="CV40278" s="376"/>
    </row>
    <row r="40279" spans="1:100">
      <c r="A40279" s="374"/>
      <c r="C40279" s="374"/>
      <c r="CV40279" s="376"/>
    </row>
    <row r="40280" spans="1:100">
      <c r="A40280" s="374"/>
      <c r="C40280" s="374"/>
      <c r="CV40280" s="376"/>
    </row>
    <row r="40281" spans="1:100">
      <c r="A40281" s="374"/>
      <c r="C40281" s="374"/>
      <c r="CV40281" s="376"/>
    </row>
    <row r="40282" spans="1:100">
      <c r="A40282" s="374"/>
      <c r="C40282" s="374"/>
      <c r="CV40282" s="376"/>
    </row>
    <row r="40283" spans="1:100">
      <c r="A40283" s="374"/>
      <c r="C40283" s="374"/>
      <c r="CV40283" s="376"/>
    </row>
    <row r="40284" spans="1:100">
      <c r="A40284" s="374"/>
      <c r="C40284" s="374"/>
      <c r="CV40284" s="376"/>
    </row>
    <row r="40285" spans="1:100">
      <c r="A40285" s="374"/>
      <c r="C40285" s="374"/>
      <c r="CV40285" s="376"/>
    </row>
    <row r="40286" spans="1:100">
      <c r="A40286" s="374"/>
      <c r="C40286" s="374"/>
      <c r="CV40286" s="376"/>
    </row>
    <row r="40287" spans="1:100">
      <c r="A40287" s="374"/>
      <c r="C40287" s="374"/>
      <c r="CV40287" s="376"/>
    </row>
    <row r="40288" spans="1:100">
      <c r="A40288" s="374"/>
      <c r="C40288" s="374"/>
      <c r="CV40288" s="376"/>
    </row>
    <row r="40289" spans="1:100">
      <c r="A40289" s="374"/>
      <c r="C40289" s="374"/>
      <c r="CV40289" s="376"/>
    </row>
    <row r="40290" spans="1:100">
      <c r="A40290" s="374"/>
      <c r="C40290" s="374"/>
      <c r="CV40290" s="376"/>
    </row>
    <row r="40291" spans="1:100">
      <c r="A40291" s="374"/>
      <c r="C40291" s="374"/>
      <c r="CV40291" s="376"/>
    </row>
    <row r="40292" spans="1:100">
      <c r="A40292" s="374"/>
      <c r="C40292" s="374"/>
      <c r="CV40292" s="376"/>
    </row>
    <row r="40293" spans="1:100">
      <c r="A40293" s="374"/>
      <c r="C40293" s="374"/>
      <c r="CV40293" s="376"/>
    </row>
    <row r="40294" spans="1:100">
      <c r="A40294" s="374"/>
      <c r="C40294" s="374"/>
      <c r="CV40294" s="376"/>
    </row>
    <row r="40295" spans="1:100">
      <c r="A40295" s="374"/>
      <c r="C40295" s="374"/>
      <c r="CV40295" s="376"/>
    </row>
    <row r="40296" spans="1:100">
      <c r="A40296" s="374"/>
      <c r="C40296" s="374"/>
      <c r="CV40296" s="376"/>
    </row>
    <row r="40297" spans="1:100">
      <c r="A40297" s="374"/>
      <c r="C40297" s="374"/>
      <c r="CV40297" s="376"/>
    </row>
    <row r="40298" spans="1:100">
      <c r="A40298" s="374"/>
      <c r="C40298" s="374"/>
      <c r="CV40298" s="376"/>
    </row>
    <row r="40299" spans="1:100">
      <c r="A40299" s="374"/>
      <c r="C40299" s="374"/>
      <c r="CV40299" s="376"/>
    </row>
    <row r="40300" spans="1:100">
      <c r="A40300" s="374"/>
      <c r="C40300" s="374"/>
      <c r="CV40300" s="376"/>
    </row>
    <row r="40301" spans="1:100">
      <c r="A40301" s="374"/>
      <c r="C40301" s="374"/>
      <c r="CV40301" s="376"/>
    </row>
    <row r="40302" spans="1:100">
      <c r="A40302" s="374"/>
      <c r="C40302" s="374"/>
      <c r="CV40302" s="376"/>
    </row>
    <row r="40303" spans="1:100">
      <c r="A40303" s="374"/>
      <c r="C40303" s="374"/>
      <c r="CV40303" s="376"/>
    </row>
    <row r="40304" spans="1:100">
      <c r="A40304" s="374"/>
      <c r="C40304" s="374"/>
      <c r="CV40304" s="376"/>
    </row>
    <row r="40305" spans="1:100">
      <c r="A40305" s="374"/>
      <c r="C40305" s="374"/>
      <c r="CV40305" s="376"/>
    </row>
    <row r="40306" spans="1:100">
      <c r="A40306" s="374"/>
      <c r="C40306" s="374"/>
      <c r="CV40306" s="376"/>
    </row>
    <row r="40307" spans="1:100">
      <c r="A40307" s="374"/>
      <c r="C40307" s="374"/>
      <c r="CV40307" s="376"/>
    </row>
    <row r="40308" spans="1:100">
      <c r="A40308" s="374"/>
      <c r="C40308" s="374"/>
      <c r="CV40308" s="376"/>
    </row>
    <row r="40309" spans="1:100">
      <c r="A40309" s="374"/>
      <c r="C40309" s="374"/>
      <c r="CV40309" s="376"/>
    </row>
    <row r="40310" spans="1:100">
      <c r="A40310" s="374"/>
      <c r="C40310" s="374"/>
      <c r="CV40310" s="376"/>
    </row>
    <row r="40311" spans="1:100">
      <c r="A40311" s="374"/>
      <c r="C40311" s="374"/>
      <c r="CV40311" s="376"/>
    </row>
    <row r="40312" spans="1:100">
      <c r="A40312" s="374"/>
      <c r="C40312" s="374"/>
      <c r="CV40312" s="376"/>
    </row>
    <row r="40313" spans="1:100">
      <c r="A40313" s="374"/>
      <c r="C40313" s="374"/>
      <c r="CV40313" s="376"/>
    </row>
    <row r="40314" spans="1:100">
      <c r="A40314" s="374"/>
      <c r="C40314" s="374"/>
      <c r="CV40314" s="376"/>
    </row>
    <row r="40315" spans="1:100">
      <c r="A40315" s="374"/>
      <c r="C40315" s="374"/>
      <c r="CV40315" s="376"/>
    </row>
    <row r="40316" spans="1:100">
      <c r="A40316" s="374"/>
      <c r="C40316" s="374"/>
      <c r="CV40316" s="376"/>
    </row>
    <row r="40317" spans="1:100">
      <c r="A40317" s="374"/>
      <c r="C40317" s="374"/>
      <c r="CV40317" s="376"/>
    </row>
    <row r="40318" spans="1:100">
      <c r="A40318" s="374"/>
      <c r="C40318" s="374"/>
      <c r="CV40318" s="376"/>
    </row>
    <row r="40319" spans="1:100">
      <c r="A40319" s="374"/>
      <c r="C40319" s="374"/>
      <c r="CV40319" s="376"/>
    </row>
    <row r="40320" spans="1:100">
      <c r="A40320" s="374"/>
      <c r="C40320" s="374"/>
      <c r="CV40320" s="376"/>
    </row>
    <row r="40321" spans="1:100">
      <c r="A40321" s="374"/>
      <c r="C40321" s="374"/>
      <c r="CV40321" s="376"/>
    </row>
    <row r="40322" spans="1:100">
      <c r="A40322" s="374"/>
      <c r="C40322" s="374"/>
      <c r="CV40322" s="376"/>
    </row>
    <row r="40323" spans="1:100">
      <c r="A40323" s="374"/>
      <c r="C40323" s="374"/>
      <c r="CV40323" s="376"/>
    </row>
    <row r="40324" spans="1:100">
      <c r="A40324" s="374"/>
      <c r="C40324" s="374"/>
      <c r="CV40324" s="376"/>
    </row>
    <row r="40325" spans="1:100">
      <c r="A40325" s="374"/>
      <c r="C40325" s="374"/>
      <c r="CV40325" s="376"/>
    </row>
    <row r="40326" spans="1:100">
      <c r="A40326" s="374"/>
      <c r="C40326" s="374"/>
      <c r="CV40326" s="376"/>
    </row>
    <row r="40327" spans="1:100">
      <c r="A40327" s="374"/>
      <c r="C40327" s="374"/>
      <c r="CV40327" s="376"/>
    </row>
    <row r="40328" spans="1:100">
      <c r="A40328" s="374"/>
      <c r="C40328" s="374"/>
      <c r="CV40328" s="376"/>
    </row>
    <row r="40329" spans="1:100">
      <c r="A40329" s="374"/>
      <c r="C40329" s="374"/>
      <c r="CV40329" s="376"/>
    </row>
    <row r="40330" spans="1:100">
      <c r="A40330" s="374"/>
      <c r="C40330" s="374"/>
      <c r="CV40330" s="376"/>
    </row>
    <row r="40331" spans="1:100">
      <c r="A40331" s="374"/>
      <c r="C40331" s="374"/>
      <c r="CV40331" s="376"/>
    </row>
    <row r="40332" spans="1:100">
      <c r="A40332" s="374"/>
      <c r="C40332" s="374"/>
      <c r="CV40332" s="376"/>
    </row>
    <row r="40333" spans="1:100">
      <c r="A40333" s="374"/>
      <c r="C40333" s="374"/>
      <c r="CV40333" s="376"/>
    </row>
    <row r="40334" spans="1:100">
      <c r="A40334" s="374"/>
      <c r="C40334" s="374"/>
      <c r="CV40334" s="376"/>
    </row>
    <row r="40335" spans="1:100">
      <c r="A40335" s="374"/>
      <c r="C40335" s="374"/>
      <c r="CV40335" s="376"/>
    </row>
    <row r="40336" spans="1:100">
      <c r="A40336" s="374"/>
      <c r="C40336" s="374"/>
      <c r="CV40336" s="376"/>
    </row>
    <row r="40337" spans="1:100">
      <c r="A40337" s="374"/>
      <c r="C40337" s="374"/>
      <c r="CV40337" s="376"/>
    </row>
    <row r="40338" spans="1:100">
      <c r="A40338" s="374"/>
      <c r="C40338" s="374"/>
      <c r="CV40338" s="376"/>
    </row>
    <row r="40339" spans="1:100">
      <c r="A40339" s="374"/>
      <c r="C40339" s="374"/>
      <c r="CV40339" s="376"/>
    </row>
    <row r="40340" spans="1:100">
      <c r="A40340" s="374"/>
      <c r="C40340" s="374"/>
      <c r="CV40340" s="376"/>
    </row>
    <row r="40341" spans="1:100">
      <c r="A40341" s="374"/>
      <c r="C40341" s="374"/>
      <c r="CV40341" s="376"/>
    </row>
    <row r="40342" spans="1:100">
      <c r="A40342" s="374"/>
      <c r="C40342" s="374"/>
      <c r="CV40342" s="376"/>
    </row>
    <row r="40343" spans="1:100">
      <c r="A40343" s="374"/>
      <c r="C40343" s="374"/>
      <c r="CV40343" s="376"/>
    </row>
    <row r="40344" spans="1:100">
      <c r="A40344" s="374"/>
      <c r="C40344" s="374"/>
      <c r="CV40344" s="376"/>
    </row>
    <row r="40345" spans="1:100">
      <c r="A40345" s="374"/>
      <c r="C40345" s="374"/>
      <c r="CV40345" s="376"/>
    </row>
    <row r="40346" spans="1:100">
      <c r="A40346" s="374"/>
      <c r="C40346" s="374"/>
      <c r="CV40346" s="376"/>
    </row>
    <row r="40347" spans="1:100">
      <c r="A40347" s="374"/>
      <c r="C40347" s="374"/>
      <c r="CV40347" s="376"/>
    </row>
    <row r="40348" spans="1:100">
      <c r="A40348" s="374"/>
      <c r="C40348" s="374"/>
      <c r="CV40348" s="376"/>
    </row>
    <row r="40349" spans="1:100">
      <c r="A40349" s="374"/>
      <c r="C40349" s="374"/>
      <c r="CV40349" s="376"/>
    </row>
    <row r="40350" spans="1:100">
      <c r="A40350" s="374"/>
      <c r="C40350" s="374"/>
      <c r="CV40350" s="376"/>
    </row>
    <row r="40351" spans="1:100">
      <c r="A40351" s="374"/>
      <c r="C40351" s="374"/>
      <c r="CV40351" s="376"/>
    </row>
    <row r="40352" spans="1:100">
      <c r="A40352" s="374"/>
      <c r="C40352" s="374"/>
      <c r="CV40352" s="376"/>
    </row>
    <row r="40353" spans="1:100">
      <c r="A40353" s="374"/>
      <c r="C40353" s="374"/>
      <c r="CV40353" s="376"/>
    </row>
    <row r="40354" spans="1:100">
      <c r="A40354" s="374"/>
      <c r="C40354" s="374"/>
      <c r="CV40354" s="376"/>
    </row>
    <row r="40355" spans="1:100">
      <c r="A40355" s="374"/>
      <c r="C40355" s="374"/>
      <c r="CV40355" s="376"/>
    </row>
    <row r="40356" spans="1:100">
      <c r="A40356" s="374"/>
      <c r="C40356" s="374"/>
      <c r="CV40356" s="376"/>
    </row>
    <row r="40357" spans="1:100">
      <c r="A40357" s="374"/>
      <c r="C40357" s="374"/>
      <c r="CV40357" s="376"/>
    </row>
    <row r="40358" spans="1:100">
      <c r="A40358" s="374"/>
      <c r="C40358" s="374"/>
      <c r="CV40358" s="376"/>
    </row>
    <row r="40359" spans="1:100">
      <c r="A40359" s="374"/>
      <c r="C40359" s="374"/>
      <c r="CV40359" s="376"/>
    </row>
    <row r="40360" spans="1:100">
      <c r="A40360" s="374"/>
      <c r="C40360" s="374"/>
      <c r="CV40360" s="376"/>
    </row>
    <row r="40361" spans="1:100">
      <c r="A40361" s="374"/>
      <c r="C40361" s="374"/>
      <c r="CV40361" s="376"/>
    </row>
    <row r="40362" spans="1:100">
      <c r="A40362" s="374"/>
      <c r="C40362" s="374"/>
      <c r="CV40362" s="376"/>
    </row>
    <row r="40363" spans="1:100">
      <c r="A40363" s="374"/>
      <c r="C40363" s="374"/>
      <c r="CV40363" s="376"/>
    </row>
    <row r="40364" spans="1:100">
      <c r="A40364" s="374"/>
      <c r="C40364" s="374"/>
      <c r="CV40364" s="376"/>
    </row>
    <row r="40365" spans="1:100">
      <c r="A40365" s="374"/>
      <c r="C40365" s="374"/>
      <c r="CV40365" s="376"/>
    </row>
    <row r="40366" spans="1:100">
      <c r="A40366" s="374"/>
      <c r="C40366" s="374"/>
      <c r="CV40366" s="376"/>
    </row>
    <row r="40367" spans="1:100">
      <c r="A40367" s="374"/>
      <c r="C40367" s="374"/>
      <c r="CV40367" s="376"/>
    </row>
    <row r="40368" spans="1:100">
      <c r="A40368" s="374"/>
      <c r="C40368" s="374"/>
      <c r="CV40368" s="376"/>
    </row>
    <row r="40369" spans="1:100">
      <c r="A40369" s="374"/>
      <c r="C40369" s="374"/>
      <c r="CV40369" s="376"/>
    </row>
    <row r="40370" spans="1:100">
      <c r="A40370" s="374"/>
      <c r="C40370" s="374"/>
      <c r="CV40370" s="376"/>
    </row>
    <row r="40371" spans="1:100">
      <c r="A40371" s="374"/>
      <c r="C40371" s="374"/>
      <c r="CV40371" s="376"/>
    </row>
    <row r="40372" spans="1:100">
      <c r="A40372" s="374"/>
      <c r="C40372" s="374"/>
      <c r="CV40372" s="376"/>
    </row>
    <row r="40373" spans="1:100">
      <c r="A40373" s="374"/>
      <c r="C40373" s="374"/>
      <c r="CV40373" s="376"/>
    </row>
    <row r="40374" spans="1:100">
      <c r="A40374" s="374"/>
      <c r="C40374" s="374"/>
      <c r="CV40374" s="376"/>
    </row>
    <row r="40375" spans="1:100">
      <c r="A40375" s="374"/>
      <c r="C40375" s="374"/>
      <c r="CV40375" s="376"/>
    </row>
    <row r="40376" spans="1:100">
      <c r="A40376" s="374"/>
      <c r="C40376" s="374"/>
      <c r="CV40376" s="376"/>
    </row>
    <row r="40377" spans="1:100">
      <c r="A40377" s="374"/>
      <c r="C40377" s="374"/>
      <c r="CV40377" s="376"/>
    </row>
    <row r="40378" spans="1:100">
      <c r="A40378" s="374"/>
      <c r="C40378" s="374"/>
      <c r="CV40378" s="376"/>
    </row>
    <row r="40379" spans="1:100">
      <c r="A40379" s="374"/>
      <c r="C40379" s="374"/>
      <c r="CV40379" s="376"/>
    </row>
    <row r="40380" spans="1:100">
      <c r="A40380" s="374"/>
      <c r="C40380" s="374"/>
      <c r="CV40380" s="376"/>
    </row>
    <row r="40381" spans="1:100">
      <c r="A40381" s="374"/>
      <c r="C40381" s="374"/>
      <c r="CV40381" s="376"/>
    </row>
    <row r="40382" spans="1:100">
      <c r="A40382" s="374"/>
      <c r="C40382" s="374"/>
      <c r="CV40382" s="376"/>
    </row>
    <row r="40383" spans="1:100">
      <c r="A40383" s="374"/>
      <c r="C40383" s="374"/>
      <c r="CV40383" s="376"/>
    </row>
    <row r="40384" spans="1:100">
      <c r="A40384" s="374"/>
      <c r="C40384" s="374"/>
      <c r="CV40384" s="376"/>
    </row>
    <row r="40385" spans="1:100">
      <c r="A40385" s="374"/>
      <c r="C40385" s="374"/>
      <c r="CV40385" s="376"/>
    </row>
    <row r="40386" spans="1:100">
      <c r="A40386" s="374"/>
      <c r="C40386" s="374"/>
      <c r="CV40386" s="376"/>
    </row>
    <row r="40387" spans="1:100">
      <c r="A40387" s="374"/>
      <c r="C40387" s="374"/>
      <c r="CV40387" s="376"/>
    </row>
    <row r="40388" spans="1:100">
      <c r="A40388" s="374"/>
      <c r="C40388" s="374"/>
      <c r="CV40388" s="376"/>
    </row>
    <row r="40389" spans="1:100">
      <c r="A40389" s="374"/>
      <c r="C40389" s="374"/>
      <c r="CV40389" s="376"/>
    </row>
    <row r="40390" spans="1:100">
      <c r="A40390" s="374"/>
      <c r="C40390" s="374"/>
      <c r="CV40390" s="376"/>
    </row>
    <row r="40391" spans="1:100">
      <c r="A40391" s="374"/>
      <c r="C40391" s="374"/>
      <c r="CV40391" s="376"/>
    </row>
    <row r="40392" spans="1:100">
      <c r="A40392" s="374"/>
      <c r="C40392" s="374"/>
      <c r="CV40392" s="376"/>
    </row>
    <row r="40393" spans="1:100">
      <c r="A40393" s="374"/>
      <c r="C40393" s="374"/>
      <c r="CV40393" s="376"/>
    </row>
    <row r="40394" spans="1:100">
      <c r="A40394" s="374"/>
      <c r="C40394" s="374"/>
      <c r="CV40394" s="376"/>
    </row>
    <row r="40395" spans="1:100">
      <c r="A40395" s="374"/>
      <c r="C40395" s="374"/>
      <c r="CV40395" s="376"/>
    </row>
    <row r="40396" spans="1:100">
      <c r="A40396" s="374"/>
      <c r="C40396" s="374"/>
      <c r="CV40396" s="376"/>
    </row>
    <row r="40397" spans="1:100">
      <c r="A40397" s="374"/>
      <c r="C40397" s="374"/>
      <c r="CV40397" s="376"/>
    </row>
    <row r="40398" spans="1:100">
      <c r="A40398" s="374"/>
      <c r="C40398" s="374"/>
      <c r="CV40398" s="376"/>
    </row>
    <row r="40399" spans="1:100">
      <c r="A40399" s="374"/>
      <c r="C40399" s="374"/>
      <c r="CV40399" s="376"/>
    </row>
    <row r="40400" spans="1:100">
      <c r="A40400" s="374"/>
      <c r="C40400" s="374"/>
      <c r="CV40400" s="376"/>
    </row>
    <row r="40401" spans="1:100">
      <c r="A40401" s="374"/>
      <c r="C40401" s="374"/>
      <c r="CV40401" s="376"/>
    </row>
    <row r="40402" spans="1:100">
      <c r="A40402" s="374"/>
      <c r="C40402" s="374"/>
      <c r="CV40402" s="376"/>
    </row>
    <row r="40403" spans="1:100">
      <c r="A40403" s="374"/>
      <c r="C40403" s="374"/>
      <c r="CV40403" s="376"/>
    </row>
    <row r="40404" spans="1:100">
      <c r="A40404" s="374"/>
      <c r="C40404" s="374"/>
      <c r="CV40404" s="376"/>
    </row>
    <row r="40405" spans="1:100">
      <c r="A40405" s="374"/>
      <c r="C40405" s="374"/>
      <c r="CV40405" s="376"/>
    </row>
    <row r="40406" spans="1:100">
      <c r="A40406" s="374"/>
      <c r="C40406" s="374"/>
      <c r="CV40406" s="376"/>
    </row>
    <row r="40407" spans="1:100">
      <c r="A40407" s="374"/>
      <c r="C40407" s="374"/>
      <c r="CV40407" s="376"/>
    </row>
    <row r="40408" spans="1:100">
      <c r="A40408" s="374"/>
      <c r="C40408" s="374"/>
      <c r="CV40408" s="376"/>
    </row>
    <row r="40409" spans="1:100">
      <c r="A40409" s="374"/>
      <c r="C40409" s="374"/>
      <c r="CV40409" s="376"/>
    </row>
    <row r="40410" spans="1:100">
      <c r="A40410" s="374"/>
      <c r="C40410" s="374"/>
      <c r="CV40410" s="376"/>
    </row>
    <row r="40411" spans="1:100">
      <c r="A40411" s="374"/>
      <c r="C40411" s="374"/>
      <c r="CV40411" s="376"/>
    </row>
    <row r="40412" spans="1:100">
      <c r="A40412" s="374"/>
      <c r="C40412" s="374"/>
      <c r="CV40412" s="376"/>
    </row>
    <row r="40413" spans="1:100">
      <c r="A40413" s="374"/>
      <c r="C40413" s="374"/>
      <c r="CV40413" s="376"/>
    </row>
    <row r="40414" spans="1:100">
      <c r="A40414" s="374"/>
      <c r="C40414" s="374"/>
      <c r="CV40414" s="376"/>
    </row>
    <row r="40415" spans="1:100">
      <c r="A40415" s="374"/>
      <c r="C40415" s="374"/>
      <c r="CV40415" s="376"/>
    </row>
    <row r="40416" spans="1:100">
      <c r="A40416" s="374"/>
      <c r="C40416" s="374"/>
      <c r="CV40416" s="376"/>
    </row>
    <row r="40417" spans="1:100">
      <c r="A40417" s="374"/>
      <c r="C40417" s="374"/>
      <c r="CV40417" s="376"/>
    </row>
    <row r="40418" spans="1:100">
      <c r="A40418" s="374"/>
      <c r="C40418" s="374"/>
      <c r="CV40418" s="376"/>
    </row>
    <row r="40419" spans="1:100">
      <c r="A40419" s="374"/>
      <c r="C40419" s="374"/>
      <c r="CV40419" s="376"/>
    </row>
    <row r="40420" spans="1:100">
      <c r="A40420" s="374"/>
      <c r="C40420" s="374"/>
      <c r="CV40420" s="376"/>
    </row>
    <row r="40421" spans="1:100">
      <c r="A40421" s="374"/>
      <c r="C40421" s="374"/>
      <c r="CV40421" s="376"/>
    </row>
    <row r="40422" spans="1:100">
      <c r="A40422" s="374"/>
      <c r="C40422" s="374"/>
      <c r="CV40422" s="376"/>
    </row>
    <row r="40423" spans="1:100">
      <c r="A40423" s="374"/>
      <c r="C40423" s="374"/>
      <c r="CV40423" s="376"/>
    </row>
    <row r="40424" spans="1:100">
      <c r="A40424" s="374"/>
      <c r="C40424" s="374"/>
      <c r="CV40424" s="376"/>
    </row>
    <row r="40425" spans="1:100">
      <c r="A40425" s="374"/>
      <c r="C40425" s="374"/>
      <c r="CV40425" s="376"/>
    </row>
    <row r="40426" spans="1:100">
      <c r="A40426" s="374"/>
      <c r="C40426" s="374"/>
      <c r="CV40426" s="376"/>
    </row>
    <row r="40427" spans="1:100">
      <c r="A40427" s="374"/>
      <c r="C40427" s="374"/>
      <c r="CV40427" s="376"/>
    </row>
    <row r="40428" spans="1:100">
      <c r="A40428" s="374"/>
      <c r="C40428" s="374"/>
      <c r="CV40428" s="376"/>
    </row>
    <row r="40429" spans="1:100">
      <c r="A40429" s="374"/>
      <c r="C40429" s="374"/>
      <c r="CV40429" s="376"/>
    </row>
    <row r="40430" spans="1:100">
      <c r="A40430" s="374"/>
      <c r="C40430" s="374"/>
      <c r="CV40430" s="376"/>
    </row>
    <row r="40431" spans="1:100">
      <c r="A40431" s="374"/>
      <c r="C40431" s="374"/>
      <c r="CV40431" s="376"/>
    </row>
    <row r="40432" spans="1:100">
      <c r="A40432" s="374"/>
      <c r="C40432" s="374"/>
      <c r="CV40432" s="376"/>
    </row>
    <row r="40433" spans="1:100">
      <c r="A40433" s="374"/>
      <c r="C40433" s="374"/>
      <c r="CV40433" s="376"/>
    </row>
    <row r="40434" spans="1:100">
      <c r="A40434" s="374"/>
      <c r="C40434" s="374"/>
      <c r="CV40434" s="376"/>
    </row>
    <row r="40435" spans="1:100">
      <c r="A40435" s="374"/>
      <c r="C40435" s="374"/>
      <c r="CV40435" s="376"/>
    </row>
    <row r="40436" spans="1:100">
      <c r="A40436" s="374"/>
      <c r="C40436" s="374"/>
      <c r="CV40436" s="376"/>
    </row>
    <row r="40437" spans="1:100">
      <c r="A40437" s="374"/>
      <c r="C40437" s="374"/>
      <c r="CV40437" s="376"/>
    </row>
    <row r="40438" spans="1:100">
      <c r="A40438" s="374"/>
      <c r="C40438" s="374"/>
      <c r="CV40438" s="376"/>
    </row>
    <row r="40439" spans="1:100">
      <c r="A40439" s="374"/>
      <c r="C40439" s="374"/>
      <c r="CV40439" s="376"/>
    </row>
    <row r="40440" spans="1:100">
      <c r="A40440" s="374"/>
      <c r="C40440" s="374"/>
      <c r="CV40440" s="376"/>
    </row>
    <row r="40441" spans="1:100">
      <c r="A40441" s="374"/>
      <c r="C40441" s="374"/>
      <c r="CV40441" s="376"/>
    </row>
    <row r="40442" spans="1:100">
      <c r="A40442" s="374"/>
      <c r="C40442" s="374"/>
      <c r="CV40442" s="376"/>
    </row>
    <row r="40443" spans="1:100">
      <c r="A40443" s="374"/>
      <c r="C40443" s="374"/>
      <c r="CV40443" s="376"/>
    </row>
    <row r="40444" spans="1:100">
      <c r="A40444" s="374"/>
      <c r="C40444" s="374"/>
      <c r="CV40444" s="376"/>
    </row>
    <row r="40445" spans="1:100">
      <c r="A40445" s="374"/>
      <c r="C40445" s="374"/>
      <c r="CV40445" s="376"/>
    </row>
    <row r="40446" spans="1:100">
      <c r="A40446" s="374"/>
      <c r="C40446" s="374"/>
      <c r="CV40446" s="376"/>
    </row>
    <row r="40447" spans="1:100">
      <c r="A40447" s="374"/>
      <c r="C40447" s="374"/>
      <c r="CV40447" s="376"/>
    </row>
    <row r="40448" spans="1:100">
      <c r="A40448" s="374"/>
      <c r="C40448" s="374"/>
      <c r="CV40448" s="376"/>
    </row>
    <row r="40449" spans="1:100">
      <c r="A40449" s="374"/>
      <c r="C40449" s="374"/>
      <c r="CV40449" s="376"/>
    </row>
    <row r="40450" spans="1:100">
      <c r="A40450" s="374"/>
      <c r="C40450" s="374"/>
      <c r="CV40450" s="376"/>
    </row>
    <row r="40451" spans="1:100">
      <c r="A40451" s="374"/>
      <c r="C40451" s="374"/>
      <c r="CV40451" s="376"/>
    </row>
    <row r="40452" spans="1:100">
      <c r="A40452" s="374"/>
      <c r="C40452" s="374"/>
      <c r="CV40452" s="376"/>
    </row>
    <row r="40453" spans="1:100">
      <c r="A40453" s="374"/>
      <c r="C40453" s="374"/>
      <c r="CV40453" s="376"/>
    </row>
    <row r="40454" spans="1:100">
      <c r="A40454" s="374"/>
      <c r="C40454" s="374"/>
      <c r="CV40454" s="376"/>
    </row>
    <row r="40455" spans="1:100">
      <c r="A40455" s="374"/>
      <c r="C40455" s="374"/>
      <c r="CV40455" s="376"/>
    </row>
    <row r="40456" spans="1:100">
      <c r="A40456" s="374"/>
      <c r="C40456" s="374"/>
      <c r="CV40456" s="376"/>
    </row>
    <row r="40457" spans="1:100">
      <c r="A40457" s="374"/>
      <c r="C40457" s="374"/>
      <c r="CV40457" s="376"/>
    </row>
    <row r="40458" spans="1:100">
      <c r="A40458" s="374"/>
      <c r="C40458" s="374"/>
      <c r="CV40458" s="376"/>
    </row>
    <row r="40459" spans="1:100">
      <c r="A40459" s="374"/>
      <c r="C40459" s="374"/>
      <c r="CV40459" s="376"/>
    </row>
    <row r="40460" spans="1:100">
      <c r="A40460" s="374"/>
      <c r="C40460" s="374"/>
      <c r="CV40460" s="376"/>
    </row>
    <row r="40461" spans="1:100">
      <c r="A40461" s="374"/>
      <c r="C40461" s="374"/>
      <c r="CV40461" s="376"/>
    </row>
    <row r="40462" spans="1:100">
      <c r="A40462" s="374"/>
      <c r="C40462" s="374"/>
      <c r="CV40462" s="376"/>
    </row>
    <row r="40463" spans="1:100">
      <c r="A40463" s="374"/>
      <c r="C40463" s="374"/>
      <c r="CV40463" s="376"/>
    </row>
    <row r="40464" spans="1:100">
      <c r="A40464" s="374"/>
      <c r="C40464" s="374"/>
      <c r="CV40464" s="376"/>
    </row>
    <row r="40465" spans="1:100">
      <c r="A40465" s="374"/>
      <c r="C40465" s="374"/>
      <c r="CV40465" s="376"/>
    </row>
    <row r="40466" spans="1:100">
      <c r="A40466" s="374"/>
      <c r="C40466" s="374"/>
      <c r="CV40466" s="376"/>
    </row>
    <row r="40467" spans="1:100">
      <c r="A40467" s="374"/>
      <c r="C40467" s="374"/>
      <c r="CV40467" s="376"/>
    </row>
    <row r="40468" spans="1:100">
      <c r="A40468" s="374"/>
      <c r="C40468" s="374"/>
      <c r="CV40468" s="376"/>
    </row>
    <row r="40469" spans="1:100">
      <c r="A40469" s="374"/>
      <c r="C40469" s="374"/>
      <c r="CV40469" s="376"/>
    </row>
    <row r="40470" spans="1:100">
      <c r="A40470" s="374"/>
      <c r="C40470" s="374"/>
      <c r="CV40470" s="376"/>
    </row>
    <row r="40471" spans="1:100">
      <c r="A40471" s="374"/>
      <c r="C40471" s="374"/>
      <c r="CV40471" s="376"/>
    </row>
    <row r="40472" spans="1:100">
      <c r="A40472" s="374"/>
      <c r="C40472" s="374"/>
      <c r="CV40472" s="376"/>
    </row>
    <row r="40473" spans="1:100">
      <c r="A40473" s="374"/>
      <c r="C40473" s="374"/>
      <c r="CV40473" s="376"/>
    </row>
    <row r="40474" spans="1:100">
      <c r="A40474" s="374"/>
      <c r="C40474" s="374"/>
      <c r="CV40474" s="376"/>
    </row>
    <row r="40475" spans="1:100">
      <c r="A40475" s="374"/>
      <c r="C40475" s="374"/>
      <c r="CV40475" s="376"/>
    </row>
    <row r="40476" spans="1:100">
      <c r="A40476" s="374"/>
      <c r="C40476" s="374"/>
      <c r="CV40476" s="376"/>
    </row>
    <row r="40477" spans="1:100">
      <c r="A40477" s="374"/>
      <c r="C40477" s="374"/>
      <c r="CV40477" s="376"/>
    </row>
    <row r="40478" spans="1:100">
      <c r="A40478" s="374"/>
      <c r="C40478" s="374"/>
      <c r="CV40478" s="376"/>
    </row>
    <row r="40479" spans="1:100">
      <c r="A40479" s="374"/>
      <c r="C40479" s="374"/>
      <c r="CV40479" s="376"/>
    </row>
    <row r="40480" spans="1:100">
      <c r="A40480" s="374"/>
      <c r="C40480" s="374"/>
      <c r="CV40480" s="376"/>
    </row>
    <row r="40481" spans="1:100">
      <c r="A40481" s="374"/>
      <c r="C40481" s="374"/>
      <c r="CV40481" s="376"/>
    </row>
    <row r="40482" spans="1:100">
      <c r="A40482" s="374"/>
      <c r="C40482" s="374"/>
      <c r="CV40482" s="376"/>
    </row>
    <row r="40483" spans="1:100">
      <c r="A40483" s="374"/>
      <c r="C40483" s="374"/>
      <c r="CV40483" s="376"/>
    </row>
    <row r="40484" spans="1:100">
      <c r="A40484" s="374"/>
      <c r="C40484" s="374"/>
      <c r="CV40484" s="376"/>
    </row>
    <row r="40485" spans="1:100">
      <c r="A40485" s="374"/>
      <c r="C40485" s="374"/>
      <c r="CV40485" s="376"/>
    </row>
    <row r="40486" spans="1:100">
      <c r="A40486" s="374"/>
      <c r="C40486" s="374"/>
      <c r="CV40486" s="376"/>
    </row>
    <row r="40487" spans="1:100">
      <c r="A40487" s="374"/>
      <c r="C40487" s="374"/>
      <c r="CV40487" s="376"/>
    </row>
    <row r="40488" spans="1:100">
      <c r="A40488" s="374"/>
      <c r="C40488" s="374"/>
      <c r="CV40488" s="376"/>
    </row>
    <row r="40489" spans="1:100">
      <c r="A40489" s="374"/>
      <c r="C40489" s="374"/>
      <c r="CV40489" s="376"/>
    </row>
    <row r="40490" spans="1:100">
      <c r="A40490" s="374"/>
      <c r="C40490" s="374"/>
      <c r="CV40490" s="376"/>
    </row>
    <row r="40491" spans="1:100">
      <c r="A40491" s="374"/>
      <c r="C40491" s="374"/>
      <c r="CV40491" s="376"/>
    </row>
    <row r="40492" spans="1:100">
      <c r="A40492" s="374"/>
      <c r="C40492" s="374"/>
      <c r="CV40492" s="376"/>
    </row>
    <row r="40493" spans="1:100">
      <c r="A40493" s="374"/>
      <c r="C40493" s="374"/>
      <c r="CV40493" s="376"/>
    </row>
    <row r="40494" spans="1:100">
      <c r="A40494" s="374"/>
      <c r="C40494" s="374"/>
      <c r="CV40494" s="376"/>
    </row>
    <row r="40495" spans="1:100">
      <c r="A40495" s="374"/>
      <c r="C40495" s="374"/>
      <c r="CV40495" s="376"/>
    </row>
    <row r="40496" spans="1:100">
      <c r="A40496" s="374"/>
      <c r="C40496" s="374"/>
      <c r="CV40496" s="376"/>
    </row>
    <row r="40497" spans="1:100">
      <c r="A40497" s="374"/>
      <c r="C40497" s="374"/>
      <c r="CV40497" s="376"/>
    </row>
    <row r="40498" spans="1:100">
      <c r="A40498" s="374"/>
      <c r="C40498" s="374"/>
      <c r="CV40498" s="376"/>
    </row>
    <row r="40499" spans="1:100">
      <c r="A40499" s="374"/>
      <c r="C40499" s="374"/>
      <c r="CV40499" s="376"/>
    </row>
    <row r="40500" spans="1:100">
      <c r="A40500" s="374"/>
      <c r="C40500" s="374"/>
      <c r="CV40500" s="376"/>
    </row>
    <row r="40501" spans="1:100">
      <c r="A40501" s="374"/>
      <c r="C40501" s="374"/>
      <c r="CV40501" s="376"/>
    </row>
    <row r="40502" spans="1:100">
      <c r="A40502" s="374"/>
      <c r="C40502" s="374"/>
      <c r="CV40502" s="376"/>
    </row>
    <row r="40503" spans="1:100">
      <c r="A40503" s="374"/>
      <c r="C40503" s="374"/>
      <c r="CV40503" s="376"/>
    </row>
    <row r="40504" spans="1:100">
      <c r="A40504" s="374"/>
      <c r="C40504" s="374"/>
      <c r="CV40504" s="376"/>
    </row>
    <row r="40505" spans="1:100">
      <c r="A40505" s="374"/>
      <c r="C40505" s="374"/>
      <c r="CV40505" s="376"/>
    </row>
    <row r="40506" spans="1:100">
      <c r="A40506" s="374"/>
      <c r="C40506" s="374"/>
      <c r="CV40506" s="376"/>
    </row>
    <row r="40507" spans="1:100">
      <c r="A40507" s="374"/>
      <c r="C40507" s="374"/>
      <c r="CV40507" s="376"/>
    </row>
    <row r="40508" spans="1:100">
      <c r="A40508" s="374"/>
      <c r="C40508" s="374"/>
      <c r="CV40508" s="376"/>
    </row>
    <row r="40509" spans="1:100">
      <c r="A40509" s="374"/>
      <c r="C40509" s="374"/>
      <c r="CV40509" s="376"/>
    </row>
    <row r="40510" spans="1:100">
      <c r="A40510" s="374"/>
      <c r="C40510" s="374"/>
      <c r="CV40510" s="376"/>
    </row>
    <row r="40511" spans="1:100">
      <c r="A40511" s="374"/>
      <c r="C40511" s="374"/>
      <c r="CV40511" s="376"/>
    </row>
    <row r="40512" spans="1:100">
      <c r="A40512" s="374"/>
      <c r="C40512" s="374"/>
      <c r="CV40512" s="376"/>
    </row>
    <row r="40513" spans="1:100">
      <c r="A40513" s="374"/>
      <c r="C40513" s="374"/>
      <c r="CV40513" s="376"/>
    </row>
    <row r="40514" spans="1:100">
      <c r="A40514" s="374"/>
      <c r="C40514" s="374"/>
      <c r="CV40514" s="376"/>
    </row>
    <row r="40515" spans="1:100">
      <c r="A40515" s="374"/>
      <c r="C40515" s="374"/>
      <c r="CV40515" s="376"/>
    </row>
    <row r="40516" spans="1:100">
      <c r="A40516" s="374"/>
      <c r="C40516" s="374"/>
      <c r="CV40516" s="376"/>
    </row>
    <row r="40517" spans="1:100">
      <c r="A40517" s="374"/>
      <c r="C40517" s="374"/>
      <c r="CV40517" s="376"/>
    </row>
    <row r="40518" spans="1:100">
      <c r="A40518" s="374"/>
      <c r="C40518" s="374"/>
      <c r="CV40518" s="376"/>
    </row>
    <row r="40519" spans="1:100">
      <c r="A40519" s="374"/>
      <c r="C40519" s="374"/>
      <c r="CV40519" s="376"/>
    </row>
    <row r="40520" spans="1:100">
      <c r="A40520" s="374"/>
      <c r="C40520" s="374"/>
      <c r="CV40520" s="376"/>
    </row>
    <row r="40521" spans="1:100">
      <c r="A40521" s="374"/>
      <c r="C40521" s="374"/>
      <c r="CV40521" s="376"/>
    </row>
    <row r="40522" spans="1:100">
      <c r="A40522" s="374"/>
      <c r="C40522" s="374"/>
      <c r="CV40522" s="376"/>
    </row>
    <row r="40523" spans="1:100">
      <c r="A40523" s="374"/>
      <c r="C40523" s="374"/>
      <c r="CV40523" s="376"/>
    </row>
    <row r="40524" spans="1:100">
      <c r="A40524" s="374"/>
      <c r="C40524" s="374"/>
      <c r="CV40524" s="376"/>
    </row>
    <row r="40525" spans="1:100">
      <c r="A40525" s="374"/>
      <c r="C40525" s="374"/>
      <c r="CV40525" s="376"/>
    </row>
    <row r="40526" spans="1:100">
      <c r="A40526" s="374"/>
      <c r="C40526" s="374"/>
      <c r="CV40526" s="376"/>
    </row>
    <row r="40527" spans="1:100">
      <c r="A40527" s="374"/>
      <c r="C40527" s="374"/>
      <c r="CV40527" s="376"/>
    </row>
    <row r="40528" spans="1:100">
      <c r="A40528" s="374"/>
      <c r="C40528" s="374"/>
      <c r="CV40528" s="376"/>
    </row>
    <row r="40529" spans="1:100">
      <c r="A40529" s="374"/>
      <c r="C40529" s="374"/>
      <c r="CV40529" s="376"/>
    </row>
    <row r="40530" spans="1:100">
      <c r="A40530" s="374"/>
      <c r="C40530" s="374"/>
      <c r="CV40530" s="376"/>
    </row>
    <row r="40531" spans="1:100">
      <c r="A40531" s="374"/>
      <c r="C40531" s="374"/>
      <c r="CV40531" s="376"/>
    </row>
    <row r="40532" spans="1:100">
      <c r="A40532" s="374"/>
      <c r="C40532" s="374"/>
      <c r="CV40532" s="376"/>
    </row>
    <row r="40533" spans="1:100">
      <c r="A40533" s="374"/>
      <c r="C40533" s="374"/>
      <c r="CV40533" s="376"/>
    </row>
    <row r="40534" spans="1:100">
      <c r="A40534" s="374"/>
      <c r="C40534" s="374"/>
      <c r="CV40534" s="376"/>
    </row>
    <row r="40535" spans="1:100">
      <c r="A40535" s="374"/>
      <c r="C40535" s="374"/>
      <c r="CV40535" s="376"/>
    </row>
    <row r="40536" spans="1:100">
      <c r="A40536" s="374"/>
      <c r="C40536" s="374"/>
      <c r="CV40536" s="376"/>
    </row>
    <row r="40537" spans="1:100">
      <c r="A40537" s="374"/>
      <c r="C40537" s="374"/>
      <c r="CV40537" s="376"/>
    </row>
    <row r="40538" spans="1:100">
      <c r="A40538" s="374"/>
      <c r="C40538" s="374"/>
      <c r="CV40538" s="376"/>
    </row>
    <row r="40539" spans="1:100">
      <c r="A40539" s="374"/>
      <c r="C40539" s="374"/>
      <c r="CV40539" s="376"/>
    </row>
    <row r="40540" spans="1:100">
      <c r="A40540" s="374"/>
      <c r="C40540" s="374"/>
      <c r="CV40540" s="376"/>
    </row>
    <row r="40541" spans="1:100">
      <c r="A40541" s="374"/>
      <c r="C40541" s="374"/>
      <c r="CV40541" s="376"/>
    </row>
    <row r="40542" spans="1:100">
      <c r="A40542" s="374"/>
      <c r="C40542" s="374"/>
      <c r="CV40542" s="376"/>
    </row>
    <row r="40543" spans="1:100">
      <c r="A40543" s="374"/>
      <c r="C40543" s="374"/>
      <c r="CV40543" s="376"/>
    </row>
    <row r="40544" spans="1:100">
      <c r="A40544" s="374"/>
      <c r="C40544" s="374"/>
      <c r="CV40544" s="376"/>
    </row>
    <row r="40545" spans="1:100">
      <c r="A40545" s="374"/>
      <c r="C40545" s="374"/>
      <c r="CV40545" s="376"/>
    </row>
    <row r="40546" spans="1:100">
      <c r="A40546" s="374"/>
      <c r="C40546" s="374"/>
      <c r="CV40546" s="376"/>
    </row>
    <row r="40547" spans="1:100">
      <c r="A40547" s="374"/>
      <c r="C40547" s="374"/>
      <c r="CV40547" s="376"/>
    </row>
    <row r="40548" spans="1:100">
      <c r="A40548" s="374"/>
      <c r="C40548" s="374"/>
      <c r="CV40548" s="376"/>
    </row>
    <row r="40549" spans="1:100">
      <c r="A40549" s="374"/>
      <c r="C40549" s="374"/>
      <c r="CV40549" s="376"/>
    </row>
    <row r="40550" spans="1:100">
      <c r="A40550" s="374"/>
      <c r="C40550" s="374"/>
      <c r="CV40550" s="376"/>
    </row>
    <row r="40551" spans="1:100">
      <c r="A40551" s="374"/>
      <c r="C40551" s="374"/>
      <c r="CV40551" s="376"/>
    </row>
    <row r="40552" spans="1:100">
      <c r="A40552" s="374"/>
      <c r="C40552" s="374"/>
      <c r="CV40552" s="376"/>
    </row>
    <row r="40553" spans="1:100">
      <c r="A40553" s="374"/>
      <c r="C40553" s="374"/>
      <c r="CV40553" s="376"/>
    </row>
    <row r="40554" spans="1:100">
      <c r="A40554" s="374"/>
      <c r="C40554" s="374"/>
      <c r="CV40554" s="376"/>
    </row>
    <row r="40555" spans="1:100">
      <c r="A40555" s="374"/>
      <c r="C40555" s="374"/>
      <c r="CV40555" s="376"/>
    </row>
    <row r="40556" spans="1:100">
      <c r="A40556" s="374"/>
      <c r="C40556" s="374"/>
      <c r="CV40556" s="376"/>
    </row>
    <row r="40557" spans="1:100">
      <c r="A40557" s="374"/>
      <c r="C40557" s="374"/>
      <c r="CV40557" s="376"/>
    </row>
    <row r="40558" spans="1:100">
      <c r="A40558" s="374"/>
      <c r="C40558" s="374"/>
      <c r="CV40558" s="376"/>
    </row>
    <row r="40559" spans="1:100">
      <c r="A40559" s="374"/>
      <c r="C40559" s="374"/>
      <c r="CV40559" s="376"/>
    </row>
    <row r="40560" spans="1:100">
      <c r="A40560" s="374"/>
      <c r="C40560" s="374"/>
      <c r="CV40560" s="376"/>
    </row>
    <row r="40561" spans="1:100">
      <c r="A40561" s="374"/>
      <c r="C40561" s="374"/>
      <c r="CV40561" s="376"/>
    </row>
    <row r="40562" spans="1:100">
      <c r="A40562" s="374"/>
      <c r="C40562" s="374"/>
      <c r="CV40562" s="376"/>
    </row>
    <row r="40563" spans="1:100">
      <c r="A40563" s="374"/>
      <c r="C40563" s="374"/>
      <c r="CV40563" s="376"/>
    </row>
    <row r="40564" spans="1:100">
      <c r="A40564" s="374"/>
      <c r="C40564" s="374"/>
      <c r="CV40564" s="376"/>
    </row>
    <row r="40565" spans="1:100">
      <c r="A40565" s="374"/>
      <c r="C40565" s="374"/>
      <c r="CV40565" s="376"/>
    </row>
    <row r="40566" spans="1:100">
      <c r="A40566" s="374"/>
      <c r="C40566" s="374"/>
      <c r="CV40566" s="376"/>
    </row>
    <row r="40567" spans="1:100">
      <c r="A40567" s="374"/>
      <c r="C40567" s="374"/>
      <c r="CV40567" s="376"/>
    </row>
    <row r="40568" spans="1:100">
      <c r="A40568" s="374"/>
      <c r="C40568" s="374"/>
      <c r="CV40568" s="376"/>
    </row>
    <row r="40569" spans="1:100">
      <c r="A40569" s="374"/>
      <c r="C40569" s="374"/>
      <c r="CV40569" s="376"/>
    </row>
    <row r="40570" spans="1:100">
      <c r="A40570" s="374"/>
      <c r="C40570" s="374"/>
      <c r="CV40570" s="376"/>
    </row>
    <row r="40571" spans="1:100">
      <c r="A40571" s="374"/>
      <c r="C40571" s="374"/>
      <c r="CV40571" s="376"/>
    </row>
    <row r="40572" spans="1:100">
      <c r="A40572" s="374"/>
      <c r="C40572" s="374"/>
      <c r="CV40572" s="376"/>
    </row>
    <row r="40573" spans="1:100">
      <c r="A40573" s="374"/>
      <c r="C40573" s="374"/>
      <c r="CV40573" s="376"/>
    </row>
    <row r="40574" spans="1:100">
      <c r="A40574" s="374"/>
      <c r="C40574" s="374"/>
      <c r="CV40574" s="376"/>
    </row>
    <row r="40575" spans="1:100">
      <c r="A40575" s="374"/>
      <c r="C40575" s="374"/>
      <c r="CV40575" s="376"/>
    </row>
    <row r="40576" spans="1:100">
      <c r="A40576" s="374"/>
      <c r="C40576" s="374"/>
      <c r="CV40576" s="376"/>
    </row>
    <row r="40577" spans="1:100">
      <c r="A40577" s="374"/>
      <c r="C40577" s="374"/>
      <c r="CV40577" s="376"/>
    </row>
    <row r="40578" spans="1:100">
      <c r="A40578" s="374"/>
      <c r="C40578" s="374"/>
      <c r="CV40578" s="376"/>
    </row>
    <row r="40579" spans="1:100">
      <c r="A40579" s="374"/>
      <c r="C40579" s="374"/>
      <c r="CV40579" s="376"/>
    </row>
    <row r="40580" spans="1:100">
      <c r="A40580" s="374"/>
      <c r="C40580" s="374"/>
      <c r="CV40580" s="376"/>
    </row>
    <row r="40581" spans="1:100">
      <c r="A40581" s="374"/>
      <c r="C40581" s="374"/>
      <c r="CV40581" s="376"/>
    </row>
    <row r="40582" spans="1:100">
      <c r="A40582" s="374"/>
      <c r="C40582" s="374"/>
      <c r="CV40582" s="376"/>
    </row>
    <row r="40583" spans="1:100">
      <c r="A40583" s="374"/>
      <c r="C40583" s="374"/>
      <c r="CV40583" s="376"/>
    </row>
    <row r="40584" spans="1:100">
      <c r="A40584" s="374"/>
      <c r="C40584" s="374"/>
      <c r="CV40584" s="376"/>
    </row>
    <row r="40585" spans="1:100">
      <c r="A40585" s="374"/>
      <c r="C40585" s="374"/>
      <c r="CV40585" s="376"/>
    </row>
    <row r="40586" spans="1:100">
      <c r="A40586" s="374"/>
      <c r="C40586" s="374"/>
      <c r="CV40586" s="376"/>
    </row>
    <row r="40587" spans="1:100">
      <c r="A40587" s="374"/>
      <c r="C40587" s="374"/>
      <c r="CV40587" s="376"/>
    </row>
    <row r="40588" spans="1:100">
      <c r="A40588" s="374"/>
      <c r="C40588" s="374"/>
      <c r="CV40588" s="376"/>
    </row>
    <row r="40589" spans="1:100">
      <c r="A40589" s="374"/>
      <c r="C40589" s="374"/>
      <c r="CV40589" s="376"/>
    </row>
    <row r="40590" spans="1:100">
      <c r="A40590" s="374"/>
      <c r="C40590" s="374"/>
      <c r="CV40590" s="376"/>
    </row>
    <row r="40591" spans="1:100">
      <c r="A40591" s="374"/>
      <c r="C40591" s="374"/>
      <c r="CV40591" s="376"/>
    </row>
    <row r="40592" spans="1:100">
      <c r="A40592" s="374"/>
      <c r="C40592" s="374"/>
      <c r="CV40592" s="376"/>
    </row>
    <row r="40593" spans="1:100">
      <c r="A40593" s="374"/>
      <c r="C40593" s="374"/>
      <c r="CV40593" s="376"/>
    </row>
    <row r="40594" spans="1:100">
      <c r="A40594" s="374"/>
      <c r="C40594" s="374"/>
      <c r="CV40594" s="376"/>
    </row>
    <row r="40595" spans="1:100">
      <c r="A40595" s="374"/>
      <c r="C40595" s="374"/>
      <c r="CV40595" s="376"/>
    </row>
    <row r="40596" spans="1:100">
      <c r="A40596" s="374"/>
      <c r="C40596" s="374"/>
      <c r="CV40596" s="376"/>
    </row>
    <row r="40597" spans="1:100">
      <c r="A40597" s="374"/>
      <c r="C40597" s="374"/>
      <c r="CV40597" s="376"/>
    </row>
    <row r="40598" spans="1:100">
      <c r="A40598" s="374"/>
      <c r="C40598" s="374"/>
      <c r="CV40598" s="376"/>
    </row>
    <row r="40599" spans="1:100">
      <c r="A40599" s="374"/>
      <c r="C40599" s="374"/>
      <c r="CV40599" s="376"/>
    </row>
    <row r="40600" spans="1:100">
      <c r="A40600" s="374"/>
      <c r="C40600" s="374"/>
      <c r="CV40600" s="376"/>
    </row>
    <row r="40601" spans="1:100">
      <c r="A40601" s="374"/>
      <c r="C40601" s="374"/>
      <c r="CV40601" s="376"/>
    </row>
    <row r="40602" spans="1:100">
      <c r="A40602" s="374"/>
      <c r="C40602" s="374"/>
      <c r="CV40602" s="376"/>
    </row>
    <row r="40603" spans="1:100">
      <c r="A40603" s="374"/>
      <c r="C40603" s="374"/>
      <c r="CV40603" s="376"/>
    </row>
    <row r="40604" spans="1:100">
      <c r="A40604" s="374"/>
      <c r="C40604" s="374"/>
      <c r="CV40604" s="376"/>
    </row>
    <row r="40605" spans="1:100">
      <c r="A40605" s="374"/>
      <c r="C40605" s="374"/>
      <c r="CV40605" s="376"/>
    </row>
    <row r="40606" spans="1:100">
      <c r="A40606" s="374"/>
      <c r="C40606" s="374"/>
      <c r="CV40606" s="376"/>
    </row>
    <row r="40607" spans="1:100">
      <c r="A40607" s="374"/>
      <c r="C40607" s="374"/>
      <c r="CV40607" s="376"/>
    </row>
    <row r="40608" spans="1:100">
      <c r="A40608" s="374"/>
      <c r="C40608" s="374"/>
      <c r="CV40608" s="376"/>
    </row>
    <row r="40609" spans="1:100">
      <c r="A40609" s="374"/>
      <c r="C40609" s="374"/>
      <c r="CV40609" s="376"/>
    </row>
    <row r="40610" spans="1:100">
      <c r="A40610" s="374"/>
      <c r="C40610" s="374"/>
      <c r="CV40610" s="376"/>
    </row>
    <row r="40611" spans="1:100">
      <c r="A40611" s="374"/>
      <c r="C40611" s="374"/>
      <c r="CV40611" s="376"/>
    </row>
    <row r="40612" spans="1:100">
      <c r="A40612" s="374"/>
      <c r="C40612" s="374"/>
      <c r="CV40612" s="376"/>
    </row>
    <row r="40613" spans="1:100">
      <c r="A40613" s="374"/>
      <c r="C40613" s="374"/>
      <c r="CV40613" s="376"/>
    </row>
    <row r="40614" spans="1:100">
      <c r="A40614" s="374"/>
      <c r="C40614" s="374"/>
      <c r="CV40614" s="376"/>
    </row>
    <row r="40615" spans="1:100">
      <c r="A40615" s="374"/>
      <c r="C40615" s="374"/>
      <c r="CV40615" s="376"/>
    </row>
    <row r="40616" spans="1:100">
      <c r="A40616" s="374"/>
      <c r="C40616" s="374"/>
      <c r="CV40616" s="376"/>
    </row>
    <row r="40617" spans="1:100">
      <c r="A40617" s="374"/>
      <c r="C40617" s="374"/>
      <c r="CV40617" s="376"/>
    </row>
    <row r="40618" spans="1:100">
      <c r="A40618" s="374"/>
      <c r="C40618" s="374"/>
      <c r="CV40618" s="376"/>
    </row>
    <row r="40619" spans="1:100">
      <c r="A40619" s="374"/>
      <c r="C40619" s="374"/>
      <c r="CV40619" s="376"/>
    </row>
    <row r="40620" spans="1:100">
      <c r="A40620" s="374"/>
      <c r="C40620" s="374"/>
      <c r="CV40620" s="376"/>
    </row>
    <row r="40621" spans="1:100">
      <c r="A40621" s="374"/>
      <c r="C40621" s="374"/>
      <c r="CV40621" s="376"/>
    </row>
    <row r="40622" spans="1:100">
      <c r="A40622" s="374"/>
      <c r="C40622" s="374"/>
      <c r="CV40622" s="376"/>
    </row>
    <row r="40623" spans="1:100">
      <c r="A40623" s="374"/>
      <c r="C40623" s="374"/>
      <c r="CV40623" s="376"/>
    </row>
    <row r="40624" spans="1:100">
      <c r="A40624" s="374"/>
      <c r="C40624" s="374"/>
      <c r="CV40624" s="376"/>
    </row>
    <row r="40625" spans="1:100">
      <c r="A40625" s="374"/>
      <c r="C40625" s="374"/>
      <c r="CV40625" s="376"/>
    </row>
    <row r="40626" spans="1:100">
      <c r="A40626" s="374"/>
      <c r="C40626" s="374"/>
      <c r="CV40626" s="376"/>
    </row>
    <row r="40627" spans="1:100">
      <c r="A40627" s="374"/>
      <c r="C40627" s="374"/>
      <c r="CV40627" s="376"/>
    </row>
    <row r="40628" spans="1:100">
      <c r="A40628" s="374"/>
      <c r="C40628" s="374"/>
      <c r="CV40628" s="376"/>
    </row>
    <row r="40629" spans="1:100">
      <c r="A40629" s="374"/>
      <c r="C40629" s="374"/>
      <c r="CV40629" s="376"/>
    </row>
    <row r="40630" spans="1:100">
      <c r="A40630" s="374"/>
      <c r="C40630" s="374"/>
      <c r="CV40630" s="376"/>
    </row>
    <row r="40631" spans="1:100">
      <c r="A40631" s="374"/>
      <c r="C40631" s="374"/>
      <c r="CV40631" s="376"/>
    </row>
    <row r="40632" spans="1:100">
      <c r="A40632" s="374"/>
      <c r="C40632" s="374"/>
      <c r="CV40632" s="376"/>
    </row>
    <row r="40633" spans="1:100">
      <c r="A40633" s="374"/>
      <c r="C40633" s="374"/>
      <c r="CV40633" s="376"/>
    </row>
    <row r="40634" spans="1:100">
      <c r="A40634" s="374"/>
      <c r="C40634" s="374"/>
      <c r="CV40634" s="376"/>
    </row>
    <row r="40635" spans="1:100">
      <c r="A40635" s="374"/>
      <c r="C40635" s="374"/>
      <c r="CV40635" s="376"/>
    </row>
    <row r="40636" spans="1:100">
      <c r="A40636" s="374"/>
      <c r="C40636" s="374"/>
      <c r="CV40636" s="376"/>
    </row>
    <row r="40637" spans="1:100">
      <c r="A40637" s="374"/>
      <c r="C40637" s="374"/>
      <c r="CV40637" s="376"/>
    </row>
    <row r="40638" spans="1:100">
      <c r="A40638" s="374"/>
      <c r="C40638" s="374"/>
      <c r="CV40638" s="376"/>
    </row>
    <row r="40639" spans="1:100">
      <c r="A40639" s="374"/>
      <c r="C40639" s="374"/>
      <c r="CV40639" s="376"/>
    </row>
    <row r="40640" spans="1:100">
      <c r="A40640" s="374"/>
      <c r="C40640" s="374"/>
      <c r="CV40640" s="376"/>
    </row>
    <row r="40641" spans="1:100">
      <c r="A40641" s="374"/>
      <c r="C40641" s="374"/>
      <c r="CV40641" s="376"/>
    </row>
    <row r="40642" spans="1:100">
      <c r="A40642" s="374"/>
      <c r="C40642" s="374"/>
      <c r="CV40642" s="376"/>
    </row>
    <row r="40643" spans="1:100">
      <c r="A40643" s="374"/>
      <c r="C40643" s="374"/>
      <c r="CV40643" s="376"/>
    </row>
    <row r="40644" spans="1:100">
      <c r="A40644" s="374"/>
      <c r="C40644" s="374"/>
      <c r="CV40644" s="376"/>
    </row>
    <row r="40645" spans="1:100">
      <c r="A40645" s="374"/>
      <c r="C40645" s="374"/>
      <c r="CV40645" s="376"/>
    </row>
    <row r="40646" spans="1:100">
      <c r="A40646" s="374"/>
      <c r="C40646" s="374"/>
      <c r="CV40646" s="376"/>
    </row>
    <row r="40647" spans="1:100">
      <c r="A40647" s="374"/>
      <c r="C40647" s="374"/>
      <c r="CV40647" s="376"/>
    </row>
    <row r="40648" spans="1:100">
      <c r="A40648" s="374"/>
      <c r="C40648" s="374"/>
      <c r="CV40648" s="376"/>
    </row>
    <row r="40649" spans="1:100">
      <c r="A40649" s="374"/>
      <c r="C40649" s="374"/>
      <c r="CV40649" s="376"/>
    </row>
    <row r="40650" spans="1:100">
      <c r="A40650" s="374"/>
      <c r="C40650" s="374"/>
      <c r="CV40650" s="376"/>
    </row>
    <row r="40651" spans="1:100">
      <c r="A40651" s="374"/>
      <c r="C40651" s="374"/>
      <c r="CV40651" s="376"/>
    </row>
    <row r="40652" spans="1:100">
      <c r="A40652" s="374"/>
      <c r="C40652" s="374"/>
      <c r="CV40652" s="376"/>
    </row>
    <row r="40653" spans="1:100">
      <c r="A40653" s="374"/>
      <c r="C40653" s="374"/>
      <c r="CV40653" s="376"/>
    </row>
    <row r="40654" spans="1:100">
      <c r="A40654" s="374"/>
      <c r="C40654" s="374"/>
      <c r="CV40654" s="376"/>
    </row>
    <row r="40655" spans="1:100">
      <c r="A40655" s="374"/>
      <c r="C40655" s="374"/>
      <c r="CV40655" s="376"/>
    </row>
    <row r="40656" spans="1:100">
      <c r="A40656" s="374"/>
      <c r="C40656" s="374"/>
      <c r="CV40656" s="376"/>
    </row>
    <row r="40657" spans="1:100">
      <c r="A40657" s="374"/>
      <c r="C40657" s="374"/>
      <c r="CV40657" s="376"/>
    </row>
    <row r="40658" spans="1:100">
      <c r="A40658" s="374"/>
      <c r="C40658" s="374"/>
      <c r="CV40658" s="376"/>
    </row>
    <row r="40659" spans="1:100">
      <c r="A40659" s="374"/>
      <c r="C40659" s="374"/>
      <c r="CV40659" s="376"/>
    </row>
    <row r="40660" spans="1:100">
      <c r="A40660" s="374"/>
      <c r="C40660" s="374"/>
      <c r="CV40660" s="376"/>
    </row>
    <row r="40661" spans="1:100">
      <c r="A40661" s="374"/>
      <c r="C40661" s="374"/>
      <c r="CV40661" s="376"/>
    </row>
    <row r="40662" spans="1:100">
      <c r="A40662" s="374"/>
      <c r="C40662" s="374"/>
      <c r="CV40662" s="376"/>
    </row>
    <row r="40663" spans="1:100">
      <c r="A40663" s="374"/>
      <c r="C40663" s="374"/>
      <c r="CV40663" s="376"/>
    </row>
    <row r="40664" spans="1:100">
      <c r="A40664" s="374"/>
      <c r="C40664" s="374"/>
      <c r="CV40664" s="376"/>
    </row>
    <row r="40665" spans="1:100">
      <c r="A40665" s="374"/>
      <c r="C40665" s="374"/>
      <c r="CV40665" s="376"/>
    </row>
    <row r="40666" spans="1:100">
      <c r="A40666" s="374"/>
      <c r="C40666" s="374"/>
      <c r="CV40666" s="376"/>
    </row>
    <row r="40667" spans="1:100">
      <c r="A40667" s="374"/>
      <c r="C40667" s="374"/>
      <c r="CV40667" s="376"/>
    </row>
    <row r="40668" spans="1:100">
      <c r="A40668" s="374"/>
      <c r="C40668" s="374"/>
      <c r="CV40668" s="376"/>
    </row>
    <row r="40669" spans="1:100">
      <c r="A40669" s="374"/>
      <c r="C40669" s="374"/>
      <c r="CV40669" s="376"/>
    </row>
    <row r="40670" spans="1:100">
      <c r="A40670" s="374"/>
      <c r="C40670" s="374"/>
      <c r="CV40670" s="376"/>
    </row>
    <row r="40671" spans="1:100">
      <c r="A40671" s="374"/>
      <c r="C40671" s="374"/>
      <c r="CV40671" s="376"/>
    </row>
    <row r="40672" spans="1:100">
      <c r="A40672" s="374"/>
      <c r="C40672" s="374"/>
      <c r="CV40672" s="376"/>
    </row>
    <row r="40673" spans="1:100">
      <c r="A40673" s="374"/>
      <c r="C40673" s="374"/>
      <c r="CV40673" s="376"/>
    </row>
    <row r="40674" spans="1:100">
      <c r="A40674" s="374"/>
      <c r="C40674" s="374"/>
      <c r="CV40674" s="376"/>
    </row>
    <row r="40675" spans="1:100">
      <c r="A40675" s="374"/>
      <c r="C40675" s="374"/>
      <c r="CV40675" s="376"/>
    </row>
    <row r="40676" spans="1:100">
      <c r="A40676" s="374"/>
      <c r="C40676" s="374"/>
      <c r="CV40676" s="376"/>
    </row>
    <row r="40677" spans="1:100">
      <c r="A40677" s="374"/>
      <c r="C40677" s="374"/>
      <c r="CV40677" s="376"/>
    </row>
    <row r="40678" spans="1:100">
      <c r="A40678" s="374"/>
      <c r="C40678" s="374"/>
      <c r="CV40678" s="376"/>
    </row>
    <row r="40679" spans="1:100">
      <c r="A40679" s="374"/>
      <c r="C40679" s="374"/>
      <c r="CV40679" s="376"/>
    </row>
    <row r="40680" spans="1:100">
      <c r="A40680" s="374"/>
      <c r="C40680" s="374"/>
      <c r="CV40680" s="376"/>
    </row>
    <row r="40681" spans="1:100">
      <c r="A40681" s="374"/>
      <c r="C40681" s="374"/>
      <c r="CV40681" s="376"/>
    </row>
    <row r="40682" spans="1:100">
      <c r="A40682" s="374"/>
      <c r="C40682" s="374"/>
      <c r="CV40682" s="376"/>
    </row>
    <row r="40683" spans="1:100">
      <c r="A40683" s="374"/>
      <c r="C40683" s="374"/>
      <c r="CV40683" s="376"/>
    </row>
    <row r="40684" spans="1:100">
      <c r="A40684" s="374"/>
      <c r="C40684" s="374"/>
      <c r="CV40684" s="376"/>
    </row>
    <row r="40685" spans="1:100">
      <c r="A40685" s="374"/>
      <c r="C40685" s="374"/>
      <c r="CV40685" s="376"/>
    </row>
    <row r="40686" spans="1:100">
      <c r="A40686" s="374"/>
      <c r="C40686" s="374"/>
      <c r="CV40686" s="376"/>
    </row>
    <row r="40687" spans="1:100">
      <c r="A40687" s="374"/>
      <c r="C40687" s="374"/>
      <c r="CV40687" s="376"/>
    </row>
    <row r="40688" spans="1:100">
      <c r="A40688" s="374"/>
      <c r="C40688" s="374"/>
      <c r="CV40688" s="376"/>
    </row>
    <row r="40689" spans="1:100">
      <c r="A40689" s="374"/>
      <c r="C40689" s="374"/>
      <c r="CV40689" s="376"/>
    </row>
    <row r="40690" spans="1:100">
      <c r="A40690" s="374"/>
      <c r="C40690" s="374"/>
      <c r="CV40690" s="376"/>
    </row>
    <row r="40691" spans="1:100">
      <c r="A40691" s="374"/>
      <c r="C40691" s="374"/>
      <c r="CV40691" s="376"/>
    </row>
    <row r="40692" spans="1:100">
      <c r="A40692" s="374"/>
      <c r="C40692" s="374"/>
      <c r="CV40692" s="376"/>
    </row>
    <row r="40693" spans="1:100">
      <c r="A40693" s="374"/>
      <c r="C40693" s="374"/>
      <c r="CV40693" s="376"/>
    </row>
    <row r="40694" spans="1:100">
      <c r="A40694" s="374"/>
      <c r="C40694" s="374"/>
      <c r="CV40694" s="376"/>
    </row>
    <row r="40695" spans="1:100">
      <c r="A40695" s="374"/>
      <c r="C40695" s="374"/>
      <c r="CV40695" s="376"/>
    </row>
    <row r="40696" spans="1:100">
      <c r="A40696" s="374"/>
      <c r="C40696" s="374"/>
      <c r="CV40696" s="376"/>
    </row>
    <row r="40697" spans="1:100">
      <c r="A40697" s="374"/>
      <c r="C40697" s="374"/>
      <c r="CV40697" s="376"/>
    </row>
    <row r="40698" spans="1:100">
      <c r="A40698" s="374"/>
      <c r="C40698" s="374"/>
      <c r="CV40698" s="376"/>
    </row>
    <row r="40699" spans="1:100">
      <c r="A40699" s="374"/>
      <c r="C40699" s="374"/>
      <c r="CV40699" s="376"/>
    </row>
    <row r="40700" spans="1:100">
      <c r="A40700" s="374"/>
      <c r="C40700" s="374"/>
      <c r="CV40700" s="376"/>
    </row>
    <row r="40701" spans="1:100">
      <c r="A40701" s="374"/>
      <c r="C40701" s="374"/>
      <c r="CV40701" s="376"/>
    </row>
    <row r="40702" spans="1:100">
      <c r="A40702" s="374"/>
      <c r="C40702" s="374"/>
      <c r="CV40702" s="376"/>
    </row>
    <row r="40703" spans="1:100">
      <c r="A40703" s="374"/>
      <c r="C40703" s="374"/>
      <c r="CV40703" s="376"/>
    </row>
    <row r="40704" spans="1:100">
      <c r="A40704" s="374"/>
      <c r="C40704" s="374"/>
      <c r="CV40704" s="376"/>
    </row>
    <row r="40705" spans="1:100">
      <c r="A40705" s="374"/>
      <c r="C40705" s="374"/>
      <c r="CV40705" s="376"/>
    </row>
    <row r="40706" spans="1:100">
      <c r="A40706" s="374"/>
      <c r="C40706" s="374"/>
      <c r="CV40706" s="376"/>
    </row>
    <row r="40707" spans="1:100">
      <c r="A40707" s="374"/>
      <c r="C40707" s="374"/>
      <c r="CV40707" s="376"/>
    </row>
    <row r="40708" spans="1:100">
      <c r="A40708" s="374"/>
      <c r="C40708" s="374"/>
      <c r="CV40708" s="376"/>
    </row>
    <row r="40709" spans="1:100">
      <c r="A40709" s="374"/>
      <c r="C40709" s="374"/>
      <c r="CV40709" s="376"/>
    </row>
    <row r="40710" spans="1:100">
      <c r="A40710" s="374"/>
      <c r="C40710" s="374"/>
      <c r="CV40710" s="376"/>
    </row>
    <row r="40711" spans="1:100">
      <c r="A40711" s="374"/>
      <c r="C40711" s="374"/>
      <c r="CV40711" s="376"/>
    </row>
    <row r="40712" spans="1:100">
      <c r="A40712" s="374"/>
      <c r="C40712" s="374"/>
      <c r="CV40712" s="376"/>
    </row>
    <row r="40713" spans="1:100">
      <c r="A40713" s="374"/>
      <c r="C40713" s="374"/>
      <c r="CV40713" s="376"/>
    </row>
    <row r="40714" spans="1:100">
      <c r="A40714" s="374"/>
      <c r="C40714" s="374"/>
      <c r="CV40714" s="376"/>
    </row>
    <row r="40715" spans="1:100">
      <c r="A40715" s="374"/>
      <c r="C40715" s="374"/>
      <c r="CV40715" s="376"/>
    </row>
    <row r="40716" spans="1:100">
      <c r="A40716" s="374"/>
      <c r="C40716" s="374"/>
      <c r="CV40716" s="376"/>
    </row>
    <row r="40717" spans="1:100">
      <c r="A40717" s="374"/>
      <c r="C40717" s="374"/>
      <c r="CV40717" s="376"/>
    </row>
    <row r="40718" spans="1:100">
      <c r="A40718" s="374"/>
      <c r="C40718" s="374"/>
      <c r="CV40718" s="376"/>
    </row>
    <row r="40719" spans="1:100">
      <c r="A40719" s="374"/>
      <c r="C40719" s="374"/>
      <c r="CV40719" s="376"/>
    </row>
    <row r="40720" spans="1:100">
      <c r="A40720" s="374"/>
      <c r="C40720" s="374"/>
      <c r="CV40720" s="376"/>
    </row>
    <row r="40721" spans="1:100">
      <c r="A40721" s="374"/>
      <c r="C40721" s="374"/>
      <c r="CV40721" s="376"/>
    </row>
    <row r="40722" spans="1:100">
      <c r="A40722" s="374"/>
      <c r="C40722" s="374"/>
      <c r="CV40722" s="376"/>
    </row>
    <row r="40723" spans="1:100">
      <c r="A40723" s="374"/>
      <c r="C40723" s="374"/>
      <c r="CV40723" s="376"/>
    </row>
    <row r="40724" spans="1:100">
      <c r="A40724" s="374"/>
      <c r="C40724" s="374"/>
      <c r="CV40724" s="376"/>
    </row>
    <row r="40725" spans="1:100">
      <c r="A40725" s="374"/>
      <c r="C40725" s="374"/>
      <c r="CV40725" s="376"/>
    </row>
    <row r="40726" spans="1:100">
      <c r="A40726" s="374"/>
      <c r="C40726" s="374"/>
      <c r="CV40726" s="376"/>
    </row>
    <row r="40727" spans="1:100">
      <c r="A40727" s="374"/>
      <c r="C40727" s="374"/>
      <c r="CV40727" s="376"/>
    </row>
    <row r="40728" spans="1:100">
      <c r="A40728" s="374"/>
      <c r="C40728" s="374"/>
      <c r="CV40728" s="376"/>
    </row>
    <row r="40729" spans="1:100">
      <c r="A40729" s="374"/>
      <c r="C40729" s="374"/>
      <c r="CV40729" s="376"/>
    </row>
    <row r="40730" spans="1:100">
      <c r="A40730" s="374"/>
      <c r="C40730" s="374"/>
      <c r="CV40730" s="376"/>
    </row>
    <row r="40731" spans="1:100">
      <c r="A40731" s="374"/>
      <c r="C40731" s="374"/>
      <c r="CV40731" s="376"/>
    </row>
    <row r="40732" spans="1:100">
      <c r="A40732" s="374"/>
      <c r="C40732" s="374"/>
      <c r="CV40732" s="376"/>
    </row>
    <row r="40733" spans="1:100">
      <c r="A40733" s="374"/>
      <c r="C40733" s="374"/>
      <c r="CV40733" s="376"/>
    </row>
    <row r="40734" spans="1:100">
      <c r="A40734" s="374"/>
      <c r="C40734" s="374"/>
      <c r="CV40734" s="376"/>
    </row>
    <row r="40735" spans="1:100">
      <c r="A40735" s="374"/>
      <c r="C40735" s="374"/>
      <c r="CV40735" s="376"/>
    </row>
    <row r="40736" spans="1:100">
      <c r="A40736" s="374"/>
      <c r="C40736" s="374"/>
      <c r="CV40736" s="376"/>
    </row>
    <row r="40737" spans="1:100">
      <c r="A40737" s="374"/>
      <c r="C40737" s="374"/>
      <c r="CV40737" s="376"/>
    </row>
    <row r="40738" spans="1:100">
      <c r="A40738" s="374"/>
      <c r="C40738" s="374"/>
      <c r="CV40738" s="376"/>
    </row>
    <row r="40739" spans="1:100">
      <c r="A40739" s="374"/>
      <c r="C40739" s="374"/>
      <c r="CV40739" s="376"/>
    </row>
    <row r="40740" spans="1:100">
      <c r="A40740" s="374"/>
      <c r="C40740" s="374"/>
      <c r="CV40740" s="376"/>
    </row>
    <row r="40741" spans="1:100">
      <c r="A40741" s="374"/>
      <c r="C40741" s="374"/>
      <c r="CV40741" s="376"/>
    </row>
    <row r="40742" spans="1:100">
      <c r="A40742" s="374"/>
      <c r="C40742" s="374"/>
      <c r="CV40742" s="376"/>
    </row>
    <row r="40743" spans="1:100">
      <c r="A40743" s="374"/>
      <c r="C40743" s="374"/>
      <c r="CV40743" s="376"/>
    </row>
    <row r="40744" spans="1:100">
      <c r="A40744" s="374"/>
      <c r="C40744" s="374"/>
      <c r="CV40744" s="376"/>
    </row>
    <row r="40745" spans="1:100">
      <c r="A40745" s="374"/>
      <c r="C40745" s="374"/>
      <c r="CV40745" s="376"/>
    </row>
    <row r="40746" spans="1:100">
      <c r="A40746" s="374"/>
      <c r="C40746" s="374"/>
      <c r="CV40746" s="376"/>
    </row>
    <row r="40747" spans="1:100">
      <c r="A40747" s="374"/>
      <c r="C40747" s="374"/>
      <c r="CV40747" s="376"/>
    </row>
    <row r="40748" spans="1:100">
      <c r="A40748" s="374"/>
      <c r="C40748" s="374"/>
      <c r="CV40748" s="376"/>
    </row>
    <row r="40749" spans="1:100">
      <c r="A40749" s="374"/>
      <c r="C40749" s="374"/>
      <c r="CV40749" s="376"/>
    </row>
    <row r="40750" spans="1:100">
      <c r="A40750" s="374"/>
      <c r="C40750" s="374"/>
      <c r="CV40750" s="376"/>
    </row>
    <row r="40751" spans="1:100">
      <c r="A40751" s="374"/>
      <c r="C40751" s="374"/>
      <c r="CV40751" s="376"/>
    </row>
    <row r="40752" spans="1:100">
      <c r="A40752" s="374"/>
      <c r="C40752" s="374"/>
      <c r="CV40752" s="376"/>
    </row>
    <row r="40753" spans="1:100">
      <c r="A40753" s="374"/>
      <c r="C40753" s="374"/>
      <c r="CV40753" s="376"/>
    </row>
    <row r="40754" spans="1:100">
      <c r="A40754" s="374"/>
      <c r="C40754" s="374"/>
      <c r="CV40754" s="376"/>
    </row>
    <row r="40755" spans="1:100">
      <c r="A40755" s="374"/>
      <c r="C40755" s="374"/>
      <c r="CV40755" s="376"/>
    </row>
    <row r="40756" spans="1:100">
      <c r="A40756" s="374"/>
      <c r="C40756" s="374"/>
      <c r="CV40756" s="376"/>
    </row>
    <row r="40757" spans="1:100">
      <c r="A40757" s="374"/>
      <c r="C40757" s="374"/>
      <c r="CV40757" s="376"/>
    </row>
    <row r="40758" spans="1:100">
      <c r="A40758" s="374"/>
      <c r="C40758" s="374"/>
      <c r="CV40758" s="376"/>
    </row>
    <row r="40759" spans="1:100">
      <c r="A40759" s="374"/>
      <c r="C40759" s="374"/>
      <c r="CV40759" s="376"/>
    </row>
    <row r="40760" spans="1:100">
      <c r="A40760" s="374"/>
      <c r="C40760" s="374"/>
      <c r="CV40760" s="376"/>
    </row>
    <row r="40761" spans="1:100">
      <c r="A40761" s="374"/>
      <c r="C40761" s="374"/>
      <c r="CV40761" s="376"/>
    </row>
    <row r="40762" spans="1:100">
      <c r="A40762" s="374"/>
      <c r="C40762" s="374"/>
      <c r="CV40762" s="376"/>
    </row>
    <row r="40763" spans="1:100">
      <c r="A40763" s="374"/>
      <c r="C40763" s="374"/>
      <c r="CV40763" s="376"/>
    </row>
    <row r="40764" spans="1:100">
      <c r="A40764" s="374"/>
      <c r="C40764" s="374"/>
      <c r="CV40764" s="376"/>
    </row>
    <row r="40765" spans="1:100">
      <c r="A40765" s="374"/>
      <c r="C40765" s="374"/>
      <c r="CV40765" s="376"/>
    </row>
    <row r="40766" spans="1:100">
      <c r="A40766" s="374"/>
      <c r="C40766" s="374"/>
      <c r="CV40766" s="376"/>
    </row>
    <row r="40767" spans="1:100">
      <c r="A40767" s="374"/>
      <c r="C40767" s="374"/>
      <c r="CV40767" s="376"/>
    </row>
    <row r="40768" spans="1:100">
      <c r="A40768" s="374"/>
      <c r="C40768" s="374"/>
      <c r="CV40768" s="376"/>
    </row>
    <row r="40769" spans="1:100">
      <c r="A40769" s="374"/>
      <c r="C40769" s="374"/>
      <c r="CV40769" s="376"/>
    </row>
    <row r="40770" spans="1:100">
      <c r="A40770" s="374"/>
      <c r="C40770" s="374"/>
      <c r="CV40770" s="376"/>
    </row>
    <row r="40771" spans="1:100">
      <c r="A40771" s="374"/>
      <c r="C40771" s="374"/>
      <c r="CV40771" s="376"/>
    </row>
    <row r="40772" spans="1:100">
      <c r="A40772" s="374"/>
      <c r="C40772" s="374"/>
      <c r="CV40772" s="376"/>
    </row>
    <row r="40773" spans="1:100">
      <c r="A40773" s="374"/>
      <c r="C40773" s="374"/>
      <c r="CV40773" s="376"/>
    </row>
    <row r="40774" spans="1:100">
      <c r="A40774" s="374"/>
      <c r="C40774" s="374"/>
      <c r="CV40774" s="376"/>
    </row>
    <row r="40775" spans="1:100">
      <c r="A40775" s="374"/>
      <c r="C40775" s="374"/>
      <c r="CV40775" s="376"/>
    </row>
    <row r="40776" spans="1:100">
      <c r="A40776" s="374"/>
      <c r="C40776" s="374"/>
      <c r="CV40776" s="376"/>
    </row>
    <row r="40777" spans="1:100">
      <c r="A40777" s="374"/>
      <c r="C40777" s="374"/>
      <c r="CV40777" s="376"/>
    </row>
    <row r="40778" spans="1:100">
      <c r="A40778" s="374"/>
      <c r="C40778" s="374"/>
      <c r="CV40778" s="376"/>
    </row>
    <row r="40779" spans="1:100">
      <c r="A40779" s="374"/>
      <c r="C40779" s="374"/>
      <c r="CV40779" s="376"/>
    </row>
    <row r="40780" spans="1:100">
      <c r="A40780" s="374"/>
      <c r="C40780" s="374"/>
      <c r="CV40780" s="376"/>
    </row>
    <row r="40781" spans="1:100">
      <c r="A40781" s="374"/>
      <c r="C40781" s="374"/>
      <c r="CV40781" s="376"/>
    </row>
    <row r="40782" spans="1:100">
      <c r="A40782" s="374"/>
      <c r="C40782" s="374"/>
      <c r="CV40782" s="376"/>
    </row>
    <row r="40783" spans="1:100">
      <c r="A40783" s="374"/>
      <c r="C40783" s="374"/>
      <c r="CV40783" s="376"/>
    </row>
    <row r="40784" spans="1:100">
      <c r="A40784" s="374"/>
      <c r="C40784" s="374"/>
      <c r="CV40784" s="376"/>
    </row>
    <row r="40785" spans="1:100">
      <c r="A40785" s="374"/>
      <c r="C40785" s="374"/>
      <c r="CV40785" s="376"/>
    </row>
    <row r="40786" spans="1:100">
      <c r="A40786" s="374"/>
      <c r="C40786" s="374"/>
      <c r="CV40786" s="376"/>
    </row>
    <row r="40787" spans="1:100">
      <c r="A40787" s="374"/>
      <c r="C40787" s="374"/>
      <c r="CV40787" s="376"/>
    </row>
    <row r="40788" spans="1:100">
      <c r="A40788" s="374"/>
      <c r="C40788" s="374"/>
      <c r="CV40788" s="376"/>
    </row>
    <row r="40789" spans="1:100">
      <c r="A40789" s="374"/>
      <c r="C40789" s="374"/>
      <c r="CV40789" s="376"/>
    </row>
    <row r="40790" spans="1:100">
      <c r="A40790" s="374"/>
      <c r="C40790" s="374"/>
      <c r="CV40790" s="376"/>
    </row>
    <row r="40791" spans="1:100">
      <c r="A40791" s="374"/>
      <c r="C40791" s="374"/>
      <c r="CV40791" s="376"/>
    </row>
    <row r="40792" spans="1:100">
      <c r="A40792" s="374"/>
      <c r="C40792" s="374"/>
      <c r="CV40792" s="376"/>
    </row>
    <row r="40793" spans="1:100">
      <c r="A40793" s="374"/>
      <c r="C40793" s="374"/>
      <c r="CV40793" s="376"/>
    </row>
    <row r="40794" spans="1:100">
      <c r="A40794" s="374"/>
      <c r="C40794" s="374"/>
      <c r="CV40794" s="376"/>
    </row>
    <row r="40795" spans="1:100">
      <c r="A40795" s="374"/>
      <c r="C40795" s="374"/>
      <c r="CV40795" s="376"/>
    </row>
    <row r="40796" spans="1:100">
      <c r="A40796" s="374"/>
      <c r="C40796" s="374"/>
      <c r="CV40796" s="376"/>
    </row>
    <row r="40797" spans="1:100">
      <c r="A40797" s="374"/>
      <c r="C40797" s="374"/>
      <c r="CV40797" s="376"/>
    </row>
    <row r="40798" spans="1:100">
      <c r="A40798" s="374"/>
      <c r="C40798" s="374"/>
      <c r="CV40798" s="376"/>
    </row>
    <row r="40799" spans="1:100">
      <c r="A40799" s="374"/>
      <c r="C40799" s="374"/>
      <c r="CV40799" s="376"/>
    </row>
    <row r="40800" spans="1:100">
      <c r="A40800" s="374"/>
      <c r="C40800" s="374"/>
      <c r="CV40800" s="376"/>
    </row>
    <row r="40801" spans="1:100">
      <c r="A40801" s="374"/>
      <c r="C40801" s="374"/>
      <c r="CV40801" s="376"/>
    </row>
    <row r="40802" spans="1:100">
      <c r="A40802" s="374"/>
      <c r="C40802" s="374"/>
      <c r="CV40802" s="376"/>
    </row>
    <row r="40803" spans="1:100">
      <c r="A40803" s="374"/>
      <c r="C40803" s="374"/>
      <c r="CV40803" s="376"/>
    </row>
    <row r="40804" spans="1:100">
      <c r="A40804" s="374"/>
      <c r="C40804" s="374"/>
      <c r="CV40804" s="376"/>
    </row>
    <row r="40805" spans="1:100">
      <c r="A40805" s="374"/>
      <c r="C40805" s="374"/>
      <c r="CV40805" s="376"/>
    </row>
    <row r="40806" spans="1:100">
      <c r="A40806" s="374"/>
      <c r="C40806" s="374"/>
      <c r="CV40806" s="376"/>
    </row>
    <row r="40807" spans="1:100">
      <c r="A40807" s="374"/>
      <c r="C40807" s="374"/>
      <c r="CV40807" s="376"/>
    </row>
    <row r="40808" spans="1:100">
      <c r="A40808" s="374"/>
      <c r="C40808" s="374"/>
      <c r="CV40808" s="376"/>
    </row>
    <row r="40809" spans="1:100">
      <c r="A40809" s="374"/>
      <c r="C40809" s="374"/>
      <c r="CV40809" s="376"/>
    </row>
    <row r="40810" spans="1:100">
      <c r="A40810" s="374"/>
      <c r="C40810" s="374"/>
      <c r="CV40810" s="376"/>
    </row>
    <row r="40811" spans="1:100">
      <c r="A40811" s="374"/>
      <c r="C40811" s="374"/>
      <c r="CV40811" s="376"/>
    </row>
    <row r="40812" spans="1:100">
      <c r="A40812" s="374"/>
      <c r="C40812" s="374"/>
      <c r="CV40812" s="376"/>
    </row>
    <row r="40813" spans="1:100">
      <c r="A40813" s="374"/>
      <c r="C40813" s="374"/>
      <c r="CV40813" s="376"/>
    </row>
    <row r="40814" spans="1:100">
      <c r="A40814" s="374"/>
      <c r="C40814" s="374"/>
      <c r="CV40814" s="376"/>
    </row>
    <row r="40815" spans="1:100">
      <c r="A40815" s="374"/>
      <c r="C40815" s="374"/>
      <c r="CV40815" s="376"/>
    </row>
    <row r="40816" spans="1:100">
      <c r="A40816" s="374"/>
      <c r="C40816" s="374"/>
      <c r="CV40816" s="376"/>
    </row>
    <row r="40817" spans="1:100">
      <c r="A40817" s="374"/>
      <c r="C40817" s="374"/>
      <c r="CV40817" s="376"/>
    </row>
    <row r="40818" spans="1:100">
      <c r="A40818" s="374"/>
      <c r="C40818" s="374"/>
      <c r="CV40818" s="376"/>
    </row>
    <row r="40819" spans="1:100">
      <c r="A40819" s="374"/>
      <c r="C40819" s="374"/>
      <c r="CV40819" s="376"/>
    </row>
    <row r="40820" spans="1:100">
      <c r="A40820" s="374"/>
      <c r="C40820" s="374"/>
      <c r="CV40820" s="376"/>
    </row>
    <row r="40821" spans="1:100">
      <c r="A40821" s="374"/>
      <c r="C40821" s="374"/>
      <c r="CV40821" s="376"/>
    </row>
    <row r="40822" spans="1:100">
      <c r="A40822" s="374"/>
      <c r="C40822" s="374"/>
      <c r="CV40822" s="376"/>
    </row>
    <row r="40823" spans="1:100">
      <c r="A40823" s="374"/>
      <c r="C40823" s="374"/>
      <c r="CV40823" s="376"/>
    </row>
    <row r="40824" spans="1:100">
      <c r="A40824" s="374"/>
      <c r="C40824" s="374"/>
      <c r="CV40824" s="376"/>
    </row>
    <row r="40825" spans="1:100">
      <c r="A40825" s="374"/>
      <c r="C40825" s="374"/>
      <c r="CV40825" s="376"/>
    </row>
    <row r="40826" spans="1:100">
      <c r="A40826" s="374"/>
      <c r="C40826" s="374"/>
      <c r="CV40826" s="376"/>
    </row>
    <row r="40827" spans="1:100">
      <c r="A40827" s="374"/>
      <c r="C40827" s="374"/>
      <c r="CV40827" s="376"/>
    </row>
    <row r="40828" spans="1:100">
      <c r="A40828" s="374"/>
      <c r="C40828" s="374"/>
      <c r="CV40828" s="376"/>
    </row>
    <row r="40829" spans="1:100">
      <c r="A40829" s="374"/>
      <c r="C40829" s="374"/>
      <c r="CV40829" s="376"/>
    </row>
    <row r="40830" spans="1:100">
      <c r="A40830" s="374"/>
      <c r="C40830" s="374"/>
      <c r="CV40830" s="376"/>
    </row>
    <row r="40831" spans="1:100">
      <c r="A40831" s="374"/>
      <c r="C40831" s="374"/>
      <c r="CV40831" s="376"/>
    </row>
    <row r="40832" spans="1:100">
      <c r="A40832" s="374"/>
      <c r="C40832" s="374"/>
      <c r="CV40832" s="376"/>
    </row>
    <row r="40833" spans="1:100">
      <c r="A40833" s="374"/>
      <c r="C40833" s="374"/>
      <c r="CV40833" s="376"/>
    </row>
    <row r="40834" spans="1:100">
      <c r="A40834" s="374"/>
      <c r="C40834" s="374"/>
      <c r="CV40834" s="376"/>
    </row>
    <row r="40835" spans="1:100">
      <c r="A40835" s="374"/>
      <c r="C40835" s="374"/>
      <c r="CV40835" s="376"/>
    </row>
    <row r="40836" spans="1:100">
      <c r="A40836" s="374"/>
      <c r="C40836" s="374"/>
      <c r="CV40836" s="376"/>
    </row>
    <row r="40837" spans="1:100">
      <c r="A40837" s="374"/>
      <c r="C40837" s="374"/>
      <c r="CV40837" s="376"/>
    </row>
    <row r="40838" spans="1:100">
      <c r="A40838" s="374"/>
      <c r="C40838" s="374"/>
      <c r="CV40838" s="376"/>
    </row>
    <row r="40839" spans="1:100">
      <c r="A40839" s="374"/>
      <c r="C40839" s="374"/>
      <c r="CV40839" s="376"/>
    </row>
    <row r="40840" spans="1:100">
      <c r="A40840" s="374"/>
      <c r="C40840" s="374"/>
      <c r="CV40840" s="376"/>
    </row>
    <row r="40841" spans="1:100">
      <c r="A40841" s="374"/>
      <c r="C40841" s="374"/>
      <c r="CV40841" s="376"/>
    </row>
    <row r="40842" spans="1:100">
      <c r="A40842" s="374"/>
      <c r="C40842" s="374"/>
      <c r="CV40842" s="376"/>
    </row>
    <row r="40843" spans="1:100">
      <c r="A40843" s="374"/>
      <c r="C40843" s="374"/>
      <c r="CV40843" s="376"/>
    </row>
    <row r="40844" spans="1:100">
      <c r="A40844" s="374"/>
      <c r="C40844" s="374"/>
      <c r="CV40844" s="376"/>
    </row>
    <row r="40845" spans="1:100">
      <c r="A40845" s="374"/>
      <c r="C40845" s="374"/>
      <c r="CV40845" s="376"/>
    </row>
    <row r="40846" spans="1:100">
      <c r="A40846" s="374"/>
      <c r="C40846" s="374"/>
      <c r="CV40846" s="376"/>
    </row>
    <row r="40847" spans="1:100">
      <c r="A40847" s="374"/>
      <c r="C40847" s="374"/>
      <c r="CV40847" s="376"/>
    </row>
    <row r="40848" spans="1:100">
      <c r="A40848" s="374"/>
      <c r="C40848" s="374"/>
      <c r="CV40848" s="376"/>
    </row>
    <row r="40849" spans="1:100">
      <c r="A40849" s="374"/>
      <c r="C40849" s="374"/>
      <c r="CV40849" s="376"/>
    </row>
    <row r="40850" spans="1:100">
      <c r="A40850" s="374"/>
      <c r="C40850" s="374"/>
      <c r="CV40850" s="376"/>
    </row>
    <row r="40851" spans="1:100">
      <c r="A40851" s="374"/>
      <c r="C40851" s="374"/>
      <c r="CV40851" s="376"/>
    </row>
    <row r="40852" spans="1:100">
      <c r="A40852" s="374"/>
      <c r="C40852" s="374"/>
      <c r="CV40852" s="376"/>
    </row>
    <row r="40853" spans="1:100">
      <c r="A40853" s="374"/>
      <c r="C40853" s="374"/>
      <c r="CV40853" s="376"/>
    </row>
    <row r="40854" spans="1:100">
      <c r="A40854" s="374"/>
      <c r="C40854" s="374"/>
      <c r="CV40854" s="376"/>
    </row>
    <row r="40855" spans="1:100">
      <c r="A40855" s="374"/>
      <c r="C40855" s="374"/>
      <c r="CV40855" s="376"/>
    </row>
    <row r="40856" spans="1:100">
      <c r="A40856" s="374"/>
      <c r="C40856" s="374"/>
      <c r="CV40856" s="376"/>
    </row>
    <row r="40857" spans="1:100">
      <c r="A40857" s="374"/>
      <c r="C40857" s="374"/>
      <c r="CV40857" s="376"/>
    </row>
    <row r="40858" spans="1:100">
      <c r="A40858" s="374"/>
      <c r="C40858" s="374"/>
      <c r="CV40858" s="376"/>
    </row>
    <row r="40859" spans="1:100">
      <c r="A40859" s="374"/>
      <c r="C40859" s="374"/>
      <c r="CV40859" s="376"/>
    </row>
    <row r="40860" spans="1:100">
      <c r="A40860" s="374"/>
      <c r="C40860" s="374"/>
      <c r="CV40860" s="376"/>
    </row>
    <row r="40861" spans="1:100">
      <c r="A40861" s="374"/>
      <c r="C40861" s="374"/>
      <c r="CV40861" s="376"/>
    </row>
    <row r="40862" spans="1:100">
      <c r="A40862" s="374"/>
      <c r="C40862" s="374"/>
      <c r="CV40862" s="376"/>
    </row>
    <row r="40863" spans="1:100">
      <c r="A40863" s="374"/>
      <c r="C40863" s="374"/>
      <c r="CV40863" s="376"/>
    </row>
    <row r="40864" spans="1:100">
      <c r="A40864" s="374"/>
      <c r="C40864" s="374"/>
      <c r="CV40864" s="376"/>
    </row>
    <row r="40865" spans="1:100">
      <c r="A40865" s="374"/>
      <c r="C40865" s="374"/>
      <c r="CV40865" s="376"/>
    </row>
    <row r="40866" spans="1:100">
      <c r="A40866" s="374"/>
      <c r="C40866" s="374"/>
      <c r="CV40866" s="376"/>
    </row>
    <row r="40867" spans="1:100">
      <c r="A40867" s="374"/>
      <c r="C40867" s="374"/>
      <c r="CV40867" s="376"/>
    </row>
    <row r="40868" spans="1:100">
      <c r="A40868" s="374"/>
      <c r="C40868" s="374"/>
      <c r="CV40868" s="376"/>
    </row>
    <row r="40869" spans="1:100">
      <c r="A40869" s="374"/>
      <c r="C40869" s="374"/>
      <c r="CV40869" s="376"/>
    </row>
    <row r="40870" spans="1:100">
      <c r="A40870" s="374"/>
      <c r="C40870" s="374"/>
      <c r="CV40870" s="376"/>
    </row>
    <row r="40871" spans="1:100">
      <c r="A40871" s="374"/>
      <c r="C40871" s="374"/>
      <c r="CV40871" s="376"/>
    </row>
    <row r="40872" spans="1:100">
      <c r="A40872" s="374"/>
      <c r="C40872" s="374"/>
      <c r="CV40872" s="376"/>
    </row>
    <row r="40873" spans="1:100">
      <c r="A40873" s="374"/>
      <c r="C40873" s="374"/>
      <c r="CV40873" s="376"/>
    </row>
    <row r="40874" spans="1:100">
      <c r="A40874" s="374"/>
      <c r="C40874" s="374"/>
      <c r="CV40874" s="376"/>
    </row>
    <row r="40875" spans="1:100">
      <c r="A40875" s="374"/>
      <c r="C40875" s="374"/>
      <c r="CV40875" s="376"/>
    </row>
    <row r="40876" spans="1:100">
      <c r="A40876" s="374"/>
      <c r="C40876" s="374"/>
      <c r="CV40876" s="376"/>
    </row>
    <row r="40877" spans="1:100">
      <c r="A40877" s="374"/>
      <c r="C40877" s="374"/>
      <c r="CV40877" s="376"/>
    </row>
    <row r="40878" spans="1:100">
      <c r="A40878" s="374"/>
      <c r="C40878" s="374"/>
      <c r="CV40878" s="376"/>
    </row>
    <row r="40879" spans="1:100">
      <c r="A40879" s="374"/>
      <c r="C40879" s="374"/>
      <c r="CV40879" s="376"/>
    </row>
    <row r="40880" spans="1:100">
      <c r="A40880" s="374"/>
      <c r="C40880" s="374"/>
      <c r="CV40880" s="376"/>
    </row>
    <row r="40881" spans="1:100">
      <c r="A40881" s="374"/>
      <c r="C40881" s="374"/>
      <c r="CV40881" s="376"/>
    </row>
    <row r="40882" spans="1:100">
      <c r="A40882" s="374"/>
      <c r="C40882" s="374"/>
      <c r="CV40882" s="376"/>
    </row>
    <row r="40883" spans="1:100">
      <c r="A40883" s="374"/>
      <c r="C40883" s="374"/>
      <c r="CV40883" s="376"/>
    </row>
    <row r="40884" spans="1:100">
      <c r="A40884" s="374"/>
      <c r="C40884" s="374"/>
      <c r="CV40884" s="376"/>
    </row>
    <row r="40885" spans="1:100">
      <c r="A40885" s="374"/>
      <c r="C40885" s="374"/>
      <c r="CV40885" s="376"/>
    </row>
    <row r="40886" spans="1:100">
      <c r="A40886" s="374"/>
      <c r="C40886" s="374"/>
      <c r="CV40886" s="376"/>
    </row>
    <row r="40887" spans="1:100">
      <c r="A40887" s="374"/>
      <c r="C40887" s="374"/>
      <c r="CV40887" s="376"/>
    </row>
    <row r="40888" spans="1:100">
      <c r="A40888" s="374"/>
      <c r="C40888" s="374"/>
      <c r="CV40888" s="376"/>
    </row>
    <row r="40889" spans="1:100">
      <c r="A40889" s="374"/>
      <c r="C40889" s="374"/>
      <c r="CV40889" s="376"/>
    </row>
    <row r="40890" spans="1:100">
      <c r="A40890" s="374"/>
      <c r="C40890" s="374"/>
      <c r="CV40890" s="376"/>
    </row>
    <row r="40891" spans="1:100">
      <c r="A40891" s="374"/>
      <c r="C40891" s="374"/>
      <c r="CV40891" s="376"/>
    </row>
    <row r="40892" spans="1:100">
      <c r="A40892" s="374"/>
      <c r="C40892" s="374"/>
      <c r="CV40892" s="376"/>
    </row>
    <row r="40893" spans="1:100">
      <c r="A40893" s="374"/>
      <c r="C40893" s="374"/>
      <c r="CV40893" s="376"/>
    </row>
    <row r="40894" spans="1:100">
      <c r="A40894" s="374"/>
      <c r="C40894" s="374"/>
      <c r="CV40894" s="376"/>
    </row>
    <row r="40895" spans="1:100">
      <c r="A40895" s="374"/>
      <c r="C40895" s="374"/>
      <c r="CV40895" s="376"/>
    </row>
    <row r="40896" spans="1:100">
      <c r="A40896" s="374"/>
      <c r="C40896" s="374"/>
      <c r="CV40896" s="376"/>
    </row>
    <row r="40897" spans="1:100">
      <c r="A40897" s="374"/>
      <c r="C40897" s="374"/>
      <c r="CV40897" s="376"/>
    </row>
    <row r="40898" spans="1:100">
      <c r="A40898" s="374"/>
      <c r="C40898" s="374"/>
      <c r="CV40898" s="376"/>
    </row>
    <row r="40899" spans="1:100">
      <c r="A40899" s="374"/>
      <c r="C40899" s="374"/>
      <c r="CV40899" s="376"/>
    </row>
    <row r="40900" spans="1:100">
      <c r="A40900" s="374"/>
      <c r="C40900" s="374"/>
      <c r="CV40900" s="376"/>
    </row>
    <row r="40901" spans="1:100">
      <c r="A40901" s="374"/>
      <c r="C40901" s="374"/>
      <c r="CV40901" s="376"/>
    </row>
    <row r="40902" spans="1:100">
      <c r="A40902" s="374"/>
      <c r="C40902" s="374"/>
      <c r="CV40902" s="376"/>
    </row>
    <row r="40903" spans="1:100">
      <c r="A40903" s="374"/>
      <c r="C40903" s="374"/>
      <c r="CV40903" s="376"/>
    </row>
    <row r="40904" spans="1:100">
      <c r="A40904" s="374"/>
      <c r="C40904" s="374"/>
      <c r="CV40904" s="376"/>
    </row>
    <row r="40905" spans="1:100">
      <c r="A40905" s="374"/>
      <c r="C40905" s="374"/>
      <c r="CV40905" s="376"/>
    </row>
    <row r="40906" spans="1:100">
      <c r="A40906" s="374"/>
      <c r="C40906" s="374"/>
      <c r="CV40906" s="376"/>
    </row>
    <row r="40907" spans="1:100">
      <c r="A40907" s="374"/>
      <c r="C40907" s="374"/>
      <c r="CV40907" s="376"/>
    </row>
    <row r="40908" spans="1:100">
      <c r="A40908" s="374"/>
      <c r="C40908" s="374"/>
      <c r="CV40908" s="376"/>
    </row>
    <row r="40909" spans="1:100">
      <c r="A40909" s="374"/>
      <c r="C40909" s="374"/>
      <c r="CV40909" s="376"/>
    </row>
    <row r="40910" spans="1:100">
      <c r="A40910" s="374"/>
      <c r="C40910" s="374"/>
      <c r="CV40910" s="376"/>
    </row>
    <row r="40911" spans="1:100">
      <c r="A40911" s="374"/>
      <c r="C40911" s="374"/>
      <c r="CV40911" s="376"/>
    </row>
    <row r="40912" spans="1:100">
      <c r="A40912" s="374"/>
      <c r="C40912" s="374"/>
      <c r="CV40912" s="376"/>
    </row>
    <row r="40913" spans="1:100">
      <c r="A40913" s="374"/>
      <c r="C40913" s="374"/>
      <c r="CV40913" s="376"/>
    </row>
    <row r="40914" spans="1:100">
      <c r="A40914" s="374"/>
      <c r="C40914" s="374"/>
      <c r="CV40914" s="376"/>
    </row>
    <row r="40915" spans="1:100">
      <c r="A40915" s="374"/>
      <c r="C40915" s="374"/>
      <c r="CV40915" s="376"/>
    </row>
    <row r="40916" spans="1:100">
      <c r="A40916" s="374"/>
      <c r="C40916" s="374"/>
      <c r="CV40916" s="376"/>
    </row>
    <row r="40917" spans="1:100">
      <c r="A40917" s="374"/>
      <c r="C40917" s="374"/>
      <c r="CV40917" s="376"/>
    </row>
    <row r="40918" spans="1:100">
      <c r="A40918" s="374"/>
      <c r="C40918" s="374"/>
      <c r="CV40918" s="376"/>
    </row>
    <row r="40919" spans="1:100">
      <c r="A40919" s="374"/>
      <c r="C40919" s="374"/>
      <c r="CV40919" s="376"/>
    </row>
    <row r="40920" spans="1:100">
      <c r="A40920" s="374"/>
      <c r="C40920" s="374"/>
      <c r="CV40920" s="376"/>
    </row>
    <row r="40921" spans="1:100">
      <c r="A40921" s="374"/>
      <c r="C40921" s="374"/>
      <c r="CV40921" s="376"/>
    </row>
    <row r="40922" spans="1:100">
      <c r="A40922" s="374"/>
      <c r="C40922" s="374"/>
      <c r="CV40922" s="376"/>
    </row>
    <row r="40923" spans="1:100">
      <c r="A40923" s="374"/>
      <c r="C40923" s="374"/>
      <c r="CV40923" s="376"/>
    </row>
    <row r="40924" spans="1:100">
      <c r="A40924" s="374"/>
      <c r="C40924" s="374"/>
      <c r="CV40924" s="376"/>
    </row>
    <row r="40925" spans="1:100">
      <c r="A40925" s="374"/>
      <c r="C40925" s="374"/>
      <c r="CV40925" s="376"/>
    </row>
    <row r="40926" spans="1:100">
      <c r="A40926" s="374"/>
      <c r="C40926" s="374"/>
      <c r="CV40926" s="376"/>
    </row>
    <row r="40927" spans="1:100">
      <c r="A40927" s="374"/>
      <c r="C40927" s="374"/>
      <c r="CV40927" s="376"/>
    </row>
    <row r="40928" spans="1:100">
      <c r="A40928" s="374"/>
      <c r="C40928" s="374"/>
      <c r="CV40928" s="376"/>
    </row>
    <row r="40929" spans="1:100">
      <c r="A40929" s="374"/>
      <c r="C40929" s="374"/>
      <c r="CV40929" s="376"/>
    </row>
    <row r="40930" spans="1:100">
      <c r="A40930" s="374"/>
      <c r="C40930" s="374"/>
      <c r="CV40930" s="376"/>
    </row>
    <row r="40931" spans="1:100">
      <c r="A40931" s="374"/>
      <c r="C40931" s="374"/>
      <c r="CV40931" s="376"/>
    </row>
    <row r="40932" spans="1:100">
      <c r="A40932" s="374"/>
      <c r="C40932" s="374"/>
      <c r="CV40932" s="376"/>
    </row>
    <row r="40933" spans="1:100">
      <c r="A40933" s="374"/>
      <c r="C40933" s="374"/>
      <c r="CV40933" s="376"/>
    </row>
    <row r="40934" spans="1:100">
      <c r="A40934" s="374"/>
      <c r="C40934" s="374"/>
      <c r="CV40934" s="376"/>
    </row>
    <row r="40935" spans="1:100">
      <c r="A40935" s="374"/>
      <c r="C40935" s="374"/>
      <c r="CV40935" s="376"/>
    </row>
    <row r="40936" spans="1:100">
      <c r="A40936" s="374"/>
      <c r="C40936" s="374"/>
      <c r="CV40936" s="376"/>
    </row>
    <row r="40937" spans="1:100">
      <c r="A40937" s="374"/>
      <c r="C40937" s="374"/>
      <c r="CV40937" s="376"/>
    </row>
    <row r="40938" spans="1:100">
      <c r="A40938" s="374"/>
      <c r="C40938" s="374"/>
      <c r="CV40938" s="376"/>
    </row>
    <row r="40939" spans="1:100">
      <c r="A40939" s="374"/>
      <c r="C40939" s="374"/>
      <c r="CV40939" s="376"/>
    </row>
    <row r="40940" spans="1:100">
      <c r="A40940" s="374"/>
      <c r="C40940" s="374"/>
      <c r="CV40940" s="376"/>
    </row>
    <row r="40941" spans="1:100">
      <c r="A40941" s="374"/>
      <c r="C40941" s="374"/>
      <c r="CV40941" s="376"/>
    </row>
    <row r="40942" spans="1:100">
      <c r="A40942" s="374"/>
      <c r="C40942" s="374"/>
      <c r="CV40942" s="376"/>
    </row>
    <row r="40943" spans="1:100">
      <c r="A40943" s="374"/>
      <c r="C40943" s="374"/>
      <c r="CV40943" s="376"/>
    </row>
    <row r="40944" spans="1:100">
      <c r="A40944" s="374"/>
      <c r="C40944" s="374"/>
      <c r="CV40944" s="376"/>
    </row>
    <row r="40945" spans="1:100">
      <c r="A40945" s="374"/>
      <c r="C40945" s="374"/>
      <c r="CV40945" s="376"/>
    </row>
    <row r="40946" spans="1:100">
      <c r="A40946" s="374"/>
      <c r="C40946" s="374"/>
      <c r="CV40946" s="376"/>
    </row>
    <row r="40947" spans="1:100">
      <c r="A40947" s="374"/>
      <c r="C40947" s="374"/>
      <c r="CV40947" s="376"/>
    </row>
    <row r="40948" spans="1:100">
      <c r="A40948" s="374"/>
      <c r="C40948" s="374"/>
      <c r="CV40948" s="376"/>
    </row>
    <row r="40949" spans="1:100">
      <c r="A40949" s="374"/>
      <c r="C40949" s="374"/>
      <c r="CV40949" s="376"/>
    </row>
    <row r="40950" spans="1:100">
      <c r="A40950" s="374"/>
      <c r="C40950" s="374"/>
      <c r="CV40950" s="376"/>
    </row>
    <row r="40951" spans="1:100">
      <c r="A40951" s="374"/>
      <c r="C40951" s="374"/>
      <c r="CV40951" s="376"/>
    </row>
    <row r="40952" spans="1:100">
      <c r="A40952" s="374"/>
      <c r="C40952" s="374"/>
      <c r="CV40952" s="376"/>
    </row>
    <row r="40953" spans="1:100">
      <c r="A40953" s="374"/>
      <c r="C40953" s="374"/>
      <c r="CV40953" s="376"/>
    </row>
    <row r="40954" spans="1:100">
      <c r="A40954" s="374"/>
      <c r="C40954" s="374"/>
      <c r="CV40954" s="376"/>
    </row>
    <row r="40955" spans="1:100">
      <c r="A40955" s="374"/>
      <c r="C40955" s="374"/>
      <c r="CV40955" s="376"/>
    </row>
    <row r="40956" spans="1:100">
      <c r="A40956" s="374"/>
      <c r="C40956" s="374"/>
      <c r="CV40956" s="376"/>
    </row>
    <row r="40957" spans="1:100">
      <c r="A40957" s="374"/>
      <c r="C40957" s="374"/>
      <c r="CV40957" s="376"/>
    </row>
    <row r="40958" spans="1:100">
      <c r="A40958" s="374"/>
      <c r="C40958" s="374"/>
      <c r="CV40958" s="376"/>
    </row>
    <row r="40959" spans="1:100">
      <c r="A40959" s="374"/>
      <c r="C40959" s="374"/>
      <c r="CV40959" s="376"/>
    </row>
    <row r="40960" spans="1:100">
      <c r="A40960" s="374"/>
      <c r="C40960" s="374"/>
      <c r="CV40960" s="376"/>
    </row>
    <row r="40961" spans="1:100">
      <c r="A40961" s="374"/>
      <c r="C40961" s="374"/>
      <c r="CV40961" s="376"/>
    </row>
    <row r="40962" spans="1:100">
      <c r="A40962" s="374"/>
      <c r="C40962" s="374"/>
      <c r="CV40962" s="376"/>
    </row>
    <row r="40963" spans="1:100">
      <c r="A40963" s="374"/>
      <c r="C40963" s="374"/>
      <c r="CV40963" s="376"/>
    </row>
    <row r="40964" spans="1:100">
      <c r="A40964" s="374"/>
      <c r="C40964" s="374"/>
      <c r="CV40964" s="376"/>
    </row>
    <row r="40965" spans="1:100">
      <c r="A40965" s="374"/>
      <c r="C40965" s="374"/>
      <c r="CV40965" s="376"/>
    </row>
    <row r="40966" spans="1:100">
      <c r="A40966" s="374"/>
      <c r="C40966" s="374"/>
      <c r="CV40966" s="376"/>
    </row>
    <row r="40967" spans="1:100">
      <c r="A40967" s="374"/>
      <c r="C40967" s="374"/>
      <c r="CV40967" s="376"/>
    </row>
    <row r="40968" spans="1:100">
      <c r="A40968" s="374"/>
      <c r="C40968" s="374"/>
      <c r="CV40968" s="376"/>
    </row>
    <row r="40969" spans="1:100">
      <c r="A40969" s="374"/>
      <c r="C40969" s="374"/>
      <c r="CV40969" s="376"/>
    </row>
    <row r="40970" spans="1:100">
      <c r="A40970" s="374"/>
      <c r="C40970" s="374"/>
      <c r="CV40970" s="376"/>
    </row>
    <row r="40971" spans="1:100">
      <c r="A40971" s="374"/>
      <c r="C40971" s="374"/>
      <c r="CV40971" s="376"/>
    </row>
    <row r="40972" spans="1:100">
      <c r="A40972" s="374"/>
      <c r="C40972" s="374"/>
      <c r="CV40972" s="376"/>
    </row>
    <row r="40973" spans="1:100">
      <c r="A40973" s="374"/>
      <c r="C40973" s="374"/>
      <c r="CV40973" s="376"/>
    </row>
    <row r="40974" spans="1:100">
      <c r="A40974" s="374"/>
      <c r="C40974" s="374"/>
      <c r="CV40974" s="376"/>
    </row>
    <row r="40975" spans="1:100">
      <c r="A40975" s="374"/>
      <c r="C40975" s="374"/>
      <c r="CV40975" s="376"/>
    </row>
    <row r="40976" spans="1:100">
      <c r="A40976" s="374"/>
      <c r="C40976" s="374"/>
      <c r="CV40976" s="376"/>
    </row>
    <row r="40977" spans="1:100">
      <c r="A40977" s="374"/>
      <c r="C40977" s="374"/>
      <c r="CV40977" s="376"/>
    </row>
    <row r="40978" spans="1:100">
      <c r="A40978" s="374"/>
      <c r="C40978" s="374"/>
      <c r="CV40978" s="376"/>
    </row>
    <row r="40979" spans="1:100">
      <c r="A40979" s="374"/>
      <c r="C40979" s="374"/>
      <c r="CV40979" s="376"/>
    </row>
    <row r="40980" spans="1:100">
      <c r="A40980" s="374"/>
      <c r="C40980" s="374"/>
      <c r="CV40980" s="376"/>
    </row>
    <row r="40981" spans="1:100">
      <c r="A40981" s="374"/>
      <c r="C40981" s="374"/>
      <c r="CV40981" s="376"/>
    </row>
    <row r="40982" spans="1:100">
      <c r="A40982" s="374"/>
      <c r="C40982" s="374"/>
      <c r="CV40982" s="376"/>
    </row>
    <row r="40983" spans="1:100">
      <c r="A40983" s="374"/>
      <c r="C40983" s="374"/>
      <c r="CV40983" s="376"/>
    </row>
    <row r="40984" spans="1:100">
      <c r="A40984" s="374"/>
      <c r="C40984" s="374"/>
      <c r="CV40984" s="376"/>
    </row>
    <row r="40985" spans="1:100">
      <c r="A40985" s="374"/>
      <c r="C40985" s="374"/>
      <c r="CV40985" s="376"/>
    </row>
    <row r="40986" spans="1:100">
      <c r="A40986" s="374"/>
      <c r="C40986" s="374"/>
      <c r="CV40986" s="376"/>
    </row>
    <row r="40987" spans="1:100">
      <c r="A40987" s="374"/>
      <c r="C40987" s="374"/>
      <c r="CV40987" s="376"/>
    </row>
    <row r="40988" spans="1:100">
      <c r="A40988" s="374"/>
      <c r="C40988" s="374"/>
      <c r="CV40988" s="376"/>
    </row>
    <row r="40989" spans="1:100">
      <c r="A40989" s="374"/>
      <c r="C40989" s="374"/>
      <c r="CV40989" s="376"/>
    </row>
    <row r="40990" spans="1:100">
      <c r="A40990" s="374"/>
      <c r="C40990" s="374"/>
      <c r="CV40990" s="376"/>
    </row>
    <row r="40991" spans="1:100">
      <c r="A40991" s="374"/>
      <c r="C40991" s="374"/>
      <c r="CV40991" s="376"/>
    </row>
    <row r="40992" spans="1:100">
      <c r="A40992" s="374"/>
      <c r="C40992" s="374"/>
      <c r="CV40992" s="376"/>
    </row>
    <row r="40993" spans="1:100">
      <c r="A40993" s="374"/>
      <c r="C40993" s="374"/>
      <c r="CV40993" s="376"/>
    </row>
    <row r="40994" spans="1:100">
      <c r="A40994" s="374"/>
      <c r="C40994" s="374"/>
      <c r="CV40994" s="376"/>
    </row>
    <row r="40995" spans="1:100">
      <c r="A40995" s="374"/>
      <c r="C40995" s="374"/>
      <c r="CV40995" s="376"/>
    </row>
    <row r="40996" spans="1:100">
      <c r="A40996" s="374"/>
      <c r="C40996" s="374"/>
      <c r="CV40996" s="376"/>
    </row>
    <row r="40997" spans="1:100">
      <c r="A40997" s="374"/>
      <c r="C40997" s="374"/>
      <c r="CV40997" s="376"/>
    </row>
    <row r="40998" spans="1:100">
      <c r="A40998" s="374"/>
      <c r="C40998" s="374"/>
      <c r="CV40998" s="376"/>
    </row>
    <row r="40999" spans="1:100">
      <c r="A40999" s="374"/>
      <c r="C40999" s="374"/>
      <c r="CV40999" s="376"/>
    </row>
    <row r="41000" spans="1:100">
      <c r="A41000" s="374"/>
      <c r="C41000" s="374"/>
      <c r="CV41000" s="376"/>
    </row>
    <row r="41001" spans="1:100">
      <c r="A41001" s="374"/>
      <c r="C41001" s="374"/>
      <c r="CV41001" s="376"/>
    </row>
    <row r="41002" spans="1:100">
      <c r="A41002" s="374"/>
      <c r="C41002" s="374"/>
      <c r="CV41002" s="376"/>
    </row>
    <row r="41003" spans="1:100">
      <c r="A41003" s="374"/>
      <c r="C41003" s="374"/>
      <c r="CV41003" s="376"/>
    </row>
    <row r="41004" spans="1:100">
      <c r="A41004" s="374"/>
      <c r="C41004" s="374"/>
      <c r="CV41004" s="376"/>
    </row>
    <row r="41005" spans="1:100">
      <c r="A41005" s="374"/>
      <c r="C41005" s="374"/>
      <c r="CV41005" s="376"/>
    </row>
    <row r="41006" spans="1:100">
      <c r="A41006" s="374"/>
      <c r="C41006" s="374"/>
      <c r="CV41006" s="376"/>
    </row>
    <row r="41007" spans="1:100">
      <c r="A41007" s="374"/>
      <c r="C41007" s="374"/>
      <c r="CV41007" s="376"/>
    </row>
    <row r="41008" spans="1:100">
      <c r="A41008" s="374"/>
      <c r="C41008" s="374"/>
      <c r="CV41008" s="376"/>
    </row>
    <row r="41009" spans="1:100">
      <c r="A41009" s="374"/>
      <c r="C41009" s="374"/>
      <c r="CV41009" s="376"/>
    </row>
    <row r="41010" spans="1:100">
      <c r="A41010" s="374"/>
      <c r="C41010" s="374"/>
      <c r="CV41010" s="376"/>
    </row>
    <row r="41011" spans="1:100">
      <c r="A41011" s="374"/>
      <c r="C41011" s="374"/>
      <c r="CV41011" s="376"/>
    </row>
    <row r="41012" spans="1:100">
      <c r="A41012" s="374"/>
      <c r="C41012" s="374"/>
      <c r="CV41012" s="376"/>
    </row>
    <row r="41013" spans="1:100">
      <c r="A41013" s="374"/>
      <c r="C41013" s="374"/>
      <c r="CV41013" s="376"/>
    </row>
    <row r="41014" spans="1:100">
      <c r="A41014" s="374"/>
      <c r="C41014" s="374"/>
      <c r="CV41014" s="376"/>
    </row>
    <row r="41015" spans="1:100">
      <c r="A41015" s="374"/>
      <c r="C41015" s="374"/>
      <c r="CV41015" s="376"/>
    </row>
    <row r="41016" spans="1:100">
      <c r="A41016" s="374"/>
      <c r="C41016" s="374"/>
      <c r="CV41016" s="376"/>
    </row>
    <row r="41017" spans="1:100">
      <c r="A41017" s="374"/>
      <c r="C41017" s="374"/>
      <c r="CV41017" s="376"/>
    </row>
    <row r="41018" spans="1:100">
      <c r="A41018" s="374"/>
      <c r="C41018" s="374"/>
      <c r="CV41018" s="376"/>
    </row>
    <row r="41019" spans="1:100">
      <c r="A41019" s="374"/>
      <c r="C41019" s="374"/>
      <c r="CV41019" s="376"/>
    </row>
    <row r="41020" spans="1:100">
      <c r="A41020" s="374"/>
      <c r="C41020" s="374"/>
      <c r="CV41020" s="376"/>
    </row>
    <row r="41021" spans="1:100">
      <c r="A41021" s="374"/>
      <c r="C41021" s="374"/>
      <c r="CV41021" s="376"/>
    </row>
    <row r="41022" spans="1:100">
      <c r="A41022" s="374"/>
      <c r="C41022" s="374"/>
      <c r="CV41022" s="376"/>
    </row>
    <row r="41023" spans="1:100">
      <c r="A41023" s="374"/>
      <c r="C41023" s="374"/>
      <c r="CV41023" s="376"/>
    </row>
    <row r="41024" spans="1:100">
      <c r="A41024" s="374"/>
      <c r="C41024" s="374"/>
      <c r="CV41024" s="376"/>
    </row>
    <row r="41025" spans="1:100">
      <c r="A41025" s="374"/>
      <c r="C41025" s="374"/>
      <c r="CV41025" s="376"/>
    </row>
    <row r="41026" spans="1:100">
      <c r="A41026" s="374"/>
      <c r="C41026" s="374"/>
      <c r="CV41026" s="376"/>
    </row>
    <row r="41027" spans="1:100">
      <c r="A41027" s="374"/>
      <c r="C41027" s="374"/>
      <c r="CV41027" s="376"/>
    </row>
    <row r="41028" spans="1:100">
      <c r="A41028" s="374"/>
      <c r="C41028" s="374"/>
      <c r="CV41028" s="376"/>
    </row>
    <row r="41029" spans="1:100">
      <c r="A41029" s="374"/>
      <c r="C41029" s="374"/>
      <c r="CV41029" s="376"/>
    </row>
    <row r="41030" spans="1:100">
      <c r="A41030" s="374"/>
      <c r="C41030" s="374"/>
      <c r="CV41030" s="376"/>
    </row>
    <row r="41031" spans="1:100">
      <c r="A41031" s="374"/>
      <c r="C41031" s="374"/>
      <c r="CV41031" s="376"/>
    </row>
    <row r="41032" spans="1:100">
      <c r="A41032" s="374"/>
      <c r="C41032" s="374"/>
      <c r="CV41032" s="376"/>
    </row>
    <row r="41033" spans="1:100">
      <c r="A41033" s="374"/>
      <c r="C41033" s="374"/>
      <c r="CV41033" s="376"/>
    </row>
    <row r="41034" spans="1:100">
      <c r="A41034" s="374"/>
      <c r="C41034" s="374"/>
      <c r="CV41034" s="376"/>
    </row>
    <row r="41035" spans="1:100">
      <c r="A41035" s="374"/>
      <c r="C41035" s="374"/>
      <c r="CV41035" s="376"/>
    </row>
    <row r="41036" spans="1:100">
      <c r="A41036" s="374"/>
      <c r="C41036" s="374"/>
      <c r="CV41036" s="376"/>
    </row>
    <row r="41037" spans="1:100">
      <c r="A41037" s="374"/>
      <c r="C41037" s="374"/>
      <c r="CV41037" s="376"/>
    </row>
    <row r="41038" spans="1:100">
      <c r="A41038" s="374"/>
      <c r="C41038" s="374"/>
      <c r="CV41038" s="376"/>
    </row>
    <row r="41039" spans="1:100">
      <c r="A41039" s="374"/>
      <c r="C41039" s="374"/>
      <c r="CV41039" s="376"/>
    </row>
    <row r="41040" spans="1:100">
      <c r="A41040" s="374"/>
      <c r="C41040" s="374"/>
      <c r="CV41040" s="376"/>
    </row>
    <row r="41041" spans="1:100">
      <c r="A41041" s="374"/>
      <c r="C41041" s="374"/>
      <c r="CV41041" s="376"/>
    </row>
    <row r="41042" spans="1:100">
      <c r="A41042" s="374"/>
      <c r="C41042" s="374"/>
      <c r="CV41042" s="376"/>
    </row>
    <row r="41043" spans="1:100">
      <c r="A41043" s="374"/>
      <c r="C41043" s="374"/>
      <c r="CV41043" s="376"/>
    </row>
    <row r="41044" spans="1:100">
      <c r="A41044" s="374"/>
      <c r="C41044" s="374"/>
      <c r="CV41044" s="376"/>
    </row>
    <row r="41045" spans="1:100">
      <c r="A41045" s="374"/>
      <c r="C41045" s="374"/>
      <c r="CV41045" s="376"/>
    </row>
    <row r="41046" spans="1:100">
      <c r="A41046" s="374"/>
      <c r="C41046" s="374"/>
      <c r="CV41046" s="376"/>
    </row>
    <row r="41047" spans="1:100">
      <c r="A41047" s="374"/>
      <c r="C41047" s="374"/>
      <c r="CV41047" s="376"/>
    </row>
    <row r="41048" spans="1:100">
      <c r="A41048" s="374"/>
      <c r="C41048" s="374"/>
      <c r="CV41048" s="376"/>
    </row>
    <row r="41049" spans="1:100">
      <c r="A41049" s="374"/>
      <c r="C41049" s="374"/>
      <c r="CV41049" s="376"/>
    </row>
    <row r="41050" spans="1:100">
      <c r="A41050" s="374"/>
      <c r="C41050" s="374"/>
      <c r="CV41050" s="376"/>
    </row>
    <row r="41051" spans="1:100">
      <c r="A41051" s="374"/>
      <c r="C41051" s="374"/>
      <c r="CV41051" s="376"/>
    </row>
    <row r="41052" spans="1:100">
      <c r="A41052" s="374"/>
      <c r="C41052" s="374"/>
      <c r="CV41052" s="376"/>
    </row>
    <row r="41053" spans="1:100">
      <c r="A41053" s="374"/>
      <c r="C41053" s="374"/>
      <c r="CV41053" s="376"/>
    </row>
    <row r="41054" spans="1:100">
      <c r="A41054" s="374"/>
      <c r="C41054" s="374"/>
      <c r="CV41054" s="376"/>
    </row>
    <row r="41055" spans="1:100">
      <c r="A41055" s="374"/>
      <c r="C41055" s="374"/>
      <c r="CV41055" s="376"/>
    </row>
    <row r="41056" spans="1:100">
      <c r="A41056" s="374"/>
      <c r="C41056" s="374"/>
      <c r="CV41056" s="376"/>
    </row>
    <row r="41057" spans="1:100">
      <c r="A41057" s="374"/>
      <c r="C41057" s="374"/>
      <c r="CV41057" s="376"/>
    </row>
    <row r="41058" spans="1:100">
      <c r="A41058" s="374"/>
      <c r="C41058" s="374"/>
      <c r="CV41058" s="376"/>
    </row>
    <row r="41059" spans="1:100">
      <c r="A41059" s="374"/>
      <c r="C41059" s="374"/>
      <c r="CV41059" s="376"/>
    </row>
    <row r="41060" spans="1:100">
      <c r="A41060" s="374"/>
      <c r="C41060" s="374"/>
      <c r="CV41060" s="376"/>
    </row>
    <row r="41061" spans="1:100">
      <c r="A41061" s="374"/>
      <c r="C41061" s="374"/>
      <c r="CV41061" s="376"/>
    </row>
    <row r="41062" spans="1:100">
      <c r="A41062" s="374"/>
      <c r="C41062" s="374"/>
      <c r="CV41062" s="376"/>
    </row>
    <row r="41063" spans="1:100">
      <c r="A41063" s="374"/>
      <c r="C41063" s="374"/>
      <c r="CV41063" s="376"/>
    </row>
    <row r="41064" spans="1:100">
      <c r="A41064" s="374"/>
      <c r="C41064" s="374"/>
      <c r="CV41064" s="376"/>
    </row>
    <row r="41065" spans="1:100">
      <c r="A41065" s="374"/>
      <c r="C41065" s="374"/>
      <c r="CV41065" s="376"/>
    </row>
    <row r="41066" spans="1:100">
      <c r="A41066" s="374"/>
      <c r="C41066" s="374"/>
      <c r="CV41066" s="376"/>
    </row>
    <row r="41067" spans="1:100">
      <c r="A41067" s="374"/>
      <c r="C41067" s="374"/>
      <c r="CV41067" s="376"/>
    </row>
    <row r="41068" spans="1:100">
      <c r="A41068" s="374"/>
      <c r="C41068" s="374"/>
      <c r="CV41068" s="376"/>
    </row>
    <row r="41069" spans="1:100">
      <c r="A41069" s="374"/>
      <c r="C41069" s="374"/>
      <c r="CV41069" s="376"/>
    </row>
    <row r="41070" spans="1:100">
      <c r="A41070" s="374"/>
      <c r="C41070" s="374"/>
      <c r="CV41070" s="376"/>
    </row>
    <row r="41071" spans="1:100">
      <c r="A41071" s="374"/>
      <c r="C41071" s="374"/>
      <c r="CV41071" s="376"/>
    </row>
    <row r="41072" spans="1:100">
      <c r="A41072" s="374"/>
      <c r="C41072" s="374"/>
      <c r="CV41072" s="376"/>
    </row>
    <row r="41073" spans="1:100">
      <c r="A41073" s="374"/>
      <c r="C41073" s="374"/>
      <c r="CV41073" s="376"/>
    </row>
    <row r="41074" spans="1:100">
      <c r="A41074" s="374"/>
      <c r="C41074" s="374"/>
      <c r="CV41074" s="376"/>
    </row>
    <row r="41075" spans="1:100">
      <c r="A41075" s="374"/>
      <c r="C41075" s="374"/>
      <c r="CV41075" s="376"/>
    </row>
    <row r="41076" spans="1:100">
      <c r="A41076" s="374"/>
      <c r="C41076" s="374"/>
      <c r="CV41076" s="376"/>
    </row>
    <row r="41077" spans="1:100">
      <c r="A41077" s="374"/>
      <c r="C41077" s="374"/>
      <c r="CV41077" s="376"/>
    </row>
    <row r="41078" spans="1:100">
      <c r="A41078" s="374"/>
      <c r="C41078" s="374"/>
      <c r="CV41078" s="376"/>
    </row>
    <row r="41079" spans="1:100">
      <c r="A41079" s="374"/>
      <c r="C41079" s="374"/>
      <c r="CV41079" s="376"/>
    </row>
    <row r="41080" spans="1:100">
      <c r="A41080" s="374"/>
      <c r="C41080" s="374"/>
      <c r="CV41080" s="376"/>
    </row>
    <row r="41081" spans="1:100">
      <c r="A41081" s="374"/>
      <c r="C41081" s="374"/>
      <c r="CV41081" s="376"/>
    </row>
    <row r="41082" spans="1:100">
      <c r="A41082" s="374"/>
      <c r="C41082" s="374"/>
      <c r="CV41082" s="376"/>
    </row>
    <row r="41083" spans="1:100">
      <c r="A41083" s="374"/>
      <c r="C41083" s="374"/>
      <c r="CV41083" s="376"/>
    </row>
    <row r="41084" spans="1:100">
      <c r="A41084" s="374"/>
      <c r="C41084" s="374"/>
      <c r="CV41084" s="376"/>
    </row>
    <row r="41085" spans="1:100">
      <c r="A41085" s="374"/>
      <c r="C41085" s="374"/>
      <c r="CV41085" s="376"/>
    </row>
    <row r="41086" spans="1:100">
      <c r="A41086" s="374"/>
      <c r="C41086" s="374"/>
      <c r="CV41086" s="376"/>
    </row>
    <row r="41087" spans="1:100">
      <c r="A41087" s="374"/>
      <c r="C41087" s="374"/>
      <c r="CV41087" s="376"/>
    </row>
    <row r="41088" spans="1:100">
      <c r="A41088" s="374"/>
      <c r="C41088" s="374"/>
      <c r="CV41088" s="376"/>
    </row>
    <row r="41089" spans="1:100">
      <c r="A41089" s="374"/>
      <c r="C41089" s="374"/>
      <c r="CV41089" s="376"/>
    </row>
    <row r="41090" spans="1:100">
      <c r="A41090" s="374"/>
      <c r="C41090" s="374"/>
      <c r="CV41090" s="376"/>
    </row>
    <row r="41091" spans="1:100">
      <c r="A41091" s="374"/>
      <c r="C41091" s="374"/>
      <c r="CV41091" s="376"/>
    </row>
    <row r="41092" spans="1:100">
      <c r="A41092" s="374"/>
      <c r="C41092" s="374"/>
      <c r="CV41092" s="376"/>
    </row>
    <row r="41093" spans="1:100">
      <c r="A41093" s="374"/>
      <c r="C41093" s="374"/>
      <c r="CV41093" s="376"/>
    </row>
    <row r="41094" spans="1:100">
      <c r="A41094" s="374"/>
      <c r="C41094" s="374"/>
      <c r="CV41094" s="376"/>
    </row>
    <row r="41095" spans="1:100">
      <c r="A41095" s="374"/>
      <c r="C41095" s="374"/>
      <c r="CV41095" s="376"/>
    </row>
    <row r="41096" spans="1:100">
      <c r="A41096" s="374"/>
      <c r="C41096" s="374"/>
      <c r="CV41096" s="376"/>
    </row>
    <row r="41097" spans="1:100">
      <c r="A41097" s="374"/>
      <c r="C41097" s="374"/>
      <c r="CV41097" s="376"/>
    </row>
    <row r="41098" spans="1:100">
      <c r="A41098" s="374"/>
      <c r="C41098" s="374"/>
      <c r="CV41098" s="376"/>
    </row>
    <row r="41099" spans="1:100">
      <c r="A41099" s="374"/>
      <c r="C41099" s="374"/>
      <c r="CV41099" s="376"/>
    </row>
    <row r="41100" spans="1:100">
      <c r="A41100" s="374"/>
      <c r="C41100" s="374"/>
      <c r="CV41100" s="376"/>
    </row>
    <row r="41101" spans="1:100">
      <c r="A41101" s="374"/>
      <c r="C41101" s="374"/>
      <c r="CV41101" s="376"/>
    </row>
    <row r="41102" spans="1:100">
      <c r="A41102" s="374"/>
      <c r="C41102" s="374"/>
      <c r="CV41102" s="376"/>
    </row>
    <row r="41103" spans="1:100">
      <c r="A41103" s="374"/>
      <c r="C41103" s="374"/>
      <c r="CV41103" s="376"/>
    </row>
    <row r="41104" spans="1:100">
      <c r="A41104" s="374"/>
      <c r="C41104" s="374"/>
      <c r="CV41104" s="376"/>
    </row>
    <row r="41105" spans="1:100">
      <c r="A41105" s="374"/>
      <c r="C41105" s="374"/>
      <c r="CV41105" s="376"/>
    </row>
    <row r="41106" spans="1:100">
      <c r="A41106" s="374"/>
      <c r="C41106" s="374"/>
      <c r="CV41106" s="376"/>
    </row>
    <row r="41107" spans="1:100">
      <c r="A41107" s="374"/>
      <c r="C41107" s="374"/>
      <c r="CV41107" s="376"/>
    </row>
    <row r="41108" spans="1:100">
      <c r="A41108" s="374"/>
      <c r="C41108" s="374"/>
      <c r="CV41108" s="376"/>
    </row>
    <row r="41109" spans="1:100">
      <c r="A41109" s="374"/>
      <c r="C41109" s="374"/>
      <c r="CV41109" s="376"/>
    </row>
    <row r="41110" spans="1:100">
      <c r="A41110" s="374"/>
      <c r="C41110" s="374"/>
      <c r="CV41110" s="376"/>
    </row>
    <row r="41111" spans="1:100">
      <c r="A41111" s="374"/>
      <c r="C41111" s="374"/>
      <c r="CV41111" s="376"/>
    </row>
    <row r="41112" spans="1:100">
      <c r="A41112" s="374"/>
      <c r="C41112" s="374"/>
      <c r="CV41112" s="376"/>
    </row>
    <row r="41113" spans="1:100">
      <c r="A41113" s="374"/>
      <c r="C41113" s="374"/>
      <c r="CV41113" s="376"/>
    </row>
    <row r="41114" spans="1:100">
      <c r="A41114" s="374"/>
      <c r="C41114" s="374"/>
      <c r="CV41114" s="376"/>
    </row>
    <row r="41115" spans="1:100">
      <c r="A41115" s="374"/>
      <c r="C41115" s="374"/>
      <c r="CV41115" s="376"/>
    </row>
    <row r="41116" spans="1:100">
      <c r="A41116" s="374"/>
      <c r="C41116" s="374"/>
      <c r="CV41116" s="376"/>
    </row>
    <row r="41117" spans="1:100">
      <c r="A41117" s="374"/>
      <c r="C41117" s="374"/>
      <c r="CV41117" s="376"/>
    </row>
    <row r="41118" spans="1:100">
      <c r="A41118" s="374"/>
      <c r="C41118" s="374"/>
      <c r="CV41118" s="376"/>
    </row>
    <row r="41119" spans="1:100">
      <c r="A41119" s="374"/>
      <c r="C41119" s="374"/>
      <c r="CV41119" s="376"/>
    </row>
    <row r="41120" spans="1:100">
      <c r="A41120" s="374"/>
      <c r="C41120" s="374"/>
      <c r="CV41120" s="376"/>
    </row>
    <row r="41121" spans="1:100">
      <c r="A41121" s="374"/>
      <c r="C41121" s="374"/>
      <c r="CV41121" s="376"/>
    </row>
    <row r="41122" spans="1:100">
      <c r="A41122" s="374"/>
      <c r="C41122" s="374"/>
      <c r="CV41122" s="376"/>
    </row>
    <row r="41123" spans="1:100">
      <c r="A41123" s="374"/>
      <c r="C41123" s="374"/>
      <c r="CV41123" s="376"/>
    </row>
    <row r="41124" spans="1:100">
      <c r="A41124" s="374"/>
      <c r="C41124" s="374"/>
      <c r="CV41124" s="376"/>
    </row>
    <row r="41125" spans="1:100">
      <c r="A41125" s="374"/>
      <c r="C41125" s="374"/>
      <c r="CV41125" s="376"/>
    </row>
    <row r="41126" spans="1:100">
      <c r="A41126" s="374"/>
      <c r="C41126" s="374"/>
      <c r="CV41126" s="376"/>
    </row>
    <row r="41127" spans="1:100">
      <c r="A41127" s="374"/>
      <c r="C41127" s="374"/>
      <c r="CV41127" s="376"/>
    </row>
    <row r="41128" spans="1:100">
      <c r="A41128" s="374"/>
      <c r="C41128" s="374"/>
      <c r="CV41128" s="376"/>
    </row>
    <row r="41129" spans="1:100">
      <c r="A41129" s="374"/>
      <c r="C41129" s="374"/>
      <c r="CV41129" s="376"/>
    </row>
    <row r="41130" spans="1:100">
      <c r="A41130" s="374"/>
      <c r="C41130" s="374"/>
      <c r="CV41130" s="376"/>
    </row>
    <row r="41131" spans="1:100">
      <c r="A41131" s="374"/>
      <c r="C41131" s="374"/>
      <c r="CV41131" s="376"/>
    </row>
    <row r="41132" spans="1:100">
      <c r="A41132" s="374"/>
      <c r="C41132" s="374"/>
      <c r="CV41132" s="376"/>
    </row>
    <row r="41133" spans="1:100">
      <c r="A41133" s="374"/>
      <c r="C41133" s="374"/>
      <c r="CV41133" s="376"/>
    </row>
    <row r="41134" spans="1:100">
      <c r="A41134" s="374"/>
      <c r="C41134" s="374"/>
      <c r="CV41134" s="376"/>
    </row>
    <row r="41135" spans="1:100">
      <c r="A41135" s="374"/>
      <c r="C41135" s="374"/>
      <c r="CV41135" s="376"/>
    </row>
    <row r="41136" spans="1:100">
      <c r="A41136" s="374"/>
      <c r="C41136" s="374"/>
      <c r="CV41136" s="376"/>
    </row>
    <row r="41137" spans="1:100">
      <c r="A41137" s="374"/>
      <c r="C41137" s="374"/>
      <c r="CV41137" s="376"/>
    </row>
    <row r="41138" spans="1:100">
      <c r="A41138" s="374"/>
      <c r="C41138" s="374"/>
      <c r="CV41138" s="376"/>
    </row>
    <row r="41139" spans="1:100">
      <c r="A41139" s="374"/>
      <c r="C41139" s="374"/>
      <c r="CV41139" s="376"/>
    </row>
    <row r="41140" spans="1:100">
      <c r="A41140" s="374"/>
      <c r="C41140" s="374"/>
      <c r="CV41140" s="376"/>
    </row>
    <row r="41141" spans="1:100">
      <c r="A41141" s="374"/>
      <c r="C41141" s="374"/>
      <c r="CV41141" s="376"/>
    </row>
    <row r="41142" spans="1:100">
      <c r="A41142" s="374"/>
      <c r="C41142" s="374"/>
      <c r="CV41142" s="376"/>
    </row>
    <row r="41143" spans="1:100">
      <c r="A41143" s="374"/>
      <c r="C41143" s="374"/>
      <c r="CV41143" s="376"/>
    </row>
    <row r="41144" spans="1:100">
      <c r="A41144" s="374"/>
      <c r="C41144" s="374"/>
      <c r="CV41144" s="376"/>
    </row>
    <row r="41145" spans="1:100">
      <c r="A41145" s="374"/>
      <c r="C41145" s="374"/>
      <c r="CV41145" s="376"/>
    </row>
    <row r="41146" spans="1:100">
      <c r="A41146" s="374"/>
      <c r="C41146" s="374"/>
      <c r="CV41146" s="376"/>
    </row>
    <row r="41147" spans="1:100">
      <c r="A41147" s="374"/>
      <c r="C41147" s="374"/>
      <c r="CV41147" s="376"/>
    </row>
    <row r="41148" spans="1:100">
      <c r="A41148" s="374"/>
      <c r="C41148" s="374"/>
      <c r="CV41148" s="376"/>
    </row>
    <row r="41149" spans="1:100">
      <c r="A41149" s="374"/>
      <c r="C41149" s="374"/>
      <c r="CV41149" s="376"/>
    </row>
    <row r="41150" spans="1:100">
      <c r="A41150" s="374"/>
      <c r="C41150" s="374"/>
      <c r="CV41150" s="376"/>
    </row>
    <row r="41151" spans="1:100">
      <c r="A41151" s="374"/>
      <c r="C41151" s="374"/>
      <c r="CV41151" s="376"/>
    </row>
    <row r="41152" spans="1:100">
      <c r="A41152" s="374"/>
      <c r="C41152" s="374"/>
      <c r="CV41152" s="376"/>
    </row>
    <row r="41153" spans="1:100">
      <c r="A41153" s="374"/>
      <c r="C41153" s="374"/>
      <c r="CV41153" s="376"/>
    </row>
    <row r="41154" spans="1:100">
      <c r="A41154" s="374"/>
      <c r="C41154" s="374"/>
      <c r="CV41154" s="376"/>
    </row>
    <row r="41155" spans="1:100">
      <c r="A41155" s="374"/>
      <c r="C41155" s="374"/>
      <c r="CV41155" s="376"/>
    </row>
    <row r="41156" spans="1:100">
      <c r="A41156" s="374"/>
      <c r="C41156" s="374"/>
      <c r="CV41156" s="376"/>
    </row>
    <row r="41157" spans="1:100">
      <c r="A41157" s="374"/>
      <c r="C41157" s="374"/>
      <c r="CV41157" s="376"/>
    </row>
    <row r="41158" spans="1:100">
      <c r="A41158" s="374"/>
      <c r="C41158" s="374"/>
      <c r="CV41158" s="376"/>
    </row>
    <row r="41159" spans="1:100">
      <c r="A41159" s="374"/>
      <c r="C41159" s="374"/>
      <c r="CV41159" s="376"/>
    </row>
    <row r="41160" spans="1:100">
      <c r="A41160" s="374"/>
      <c r="C41160" s="374"/>
      <c r="CV41160" s="376"/>
    </row>
    <row r="41161" spans="1:100">
      <c r="A41161" s="374"/>
      <c r="C41161" s="374"/>
      <c r="CV41161" s="376"/>
    </row>
    <row r="41162" spans="1:100">
      <c r="A41162" s="374"/>
      <c r="C41162" s="374"/>
      <c r="CV41162" s="376"/>
    </row>
    <row r="41163" spans="1:100">
      <c r="A41163" s="374"/>
      <c r="C41163" s="374"/>
      <c r="CV41163" s="376"/>
    </row>
    <row r="41164" spans="1:100">
      <c r="A41164" s="374"/>
      <c r="C41164" s="374"/>
      <c r="CV41164" s="376"/>
    </row>
    <row r="41165" spans="1:100">
      <c r="A41165" s="374"/>
      <c r="C41165" s="374"/>
      <c r="CV41165" s="376"/>
    </row>
    <row r="41166" spans="1:100">
      <c r="A41166" s="374"/>
      <c r="C41166" s="374"/>
      <c r="CV41166" s="376"/>
    </row>
    <row r="41167" spans="1:100">
      <c r="A41167" s="374"/>
      <c r="C41167" s="374"/>
      <c r="CV41167" s="376"/>
    </row>
    <row r="41168" spans="1:100">
      <c r="A41168" s="374"/>
      <c r="C41168" s="374"/>
      <c r="CV41168" s="376"/>
    </row>
    <row r="41169" spans="1:100">
      <c r="A41169" s="374"/>
      <c r="C41169" s="374"/>
      <c r="CV41169" s="376"/>
    </row>
    <row r="41170" spans="1:100">
      <c r="A41170" s="374"/>
      <c r="C41170" s="374"/>
      <c r="CV41170" s="376"/>
    </row>
    <row r="41171" spans="1:100">
      <c r="A41171" s="374"/>
      <c r="C41171" s="374"/>
      <c r="CV41171" s="376"/>
    </row>
    <row r="41172" spans="1:100">
      <c r="A41172" s="374"/>
      <c r="C41172" s="374"/>
      <c r="CV41172" s="376"/>
    </row>
    <row r="41173" spans="1:100">
      <c r="A41173" s="374"/>
      <c r="C41173" s="374"/>
      <c r="CV41173" s="376"/>
    </row>
    <row r="41174" spans="1:100">
      <c r="A41174" s="374"/>
      <c r="C41174" s="374"/>
      <c r="CV41174" s="376"/>
    </row>
    <row r="41175" spans="1:100">
      <c r="A41175" s="374"/>
      <c r="C41175" s="374"/>
      <c r="CV41175" s="376"/>
    </row>
    <row r="41176" spans="1:100">
      <c r="A41176" s="374"/>
      <c r="C41176" s="374"/>
      <c r="CV41176" s="376"/>
    </row>
    <row r="41177" spans="1:100">
      <c r="A41177" s="374"/>
      <c r="C41177" s="374"/>
      <c r="CV41177" s="376"/>
    </row>
    <row r="41178" spans="1:100">
      <c r="A41178" s="374"/>
      <c r="C41178" s="374"/>
      <c r="CV41178" s="376"/>
    </row>
    <row r="41179" spans="1:100">
      <c r="A41179" s="374"/>
      <c r="C41179" s="374"/>
      <c r="CV41179" s="376"/>
    </row>
    <row r="41180" spans="1:100">
      <c r="A41180" s="374"/>
      <c r="C41180" s="374"/>
      <c r="CV41180" s="376"/>
    </row>
    <row r="41181" spans="1:100">
      <c r="A41181" s="374"/>
      <c r="C41181" s="374"/>
      <c r="CV41181" s="376"/>
    </row>
    <row r="41182" spans="1:100">
      <c r="A41182" s="374"/>
      <c r="C41182" s="374"/>
      <c r="CV41182" s="376"/>
    </row>
    <row r="41183" spans="1:100">
      <c r="A41183" s="374"/>
      <c r="C41183" s="374"/>
      <c r="CV41183" s="376"/>
    </row>
    <row r="41184" spans="1:100">
      <c r="A41184" s="374"/>
      <c r="C41184" s="374"/>
      <c r="CV41184" s="376"/>
    </row>
    <row r="41185" spans="1:100">
      <c r="A41185" s="374"/>
      <c r="C41185" s="374"/>
      <c r="CV41185" s="376"/>
    </row>
    <row r="41186" spans="1:100">
      <c r="A41186" s="374"/>
      <c r="C41186" s="374"/>
      <c r="CV41186" s="376"/>
    </row>
    <row r="41187" spans="1:100">
      <c r="A41187" s="374"/>
      <c r="C41187" s="374"/>
      <c r="CV41187" s="376"/>
    </row>
    <row r="41188" spans="1:100">
      <c r="A41188" s="374"/>
      <c r="C41188" s="374"/>
      <c r="CV41188" s="376"/>
    </row>
    <row r="41189" spans="1:100">
      <c r="A41189" s="374"/>
      <c r="C41189" s="374"/>
      <c r="CV41189" s="376"/>
    </row>
    <row r="41190" spans="1:100">
      <c r="A41190" s="374"/>
      <c r="C41190" s="374"/>
      <c r="CV41190" s="376"/>
    </row>
    <row r="41191" spans="1:100">
      <c r="A41191" s="374"/>
      <c r="C41191" s="374"/>
      <c r="CV41191" s="376"/>
    </row>
    <row r="41192" spans="1:100">
      <c r="A41192" s="374"/>
      <c r="C41192" s="374"/>
      <c r="CV41192" s="376"/>
    </row>
    <row r="41193" spans="1:100">
      <c r="A41193" s="374"/>
      <c r="C41193" s="374"/>
      <c r="CV41193" s="376"/>
    </row>
    <row r="41194" spans="1:100">
      <c r="A41194" s="374"/>
      <c r="C41194" s="374"/>
      <c r="CV41194" s="376"/>
    </row>
    <row r="41195" spans="1:100">
      <c r="A41195" s="374"/>
      <c r="C41195" s="374"/>
      <c r="CV41195" s="376"/>
    </row>
    <row r="41196" spans="1:100">
      <c r="A41196" s="374"/>
      <c r="C41196" s="374"/>
      <c r="CV41196" s="376"/>
    </row>
    <row r="41197" spans="1:100">
      <c r="A41197" s="374"/>
      <c r="C41197" s="374"/>
      <c r="CV41197" s="376"/>
    </row>
    <row r="41198" spans="1:100">
      <c r="A41198" s="374"/>
      <c r="C41198" s="374"/>
      <c r="CV41198" s="376"/>
    </row>
    <row r="41199" spans="1:100">
      <c r="A41199" s="374"/>
      <c r="C41199" s="374"/>
      <c r="CV41199" s="376"/>
    </row>
    <row r="41200" spans="1:100">
      <c r="A41200" s="374"/>
      <c r="C41200" s="374"/>
      <c r="CV41200" s="376"/>
    </row>
    <row r="41201" spans="1:100">
      <c r="A41201" s="374"/>
      <c r="C41201" s="374"/>
      <c r="CV41201" s="376"/>
    </row>
    <row r="41202" spans="1:100">
      <c r="A41202" s="374"/>
      <c r="C41202" s="374"/>
      <c r="CV41202" s="376"/>
    </row>
    <row r="41203" spans="1:100">
      <c r="A41203" s="374"/>
      <c r="C41203" s="374"/>
      <c r="CV41203" s="376"/>
    </row>
    <row r="41204" spans="1:100">
      <c r="A41204" s="374"/>
      <c r="C41204" s="374"/>
      <c r="CV41204" s="376"/>
    </row>
    <row r="41205" spans="1:100">
      <c r="A41205" s="374"/>
      <c r="C41205" s="374"/>
      <c r="CV41205" s="376"/>
    </row>
    <row r="41206" spans="1:100">
      <c r="A41206" s="374"/>
      <c r="C41206" s="374"/>
      <c r="CV41206" s="376"/>
    </row>
    <row r="41207" spans="1:100">
      <c r="A41207" s="374"/>
      <c r="C41207" s="374"/>
      <c r="CV41207" s="376"/>
    </row>
    <row r="41208" spans="1:100">
      <c r="A41208" s="374"/>
      <c r="C41208" s="374"/>
      <c r="CV41208" s="376"/>
    </row>
    <row r="41209" spans="1:100">
      <c r="A41209" s="374"/>
      <c r="C41209" s="374"/>
      <c r="CV41209" s="376"/>
    </row>
    <row r="41210" spans="1:100">
      <c r="A41210" s="374"/>
      <c r="C41210" s="374"/>
      <c r="CV41210" s="376"/>
    </row>
    <row r="41211" spans="1:100">
      <c r="A41211" s="374"/>
      <c r="C41211" s="374"/>
      <c r="CV41211" s="376"/>
    </row>
    <row r="41212" spans="1:100">
      <c r="A41212" s="374"/>
      <c r="C41212" s="374"/>
      <c r="CV41212" s="376"/>
    </row>
    <row r="41213" spans="1:100">
      <c r="A41213" s="374"/>
      <c r="C41213" s="374"/>
      <c r="CV41213" s="376"/>
    </row>
    <row r="41214" spans="1:100">
      <c r="A41214" s="374"/>
      <c r="C41214" s="374"/>
      <c r="CV41214" s="376"/>
    </row>
    <row r="41215" spans="1:100">
      <c r="A41215" s="374"/>
      <c r="C41215" s="374"/>
      <c r="CV41215" s="376"/>
    </row>
    <row r="41216" spans="1:100">
      <c r="A41216" s="374"/>
      <c r="C41216" s="374"/>
      <c r="CV41216" s="376"/>
    </row>
    <row r="41217" spans="1:100">
      <c r="A41217" s="374"/>
      <c r="C41217" s="374"/>
      <c r="CV41217" s="376"/>
    </row>
    <row r="41218" spans="1:100">
      <c r="A41218" s="374"/>
      <c r="C41218" s="374"/>
      <c r="CV41218" s="376"/>
    </row>
    <row r="41219" spans="1:100">
      <c r="A41219" s="374"/>
      <c r="C41219" s="374"/>
      <c r="CV41219" s="376"/>
    </row>
    <row r="41220" spans="1:100">
      <c r="A41220" s="374"/>
      <c r="C41220" s="374"/>
      <c r="CV41220" s="376"/>
    </row>
    <row r="41221" spans="1:100">
      <c r="A41221" s="374"/>
      <c r="C41221" s="374"/>
      <c r="CV41221" s="376"/>
    </row>
    <row r="41222" spans="1:100">
      <c r="A41222" s="374"/>
      <c r="C41222" s="374"/>
      <c r="CV41222" s="376"/>
    </row>
    <row r="41223" spans="1:100">
      <c r="A41223" s="374"/>
      <c r="C41223" s="374"/>
      <c r="CV41223" s="376"/>
    </row>
    <row r="41224" spans="1:100">
      <c r="A41224" s="374"/>
      <c r="C41224" s="374"/>
      <c r="CV41224" s="376"/>
    </row>
    <row r="41225" spans="1:100">
      <c r="A41225" s="374"/>
      <c r="C41225" s="374"/>
      <c r="CV41225" s="376"/>
    </row>
    <row r="41226" spans="1:100">
      <c r="A41226" s="374"/>
      <c r="C41226" s="374"/>
      <c r="CV41226" s="376"/>
    </row>
    <row r="41227" spans="1:100">
      <c r="A41227" s="374"/>
      <c r="C41227" s="374"/>
      <c r="CV41227" s="376"/>
    </row>
    <row r="41228" spans="1:100">
      <c r="A41228" s="374"/>
      <c r="C41228" s="374"/>
      <c r="CV41228" s="376"/>
    </row>
    <row r="41229" spans="1:100">
      <c r="A41229" s="374"/>
      <c r="C41229" s="374"/>
      <c r="CV41229" s="376"/>
    </row>
    <row r="41230" spans="1:100">
      <c r="A41230" s="374"/>
      <c r="C41230" s="374"/>
      <c r="CV41230" s="376"/>
    </row>
    <row r="41231" spans="1:100">
      <c r="A41231" s="374"/>
      <c r="C41231" s="374"/>
      <c r="CV41231" s="376"/>
    </row>
    <row r="41232" spans="1:100">
      <c r="A41232" s="374"/>
      <c r="C41232" s="374"/>
      <c r="CV41232" s="376"/>
    </row>
    <row r="41233" spans="1:100">
      <c r="A41233" s="374"/>
      <c r="C41233" s="374"/>
      <c r="CV41233" s="376"/>
    </row>
    <row r="41234" spans="1:100">
      <c r="A41234" s="374"/>
      <c r="C41234" s="374"/>
      <c r="CV41234" s="376"/>
    </row>
    <row r="41235" spans="1:100">
      <c r="A41235" s="374"/>
      <c r="C41235" s="374"/>
      <c r="CV41235" s="376"/>
    </row>
    <row r="41236" spans="1:100">
      <c r="A41236" s="374"/>
      <c r="C41236" s="374"/>
      <c r="CV41236" s="376"/>
    </row>
    <row r="41237" spans="1:100">
      <c r="A41237" s="374"/>
      <c r="C41237" s="374"/>
      <c r="CV41237" s="376"/>
    </row>
    <row r="41238" spans="1:100">
      <c r="A41238" s="374"/>
      <c r="C41238" s="374"/>
      <c r="CV41238" s="376"/>
    </row>
    <row r="41239" spans="1:100">
      <c r="A41239" s="374"/>
      <c r="C41239" s="374"/>
      <c r="CV41239" s="376"/>
    </row>
    <row r="41240" spans="1:100">
      <c r="A41240" s="374"/>
      <c r="C41240" s="374"/>
      <c r="CV41240" s="376"/>
    </row>
    <row r="41241" spans="1:100">
      <c r="A41241" s="374"/>
      <c r="C41241" s="374"/>
      <c r="CV41241" s="376"/>
    </row>
    <row r="41242" spans="1:100">
      <c r="A41242" s="374"/>
      <c r="C41242" s="374"/>
      <c r="CV41242" s="376"/>
    </row>
    <row r="41243" spans="1:100">
      <c r="A41243" s="374"/>
      <c r="C41243" s="374"/>
      <c r="CV41243" s="376"/>
    </row>
    <row r="41244" spans="1:100">
      <c r="A41244" s="374"/>
      <c r="C41244" s="374"/>
      <c r="CV41244" s="376"/>
    </row>
    <row r="41245" spans="1:100">
      <c r="A41245" s="374"/>
      <c r="C41245" s="374"/>
      <c r="CV41245" s="376"/>
    </row>
    <row r="41246" spans="1:100">
      <c r="A41246" s="374"/>
      <c r="C41246" s="374"/>
      <c r="CV41246" s="376"/>
    </row>
    <row r="41247" spans="1:100">
      <c r="A41247" s="374"/>
      <c r="C41247" s="374"/>
      <c r="CV41247" s="376"/>
    </row>
    <row r="41248" spans="1:100">
      <c r="A41248" s="374"/>
      <c r="C41248" s="374"/>
      <c r="CV41248" s="376"/>
    </row>
    <row r="41249" spans="1:100">
      <c r="A41249" s="374"/>
      <c r="C41249" s="374"/>
      <c r="CV41249" s="376"/>
    </row>
    <row r="41250" spans="1:100">
      <c r="A41250" s="374"/>
      <c r="C41250" s="374"/>
      <c r="CV41250" s="376"/>
    </row>
    <row r="41251" spans="1:100">
      <c r="A41251" s="374"/>
      <c r="C41251" s="374"/>
      <c r="CV41251" s="376"/>
    </row>
    <row r="41252" spans="1:100">
      <c r="A41252" s="374"/>
      <c r="C41252" s="374"/>
      <c r="CV41252" s="376"/>
    </row>
    <row r="41253" spans="1:100">
      <c r="A41253" s="374"/>
      <c r="C41253" s="374"/>
      <c r="CV41253" s="376"/>
    </row>
    <row r="41254" spans="1:100">
      <c r="A41254" s="374"/>
      <c r="C41254" s="374"/>
      <c r="CV41254" s="376"/>
    </row>
    <row r="41255" spans="1:100">
      <c r="A41255" s="374"/>
      <c r="C41255" s="374"/>
      <c r="CV41255" s="376"/>
    </row>
    <row r="41256" spans="1:100">
      <c r="A41256" s="374"/>
      <c r="C41256" s="374"/>
      <c r="CV41256" s="376"/>
    </row>
    <row r="41257" spans="1:100">
      <c r="A41257" s="374"/>
      <c r="C41257" s="374"/>
      <c r="CV41257" s="376"/>
    </row>
    <row r="41258" spans="1:100">
      <c r="A41258" s="374"/>
      <c r="C41258" s="374"/>
      <c r="CV41258" s="376"/>
    </row>
    <row r="41259" spans="1:100">
      <c r="A41259" s="374"/>
      <c r="C41259" s="374"/>
      <c r="CV41259" s="376"/>
    </row>
    <row r="41260" spans="1:100">
      <c r="A41260" s="374"/>
      <c r="C41260" s="374"/>
      <c r="CV41260" s="376"/>
    </row>
    <row r="41261" spans="1:100">
      <c r="A41261" s="374"/>
      <c r="C41261" s="374"/>
      <c r="CV41261" s="376"/>
    </row>
    <row r="41262" spans="1:100">
      <c r="A41262" s="374"/>
      <c r="C41262" s="374"/>
      <c r="CV41262" s="376"/>
    </row>
    <row r="41263" spans="1:100">
      <c r="A41263" s="374"/>
      <c r="C41263" s="374"/>
      <c r="CV41263" s="376"/>
    </row>
    <row r="41264" spans="1:100">
      <c r="A41264" s="374"/>
      <c r="C41264" s="374"/>
      <c r="CV41264" s="376"/>
    </row>
    <row r="41265" spans="1:100">
      <c r="A41265" s="374"/>
      <c r="C41265" s="374"/>
      <c r="CV41265" s="376"/>
    </row>
    <row r="41266" spans="1:100">
      <c r="A41266" s="374"/>
      <c r="C41266" s="374"/>
      <c r="CV41266" s="376"/>
    </row>
    <row r="41267" spans="1:100">
      <c r="A41267" s="374"/>
      <c r="C41267" s="374"/>
      <c r="CV41267" s="376"/>
    </row>
    <row r="41268" spans="1:100">
      <c r="A41268" s="374"/>
      <c r="C41268" s="374"/>
      <c r="CV41268" s="376"/>
    </row>
    <row r="41269" spans="1:100">
      <c r="A41269" s="374"/>
      <c r="C41269" s="374"/>
      <c r="CV41269" s="376"/>
    </row>
    <row r="41270" spans="1:100">
      <c r="A41270" s="374"/>
      <c r="C41270" s="374"/>
      <c r="CV41270" s="376"/>
    </row>
    <row r="41271" spans="1:100">
      <c r="A41271" s="374"/>
      <c r="C41271" s="374"/>
      <c r="CV41271" s="376"/>
    </row>
    <row r="41272" spans="1:100">
      <c r="A41272" s="374"/>
      <c r="C41272" s="374"/>
      <c r="CV41272" s="376"/>
    </row>
    <row r="41273" spans="1:100">
      <c r="A41273" s="374"/>
      <c r="C41273" s="374"/>
      <c r="CV41273" s="376"/>
    </row>
    <row r="41274" spans="1:100">
      <c r="A41274" s="374"/>
      <c r="C41274" s="374"/>
      <c r="CV41274" s="376"/>
    </row>
    <row r="41275" spans="1:100">
      <c r="A41275" s="374"/>
      <c r="C41275" s="374"/>
      <c r="CV41275" s="376"/>
    </row>
    <row r="41276" spans="1:100">
      <c r="A41276" s="374"/>
      <c r="C41276" s="374"/>
      <c r="CV41276" s="376"/>
    </row>
    <row r="41277" spans="1:100">
      <c r="A41277" s="374"/>
      <c r="C41277" s="374"/>
      <c r="CV41277" s="376"/>
    </row>
    <row r="41278" spans="1:100">
      <c r="A41278" s="374"/>
      <c r="C41278" s="374"/>
      <c r="CV41278" s="376"/>
    </row>
    <row r="41279" spans="1:100">
      <c r="A41279" s="374"/>
      <c r="C41279" s="374"/>
      <c r="CV41279" s="376"/>
    </row>
    <row r="41280" spans="1:100">
      <c r="A41280" s="374"/>
      <c r="C41280" s="374"/>
      <c r="CV41280" s="376"/>
    </row>
    <row r="41281" spans="1:100">
      <c r="A41281" s="374"/>
      <c r="C41281" s="374"/>
      <c r="CV41281" s="376"/>
    </row>
    <row r="41282" spans="1:100">
      <c r="A41282" s="374"/>
      <c r="C41282" s="374"/>
      <c r="CV41282" s="376"/>
    </row>
    <row r="41283" spans="1:100">
      <c r="A41283" s="374"/>
      <c r="C41283" s="374"/>
      <c r="CV41283" s="376"/>
    </row>
    <row r="41284" spans="1:100">
      <c r="A41284" s="374"/>
      <c r="C41284" s="374"/>
      <c r="CV41284" s="376"/>
    </row>
    <row r="41285" spans="1:100">
      <c r="A41285" s="374"/>
      <c r="C41285" s="374"/>
      <c r="CV41285" s="376"/>
    </row>
    <row r="41286" spans="1:100">
      <c r="A41286" s="374"/>
      <c r="C41286" s="374"/>
      <c r="CV41286" s="376"/>
    </row>
    <row r="41287" spans="1:100">
      <c r="A41287" s="374"/>
      <c r="C41287" s="374"/>
      <c r="CV41287" s="376"/>
    </row>
    <row r="41288" spans="1:100">
      <c r="A41288" s="374"/>
      <c r="C41288" s="374"/>
      <c r="CV41288" s="376"/>
    </row>
    <row r="41289" spans="1:100">
      <c r="A41289" s="374"/>
      <c r="C41289" s="374"/>
      <c r="CV41289" s="376"/>
    </row>
    <row r="41290" spans="1:100">
      <c r="A41290" s="374"/>
      <c r="C41290" s="374"/>
      <c r="CV41290" s="376"/>
    </row>
    <row r="41291" spans="1:100">
      <c r="A41291" s="374"/>
      <c r="C41291" s="374"/>
      <c r="CV41291" s="376"/>
    </row>
    <row r="41292" spans="1:100">
      <c r="A41292" s="374"/>
      <c r="C41292" s="374"/>
      <c r="CV41292" s="376"/>
    </row>
    <row r="41293" spans="1:100">
      <c r="A41293" s="374"/>
      <c r="C41293" s="374"/>
      <c r="CV41293" s="376"/>
    </row>
    <row r="41294" spans="1:100">
      <c r="A41294" s="374"/>
      <c r="C41294" s="374"/>
      <c r="CV41294" s="376"/>
    </row>
    <row r="41295" spans="1:100">
      <c r="A41295" s="374"/>
      <c r="C41295" s="374"/>
      <c r="CV41295" s="376"/>
    </row>
    <row r="41296" spans="1:100">
      <c r="A41296" s="374"/>
      <c r="C41296" s="374"/>
      <c r="CV41296" s="376"/>
    </row>
    <row r="41297" spans="1:100">
      <c r="A41297" s="374"/>
      <c r="C41297" s="374"/>
      <c r="CV41297" s="376"/>
    </row>
    <row r="41298" spans="1:100">
      <c r="A41298" s="374"/>
      <c r="C41298" s="374"/>
      <c r="CV41298" s="376"/>
    </row>
    <row r="41299" spans="1:100">
      <c r="A41299" s="374"/>
      <c r="C41299" s="374"/>
      <c r="CV41299" s="376"/>
    </row>
    <row r="41300" spans="1:100">
      <c r="A41300" s="374"/>
      <c r="C41300" s="374"/>
      <c r="CV41300" s="376"/>
    </row>
    <row r="41301" spans="1:100">
      <c r="A41301" s="374"/>
      <c r="C41301" s="374"/>
      <c r="CV41301" s="376"/>
    </row>
    <row r="41302" spans="1:100">
      <c r="A41302" s="374"/>
      <c r="C41302" s="374"/>
      <c r="CV41302" s="376"/>
    </row>
    <row r="41303" spans="1:100">
      <c r="A41303" s="374"/>
      <c r="C41303" s="374"/>
      <c r="CV41303" s="376"/>
    </row>
    <row r="41304" spans="1:100">
      <c r="A41304" s="374"/>
      <c r="C41304" s="374"/>
      <c r="CV41304" s="376"/>
    </row>
    <row r="41305" spans="1:100">
      <c r="A41305" s="374"/>
      <c r="C41305" s="374"/>
      <c r="CV41305" s="376"/>
    </row>
    <row r="41306" spans="1:100">
      <c r="A41306" s="374"/>
      <c r="C41306" s="374"/>
      <c r="CV41306" s="376"/>
    </row>
    <row r="41307" spans="1:100">
      <c r="A41307" s="374"/>
      <c r="C41307" s="374"/>
      <c r="CV41307" s="376"/>
    </row>
    <row r="41308" spans="1:100">
      <c r="A41308" s="374"/>
      <c r="C41308" s="374"/>
      <c r="CV41308" s="376"/>
    </row>
    <row r="41309" spans="1:100">
      <c r="A41309" s="374"/>
      <c r="C41309" s="374"/>
      <c r="CV41309" s="376"/>
    </row>
    <row r="41310" spans="1:100">
      <c r="A41310" s="374"/>
      <c r="C41310" s="374"/>
      <c r="CV41310" s="376"/>
    </row>
    <row r="41311" spans="1:100">
      <c r="A41311" s="374"/>
      <c r="C41311" s="374"/>
      <c r="CV41311" s="376"/>
    </row>
    <row r="41312" spans="1:100">
      <c r="A41312" s="374"/>
      <c r="C41312" s="374"/>
      <c r="CV41312" s="376"/>
    </row>
    <row r="41313" spans="1:100">
      <c r="A41313" s="374"/>
      <c r="C41313" s="374"/>
      <c r="CV41313" s="376"/>
    </row>
    <row r="41314" spans="1:100">
      <c r="A41314" s="374"/>
      <c r="C41314" s="374"/>
      <c r="CV41314" s="376"/>
    </row>
    <row r="41315" spans="1:100">
      <c r="A41315" s="374"/>
      <c r="C41315" s="374"/>
      <c r="CV41315" s="376"/>
    </row>
    <row r="41316" spans="1:100">
      <c r="A41316" s="374"/>
      <c r="C41316" s="374"/>
      <c r="CV41316" s="376"/>
    </row>
    <row r="41317" spans="1:100">
      <c r="A41317" s="374"/>
      <c r="C41317" s="374"/>
      <c r="CV41317" s="376"/>
    </row>
    <row r="41318" spans="1:100">
      <c r="A41318" s="374"/>
      <c r="C41318" s="374"/>
      <c r="CV41318" s="376"/>
    </row>
    <row r="41319" spans="1:100">
      <c r="A41319" s="374"/>
      <c r="C41319" s="374"/>
      <c r="CV41319" s="376"/>
    </row>
    <row r="41320" spans="1:100">
      <c r="A41320" s="374"/>
      <c r="C41320" s="374"/>
      <c r="CV41320" s="376"/>
    </row>
    <row r="41321" spans="1:100">
      <c r="A41321" s="374"/>
      <c r="C41321" s="374"/>
      <c r="CV41321" s="376"/>
    </row>
    <row r="41322" spans="1:100">
      <c r="A41322" s="374"/>
      <c r="C41322" s="374"/>
      <c r="CV41322" s="376"/>
    </row>
    <row r="41323" spans="1:100">
      <c r="A41323" s="374"/>
      <c r="C41323" s="374"/>
      <c r="CV41323" s="376"/>
    </row>
    <row r="41324" spans="1:100">
      <c r="A41324" s="374"/>
      <c r="C41324" s="374"/>
      <c r="CV41324" s="376"/>
    </row>
    <row r="41325" spans="1:100">
      <c r="A41325" s="374"/>
      <c r="C41325" s="374"/>
      <c r="CV41325" s="376"/>
    </row>
    <row r="41326" spans="1:100">
      <c r="A41326" s="374"/>
      <c r="C41326" s="374"/>
      <c r="CV41326" s="376"/>
    </row>
    <row r="41327" spans="1:100">
      <c r="A41327" s="374"/>
      <c r="C41327" s="374"/>
      <c r="CV41327" s="376"/>
    </row>
    <row r="41328" spans="1:100">
      <c r="A41328" s="374"/>
      <c r="C41328" s="374"/>
      <c r="CV41328" s="376"/>
    </row>
    <row r="41329" spans="1:100">
      <c r="A41329" s="374"/>
      <c r="C41329" s="374"/>
      <c r="CV41329" s="376"/>
    </row>
    <row r="41330" spans="1:100">
      <c r="A41330" s="374"/>
      <c r="C41330" s="374"/>
      <c r="CV41330" s="376"/>
    </row>
    <row r="41331" spans="1:100">
      <c r="A41331" s="374"/>
      <c r="C41331" s="374"/>
      <c r="CV41331" s="376"/>
    </row>
    <row r="41332" spans="1:100">
      <c r="A41332" s="374"/>
      <c r="C41332" s="374"/>
      <c r="CV41332" s="376"/>
    </row>
    <row r="41333" spans="1:100">
      <c r="A41333" s="374"/>
      <c r="C41333" s="374"/>
      <c r="CV41333" s="376"/>
    </row>
    <row r="41334" spans="1:100">
      <c r="A41334" s="374"/>
      <c r="C41334" s="374"/>
      <c r="CV41334" s="376"/>
    </row>
    <row r="41335" spans="1:100">
      <c r="A41335" s="374"/>
      <c r="C41335" s="374"/>
      <c r="CV41335" s="376"/>
    </row>
    <row r="41336" spans="1:100">
      <c r="A41336" s="374"/>
      <c r="C41336" s="374"/>
      <c r="CV41336" s="376"/>
    </row>
    <row r="41337" spans="1:100">
      <c r="A41337" s="374"/>
      <c r="C41337" s="374"/>
      <c r="CV41337" s="376"/>
    </row>
    <row r="41338" spans="1:100">
      <c r="A41338" s="374"/>
      <c r="C41338" s="374"/>
      <c r="CV41338" s="376"/>
    </row>
    <row r="41339" spans="1:100">
      <c r="A41339" s="374"/>
      <c r="C41339" s="374"/>
      <c r="CV41339" s="376"/>
    </row>
    <row r="41340" spans="1:100">
      <c r="A41340" s="374"/>
      <c r="C41340" s="374"/>
      <c r="CV41340" s="376"/>
    </row>
    <row r="41341" spans="1:100">
      <c r="A41341" s="374"/>
      <c r="C41341" s="374"/>
      <c r="CV41341" s="376"/>
    </row>
    <row r="41342" spans="1:100">
      <c r="A41342" s="374"/>
      <c r="C41342" s="374"/>
      <c r="CV41342" s="376"/>
    </row>
    <row r="41343" spans="1:100">
      <c r="A41343" s="374"/>
      <c r="C41343" s="374"/>
      <c r="CV41343" s="376"/>
    </row>
    <row r="41344" spans="1:100">
      <c r="A41344" s="374"/>
      <c r="C41344" s="374"/>
      <c r="CV41344" s="376"/>
    </row>
    <row r="41345" spans="1:100">
      <c r="A41345" s="374"/>
      <c r="C41345" s="374"/>
      <c r="CV41345" s="376"/>
    </row>
    <row r="41346" spans="1:100">
      <c r="A41346" s="374"/>
      <c r="C41346" s="374"/>
      <c r="CV41346" s="376"/>
    </row>
    <row r="41347" spans="1:100">
      <c r="A41347" s="374"/>
      <c r="C41347" s="374"/>
      <c r="CV41347" s="376"/>
    </row>
    <row r="41348" spans="1:100">
      <c r="A41348" s="374"/>
      <c r="C41348" s="374"/>
      <c r="CV41348" s="376"/>
    </row>
    <row r="41349" spans="1:100">
      <c r="A41349" s="374"/>
      <c r="C41349" s="374"/>
      <c r="CV41349" s="376"/>
    </row>
    <row r="41350" spans="1:100">
      <c r="A41350" s="374"/>
      <c r="C41350" s="374"/>
      <c r="CV41350" s="376"/>
    </row>
    <row r="41351" spans="1:100">
      <c r="A41351" s="374"/>
      <c r="C41351" s="374"/>
      <c r="CV41351" s="376"/>
    </row>
    <row r="41352" spans="1:100">
      <c r="A41352" s="374"/>
      <c r="C41352" s="374"/>
      <c r="CV41352" s="376"/>
    </row>
    <row r="41353" spans="1:100">
      <c r="A41353" s="374"/>
      <c r="C41353" s="374"/>
      <c r="CV41353" s="376"/>
    </row>
    <row r="41354" spans="1:100">
      <c r="A41354" s="374"/>
      <c r="C41354" s="374"/>
      <c r="CV41354" s="376"/>
    </row>
    <row r="41355" spans="1:100">
      <c r="A41355" s="374"/>
      <c r="C41355" s="374"/>
      <c r="CV41355" s="376"/>
    </row>
    <row r="41356" spans="1:100">
      <c r="A41356" s="374"/>
      <c r="C41356" s="374"/>
      <c r="CV41356" s="376"/>
    </row>
    <row r="41357" spans="1:100">
      <c r="A41357" s="374"/>
      <c r="C41357" s="374"/>
      <c r="CV41357" s="376"/>
    </row>
    <row r="41358" spans="1:100">
      <c r="A41358" s="374"/>
      <c r="C41358" s="374"/>
      <c r="CV41358" s="376"/>
    </row>
    <row r="41359" spans="1:100">
      <c r="A41359" s="374"/>
      <c r="C41359" s="374"/>
      <c r="CV41359" s="376"/>
    </row>
    <row r="41360" spans="1:100">
      <c r="A41360" s="374"/>
      <c r="C41360" s="374"/>
      <c r="CV41360" s="376"/>
    </row>
    <row r="41361" spans="1:100">
      <c r="A41361" s="374"/>
      <c r="C41361" s="374"/>
      <c r="CV41361" s="376"/>
    </row>
    <row r="41362" spans="1:100">
      <c r="A41362" s="374"/>
      <c r="C41362" s="374"/>
      <c r="CV41362" s="376"/>
    </row>
    <row r="41363" spans="1:100">
      <c r="A41363" s="374"/>
      <c r="C41363" s="374"/>
      <c r="CV41363" s="376"/>
    </row>
    <row r="41364" spans="1:100">
      <c r="A41364" s="374"/>
      <c r="C41364" s="374"/>
      <c r="CV41364" s="376"/>
    </row>
    <row r="41365" spans="1:100">
      <c r="A41365" s="374"/>
      <c r="C41365" s="374"/>
      <c r="CV41365" s="376"/>
    </row>
    <row r="41366" spans="1:100">
      <c r="A41366" s="374"/>
      <c r="C41366" s="374"/>
      <c r="CV41366" s="376"/>
    </row>
    <row r="41367" spans="1:100">
      <c r="A41367" s="374"/>
      <c r="C41367" s="374"/>
      <c r="CV41367" s="376"/>
    </row>
    <row r="41368" spans="1:100">
      <c r="A41368" s="374"/>
      <c r="C41368" s="374"/>
      <c r="CV41368" s="376"/>
    </row>
    <row r="41369" spans="1:100">
      <c r="A41369" s="374"/>
      <c r="C41369" s="374"/>
      <c r="CV41369" s="376"/>
    </row>
    <row r="41370" spans="1:100">
      <c r="A41370" s="374"/>
      <c r="C41370" s="374"/>
      <c r="CV41370" s="376"/>
    </row>
    <row r="41371" spans="1:100">
      <c r="A41371" s="374"/>
      <c r="C41371" s="374"/>
      <c r="CV41371" s="376"/>
    </row>
    <row r="41372" spans="1:100">
      <c r="A41372" s="374"/>
      <c r="C41372" s="374"/>
      <c r="CV41372" s="376"/>
    </row>
    <row r="41373" spans="1:100">
      <c r="A41373" s="374"/>
      <c r="C41373" s="374"/>
      <c r="CV41373" s="376"/>
    </row>
    <row r="41374" spans="1:100">
      <c r="A41374" s="374"/>
      <c r="C41374" s="374"/>
      <c r="CV41374" s="376"/>
    </row>
    <row r="41375" spans="1:100">
      <c r="A41375" s="374"/>
      <c r="C41375" s="374"/>
      <c r="CV41375" s="376"/>
    </row>
    <row r="41376" spans="1:100">
      <c r="A41376" s="374"/>
      <c r="C41376" s="374"/>
      <c r="CV41376" s="376"/>
    </row>
    <row r="41377" spans="1:100">
      <c r="A41377" s="374"/>
      <c r="C41377" s="374"/>
      <c r="CV41377" s="376"/>
    </row>
    <row r="41378" spans="1:100">
      <c r="A41378" s="374"/>
      <c r="C41378" s="374"/>
      <c r="CV41378" s="376"/>
    </row>
    <row r="41379" spans="1:100">
      <c r="A41379" s="374"/>
      <c r="C41379" s="374"/>
      <c r="CV41379" s="376"/>
    </row>
    <row r="41380" spans="1:100">
      <c r="A41380" s="374"/>
      <c r="C41380" s="374"/>
      <c r="CV41380" s="376"/>
    </row>
    <row r="41381" spans="1:100">
      <c r="A41381" s="374"/>
      <c r="C41381" s="374"/>
      <c r="CV41381" s="376"/>
    </row>
    <row r="41382" spans="1:100">
      <c r="A41382" s="374"/>
      <c r="C41382" s="374"/>
      <c r="CV41382" s="376"/>
    </row>
    <row r="41383" spans="1:100">
      <c r="A41383" s="374"/>
      <c r="C41383" s="374"/>
      <c r="CV41383" s="376"/>
    </row>
    <row r="41384" spans="1:100">
      <c r="A41384" s="374"/>
      <c r="C41384" s="374"/>
      <c r="CV41384" s="376"/>
    </row>
    <row r="41385" spans="1:100">
      <c r="A41385" s="374"/>
      <c r="C41385" s="374"/>
      <c r="CV41385" s="376"/>
    </row>
    <row r="41386" spans="1:100">
      <c r="A41386" s="374"/>
      <c r="C41386" s="374"/>
      <c r="CV41386" s="376"/>
    </row>
    <row r="41387" spans="1:100">
      <c r="A41387" s="374"/>
      <c r="C41387" s="374"/>
      <c r="CV41387" s="376"/>
    </row>
    <row r="41388" spans="1:100">
      <c r="A41388" s="374"/>
      <c r="C41388" s="374"/>
      <c r="CV41388" s="376"/>
    </row>
    <row r="41389" spans="1:100">
      <c r="A41389" s="374"/>
      <c r="C41389" s="374"/>
      <c r="CV41389" s="376"/>
    </row>
    <row r="41390" spans="1:100">
      <c r="A41390" s="374"/>
      <c r="C41390" s="374"/>
      <c r="CV41390" s="376"/>
    </row>
    <row r="41391" spans="1:100">
      <c r="A41391" s="374"/>
      <c r="C41391" s="374"/>
      <c r="CV41391" s="376"/>
    </row>
    <row r="41392" spans="1:100">
      <c r="A41392" s="374"/>
      <c r="C41392" s="374"/>
      <c r="CV41392" s="376"/>
    </row>
    <row r="41393" spans="1:100">
      <c r="A41393" s="374"/>
      <c r="C41393" s="374"/>
      <c r="CV41393" s="376"/>
    </row>
    <row r="41394" spans="1:100">
      <c r="A41394" s="374"/>
      <c r="C41394" s="374"/>
      <c r="CV41394" s="376"/>
    </row>
    <row r="41395" spans="1:100">
      <c r="A41395" s="374"/>
      <c r="C41395" s="374"/>
      <c r="CV41395" s="376"/>
    </row>
    <row r="41396" spans="1:100">
      <c r="A41396" s="374"/>
      <c r="C41396" s="374"/>
      <c r="CV41396" s="376"/>
    </row>
    <row r="41397" spans="1:100">
      <c r="A41397" s="374"/>
      <c r="C41397" s="374"/>
      <c r="CV41397" s="376"/>
    </row>
    <row r="41398" spans="1:100">
      <c r="A41398" s="374"/>
      <c r="C41398" s="374"/>
      <c r="CV41398" s="376"/>
    </row>
    <row r="41399" spans="1:100">
      <c r="A41399" s="374"/>
      <c r="C41399" s="374"/>
      <c r="CV41399" s="376"/>
    </row>
    <row r="41400" spans="1:100">
      <c r="A41400" s="374"/>
      <c r="C41400" s="374"/>
      <c r="CV41400" s="376"/>
    </row>
    <row r="41401" spans="1:100">
      <c r="A41401" s="374"/>
      <c r="C41401" s="374"/>
      <c r="CV41401" s="376"/>
    </row>
    <row r="41402" spans="1:100">
      <c r="A41402" s="374"/>
      <c r="C41402" s="374"/>
      <c r="CV41402" s="376"/>
    </row>
    <row r="41403" spans="1:100">
      <c r="A41403" s="374"/>
      <c r="C41403" s="374"/>
      <c r="CV41403" s="376"/>
    </row>
    <row r="41404" spans="1:100">
      <c r="A41404" s="374"/>
      <c r="C41404" s="374"/>
      <c r="CV41404" s="376"/>
    </row>
    <row r="41405" spans="1:100">
      <c r="A41405" s="374"/>
      <c r="C41405" s="374"/>
      <c r="CV41405" s="376"/>
    </row>
    <row r="41406" spans="1:100">
      <c r="A41406" s="374"/>
      <c r="C41406" s="374"/>
      <c r="CV41406" s="376"/>
    </row>
    <row r="41407" spans="1:100">
      <c r="A41407" s="374"/>
      <c r="C41407" s="374"/>
      <c r="CV41407" s="376"/>
    </row>
    <row r="41408" spans="1:100">
      <c r="A41408" s="374"/>
      <c r="C41408" s="374"/>
      <c r="CV41408" s="376"/>
    </row>
    <row r="41409" spans="1:100">
      <c r="A41409" s="374"/>
      <c r="C41409" s="374"/>
      <c r="CV41409" s="376"/>
    </row>
    <row r="41410" spans="1:100">
      <c r="A41410" s="374"/>
      <c r="C41410" s="374"/>
      <c r="CV41410" s="376"/>
    </row>
    <row r="41411" spans="1:100">
      <c r="A41411" s="374"/>
      <c r="C41411" s="374"/>
      <c r="CV41411" s="376"/>
    </row>
    <row r="41412" spans="1:100">
      <c r="A41412" s="374"/>
      <c r="C41412" s="374"/>
      <c r="CV41412" s="376"/>
    </row>
    <row r="41413" spans="1:100">
      <c r="A41413" s="374"/>
      <c r="C41413" s="374"/>
      <c r="CV41413" s="376"/>
    </row>
    <row r="41414" spans="1:100">
      <c r="A41414" s="374"/>
      <c r="C41414" s="374"/>
      <c r="CV41414" s="376"/>
    </row>
    <row r="41415" spans="1:100">
      <c r="A41415" s="374"/>
      <c r="C41415" s="374"/>
      <c r="CV41415" s="376"/>
    </row>
    <row r="41416" spans="1:100">
      <c r="A41416" s="374"/>
      <c r="C41416" s="374"/>
      <c r="CV41416" s="376"/>
    </row>
    <row r="41417" spans="1:100">
      <c r="A41417" s="374"/>
      <c r="C41417" s="374"/>
      <c r="CV41417" s="376"/>
    </row>
    <row r="41418" spans="1:100">
      <c r="A41418" s="374"/>
      <c r="C41418" s="374"/>
      <c r="CV41418" s="376"/>
    </row>
    <row r="41419" spans="1:100">
      <c r="A41419" s="374"/>
      <c r="C41419" s="374"/>
      <c r="CV41419" s="376"/>
    </row>
    <row r="41420" spans="1:100">
      <c r="A41420" s="374"/>
      <c r="C41420" s="374"/>
      <c r="CV41420" s="376"/>
    </row>
    <row r="41421" spans="1:100">
      <c r="A41421" s="374"/>
      <c r="C41421" s="374"/>
      <c r="CV41421" s="376"/>
    </row>
    <row r="41422" spans="1:100">
      <c r="A41422" s="374"/>
      <c r="C41422" s="374"/>
      <c r="CV41422" s="376"/>
    </row>
    <row r="41423" spans="1:100">
      <c r="A41423" s="374"/>
      <c r="C41423" s="374"/>
      <c r="CV41423" s="376"/>
    </row>
    <row r="41424" spans="1:100">
      <c r="A41424" s="374"/>
      <c r="C41424" s="374"/>
      <c r="CV41424" s="376"/>
    </row>
    <row r="41425" spans="1:100">
      <c r="A41425" s="374"/>
      <c r="C41425" s="374"/>
      <c r="CV41425" s="376"/>
    </row>
    <row r="41426" spans="1:100">
      <c r="A41426" s="374"/>
      <c r="C41426" s="374"/>
      <c r="CV41426" s="376"/>
    </row>
    <row r="41427" spans="1:100">
      <c r="A41427" s="374"/>
      <c r="C41427" s="374"/>
      <c r="CV41427" s="376"/>
    </row>
    <row r="41428" spans="1:100">
      <c r="A41428" s="374"/>
      <c r="C41428" s="374"/>
      <c r="CV41428" s="376"/>
    </row>
    <row r="41429" spans="1:100">
      <c r="A41429" s="374"/>
      <c r="C41429" s="374"/>
      <c r="CV41429" s="376"/>
    </row>
    <row r="41430" spans="1:100">
      <c r="A41430" s="374"/>
      <c r="C41430" s="374"/>
      <c r="CV41430" s="376"/>
    </row>
    <row r="41431" spans="1:100">
      <c r="A41431" s="374"/>
      <c r="C41431" s="374"/>
      <c r="CV41431" s="376"/>
    </row>
    <row r="41432" spans="1:100">
      <c r="A41432" s="374"/>
      <c r="C41432" s="374"/>
      <c r="CV41432" s="376"/>
    </row>
    <row r="41433" spans="1:100">
      <c r="A41433" s="374"/>
      <c r="C41433" s="374"/>
      <c r="CV41433" s="376"/>
    </row>
    <row r="41434" spans="1:100">
      <c r="A41434" s="374"/>
      <c r="C41434" s="374"/>
      <c r="CV41434" s="376"/>
    </row>
    <row r="41435" spans="1:100">
      <c r="A41435" s="374"/>
      <c r="C41435" s="374"/>
      <c r="CV41435" s="376"/>
    </row>
    <row r="41436" spans="1:100">
      <c r="A41436" s="374"/>
      <c r="C41436" s="374"/>
      <c r="CV41436" s="376"/>
    </row>
    <row r="41437" spans="1:100">
      <c r="A41437" s="374"/>
      <c r="C41437" s="374"/>
      <c r="CV41437" s="376"/>
    </row>
    <row r="41438" spans="1:100">
      <c r="A41438" s="374"/>
      <c r="C41438" s="374"/>
      <c r="CV41438" s="376"/>
    </row>
    <row r="41439" spans="1:100">
      <c r="A41439" s="374"/>
      <c r="C41439" s="374"/>
      <c r="CV41439" s="376"/>
    </row>
    <row r="41440" spans="1:100">
      <c r="A41440" s="374"/>
      <c r="C41440" s="374"/>
      <c r="CV41440" s="376"/>
    </row>
    <row r="41441" spans="1:100">
      <c r="A41441" s="374"/>
      <c r="C41441" s="374"/>
      <c r="CV41441" s="376"/>
    </row>
    <row r="41442" spans="1:100">
      <c r="A41442" s="374"/>
      <c r="C41442" s="374"/>
      <c r="CV41442" s="376"/>
    </row>
    <row r="41443" spans="1:100">
      <c r="A41443" s="374"/>
      <c r="C41443" s="374"/>
      <c r="CV41443" s="376"/>
    </row>
    <row r="41444" spans="1:100">
      <c r="A41444" s="374"/>
      <c r="C41444" s="374"/>
      <c r="CV41444" s="376"/>
    </row>
    <row r="41445" spans="1:100">
      <c r="A41445" s="374"/>
      <c r="C41445" s="374"/>
      <c r="CV41445" s="376"/>
    </row>
    <row r="41446" spans="1:100">
      <c r="A41446" s="374"/>
      <c r="C41446" s="374"/>
      <c r="CV41446" s="376"/>
    </row>
    <row r="41447" spans="1:100">
      <c r="A41447" s="374"/>
      <c r="C41447" s="374"/>
      <c r="CV41447" s="376"/>
    </row>
    <row r="41448" spans="1:100">
      <c r="A41448" s="374"/>
      <c r="C41448" s="374"/>
      <c r="CV41448" s="376"/>
    </row>
    <row r="41449" spans="1:100">
      <c r="A41449" s="374"/>
      <c r="C41449" s="374"/>
      <c r="CV41449" s="376"/>
    </row>
    <row r="41450" spans="1:100">
      <c r="A41450" s="374"/>
      <c r="C41450" s="374"/>
      <c r="CV41450" s="376"/>
    </row>
    <row r="41451" spans="1:100">
      <c r="A41451" s="374"/>
      <c r="C41451" s="374"/>
      <c r="CV41451" s="376"/>
    </row>
    <row r="41452" spans="1:100">
      <c r="A41452" s="374"/>
      <c r="C41452" s="374"/>
      <c r="CV41452" s="376"/>
    </row>
    <row r="41453" spans="1:100">
      <c r="A41453" s="374"/>
      <c r="C41453" s="374"/>
      <c r="CV41453" s="376"/>
    </row>
    <row r="41454" spans="1:100">
      <c r="A41454" s="374"/>
      <c r="C41454" s="374"/>
      <c r="CV41454" s="376"/>
    </row>
    <row r="41455" spans="1:100">
      <c r="A41455" s="374"/>
      <c r="C41455" s="374"/>
      <c r="CV41455" s="376"/>
    </row>
    <row r="41456" spans="1:100">
      <c r="A41456" s="374"/>
      <c r="C41456" s="374"/>
      <c r="CV41456" s="376"/>
    </row>
    <row r="41457" spans="1:100">
      <c r="A41457" s="374"/>
      <c r="C41457" s="374"/>
      <c r="CV41457" s="376"/>
    </row>
    <row r="41458" spans="1:100">
      <c r="A41458" s="374"/>
      <c r="C41458" s="374"/>
      <c r="CV41458" s="376"/>
    </row>
    <row r="41459" spans="1:100">
      <c r="A41459" s="374"/>
      <c r="C41459" s="374"/>
      <c r="CV41459" s="376"/>
    </row>
    <row r="41460" spans="1:100">
      <c r="A41460" s="374"/>
      <c r="C41460" s="374"/>
      <c r="CV41460" s="376"/>
    </row>
    <row r="41461" spans="1:100">
      <c r="A41461" s="374"/>
      <c r="C41461" s="374"/>
      <c r="CV41461" s="376"/>
    </row>
    <row r="41462" spans="1:100">
      <c r="A41462" s="374"/>
      <c r="C41462" s="374"/>
      <c r="CV41462" s="376"/>
    </row>
    <row r="41463" spans="1:100">
      <c r="A41463" s="374"/>
      <c r="C41463" s="374"/>
      <c r="CV41463" s="376"/>
    </row>
    <row r="41464" spans="1:100">
      <c r="A41464" s="374"/>
      <c r="C41464" s="374"/>
      <c r="CV41464" s="376"/>
    </row>
    <row r="41465" spans="1:100">
      <c r="A41465" s="374"/>
      <c r="C41465" s="374"/>
      <c r="CV41465" s="376"/>
    </row>
    <row r="41466" spans="1:100">
      <c r="A41466" s="374"/>
      <c r="C41466" s="374"/>
      <c r="CV41466" s="376"/>
    </row>
    <row r="41467" spans="1:100">
      <c r="A41467" s="374"/>
      <c r="C41467" s="374"/>
      <c r="CV41467" s="376"/>
    </row>
    <row r="41468" spans="1:100">
      <c r="A41468" s="374"/>
      <c r="C41468" s="374"/>
      <c r="CV41468" s="376"/>
    </row>
    <row r="41469" spans="1:100">
      <c r="A41469" s="374"/>
      <c r="C41469" s="374"/>
      <c r="CV41469" s="376"/>
    </row>
    <row r="41470" spans="1:100">
      <c r="A41470" s="374"/>
      <c r="C41470" s="374"/>
      <c r="CV41470" s="376"/>
    </row>
    <row r="41471" spans="1:100">
      <c r="A41471" s="374"/>
      <c r="C41471" s="374"/>
      <c r="CV41471" s="376"/>
    </row>
    <row r="41472" spans="1:100">
      <c r="A41472" s="374"/>
      <c r="C41472" s="374"/>
      <c r="CV41472" s="376"/>
    </row>
    <row r="41473" spans="1:100">
      <c r="A41473" s="374"/>
      <c r="C41473" s="374"/>
      <c r="CV41473" s="376"/>
    </row>
    <row r="41474" spans="1:100">
      <c r="A41474" s="374"/>
      <c r="C41474" s="374"/>
      <c r="CV41474" s="376"/>
    </row>
    <row r="41475" spans="1:100">
      <c r="A41475" s="374"/>
      <c r="C41475" s="374"/>
      <c r="CV41475" s="376"/>
    </row>
    <row r="41476" spans="1:100">
      <c r="A41476" s="374"/>
      <c r="C41476" s="374"/>
      <c r="CV41476" s="376"/>
    </row>
    <row r="41477" spans="1:100">
      <c r="A41477" s="374"/>
      <c r="C41477" s="374"/>
      <c r="CV41477" s="376"/>
    </row>
    <row r="41478" spans="1:100">
      <c r="A41478" s="374"/>
      <c r="C41478" s="374"/>
      <c r="CV41478" s="376"/>
    </row>
    <row r="41479" spans="1:100">
      <c r="A41479" s="374"/>
      <c r="C41479" s="374"/>
      <c r="CV41479" s="376"/>
    </row>
    <row r="41480" spans="1:100">
      <c r="A41480" s="374"/>
      <c r="C41480" s="374"/>
      <c r="CV41480" s="376"/>
    </row>
    <row r="41481" spans="1:100">
      <c r="A41481" s="374"/>
      <c r="C41481" s="374"/>
      <c r="CV41481" s="376"/>
    </row>
    <row r="41482" spans="1:100">
      <c r="A41482" s="374"/>
      <c r="C41482" s="374"/>
      <c r="CV41482" s="376"/>
    </row>
    <row r="41483" spans="1:100">
      <c r="A41483" s="374"/>
      <c r="C41483" s="374"/>
      <c r="CV41483" s="376"/>
    </row>
    <row r="41484" spans="1:100">
      <c r="A41484" s="374"/>
      <c r="C41484" s="374"/>
      <c r="CV41484" s="376"/>
    </row>
    <row r="41485" spans="1:100">
      <c r="A41485" s="374"/>
      <c r="C41485" s="374"/>
      <c r="CV41485" s="376"/>
    </row>
    <row r="41486" spans="1:100">
      <c r="A41486" s="374"/>
      <c r="C41486" s="374"/>
      <c r="CV41486" s="376"/>
    </row>
    <row r="41487" spans="1:100">
      <c r="A41487" s="374"/>
      <c r="C41487" s="374"/>
      <c r="CV41487" s="376"/>
    </row>
    <row r="41488" spans="1:100">
      <c r="A41488" s="374"/>
      <c r="C41488" s="374"/>
      <c r="CV41488" s="376"/>
    </row>
    <row r="41489" spans="1:100">
      <c r="A41489" s="374"/>
      <c r="C41489" s="374"/>
      <c r="CV41489" s="376"/>
    </row>
    <row r="41490" spans="1:100">
      <c r="A41490" s="374"/>
      <c r="C41490" s="374"/>
      <c r="CV41490" s="376"/>
    </row>
    <row r="41491" spans="1:100">
      <c r="A41491" s="374"/>
      <c r="C41491" s="374"/>
      <c r="CV41491" s="376"/>
    </row>
    <row r="41492" spans="1:100">
      <c r="A41492" s="374"/>
      <c r="C41492" s="374"/>
      <c r="CV41492" s="376"/>
    </row>
    <row r="41493" spans="1:100">
      <c r="A41493" s="374"/>
      <c r="C41493" s="374"/>
      <c r="CV41493" s="376"/>
    </row>
    <row r="41494" spans="1:100">
      <c r="A41494" s="374"/>
      <c r="C41494" s="374"/>
      <c r="CV41494" s="376"/>
    </row>
    <row r="41495" spans="1:100">
      <c r="A41495" s="374"/>
      <c r="C41495" s="374"/>
      <c r="CV41495" s="376"/>
    </row>
    <row r="41496" spans="1:100">
      <c r="A41496" s="374"/>
      <c r="C41496" s="374"/>
      <c r="CV41496" s="376"/>
    </row>
    <row r="41497" spans="1:100">
      <c r="A41497" s="374"/>
      <c r="C41497" s="374"/>
      <c r="CV41497" s="376"/>
    </row>
    <row r="41498" spans="1:100">
      <c r="A41498" s="374"/>
      <c r="C41498" s="374"/>
      <c r="CV41498" s="376"/>
    </row>
    <row r="41499" spans="1:100">
      <c r="A41499" s="374"/>
      <c r="C41499" s="374"/>
      <c r="CV41499" s="376"/>
    </row>
    <row r="41500" spans="1:100">
      <c r="A41500" s="374"/>
      <c r="C41500" s="374"/>
      <c r="CV41500" s="376"/>
    </row>
    <row r="41501" spans="1:100">
      <c r="A41501" s="374"/>
      <c r="C41501" s="374"/>
      <c r="CV41501" s="376"/>
    </row>
    <row r="41502" spans="1:100">
      <c r="A41502" s="374"/>
      <c r="C41502" s="374"/>
      <c r="CV41502" s="376"/>
    </row>
    <row r="41503" spans="1:100">
      <c r="A41503" s="374"/>
      <c r="C41503" s="374"/>
      <c r="CV41503" s="376"/>
    </row>
    <row r="41504" spans="1:100">
      <c r="A41504" s="374"/>
      <c r="C41504" s="374"/>
      <c r="CV41504" s="376"/>
    </row>
    <row r="41505" spans="1:100">
      <c r="A41505" s="374"/>
      <c r="C41505" s="374"/>
      <c r="CV41505" s="376"/>
    </row>
    <row r="41506" spans="1:100">
      <c r="A41506" s="374"/>
      <c r="C41506" s="374"/>
      <c r="CV41506" s="376"/>
    </row>
    <row r="41507" spans="1:100">
      <c r="A41507" s="374"/>
      <c r="C41507" s="374"/>
      <c r="CV41507" s="376"/>
    </row>
    <row r="41508" spans="1:100">
      <c r="A41508" s="374"/>
      <c r="C41508" s="374"/>
      <c r="CV41508" s="376"/>
    </row>
    <row r="41509" spans="1:100">
      <c r="A41509" s="374"/>
      <c r="C41509" s="374"/>
      <c r="CV41509" s="376"/>
    </row>
    <row r="41510" spans="1:100">
      <c r="A41510" s="374"/>
      <c r="C41510" s="374"/>
      <c r="CV41510" s="376"/>
    </row>
    <row r="41511" spans="1:100">
      <c r="A41511" s="374"/>
      <c r="C41511" s="374"/>
      <c r="CV41511" s="376"/>
    </row>
    <row r="41512" spans="1:100">
      <c r="A41512" s="374"/>
      <c r="C41512" s="374"/>
      <c r="CV41512" s="376"/>
    </row>
    <row r="41513" spans="1:100">
      <c r="A41513" s="374"/>
      <c r="C41513" s="374"/>
      <c r="CV41513" s="376"/>
    </row>
    <row r="41514" spans="1:100">
      <c r="A41514" s="374"/>
      <c r="C41514" s="374"/>
      <c r="CV41514" s="376"/>
    </row>
    <row r="41515" spans="1:100">
      <c r="A41515" s="374"/>
      <c r="C41515" s="374"/>
      <c r="CV41515" s="376"/>
    </row>
    <row r="41516" spans="1:100">
      <c r="A41516" s="374"/>
      <c r="C41516" s="374"/>
      <c r="CV41516" s="376"/>
    </row>
    <row r="41517" spans="1:100">
      <c r="A41517" s="374"/>
      <c r="C41517" s="374"/>
      <c r="CV41517" s="376"/>
    </row>
    <row r="41518" spans="1:100">
      <c r="A41518" s="374"/>
      <c r="C41518" s="374"/>
      <c r="CV41518" s="376"/>
    </row>
    <row r="41519" spans="1:100">
      <c r="A41519" s="374"/>
      <c r="C41519" s="374"/>
      <c r="CV41519" s="376"/>
    </row>
    <row r="41520" spans="1:100">
      <c r="A41520" s="374"/>
      <c r="C41520" s="374"/>
      <c r="CV41520" s="376"/>
    </row>
    <row r="41521" spans="1:100">
      <c r="A41521" s="374"/>
      <c r="C41521" s="374"/>
      <c r="CV41521" s="376"/>
    </row>
    <row r="41522" spans="1:100">
      <c r="A41522" s="374"/>
      <c r="C41522" s="374"/>
      <c r="CV41522" s="376"/>
    </row>
    <row r="41523" spans="1:100">
      <c r="A41523" s="374"/>
      <c r="C41523" s="374"/>
      <c r="CV41523" s="376"/>
    </row>
    <row r="41524" spans="1:100">
      <c r="A41524" s="374"/>
      <c r="C41524" s="374"/>
      <c r="CV41524" s="376"/>
    </row>
    <row r="41525" spans="1:100">
      <c r="A41525" s="374"/>
      <c r="C41525" s="374"/>
      <c r="CV41525" s="376"/>
    </row>
    <row r="41526" spans="1:100">
      <c r="A41526" s="374"/>
      <c r="C41526" s="374"/>
      <c r="CV41526" s="376"/>
    </row>
    <row r="41527" spans="1:100">
      <c r="A41527" s="374"/>
      <c r="C41527" s="374"/>
      <c r="CV41527" s="376"/>
    </row>
    <row r="41528" spans="1:100">
      <c r="A41528" s="374"/>
      <c r="C41528" s="374"/>
      <c r="CV41528" s="376"/>
    </row>
    <row r="41529" spans="1:100">
      <c r="A41529" s="374"/>
      <c r="C41529" s="374"/>
      <c r="CV41529" s="376"/>
    </row>
    <row r="41530" spans="1:100">
      <c r="A41530" s="374"/>
      <c r="C41530" s="374"/>
      <c r="CV41530" s="376"/>
    </row>
    <row r="41531" spans="1:100">
      <c r="A41531" s="374"/>
      <c r="C41531" s="374"/>
      <c r="CV41531" s="376"/>
    </row>
    <row r="41532" spans="1:100">
      <c r="A41532" s="374"/>
      <c r="C41532" s="374"/>
      <c r="CV41532" s="376"/>
    </row>
    <row r="41533" spans="1:100">
      <c r="A41533" s="374"/>
      <c r="C41533" s="374"/>
      <c r="CV41533" s="376"/>
    </row>
    <row r="41534" spans="1:100">
      <c r="A41534" s="374"/>
      <c r="C41534" s="374"/>
      <c r="CV41534" s="376"/>
    </row>
    <row r="41535" spans="1:100">
      <c r="A41535" s="374"/>
      <c r="C41535" s="374"/>
      <c r="CV41535" s="376"/>
    </row>
    <row r="41536" spans="1:100">
      <c r="A41536" s="374"/>
      <c r="C41536" s="374"/>
      <c r="CV41536" s="376"/>
    </row>
    <row r="41537" spans="1:100">
      <c r="A41537" s="374"/>
      <c r="C41537" s="374"/>
      <c r="CV41537" s="376"/>
    </row>
    <row r="41538" spans="1:100">
      <c r="A41538" s="374"/>
      <c r="C41538" s="374"/>
      <c r="CV41538" s="376"/>
    </row>
    <row r="41539" spans="1:100">
      <c r="A41539" s="374"/>
      <c r="C41539" s="374"/>
      <c r="CV41539" s="376"/>
    </row>
    <row r="41540" spans="1:100">
      <c r="A41540" s="374"/>
      <c r="C41540" s="374"/>
      <c r="CV41540" s="376"/>
    </row>
    <row r="41541" spans="1:100">
      <c r="A41541" s="374"/>
      <c r="C41541" s="374"/>
      <c r="CV41541" s="376"/>
    </row>
    <row r="41542" spans="1:100">
      <c r="A41542" s="374"/>
      <c r="C41542" s="374"/>
      <c r="CV41542" s="376"/>
    </row>
    <row r="41543" spans="1:100">
      <c r="A41543" s="374"/>
      <c r="C41543" s="374"/>
      <c r="CV41543" s="376"/>
    </row>
    <row r="41544" spans="1:100">
      <c r="A41544" s="374"/>
      <c r="C41544" s="374"/>
      <c r="CV41544" s="376"/>
    </row>
    <row r="41545" spans="1:100">
      <c r="A41545" s="374"/>
      <c r="C41545" s="374"/>
      <c r="CV41545" s="376"/>
    </row>
    <row r="41546" spans="1:100">
      <c r="A41546" s="374"/>
      <c r="C41546" s="374"/>
      <c r="CV41546" s="376"/>
    </row>
    <row r="41547" spans="1:100">
      <c r="A41547" s="374"/>
      <c r="C41547" s="374"/>
      <c r="CV41547" s="376"/>
    </row>
    <row r="41548" spans="1:100">
      <c r="A41548" s="374"/>
      <c r="C41548" s="374"/>
      <c r="CV41548" s="376"/>
    </row>
    <row r="41549" spans="1:100">
      <c r="A41549" s="374"/>
      <c r="C41549" s="374"/>
      <c r="CV41549" s="376"/>
    </row>
    <row r="41550" spans="1:100">
      <c r="A41550" s="374"/>
      <c r="C41550" s="374"/>
      <c r="CV41550" s="376"/>
    </row>
    <row r="41551" spans="1:100">
      <c r="A41551" s="374"/>
      <c r="C41551" s="374"/>
      <c r="CV41551" s="376"/>
    </row>
    <row r="41552" spans="1:100">
      <c r="A41552" s="374"/>
      <c r="C41552" s="374"/>
      <c r="CV41552" s="376"/>
    </row>
    <row r="41553" spans="1:100">
      <c r="A41553" s="374"/>
      <c r="C41553" s="374"/>
      <c r="CV41553" s="376"/>
    </row>
    <row r="41554" spans="1:100">
      <c r="A41554" s="374"/>
      <c r="C41554" s="374"/>
      <c r="CV41554" s="376"/>
    </row>
    <row r="41555" spans="1:100">
      <c r="A41555" s="374"/>
      <c r="C41555" s="374"/>
      <c r="CV41555" s="376"/>
    </row>
    <row r="41556" spans="1:100">
      <c r="A41556" s="374"/>
      <c r="C41556" s="374"/>
      <c r="CV41556" s="376"/>
    </row>
    <row r="41557" spans="1:100">
      <c r="A41557" s="374"/>
      <c r="C41557" s="374"/>
      <c r="CV41557" s="376"/>
    </row>
    <row r="41558" spans="1:100">
      <c r="A41558" s="374"/>
      <c r="C41558" s="374"/>
      <c r="CV41558" s="376"/>
    </row>
    <row r="41559" spans="1:100">
      <c r="A41559" s="374"/>
      <c r="C41559" s="374"/>
      <c r="CV41559" s="376"/>
    </row>
    <row r="41560" spans="1:100">
      <c r="A41560" s="374"/>
      <c r="C41560" s="374"/>
      <c r="CV41560" s="376"/>
    </row>
    <row r="41561" spans="1:100">
      <c r="A41561" s="374"/>
      <c r="C41561" s="374"/>
      <c r="CV41561" s="376"/>
    </row>
    <row r="41562" spans="1:100">
      <c r="A41562" s="374"/>
      <c r="C41562" s="374"/>
      <c r="CV41562" s="376"/>
    </row>
    <row r="41563" spans="1:100">
      <c r="A41563" s="374"/>
      <c r="C41563" s="374"/>
      <c r="CV41563" s="376"/>
    </row>
    <row r="41564" spans="1:100">
      <c r="A41564" s="374"/>
      <c r="C41564" s="374"/>
      <c r="CV41564" s="376"/>
    </row>
    <row r="41565" spans="1:100">
      <c r="A41565" s="374"/>
      <c r="C41565" s="374"/>
      <c r="CV41565" s="376"/>
    </row>
    <row r="41566" spans="1:100">
      <c r="A41566" s="374"/>
      <c r="C41566" s="374"/>
      <c r="CV41566" s="376"/>
    </row>
    <row r="41567" spans="1:100">
      <c r="A41567" s="374"/>
      <c r="C41567" s="374"/>
      <c r="CV41567" s="376"/>
    </row>
    <row r="41568" spans="1:100">
      <c r="A41568" s="374"/>
      <c r="C41568" s="374"/>
      <c r="CV41568" s="376"/>
    </row>
    <row r="41569" spans="1:100">
      <c r="A41569" s="374"/>
      <c r="C41569" s="374"/>
      <c r="CV41569" s="376"/>
    </row>
    <row r="41570" spans="1:100">
      <c r="A41570" s="374"/>
      <c r="C41570" s="374"/>
      <c r="CV41570" s="376"/>
    </row>
    <row r="41571" spans="1:100">
      <c r="A41571" s="374"/>
      <c r="C41571" s="374"/>
      <c r="CV41571" s="376"/>
    </row>
    <row r="41572" spans="1:100">
      <c r="A41572" s="374"/>
      <c r="C41572" s="374"/>
      <c r="CV41572" s="376"/>
    </row>
    <row r="41573" spans="1:100">
      <c r="A41573" s="374"/>
      <c r="C41573" s="374"/>
      <c r="CV41573" s="376"/>
    </row>
    <row r="41574" spans="1:100">
      <c r="A41574" s="374"/>
      <c r="C41574" s="374"/>
      <c r="CV41574" s="376"/>
    </row>
    <row r="41575" spans="1:100">
      <c r="A41575" s="374"/>
      <c r="C41575" s="374"/>
      <c r="CV41575" s="376"/>
    </row>
    <row r="41576" spans="1:100">
      <c r="A41576" s="374"/>
      <c r="C41576" s="374"/>
      <c r="CV41576" s="376"/>
    </row>
    <row r="41577" spans="1:100">
      <c r="A41577" s="374"/>
      <c r="C41577" s="374"/>
      <c r="CV41577" s="376"/>
    </row>
    <row r="41578" spans="1:100">
      <c r="A41578" s="374"/>
      <c r="C41578" s="374"/>
      <c r="CV41578" s="376"/>
    </row>
    <row r="41579" spans="1:100">
      <c r="A41579" s="374"/>
      <c r="C41579" s="374"/>
      <c r="CV41579" s="376"/>
    </row>
    <row r="41580" spans="1:100">
      <c r="A41580" s="374"/>
      <c r="C41580" s="374"/>
      <c r="CV41580" s="376"/>
    </row>
    <row r="41581" spans="1:100">
      <c r="A41581" s="374"/>
      <c r="C41581" s="374"/>
      <c r="CV41581" s="376"/>
    </row>
    <row r="41582" spans="1:100">
      <c r="A41582" s="374"/>
      <c r="C41582" s="374"/>
      <c r="CV41582" s="376"/>
    </row>
    <row r="41583" spans="1:100">
      <c r="A41583" s="374"/>
      <c r="C41583" s="374"/>
      <c r="CV41583" s="376"/>
    </row>
    <row r="41584" spans="1:100">
      <c r="A41584" s="374"/>
      <c r="C41584" s="374"/>
      <c r="CV41584" s="376"/>
    </row>
    <row r="41585" spans="1:100">
      <c r="A41585" s="374"/>
      <c r="C41585" s="374"/>
      <c r="CV41585" s="376"/>
    </row>
    <row r="41586" spans="1:100">
      <c r="A41586" s="374"/>
      <c r="C41586" s="374"/>
      <c r="CV41586" s="376"/>
    </row>
    <row r="41587" spans="1:100">
      <c r="A41587" s="374"/>
      <c r="C41587" s="374"/>
      <c r="CV41587" s="376"/>
    </row>
    <row r="41588" spans="1:100">
      <c r="A41588" s="374"/>
      <c r="C41588" s="374"/>
      <c r="CV41588" s="376"/>
    </row>
    <row r="41589" spans="1:100">
      <c r="A41589" s="374"/>
      <c r="C41589" s="374"/>
      <c r="CV41589" s="376"/>
    </row>
    <row r="41590" spans="1:100">
      <c r="A41590" s="374"/>
      <c r="C41590" s="374"/>
      <c r="CV41590" s="376"/>
    </row>
    <row r="41591" spans="1:100">
      <c r="A41591" s="374"/>
      <c r="C41591" s="374"/>
      <c r="CV41591" s="376"/>
    </row>
    <row r="41592" spans="1:100">
      <c r="A41592" s="374"/>
      <c r="C41592" s="374"/>
      <c r="CV41592" s="376"/>
    </row>
    <row r="41593" spans="1:100">
      <c r="A41593" s="374"/>
      <c r="C41593" s="374"/>
      <c r="CV41593" s="376"/>
    </row>
    <row r="41594" spans="1:100">
      <c r="A41594" s="374"/>
      <c r="C41594" s="374"/>
      <c r="CV41594" s="376"/>
    </row>
    <row r="41595" spans="1:100">
      <c r="A41595" s="374"/>
      <c r="C41595" s="374"/>
      <c r="CV41595" s="376"/>
    </row>
    <row r="41596" spans="1:100">
      <c r="A41596" s="374"/>
      <c r="C41596" s="374"/>
      <c r="CV41596" s="376"/>
    </row>
    <row r="41597" spans="1:100">
      <c r="A41597" s="374"/>
      <c r="C41597" s="374"/>
      <c r="CV41597" s="376"/>
    </row>
    <row r="41598" spans="1:100">
      <c r="A41598" s="374"/>
      <c r="C41598" s="374"/>
      <c r="CV41598" s="376"/>
    </row>
    <row r="41599" spans="1:100">
      <c r="A41599" s="374"/>
      <c r="C41599" s="374"/>
      <c r="CV41599" s="376"/>
    </row>
    <row r="41600" spans="1:100">
      <c r="A41600" s="374"/>
      <c r="C41600" s="374"/>
      <c r="CV41600" s="376"/>
    </row>
    <row r="41601" spans="1:100">
      <c r="A41601" s="374"/>
      <c r="C41601" s="374"/>
      <c r="CV41601" s="376"/>
    </row>
    <row r="41602" spans="1:100">
      <c r="A41602" s="374"/>
      <c r="C41602" s="374"/>
      <c r="CV41602" s="376"/>
    </row>
    <row r="41603" spans="1:100">
      <c r="A41603" s="374"/>
      <c r="C41603" s="374"/>
      <c r="CV41603" s="376"/>
    </row>
    <row r="41604" spans="1:100">
      <c r="A41604" s="374"/>
      <c r="C41604" s="374"/>
      <c r="CV41604" s="376"/>
    </row>
    <row r="41605" spans="1:100">
      <c r="A41605" s="374"/>
      <c r="C41605" s="374"/>
      <c r="CV41605" s="376"/>
    </row>
    <row r="41606" spans="1:100">
      <c r="A41606" s="374"/>
      <c r="C41606" s="374"/>
      <c r="CV41606" s="376"/>
    </row>
    <row r="41607" spans="1:100">
      <c r="A41607" s="374"/>
      <c r="C41607" s="374"/>
      <c r="CV41607" s="376"/>
    </row>
    <row r="41608" spans="1:100">
      <c r="A41608" s="374"/>
      <c r="C41608" s="374"/>
      <c r="CV41608" s="376"/>
    </row>
    <row r="41609" spans="1:100">
      <c r="A41609" s="374"/>
      <c r="C41609" s="374"/>
      <c r="CV41609" s="376"/>
    </row>
    <row r="41610" spans="1:100">
      <c r="A41610" s="374"/>
      <c r="C41610" s="374"/>
      <c r="CV41610" s="376"/>
    </row>
    <row r="41611" spans="1:100">
      <c r="A41611" s="374"/>
      <c r="C41611" s="374"/>
      <c r="CV41611" s="376"/>
    </row>
    <row r="41612" spans="1:100">
      <c r="A41612" s="374"/>
      <c r="C41612" s="374"/>
      <c r="CV41612" s="376"/>
    </row>
    <row r="41613" spans="1:100">
      <c r="A41613" s="374"/>
      <c r="C41613" s="374"/>
      <c r="CV41613" s="376"/>
    </row>
    <row r="41614" spans="1:100">
      <c r="A41614" s="374"/>
      <c r="C41614" s="374"/>
      <c r="CV41614" s="376"/>
    </row>
    <row r="41615" spans="1:100">
      <c r="A41615" s="374"/>
      <c r="C41615" s="374"/>
      <c r="CV41615" s="376"/>
    </row>
    <row r="41616" spans="1:100">
      <c r="A41616" s="374"/>
      <c r="C41616" s="374"/>
      <c r="CV41616" s="376"/>
    </row>
    <row r="41617" spans="1:100">
      <c r="A41617" s="374"/>
      <c r="C41617" s="374"/>
      <c r="CV41617" s="376"/>
    </row>
    <row r="41618" spans="1:100">
      <c r="A41618" s="374"/>
      <c r="C41618" s="374"/>
      <c r="CV41618" s="376"/>
    </row>
    <row r="41619" spans="1:100">
      <c r="A41619" s="374"/>
      <c r="C41619" s="374"/>
      <c r="CV41619" s="376"/>
    </row>
    <row r="41620" spans="1:100">
      <c r="A41620" s="374"/>
      <c r="C41620" s="374"/>
      <c r="CV41620" s="376"/>
    </row>
    <row r="41621" spans="1:100">
      <c r="A41621" s="374"/>
      <c r="C41621" s="374"/>
      <c r="CV41621" s="376"/>
    </row>
    <row r="41622" spans="1:100">
      <c r="A41622" s="374"/>
      <c r="C41622" s="374"/>
      <c r="CV41622" s="376"/>
    </row>
    <row r="41623" spans="1:100">
      <c r="A41623" s="374"/>
      <c r="C41623" s="374"/>
      <c r="CV41623" s="376"/>
    </row>
    <row r="41624" spans="1:100">
      <c r="A41624" s="374"/>
      <c r="C41624" s="374"/>
      <c r="CV41624" s="376"/>
    </row>
    <row r="41625" spans="1:100">
      <c r="A41625" s="374"/>
      <c r="C41625" s="374"/>
      <c r="CV41625" s="376"/>
    </row>
    <row r="41626" spans="1:100">
      <c r="A41626" s="374"/>
      <c r="C41626" s="374"/>
      <c r="CV41626" s="376"/>
    </row>
    <row r="41627" spans="1:100">
      <c r="A41627" s="374"/>
      <c r="C41627" s="374"/>
      <c r="CV41627" s="376"/>
    </row>
    <row r="41628" spans="1:100">
      <c r="A41628" s="374"/>
      <c r="C41628" s="374"/>
      <c r="CV41628" s="376"/>
    </row>
    <row r="41629" spans="1:100">
      <c r="A41629" s="374"/>
      <c r="C41629" s="374"/>
      <c r="CV41629" s="376"/>
    </row>
    <row r="41630" spans="1:100">
      <c r="A41630" s="374"/>
      <c r="C41630" s="374"/>
      <c r="CV41630" s="376"/>
    </row>
    <row r="41631" spans="1:100">
      <c r="A41631" s="374"/>
      <c r="C41631" s="374"/>
      <c r="CV41631" s="376"/>
    </row>
    <row r="41632" spans="1:100">
      <c r="A41632" s="374"/>
      <c r="C41632" s="374"/>
      <c r="CV41632" s="376"/>
    </row>
    <row r="41633" spans="1:100">
      <c r="A41633" s="374"/>
      <c r="C41633" s="374"/>
      <c r="CV41633" s="376"/>
    </row>
    <row r="41634" spans="1:100">
      <c r="A41634" s="374"/>
      <c r="C41634" s="374"/>
      <c r="CV41634" s="376"/>
    </row>
    <row r="41635" spans="1:100">
      <c r="A41635" s="374"/>
      <c r="C41635" s="374"/>
      <c r="CV41635" s="376"/>
    </row>
    <row r="41636" spans="1:100">
      <c r="A41636" s="374"/>
      <c r="C41636" s="374"/>
      <c r="CV41636" s="376"/>
    </row>
    <row r="41637" spans="1:100">
      <c r="A41637" s="374"/>
      <c r="C41637" s="374"/>
      <c r="CV41637" s="376"/>
    </row>
    <row r="41638" spans="1:100">
      <c r="A41638" s="374"/>
      <c r="C41638" s="374"/>
      <c r="CV41638" s="376"/>
    </row>
    <row r="41639" spans="1:100">
      <c r="A41639" s="374"/>
      <c r="C41639" s="374"/>
      <c r="CV41639" s="376"/>
    </row>
    <row r="41640" spans="1:100">
      <c r="A41640" s="374"/>
      <c r="C41640" s="374"/>
      <c r="CV41640" s="376"/>
    </row>
    <row r="41641" spans="1:100">
      <c r="A41641" s="374"/>
      <c r="C41641" s="374"/>
      <c r="CV41641" s="376"/>
    </row>
    <row r="41642" spans="1:100">
      <c r="A41642" s="374"/>
      <c r="C41642" s="374"/>
      <c r="CV41642" s="376"/>
    </row>
    <row r="41643" spans="1:100">
      <c r="A41643" s="374"/>
      <c r="C41643" s="374"/>
      <c r="CV41643" s="376"/>
    </row>
    <row r="41644" spans="1:100">
      <c r="A41644" s="374"/>
      <c r="C41644" s="374"/>
      <c r="CV41644" s="376"/>
    </row>
    <row r="41645" spans="1:100">
      <c r="A41645" s="374"/>
      <c r="C41645" s="374"/>
      <c r="CV41645" s="376"/>
    </row>
    <row r="41646" spans="1:100">
      <c r="A41646" s="374"/>
      <c r="C41646" s="374"/>
      <c r="CV41646" s="376"/>
    </row>
    <row r="41647" spans="1:100">
      <c r="A41647" s="374"/>
      <c r="C41647" s="374"/>
      <c r="CV41647" s="376"/>
    </row>
    <row r="41648" spans="1:100">
      <c r="A41648" s="374"/>
      <c r="C41648" s="374"/>
      <c r="CV41648" s="376"/>
    </row>
    <row r="41649" spans="1:100">
      <c r="A41649" s="374"/>
      <c r="C41649" s="374"/>
      <c r="CV41649" s="376"/>
    </row>
    <row r="41650" spans="1:100">
      <c r="A41650" s="374"/>
      <c r="C41650" s="374"/>
      <c r="CV41650" s="376"/>
    </row>
    <row r="41651" spans="1:100">
      <c r="A41651" s="374"/>
      <c r="C41651" s="374"/>
      <c r="CV41651" s="376"/>
    </row>
    <row r="41652" spans="1:100">
      <c r="A41652" s="374"/>
      <c r="C41652" s="374"/>
      <c r="CV41652" s="376"/>
    </row>
    <row r="41653" spans="1:100">
      <c r="A41653" s="374"/>
      <c r="C41653" s="374"/>
      <c r="CV41653" s="376"/>
    </row>
    <row r="41654" spans="1:100">
      <c r="A41654" s="374"/>
      <c r="C41654" s="374"/>
      <c r="CV41654" s="376"/>
    </row>
    <row r="41655" spans="1:100">
      <c r="A41655" s="374"/>
      <c r="C41655" s="374"/>
      <c r="CV41655" s="376"/>
    </row>
    <row r="41656" spans="1:100">
      <c r="A41656" s="374"/>
      <c r="C41656" s="374"/>
      <c r="CV41656" s="376"/>
    </row>
    <row r="41657" spans="1:100">
      <c r="A41657" s="374"/>
      <c r="C41657" s="374"/>
      <c r="CV41657" s="376"/>
    </row>
    <row r="41658" spans="1:100">
      <c r="A41658" s="374"/>
      <c r="C41658" s="374"/>
      <c r="CV41658" s="376"/>
    </row>
    <row r="41659" spans="1:100">
      <c r="A41659" s="374"/>
      <c r="C41659" s="374"/>
      <c r="CV41659" s="376"/>
    </row>
    <row r="41660" spans="1:100">
      <c r="A41660" s="374"/>
      <c r="C41660" s="374"/>
      <c r="CV41660" s="376"/>
    </row>
    <row r="41661" spans="1:100">
      <c r="A41661" s="374"/>
      <c r="C41661" s="374"/>
      <c r="CV41661" s="376"/>
    </row>
    <row r="41662" spans="1:100">
      <c r="A41662" s="374"/>
      <c r="C41662" s="374"/>
      <c r="CV41662" s="376"/>
    </row>
    <row r="41663" spans="1:100">
      <c r="A41663" s="374"/>
      <c r="C41663" s="374"/>
      <c r="CV41663" s="376"/>
    </row>
    <row r="41664" spans="1:100">
      <c r="A41664" s="374"/>
      <c r="C41664" s="374"/>
      <c r="CV41664" s="376"/>
    </row>
    <row r="41665" spans="1:100">
      <c r="A41665" s="374"/>
      <c r="C41665" s="374"/>
      <c r="CV41665" s="376"/>
    </row>
    <row r="41666" spans="1:100">
      <c r="A41666" s="374"/>
      <c r="C41666" s="374"/>
      <c r="CV41666" s="376"/>
    </row>
    <row r="41667" spans="1:100">
      <c r="A41667" s="374"/>
      <c r="C41667" s="374"/>
      <c r="CV41667" s="376"/>
    </row>
    <row r="41668" spans="1:100">
      <c r="A41668" s="374"/>
      <c r="C41668" s="374"/>
      <c r="CV41668" s="376"/>
    </row>
    <row r="41669" spans="1:100">
      <c r="A41669" s="374"/>
      <c r="C41669" s="374"/>
      <c r="CV41669" s="376"/>
    </row>
    <row r="41670" spans="1:100">
      <c r="A41670" s="374"/>
      <c r="C41670" s="374"/>
      <c r="CV41670" s="376"/>
    </row>
    <row r="41671" spans="1:100">
      <c r="A41671" s="374"/>
      <c r="C41671" s="374"/>
      <c r="CV41671" s="376"/>
    </row>
    <row r="41672" spans="1:100">
      <c r="A41672" s="374"/>
      <c r="C41672" s="374"/>
      <c r="CV41672" s="376"/>
    </row>
    <row r="41673" spans="1:100">
      <c r="A41673" s="374"/>
      <c r="C41673" s="374"/>
      <c r="CV41673" s="376"/>
    </row>
    <row r="41674" spans="1:100">
      <c r="A41674" s="374"/>
      <c r="C41674" s="374"/>
      <c r="CV41674" s="376"/>
    </row>
    <row r="41675" spans="1:100">
      <c r="A41675" s="374"/>
      <c r="C41675" s="374"/>
      <c r="CV41675" s="376"/>
    </row>
    <row r="41676" spans="1:100">
      <c r="A41676" s="374"/>
      <c r="C41676" s="374"/>
      <c r="CV41676" s="376"/>
    </row>
    <row r="41677" spans="1:100">
      <c r="A41677" s="374"/>
      <c r="C41677" s="374"/>
      <c r="CV41677" s="376"/>
    </row>
    <row r="41678" spans="1:100">
      <c r="A41678" s="374"/>
      <c r="C41678" s="374"/>
      <c r="CV41678" s="376"/>
    </row>
    <row r="41679" spans="1:100">
      <c r="A41679" s="374"/>
      <c r="C41679" s="374"/>
      <c r="CV41679" s="376"/>
    </row>
    <row r="41680" spans="1:100">
      <c r="A41680" s="374"/>
      <c r="C41680" s="374"/>
      <c r="CV41680" s="376"/>
    </row>
    <row r="41681" spans="1:100">
      <c r="A41681" s="374"/>
      <c r="C41681" s="374"/>
      <c r="CV41681" s="376"/>
    </row>
    <row r="41682" spans="1:100">
      <c r="A41682" s="374"/>
      <c r="C41682" s="374"/>
      <c r="CV41682" s="376"/>
    </row>
    <row r="41683" spans="1:100">
      <c r="A41683" s="374"/>
      <c r="C41683" s="374"/>
      <c r="CV41683" s="376"/>
    </row>
    <row r="41684" spans="1:100">
      <c r="A41684" s="374"/>
      <c r="C41684" s="374"/>
      <c r="CV41684" s="376"/>
    </row>
    <row r="41685" spans="1:100">
      <c r="A41685" s="374"/>
      <c r="C41685" s="374"/>
      <c r="CV41685" s="376"/>
    </row>
    <row r="41686" spans="1:100">
      <c r="A41686" s="374"/>
      <c r="C41686" s="374"/>
      <c r="CV41686" s="376"/>
    </row>
    <row r="41687" spans="1:100">
      <c r="A41687" s="374"/>
      <c r="C41687" s="374"/>
      <c r="CV41687" s="376"/>
    </row>
    <row r="41688" spans="1:100">
      <c r="A41688" s="374"/>
      <c r="C41688" s="374"/>
      <c r="CV41688" s="376"/>
    </row>
    <row r="41689" spans="1:100">
      <c r="A41689" s="374"/>
      <c r="C41689" s="374"/>
      <c r="CV41689" s="376"/>
    </row>
    <row r="41690" spans="1:100">
      <c r="A41690" s="374"/>
      <c r="C41690" s="374"/>
      <c r="CV41690" s="376"/>
    </row>
    <row r="41691" spans="1:100">
      <c r="A41691" s="374"/>
      <c r="C41691" s="374"/>
      <c r="CV41691" s="376"/>
    </row>
    <row r="41692" spans="1:100">
      <c r="A41692" s="374"/>
      <c r="C41692" s="374"/>
      <c r="CV41692" s="376"/>
    </row>
    <row r="41693" spans="1:100">
      <c r="A41693" s="374"/>
      <c r="C41693" s="374"/>
      <c r="CV41693" s="376"/>
    </row>
    <row r="41694" spans="1:100">
      <c r="A41694" s="374"/>
      <c r="C41694" s="374"/>
      <c r="CV41694" s="376"/>
    </row>
    <row r="41695" spans="1:100">
      <c r="A41695" s="374"/>
      <c r="C41695" s="374"/>
      <c r="CV41695" s="376"/>
    </row>
    <row r="41696" spans="1:100">
      <c r="A41696" s="374"/>
      <c r="C41696" s="374"/>
      <c r="CV41696" s="376"/>
    </row>
    <row r="41697" spans="1:100">
      <c r="A41697" s="374"/>
      <c r="C41697" s="374"/>
      <c r="CV41697" s="376"/>
    </row>
    <row r="41698" spans="1:100">
      <c r="A41698" s="374"/>
      <c r="C41698" s="374"/>
      <c r="CV41698" s="376"/>
    </row>
    <row r="41699" spans="1:100">
      <c r="A41699" s="374"/>
      <c r="C41699" s="374"/>
      <c r="CV41699" s="376"/>
    </row>
    <row r="41700" spans="1:100">
      <c r="A41700" s="374"/>
      <c r="C41700" s="374"/>
      <c r="CV41700" s="376"/>
    </row>
    <row r="41701" spans="1:100">
      <c r="A41701" s="374"/>
      <c r="C41701" s="374"/>
      <c r="CV41701" s="376"/>
    </row>
    <row r="41702" spans="1:100">
      <c r="A41702" s="374"/>
      <c r="C41702" s="374"/>
      <c r="CV41702" s="376"/>
    </row>
    <row r="41703" spans="1:100">
      <c r="A41703" s="374"/>
      <c r="C41703" s="374"/>
      <c r="CV41703" s="376"/>
    </row>
    <row r="41704" spans="1:100">
      <c r="A41704" s="374"/>
      <c r="C41704" s="374"/>
      <c r="CV41704" s="376"/>
    </row>
    <row r="41705" spans="1:100">
      <c r="A41705" s="374"/>
      <c r="C41705" s="374"/>
      <c r="CV41705" s="376"/>
    </row>
    <row r="41706" spans="1:100">
      <c r="A41706" s="374"/>
      <c r="C41706" s="374"/>
      <c r="CV41706" s="376"/>
    </row>
    <row r="41707" spans="1:100">
      <c r="A41707" s="374"/>
      <c r="C41707" s="374"/>
      <c r="CV41707" s="376"/>
    </row>
    <row r="41708" spans="1:100">
      <c r="A41708" s="374"/>
      <c r="C41708" s="374"/>
      <c r="CV41708" s="376"/>
    </row>
    <row r="41709" spans="1:100">
      <c r="A41709" s="374"/>
      <c r="C41709" s="374"/>
      <c r="CV41709" s="376"/>
    </row>
    <row r="41710" spans="1:100">
      <c r="A41710" s="374"/>
      <c r="C41710" s="374"/>
      <c r="CV41710" s="376"/>
    </row>
    <row r="41711" spans="1:100">
      <c r="A41711" s="374"/>
      <c r="C41711" s="374"/>
      <c r="CV41711" s="376"/>
    </row>
    <row r="41712" spans="1:100">
      <c r="A41712" s="374"/>
      <c r="C41712" s="374"/>
      <c r="CV41712" s="376"/>
    </row>
    <row r="41713" spans="1:100">
      <c r="A41713" s="374"/>
      <c r="C41713" s="374"/>
      <c r="CV41713" s="376"/>
    </row>
    <row r="41714" spans="1:100">
      <c r="A41714" s="374"/>
      <c r="C41714" s="374"/>
      <c r="CV41714" s="376"/>
    </row>
    <row r="41715" spans="1:100">
      <c r="A41715" s="374"/>
      <c r="C41715" s="374"/>
      <c r="CV41715" s="376"/>
    </row>
    <row r="41716" spans="1:100">
      <c r="A41716" s="374"/>
      <c r="C41716" s="374"/>
      <c r="CV41716" s="376"/>
    </row>
    <row r="41717" spans="1:100">
      <c r="A41717" s="374"/>
      <c r="C41717" s="374"/>
      <c r="CV41717" s="376"/>
    </row>
    <row r="41718" spans="1:100">
      <c r="A41718" s="374"/>
      <c r="C41718" s="374"/>
      <c r="CV41718" s="376"/>
    </row>
    <row r="41719" spans="1:100">
      <c r="A41719" s="374"/>
      <c r="C41719" s="374"/>
      <c r="CV41719" s="376"/>
    </row>
    <row r="41720" spans="1:100">
      <c r="A41720" s="374"/>
      <c r="C41720" s="374"/>
      <c r="CV41720" s="376"/>
    </row>
    <row r="41721" spans="1:100">
      <c r="A41721" s="374"/>
      <c r="C41721" s="374"/>
      <c r="CV41721" s="376"/>
    </row>
    <row r="41722" spans="1:100">
      <c r="A41722" s="374"/>
      <c r="C41722" s="374"/>
      <c r="CV41722" s="376"/>
    </row>
    <row r="41723" spans="1:100">
      <c r="A41723" s="374"/>
      <c r="C41723" s="374"/>
      <c r="CV41723" s="376"/>
    </row>
    <row r="41724" spans="1:100">
      <c r="A41724" s="374"/>
      <c r="C41724" s="374"/>
      <c r="CV41724" s="376"/>
    </row>
    <row r="41725" spans="1:100">
      <c r="A41725" s="374"/>
      <c r="C41725" s="374"/>
      <c r="CV41725" s="376"/>
    </row>
    <row r="41726" spans="1:100">
      <c r="A41726" s="374"/>
      <c r="C41726" s="374"/>
      <c r="CV41726" s="376"/>
    </row>
    <row r="41727" spans="1:100">
      <c r="A41727" s="374"/>
      <c r="C41727" s="374"/>
      <c r="CV41727" s="376"/>
    </row>
    <row r="41728" spans="1:100">
      <c r="A41728" s="374"/>
      <c r="C41728" s="374"/>
      <c r="CV41728" s="376"/>
    </row>
    <row r="41729" spans="1:100">
      <c r="A41729" s="374"/>
      <c r="C41729" s="374"/>
      <c r="CV41729" s="376"/>
    </row>
    <row r="41730" spans="1:100">
      <c r="A41730" s="374"/>
      <c r="C41730" s="374"/>
      <c r="CV41730" s="376"/>
    </row>
    <row r="41731" spans="1:100">
      <c r="A41731" s="374"/>
      <c r="C41731" s="374"/>
      <c r="CV41731" s="376"/>
    </row>
    <row r="41732" spans="1:100">
      <c r="A41732" s="374"/>
      <c r="C41732" s="374"/>
      <c r="CV41732" s="376"/>
    </row>
    <row r="41733" spans="1:100">
      <c r="A41733" s="374"/>
      <c r="C41733" s="374"/>
      <c r="CV41733" s="376"/>
    </row>
    <row r="41734" spans="1:100">
      <c r="A41734" s="374"/>
      <c r="C41734" s="374"/>
      <c r="CV41734" s="376"/>
    </row>
    <row r="41735" spans="1:100">
      <c r="A41735" s="374"/>
      <c r="C41735" s="374"/>
      <c r="CV41735" s="376"/>
    </row>
    <row r="41736" spans="1:100">
      <c r="A41736" s="374"/>
      <c r="C41736" s="374"/>
      <c r="CV41736" s="376"/>
    </row>
    <row r="41737" spans="1:100">
      <c r="A41737" s="374"/>
      <c r="C41737" s="374"/>
      <c r="CV41737" s="376"/>
    </row>
    <row r="41738" spans="1:100">
      <c r="A41738" s="374"/>
      <c r="C41738" s="374"/>
      <c r="CV41738" s="376"/>
    </row>
    <row r="41739" spans="1:100">
      <c r="A41739" s="374"/>
      <c r="C41739" s="374"/>
      <c r="CV41739" s="376"/>
    </row>
    <row r="41740" spans="1:100">
      <c r="A41740" s="374"/>
      <c r="C41740" s="374"/>
      <c r="CV41740" s="376"/>
    </row>
    <row r="41741" spans="1:100">
      <c r="A41741" s="374"/>
      <c r="C41741" s="374"/>
      <c r="CV41741" s="376"/>
    </row>
    <row r="41742" spans="1:100">
      <c r="A41742" s="374"/>
      <c r="C41742" s="374"/>
      <c r="CV41742" s="376"/>
    </row>
    <row r="41743" spans="1:100">
      <c r="A41743" s="374"/>
      <c r="C41743" s="374"/>
      <c r="CV41743" s="376"/>
    </row>
    <row r="41744" spans="1:100">
      <c r="A41744" s="374"/>
      <c r="C41744" s="374"/>
      <c r="CV41744" s="376"/>
    </row>
    <row r="41745" spans="1:100">
      <c r="A41745" s="374"/>
      <c r="C41745" s="374"/>
      <c r="CV41745" s="376"/>
    </row>
    <row r="41746" spans="1:100">
      <c r="A41746" s="374"/>
      <c r="C41746" s="374"/>
      <c r="CV41746" s="376"/>
    </row>
    <row r="41747" spans="1:100">
      <c r="A41747" s="374"/>
      <c r="C41747" s="374"/>
      <c r="CV41747" s="376"/>
    </row>
    <row r="41748" spans="1:100">
      <c r="A41748" s="374"/>
      <c r="C41748" s="374"/>
      <c r="CV41748" s="376"/>
    </row>
    <row r="41749" spans="1:100">
      <c r="A41749" s="374"/>
      <c r="C41749" s="374"/>
      <c r="CV41749" s="376"/>
    </row>
    <row r="41750" spans="1:100">
      <c r="A41750" s="374"/>
      <c r="C41750" s="374"/>
      <c r="CV41750" s="376"/>
    </row>
    <row r="41751" spans="1:100">
      <c r="A41751" s="374"/>
      <c r="C41751" s="374"/>
      <c r="CV41751" s="376"/>
    </row>
    <row r="41752" spans="1:100">
      <c r="A41752" s="374"/>
      <c r="C41752" s="374"/>
      <c r="CV41752" s="376"/>
    </row>
    <row r="41753" spans="1:100">
      <c r="A41753" s="374"/>
      <c r="C41753" s="374"/>
      <c r="CV41753" s="376"/>
    </row>
    <row r="41754" spans="1:100">
      <c r="A41754" s="374"/>
      <c r="C41754" s="374"/>
      <c r="CV41754" s="376"/>
    </row>
    <row r="41755" spans="1:100">
      <c r="A41755" s="374"/>
      <c r="C41755" s="374"/>
      <c r="CV41755" s="376"/>
    </row>
    <row r="41756" spans="1:100">
      <c r="A41756" s="374"/>
      <c r="C41756" s="374"/>
      <c r="CV41756" s="376"/>
    </row>
    <row r="41757" spans="1:100">
      <c r="A41757" s="374"/>
      <c r="C41757" s="374"/>
      <c r="CV41757" s="376"/>
    </row>
    <row r="41758" spans="1:100">
      <c r="A41758" s="374"/>
      <c r="C41758" s="374"/>
      <c r="CV41758" s="376"/>
    </row>
    <row r="41759" spans="1:100">
      <c r="A41759" s="374"/>
      <c r="C41759" s="374"/>
      <c r="CV41759" s="376"/>
    </row>
    <row r="41760" spans="1:100">
      <c r="A41760" s="374"/>
      <c r="C41760" s="374"/>
      <c r="CV41760" s="376"/>
    </row>
    <row r="41761" spans="1:100">
      <c r="A41761" s="374"/>
      <c r="C41761" s="374"/>
      <c r="CV41761" s="376"/>
    </row>
    <row r="41762" spans="1:100">
      <c r="A41762" s="374"/>
      <c r="C41762" s="374"/>
      <c r="CV41762" s="376"/>
    </row>
    <row r="41763" spans="1:100">
      <c r="A41763" s="374"/>
      <c r="C41763" s="374"/>
      <c r="CV41763" s="376"/>
    </row>
    <row r="41764" spans="1:100">
      <c r="A41764" s="374"/>
      <c r="C41764" s="374"/>
      <c r="CV41764" s="376"/>
    </row>
    <row r="41765" spans="1:100">
      <c r="A41765" s="374"/>
      <c r="C41765" s="374"/>
      <c r="CV41765" s="376"/>
    </row>
    <row r="41766" spans="1:100">
      <c r="A41766" s="374"/>
      <c r="C41766" s="374"/>
      <c r="CV41766" s="376"/>
    </row>
    <row r="41767" spans="1:100">
      <c r="A41767" s="374"/>
      <c r="C41767" s="374"/>
      <c r="CV41767" s="376"/>
    </row>
    <row r="41768" spans="1:100">
      <c r="A41768" s="374"/>
      <c r="C41768" s="374"/>
      <c r="CV41768" s="376"/>
    </row>
    <row r="41769" spans="1:100">
      <c r="A41769" s="374"/>
      <c r="C41769" s="374"/>
      <c r="CV41769" s="376"/>
    </row>
    <row r="41770" spans="1:100">
      <c r="A41770" s="374"/>
      <c r="C41770" s="374"/>
      <c r="CV41770" s="376"/>
    </row>
    <row r="41771" spans="1:100">
      <c r="A41771" s="374"/>
      <c r="C41771" s="374"/>
      <c r="CV41771" s="376"/>
    </row>
    <row r="41772" spans="1:100">
      <c r="A41772" s="374"/>
      <c r="C41772" s="374"/>
      <c r="CV41772" s="376"/>
    </row>
    <row r="41773" spans="1:100">
      <c r="A41773" s="374"/>
      <c r="C41773" s="374"/>
      <c r="CV41773" s="376"/>
    </row>
    <row r="41774" spans="1:100">
      <c r="A41774" s="374"/>
      <c r="C41774" s="374"/>
      <c r="CV41774" s="376"/>
    </row>
    <row r="41775" spans="1:100">
      <c r="A41775" s="374"/>
      <c r="C41775" s="374"/>
      <c r="CV41775" s="376"/>
    </row>
    <row r="41776" spans="1:100">
      <c r="A41776" s="374"/>
      <c r="C41776" s="374"/>
      <c r="CV41776" s="376"/>
    </row>
    <row r="41777" spans="1:100">
      <c r="A41777" s="374"/>
      <c r="C41777" s="374"/>
      <c r="CV41777" s="376"/>
    </row>
    <row r="41778" spans="1:100">
      <c r="A41778" s="374"/>
      <c r="C41778" s="374"/>
      <c r="CV41778" s="376"/>
    </row>
    <row r="41779" spans="1:100">
      <c r="A41779" s="374"/>
      <c r="C41779" s="374"/>
      <c r="CV41779" s="376"/>
    </row>
    <row r="41780" spans="1:100">
      <c r="A41780" s="374"/>
      <c r="C41780" s="374"/>
      <c r="CV41780" s="376"/>
    </row>
    <row r="41781" spans="1:100">
      <c r="A41781" s="374"/>
      <c r="C41781" s="374"/>
      <c r="CV41781" s="376"/>
    </row>
    <row r="41782" spans="1:100">
      <c r="A41782" s="374"/>
      <c r="C41782" s="374"/>
      <c r="CV41782" s="376"/>
    </row>
    <row r="41783" spans="1:100">
      <c r="A41783" s="374"/>
      <c r="C41783" s="374"/>
      <c r="CV41783" s="376"/>
    </row>
    <row r="41784" spans="1:100">
      <c r="A41784" s="374"/>
      <c r="C41784" s="374"/>
      <c r="CV41784" s="376"/>
    </row>
    <row r="41785" spans="1:100">
      <c r="A41785" s="374"/>
      <c r="C41785" s="374"/>
      <c r="CV41785" s="376"/>
    </row>
    <row r="41786" spans="1:100">
      <c r="A41786" s="374"/>
      <c r="C41786" s="374"/>
      <c r="CV41786" s="376"/>
    </row>
    <row r="41787" spans="1:100">
      <c r="A41787" s="374"/>
      <c r="C41787" s="374"/>
      <c r="CV41787" s="376"/>
    </row>
    <row r="41788" spans="1:100">
      <c r="A41788" s="374"/>
      <c r="C41788" s="374"/>
      <c r="CV41788" s="376"/>
    </row>
    <row r="41789" spans="1:100">
      <c r="A41789" s="374"/>
      <c r="C41789" s="374"/>
      <c r="CV41789" s="376"/>
    </row>
    <row r="41790" spans="1:100">
      <c r="A41790" s="374"/>
      <c r="C41790" s="374"/>
      <c r="CV41790" s="376"/>
    </row>
    <row r="41791" spans="1:100">
      <c r="A41791" s="374"/>
      <c r="C41791" s="374"/>
      <c r="CV41791" s="376"/>
    </row>
    <row r="41792" spans="1:100">
      <c r="A41792" s="374"/>
      <c r="C41792" s="374"/>
      <c r="CV41792" s="376"/>
    </row>
    <row r="41793" spans="1:100">
      <c r="A41793" s="374"/>
      <c r="C41793" s="374"/>
      <c r="CV41793" s="376"/>
    </row>
    <row r="41794" spans="1:100">
      <c r="A41794" s="374"/>
      <c r="C41794" s="374"/>
      <c r="CV41794" s="376"/>
    </row>
    <row r="41795" spans="1:100">
      <c r="A41795" s="374"/>
      <c r="C41795" s="374"/>
      <c r="CV41795" s="376"/>
    </row>
    <row r="41796" spans="1:100">
      <c r="A41796" s="374"/>
      <c r="C41796" s="374"/>
      <c r="CV41796" s="376"/>
    </row>
    <row r="41797" spans="1:100">
      <c r="A41797" s="374"/>
      <c r="C41797" s="374"/>
      <c r="CV41797" s="376"/>
    </row>
    <row r="41798" spans="1:100">
      <c r="A41798" s="374"/>
      <c r="C41798" s="374"/>
      <c r="CV41798" s="376"/>
    </row>
    <row r="41799" spans="1:100">
      <c r="A41799" s="374"/>
      <c r="C41799" s="374"/>
      <c r="CV41799" s="376"/>
    </row>
    <row r="41800" spans="1:100">
      <c r="A41800" s="374"/>
      <c r="C41800" s="374"/>
      <c r="CV41800" s="376"/>
    </row>
    <row r="41801" spans="1:100">
      <c r="A41801" s="374"/>
      <c r="C41801" s="374"/>
      <c r="CV41801" s="376"/>
    </row>
    <row r="41802" spans="1:100">
      <c r="A41802" s="374"/>
      <c r="C41802" s="374"/>
      <c r="CV41802" s="376"/>
    </row>
    <row r="41803" spans="1:100">
      <c r="A41803" s="374"/>
      <c r="C41803" s="374"/>
      <c r="CV41803" s="376"/>
    </row>
    <row r="41804" spans="1:100">
      <c r="A41804" s="374"/>
      <c r="C41804" s="374"/>
      <c r="CV41804" s="376"/>
    </row>
    <row r="41805" spans="1:100">
      <c r="A41805" s="374"/>
      <c r="C41805" s="374"/>
      <c r="CV41805" s="376"/>
    </row>
    <row r="41806" spans="1:100">
      <c r="A41806" s="374"/>
      <c r="C41806" s="374"/>
      <c r="CV41806" s="376"/>
    </row>
    <row r="41807" spans="1:100">
      <c r="A41807" s="374"/>
      <c r="C41807" s="374"/>
      <c r="CV41807" s="376"/>
    </row>
    <row r="41808" spans="1:100">
      <c r="A41808" s="374"/>
      <c r="C41808" s="374"/>
      <c r="CV41808" s="376"/>
    </row>
    <row r="41809" spans="1:100">
      <c r="A41809" s="374"/>
      <c r="C41809" s="374"/>
      <c r="CV41809" s="376"/>
    </row>
    <row r="41810" spans="1:100">
      <c r="A41810" s="374"/>
      <c r="C41810" s="374"/>
      <c r="CV41810" s="376"/>
    </row>
    <row r="41811" spans="1:100">
      <c r="A41811" s="374"/>
      <c r="C41811" s="374"/>
      <c r="CV41811" s="376"/>
    </row>
    <row r="41812" spans="1:100">
      <c r="A41812" s="374"/>
      <c r="C41812" s="374"/>
      <c r="CV41812" s="376"/>
    </row>
    <row r="41813" spans="1:100">
      <c r="A41813" s="374"/>
      <c r="C41813" s="374"/>
      <c r="CV41813" s="376"/>
    </row>
    <row r="41814" spans="1:100">
      <c r="A41814" s="374"/>
      <c r="C41814" s="374"/>
      <c r="CV41814" s="376"/>
    </row>
    <row r="41815" spans="1:100">
      <c r="A41815" s="374"/>
      <c r="C41815" s="374"/>
      <c r="CV41815" s="376"/>
    </row>
    <row r="41816" spans="1:100">
      <c r="A41816" s="374"/>
      <c r="C41816" s="374"/>
      <c r="CV41816" s="376"/>
    </row>
    <row r="41817" spans="1:100">
      <c r="A41817" s="374"/>
      <c r="C41817" s="374"/>
      <c r="CV41817" s="376"/>
    </row>
    <row r="41818" spans="1:100">
      <c r="A41818" s="374"/>
      <c r="C41818" s="374"/>
      <c r="CV41818" s="376"/>
    </row>
    <row r="41819" spans="1:100">
      <c r="A41819" s="374"/>
      <c r="C41819" s="374"/>
      <c r="CV41819" s="376"/>
    </row>
    <row r="41820" spans="1:100">
      <c r="A41820" s="374"/>
      <c r="C41820" s="374"/>
      <c r="CV41820" s="376"/>
    </row>
    <row r="41821" spans="1:100">
      <c r="A41821" s="374"/>
      <c r="C41821" s="374"/>
      <c r="CV41821" s="376"/>
    </row>
    <row r="41822" spans="1:100">
      <c r="A41822" s="374"/>
      <c r="C41822" s="374"/>
      <c r="CV41822" s="376"/>
    </row>
    <row r="41823" spans="1:100">
      <c r="A41823" s="374"/>
      <c r="C41823" s="374"/>
      <c r="CV41823" s="376"/>
    </row>
    <row r="41824" spans="1:100">
      <c r="A41824" s="374"/>
      <c r="C41824" s="374"/>
      <c r="CV41824" s="376"/>
    </row>
    <row r="41825" spans="1:100">
      <c r="A41825" s="374"/>
      <c r="C41825" s="374"/>
      <c r="CV41825" s="376"/>
    </row>
    <row r="41826" spans="1:100">
      <c r="A41826" s="374"/>
      <c r="C41826" s="374"/>
      <c r="CV41826" s="376"/>
    </row>
    <row r="41827" spans="1:100">
      <c r="A41827" s="374"/>
      <c r="C41827" s="374"/>
      <c r="CV41827" s="376"/>
    </row>
    <row r="41828" spans="1:100">
      <c r="A41828" s="374"/>
      <c r="C41828" s="374"/>
      <c r="CV41828" s="376"/>
    </row>
    <row r="41829" spans="1:100">
      <c r="A41829" s="374"/>
      <c r="C41829" s="374"/>
      <c r="CV41829" s="376"/>
    </row>
    <row r="41830" spans="1:100">
      <c r="A41830" s="374"/>
      <c r="C41830" s="374"/>
      <c r="CV41830" s="376"/>
    </row>
    <row r="41831" spans="1:100">
      <c r="A41831" s="374"/>
      <c r="C41831" s="374"/>
      <c r="CV41831" s="376"/>
    </row>
    <row r="41832" spans="1:100">
      <c r="A41832" s="374"/>
      <c r="C41832" s="374"/>
      <c r="CV41832" s="376"/>
    </row>
    <row r="41833" spans="1:100">
      <c r="A41833" s="374"/>
      <c r="C41833" s="374"/>
      <c r="CV41833" s="376"/>
    </row>
    <row r="41834" spans="1:100">
      <c r="A41834" s="374"/>
      <c r="C41834" s="374"/>
      <c r="CV41834" s="376"/>
    </row>
    <row r="41835" spans="1:100">
      <c r="A41835" s="374"/>
      <c r="C41835" s="374"/>
      <c r="CV41835" s="376"/>
    </row>
    <row r="41836" spans="1:100">
      <c r="A41836" s="374"/>
      <c r="C41836" s="374"/>
      <c r="CV41836" s="376"/>
    </row>
    <row r="41837" spans="1:100">
      <c r="A41837" s="374"/>
      <c r="C41837" s="374"/>
      <c r="CV41837" s="376"/>
    </row>
    <row r="41838" spans="1:100">
      <c r="A41838" s="374"/>
      <c r="C41838" s="374"/>
      <c r="CV41838" s="376"/>
    </row>
    <row r="41839" spans="1:100">
      <c r="A41839" s="374"/>
      <c r="C41839" s="374"/>
      <c r="CV41839" s="376"/>
    </row>
    <row r="41840" spans="1:100">
      <c r="A41840" s="374"/>
      <c r="C41840" s="374"/>
      <c r="CV41840" s="376"/>
    </row>
    <row r="41841" spans="1:100">
      <c r="A41841" s="374"/>
      <c r="C41841" s="374"/>
      <c r="CV41841" s="376"/>
    </row>
    <row r="41842" spans="1:100">
      <c r="A41842" s="374"/>
      <c r="C41842" s="374"/>
      <c r="CV41842" s="376"/>
    </row>
    <row r="41843" spans="1:100">
      <c r="A41843" s="374"/>
      <c r="C41843" s="374"/>
      <c r="CV41843" s="376"/>
    </row>
    <row r="41844" spans="1:100">
      <c r="A41844" s="374"/>
      <c r="C41844" s="374"/>
      <c r="CV41844" s="376"/>
    </row>
    <row r="41845" spans="1:100">
      <c r="A41845" s="374"/>
      <c r="C41845" s="374"/>
      <c r="CV41845" s="376"/>
    </row>
    <row r="41846" spans="1:100">
      <c r="A41846" s="374"/>
      <c r="C41846" s="374"/>
      <c r="CV41846" s="376"/>
    </row>
    <row r="41847" spans="1:100">
      <c r="A41847" s="374"/>
      <c r="C41847" s="374"/>
      <c r="CV41847" s="376"/>
    </row>
    <row r="41848" spans="1:100">
      <c r="A41848" s="374"/>
      <c r="C41848" s="374"/>
      <c r="CV41848" s="376"/>
    </row>
    <row r="41849" spans="1:100">
      <c r="A41849" s="374"/>
      <c r="C41849" s="374"/>
      <c r="CV41849" s="376"/>
    </row>
    <row r="41850" spans="1:100">
      <c r="A41850" s="374"/>
      <c r="C41850" s="374"/>
      <c r="CV41850" s="376"/>
    </row>
    <row r="41851" spans="1:100">
      <c r="A41851" s="374"/>
      <c r="C41851" s="374"/>
      <c r="CV41851" s="376"/>
    </row>
    <row r="41852" spans="1:100">
      <c r="A41852" s="374"/>
      <c r="C41852" s="374"/>
      <c r="CV41852" s="376"/>
    </row>
    <row r="41853" spans="1:100">
      <c r="A41853" s="374"/>
      <c r="C41853" s="374"/>
      <c r="CV41853" s="376"/>
    </row>
    <row r="41854" spans="1:100">
      <c r="A41854" s="374"/>
      <c r="C41854" s="374"/>
      <c r="CV41854" s="376"/>
    </row>
    <row r="41855" spans="1:100">
      <c r="A41855" s="374"/>
      <c r="C41855" s="374"/>
      <c r="CV41855" s="376"/>
    </row>
    <row r="41856" spans="1:100">
      <c r="A41856" s="374"/>
      <c r="C41856" s="374"/>
      <c r="CV41856" s="376"/>
    </row>
    <row r="41857" spans="1:100">
      <c r="A41857" s="374"/>
      <c r="C41857" s="374"/>
      <c r="CV41857" s="376"/>
    </row>
    <row r="41858" spans="1:100">
      <c r="A41858" s="374"/>
      <c r="C41858" s="374"/>
      <c r="CV41858" s="376"/>
    </row>
    <row r="41859" spans="1:100">
      <c r="A41859" s="374"/>
      <c r="C41859" s="374"/>
      <c r="CV41859" s="376"/>
    </row>
    <row r="41860" spans="1:100">
      <c r="A41860" s="374"/>
      <c r="C41860" s="374"/>
      <c r="CV41860" s="376"/>
    </row>
    <row r="41861" spans="1:100">
      <c r="A41861" s="374"/>
      <c r="C41861" s="374"/>
      <c r="CV41861" s="376"/>
    </row>
    <row r="41862" spans="1:100">
      <c r="A41862" s="374"/>
      <c r="C41862" s="374"/>
      <c r="CV41862" s="376"/>
    </row>
    <row r="41863" spans="1:100">
      <c r="A41863" s="374"/>
      <c r="C41863" s="374"/>
      <c r="CV41863" s="376"/>
    </row>
    <row r="41864" spans="1:100">
      <c r="A41864" s="374"/>
      <c r="C41864" s="374"/>
      <c r="CV41864" s="376"/>
    </row>
    <row r="41865" spans="1:100">
      <c r="A41865" s="374"/>
      <c r="C41865" s="374"/>
      <c r="CV41865" s="376"/>
    </row>
    <row r="41866" spans="1:100">
      <c r="A41866" s="374"/>
      <c r="C41866" s="374"/>
      <c r="CV41866" s="376"/>
    </row>
    <row r="41867" spans="1:100">
      <c r="A41867" s="374"/>
      <c r="C41867" s="374"/>
      <c r="CV41867" s="376"/>
    </row>
    <row r="41868" spans="1:100">
      <c r="A41868" s="374"/>
      <c r="C41868" s="374"/>
      <c r="CV41868" s="376"/>
    </row>
    <row r="41869" spans="1:100">
      <c r="A41869" s="374"/>
      <c r="C41869" s="374"/>
      <c r="CV41869" s="376"/>
    </row>
    <row r="41870" spans="1:100">
      <c r="A41870" s="374"/>
      <c r="C41870" s="374"/>
      <c r="CV41870" s="376"/>
    </row>
    <row r="41871" spans="1:100">
      <c r="A41871" s="374"/>
      <c r="C41871" s="374"/>
      <c r="CV41871" s="376"/>
    </row>
    <row r="41872" spans="1:100">
      <c r="A41872" s="374"/>
      <c r="C41872" s="374"/>
      <c r="CV41872" s="376"/>
    </row>
    <row r="41873" spans="1:100">
      <c r="A41873" s="374"/>
      <c r="C41873" s="374"/>
      <c r="CV41873" s="376"/>
    </row>
    <row r="41874" spans="1:100">
      <c r="A41874" s="374"/>
      <c r="C41874" s="374"/>
      <c r="CV41874" s="376"/>
    </row>
    <row r="41875" spans="1:100">
      <c r="A41875" s="374"/>
      <c r="C41875" s="374"/>
      <c r="CV41875" s="376"/>
    </row>
    <row r="41876" spans="1:100">
      <c r="A41876" s="374"/>
      <c r="C41876" s="374"/>
      <c r="CV41876" s="376"/>
    </row>
    <row r="41877" spans="1:100">
      <c r="A41877" s="374"/>
      <c r="C41877" s="374"/>
      <c r="CV41877" s="376"/>
    </row>
    <row r="41878" spans="1:100">
      <c r="A41878" s="374"/>
      <c r="C41878" s="374"/>
      <c r="CV41878" s="376"/>
    </row>
    <row r="41879" spans="1:100">
      <c r="A41879" s="374"/>
      <c r="C41879" s="374"/>
      <c r="CV41879" s="376"/>
    </row>
    <row r="41880" spans="1:100">
      <c r="A41880" s="374"/>
      <c r="C41880" s="374"/>
      <c r="CV41880" s="376"/>
    </row>
    <row r="41881" spans="1:100">
      <c r="A41881" s="374"/>
      <c r="C41881" s="374"/>
      <c r="CV41881" s="376"/>
    </row>
    <row r="41882" spans="1:100">
      <c r="A41882" s="374"/>
      <c r="C41882" s="374"/>
      <c r="CV41882" s="376"/>
    </row>
    <row r="41883" spans="1:100">
      <c r="A41883" s="374"/>
      <c r="C41883" s="374"/>
      <c r="CV41883" s="376"/>
    </row>
    <row r="41884" spans="1:100">
      <c r="A41884" s="374"/>
      <c r="C41884" s="374"/>
      <c r="CV41884" s="376"/>
    </row>
    <row r="41885" spans="1:100">
      <c r="A41885" s="374"/>
      <c r="C41885" s="374"/>
      <c r="CV41885" s="376"/>
    </row>
    <row r="41886" spans="1:100">
      <c r="A41886" s="374"/>
      <c r="C41886" s="374"/>
      <c r="CV41886" s="376"/>
    </row>
    <row r="41887" spans="1:100">
      <c r="A41887" s="374"/>
      <c r="C41887" s="374"/>
      <c r="CV41887" s="376"/>
    </row>
    <row r="41888" spans="1:100">
      <c r="A41888" s="374"/>
      <c r="C41888" s="374"/>
      <c r="CV41888" s="376"/>
    </row>
    <row r="41889" spans="1:100">
      <c r="A41889" s="374"/>
      <c r="C41889" s="374"/>
      <c r="CV41889" s="376"/>
    </row>
    <row r="41890" spans="1:100">
      <c r="A41890" s="374"/>
      <c r="C41890" s="374"/>
      <c r="CV41890" s="376"/>
    </row>
    <row r="41891" spans="1:100">
      <c r="A41891" s="374"/>
      <c r="C41891" s="374"/>
      <c r="CV41891" s="376"/>
    </row>
    <row r="41892" spans="1:100">
      <c r="A41892" s="374"/>
      <c r="C41892" s="374"/>
      <c r="CV41892" s="376"/>
    </row>
    <row r="41893" spans="1:100">
      <c r="A41893" s="374"/>
      <c r="C41893" s="374"/>
      <c r="CV41893" s="376"/>
    </row>
    <row r="41894" spans="1:100">
      <c r="A41894" s="374"/>
      <c r="C41894" s="374"/>
      <c r="CV41894" s="376"/>
    </row>
    <row r="41895" spans="1:100">
      <c r="A41895" s="374"/>
      <c r="C41895" s="374"/>
      <c r="CV41895" s="376"/>
    </row>
    <row r="41896" spans="1:100">
      <c r="A41896" s="374"/>
      <c r="C41896" s="374"/>
      <c r="CV41896" s="376"/>
    </row>
    <row r="41897" spans="1:100">
      <c r="A41897" s="374"/>
      <c r="C41897" s="374"/>
      <c r="CV41897" s="376"/>
    </row>
    <row r="41898" spans="1:100">
      <c r="A41898" s="374"/>
      <c r="C41898" s="374"/>
      <c r="CV41898" s="376"/>
    </row>
    <row r="41899" spans="1:100">
      <c r="A41899" s="374"/>
      <c r="C41899" s="374"/>
      <c r="CV41899" s="376"/>
    </row>
    <row r="41900" spans="1:100">
      <c r="A41900" s="374"/>
      <c r="C41900" s="374"/>
      <c r="CV41900" s="376"/>
    </row>
    <row r="41901" spans="1:100">
      <c r="A41901" s="374"/>
      <c r="C41901" s="374"/>
      <c r="CV41901" s="376"/>
    </row>
    <row r="41902" spans="1:100">
      <c r="A41902" s="374"/>
      <c r="C41902" s="374"/>
      <c r="CV41902" s="376"/>
    </row>
    <row r="41903" spans="1:100">
      <c r="A41903" s="374"/>
      <c r="C41903" s="374"/>
      <c r="CV41903" s="376"/>
    </row>
    <row r="41904" spans="1:100">
      <c r="A41904" s="374"/>
      <c r="C41904" s="374"/>
      <c r="CV41904" s="376"/>
    </row>
    <row r="41905" spans="1:100">
      <c r="A41905" s="374"/>
      <c r="C41905" s="374"/>
      <c r="CV41905" s="376"/>
    </row>
    <row r="41906" spans="1:100">
      <c r="A41906" s="374"/>
      <c r="C41906" s="374"/>
      <c r="CV41906" s="376"/>
    </row>
    <row r="41907" spans="1:100">
      <c r="A41907" s="374"/>
      <c r="C41907" s="374"/>
      <c r="CV41907" s="376"/>
    </row>
    <row r="41908" spans="1:100">
      <c r="A41908" s="374"/>
      <c r="C41908" s="374"/>
      <c r="CV41908" s="376"/>
    </row>
    <row r="41909" spans="1:100">
      <c r="A41909" s="374"/>
      <c r="C41909" s="374"/>
      <c r="CV41909" s="376"/>
    </row>
    <row r="41910" spans="1:100">
      <c r="A41910" s="374"/>
      <c r="C41910" s="374"/>
      <c r="CV41910" s="376"/>
    </row>
    <row r="41911" spans="1:100">
      <c r="A41911" s="374"/>
      <c r="C41911" s="374"/>
      <c r="CV41911" s="376"/>
    </row>
    <row r="41912" spans="1:100">
      <c r="A41912" s="374"/>
      <c r="C41912" s="374"/>
      <c r="CV41912" s="376"/>
    </row>
    <row r="41913" spans="1:100">
      <c r="A41913" s="374"/>
      <c r="C41913" s="374"/>
      <c r="CV41913" s="376"/>
    </row>
    <row r="41914" spans="1:100">
      <c r="A41914" s="374"/>
      <c r="C41914" s="374"/>
      <c r="CV41914" s="376"/>
    </row>
    <row r="41915" spans="1:100">
      <c r="A41915" s="374"/>
      <c r="C41915" s="374"/>
      <c r="CV41915" s="376"/>
    </row>
    <row r="41916" spans="1:100">
      <c r="A41916" s="374"/>
      <c r="C41916" s="374"/>
      <c r="CV41916" s="376"/>
    </row>
    <row r="41917" spans="1:100">
      <c r="A41917" s="374"/>
      <c r="C41917" s="374"/>
      <c r="CV41917" s="376"/>
    </row>
    <row r="41918" spans="1:100">
      <c r="A41918" s="374"/>
      <c r="C41918" s="374"/>
      <c r="CV41918" s="376"/>
    </row>
    <row r="41919" spans="1:100">
      <c r="A41919" s="374"/>
      <c r="C41919" s="374"/>
      <c r="CV41919" s="376"/>
    </row>
    <row r="41920" spans="1:100">
      <c r="A41920" s="374"/>
      <c r="C41920" s="374"/>
      <c r="CV41920" s="376"/>
    </row>
    <row r="41921" spans="1:100">
      <c r="A41921" s="374"/>
      <c r="C41921" s="374"/>
      <c r="CV41921" s="376"/>
    </row>
    <row r="41922" spans="1:100">
      <c r="A41922" s="374"/>
      <c r="C41922" s="374"/>
      <c r="CV41922" s="376"/>
    </row>
    <row r="41923" spans="1:100">
      <c r="A41923" s="374"/>
      <c r="C41923" s="374"/>
      <c r="CV41923" s="376"/>
    </row>
    <row r="41924" spans="1:100">
      <c r="A41924" s="374"/>
      <c r="C41924" s="374"/>
      <c r="CV41924" s="376"/>
    </row>
    <row r="41925" spans="1:100">
      <c r="A41925" s="374"/>
      <c r="C41925" s="374"/>
      <c r="CV41925" s="376"/>
    </row>
    <row r="41926" spans="1:100">
      <c r="A41926" s="374"/>
      <c r="C41926" s="374"/>
      <c r="CV41926" s="376"/>
    </row>
    <row r="41927" spans="1:100">
      <c r="A41927" s="374"/>
      <c r="C41927" s="374"/>
      <c r="CV41927" s="376"/>
    </row>
    <row r="41928" spans="1:100">
      <c r="A41928" s="374"/>
      <c r="C41928" s="374"/>
      <c r="CV41928" s="376"/>
    </row>
    <row r="41929" spans="1:100">
      <c r="A41929" s="374"/>
      <c r="C41929" s="374"/>
      <c r="CV41929" s="376"/>
    </row>
    <row r="41930" spans="1:100">
      <c r="A41930" s="374"/>
      <c r="C41930" s="374"/>
      <c r="CV41930" s="376"/>
    </row>
    <row r="41931" spans="1:100">
      <c r="A41931" s="374"/>
      <c r="C41931" s="374"/>
      <c r="CV41931" s="376"/>
    </row>
    <row r="41932" spans="1:100">
      <c r="A41932" s="374"/>
      <c r="C41932" s="374"/>
      <c r="CV41932" s="376"/>
    </row>
    <row r="41933" spans="1:100">
      <c r="A41933" s="374"/>
      <c r="C41933" s="374"/>
      <c r="CV41933" s="376"/>
    </row>
    <row r="41934" spans="1:100">
      <c r="A41934" s="374"/>
      <c r="C41934" s="374"/>
      <c r="CV41934" s="376"/>
    </row>
    <row r="41935" spans="1:100">
      <c r="A41935" s="374"/>
      <c r="C41935" s="374"/>
      <c r="CV41935" s="376"/>
    </row>
    <row r="41936" spans="1:100">
      <c r="A41936" s="374"/>
      <c r="C41936" s="374"/>
      <c r="CV41936" s="376"/>
    </row>
    <row r="41937" spans="1:100">
      <c r="A41937" s="374"/>
      <c r="C41937" s="374"/>
      <c r="CV41937" s="376"/>
    </row>
    <row r="41938" spans="1:100">
      <c r="A41938" s="374"/>
      <c r="C41938" s="374"/>
      <c r="CV41938" s="376"/>
    </row>
    <row r="41939" spans="1:100">
      <c r="A41939" s="374"/>
      <c r="C41939" s="374"/>
      <c r="CV41939" s="376"/>
    </row>
    <row r="41940" spans="1:100">
      <c r="A41940" s="374"/>
      <c r="C41940" s="374"/>
      <c r="CV41940" s="376"/>
    </row>
    <row r="41941" spans="1:100">
      <c r="A41941" s="374"/>
      <c r="C41941" s="374"/>
      <c r="CV41941" s="376"/>
    </row>
    <row r="41942" spans="1:100">
      <c r="A41942" s="374"/>
      <c r="C41942" s="374"/>
      <c r="CV41942" s="376"/>
    </row>
    <row r="41943" spans="1:100">
      <c r="A41943" s="374"/>
      <c r="C41943" s="374"/>
      <c r="CV41943" s="376"/>
    </row>
    <row r="41944" spans="1:100">
      <c r="A41944" s="374"/>
      <c r="C41944" s="374"/>
      <c r="CV41944" s="376"/>
    </row>
    <row r="41945" spans="1:100">
      <c r="A41945" s="374"/>
      <c r="C41945" s="374"/>
      <c r="CV41945" s="376"/>
    </row>
    <row r="41946" spans="1:100">
      <c r="A41946" s="374"/>
      <c r="C41946" s="374"/>
      <c r="CV41946" s="376"/>
    </row>
    <row r="41947" spans="1:100">
      <c r="A41947" s="374"/>
      <c r="C41947" s="374"/>
      <c r="CV41947" s="376"/>
    </row>
    <row r="41948" spans="1:100">
      <c r="A41948" s="374"/>
      <c r="C41948" s="374"/>
      <c r="CV41948" s="376"/>
    </row>
    <row r="41949" spans="1:100">
      <c r="A41949" s="374"/>
      <c r="C41949" s="374"/>
      <c r="CV41949" s="376"/>
    </row>
    <row r="41950" spans="1:100">
      <c r="A41950" s="374"/>
      <c r="C41950" s="374"/>
      <c r="CV41950" s="376"/>
    </row>
    <row r="41951" spans="1:100">
      <c r="A41951" s="374"/>
      <c r="C41951" s="374"/>
      <c r="CV41951" s="376"/>
    </row>
    <row r="41952" spans="1:100">
      <c r="A41952" s="374"/>
      <c r="C41952" s="374"/>
      <c r="CV41952" s="376"/>
    </row>
    <row r="41953" spans="1:100">
      <c r="A41953" s="374"/>
      <c r="C41953" s="374"/>
      <c r="CV41953" s="376"/>
    </row>
    <row r="41954" spans="1:100">
      <c r="A41954" s="374"/>
      <c r="C41954" s="374"/>
      <c r="CV41954" s="376"/>
    </row>
    <row r="41955" spans="1:100">
      <c r="A41955" s="374"/>
      <c r="C41955" s="374"/>
      <c r="CV41955" s="376"/>
    </row>
    <row r="41956" spans="1:100">
      <c r="A41956" s="374"/>
      <c r="C41956" s="374"/>
      <c r="CV41956" s="376"/>
    </row>
    <row r="41957" spans="1:100">
      <c r="A41957" s="374"/>
      <c r="C41957" s="374"/>
      <c r="CV41957" s="376"/>
    </row>
    <row r="41958" spans="1:100">
      <c r="A41958" s="374"/>
      <c r="C41958" s="374"/>
      <c r="CV41958" s="376"/>
    </row>
    <row r="41959" spans="1:100">
      <c r="A41959" s="374"/>
      <c r="C41959" s="374"/>
      <c r="CV41959" s="376"/>
    </row>
    <row r="41960" spans="1:100">
      <c r="A41960" s="374"/>
      <c r="C41960" s="374"/>
      <c r="CV41960" s="376"/>
    </row>
    <row r="41961" spans="1:100">
      <c r="A41961" s="374"/>
      <c r="C41961" s="374"/>
      <c r="CV41961" s="376"/>
    </row>
    <row r="41962" spans="1:100">
      <c r="A41962" s="374"/>
      <c r="C41962" s="374"/>
      <c r="CV41962" s="376"/>
    </row>
    <row r="41963" spans="1:100">
      <c r="A41963" s="374"/>
      <c r="C41963" s="374"/>
      <c r="CV41963" s="376"/>
    </row>
    <row r="41964" spans="1:100">
      <c r="A41964" s="374"/>
      <c r="C41964" s="374"/>
      <c r="CV41964" s="376"/>
    </row>
    <row r="41965" spans="1:100">
      <c r="A41965" s="374"/>
      <c r="C41965" s="374"/>
      <c r="CV41965" s="376"/>
    </row>
    <row r="41966" spans="1:100">
      <c r="A41966" s="374"/>
      <c r="C41966" s="374"/>
      <c r="CV41966" s="376"/>
    </row>
    <row r="41967" spans="1:100">
      <c r="A41967" s="374"/>
      <c r="C41967" s="374"/>
      <c r="CV41967" s="376"/>
    </row>
    <row r="41968" spans="1:100">
      <c r="A41968" s="374"/>
      <c r="C41968" s="374"/>
      <c r="CV41968" s="376"/>
    </row>
    <row r="41969" spans="1:100">
      <c r="A41969" s="374"/>
      <c r="C41969" s="374"/>
      <c r="CV41969" s="376"/>
    </row>
    <row r="41970" spans="1:100">
      <c r="A41970" s="374"/>
      <c r="C41970" s="374"/>
      <c r="CV41970" s="376"/>
    </row>
    <row r="41971" spans="1:100">
      <c r="A41971" s="374"/>
      <c r="C41971" s="374"/>
      <c r="CV41971" s="376"/>
    </row>
    <row r="41972" spans="1:100">
      <c r="A41972" s="374"/>
      <c r="C41972" s="374"/>
      <c r="CV41972" s="376"/>
    </row>
    <row r="41973" spans="1:100">
      <c r="A41973" s="374"/>
      <c r="C41973" s="374"/>
      <c r="CV41973" s="376"/>
    </row>
    <row r="41974" spans="1:100">
      <c r="A41974" s="374"/>
      <c r="C41974" s="374"/>
      <c r="CV41974" s="376"/>
    </row>
    <row r="41975" spans="1:100">
      <c r="A41975" s="374"/>
      <c r="C41975" s="374"/>
      <c r="CV41975" s="376"/>
    </row>
    <row r="41976" spans="1:100">
      <c r="A41976" s="374"/>
      <c r="C41976" s="374"/>
      <c r="CV41976" s="376"/>
    </row>
    <row r="41977" spans="1:100">
      <c r="A41977" s="374"/>
      <c r="C41977" s="374"/>
      <c r="CV41977" s="376"/>
    </row>
    <row r="41978" spans="1:100">
      <c r="A41978" s="374"/>
      <c r="C41978" s="374"/>
      <c r="CV41978" s="376"/>
    </row>
    <row r="41979" spans="1:100">
      <c r="A41979" s="374"/>
      <c r="C41979" s="374"/>
      <c r="CV41979" s="376"/>
    </row>
    <row r="41980" spans="1:100">
      <c r="A41980" s="374"/>
      <c r="C41980" s="374"/>
      <c r="CV41980" s="376"/>
    </row>
    <row r="41981" spans="1:100">
      <c r="A41981" s="374"/>
      <c r="C41981" s="374"/>
      <c r="CV41981" s="376"/>
    </row>
    <row r="41982" spans="1:100">
      <c r="A41982" s="374"/>
      <c r="C41982" s="374"/>
      <c r="CV41982" s="376"/>
    </row>
    <row r="41983" spans="1:100">
      <c r="A41983" s="374"/>
      <c r="C41983" s="374"/>
      <c r="CV41983" s="376"/>
    </row>
    <row r="41984" spans="1:100">
      <c r="A41984" s="374"/>
      <c r="C41984" s="374"/>
      <c r="CV41984" s="376"/>
    </row>
    <row r="41985" spans="1:100">
      <c r="A41985" s="374"/>
      <c r="C41985" s="374"/>
      <c r="CV41985" s="376"/>
    </row>
    <row r="41986" spans="1:100">
      <c r="A41986" s="374"/>
      <c r="C41986" s="374"/>
      <c r="CV41986" s="376"/>
    </row>
    <row r="41987" spans="1:100">
      <c r="A41987" s="374"/>
      <c r="C41987" s="374"/>
      <c r="CV41987" s="376"/>
    </row>
    <row r="41988" spans="1:100">
      <c r="A41988" s="374"/>
      <c r="C41988" s="374"/>
      <c r="CV41988" s="376"/>
    </row>
    <row r="41989" spans="1:100">
      <c r="A41989" s="374"/>
      <c r="C41989" s="374"/>
      <c r="CV41989" s="376"/>
    </row>
    <row r="41990" spans="1:100">
      <c r="A41990" s="374"/>
      <c r="C41990" s="374"/>
      <c r="CV41990" s="376"/>
    </row>
    <row r="41991" spans="1:100">
      <c r="A41991" s="374"/>
      <c r="C41991" s="374"/>
      <c r="CV41991" s="376"/>
    </row>
    <row r="41992" spans="1:100">
      <c r="A41992" s="374"/>
      <c r="C41992" s="374"/>
      <c r="CV41992" s="376"/>
    </row>
    <row r="41993" spans="1:100">
      <c r="A41993" s="374"/>
      <c r="C41993" s="374"/>
      <c r="CV41993" s="376"/>
    </row>
    <row r="41994" spans="1:100">
      <c r="A41994" s="374"/>
      <c r="C41994" s="374"/>
      <c r="CV41994" s="376"/>
    </row>
    <row r="41995" spans="1:100">
      <c r="A41995" s="374"/>
      <c r="C41995" s="374"/>
      <c r="CV41995" s="376"/>
    </row>
    <row r="41996" spans="1:100">
      <c r="A41996" s="374"/>
      <c r="C41996" s="374"/>
      <c r="CV41996" s="376"/>
    </row>
    <row r="41997" spans="1:100">
      <c r="A41997" s="374"/>
      <c r="C41997" s="374"/>
      <c r="CV41997" s="376"/>
    </row>
    <row r="41998" spans="1:100">
      <c r="A41998" s="374"/>
      <c r="C41998" s="374"/>
      <c r="CV41998" s="376"/>
    </row>
    <row r="41999" spans="1:100">
      <c r="A41999" s="374"/>
      <c r="C41999" s="374"/>
      <c r="CV41999" s="376"/>
    </row>
    <row r="42000" spans="1:100">
      <c r="A42000" s="374"/>
      <c r="C42000" s="374"/>
      <c r="CV42000" s="376"/>
    </row>
    <row r="42001" spans="1:100">
      <c r="A42001" s="374"/>
      <c r="C42001" s="374"/>
      <c r="CV42001" s="376"/>
    </row>
    <row r="42002" spans="1:100">
      <c r="A42002" s="374"/>
      <c r="C42002" s="374"/>
      <c r="CV42002" s="376"/>
    </row>
    <row r="42003" spans="1:100">
      <c r="A42003" s="374"/>
      <c r="C42003" s="374"/>
      <c r="CV42003" s="376"/>
    </row>
    <row r="42004" spans="1:100">
      <c r="A42004" s="374"/>
      <c r="C42004" s="374"/>
      <c r="CV42004" s="376"/>
    </row>
    <row r="42005" spans="1:100">
      <c r="A42005" s="374"/>
      <c r="C42005" s="374"/>
      <c r="CV42005" s="376"/>
    </row>
    <row r="42006" spans="1:100">
      <c r="A42006" s="374"/>
      <c r="C42006" s="374"/>
      <c r="CV42006" s="376"/>
    </row>
    <row r="42007" spans="1:100">
      <c r="A42007" s="374"/>
      <c r="C42007" s="374"/>
      <c r="CV42007" s="376"/>
    </row>
    <row r="42008" spans="1:100">
      <c r="A42008" s="374"/>
      <c r="C42008" s="374"/>
      <c r="CV42008" s="376"/>
    </row>
    <row r="42009" spans="1:100">
      <c r="A42009" s="374"/>
      <c r="C42009" s="374"/>
      <c r="CV42009" s="376"/>
    </row>
    <row r="42010" spans="1:100">
      <c r="A42010" s="374"/>
      <c r="C42010" s="374"/>
      <c r="CV42010" s="376"/>
    </row>
    <row r="42011" spans="1:100">
      <c r="A42011" s="374"/>
      <c r="C42011" s="374"/>
      <c r="CV42011" s="376"/>
    </row>
    <row r="42012" spans="1:100">
      <c r="A42012" s="374"/>
      <c r="C42012" s="374"/>
      <c r="CV42012" s="376"/>
    </row>
    <row r="42013" spans="1:100">
      <c r="A42013" s="374"/>
      <c r="C42013" s="374"/>
      <c r="CV42013" s="376"/>
    </row>
    <row r="42014" spans="1:100">
      <c r="A42014" s="374"/>
      <c r="C42014" s="374"/>
      <c r="CV42014" s="376"/>
    </row>
    <row r="42015" spans="1:100">
      <c r="A42015" s="374"/>
      <c r="C42015" s="374"/>
      <c r="CV42015" s="376"/>
    </row>
    <row r="42016" spans="1:100">
      <c r="A42016" s="374"/>
      <c r="C42016" s="374"/>
      <c r="CV42016" s="376"/>
    </row>
    <row r="42017" spans="1:100">
      <c r="A42017" s="374"/>
      <c r="C42017" s="374"/>
      <c r="CV42017" s="376"/>
    </row>
    <row r="42018" spans="1:100">
      <c r="A42018" s="374"/>
      <c r="C42018" s="374"/>
      <c r="CV42018" s="376"/>
    </row>
    <row r="42019" spans="1:100">
      <c r="A42019" s="374"/>
      <c r="C42019" s="374"/>
      <c r="CV42019" s="376"/>
    </row>
    <row r="42020" spans="1:100">
      <c r="A42020" s="374"/>
      <c r="C42020" s="374"/>
      <c r="CV42020" s="376"/>
    </row>
    <row r="42021" spans="1:100">
      <c r="A42021" s="374"/>
      <c r="C42021" s="374"/>
      <c r="CV42021" s="376"/>
    </row>
    <row r="42022" spans="1:100">
      <c r="A42022" s="374"/>
      <c r="C42022" s="374"/>
      <c r="CV42022" s="376"/>
    </row>
    <row r="42023" spans="1:100">
      <c r="A42023" s="374"/>
      <c r="C42023" s="374"/>
      <c r="CV42023" s="376"/>
    </row>
    <row r="42024" spans="1:100">
      <c r="A42024" s="374"/>
      <c r="C42024" s="374"/>
      <c r="CV42024" s="376"/>
    </row>
    <row r="42025" spans="1:100">
      <c r="A42025" s="374"/>
      <c r="C42025" s="374"/>
      <c r="CV42025" s="376"/>
    </row>
    <row r="42026" spans="1:100">
      <c r="A42026" s="374"/>
      <c r="C42026" s="374"/>
      <c r="CV42026" s="376"/>
    </row>
    <row r="42027" spans="1:100">
      <c r="A42027" s="374"/>
      <c r="C42027" s="374"/>
      <c r="CV42027" s="376"/>
    </row>
    <row r="42028" spans="1:100">
      <c r="A42028" s="374"/>
      <c r="C42028" s="374"/>
      <c r="CV42028" s="376"/>
    </row>
    <row r="42029" spans="1:100">
      <c r="A42029" s="374"/>
      <c r="C42029" s="374"/>
      <c r="CV42029" s="376"/>
    </row>
    <row r="42030" spans="1:100">
      <c r="A42030" s="374"/>
      <c r="C42030" s="374"/>
      <c r="CV42030" s="376"/>
    </row>
    <row r="42031" spans="1:100">
      <c r="A42031" s="374"/>
      <c r="C42031" s="374"/>
      <c r="CV42031" s="376"/>
    </row>
    <row r="42032" spans="1:100">
      <c r="A42032" s="374"/>
      <c r="C42032" s="374"/>
      <c r="CV42032" s="376"/>
    </row>
    <row r="42033" spans="1:100">
      <c r="A42033" s="374"/>
      <c r="C42033" s="374"/>
      <c r="CV42033" s="376"/>
    </row>
    <row r="42034" spans="1:100">
      <c r="A42034" s="374"/>
      <c r="C42034" s="374"/>
      <c r="CV42034" s="376"/>
    </row>
    <row r="42035" spans="1:100">
      <c r="A42035" s="374"/>
      <c r="C42035" s="374"/>
      <c r="CV42035" s="376"/>
    </row>
    <row r="42036" spans="1:100">
      <c r="A42036" s="374"/>
      <c r="C42036" s="374"/>
      <c r="CV42036" s="376"/>
    </row>
    <row r="42037" spans="1:100">
      <c r="A42037" s="374"/>
      <c r="C42037" s="374"/>
      <c r="CV42037" s="376"/>
    </row>
    <row r="42038" spans="1:100">
      <c r="A42038" s="374"/>
      <c r="C42038" s="374"/>
      <c r="CV42038" s="376"/>
    </row>
    <row r="42039" spans="1:100">
      <c r="A42039" s="374"/>
      <c r="C42039" s="374"/>
      <c r="CV42039" s="376"/>
    </row>
    <row r="42040" spans="1:100">
      <c r="A42040" s="374"/>
      <c r="C42040" s="374"/>
      <c r="CV42040" s="376"/>
    </row>
    <row r="42041" spans="1:100">
      <c r="A42041" s="374"/>
      <c r="C42041" s="374"/>
      <c r="CV42041" s="376"/>
    </row>
    <row r="42042" spans="1:100">
      <c r="A42042" s="374"/>
      <c r="C42042" s="374"/>
      <c r="CV42042" s="376"/>
    </row>
    <row r="42043" spans="1:100">
      <c r="A42043" s="374"/>
      <c r="C42043" s="374"/>
      <c r="CV42043" s="376"/>
    </row>
    <row r="42044" spans="1:100">
      <c r="A42044" s="374"/>
      <c r="C42044" s="374"/>
      <c r="CV42044" s="376"/>
    </row>
    <row r="42045" spans="1:100">
      <c r="A42045" s="374"/>
      <c r="C42045" s="374"/>
      <c r="CV42045" s="376"/>
    </row>
    <row r="42046" spans="1:100">
      <c r="A42046" s="374"/>
      <c r="C42046" s="374"/>
      <c r="CV42046" s="376"/>
    </row>
    <row r="42047" spans="1:100">
      <c r="A42047" s="374"/>
      <c r="C42047" s="374"/>
      <c r="CV42047" s="376"/>
    </row>
    <row r="42048" spans="1:100">
      <c r="A42048" s="374"/>
      <c r="C42048" s="374"/>
      <c r="CV42048" s="376"/>
    </row>
    <row r="42049" spans="1:100">
      <c r="A42049" s="374"/>
      <c r="C42049" s="374"/>
      <c r="CV42049" s="376"/>
    </row>
    <row r="42050" spans="1:100">
      <c r="A42050" s="374"/>
      <c r="C42050" s="374"/>
      <c r="CV42050" s="376"/>
    </row>
    <row r="42051" spans="1:100">
      <c r="A42051" s="374"/>
      <c r="C42051" s="374"/>
      <c r="CV42051" s="376"/>
    </row>
    <row r="42052" spans="1:100">
      <c r="A42052" s="374"/>
      <c r="C42052" s="374"/>
      <c r="CV42052" s="376"/>
    </row>
    <row r="42053" spans="1:100">
      <c r="A42053" s="374"/>
      <c r="C42053" s="374"/>
      <c r="CV42053" s="376"/>
    </row>
    <row r="42054" spans="1:100">
      <c r="A42054" s="374"/>
      <c r="C42054" s="374"/>
      <c r="CV42054" s="376"/>
    </row>
    <row r="42055" spans="1:100">
      <c r="A42055" s="374"/>
      <c r="C42055" s="374"/>
      <c r="CV42055" s="376"/>
    </row>
    <row r="42056" spans="1:100">
      <c r="A42056" s="374"/>
      <c r="C42056" s="374"/>
      <c r="CV42056" s="376"/>
    </row>
    <row r="42057" spans="1:100">
      <c r="A42057" s="374"/>
      <c r="C42057" s="374"/>
      <c r="CV42057" s="376"/>
    </row>
    <row r="42058" spans="1:100">
      <c r="A42058" s="374"/>
      <c r="C42058" s="374"/>
      <c r="CV42058" s="376"/>
    </row>
    <row r="42059" spans="1:100">
      <c r="A42059" s="374"/>
      <c r="C42059" s="374"/>
      <c r="CV42059" s="376"/>
    </row>
    <row r="42060" spans="1:100">
      <c r="A42060" s="374"/>
      <c r="C42060" s="374"/>
      <c r="CV42060" s="376"/>
    </row>
    <row r="42061" spans="1:100">
      <c r="A42061" s="374"/>
      <c r="C42061" s="374"/>
      <c r="CV42061" s="376"/>
    </row>
    <row r="42062" spans="1:100">
      <c r="A42062" s="374"/>
      <c r="C42062" s="374"/>
      <c r="CV42062" s="376"/>
    </row>
    <row r="42063" spans="1:100">
      <c r="A42063" s="374"/>
      <c r="C42063" s="374"/>
      <c r="CV42063" s="376"/>
    </row>
    <row r="42064" spans="1:100">
      <c r="A42064" s="374"/>
      <c r="C42064" s="374"/>
      <c r="CV42064" s="376"/>
    </row>
    <row r="42065" spans="1:100">
      <c r="A42065" s="374"/>
      <c r="C42065" s="374"/>
      <c r="CV42065" s="376"/>
    </row>
    <row r="42066" spans="1:100">
      <c r="A42066" s="374"/>
      <c r="C42066" s="374"/>
      <c r="CV42066" s="376"/>
    </row>
    <row r="42067" spans="1:100">
      <c r="A42067" s="374"/>
      <c r="C42067" s="374"/>
      <c r="CV42067" s="376"/>
    </row>
    <row r="42068" spans="1:100">
      <c r="A42068" s="374"/>
      <c r="C42068" s="374"/>
      <c r="CV42068" s="376"/>
    </row>
    <row r="42069" spans="1:100">
      <c r="A42069" s="374"/>
      <c r="C42069" s="374"/>
      <c r="CV42069" s="376"/>
    </row>
    <row r="42070" spans="1:100">
      <c r="A42070" s="374"/>
      <c r="C42070" s="374"/>
      <c r="CV42070" s="376"/>
    </row>
    <row r="42071" spans="1:100">
      <c r="A42071" s="374"/>
      <c r="C42071" s="374"/>
      <c r="CV42071" s="376"/>
    </row>
    <row r="42072" spans="1:100">
      <c r="A42072" s="374"/>
      <c r="C42072" s="374"/>
      <c r="CV42072" s="376"/>
    </row>
    <row r="42073" spans="1:100">
      <c r="A42073" s="374"/>
      <c r="C42073" s="374"/>
      <c r="CV42073" s="376"/>
    </row>
    <row r="42074" spans="1:100">
      <c r="A42074" s="374"/>
      <c r="C42074" s="374"/>
      <c r="CV42074" s="376"/>
    </row>
    <row r="42075" spans="1:100">
      <c r="A42075" s="374"/>
      <c r="C42075" s="374"/>
      <c r="CV42075" s="376"/>
    </row>
    <row r="42076" spans="1:100">
      <c r="A42076" s="374"/>
      <c r="C42076" s="374"/>
      <c r="CV42076" s="376"/>
    </row>
    <row r="42077" spans="1:100">
      <c r="A42077" s="374"/>
      <c r="C42077" s="374"/>
      <c r="CV42077" s="376"/>
    </row>
    <row r="42078" spans="1:100">
      <c r="A42078" s="374"/>
      <c r="C42078" s="374"/>
      <c r="CV42078" s="376"/>
    </row>
    <row r="42079" spans="1:100">
      <c r="A42079" s="374"/>
      <c r="C42079" s="374"/>
      <c r="CV42079" s="376"/>
    </row>
    <row r="42080" spans="1:100">
      <c r="A42080" s="374"/>
      <c r="C42080" s="374"/>
      <c r="CV42080" s="376"/>
    </row>
    <row r="42081" spans="1:100">
      <c r="A42081" s="374"/>
      <c r="C42081" s="374"/>
      <c r="CV42081" s="376"/>
    </row>
    <row r="42082" spans="1:100">
      <c r="A42082" s="374"/>
      <c r="C42082" s="374"/>
      <c r="CV42082" s="376"/>
    </row>
    <row r="42083" spans="1:100">
      <c r="A42083" s="374"/>
      <c r="C42083" s="374"/>
      <c r="CV42083" s="376"/>
    </row>
    <row r="42084" spans="1:100">
      <c r="A42084" s="374"/>
      <c r="C42084" s="374"/>
      <c r="CV42084" s="376"/>
    </row>
    <row r="42085" spans="1:100">
      <c r="A42085" s="374"/>
      <c r="C42085" s="374"/>
      <c r="CV42085" s="376"/>
    </row>
    <row r="42086" spans="1:100">
      <c r="A42086" s="374"/>
      <c r="C42086" s="374"/>
      <c r="CV42086" s="376"/>
    </row>
    <row r="42087" spans="1:100">
      <c r="A42087" s="374"/>
      <c r="C42087" s="374"/>
      <c r="CV42087" s="376"/>
    </row>
    <row r="42088" spans="1:100">
      <c r="A42088" s="374"/>
      <c r="C42088" s="374"/>
      <c r="CV42088" s="376"/>
    </row>
    <row r="42089" spans="1:100">
      <c r="A42089" s="374"/>
      <c r="C42089" s="374"/>
      <c r="CV42089" s="376"/>
    </row>
    <row r="42090" spans="1:100">
      <c r="A42090" s="374"/>
      <c r="C42090" s="374"/>
      <c r="CV42090" s="376"/>
    </row>
    <row r="42091" spans="1:100">
      <c r="A42091" s="374"/>
      <c r="C42091" s="374"/>
      <c r="CV42091" s="376"/>
    </row>
    <row r="42092" spans="1:100">
      <c r="A42092" s="374"/>
      <c r="C42092" s="374"/>
      <c r="CV42092" s="376"/>
    </row>
    <row r="42093" spans="1:100">
      <c r="A42093" s="374"/>
      <c r="C42093" s="374"/>
      <c r="CV42093" s="376"/>
    </row>
    <row r="42094" spans="1:100">
      <c r="A42094" s="374"/>
      <c r="C42094" s="374"/>
      <c r="CV42094" s="376"/>
    </row>
    <row r="42095" spans="1:100">
      <c r="A42095" s="374"/>
      <c r="C42095" s="374"/>
      <c r="CV42095" s="376"/>
    </row>
    <row r="42096" spans="1:100">
      <c r="A42096" s="374"/>
      <c r="C42096" s="374"/>
      <c r="CV42096" s="376"/>
    </row>
    <row r="42097" spans="1:100">
      <c r="A42097" s="374"/>
      <c r="C42097" s="374"/>
      <c r="CV42097" s="376"/>
    </row>
    <row r="42098" spans="1:100">
      <c r="A42098" s="374"/>
      <c r="C42098" s="374"/>
      <c r="CV42098" s="376"/>
    </row>
    <row r="42099" spans="1:100">
      <c r="A42099" s="374"/>
      <c r="C42099" s="374"/>
      <c r="CV42099" s="376"/>
    </row>
    <row r="42100" spans="1:100">
      <c r="A42100" s="374"/>
      <c r="C42100" s="374"/>
      <c r="CV42100" s="376"/>
    </row>
    <row r="42101" spans="1:100">
      <c r="A42101" s="374"/>
      <c r="C42101" s="374"/>
      <c r="CV42101" s="376"/>
    </row>
    <row r="42102" spans="1:100">
      <c r="A42102" s="374"/>
      <c r="C42102" s="374"/>
      <c r="CV42102" s="376"/>
    </row>
    <row r="42103" spans="1:100">
      <c r="A42103" s="374"/>
      <c r="C42103" s="374"/>
      <c r="CV42103" s="376"/>
    </row>
    <row r="42104" spans="1:100">
      <c r="A42104" s="374"/>
      <c r="C42104" s="374"/>
      <c r="CV42104" s="376"/>
    </row>
    <row r="42105" spans="1:100">
      <c r="A42105" s="374"/>
      <c r="C42105" s="374"/>
      <c r="CV42105" s="376"/>
    </row>
    <row r="42106" spans="1:100">
      <c r="A42106" s="374"/>
      <c r="C42106" s="374"/>
      <c r="CV42106" s="376"/>
    </row>
    <row r="42107" spans="1:100">
      <c r="A42107" s="374"/>
      <c r="C42107" s="374"/>
      <c r="CV42107" s="376"/>
    </row>
    <row r="42108" spans="1:100">
      <c r="A42108" s="374"/>
      <c r="C42108" s="374"/>
      <c r="CV42108" s="376"/>
    </row>
    <row r="42109" spans="1:100">
      <c r="A42109" s="374"/>
      <c r="C42109" s="374"/>
      <c r="CV42109" s="376"/>
    </row>
    <row r="42110" spans="1:100">
      <c r="A42110" s="374"/>
      <c r="C42110" s="374"/>
      <c r="CV42110" s="376"/>
    </row>
    <row r="42111" spans="1:100">
      <c r="A42111" s="374"/>
      <c r="C42111" s="374"/>
      <c r="CV42111" s="376"/>
    </row>
    <row r="42112" spans="1:100">
      <c r="A42112" s="374"/>
      <c r="C42112" s="374"/>
      <c r="CV42112" s="376"/>
    </row>
    <row r="42113" spans="1:100">
      <c r="A42113" s="374"/>
      <c r="C42113" s="374"/>
      <c r="CV42113" s="376"/>
    </row>
    <row r="42114" spans="1:100">
      <c r="A42114" s="374"/>
      <c r="C42114" s="374"/>
      <c r="CV42114" s="376"/>
    </row>
    <row r="42115" spans="1:100">
      <c r="A42115" s="374"/>
      <c r="C42115" s="374"/>
      <c r="CV42115" s="376"/>
    </row>
    <row r="42116" spans="1:100">
      <c r="A42116" s="374"/>
      <c r="C42116" s="374"/>
      <c r="CV42116" s="376"/>
    </row>
    <row r="42117" spans="1:100">
      <c r="A42117" s="374"/>
      <c r="C42117" s="374"/>
      <c r="CV42117" s="376"/>
    </row>
    <row r="42118" spans="1:100">
      <c r="A42118" s="374"/>
      <c r="C42118" s="374"/>
      <c r="CV42118" s="376"/>
    </row>
    <row r="42119" spans="1:100">
      <c r="A42119" s="374"/>
      <c r="C42119" s="374"/>
      <c r="CV42119" s="376"/>
    </row>
    <row r="42120" spans="1:100">
      <c r="A42120" s="374"/>
      <c r="C42120" s="374"/>
      <c r="CV42120" s="376"/>
    </row>
    <row r="42121" spans="1:100">
      <c r="A42121" s="374"/>
      <c r="C42121" s="374"/>
      <c r="CV42121" s="376"/>
    </row>
    <row r="42122" spans="1:100">
      <c r="A42122" s="374"/>
      <c r="C42122" s="374"/>
      <c r="CV42122" s="376"/>
    </row>
    <row r="42123" spans="1:100">
      <c r="A42123" s="374"/>
      <c r="C42123" s="374"/>
      <c r="CV42123" s="376"/>
    </row>
    <row r="42124" spans="1:100">
      <c r="A42124" s="374"/>
      <c r="C42124" s="374"/>
      <c r="CV42124" s="376"/>
    </row>
    <row r="42125" spans="1:100">
      <c r="A42125" s="374"/>
      <c r="C42125" s="374"/>
      <c r="CV42125" s="376"/>
    </row>
    <row r="42126" spans="1:100">
      <c r="A42126" s="374"/>
      <c r="C42126" s="374"/>
      <c r="CV42126" s="376"/>
    </row>
    <row r="42127" spans="1:100">
      <c r="A42127" s="374"/>
      <c r="C42127" s="374"/>
      <c r="CV42127" s="376"/>
    </row>
    <row r="42128" spans="1:100">
      <c r="A42128" s="374"/>
      <c r="C42128" s="374"/>
      <c r="CV42128" s="376"/>
    </row>
    <row r="42129" spans="1:100">
      <c r="A42129" s="374"/>
      <c r="C42129" s="374"/>
      <c r="CV42129" s="376"/>
    </row>
    <row r="42130" spans="1:100">
      <c r="A42130" s="374"/>
      <c r="C42130" s="374"/>
      <c r="CV42130" s="376"/>
    </row>
    <row r="42131" spans="1:100">
      <c r="A42131" s="374"/>
      <c r="C42131" s="374"/>
      <c r="CV42131" s="376"/>
    </row>
    <row r="42132" spans="1:100">
      <c r="A42132" s="374"/>
      <c r="C42132" s="374"/>
      <c r="CV42132" s="376"/>
    </row>
    <row r="42133" spans="1:100">
      <c r="A42133" s="374"/>
      <c r="C42133" s="374"/>
      <c r="CV42133" s="376"/>
    </row>
    <row r="42134" spans="1:100">
      <c r="A42134" s="374"/>
      <c r="C42134" s="374"/>
      <c r="CV42134" s="376"/>
    </row>
    <row r="42135" spans="1:100">
      <c r="A42135" s="374"/>
      <c r="C42135" s="374"/>
      <c r="CV42135" s="376"/>
    </row>
    <row r="42136" spans="1:100">
      <c r="A42136" s="374"/>
      <c r="C42136" s="374"/>
      <c r="CV42136" s="376"/>
    </row>
    <row r="42137" spans="1:100">
      <c r="A42137" s="374"/>
      <c r="C42137" s="374"/>
      <c r="CV42137" s="376"/>
    </row>
    <row r="42138" spans="1:100">
      <c r="A42138" s="374"/>
      <c r="C42138" s="374"/>
      <c r="CV42138" s="376"/>
    </row>
    <row r="42139" spans="1:100">
      <c r="A42139" s="374"/>
      <c r="C42139" s="374"/>
      <c r="CV42139" s="376"/>
    </row>
    <row r="42140" spans="1:100">
      <c r="A42140" s="374"/>
      <c r="C42140" s="374"/>
      <c r="CV42140" s="376"/>
    </row>
    <row r="42141" spans="1:100">
      <c r="A42141" s="374"/>
      <c r="C42141" s="374"/>
      <c r="CV42141" s="376"/>
    </row>
    <row r="42142" spans="1:100">
      <c r="A42142" s="374"/>
      <c r="C42142" s="374"/>
      <c r="CV42142" s="376"/>
    </row>
    <row r="42143" spans="1:100">
      <c r="A42143" s="374"/>
      <c r="C42143" s="374"/>
      <c r="CV42143" s="376"/>
    </row>
    <row r="42144" spans="1:100">
      <c r="A42144" s="374"/>
      <c r="C42144" s="374"/>
      <c r="CV42144" s="376"/>
    </row>
    <row r="42145" spans="1:100">
      <c r="A42145" s="374"/>
      <c r="C42145" s="374"/>
      <c r="CV42145" s="376"/>
    </row>
    <row r="42146" spans="1:100">
      <c r="A42146" s="374"/>
      <c r="C42146" s="374"/>
      <c r="CV42146" s="376"/>
    </row>
    <row r="42147" spans="1:100">
      <c r="A42147" s="374"/>
      <c r="C42147" s="374"/>
      <c r="CV42147" s="376"/>
    </row>
    <row r="42148" spans="1:100">
      <c r="A42148" s="374"/>
      <c r="C42148" s="374"/>
      <c r="CV42148" s="376"/>
    </row>
    <row r="42149" spans="1:100">
      <c r="A42149" s="374"/>
      <c r="C42149" s="374"/>
      <c r="CV42149" s="376"/>
    </row>
    <row r="42150" spans="1:100">
      <c r="A42150" s="374"/>
      <c r="C42150" s="374"/>
      <c r="CV42150" s="376"/>
    </row>
    <row r="42151" spans="1:100">
      <c r="A42151" s="374"/>
      <c r="C42151" s="374"/>
      <c r="CV42151" s="376"/>
    </row>
    <row r="42152" spans="1:100">
      <c r="A42152" s="374"/>
      <c r="C42152" s="374"/>
      <c r="CV42152" s="376"/>
    </row>
    <row r="42153" spans="1:100">
      <c r="A42153" s="374"/>
      <c r="C42153" s="374"/>
      <c r="CV42153" s="376"/>
    </row>
    <row r="42154" spans="1:100">
      <c r="A42154" s="374"/>
      <c r="C42154" s="374"/>
      <c r="CV42154" s="376"/>
    </row>
    <row r="42155" spans="1:100">
      <c r="A42155" s="374"/>
      <c r="C42155" s="374"/>
      <c r="CV42155" s="376"/>
    </row>
    <row r="42156" spans="1:100">
      <c r="A42156" s="374"/>
      <c r="C42156" s="374"/>
      <c r="CV42156" s="376"/>
    </row>
    <row r="42157" spans="1:100">
      <c r="A42157" s="374"/>
      <c r="C42157" s="374"/>
      <c r="CV42157" s="376"/>
    </row>
    <row r="42158" spans="1:100">
      <c r="A42158" s="374"/>
      <c r="C42158" s="374"/>
      <c r="CV42158" s="376"/>
    </row>
    <row r="42159" spans="1:100">
      <c r="A42159" s="374"/>
      <c r="C42159" s="374"/>
      <c r="CV42159" s="376"/>
    </row>
    <row r="42160" spans="1:100">
      <c r="A42160" s="374"/>
      <c r="C42160" s="374"/>
      <c r="CV42160" s="376"/>
    </row>
    <row r="42161" spans="1:100">
      <c r="A42161" s="374"/>
      <c r="C42161" s="374"/>
      <c r="CV42161" s="376"/>
    </row>
    <row r="42162" spans="1:100">
      <c r="A42162" s="374"/>
      <c r="C42162" s="374"/>
      <c r="CV42162" s="376"/>
    </row>
    <row r="42163" spans="1:100">
      <c r="A42163" s="374"/>
      <c r="C42163" s="374"/>
      <c r="CV42163" s="376"/>
    </row>
    <row r="42164" spans="1:100">
      <c r="A42164" s="374"/>
      <c r="C42164" s="374"/>
      <c r="CV42164" s="376"/>
    </row>
    <row r="42165" spans="1:100">
      <c r="A42165" s="374"/>
      <c r="C42165" s="374"/>
      <c r="CV42165" s="376"/>
    </row>
    <row r="42166" spans="1:100">
      <c r="A42166" s="374"/>
      <c r="C42166" s="374"/>
      <c r="CV42166" s="376"/>
    </row>
    <row r="42167" spans="1:100">
      <c r="A42167" s="374"/>
      <c r="C42167" s="374"/>
      <c r="CV42167" s="376"/>
    </row>
    <row r="42168" spans="1:100">
      <c r="A42168" s="374"/>
      <c r="C42168" s="374"/>
      <c r="CV42168" s="376"/>
    </row>
    <row r="42169" spans="1:100">
      <c r="A42169" s="374"/>
      <c r="C42169" s="374"/>
      <c r="CV42169" s="376"/>
    </row>
    <row r="42170" spans="1:100">
      <c r="A42170" s="374"/>
      <c r="C42170" s="374"/>
      <c r="CV42170" s="376"/>
    </row>
    <row r="42171" spans="1:100">
      <c r="A42171" s="374"/>
      <c r="C42171" s="374"/>
      <c r="CV42171" s="376"/>
    </row>
    <row r="42172" spans="1:100">
      <c r="A42172" s="374"/>
      <c r="C42172" s="374"/>
      <c r="CV42172" s="376"/>
    </row>
    <row r="42173" spans="1:100">
      <c r="A42173" s="374"/>
      <c r="C42173" s="374"/>
      <c r="CV42173" s="376"/>
    </row>
    <row r="42174" spans="1:100">
      <c r="A42174" s="374"/>
      <c r="C42174" s="374"/>
      <c r="CV42174" s="376"/>
    </row>
    <row r="42175" spans="1:100">
      <c r="A42175" s="374"/>
      <c r="C42175" s="374"/>
      <c r="CV42175" s="376"/>
    </row>
    <row r="42176" spans="1:100">
      <c r="A42176" s="374"/>
      <c r="C42176" s="374"/>
      <c r="CV42176" s="376"/>
    </row>
    <row r="42177" spans="1:100">
      <c r="A42177" s="374"/>
      <c r="C42177" s="374"/>
      <c r="CV42177" s="376"/>
    </row>
    <row r="42178" spans="1:100">
      <c r="A42178" s="374"/>
      <c r="C42178" s="374"/>
      <c r="CV42178" s="376"/>
    </row>
    <row r="42179" spans="1:100">
      <c r="A42179" s="374"/>
      <c r="C42179" s="374"/>
      <c r="CV42179" s="376"/>
    </row>
    <row r="42180" spans="1:100">
      <c r="A42180" s="374"/>
      <c r="C42180" s="374"/>
      <c r="CV42180" s="376"/>
    </row>
    <row r="42181" spans="1:100">
      <c r="A42181" s="374"/>
      <c r="C42181" s="374"/>
      <c r="CV42181" s="376"/>
    </row>
    <row r="42182" spans="1:100">
      <c r="A42182" s="374"/>
      <c r="C42182" s="374"/>
      <c r="CV42182" s="376"/>
    </row>
    <row r="42183" spans="1:100">
      <c r="A42183" s="374"/>
      <c r="C42183" s="374"/>
      <c r="CV42183" s="376"/>
    </row>
    <row r="42184" spans="1:100">
      <c r="A42184" s="374"/>
      <c r="C42184" s="374"/>
      <c r="CV42184" s="376"/>
    </row>
    <row r="42185" spans="1:100">
      <c r="A42185" s="374"/>
      <c r="C42185" s="374"/>
      <c r="CV42185" s="376"/>
    </row>
    <row r="42186" spans="1:100">
      <c r="A42186" s="374"/>
      <c r="C42186" s="374"/>
      <c r="CV42186" s="376"/>
    </row>
    <row r="42187" spans="1:100">
      <c r="A42187" s="374"/>
      <c r="C42187" s="374"/>
      <c r="CV42187" s="376"/>
    </row>
    <row r="42188" spans="1:100">
      <c r="A42188" s="374"/>
      <c r="C42188" s="374"/>
      <c r="CV42188" s="376"/>
    </row>
    <row r="42189" spans="1:100">
      <c r="A42189" s="374"/>
      <c r="C42189" s="374"/>
      <c r="CV42189" s="376"/>
    </row>
    <row r="42190" spans="1:100">
      <c r="A42190" s="374"/>
      <c r="C42190" s="374"/>
      <c r="CV42190" s="376"/>
    </row>
    <row r="42191" spans="1:100">
      <c r="A42191" s="374"/>
      <c r="C42191" s="374"/>
      <c r="CV42191" s="376"/>
    </row>
    <row r="42192" spans="1:100">
      <c r="A42192" s="374"/>
      <c r="C42192" s="374"/>
      <c r="CV42192" s="376"/>
    </row>
    <row r="42193" spans="1:100">
      <c r="A42193" s="374"/>
      <c r="C42193" s="374"/>
      <c r="CV42193" s="376"/>
    </row>
    <row r="42194" spans="1:100">
      <c r="A42194" s="374"/>
      <c r="C42194" s="374"/>
      <c r="CV42194" s="376"/>
    </row>
    <row r="42195" spans="1:100">
      <c r="A42195" s="374"/>
      <c r="C42195" s="374"/>
      <c r="CV42195" s="376"/>
    </row>
    <row r="42196" spans="1:100">
      <c r="A42196" s="374"/>
      <c r="C42196" s="374"/>
      <c r="CV42196" s="376"/>
    </row>
    <row r="42197" spans="1:100">
      <c r="A42197" s="374"/>
      <c r="C42197" s="374"/>
      <c r="CV42197" s="376"/>
    </row>
    <row r="42198" spans="1:100">
      <c r="A42198" s="374"/>
      <c r="C42198" s="374"/>
      <c r="CV42198" s="376"/>
    </row>
    <row r="42199" spans="1:100">
      <c r="A42199" s="374"/>
      <c r="C42199" s="374"/>
      <c r="CV42199" s="376"/>
    </row>
    <row r="42200" spans="1:100">
      <c r="A42200" s="374"/>
      <c r="C42200" s="374"/>
      <c r="CV42200" s="376"/>
    </row>
    <row r="42201" spans="1:100">
      <c r="A42201" s="374"/>
      <c r="C42201" s="374"/>
      <c r="CV42201" s="376"/>
    </row>
    <row r="42202" spans="1:100">
      <c r="A42202" s="374"/>
      <c r="C42202" s="374"/>
      <c r="CV42202" s="376"/>
    </row>
    <row r="42203" spans="1:100">
      <c r="A42203" s="374"/>
      <c r="C42203" s="374"/>
      <c r="CV42203" s="376"/>
    </row>
    <row r="42204" spans="1:100">
      <c r="A42204" s="374"/>
      <c r="C42204" s="374"/>
      <c r="CV42204" s="376"/>
    </row>
    <row r="42205" spans="1:100">
      <c r="A42205" s="374"/>
      <c r="C42205" s="374"/>
      <c r="CV42205" s="376"/>
    </row>
    <row r="42206" spans="1:100">
      <c r="A42206" s="374"/>
      <c r="C42206" s="374"/>
      <c r="CV42206" s="376"/>
    </row>
    <row r="42207" spans="1:100">
      <c r="A42207" s="374"/>
      <c r="C42207" s="374"/>
      <c r="CV42207" s="376"/>
    </row>
    <row r="42208" spans="1:100">
      <c r="A42208" s="374"/>
      <c r="C42208" s="374"/>
      <c r="CV42208" s="376"/>
    </row>
    <row r="42209" spans="1:100">
      <c r="A42209" s="374"/>
      <c r="C42209" s="374"/>
      <c r="CV42209" s="376"/>
    </row>
    <row r="42210" spans="1:100">
      <c r="A42210" s="374"/>
      <c r="C42210" s="374"/>
      <c r="CV42210" s="376"/>
    </row>
    <row r="42211" spans="1:100">
      <c r="A42211" s="374"/>
      <c r="C42211" s="374"/>
      <c r="CV42211" s="376"/>
    </row>
    <row r="42212" spans="1:100">
      <c r="A42212" s="374"/>
      <c r="C42212" s="374"/>
      <c r="CV42212" s="376"/>
    </row>
    <row r="42213" spans="1:100">
      <c r="A42213" s="374"/>
      <c r="C42213" s="374"/>
      <c r="CV42213" s="376"/>
    </row>
    <row r="42214" spans="1:100">
      <c r="A42214" s="374"/>
      <c r="C42214" s="374"/>
      <c r="CV42214" s="376"/>
    </row>
    <row r="42215" spans="1:100">
      <c r="A42215" s="374"/>
      <c r="C42215" s="374"/>
      <c r="CV42215" s="376"/>
    </row>
    <row r="42216" spans="1:100">
      <c r="A42216" s="374"/>
      <c r="C42216" s="374"/>
      <c r="CV42216" s="376"/>
    </row>
    <row r="42217" spans="1:100">
      <c r="A42217" s="374"/>
      <c r="C42217" s="374"/>
      <c r="CV42217" s="376"/>
    </row>
    <row r="42218" spans="1:100">
      <c r="A42218" s="374"/>
      <c r="C42218" s="374"/>
      <c r="CV42218" s="376"/>
    </row>
    <row r="42219" spans="1:100">
      <c r="A42219" s="374"/>
      <c r="C42219" s="374"/>
      <c r="CV42219" s="376"/>
    </row>
    <row r="42220" spans="1:100">
      <c r="A42220" s="374"/>
      <c r="C42220" s="374"/>
      <c r="CV42220" s="376"/>
    </row>
    <row r="42221" spans="1:100">
      <c r="A42221" s="374"/>
      <c r="C42221" s="374"/>
      <c r="CV42221" s="376"/>
    </row>
    <row r="42222" spans="1:100">
      <c r="A42222" s="374"/>
      <c r="C42222" s="374"/>
      <c r="CV42222" s="376"/>
    </row>
    <row r="42223" spans="1:100">
      <c r="A42223" s="374"/>
      <c r="C42223" s="374"/>
      <c r="CV42223" s="376"/>
    </row>
    <row r="42224" spans="1:100">
      <c r="A42224" s="374"/>
      <c r="C42224" s="374"/>
      <c r="CV42224" s="376"/>
    </row>
    <row r="42225" spans="1:100">
      <c r="A42225" s="374"/>
      <c r="C42225" s="374"/>
      <c r="CV42225" s="376"/>
    </row>
    <row r="42226" spans="1:100">
      <c r="A42226" s="374"/>
      <c r="C42226" s="374"/>
      <c r="CV42226" s="376"/>
    </row>
    <row r="42227" spans="1:100">
      <c r="A42227" s="374"/>
      <c r="C42227" s="374"/>
      <c r="CV42227" s="376"/>
    </row>
    <row r="42228" spans="1:100">
      <c r="A42228" s="374"/>
      <c r="C42228" s="374"/>
      <c r="CV42228" s="376"/>
    </row>
    <row r="42229" spans="1:100">
      <c r="A42229" s="374"/>
      <c r="C42229" s="374"/>
      <c r="CV42229" s="376"/>
    </row>
    <row r="42230" spans="1:100">
      <c r="A42230" s="374"/>
      <c r="C42230" s="374"/>
      <c r="CV42230" s="376"/>
    </row>
    <row r="42231" spans="1:100">
      <c r="A42231" s="374"/>
      <c r="C42231" s="374"/>
      <c r="CV42231" s="376"/>
    </row>
    <row r="42232" spans="1:100">
      <c r="A42232" s="374"/>
      <c r="C42232" s="374"/>
      <c r="CV42232" s="376"/>
    </row>
    <row r="42233" spans="1:100">
      <c r="A42233" s="374"/>
      <c r="C42233" s="374"/>
      <c r="CV42233" s="376"/>
    </row>
    <row r="42234" spans="1:100">
      <c r="A42234" s="374"/>
      <c r="C42234" s="374"/>
      <c r="CV42234" s="376"/>
    </row>
    <row r="42235" spans="1:100">
      <c r="A42235" s="374"/>
      <c r="C42235" s="374"/>
      <c r="CV42235" s="376"/>
    </row>
    <row r="42236" spans="1:100">
      <c r="A42236" s="374"/>
      <c r="C42236" s="374"/>
      <c r="CV42236" s="376"/>
    </row>
    <row r="42237" spans="1:100">
      <c r="A42237" s="374"/>
      <c r="C42237" s="374"/>
      <c r="CV42237" s="376"/>
    </row>
    <row r="42238" spans="1:100">
      <c r="A42238" s="374"/>
      <c r="C42238" s="374"/>
      <c r="CV42238" s="376"/>
    </row>
    <row r="42239" spans="1:100">
      <c r="A42239" s="374"/>
      <c r="C42239" s="374"/>
      <c r="CV42239" s="376"/>
    </row>
    <row r="42240" spans="1:100">
      <c r="A42240" s="374"/>
      <c r="C42240" s="374"/>
      <c r="CV42240" s="376"/>
    </row>
    <row r="42241" spans="1:100">
      <c r="A42241" s="374"/>
      <c r="C42241" s="374"/>
      <c r="CV42241" s="376"/>
    </row>
    <row r="42242" spans="1:100">
      <c r="A42242" s="374"/>
      <c r="C42242" s="374"/>
      <c r="CV42242" s="376"/>
    </row>
    <row r="42243" spans="1:100">
      <c r="A42243" s="374"/>
      <c r="C42243" s="374"/>
      <c r="CV42243" s="376"/>
    </row>
    <row r="42244" spans="1:100">
      <c r="A42244" s="374"/>
      <c r="C42244" s="374"/>
      <c r="CV42244" s="376"/>
    </row>
    <row r="42245" spans="1:100">
      <c r="A42245" s="374"/>
      <c r="C42245" s="374"/>
      <c r="CV42245" s="376"/>
    </row>
    <row r="42246" spans="1:100">
      <c r="A42246" s="374"/>
      <c r="C42246" s="374"/>
      <c r="CV42246" s="376"/>
    </row>
    <row r="42247" spans="1:100">
      <c r="A42247" s="374"/>
      <c r="C42247" s="374"/>
      <c r="CV42247" s="376"/>
    </row>
    <row r="42248" spans="1:100">
      <c r="A42248" s="374"/>
      <c r="C42248" s="374"/>
      <c r="CV42248" s="376"/>
    </row>
    <row r="42249" spans="1:100">
      <c r="A42249" s="374"/>
      <c r="C42249" s="374"/>
      <c r="CV42249" s="376"/>
    </row>
    <row r="42250" spans="1:100">
      <c r="A42250" s="374"/>
      <c r="C42250" s="374"/>
      <c r="CV42250" s="376"/>
    </row>
    <row r="42251" spans="1:100">
      <c r="A42251" s="374"/>
      <c r="C42251" s="374"/>
      <c r="CV42251" s="376"/>
    </row>
    <row r="42252" spans="1:100">
      <c r="A42252" s="374"/>
      <c r="C42252" s="374"/>
      <c r="CV42252" s="376"/>
    </row>
    <row r="42253" spans="1:100">
      <c r="A42253" s="374"/>
      <c r="C42253" s="374"/>
      <c r="CV42253" s="376"/>
    </row>
    <row r="42254" spans="1:100">
      <c r="A42254" s="374"/>
      <c r="C42254" s="374"/>
      <c r="CV42254" s="376"/>
    </row>
    <row r="42255" spans="1:100">
      <c r="A42255" s="374"/>
      <c r="C42255" s="374"/>
      <c r="CV42255" s="376"/>
    </row>
    <row r="42256" spans="1:100">
      <c r="A42256" s="374"/>
      <c r="C42256" s="374"/>
      <c r="CV42256" s="376"/>
    </row>
    <row r="42257" spans="1:100">
      <c r="A42257" s="374"/>
      <c r="C42257" s="374"/>
      <c r="CV42257" s="376"/>
    </row>
    <row r="42258" spans="1:100">
      <c r="A42258" s="374"/>
      <c r="C42258" s="374"/>
      <c r="CV42258" s="376"/>
    </row>
    <row r="42259" spans="1:100">
      <c r="A42259" s="374"/>
      <c r="C42259" s="374"/>
      <c r="CV42259" s="376"/>
    </row>
    <row r="42260" spans="1:100">
      <c r="A42260" s="374"/>
      <c r="C42260" s="374"/>
      <c r="CV42260" s="376"/>
    </row>
    <row r="42261" spans="1:100">
      <c r="A42261" s="374"/>
      <c r="C42261" s="374"/>
      <c r="CV42261" s="376"/>
    </row>
    <row r="42262" spans="1:100">
      <c r="A42262" s="374"/>
      <c r="C42262" s="374"/>
      <c r="CV42262" s="376"/>
    </row>
    <row r="42263" spans="1:100">
      <c r="A42263" s="374"/>
      <c r="C42263" s="374"/>
      <c r="CV42263" s="376"/>
    </row>
    <row r="42264" spans="1:100">
      <c r="A42264" s="374"/>
      <c r="C42264" s="374"/>
      <c r="CV42264" s="376"/>
    </row>
    <row r="42265" spans="1:100">
      <c r="A42265" s="374"/>
      <c r="C42265" s="374"/>
      <c r="CV42265" s="376"/>
    </row>
    <row r="42266" spans="1:100">
      <c r="A42266" s="374"/>
      <c r="C42266" s="374"/>
      <c r="CV42266" s="376"/>
    </row>
    <row r="42267" spans="1:100">
      <c r="A42267" s="374"/>
      <c r="C42267" s="374"/>
      <c r="CV42267" s="376"/>
    </row>
    <row r="42268" spans="1:100">
      <c r="A42268" s="374"/>
      <c r="C42268" s="374"/>
      <c r="CV42268" s="376"/>
    </row>
    <row r="42269" spans="1:100">
      <c r="A42269" s="374"/>
      <c r="C42269" s="374"/>
      <c r="CV42269" s="376"/>
    </row>
    <row r="42270" spans="1:100">
      <c r="A42270" s="374"/>
      <c r="C42270" s="374"/>
      <c r="CV42270" s="376"/>
    </row>
    <row r="42271" spans="1:100">
      <c r="A42271" s="374"/>
      <c r="C42271" s="374"/>
      <c r="CV42271" s="376"/>
    </row>
    <row r="42272" spans="1:100">
      <c r="A42272" s="374"/>
      <c r="C42272" s="374"/>
      <c r="CV42272" s="376"/>
    </row>
    <row r="42273" spans="1:100">
      <c r="A42273" s="374"/>
      <c r="C42273" s="374"/>
      <c r="CV42273" s="376"/>
    </row>
    <row r="42274" spans="1:100">
      <c r="A42274" s="374"/>
      <c r="C42274" s="374"/>
      <c r="CV42274" s="376"/>
    </row>
    <row r="42275" spans="1:100">
      <c r="A42275" s="374"/>
      <c r="C42275" s="374"/>
      <c r="CV42275" s="376"/>
    </row>
    <row r="42276" spans="1:100">
      <c r="A42276" s="374"/>
      <c r="C42276" s="374"/>
      <c r="CV42276" s="376"/>
    </row>
    <row r="42277" spans="1:100">
      <c r="A42277" s="374"/>
      <c r="C42277" s="374"/>
      <c r="CV42277" s="376"/>
    </row>
    <row r="42278" spans="1:100">
      <c r="A42278" s="374"/>
      <c r="C42278" s="374"/>
      <c r="CV42278" s="376"/>
    </row>
    <row r="42279" spans="1:100">
      <c r="A42279" s="374"/>
      <c r="C42279" s="374"/>
      <c r="CV42279" s="376"/>
    </row>
    <row r="42280" spans="1:100">
      <c r="A42280" s="374"/>
      <c r="C42280" s="374"/>
      <c r="CV42280" s="376"/>
    </row>
    <row r="42281" spans="1:100">
      <c r="A42281" s="374"/>
      <c r="C42281" s="374"/>
      <c r="CV42281" s="376"/>
    </row>
    <row r="42282" spans="1:100">
      <c r="A42282" s="374"/>
      <c r="C42282" s="374"/>
      <c r="CV42282" s="376"/>
    </row>
    <row r="42283" spans="1:100">
      <c r="A42283" s="374"/>
      <c r="C42283" s="374"/>
      <c r="CV42283" s="376"/>
    </row>
    <row r="42284" spans="1:100">
      <c r="A42284" s="374"/>
      <c r="C42284" s="374"/>
      <c r="CV42284" s="376"/>
    </row>
    <row r="42285" spans="1:100">
      <c r="A42285" s="374"/>
      <c r="C42285" s="374"/>
      <c r="CV42285" s="376"/>
    </row>
    <row r="42286" spans="1:100">
      <c r="A42286" s="374"/>
      <c r="C42286" s="374"/>
      <c r="CV42286" s="376"/>
    </row>
    <row r="42287" spans="1:100">
      <c r="A42287" s="374"/>
      <c r="C42287" s="374"/>
      <c r="CV42287" s="376"/>
    </row>
    <row r="42288" spans="1:100">
      <c r="A42288" s="374"/>
      <c r="C42288" s="374"/>
      <c r="CV42288" s="376"/>
    </row>
    <row r="42289" spans="1:100">
      <c r="A42289" s="374"/>
      <c r="C42289" s="374"/>
      <c r="CV42289" s="376"/>
    </row>
    <row r="42290" spans="1:100">
      <c r="A42290" s="374"/>
      <c r="C42290" s="374"/>
      <c r="CV42290" s="376"/>
    </row>
    <row r="42291" spans="1:100">
      <c r="A42291" s="374"/>
      <c r="C42291" s="374"/>
      <c r="CV42291" s="376"/>
    </row>
    <row r="42292" spans="1:100">
      <c r="A42292" s="374"/>
      <c r="C42292" s="374"/>
      <c r="CV42292" s="376"/>
    </row>
    <row r="42293" spans="1:100">
      <c r="A42293" s="374"/>
      <c r="C42293" s="374"/>
      <c r="CV42293" s="376"/>
    </row>
    <row r="42294" spans="1:100">
      <c r="A42294" s="374"/>
      <c r="C42294" s="374"/>
      <c r="CV42294" s="376"/>
    </row>
    <row r="42295" spans="1:100">
      <c r="A42295" s="374"/>
      <c r="C42295" s="374"/>
      <c r="CV42295" s="376"/>
    </row>
    <row r="42296" spans="1:100">
      <c r="A42296" s="374"/>
      <c r="C42296" s="374"/>
      <c r="CV42296" s="376"/>
    </row>
    <row r="42297" spans="1:100">
      <c r="A42297" s="374"/>
      <c r="C42297" s="374"/>
      <c r="CV42297" s="376"/>
    </row>
    <row r="42298" spans="1:100">
      <c r="A42298" s="374"/>
      <c r="C42298" s="374"/>
      <c r="CV42298" s="376"/>
    </row>
    <row r="42299" spans="1:100">
      <c r="A42299" s="374"/>
      <c r="C42299" s="374"/>
      <c r="CV42299" s="376"/>
    </row>
    <row r="42300" spans="1:100">
      <c r="A42300" s="374"/>
      <c r="C42300" s="374"/>
      <c r="CV42300" s="376"/>
    </row>
    <row r="42301" spans="1:100">
      <c r="A42301" s="374"/>
      <c r="C42301" s="374"/>
      <c r="CV42301" s="376"/>
    </row>
    <row r="42302" spans="1:100">
      <c r="A42302" s="374"/>
      <c r="C42302" s="374"/>
      <c r="CV42302" s="376"/>
    </row>
    <row r="42303" spans="1:100">
      <c r="A42303" s="374"/>
      <c r="C42303" s="374"/>
      <c r="CV42303" s="376"/>
    </row>
    <row r="42304" spans="1:100">
      <c r="A42304" s="374"/>
      <c r="C42304" s="374"/>
      <c r="CV42304" s="376"/>
    </row>
    <row r="42305" spans="1:100">
      <c r="A42305" s="374"/>
      <c r="C42305" s="374"/>
      <c r="CV42305" s="376"/>
    </row>
    <row r="42306" spans="1:100">
      <c r="A42306" s="374"/>
      <c r="C42306" s="374"/>
      <c r="CV42306" s="376"/>
    </row>
    <row r="42307" spans="1:100">
      <c r="A42307" s="374"/>
      <c r="C42307" s="374"/>
      <c r="CV42307" s="376"/>
    </row>
    <row r="42308" spans="1:100">
      <c r="A42308" s="374"/>
      <c r="C42308" s="374"/>
      <c r="CV42308" s="376"/>
    </row>
    <row r="42309" spans="1:100">
      <c r="A42309" s="374"/>
      <c r="C42309" s="374"/>
      <c r="CV42309" s="376"/>
    </row>
    <row r="42310" spans="1:100">
      <c r="A42310" s="374"/>
      <c r="C42310" s="374"/>
      <c r="CV42310" s="376"/>
    </row>
    <row r="42311" spans="1:100">
      <c r="A42311" s="374"/>
      <c r="C42311" s="374"/>
      <c r="CV42311" s="376"/>
    </row>
    <row r="42312" spans="1:100">
      <c r="A42312" s="374"/>
      <c r="C42312" s="374"/>
      <c r="CV42312" s="376"/>
    </row>
    <row r="42313" spans="1:100">
      <c r="A42313" s="374"/>
      <c r="C42313" s="374"/>
      <c r="CV42313" s="376"/>
    </row>
    <row r="42314" spans="1:100">
      <c r="A42314" s="374"/>
      <c r="C42314" s="374"/>
      <c r="CV42314" s="376"/>
    </row>
    <row r="42315" spans="1:100">
      <c r="A42315" s="374"/>
      <c r="C42315" s="374"/>
      <c r="CV42315" s="376"/>
    </row>
    <row r="42316" spans="1:100">
      <c r="A42316" s="374"/>
      <c r="C42316" s="374"/>
      <c r="CV42316" s="376"/>
    </row>
    <row r="42317" spans="1:100">
      <c r="A42317" s="374"/>
      <c r="C42317" s="374"/>
      <c r="CV42317" s="376"/>
    </row>
    <row r="42318" spans="1:100">
      <c r="A42318" s="374"/>
      <c r="C42318" s="374"/>
      <c r="CV42318" s="376"/>
    </row>
    <row r="42319" spans="1:100">
      <c r="A42319" s="374"/>
      <c r="C42319" s="374"/>
      <c r="CV42319" s="376"/>
    </row>
    <row r="42320" spans="1:100">
      <c r="A42320" s="374"/>
      <c r="C42320" s="374"/>
      <c r="CV42320" s="376"/>
    </row>
    <row r="42321" spans="1:100">
      <c r="A42321" s="374"/>
      <c r="C42321" s="374"/>
      <c r="CV42321" s="376"/>
    </row>
    <row r="42322" spans="1:100">
      <c r="A42322" s="374"/>
      <c r="C42322" s="374"/>
      <c r="CV42322" s="376"/>
    </row>
    <row r="42323" spans="1:100">
      <c r="A42323" s="374"/>
      <c r="C42323" s="374"/>
      <c r="CV42323" s="376"/>
    </row>
    <row r="42324" spans="1:100">
      <c r="A42324" s="374"/>
      <c r="C42324" s="374"/>
      <c r="CV42324" s="376"/>
    </row>
    <row r="42325" spans="1:100">
      <c r="A42325" s="374"/>
      <c r="C42325" s="374"/>
      <c r="CV42325" s="376"/>
    </row>
    <row r="42326" spans="1:100">
      <c r="A42326" s="374"/>
      <c r="C42326" s="374"/>
      <c r="CV42326" s="376"/>
    </row>
    <row r="42327" spans="1:100">
      <c r="A42327" s="374"/>
      <c r="C42327" s="374"/>
      <c r="CV42327" s="376"/>
    </row>
    <row r="42328" spans="1:100">
      <c r="A42328" s="374"/>
      <c r="C42328" s="374"/>
      <c r="CV42328" s="376"/>
    </row>
    <row r="42329" spans="1:100">
      <c r="A42329" s="374"/>
      <c r="C42329" s="374"/>
      <c r="CV42329" s="376"/>
    </row>
    <row r="42330" spans="1:100">
      <c r="A42330" s="374"/>
      <c r="C42330" s="374"/>
      <c r="CV42330" s="376"/>
    </row>
    <row r="42331" spans="1:100">
      <c r="A42331" s="374"/>
      <c r="C42331" s="374"/>
      <c r="CV42331" s="376"/>
    </row>
    <row r="42332" spans="1:100">
      <c r="A42332" s="374"/>
      <c r="C42332" s="374"/>
      <c r="CV42332" s="376"/>
    </row>
    <row r="42333" spans="1:100">
      <c r="A42333" s="374"/>
      <c r="C42333" s="374"/>
      <c r="CV42333" s="376"/>
    </row>
    <row r="42334" spans="1:100">
      <c r="A42334" s="374"/>
      <c r="C42334" s="374"/>
      <c r="CV42334" s="376"/>
    </row>
    <row r="42335" spans="1:100">
      <c r="A42335" s="374"/>
      <c r="C42335" s="374"/>
      <c r="CV42335" s="376"/>
    </row>
    <row r="42336" spans="1:100">
      <c r="A42336" s="374"/>
      <c r="C42336" s="374"/>
      <c r="CV42336" s="376"/>
    </row>
    <row r="42337" spans="1:100">
      <c r="A42337" s="374"/>
      <c r="C42337" s="374"/>
      <c r="CV42337" s="376"/>
    </row>
    <row r="42338" spans="1:100">
      <c r="A42338" s="374"/>
      <c r="C42338" s="374"/>
      <c r="CV42338" s="376"/>
    </row>
    <row r="42339" spans="1:100">
      <c r="A42339" s="374"/>
      <c r="C42339" s="374"/>
      <c r="CV42339" s="376"/>
    </row>
    <row r="42340" spans="1:100">
      <c r="A42340" s="374"/>
      <c r="C42340" s="374"/>
      <c r="CV42340" s="376"/>
    </row>
    <row r="42341" spans="1:100">
      <c r="A42341" s="374"/>
      <c r="C42341" s="374"/>
      <c r="CV42341" s="376"/>
    </row>
    <row r="42342" spans="1:100">
      <c r="A42342" s="374"/>
      <c r="C42342" s="374"/>
      <c r="CV42342" s="376"/>
    </row>
    <row r="42343" spans="1:100">
      <c r="A42343" s="374"/>
      <c r="C42343" s="374"/>
      <c r="CV42343" s="376"/>
    </row>
    <row r="42344" spans="1:100">
      <c r="A42344" s="374"/>
      <c r="C42344" s="374"/>
      <c r="CV42344" s="376"/>
    </row>
    <row r="42345" spans="1:100">
      <c r="A42345" s="374"/>
      <c r="C42345" s="374"/>
      <c r="CV42345" s="376"/>
    </row>
    <row r="42346" spans="1:100">
      <c r="A42346" s="374"/>
      <c r="C42346" s="374"/>
      <c r="CV42346" s="376"/>
    </row>
    <row r="42347" spans="1:100">
      <c r="A42347" s="374"/>
      <c r="C42347" s="374"/>
      <c r="CV42347" s="376"/>
    </row>
    <row r="42348" spans="1:100">
      <c r="A42348" s="374"/>
      <c r="C42348" s="374"/>
      <c r="CV42348" s="376"/>
    </row>
    <row r="42349" spans="1:100">
      <c r="A42349" s="374"/>
      <c r="C42349" s="374"/>
      <c r="CV42349" s="376"/>
    </row>
    <row r="42350" spans="1:100">
      <c r="A42350" s="374"/>
      <c r="C42350" s="374"/>
      <c r="CV42350" s="376"/>
    </row>
    <row r="42351" spans="1:100">
      <c r="A42351" s="374"/>
      <c r="C42351" s="374"/>
      <c r="CV42351" s="376"/>
    </row>
    <row r="42352" spans="1:100">
      <c r="A42352" s="374"/>
      <c r="C42352" s="374"/>
      <c r="CV42352" s="376"/>
    </row>
    <row r="42353" spans="1:100">
      <c r="A42353" s="374"/>
      <c r="C42353" s="374"/>
      <c r="CV42353" s="376"/>
    </row>
    <row r="42354" spans="1:100">
      <c r="A42354" s="374"/>
      <c r="C42354" s="374"/>
      <c r="CV42354" s="376"/>
    </row>
    <row r="42355" spans="1:100">
      <c r="A42355" s="374"/>
      <c r="C42355" s="374"/>
      <c r="CV42355" s="376"/>
    </row>
    <row r="42356" spans="1:100">
      <c r="A42356" s="374"/>
      <c r="C42356" s="374"/>
      <c r="CV42356" s="376"/>
    </row>
    <row r="42357" spans="1:100">
      <c r="A42357" s="374"/>
      <c r="C42357" s="374"/>
      <c r="CV42357" s="376"/>
    </row>
    <row r="42358" spans="1:100">
      <c r="A42358" s="374"/>
      <c r="C42358" s="374"/>
      <c r="CV42358" s="376"/>
    </row>
    <row r="42359" spans="1:100">
      <c r="A42359" s="374"/>
      <c r="C42359" s="374"/>
      <c r="CV42359" s="376"/>
    </row>
    <row r="42360" spans="1:100">
      <c r="A42360" s="374"/>
      <c r="C42360" s="374"/>
      <c r="CV42360" s="376"/>
    </row>
    <row r="42361" spans="1:100">
      <c r="A42361" s="374"/>
      <c r="C42361" s="374"/>
      <c r="CV42361" s="376"/>
    </row>
    <row r="42362" spans="1:100">
      <c r="A42362" s="374"/>
      <c r="C42362" s="374"/>
      <c r="CV42362" s="376"/>
    </row>
    <row r="42363" spans="1:100">
      <c r="A42363" s="374"/>
      <c r="C42363" s="374"/>
      <c r="CV42363" s="376"/>
    </row>
    <row r="42364" spans="1:100">
      <c r="A42364" s="374"/>
      <c r="C42364" s="374"/>
      <c r="CV42364" s="376"/>
    </row>
    <row r="42365" spans="1:100">
      <c r="A42365" s="374"/>
      <c r="C42365" s="374"/>
      <c r="CV42365" s="376"/>
    </row>
    <row r="42366" spans="1:100">
      <c r="A42366" s="374"/>
      <c r="C42366" s="374"/>
      <c r="CV42366" s="376"/>
    </row>
    <row r="42367" spans="1:100">
      <c r="A42367" s="374"/>
      <c r="C42367" s="374"/>
      <c r="CV42367" s="376"/>
    </row>
    <row r="42368" spans="1:100">
      <c r="A42368" s="374"/>
      <c r="C42368" s="374"/>
      <c r="CV42368" s="376"/>
    </row>
    <row r="42369" spans="1:100">
      <c r="A42369" s="374"/>
      <c r="C42369" s="374"/>
      <c r="CV42369" s="376"/>
    </row>
    <row r="42370" spans="1:100">
      <c r="A42370" s="374"/>
      <c r="C42370" s="374"/>
      <c r="CV42370" s="376"/>
    </row>
    <row r="42371" spans="1:100">
      <c r="A42371" s="374"/>
      <c r="C42371" s="374"/>
      <c r="CV42371" s="376"/>
    </row>
    <row r="42372" spans="1:100">
      <c r="A42372" s="374"/>
      <c r="C42372" s="374"/>
      <c r="CV42372" s="376"/>
    </row>
    <row r="42373" spans="1:100">
      <c r="A42373" s="374"/>
      <c r="C42373" s="374"/>
      <c r="CV42373" s="376"/>
    </row>
    <row r="42374" spans="1:100">
      <c r="A42374" s="374"/>
      <c r="C42374" s="374"/>
      <c r="CV42374" s="376"/>
    </row>
    <row r="42375" spans="1:100">
      <c r="A42375" s="374"/>
      <c r="C42375" s="374"/>
      <c r="CV42375" s="376"/>
    </row>
    <row r="42376" spans="1:100">
      <c r="A42376" s="374"/>
      <c r="C42376" s="374"/>
      <c r="CV42376" s="376"/>
    </row>
    <row r="42377" spans="1:100">
      <c r="A42377" s="374"/>
      <c r="C42377" s="374"/>
      <c r="CV42377" s="376"/>
    </row>
    <row r="42378" spans="1:100">
      <c r="A42378" s="374"/>
      <c r="C42378" s="374"/>
      <c r="CV42378" s="376"/>
    </row>
    <row r="42379" spans="1:100">
      <c r="A42379" s="374"/>
      <c r="C42379" s="374"/>
      <c r="CV42379" s="376"/>
    </row>
    <row r="42380" spans="1:100">
      <c r="A42380" s="374"/>
      <c r="C42380" s="374"/>
      <c r="CV42380" s="376"/>
    </row>
    <row r="42381" spans="1:100">
      <c r="A42381" s="374"/>
      <c r="C42381" s="374"/>
      <c r="CV42381" s="376"/>
    </row>
    <row r="42382" spans="1:100">
      <c r="A42382" s="374"/>
      <c r="C42382" s="374"/>
      <c r="CV42382" s="376"/>
    </row>
    <row r="42383" spans="1:100">
      <c r="A42383" s="374"/>
      <c r="C42383" s="374"/>
      <c r="CV42383" s="376"/>
    </row>
    <row r="42384" spans="1:100">
      <c r="A42384" s="374"/>
      <c r="C42384" s="374"/>
      <c r="CV42384" s="376"/>
    </row>
    <row r="42385" spans="1:100">
      <c r="A42385" s="374"/>
      <c r="C42385" s="374"/>
      <c r="CV42385" s="376"/>
    </row>
    <row r="42386" spans="1:100">
      <c r="A42386" s="374"/>
      <c r="C42386" s="374"/>
      <c r="CV42386" s="376"/>
    </row>
    <row r="42387" spans="1:100">
      <c r="A42387" s="374"/>
      <c r="C42387" s="374"/>
      <c r="CV42387" s="376"/>
    </row>
    <row r="42388" spans="1:100">
      <c r="A42388" s="374"/>
      <c r="C42388" s="374"/>
      <c r="CV42388" s="376"/>
    </row>
    <row r="42389" spans="1:100">
      <c r="A42389" s="374"/>
      <c r="C42389" s="374"/>
      <c r="CV42389" s="376"/>
    </row>
    <row r="42390" spans="1:100">
      <c r="A42390" s="374"/>
      <c r="C42390" s="374"/>
      <c r="CV42390" s="376"/>
    </row>
    <row r="42391" spans="1:100">
      <c r="A42391" s="374"/>
      <c r="C42391" s="374"/>
      <c r="CV42391" s="376"/>
    </row>
    <row r="42392" spans="1:100">
      <c r="A42392" s="374"/>
      <c r="C42392" s="374"/>
      <c r="CV42392" s="376"/>
    </row>
    <row r="42393" spans="1:100">
      <c r="A42393" s="374"/>
      <c r="C42393" s="374"/>
      <c r="CV42393" s="376"/>
    </row>
    <row r="42394" spans="1:100">
      <c r="A42394" s="374"/>
      <c r="C42394" s="374"/>
      <c r="CV42394" s="376"/>
    </row>
    <row r="42395" spans="1:100">
      <c r="A42395" s="374"/>
      <c r="C42395" s="374"/>
      <c r="CV42395" s="376"/>
    </row>
    <row r="42396" spans="1:100">
      <c r="A42396" s="374"/>
      <c r="C42396" s="374"/>
      <c r="CV42396" s="376"/>
    </row>
    <row r="42397" spans="1:100">
      <c r="A42397" s="374"/>
      <c r="C42397" s="374"/>
      <c r="CV42397" s="376"/>
    </row>
    <row r="42398" spans="1:100">
      <c r="A42398" s="374"/>
      <c r="C42398" s="374"/>
      <c r="CV42398" s="376"/>
    </row>
    <row r="42399" spans="1:100">
      <c r="A42399" s="374"/>
      <c r="C42399" s="374"/>
      <c r="CV42399" s="376"/>
    </row>
    <row r="42400" spans="1:100">
      <c r="A42400" s="374"/>
      <c r="C42400" s="374"/>
      <c r="CV42400" s="376"/>
    </row>
    <row r="42401" spans="1:100">
      <c r="A42401" s="374"/>
      <c r="C42401" s="374"/>
      <c r="CV42401" s="376"/>
    </row>
    <row r="42402" spans="1:100">
      <c r="A42402" s="374"/>
      <c r="C42402" s="374"/>
      <c r="CV42402" s="376"/>
    </row>
    <row r="42403" spans="1:100">
      <c r="A42403" s="374"/>
      <c r="C42403" s="374"/>
      <c r="CV42403" s="376"/>
    </row>
    <row r="42404" spans="1:100">
      <c r="A42404" s="374"/>
      <c r="C42404" s="374"/>
      <c r="CV42404" s="376"/>
    </row>
    <row r="42405" spans="1:100">
      <c r="A42405" s="374"/>
      <c r="C42405" s="374"/>
      <c r="CV42405" s="376"/>
    </row>
    <row r="42406" spans="1:100">
      <c r="A42406" s="374"/>
      <c r="C42406" s="374"/>
      <c r="CV42406" s="376"/>
    </row>
    <row r="42407" spans="1:100">
      <c r="A42407" s="374"/>
      <c r="C42407" s="374"/>
      <c r="CV42407" s="376"/>
    </row>
    <row r="42408" spans="1:100">
      <c r="A42408" s="374"/>
      <c r="C42408" s="374"/>
      <c r="CV42408" s="376"/>
    </row>
    <row r="42409" spans="1:100">
      <c r="A42409" s="374"/>
      <c r="C42409" s="374"/>
      <c r="CV42409" s="376"/>
    </row>
    <row r="42410" spans="1:100">
      <c r="A42410" s="374"/>
      <c r="C42410" s="374"/>
      <c r="CV42410" s="376"/>
    </row>
    <row r="42411" spans="1:100">
      <c r="A42411" s="374"/>
      <c r="C42411" s="374"/>
      <c r="CV42411" s="376"/>
    </row>
    <row r="42412" spans="1:100">
      <c r="A42412" s="374"/>
      <c r="C42412" s="374"/>
      <c r="CV42412" s="376"/>
    </row>
    <row r="42413" spans="1:100">
      <c r="A42413" s="374"/>
      <c r="C42413" s="374"/>
      <c r="CV42413" s="376"/>
    </row>
    <row r="42414" spans="1:100">
      <c r="A42414" s="374"/>
      <c r="C42414" s="374"/>
      <c r="CV42414" s="376"/>
    </row>
    <row r="42415" spans="1:100">
      <c r="A42415" s="374"/>
      <c r="C42415" s="374"/>
      <c r="CV42415" s="376"/>
    </row>
    <row r="42416" spans="1:100">
      <c r="A42416" s="374"/>
      <c r="C42416" s="374"/>
      <c r="CV42416" s="376"/>
    </row>
    <row r="42417" spans="1:100">
      <c r="A42417" s="374"/>
      <c r="C42417" s="374"/>
      <c r="CV42417" s="376"/>
    </row>
    <row r="42418" spans="1:100">
      <c r="A42418" s="374"/>
      <c r="C42418" s="374"/>
      <c r="CV42418" s="376"/>
    </row>
    <row r="42419" spans="1:100">
      <c r="A42419" s="374"/>
      <c r="C42419" s="374"/>
      <c r="CV42419" s="376"/>
    </row>
    <row r="42420" spans="1:100">
      <c r="A42420" s="374"/>
      <c r="C42420" s="374"/>
      <c r="CV42420" s="376"/>
    </row>
    <row r="42421" spans="1:100">
      <c r="A42421" s="374"/>
      <c r="C42421" s="374"/>
      <c r="CV42421" s="376"/>
    </row>
    <row r="42422" spans="1:100">
      <c r="A42422" s="374"/>
      <c r="C42422" s="374"/>
      <c r="CV42422" s="376"/>
    </row>
    <row r="42423" spans="1:100">
      <c r="A42423" s="374"/>
      <c r="C42423" s="374"/>
      <c r="CV42423" s="376"/>
    </row>
    <row r="42424" spans="1:100">
      <c r="A42424" s="374"/>
      <c r="C42424" s="374"/>
      <c r="CV42424" s="376"/>
    </row>
    <row r="42425" spans="1:100">
      <c r="A42425" s="374"/>
      <c r="C42425" s="374"/>
      <c r="CV42425" s="376"/>
    </row>
    <row r="42426" spans="1:100">
      <c r="A42426" s="374"/>
      <c r="C42426" s="374"/>
      <c r="CV42426" s="376"/>
    </row>
    <row r="42427" spans="1:100">
      <c r="A42427" s="374"/>
      <c r="C42427" s="374"/>
      <c r="CV42427" s="376"/>
    </row>
    <row r="42428" spans="1:100">
      <c r="A42428" s="374"/>
      <c r="C42428" s="374"/>
      <c r="CV42428" s="376"/>
    </row>
    <row r="42429" spans="1:100">
      <c r="A42429" s="374"/>
      <c r="C42429" s="374"/>
      <c r="CV42429" s="376"/>
    </row>
    <row r="42430" spans="1:100">
      <c r="A42430" s="374"/>
      <c r="C42430" s="374"/>
      <c r="CV42430" s="376"/>
    </row>
    <row r="42431" spans="1:100">
      <c r="A42431" s="374"/>
      <c r="C42431" s="374"/>
      <c r="CV42431" s="376"/>
    </row>
    <row r="42432" spans="1:100">
      <c r="A42432" s="374"/>
      <c r="C42432" s="374"/>
      <c r="CV42432" s="376"/>
    </row>
    <row r="42433" spans="1:100">
      <c r="A42433" s="374"/>
      <c r="C42433" s="374"/>
      <c r="CV42433" s="376"/>
    </row>
    <row r="42434" spans="1:100">
      <c r="A42434" s="374"/>
      <c r="C42434" s="374"/>
      <c r="CV42434" s="376"/>
    </row>
    <row r="42435" spans="1:100">
      <c r="A42435" s="374"/>
      <c r="C42435" s="374"/>
      <c r="CV42435" s="376"/>
    </row>
    <row r="42436" spans="1:100">
      <c r="A42436" s="374"/>
      <c r="C42436" s="374"/>
      <c r="CV42436" s="376"/>
    </row>
    <row r="42437" spans="1:100">
      <c r="A42437" s="374"/>
      <c r="C42437" s="374"/>
      <c r="CV42437" s="376"/>
    </row>
    <row r="42438" spans="1:100">
      <c r="A42438" s="374"/>
      <c r="C42438" s="374"/>
      <c r="CV42438" s="376"/>
    </row>
    <row r="42439" spans="1:100">
      <c r="A42439" s="374"/>
      <c r="C42439" s="374"/>
      <c r="CV42439" s="376"/>
    </row>
    <row r="42440" spans="1:100">
      <c r="A42440" s="374"/>
      <c r="C42440" s="374"/>
      <c r="CV42440" s="376"/>
    </row>
    <row r="42441" spans="1:100">
      <c r="A42441" s="374"/>
      <c r="C42441" s="374"/>
      <c r="CV42441" s="376"/>
    </row>
    <row r="42442" spans="1:100">
      <c r="A42442" s="374"/>
      <c r="C42442" s="374"/>
      <c r="CV42442" s="376"/>
    </row>
    <row r="42443" spans="1:100">
      <c r="A42443" s="374"/>
      <c r="C42443" s="374"/>
      <c r="CV42443" s="376"/>
    </row>
    <row r="42444" spans="1:100">
      <c r="A42444" s="374"/>
      <c r="C42444" s="374"/>
      <c r="CV42444" s="376"/>
    </row>
    <row r="42445" spans="1:100">
      <c r="A42445" s="374"/>
      <c r="C42445" s="374"/>
      <c r="CV42445" s="376"/>
    </row>
    <row r="42446" spans="1:100">
      <c r="A42446" s="374"/>
      <c r="C42446" s="374"/>
      <c r="CV42446" s="376"/>
    </row>
    <row r="42447" spans="1:100">
      <c r="A42447" s="374"/>
      <c r="C42447" s="374"/>
      <c r="CV42447" s="376"/>
    </row>
    <row r="42448" spans="1:100">
      <c r="A42448" s="374"/>
      <c r="C42448" s="374"/>
      <c r="CV42448" s="376"/>
    </row>
    <row r="42449" spans="1:100">
      <c r="A42449" s="374"/>
      <c r="C42449" s="374"/>
      <c r="CV42449" s="376"/>
    </row>
    <row r="42450" spans="1:100">
      <c r="A42450" s="374"/>
      <c r="C42450" s="374"/>
      <c r="CV42450" s="376"/>
    </row>
    <row r="42451" spans="1:100">
      <c r="A42451" s="374"/>
      <c r="C42451" s="374"/>
      <c r="CV42451" s="376"/>
    </row>
    <row r="42452" spans="1:100">
      <c r="A42452" s="374"/>
      <c r="C42452" s="374"/>
      <c r="CV42452" s="376"/>
    </row>
    <row r="42453" spans="1:100">
      <c r="A42453" s="374"/>
      <c r="C42453" s="374"/>
      <c r="CV42453" s="376"/>
    </row>
    <row r="42454" spans="1:100">
      <c r="A42454" s="374"/>
      <c r="C42454" s="374"/>
      <c r="CV42454" s="376"/>
    </row>
    <row r="42455" spans="1:100">
      <c r="A42455" s="374"/>
      <c r="C42455" s="374"/>
      <c r="CV42455" s="376"/>
    </row>
    <row r="42456" spans="1:100">
      <c r="A42456" s="374"/>
      <c r="C42456" s="374"/>
      <c r="CV42456" s="376"/>
    </row>
    <row r="42457" spans="1:100">
      <c r="A42457" s="374"/>
      <c r="C42457" s="374"/>
      <c r="CV42457" s="376"/>
    </row>
    <row r="42458" spans="1:100">
      <c r="A42458" s="374"/>
      <c r="C42458" s="374"/>
      <c r="CV42458" s="376"/>
    </row>
    <row r="42459" spans="1:100">
      <c r="A42459" s="374"/>
      <c r="C42459" s="374"/>
      <c r="CV42459" s="376"/>
    </row>
    <row r="42460" spans="1:100">
      <c r="A42460" s="374"/>
      <c r="C42460" s="374"/>
      <c r="CV42460" s="376"/>
    </row>
    <row r="42461" spans="1:100">
      <c r="A42461" s="374"/>
      <c r="C42461" s="374"/>
      <c r="CV42461" s="376"/>
    </row>
    <row r="42462" spans="1:100">
      <c r="A42462" s="374"/>
      <c r="C42462" s="374"/>
      <c r="CV42462" s="376"/>
    </row>
    <row r="42463" spans="1:100">
      <c r="A42463" s="374"/>
      <c r="C42463" s="374"/>
      <c r="CV42463" s="376"/>
    </row>
    <row r="42464" spans="1:100">
      <c r="A42464" s="374"/>
      <c r="C42464" s="374"/>
      <c r="CV42464" s="376"/>
    </row>
    <row r="42465" spans="1:100">
      <c r="A42465" s="374"/>
      <c r="C42465" s="374"/>
      <c r="CV42465" s="376"/>
    </row>
    <row r="42466" spans="1:100">
      <c r="A42466" s="374"/>
      <c r="C42466" s="374"/>
      <c r="CV42466" s="376"/>
    </row>
    <row r="42467" spans="1:100">
      <c r="A42467" s="374"/>
      <c r="C42467" s="374"/>
      <c r="CV42467" s="376"/>
    </row>
    <row r="42468" spans="1:100">
      <c r="A42468" s="374"/>
      <c r="C42468" s="374"/>
      <c r="CV42468" s="376"/>
    </row>
    <row r="42469" spans="1:100">
      <c r="A42469" s="374"/>
      <c r="C42469" s="374"/>
      <c r="CV42469" s="376"/>
    </row>
    <row r="42470" spans="1:100">
      <c r="A42470" s="374"/>
      <c r="C42470" s="374"/>
      <c r="CV42470" s="376"/>
    </row>
    <row r="42471" spans="1:100">
      <c r="A42471" s="374"/>
      <c r="C42471" s="374"/>
      <c r="CV42471" s="376"/>
    </row>
    <row r="42472" spans="1:100">
      <c r="A42472" s="374"/>
      <c r="C42472" s="374"/>
      <c r="CV42472" s="376"/>
    </row>
    <row r="42473" spans="1:100">
      <c r="A42473" s="374"/>
      <c r="C42473" s="374"/>
      <c r="CV42473" s="376"/>
    </row>
    <row r="42474" spans="1:100">
      <c r="A42474" s="374"/>
      <c r="C42474" s="374"/>
      <c r="CV42474" s="376"/>
    </row>
    <row r="42475" spans="1:100">
      <c r="A42475" s="374"/>
      <c r="C42475" s="374"/>
      <c r="CV42475" s="376"/>
    </row>
    <row r="42476" spans="1:100">
      <c r="A42476" s="374"/>
      <c r="C42476" s="374"/>
      <c r="CV42476" s="376"/>
    </row>
    <row r="42477" spans="1:100">
      <c r="A42477" s="374"/>
      <c r="C42477" s="374"/>
      <c r="CV42477" s="376"/>
    </row>
    <row r="42478" spans="1:100">
      <c r="A42478" s="374"/>
      <c r="C42478" s="374"/>
      <c r="CV42478" s="376"/>
    </row>
    <row r="42479" spans="1:100">
      <c r="A42479" s="374"/>
      <c r="C42479" s="374"/>
      <c r="CV42479" s="376"/>
    </row>
    <row r="42480" spans="1:100">
      <c r="A42480" s="374"/>
      <c r="C42480" s="374"/>
      <c r="CV42480" s="376"/>
    </row>
    <row r="42481" spans="1:100">
      <c r="A42481" s="374"/>
      <c r="C42481" s="374"/>
      <c r="CV42481" s="376"/>
    </row>
    <row r="42482" spans="1:100">
      <c r="A42482" s="374"/>
      <c r="C42482" s="374"/>
      <c r="CV42482" s="376"/>
    </row>
    <row r="42483" spans="1:100">
      <c r="A42483" s="374"/>
      <c r="C42483" s="374"/>
      <c r="CV42483" s="376"/>
    </row>
    <row r="42484" spans="1:100">
      <c r="A42484" s="374"/>
      <c r="C42484" s="374"/>
      <c r="CV42484" s="376"/>
    </row>
    <row r="42485" spans="1:100">
      <c r="A42485" s="374"/>
      <c r="C42485" s="374"/>
      <c r="CV42485" s="376"/>
    </row>
    <row r="42486" spans="1:100">
      <c r="A42486" s="374"/>
      <c r="C42486" s="374"/>
      <c r="CV42486" s="376"/>
    </row>
    <row r="42487" spans="1:100">
      <c r="A42487" s="374"/>
      <c r="C42487" s="374"/>
      <c r="CV42487" s="376"/>
    </row>
    <row r="42488" spans="1:100">
      <c r="A42488" s="374"/>
      <c r="C42488" s="374"/>
      <c r="CV42488" s="376"/>
    </row>
    <row r="42489" spans="1:100">
      <c r="A42489" s="374"/>
      <c r="C42489" s="374"/>
      <c r="CV42489" s="376"/>
    </row>
    <row r="42490" spans="1:100">
      <c r="A42490" s="374"/>
      <c r="C42490" s="374"/>
      <c r="CV42490" s="376"/>
    </row>
    <row r="42491" spans="1:100">
      <c r="A42491" s="374"/>
      <c r="C42491" s="374"/>
      <c r="CV42491" s="376"/>
    </row>
    <row r="42492" spans="1:100">
      <c r="A42492" s="374"/>
      <c r="C42492" s="374"/>
      <c r="CV42492" s="376"/>
    </row>
    <row r="42493" spans="1:100">
      <c r="A42493" s="374"/>
      <c r="C42493" s="374"/>
      <c r="CV42493" s="376"/>
    </row>
    <row r="42494" spans="1:100">
      <c r="A42494" s="374"/>
      <c r="C42494" s="374"/>
      <c r="CV42494" s="376"/>
    </row>
    <row r="42495" spans="1:100">
      <c r="A42495" s="374"/>
      <c r="C42495" s="374"/>
      <c r="CV42495" s="376"/>
    </row>
    <row r="42496" spans="1:100">
      <c r="A42496" s="374"/>
      <c r="C42496" s="374"/>
      <c r="CV42496" s="376"/>
    </row>
    <row r="42497" spans="1:100">
      <c r="A42497" s="374"/>
      <c r="C42497" s="374"/>
      <c r="CV42497" s="376"/>
    </row>
    <row r="42498" spans="1:100">
      <c r="A42498" s="374"/>
      <c r="C42498" s="374"/>
      <c r="CV42498" s="376"/>
    </row>
    <row r="42499" spans="1:100">
      <c r="A42499" s="374"/>
      <c r="C42499" s="374"/>
      <c r="CV42499" s="376"/>
    </row>
    <row r="42500" spans="1:100">
      <c r="A42500" s="374"/>
      <c r="C42500" s="374"/>
      <c r="CV42500" s="376"/>
    </row>
    <row r="42501" spans="1:100">
      <c r="A42501" s="374"/>
      <c r="C42501" s="374"/>
      <c r="CV42501" s="376"/>
    </row>
    <row r="42502" spans="1:100">
      <c r="A42502" s="374"/>
      <c r="C42502" s="374"/>
      <c r="CV42502" s="376"/>
    </row>
    <row r="42503" spans="1:100">
      <c r="A42503" s="374"/>
      <c r="C42503" s="374"/>
      <c r="CV42503" s="376"/>
    </row>
    <row r="42504" spans="1:100">
      <c r="A42504" s="374"/>
      <c r="C42504" s="374"/>
      <c r="CV42504" s="376"/>
    </row>
    <row r="42505" spans="1:100">
      <c r="A42505" s="374"/>
      <c r="C42505" s="374"/>
      <c r="CV42505" s="376"/>
    </row>
    <row r="42506" spans="1:100">
      <c r="A42506" s="374"/>
      <c r="C42506" s="374"/>
      <c r="CV42506" s="376"/>
    </row>
    <row r="42507" spans="1:100">
      <c r="A42507" s="374"/>
      <c r="C42507" s="374"/>
      <c r="CV42507" s="376"/>
    </row>
    <row r="42508" spans="1:100">
      <c r="A42508" s="374"/>
      <c r="C42508" s="374"/>
      <c r="CV42508" s="376"/>
    </row>
    <row r="42509" spans="1:100">
      <c r="A42509" s="374"/>
      <c r="C42509" s="374"/>
      <c r="CV42509" s="376"/>
    </row>
    <row r="42510" spans="1:100">
      <c r="A42510" s="374"/>
      <c r="C42510" s="374"/>
      <c r="CV42510" s="376"/>
    </row>
    <row r="42511" spans="1:100">
      <c r="A42511" s="374"/>
      <c r="C42511" s="374"/>
      <c r="CV42511" s="376"/>
    </row>
    <row r="42512" spans="1:100">
      <c r="A42512" s="374"/>
      <c r="C42512" s="374"/>
      <c r="CV42512" s="376"/>
    </row>
    <row r="42513" spans="1:100">
      <c r="A42513" s="374"/>
      <c r="C42513" s="374"/>
      <c r="CV42513" s="376"/>
    </row>
    <row r="42514" spans="1:100">
      <c r="A42514" s="374"/>
      <c r="C42514" s="374"/>
      <c r="CV42514" s="376"/>
    </row>
    <row r="42515" spans="1:100">
      <c r="A42515" s="374"/>
      <c r="C42515" s="374"/>
      <c r="CV42515" s="376"/>
    </row>
    <row r="42516" spans="1:100">
      <c r="A42516" s="374"/>
      <c r="C42516" s="374"/>
      <c r="CV42516" s="376"/>
    </row>
    <row r="42517" spans="1:100">
      <c r="A42517" s="374"/>
      <c r="C42517" s="374"/>
      <c r="CV42517" s="376"/>
    </row>
    <row r="42518" spans="1:100">
      <c r="A42518" s="374"/>
      <c r="C42518" s="374"/>
      <c r="CV42518" s="376"/>
    </row>
    <row r="42519" spans="1:100">
      <c r="A42519" s="374"/>
      <c r="C42519" s="374"/>
      <c r="CV42519" s="376"/>
    </row>
    <row r="42520" spans="1:100">
      <c r="A42520" s="374"/>
      <c r="C42520" s="374"/>
      <c r="CV42520" s="376"/>
    </row>
    <row r="42521" spans="1:100">
      <c r="A42521" s="374"/>
      <c r="C42521" s="374"/>
      <c r="CV42521" s="376"/>
    </row>
    <row r="42522" spans="1:100">
      <c r="A42522" s="374"/>
      <c r="C42522" s="374"/>
      <c r="CV42522" s="376"/>
    </row>
    <row r="42523" spans="1:100">
      <c r="A42523" s="374"/>
      <c r="C42523" s="374"/>
      <c r="CV42523" s="376"/>
    </row>
    <row r="42524" spans="1:100">
      <c r="A42524" s="374"/>
      <c r="C42524" s="374"/>
      <c r="CV42524" s="376"/>
    </row>
    <row r="42525" spans="1:100">
      <c r="A42525" s="374"/>
      <c r="C42525" s="374"/>
      <c r="CV42525" s="376"/>
    </row>
    <row r="42526" spans="1:100">
      <c r="A42526" s="374"/>
      <c r="C42526" s="374"/>
      <c r="CV42526" s="376"/>
    </row>
    <row r="42527" spans="1:100">
      <c r="A42527" s="374"/>
      <c r="C42527" s="374"/>
      <c r="CV42527" s="376"/>
    </row>
    <row r="42528" spans="1:100">
      <c r="A42528" s="374"/>
      <c r="C42528" s="374"/>
      <c r="CV42528" s="376"/>
    </row>
    <row r="42529" spans="1:100">
      <c r="A42529" s="374"/>
      <c r="C42529" s="374"/>
      <c r="CV42529" s="376"/>
    </row>
    <row r="42530" spans="1:100">
      <c r="A42530" s="374"/>
      <c r="C42530" s="374"/>
      <c r="CV42530" s="376"/>
    </row>
    <row r="42531" spans="1:100">
      <c r="A42531" s="374"/>
      <c r="C42531" s="374"/>
      <c r="CV42531" s="376"/>
    </row>
    <row r="42532" spans="1:100">
      <c r="A42532" s="374"/>
      <c r="C42532" s="374"/>
      <c r="CV42532" s="376"/>
    </row>
    <row r="42533" spans="1:100">
      <c r="A42533" s="374"/>
      <c r="C42533" s="374"/>
      <c r="CV42533" s="376"/>
    </row>
    <row r="42534" spans="1:100">
      <c r="A42534" s="374"/>
      <c r="C42534" s="374"/>
      <c r="CV42534" s="376"/>
    </row>
    <row r="42535" spans="1:100">
      <c r="A42535" s="374"/>
      <c r="C42535" s="374"/>
      <c r="CV42535" s="376"/>
    </row>
    <row r="42536" spans="1:100">
      <c r="A42536" s="374"/>
      <c r="C42536" s="374"/>
      <c r="CV42536" s="376"/>
    </row>
    <row r="42537" spans="1:100">
      <c r="A42537" s="374"/>
      <c r="C42537" s="374"/>
      <c r="CV42537" s="376"/>
    </row>
    <row r="42538" spans="1:100">
      <c r="A42538" s="374"/>
      <c r="C42538" s="374"/>
      <c r="CV42538" s="376"/>
    </row>
    <row r="42539" spans="1:100">
      <c r="A42539" s="374"/>
      <c r="C42539" s="374"/>
      <c r="CV42539" s="376"/>
    </row>
    <row r="42540" spans="1:100">
      <c r="A42540" s="374"/>
      <c r="C42540" s="374"/>
      <c r="CV42540" s="376"/>
    </row>
    <row r="42541" spans="1:100">
      <c r="A42541" s="374"/>
      <c r="C42541" s="374"/>
      <c r="CV42541" s="376"/>
    </row>
    <row r="42542" spans="1:100">
      <c r="A42542" s="374"/>
      <c r="C42542" s="374"/>
      <c r="CV42542" s="376"/>
    </row>
    <row r="42543" spans="1:100">
      <c r="A42543" s="374"/>
      <c r="C42543" s="374"/>
      <c r="CV42543" s="376"/>
    </row>
    <row r="42544" spans="1:100">
      <c r="A42544" s="374"/>
      <c r="C42544" s="374"/>
      <c r="CV42544" s="376"/>
    </row>
    <row r="42545" spans="1:100">
      <c r="A42545" s="374"/>
      <c r="C42545" s="374"/>
      <c r="CV42545" s="376"/>
    </row>
    <row r="42546" spans="1:100">
      <c r="A42546" s="374"/>
      <c r="C42546" s="374"/>
      <c r="CV42546" s="376"/>
    </row>
    <row r="42547" spans="1:100">
      <c r="A42547" s="374"/>
      <c r="C42547" s="374"/>
      <c r="CV42547" s="376"/>
    </row>
    <row r="42548" spans="1:100">
      <c r="A42548" s="374"/>
      <c r="C42548" s="374"/>
      <c r="CV42548" s="376"/>
    </row>
    <row r="42549" spans="1:100">
      <c r="A42549" s="374"/>
      <c r="C42549" s="374"/>
      <c r="CV42549" s="376"/>
    </row>
    <row r="42550" spans="1:100">
      <c r="A42550" s="374"/>
      <c r="C42550" s="374"/>
      <c r="CV42550" s="376"/>
    </row>
    <row r="42551" spans="1:100">
      <c r="A42551" s="374"/>
      <c r="C42551" s="374"/>
      <c r="CV42551" s="376"/>
    </row>
    <row r="42552" spans="1:100">
      <c r="A42552" s="374"/>
      <c r="C42552" s="374"/>
      <c r="CV42552" s="376"/>
    </row>
    <row r="42553" spans="1:100">
      <c r="A42553" s="374"/>
      <c r="C42553" s="374"/>
      <c r="CV42553" s="376"/>
    </row>
    <row r="42554" spans="1:100">
      <c r="A42554" s="374"/>
      <c r="C42554" s="374"/>
      <c r="CV42554" s="376"/>
    </row>
    <row r="42555" spans="1:100">
      <c r="A42555" s="374"/>
      <c r="C42555" s="374"/>
      <c r="CV42555" s="376"/>
    </row>
    <row r="42556" spans="1:100">
      <c r="A42556" s="374"/>
      <c r="C42556" s="374"/>
      <c r="CV42556" s="376"/>
    </row>
    <row r="42557" spans="1:100">
      <c r="A42557" s="374"/>
      <c r="C42557" s="374"/>
      <c r="CV42557" s="376"/>
    </row>
    <row r="42558" spans="1:100">
      <c r="A42558" s="374"/>
      <c r="C42558" s="374"/>
      <c r="CV42558" s="376"/>
    </row>
    <row r="42559" spans="1:100">
      <c r="A42559" s="374"/>
      <c r="C42559" s="374"/>
      <c r="CV42559" s="376"/>
    </row>
    <row r="42560" spans="1:100">
      <c r="A42560" s="374"/>
      <c r="C42560" s="374"/>
      <c r="CV42560" s="376"/>
    </row>
    <row r="42561" spans="1:100">
      <c r="A42561" s="374"/>
      <c r="C42561" s="374"/>
      <c r="CV42561" s="376"/>
    </row>
    <row r="42562" spans="1:100">
      <c r="A42562" s="374"/>
      <c r="C42562" s="374"/>
      <c r="CV42562" s="376"/>
    </row>
    <row r="42563" spans="1:100">
      <c r="A42563" s="374"/>
      <c r="C42563" s="374"/>
      <c r="CV42563" s="376"/>
    </row>
    <row r="42564" spans="1:100">
      <c r="A42564" s="374"/>
      <c r="C42564" s="374"/>
      <c r="CV42564" s="376"/>
    </row>
    <row r="42565" spans="1:100">
      <c r="A42565" s="374"/>
      <c r="C42565" s="374"/>
      <c r="CV42565" s="376"/>
    </row>
    <row r="42566" spans="1:100">
      <c r="A42566" s="374"/>
      <c r="C42566" s="374"/>
      <c r="CV42566" s="376"/>
    </row>
    <row r="42567" spans="1:100">
      <c r="A42567" s="374"/>
      <c r="C42567" s="374"/>
      <c r="CV42567" s="376"/>
    </row>
    <row r="42568" spans="1:100">
      <c r="A42568" s="374"/>
      <c r="C42568" s="374"/>
      <c r="CV42568" s="376"/>
    </row>
    <row r="42569" spans="1:100">
      <c r="A42569" s="374"/>
      <c r="C42569" s="374"/>
      <c r="CV42569" s="376"/>
    </row>
    <row r="42570" spans="1:100">
      <c r="A42570" s="374"/>
      <c r="C42570" s="374"/>
      <c r="CV42570" s="376"/>
    </row>
    <row r="42571" spans="1:100">
      <c r="A42571" s="374"/>
      <c r="C42571" s="374"/>
      <c r="CV42571" s="376"/>
    </row>
    <row r="42572" spans="1:100">
      <c r="A42572" s="374"/>
      <c r="C42572" s="374"/>
      <c r="CV42572" s="376"/>
    </row>
    <row r="42573" spans="1:100">
      <c r="A42573" s="374"/>
      <c r="C42573" s="374"/>
      <c r="CV42573" s="376"/>
    </row>
    <row r="42574" spans="1:100">
      <c r="A42574" s="374"/>
      <c r="C42574" s="374"/>
      <c r="CV42574" s="376"/>
    </row>
    <row r="42575" spans="1:100">
      <c r="A42575" s="374"/>
      <c r="C42575" s="374"/>
      <c r="CV42575" s="376"/>
    </row>
    <row r="42576" spans="1:100">
      <c r="A42576" s="374"/>
      <c r="C42576" s="374"/>
      <c r="CV42576" s="376"/>
    </row>
    <row r="42577" spans="1:100">
      <c r="A42577" s="374"/>
      <c r="C42577" s="374"/>
      <c r="CV42577" s="376"/>
    </row>
    <row r="42578" spans="1:100">
      <c r="A42578" s="374"/>
      <c r="C42578" s="374"/>
      <c r="CV42578" s="376"/>
    </row>
    <row r="42579" spans="1:100">
      <c r="A42579" s="374"/>
      <c r="C42579" s="374"/>
      <c r="CV42579" s="376"/>
    </row>
    <row r="42580" spans="1:100">
      <c r="A42580" s="374"/>
      <c r="C42580" s="374"/>
      <c r="CV42580" s="376"/>
    </row>
    <row r="42581" spans="1:100">
      <c r="A42581" s="374"/>
      <c r="C42581" s="374"/>
      <c r="CV42581" s="376"/>
    </row>
    <row r="42582" spans="1:100">
      <c r="A42582" s="374"/>
      <c r="C42582" s="374"/>
      <c r="CV42582" s="376"/>
    </row>
    <row r="42583" spans="1:100">
      <c r="A42583" s="374"/>
      <c r="C42583" s="374"/>
      <c r="CV42583" s="376"/>
    </row>
    <row r="42584" spans="1:100">
      <c r="A42584" s="374"/>
      <c r="C42584" s="374"/>
      <c r="CV42584" s="376"/>
    </row>
    <row r="42585" spans="1:100">
      <c r="A42585" s="374"/>
      <c r="C42585" s="374"/>
      <c r="CV42585" s="376"/>
    </row>
    <row r="42586" spans="1:100">
      <c r="A42586" s="374"/>
      <c r="C42586" s="374"/>
      <c r="CV42586" s="376"/>
    </row>
    <row r="42587" spans="1:100">
      <c r="A42587" s="374"/>
      <c r="C42587" s="374"/>
      <c r="CV42587" s="376"/>
    </row>
    <row r="42588" spans="1:100">
      <c r="A42588" s="374"/>
      <c r="C42588" s="374"/>
      <c r="CV42588" s="376"/>
    </row>
    <row r="42589" spans="1:100">
      <c r="A42589" s="374"/>
      <c r="C42589" s="374"/>
      <c r="CV42589" s="376"/>
    </row>
    <row r="42590" spans="1:100">
      <c r="A42590" s="374"/>
      <c r="C42590" s="374"/>
      <c r="CV42590" s="376"/>
    </row>
    <row r="42591" spans="1:100">
      <c r="A42591" s="374"/>
      <c r="C42591" s="374"/>
      <c r="CV42591" s="376"/>
    </row>
    <row r="42592" spans="1:100">
      <c r="A42592" s="374"/>
      <c r="C42592" s="374"/>
      <c r="CV42592" s="376"/>
    </row>
    <row r="42593" spans="1:100">
      <c r="A42593" s="374"/>
      <c r="C42593" s="374"/>
      <c r="CV42593" s="376"/>
    </row>
    <row r="42594" spans="1:100">
      <c r="A42594" s="374"/>
      <c r="C42594" s="374"/>
      <c r="CV42594" s="376"/>
    </row>
    <row r="42595" spans="1:100">
      <c r="A42595" s="374"/>
      <c r="C42595" s="374"/>
      <c r="CV42595" s="376"/>
    </row>
    <row r="42596" spans="1:100">
      <c r="A42596" s="374"/>
      <c r="C42596" s="374"/>
      <c r="CV42596" s="376"/>
    </row>
    <row r="42597" spans="1:100">
      <c r="A42597" s="374"/>
      <c r="C42597" s="374"/>
      <c r="CV42597" s="376"/>
    </row>
    <row r="42598" spans="1:100">
      <c r="A42598" s="374"/>
      <c r="C42598" s="374"/>
      <c r="CV42598" s="376"/>
    </row>
    <row r="42599" spans="1:100">
      <c r="A42599" s="374"/>
      <c r="C42599" s="374"/>
      <c r="CV42599" s="376"/>
    </row>
    <row r="42600" spans="1:100">
      <c r="A42600" s="374"/>
      <c r="C42600" s="374"/>
      <c r="CV42600" s="376"/>
    </row>
    <row r="42601" spans="1:100">
      <c r="A42601" s="374"/>
      <c r="C42601" s="374"/>
      <c r="CV42601" s="376"/>
    </row>
    <row r="42602" spans="1:100">
      <c r="A42602" s="374"/>
      <c r="C42602" s="374"/>
      <c r="CV42602" s="376"/>
    </row>
    <row r="42603" spans="1:100">
      <c r="A42603" s="374"/>
      <c r="C42603" s="374"/>
      <c r="CV42603" s="376"/>
    </row>
    <row r="42604" spans="1:100">
      <c r="A42604" s="374"/>
      <c r="C42604" s="374"/>
      <c r="CV42604" s="376"/>
    </row>
    <row r="42605" spans="1:100">
      <c r="A42605" s="374"/>
      <c r="C42605" s="374"/>
      <c r="CV42605" s="376"/>
    </row>
    <row r="42606" spans="1:100">
      <c r="A42606" s="374"/>
      <c r="C42606" s="374"/>
      <c r="CV42606" s="376"/>
    </row>
    <row r="42607" spans="1:100">
      <c r="A42607" s="374"/>
      <c r="C42607" s="374"/>
      <c r="CV42607" s="376"/>
    </row>
    <row r="42608" spans="1:100">
      <c r="A42608" s="374"/>
      <c r="C42608" s="374"/>
      <c r="CV42608" s="376"/>
    </row>
    <row r="42609" spans="1:100">
      <c r="A42609" s="374"/>
      <c r="C42609" s="374"/>
      <c r="CV42609" s="376"/>
    </row>
    <row r="42610" spans="1:100">
      <c r="A42610" s="374"/>
      <c r="C42610" s="374"/>
      <c r="CV42610" s="376"/>
    </row>
    <row r="42611" spans="1:100">
      <c r="A42611" s="374"/>
      <c r="C42611" s="374"/>
      <c r="CV42611" s="376"/>
    </row>
    <row r="42612" spans="1:100">
      <c r="A42612" s="374"/>
      <c r="C42612" s="374"/>
      <c r="CV42612" s="376"/>
    </row>
    <row r="42613" spans="1:100">
      <c r="A42613" s="374"/>
      <c r="C42613" s="374"/>
      <c r="CV42613" s="376"/>
    </row>
    <row r="42614" spans="1:100">
      <c r="A42614" s="374"/>
      <c r="C42614" s="374"/>
      <c r="CV42614" s="376"/>
    </row>
    <row r="42615" spans="1:100">
      <c r="A42615" s="374"/>
      <c r="C42615" s="374"/>
      <c r="CV42615" s="376"/>
    </row>
    <row r="42616" spans="1:100">
      <c r="A42616" s="374"/>
      <c r="C42616" s="374"/>
      <c r="CV42616" s="376"/>
    </row>
    <row r="42617" spans="1:100">
      <c r="A42617" s="374"/>
      <c r="C42617" s="374"/>
      <c r="CV42617" s="376"/>
    </row>
    <row r="42618" spans="1:100">
      <c r="A42618" s="374"/>
      <c r="C42618" s="374"/>
      <c r="CV42618" s="376"/>
    </row>
    <row r="42619" spans="1:100">
      <c r="A42619" s="374"/>
      <c r="C42619" s="374"/>
      <c r="CV42619" s="376"/>
    </row>
    <row r="42620" spans="1:100">
      <c r="A42620" s="374"/>
      <c r="C42620" s="374"/>
      <c r="CV42620" s="376"/>
    </row>
    <row r="42621" spans="1:100">
      <c r="A42621" s="374"/>
      <c r="C42621" s="374"/>
      <c r="CV42621" s="376"/>
    </row>
    <row r="42622" spans="1:100">
      <c r="A42622" s="374"/>
      <c r="C42622" s="374"/>
      <c r="CV42622" s="376"/>
    </row>
    <row r="42623" spans="1:100">
      <c r="A42623" s="374"/>
      <c r="C42623" s="374"/>
      <c r="CV42623" s="376"/>
    </row>
    <row r="42624" spans="1:100">
      <c r="A42624" s="374"/>
      <c r="C42624" s="374"/>
      <c r="CV42624" s="376"/>
    </row>
    <row r="42625" spans="1:100">
      <c r="A42625" s="374"/>
      <c r="C42625" s="374"/>
      <c r="CV42625" s="376"/>
    </row>
    <row r="42626" spans="1:100">
      <c r="A42626" s="374"/>
      <c r="C42626" s="374"/>
      <c r="CV42626" s="376"/>
    </row>
    <row r="42627" spans="1:100">
      <c r="A42627" s="374"/>
      <c r="C42627" s="374"/>
      <c r="CV42627" s="376"/>
    </row>
    <row r="42628" spans="1:100">
      <c r="A42628" s="374"/>
      <c r="C42628" s="374"/>
      <c r="CV42628" s="376"/>
    </row>
    <row r="42629" spans="1:100">
      <c r="A42629" s="374"/>
      <c r="C42629" s="374"/>
      <c r="CV42629" s="376"/>
    </row>
    <row r="42630" spans="1:100">
      <c r="A42630" s="374"/>
      <c r="C42630" s="374"/>
      <c r="CV42630" s="376"/>
    </row>
    <row r="42631" spans="1:100">
      <c r="A42631" s="374"/>
      <c r="C42631" s="374"/>
      <c r="CV42631" s="376"/>
    </row>
    <row r="42632" spans="1:100">
      <c r="A42632" s="374"/>
      <c r="C42632" s="374"/>
      <c r="CV42632" s="376"/>
    </row>
    <row r="42633" spans="1:100">
      <c r="A42633" s="374"/>
      <c r="C42633" s="374"/>
      <c r="CV42633" s="376"/>
    </row>
    <row r="42634" spans="1:100">
      <c r="A42634" s="374"/>
      <c r="C42634" s="374"/>
      <c r="CV42634" s="376"/>
    </row>
    <row r="42635" spans="1:100">
      <c r="A42635" s="374"/>
      <c r="C42635" s="374"/>
      <c r="CV42635" s="376"/>
    </row>
    <row r="42636" spans="1:100">
      <c r="A42636" s="374"/>
      <c r="C42636" s="374"/>
      <c r="CV42636" s="376"/>
    </row>
    <row r="42637" spans="1:100">
      <c r="A42637" s="374"/>
      <c r="C42637" s="374"/>
      <c r="CV42637" s="376"/>
    </row>
    <row r="42638" spans="1:100">
      <c r="A42638" s="374"/>
      <c r="C42638" s="374"/>
      <c r="CV42638" s="376"/>
    </row>
    <row r="42639" spans="1:100">
      <c r="A42639" s="374"/>
      <c r="C42639" s="374"/>
      <c r="CV42639" s="376"/>
    </row>
    <row r="42640" spans="1:100">
      <c r="A42640" s="374"/>
      <c r="C42640" s="374"/>
      <c r="CV42640" s="376"/>
    </row>
    <row r="42641" spans="1:100">
      <c r="A42641" s="374"/>
      <c r="C42641" s="374"/>
      <c r="CV42641" s="376"/>
    </row>
    <row r="42642" spans="1:100">
      <c r="A42642" s="374"/>
      <c r="C42642" s="374"/>
      <c r="CV42642" s="376"/>
    </row>
    <row r="42643" spans="1:100">
      <c r="A42643" s="374"/>
      <c r="C42643" s="374"/>
      <c r="CV42643" s="376"/>
    </row>
    <row r="42644" spans="1:100">
      <c r="A42644" s="374"/>
      <c r="C42644" s="374"/>
      <c r="CV42644" s="376"/>
    </row>
    <row r="42645" spans="1:100">
      <c r="A42645" s="374"/>
      <c r="C42645" s="374"/>
      <c r="CV42645" s="376"/>
    </row>
    <row r="42646" spans="1:100">
      <c r="A42646" s="374"/>
      <c r="C42646" s="374"/>
      <c r="CV42646" s="376"/>
    </row>
    <row r="42647" spans="1:100">
      <c r="A42647" s="374"/>
      <c r="C42647" s="374"/>
      <c r="CV42647" s="376"/>
    </row>
    <row r="42648" spans="1:100">
      <c r="A42648" s="374"/>
      <c r="C42648" s="374"/>
      <c r="CV42648" s="376"/>
    </row>
    <row r="42649" spans="1:100">
      <c r="A42649" s="374"/>
      <c r="C42649" s="374"/>
      <c r="CV42649" s="376"/>
    </row>
    <row r="42650" spans="1:100">
      <c r="A42650" s="374"/>
      <c r="C42650" s="374"/>
      <c r="CV42650" s="376"/>
    </row>
    <row r="42651" spans="1:100">
      <c r="A42651" s="374"/>
      <c r="C42651" s="374"/>
      <c r="CV42651" s="376"/>
    </row>
    <row r="42652" spans="1:100">
      <c r="A42652" s="374"/>
      <c r="C42652" s="374"/>
      <c r="CV42652" s="376"/>
    </row>
    <row r="42653" spans="1:100">
      <c r="A42653" s="374"/>
      <c r="C42653" s="374"/>
      <c r="CV42653" s="376"/>
    </row>
    <row r="42654" spans="1:100">
      <c r="A42654" s="374"/>
      <c r="C42654" s="374"/>
      <c r="CV42654" s="376"/>
    </row>
    <row r="42655" spans="1:100">
      <c r="A42655" s="374"/>
      <c r="C42655" s="374"/>
      <c r="CV42655" s="376"/>
    </row>
    <row r="42656" spans="1:100">
      <c r="A42656" s="374"/>
      <c r="C42656" s="374"/>
      <c r="CV42656" s="376"/>
    </row>
    <row r="42657" spans="1:100">
      <c r="A42657" s="374"/>
      <c r="C42657" s="374"/>
      <c r="CV42657" s="376"/>
    </row>
    <row r="42658" spans="1:100">
      <c r="A42658" s="374"/>
      <c r="C42658" s="374"/>
      <c r="CV42658" s="376"/>
    </row>
    <row r="42659" spans="1:100">
      <c r="A42659" s="374"/>
      <c r="C42659" s="374"/>
      <c r="CV42659" s="376"/>
    </row>
    <row r="42660" spans="1:100">
      <c r="A42660" s="374"/>
      <c r="C42660" s="374"/>
      <c r="CV42660" s="376"/>
    </row>
    <row r="42661" spans="1:100">
      <c r="A42661" s="374"/>
      <c r="C42661" s="374"/>
      <c r="CV42661" s="376"/>
    </row>
    <row r="42662" spans="1:100">
      <c r="A42662" s="374"/>
      <c r="C42662" s="374"/>
      <c r="CV42662" s="376"/>
    </row>
    <row r="42663" spans="1:100">
      <c r="A42663" s="374"/>
      <c r="C42663" s="374"/>
      <c r="CV42663" s="376"/>
    </row>
    <row r="42664" spans="1:100">
      <c r="A42664" s="374"/>
      <c r="C42664" s="374"/>
      <c r="CV42664" s="376"/>
    </row>
    <row r="42665" spans="1:100">
      <c r="A42665" s="374"/>
      <c r="C42665" s="374"/>
      <c r="CV42665" s="376"/>
    </row>
    <row r="42666" spans="1:100">
      <c r="A42666" s="374"/>
      <c r="C42666" s="374"/>
      <c r="CV42666" s="376"/>
    </row>
    <row r="42667" spans="1:100">
      <c r="A42667" s="374"/>
      <c r="C42667" s="374"/>
      <c r="CV42667" s="376"/>
    </row>
    <row r="42668" spans="1:100">
      <c r="A42668" s="374"/>
      <c r="C42668" s="374"/>
      <c r="CV42668" s="376"/>
    </row>
    <row r="42669" spans="1:100">
      <c r="A42669" s="374"/>
      <c r="C42669" s="374"/>
      <c r="CV42669" s="376"/>
    </row>
    <row r="42670" spans="1:100">
      <c r="A42670" s="374"/>
      <c r="C42670" s="374"/>
      <c r="CV42670" s="376"/>
    </row>
    <row r="42671" spans="1:100">
      <c r="A42671" s="374"/>
      <c r="C42671" s="374"/>
      <c r="CV42671" s="376"/>
    </row>
    <row r="42672" spans="1:100">
      <c r="A42672" s="374"/>
      <c r="C42672" s="374"/>
      <c r="CV42672" s="376"/>
    </row>
    <row r="42673" spans="1:100">
      <c r="A42673" s="374"/>
      <c r="C42673" s="374"/>
      <c r="CV42673" s="376"/>
    </row>
    <row r="42674" spans="1:100">
      <c r="A42674" s="374"/>
      <c r="C42674" s="374"/>
      <c r="CV42674" s="376"/>
    </row>
    <row r="42675" spans="1:100">
      <c r="A42675" s="374"/>
      <c r="C42675" s="374"/>
      <c r="CV42675" s="376"/>
    </row>
    <row r="42676" spans="1:100">
      <c r="A42676" s="374"/>
      <c r="C42676" s="374"/>
      <c r="CV42676" s="376"/>
    </row>
    <row r="42677" spans="1:100">
      <c r="A42677" s="374"/>
      <c r="C42677" s="374"/>
      <c r="CV42677" s="376"/>
    </row>
    <row r="42678" spans="1:100">
      <c r="A42678" s="374"/>
      <c r="C42678" s="374"/>
      <c r="CV42678" s="376"/>
    </row>
    <row r="42679" spans="1:100">
      <c r="A42679" s="374"/>
      <c r="C42679" s="374"/>
      <c r="CV42679" s="376"/>
    </row>
    <row r="42680" spans="1:100">
      <c r="A42680" s="374"/>
      <c r="C42680" s="374"/>
      <c r="CV42680" s="376"/>
    </row>
    <row r="42681" spans="1:100">
      <c r="A42681" s="374"/>
      <c r="C42681" s="374"/>
      <c r="CV42681" s="376"/>
    </row>
    <row r="42682" spans="1:100">
      <c r="A42682" s="374"/>
      <c r="C42682" s="374"/>
      <c r="CV42682" s="376"/>
    </row>
    <row r="42683" spans="1:100">
      <c r="A42683" s="374"/>
      <c r="C42683" s="374"/>
      <c r="CV42683" s="376"/>
    </row>
    <row r="42684" spans="1:100">
      <c r="A42684" s="374"/>
      <c r="C42684" s="374"/>
      <c r="CV42684" s="376"/>
    </row>
    <row r="42685" spans="1:100">
      <c r="A42685" s="374"/>
      <c r="C42685" s="374"/>
      <c r="CV42685" s="376"/>
    </row>
    <row r="42686" spans="1:100">
      <c r="A42686" s="374"/>
      <c r="C42686" s="374"/>
      <c r="CV42686" s="376"/>
    </row>
    <row r="42687" spans="1:100">
      <c r="A42687" s="374"/>
      <c r="C42687" s="374"/>
      <c r="CV42687" s="376"/>
    </row>
    <row r="42688" spans="1:100">
      <c r="A42688" s="374"/>
      <c r="C42688" s="374"/>
      <c r="CV42688" s="376"/>
    </row>
    <row r="42689" spans="1:100">
      <c r="A42689" s="374"/>
      <c r="C42689" s="374"/>
      <c r="CV42689" s="376"/>
    </row>
    <row r="42690" spans="1:100">
      <c r="A42690" s="374"/>
      <c r="C42690" s="374"/>
      <c r="CV42690" s="376"/>
    </row>
    <row r="42691" spans="1:100">
      <c r="A42691" s="374"/>
      <c r="C42691" s="374"/>
      <c r="CV42691" s="376"/>
    </row>
    <row r="42692" spans="1:100">
      <c r="A42692" s="374"/>
      <c r="C42692" s="374"/>
      <c r="CV42692" s="376"/>
    </row>
    <row r="42693" spans="1:100">
      <c r="A42693" s="374"/>
      <c r="C42693" s="374"/>
      <c r="CV42693" s="376"/>
    </row>
    <row r="42694" spans="1:100">
      <c r="A42694" s="374"/>
      <c r="C42694" s="374"/>
      <c r="CV42694" s="376"/>
    </row>
    <row r="42695" spans="1:100">
      <c r="A42695" s="374"/>
      <c r="C42695" s="374"/>
      <c r="CV42695" s="376"/>
    </row>
    <row r="42696" spans="1:100">
      <c r="A42696" s="374"/>
      <c r="C42696" s="374"/>
      <c r="CV42696" s="376"/>
    </row>
    <row r="42697" spans="1:100">
      <c r="A42697" s="374"/>
      <c r="C42697" s="374"/>
      <c r="CV42697" s="376"/>
    </row>
    <row r="42698" spans="1:100">
      <c r="A42698" s="374"/>
      <c r="C42698" s="374"/>
      <c r="CV42698" s="376"/>
    </row>
    <row r="42699" spans="1:100">
      <c r="A42699" s="374"/>
      <c r="C42699" s="374"/>
      <c r="CV42699" s="376"/>
    </row>
    <row r="42700" spans="1:100">
      <c r="A42700" s="374"/>
      <c r="C42700" s="374"/>
      <c r="CV42700" s="376"/>
    </row>
    <row r="42701" spans="1:100">
      <c r="A42701" s="374"/>
      <c r="C42701" s="374"/>
      <c r="CV42701" s="376"/>
    </row>
    <row r="42702" spans="1:100">
      <c r="A42702" s="374"/>
      <c r="C42702" s="374"/>
      <c r="CV42702" s="376"/>
    </row>
    <row r="42703" spans="1:100">
      <c r="A42703" s="374"/>
      <c r="C42703" s="374"/>
      <c r="CV42703" s="376"/>
    </row>
    <row r="42704" spans="1:100">
      <c r="A42704" s="374"/>
      <c r="C42704" s="374"/>
      <c r="CV42704" s="376"/>
    </row>
    <row r="42705" spans="1:100">
      <c r="A42705" s="374"/>
      <c r="C42705" s="374"/>
      <c r="CV42705" s="376"/>
    </row>
    <row r="42706" spans="1:100">
      <c r="A42706" s="374"/>
      <c r="C42706" s="374"/>
      <c r="CV42706" s="376"/>
    </row>
    <row r="42707" spans="1:100">
      <c r="A42707" s="374"/>
      <c r="C42707" s="374"/>
      <c r="CV42707" s="376"/>
    </row>
    <row r="42708" spans="1:100">
      <c r="A42708" s="374"/>
      <c r="C42708" s="374"/>
      <c r="CV42708" s="376"/>
    </row>
    <row r="42709" spans="1:100">
      <c r="A42709" s="374"/>
      <c r="C42709" s="374"/>
      <c r="CV42709" s="376"/>
    </row>
    <row r="42710" spans="1:100">
      <c r="A42710" s="374"/>
      <c r="C42710" s="374"/>
      <c r="CV42710" s="376"/>
    </row>
    <row r="42711" spans="1:100">
      <c r="A42711" s="374"/>
      <c r="C42711" s="374"/>
      <c r="CV42711" s="376"/>
    </row>
    <row r="42712" spans="1:100">
      <c r="A42712" s="374"/>
      <c r="C42712" s="374"/>
      <c r="CV42712" s="376"/>
    </row>
    <row r="42713" spans="1:100">
      <c r="A42713" s="374"/>
      <c r="C42713" s="374"/>
      <c r="CV42713" s="376"/>
    </row>
    <row r="42714" spans="1:100">
      <c r="A42714" s="374"/>
      <c r="C42714" s="374"/>
      <c r="CV42714" s="376"/>
    </row>
    <row r="42715" spans="1:100">
      <c r="A42715" s="374"/>
      <c r="C42715" s="374"/>
      <c r="CV42715" s="376"/>
    </row>
    <row r="42716" spans="1:100">
      <c r="A42716" s="374"/>
      <c r="C42716" s="374"/>
      <c r="CV42716" s="376"/>
    </row>
    <row r="42717" spans="1:100">
      <c r="A42717" s="374"/>
      <c r="C42717" s="374"/>
      <c r="CV42717" s="376"/>
    </row>
    <row r="42718" spans="1:100">
      <c r="A42718" s="374"/>
      <c r="C42718" s="374"/>
      <c r="CV42718" s="376"/>
    </row>
    <row r="42719" spans="1:100">
      <c r="A42719" s="374"/>
      <c r="C42719" s="374"/>
      <c r="CV42719" s="376"/>
    </row>
    <row r="42720" spans="1:100">
      <c r="A42720" s="374"/>
      <c r="C42720" s="374"/>
      <c r="CV42720" s="376"/>
    </row>
    <row r="42721" spans="1:100">
      <c r="A42721" s="374"/>
      <c r="C42721" s="374"/>
      <c r="CV42721" s="376"/>
    </row>
    <row r="42722" spans="1:100">
      <c r="A42722" s="374"/>
      <c r="C42722" s="374"/>
      <c r="CV42722" s="376"/>
    </row>
    <row r="42723" spans="1:100">
      <c r="A42723" s="374"/>
      <c r="C42723" s="374"/>
      <c r="CV42723" s="376"/>
    </row>
    <row r="42724" spans="1:100">
      <c r="A42724" s="374"/>
      <c r="C42724" s="374"/>
      <c r="CV42724" s="376"/>
    </row>
    <row r="42725" spans="1:100">
      <c r="A42725" s="374"/>
      <c r="C42725" s="374"/>
      <c r="CV42725" s="376"/>
    </row>
    <row r="42726" spans="1:100">
      <c r="A42726" s="374"/>
      <c r="C42726" s="374"/>
      <c r="CV42726" s="376"/>
    </row>
    <row r="42727" spans="1:100">
      <c r="A42727" s="374"/>
      <c r="C42727" s="374"/>
      <c r="CV42727" s="376"/>
    </row>
    <row r="42728" spans="1:100">
      <c r="A42728" s="374"/>
      <c r="C42728" s="374"/>
      <c r="CV42728" s="376"/>
    </row>
    <row r="42729" spans="1:100">
      <c r="A42729" s="374"/>
      <c r="C42729" s="374"/>
      <c r="CV42729" s="376"/>
    </row>
    <row r="42730" spans="1:100">
      <c r="A42730" s="374"/>
      <c r="C42730" s="374"/>
      <c r="CV42730" s="376"/>
    </row>
    <row r="42731" spans="1:100">
      <c r="A42731" s="374"/>
      <c r="C42731" s="374"/>
      <c r="CV42731" s="376"/>
    </row>
    <row r="42732" spans="1:100">
      <c r="A42732" s="374"/>
      <c r="C42732" s="374"/>
      <c r="CV42732" s="376"/>
    </row>
    <row r="42733" spans="1:100">
      <c r="A42733" s="374"/>
      <c r="C42733" s="374"/>
      <c r="CV42733" s="376"/>
    </row>
    <row r="42734" spans="1:100">
      <c r="A42734" s="374"/>
      <c r="C42734" s="374"/>
      <c r="CV42734" s="376"/>
    </row>
    <row r="42735" spans="1:100">
      <c r="A42735" s="374"/>
      <c r="C42735" s="374"/>
      <c r="CV42735" s="376"/>
    </row>
    <row r="42736" spans="1:100">
      <c r="A42736" s="374"/>
      <c r="C42736" s="374"/>
      <c r="CV42736" s="376"/>
    </row>
    <row r="42737" spans="1:100">
      <c r="A42737" s="374"/>
      <c r="C42737" s="374"/>
      <c r="CV42737" s="376"/>
    </row>
    <row r="42738" spans="1:100">
      <c r="A42738" s="374"/>
      <c r="C42738" s="374"/>
      <c r="CV42738" s="376"/>
    </row>
    <row r="42739" spans="1:100">
      <c r="A42739" s="374"/>
      <c r="C42739" s="374"/>
      <c r="CV42739" s="376"/>
    </row>
    <row r="42740" spans="1:100">
      <c r="A42740" s="374"/>
      <c r="C42740" s="374"/>
      <c r="CV42740" s="376"/>
    </row>
    <row r="42741" spans="1:100">
      <c r="A42741" s="374"/>
      <c r="C42741" s="374"/>
      <c r="CV42741" s="376"/>
    </row>
    <row r="42742" spans="1:100">
      <c r="A42742" s="374"/>
      <c r="C42742" s="374"/>
      <c r="CV42742" s="376"/>
    </row>
    <row r="42743" spans="1:100">
      <c r="A42743" s="374"/>
      <c r="C42743" s="374"/>
      <c r="CV42743" s="376"/>
    </row>
    <row r="42744" spans="1:100">
      <c r="A42744" s="374"/>
      <c r="C42744" s="374"/>
      <c r="CV42744" s="376"/>
    </row>
    <row r="42745" spans="1:100">
      <c r="A42745" s="374"/>
      <c r="C42745" s="374"/>
      <c r="CV42745" s="376"/>
    </row>
    <row r="42746" spans="1:100">
      <c r="A42746" s="374"/>
      <c r="C42746" s="374"/>
      <c r="CV42746" s="376"/>
    </row>
    <row r="42747" spans="1:100">
      <c r="A42747" s="374"/>
      <c r="C42747" s="374"/>
      <c r="CV42747" s="376"/>
    </row>
    <row r="42748" spans="1:100">
      <c r="A42748" s="374"/>
      <c r="C42748" s="374"/>
      <c r="CV42748" s="376"/>
    </row>
    <row r="42749" spans="1:100">
      <c r="A42749" s="374"/>
      <c r="C42749" s="374"/>
      <c r="CV42749" s="376"/>
    </row>
    <row r="42750" spans="1:100">
      <c r="A42750" s="374"/>
      <c r="C42750" s="374"/>
      <c r="CV42750" s="376"/>
    </row>
    <row r="42751" spans="1:100">
      <c r="A42751" s="374"/>
      <c r="C42751" s="374"/>
      <c r="CV42751" s="376"/>
    </row>
    <row r="42752" spans="1:100">
      <c r="A42752" s="374"/>
      <c r="C42752" s="374"/>
      <c r="CV42752" s="376"/>
    </row>
    <row r="42753" spans="1:100">
      <c r="A42753" s="374"/>
      <c r="C42753" s="374"/>
      <c r="CV42753" s="376"/>
    </row>
    <row r="42754" spans="1:100">
      <c r="A42754" s="374"/>
      <c r="C42754" s="374"/>
      <c r="CV42754" s="376"/>
    </row>
    <row r="42755" spans="1:100">
      <c r="A42755" s="374"/>
      <c r="C42755" s="374"/>
      <c r="CV42755" s="376"/>
    </row>
    <row r="42756" spans="1:100">
      <c r="A42756" s="374"/>
      <c r="C42756" s="374"/>
      <c r="CV42756" s="376"/>
    </row>
    <row r="42757" spans="1:100">
      <c r="A42757" s="374"/>
      <c r="C42757" s="374"/>
      <c r="CV42757" s="376"/>
    </row>
    <row r="42758" spans="1:100">
      <c r="A42758" s="374"/>
      <c r="C42758" s="374"/>
      <c r="CV42758" s="376"/>
    </row>
    <row r="42759" spans="1:100">
      <c r="A42759" s="374"/>
      <c r="C42759" s="374"/>
      <c r="CV42759" s="376"/>
    </row>
    <row r="42760" spans="1:100">
      <c r="A42760" s="374"/>
      <c r="C42760" s="374"/>
      <c r="CV42760" s="376"/>
    </row>
    <row r="42761" spans="1:100">
      <c r="A42761" s="374"/>
      <c r="C42761" s="374"/>
      <c r="CV42761" s="376"/>
    </row>
    <row r="42762" spans="1:100">
      <c r="A42762" s="374"/>
      <c r="C42762" s="374"/>
      <c r="CV42762" s="376"/>
    </row>
    <row r="42763" spans="1:100">
      <c r="A42763" s="374"/>
      <c r="C42763" s="374"/>
      <c r="CV42763" s="376"/>
    </row>
    <row r="42764" spans="1:100">
      <c r="A42764" s="374"/>
      <c r="C42764" s="374"/>
      <c r="CV42764" s="376"/>
    </row>
    <row r="42765" spans="1:100">
      <c r="A42765" s="374"/>
      <c r="C42765" s="374"/>
      <c r="CV42765" s="376"/>
    </row>
    <row r="42766" spans="1:100">
      <c r="A42766" s="374"/>
      <c r="C42766" s="374"/>
      <c r="CV42766" s="376"/>
    </row>
    <row r="42767" spans="1:100">
      <c r="A42767" s="374"/>
      <c r="C42767" s="374"/>
      <c r="CV42767" s="376"/>
    </row>
    <row r="42768" spans="1:100">
      <c r="A42768" s="374"/>
      <c r="C42768" s="374"/>
      <c r="CV42768" s="376"/>
    </row>
    <row r="42769" spans="1:100">
      <c r="A42769" s="374"/>
      <c r="C42769" s="374"/>
      <c r="CV42769" s="376"/>
    </row>
    <row r="42770" spans="1:100">
      <c r="A42770" s="374"/>
      <c r="C42770" s="374"/>
      <c r="CV42770" s="376"/>
    </row>
    <row r="42771" spans="1:100">
      <c r="A42771" s="374"/>
      <c r="C42771" s="374"/>
      <c r="CV42771" s="376"/>
    </row>
    <row r="42772" spans="1:100">
      <c r="A42772" s="374"/>
      <c r="C42772" s="374"/>
      <c r="CV42772" s="376"/>
    </row>
    <row r="42773" spans="1:100">
      <c r="A42773" s="374"/>
      <c r="C42773" s="374"/>
      <c r="CV42773" s="376"/>
    </row>
    <row r="42774" spans="1:100">
      <c r="A42774" s="374"/>
      <c r="C42774" s="374"/>
      <c r="CV42774" s="376"/>
    </row>
    <row r="42775" spans="1:100">
      <c r="A42775" s="374"/>
      <c r="C42775" s="374"/>
      <c r="CV42775" s="376"/>
    </row>
    <row r="42776" spans="1:100">
      <c r="A42776" s="374"/>
      <c r="C42776" s="374"/>
      <c r="CV42776" s="376"/>
    </row>
    <row r="42777" spans="1:100">
      <c r="A42777" s="374"/>
      <c r="C42777" s="374"/>
      <c r="CV42777" s="376"/>
    </row>
    <row r="42778" spans="1:100">
      <c r="A42778" s="374"/>
      <c r="C42778" s="374"/>
      <c r="CV42778" s="376"/>
    </row>
    <row r="42779" spans="1:100">
      <c r="A42779" s="374"/>
      <c r="C42779" s="374"/>
      <c r="CV42779" s="376"/>
    </row>
    <row r="42780" spans="1:100">
      <c r="A42780" s="374"/>
      <c r="C42780" s="374"/>
      <c r="CV42780" s="376"/>
    </row>
    <row r="42781" spans="1:100">
      <c r="A42781" s="374"/>
      <c r="C42781" s="374"/>
      <c r="CV42781" s="376"/>
    </row>
    <row r="42782" spans="1:100">
      <c r="A42782" s="374"/>
      <c r="C42782" s="374"/>
      <c r="CV42782" s="376"/>
    </row>
    <row r="42783" spans="1:100">
      <c r="A42783" s="374"/>
      <c r="C42783" s="374"/>
      <c r="CV42783" s="376"/>
    </row>
    <row r="42784" spans="1:100">
      <c r="A42784" s="374"/>
      <c r="C42784" s="374"/>
      <c r="CV42784" s="376"/>
    </row>
    <row r="42785" spans="1:100">
      <c r="A42785" s="374"/>
      <c r="C42785" s="374"/>
      <c r="CV42785" s="376"/>
    </row>
    <row r="42786" spans="1:100">
      <c r="A42786" s="374"/>
      <c r="C42786" s="374"/>
      <c r="CV42786" s="376"/>
    </row>
    <row r="42787" spans="1:100">
      <c r="A42787" s="374"/>
      <c r="C42787" s="374"/>
      <c r="CV42787" s="376"/>
    </row>
    <row r="42788" spans="1:100">
      <c r="A42788" s="374"/>
      <c r="C42788" s="374"/>
      <c r="CV42788" s="376"/>
    </row>
    <row r="42789" spans="1:100">
      <c r="A42789" s="374"/>
      <c r="C42789" s="374"/>
      <c r="CV42789" s="376"/>
    </row>
    <row r="42790" spans="1:100">
      <c r="A42790" s="374"/>
      <c r="C42790" s="374"/>
      <c r="CV42790" s="376"/>
    </row>
    <row r="42791" spans="1:100">
      <c r="A42791" s="374"/>
      <c r="C42791" s="374"/>
      <c r="CV42791" s="376"/>
    </row>
    <row r="42792" spans="1:100">
      <c r="A42792" s="374"/>
      <c r="C42792" s="374"/>
      <c r="CV42792" s="376"/>
    </row>
    <row r="42793" spans="1:100">
      <c r="A42793" s="374"/>
      <c r="C42793" s="374"/>
      <c r="CV42793" s="376"/>
    </row>
    <row r="42794" spans="1:100">
      <c r="A42794" s="374"/>
      <c r="C42794" s="374"/>
      <c r="CV42794" s="376"/>
    </row>
    <row r="42795" spans="1:100">
      <c r="A42795" s="374"/>
      <c r="C42795" s="374"/>
      <c r="CV42795" s="376"/>
    </row>
    <row r="42796" spans="1:100">
      <c r="A42796" s="374"/>
      <c r="C42796" s="374"/>
      <c r="CV42796" s="376"/>
    </row>
    <row r="42797" spans="1:100">
      <c r="A42797" s="374"/>
      <c r="C42797" s="374"/>
      <c r="CV42797" s="376"/>
    </row>
    <row r="42798" spans="1:100">
      <c r="A42798" s="374"/>
      <c r="C42798" s="374"/>
      <c r="CV42798" s="376"/>
    </row>
    <row r="42799" spans="1:100">
      <c r="A42799" s="374"/>
      <c r="C42799" s="374"/>
      <c r="CV42799" s="376"/>
    </row>
    <row r="42800" spans="1:100">
      <c r="A42800" s="374"/>
      <c r="C42800" s="374"/>
      <c r="CV42800" s="376"/>
    </row>
    <row r="42801" spans="1:100">
      <c r="A42801" s="374"/>
      <c r="C42801" s="374"/>
      <c r="CV42801" s="376"/>
    </row>
    <row r="42802" spans="1:100">
      <c r="A42802" s="374"/>
      <c r="C42802" s="374"/>
      <c r="CV42802" s="376"/>
    </row>
    <row r="42803" spans="1:100">
      <c r="A42803" s="374"/>
      <c r="C42803" s="374"/>
      <c r="CV42803" s="376"/>
    </row>
    <row r="42804" spans="1:100">
      <c r="A42804" s="374"/>
      <c r="C42804" s="374"/>
      <c r="CV42804" s="376"/>
    </row>
    <row r="42805" spans="1:100">
      <c r="A42805" s="374"/>
      <c r="C42805" s="374"/>
      <c r="CV42805" s="376"/>
    </row>
    <row r="42806" spans="1:100">
      <c r="A42806" s="374"/>
      <c r="C42806" s="374"/>
      <c r="CV42806" s="376"/>
    </row>
    <row r="42807" spans="1:100">
      <c r="A42807" s="374"/>
      <c r="C42807" s="374"/>
      <c r="CV42807" s="376"/>
    </row>
    <row r="42808" spans="1:100">
      <c r="A42808" s="374"/>
      <c r="C42808" s="374"/>
      <c r="CV42808" s="376"/>
    </row>
    <row r="42809" spans="1:100">
      <c r="A42809" s="374"/>
      <c r="C42809" s="374"/>
      <c r="CV42809" s="376"/>
    </row>
    <row r="42810" spans="1:100">
      <c r="A42810" s="374"/>
      <c r="C42810" s="374"/>
      <c r="CV42810" s="376"/>
    </row>
    <row r="42811" spans="1:100">
      <c r="A42811" s="374"/>
      <c r="C42811" s="374"/>
      <c r="CV42811" s="376"/>
    </row>
    <row r="42812" spans="1:100">
      <c r="A42812" s="374"/>
      <c r="C42812" s="374"/>
      <c r="CV42812" s="376"/>
    </row>
    <row r="42813" spans="1:100">
      <c r="A42813" s="374"/>
      <c r="C42813" s="374"/>
      <c r="CV42813" s="376"/>
    </row>
    <row r="42814" spans="1:100">
      <c r="A42814" s="374"/>
      <c r="C42814" s="374"/>
      <c r="CV42814" s="376"/>
    </row>
    <row r="42815" spans="1:100">
      <c r="A42815" s="374"/>
      <c r="C42815" s="374"/>
      <c r="CV42815" s="376"/>
    </row>
    <row r="42816" spans="1:100">
      <c r="A42816" s="374"/>
      <c r="C42816" s="374"/>
      <c r="CV42816" s="376"/>
    </row>
    <row r="42817" spans="1:100">
      <c r="A42817" s="374"/>
      <c r="C42817" s="374"/>
      <c r="CV42817" s="376"/>
    </row>
    <row r="42818" spans="1:100">
      <c r="A42818" s="374"/>
      <c r="C42818" s="374"/>
      <c r="CV42818" s="376"/>
    </row>
    <row r="42819" spans="1:100">
      <c r="A42819" s="374"/>
      <c r="C42819" s="374"/>
      <c r="CV42819" s="376"/>
    </row>
    <row r="42820" spans="1:100">
      <c r="A42820" s="374"/>
      <c r="C42820" s="374"/>
      <c r="CV42820" s="376"/>
    </row>
    <row r="42821" spans="1:100">
      <c r="A42821" s="374"/>
      <c r="C42821" s="374"/>
      <c r="CV42821" s="376"/>
    </row>
    <row r="42822" spans="1:100">
      <c r="A42822" s="374"/>
      <c r="C42822" s="374"/>
      <c r="CV42822" s="376"/>
    </row>
    <row r="42823" spans="1:100">
      <c r="A42823" s="374"/>
      <c r="C42823" s="374"/>
      <c r="CV42823" s="376"/>
    </row>
    <row r="42824" spans="1:100">
      <c r="A42824" s="374"/>
      <c r="C42824" s="374"/>
      <c r="CV42824" s="376"/>
    </row>
    <row r="42825" spans="1:100">
      <c r="A42825" s="374"/>
      <c r="C42825" s="374"/>
      <c r="CV42825" s="376"/>
    </row>
    <row r="42826" spans="1:100">
      <c r="A42826" s="374"/>
      <c r="C42826" s="374"/>
      <c r="CV42826" s="376"/>
    </row>
    <row r="42827" spans="1:100">
      <c r="A42827" s="374"/>
      <c r="C42827" s="374"/>
      <c r="CV42827" s="376"/>
    </row>
    <row r="42828" spans="1:100">
      <c r="A42828" s="374"/>
      <c r="C42828" s="374"/>
      <c r="CV42828" s="376"/>
    </row>
    <row r="42829" spans="1:100">
      <c r="A42829" s="374"/>
      <c r="C42829" s="374"/>
      <c r="CV42829" s="376"/>
    </row>
    <row r="42830" spans="1:100">
      <c r="A42830" s="374"/>
      <c r="C42830" s="374"/>
      <c r="CV42830" s="376"/>
    </row>
    <row r="42831" spans="1:100">
      <c r="A42831" s="374"/>
      <c r="C42831" s="374"/>
      <c r="CV42831" s="376"/>
    </row>
    <row r="42832" spans="1:100">
      <c r="A42832" s="374"/>
      <c r="C42832" s="374"/>
      <c r="CV42832" s="376"/>
    </row>
    <row r="42833" spans="1:100">
      <c r="A42833" s="374"/>
      <c r="C42833" s="374"/>
      <c r="CV42833" s="376"/>
    </row>
    <row r="42834" spans="1:100">
      <c r="A42834" s="374"/>
      <c r="C42834" s="374"/>
      <c r="CV42834" s="376"/>
    </row>
    <row r="42835" spans="1:100">
      <c r="A42835" s="374"/>
      <c r="C42835" s="374"/>
      <c r="CV42835" s="376"/>
    </row>
    <row r="42836" spans="1:100">
      <c r="A42836" s="374"/>
      <c r="C42836" s="374"/>
      <c r="CV42836" s="376"/>
    </row>
    <row r="42837" spans="1:100">
      <c r="A42837" s="374"/>
      <c r="C42837" s="374"/>
      <c r="CV42837" s="376"/>
    </row>
    <row r="42838" spans="1:100">
      <c r="A42838" s="374"/>
      <c r="C42838" s="374"/>
      <c r="CV42838" s="376"/>
    </row>
    <row r="42839" spans="1:100">
      <c r="A42839" s="374"/>
      <c r="C42839" s="374"/>
      <c r="CV42839" s="376"/>
    </row>
    <row r="42840" spans="1:100">
      <c r="A42840" s="374"/>
      <c r="C42840" s="374"/>
      <c r="CV42840" s="376"/>
    </row>
    <row r="42841" spans="1:100">
      <c r="A42841" s="374"/>
      <c r="C42841" s="374"/>
      <c r="CV42841" s="376"/>
    </row>
    <row r="42842" spans="1:100">
      <c r="A42842" s="374"/>
      <c r="C42842" s="374"/>
      <c r="CV42842" s="376"/>
    </row>
    <row r="42843" spans="1:100">
      <c r="A42843" s="374"/>
      <c r="C42843" s="374"/>
      <c r="CV42843" s="376"/>
    </row>
    <row r="42844" spans="1:100">
      <c r="A42844" s="374"/>
      <c r="C42844" s="374"/>
      <c r="CV42844" s="376"/>
    </row>
    <row r="42845" spans="1:100">
      <c r="A42845" s="374"/>
      <c r="C42845" s="374"/>
      <c r="CV42845" s="376"/>
    </row>
    <row r="42846" spans="1:100">
      <c r="A42846" s="374"/>
      <c r="C42846" s="374"/>
      <c r="CV42846" s="376"/>
    </row>
    <row r="42847" spans="1:100">
      <c r="A42847" s="374"/>
      <c r="C42847" s="374"/>
      <c r="CV42847" s="376"/>
    </row>
    <row r="42848" spans="1:100">
      <c r="A42848" s="374"/>
      <c r="C42848" s="374"/>
      <c r="CV42848" s="376"/>
    </row>
    <row r="42849" spans="1:100">
      <c r="A42849" s="374"/>
      <c r="C42849" s="374"/>
      <c r="CV42849" s="376"/>
    </row>
    <row r="42850" spans="1:100">
      <c r="A42850" s="374"/>
      <c r="C42850" s="374"/>
      <c r="CV42850" s="376"/>
    </row>
    <row r="42851" spans="1:100">
      <c r="A42851" s="374"/>
      <c r="C42851" s="374"/>
      <c r="CV42851" s="376"/>
    </row>
    <row r="42852" spans="1:100">
      <c r="A42852" s="374"/>
      <c r="C42852" s="374"/>
      <c r="CV42852" s="376"/>
    </row>
    <row r="42853" spans="1:100">
      <c r="A42853" s="374"/>
      <c r="C42853" s="374"/>
      <c r="CV42853" s="376"/>
    </row>
    <row r="42854" spans="1:100">
      <c r="A42854" s="374"/>
      <c r="C42854" s="374"/>
      <c r="CV42854" s="376"/>
    </row>
    <row r="42855" spans="1:100">
      <c r="A42855" s="374"/>
      <c r="C42855" s="374"/>
      <c r="CV42855" s="376"/>
    </row>
    <row r="42856" spans="1:100">
      <c r="A42856" s="374"/>
      <c r="C42856" s="374"/>
      <c r="CV42856" s="376"/>
    </row>
    <row r="42857" spans="1:100">
      <c r="A42857" s="374"/>
      <c r="C42857" s="374"/>
      <c r="CV42857" s="376"/>
    </row>
    <row r="42858" spans="1:100">
      <c r="A42858" s="374"/>
      <c r="C42858" s="374"/>
      <c r="CV42858" s="376"/>
    </row>
    <row r="42859" spans="1:100">
      <c r="A42859" s="374"/>
      <c r="C42859" s="374"/>
      <c r="CV42859" s="376"/>
    </row>
    <row r="42860" spans="1:100">
      <c r="A42860" s="374"/>
      <c r="C42860" s="374"/>
      <c r="CV42860" s="376"/>
    </row>
    <row r="42861" spans="1:100">
      <c r="A42861" s="374"/>
      <c r="C42861" s="374"/>
      <c r="CV42861" s="376"/>
    </row>
    <row r="42862" spans="1:100">
      <c r="A42862" s="374"/>
      <c r="C42862" s="374"/>
      <c r="CV42862" s="376"/>
    </row>
    <row r="42863" spans="1:100">
      <c r="A42863" s="374"/>
      <c r="C42863" s="374"/>
      <c r="CV42863" s="376"/>
    </row>
    <row r="42864" spans="1:100">
      <c r="A42864" s="374"/>
      <c r="C42864" s="374"/>
      <c r="CV42864" s="376"/>
    </row>
    <row r="42865" spans="1:100">
      <c r="A42865" s="374"/>
      <c r="C42865" s="374"/>
      <c r="CV42865" s="376"/>
    </row>
    <row r="42866" spans="1:100">
      <c r="A42866" s="374"/>
      <c r="C42866" s="374"/>
      <c r="CV42866" s="376"/>
    </row>
    <row r="42867" spans="1:100">
      <c r="A42867" s="374"/>
      <c r="C42867" s="374"/>
      <c r="CV42867" s="376"/>
    </row>
    <row r="42868" spans="1:100">
      <c r="A42868" s="374"/>
      <c r="C42868" s="374"/>
      <c r="CV42868" s="376"/>
    </row>
    <row r="42869" spans="1:100">
      <c r="A42869" s="374"/>
      <c r="C42869" s="374"/>
      <c r="CV42869" s="376"/>
    </row>
    <row r="42870" spans="1:100">
      <c r="A42870" s="374"/>
      <c r="C42870" s="374"/>
      <c r="CV42870" s="376"/>
    </row>
    <row r="42871" spans="1:100">
      <c r="A42871" s="374"/>
      <c r="C42871" s="374"/>
      <c r="CV42871" s="376"/>
    </row>
    <row r="42872" spans="1:100">
      <c r="A42872" s="374"/>
      <c r="C42872" s="374"/>
      <c r="CV42872" s="376"/>
    </row>
    <row r="42873" spans="1:100">
      <c r="A42873" s="374"/>
      <c r="C42873" s="374"/>
      <c r="CV42873" s="376"/>
    </row>
    <row r="42874" spans="1:100">
      <c r="A42874" s="374"/>
      <c r="C42874" s="374"/>
      <c r="CV42874" s="376"/>
    </row>
    <row r="42875" spans="1:100">
      <c r="A42875" s="374"/>
      <c r="C42875" s="374"/>
      <c r="CV42875" s="376"/>
    </row>
    <row r="42876" spans="1:100">
      <c r="A42876" s="374"/>
      <c r="C42876" s="374"/>
      <c r="CV42876" s="376"/>
    </row>
    <row r="42877" spans="1:100">
      <c r="A42877" s="374"/>
      <c r="C42877" s="374"/>
      <c r="CV42877" s="376"/>
    </row>
    <row r="42878" spans="1:100">
      <c r="A42878" s="374"/>
      <c r="C42878" s="374"/>
      <c r="CV42878" s="376"/>
    </row>
    <row r="42879" spans="1:100">
      <c r="A42879" s="374"/>
      <c r="C42879" s="374"/>
      <c r="CV42879" s="376"/>
    </row>
    <row r="42880" spans="1:100">
      <c r="A42880" s="374"/>
      <c r="C42880" s="374"/>
      <c r="CV42880" s="376"/>
    </row>
    <row r="42881" spans="1:100">
      <c r="A42881" s="374"/>
      <c r="C42881" s="374"/>
      <c r="CV42881" s="376"/>
    </row>
    <row r="42882" spans="1:100">
      <c r="A42882" s="374"/>
      <c r="C42882" s="374"/>
      <c r="CV42882" s="376"/>
    </row>
    <row r="42883" spans="1:100">
      <c r="A42883" s="374"/>
      <c r="C42883" s="374"/>
      <c r="CV42883" s="376"/>
    </row>
    <row r="42884" spans="1:100">
      <c r="A42884" s="374"/>
      <c r="C42884" s="374"/>
      <c r="CV42884" s="376"/>
    </row>
    <row r="42885" spans="1:100">
      <c r="A42885" s="374"/>
      <c r="C42885" s="374"/>
      <c r="CV42885" s="376"/>
    </row>
    <row r="42886" spans="1:100">
      <c r="A42886" s="374"/>
      <c r="C42886" s="374"/>
      <c r="CV42886" s="376"/>
    </row>
    <row r="42887" spans="1:100">
      <c r="A42887" s="374"/>
      <c r="C42887" s="374"/>
      <c r="CV42887" s="376"/>
    </row>
    <row r="42888" spans="1:100">
      <c r="A42888" s="374"/>
      <c r="C42888" s="374"/>
      <c r="CV42888" s="376"/>
    </row>
    <row r="42889" spans="1:100">
      <c r="A42889" s="374"/>
      <c r="C42889" s="374"/>
      <c r="CV42889" s="376"/>
    </row>
    <row r="42890" spans="1:100">
      <c r="A42890" s="374"/>
      <c r="C42890" s="374"/>
      <c r="CV42890" s="376"/>
    </row>
    <row r="42891" spans="1:100">
      <c r="A42891" s="374"/>
      <c r="C42891" s="374"/>
      <c r="CV42891" s="376"/>
    </row>
    <row r="42892" spans="1:100">
      <c r="A42892" s="374"/>
      <c r="C42892" s="374"/>
      <c r="CV42892" s="376"/>
    </row>
    <row r="42893" spans="1:100">
      <c r="A42893" s="374"/>
      <c r="C42893" s="374"/>
      <c r="CV42893" s="376"/>
    </row>
    <row r="42894" spans="1:100">
      <c r="A42894" s="374"/>
      <c r="C42894" s="374"/>
      <c r="CV42894" s="376"/>
    </row>
    <row r="42895" spans="1:100">
      <c r="A42895" s="374"/>
      <c r="C42895" s="374"/>
      <c r="CV42895" s="376"/>
    </row>
    <row r="42896" spans="1:100">
      <c r="A42896" s="374"/>
      <c r="C42896" s="374"/>
      <c r="CV42896" s="376"/>
    </row>
    <row r="42897" spans="1:100">
      <c r="A42897" s="374"/>
      <c r="C42897" s="374"/>
      <c r="CV42897" s="376"/>
    </row>
    <row r="42898" spans="1:100">
      <c r="A42898" s="374"/>
      <c r="C42898" s="374"/>
      <c r="CV42898" s="376"/>
    </row>
    <row r="42899" spans="1:100">
      <c r="A42899" s="374"/>
      <c r="C42899" s="374"/>
      <c r="CV42899" s="376"/>
    </row>
    <row r="42900" spans="1:100">
      <c r="A42900" s="374"/>
      <c r="C42900" s="374"/>
      <c r="CV42900" s="376"/>
    </row>
    <row r="42901" spans="1:100">
      <c r="A42901" s="374"/>
      <c r="C42901" s="374"/>
      <c r="CV42901" s="376"/>
    </row>
    <row r="42902" spans="1:100">
      <c r="A42902" s="374"/>
      <c r="C42902" s="374"/>
      <c r="CV42902" s="376"/>
    </row>
    <row r="42903" spans="1:100">
      <c r="A42903" s="374"/>
      <c r="C42903" s="374"/>
      <c r="CV42903" s="376"/>
    </row>
    <row r="42904" spans="1:100">
      <c r="A42904" s="374"/>
      <c r="C42904" s="374"/>
      <c r="CV42904" s="376"/>
    </row>
    <row r="42905" spans="1:100">
      <c r="A42905" s="374"/>
      <c r="C42905" s="374"/>
      <c r="CV42905" s="376"/>
    </row>
    <row r="42906" spans="1:100">
      <c r="A42906" s="374"/>
      <c r="C42906" s="374"/>
      <c r="CV42906" s="376"/>
    </row>
    <row r="42907" spans="1:100">
      <c r="A42907" s="374"/>
      <c r="C42907" s="374"/>
      <c r="CV42907" s="376"/>
    </row>
    <row r="42908" spans="1:100">
      <c r="A42908" s="374"/>
      <c r="C42908" s="374"/>
      <c r="CV42908" s="376"/>
    </row>
    <row r="42909" spans="1:100">
      <c r="A42909" s="374"/>
      <c r="C42909" s="374"/>
      <c r="CV42909" s="376"/>
    </row>
    <row r="42910" spans="1:100">
      <c r="A42910" s="374"/>
      <c r="C42910" s="374"/>
      <c r="CV42910" s="376"/>
    </row>
    <row r="42911" spans="1:100">
      <c r="A42911" s="374"/>
      <c r="C42911" s="374"/>
      <c r="CV42911" s="376"/>
    </row>
    <row r="42912" spans="1:100">
      <c r="A42912" s="374"/>
      <c r="C42912" s="374"/>
      <c r="CV42912" s="376"/>
    </row>
    <row r="42913" spans="1:100">
      <c r="A42913" s="374"/>
      <c r="C42913" s="374"/>
      <c r="CV42913" s="376"/>
    </row>
    <row r="42914" spans="1:100">
      <c r="A42914" s="374"/>
      <c r="C42914" s="374"/>
      <c r="CV42914" s="376"/>
    </row>
    <row r="42915" spans="1:100">
      <c r="A42915" s="374"/>
      <c r="C42915" s="374"/>
      <c r="CV42915" s="376"/>
    </row>
    <row r="42916" spans="1:100">
      <c r="A42916" s="374"/>
      <c r="C42916" s="374"/>
      <c r="CV42916" s="376"/>
    </row>
    <row r="42917" spans="1:100">
      <c r="A42917" s="374"/>
      <c r="C42917" s="374"/>
      <c r="CV42917" s="376"/>
    </row>
    <row r="42918" spans="1:100">
      <c r="A42918" s="374"/>
      <c r="C42918" s="374"/>
      <c r="CV42918" s="376"/>
    </row>
    <row r="42919" spans="1:100">
      <c r="A42919" s="374"/>
      <c r="C42919" s="374"/>
      <c r="CV42919" s="376"/>
    </row>
    <row r="42920" spans="1:100">
      <c r="A42920" s="374"/>
      <c r="C42920" s="374"/>
      <c r="CV42920" s="376"/>
    </row>
    <row r="42921" spans="1:100">
      <c r="A42921" s="374"/>
      <c r="C42921" s="374"/>
      <c r="CV42921" s="376"/>
    </row>
    <row r="42922" spans="1:100">
      <c r="A42922" s="374"/>
      <c r="C42922" s="374"/>
      <c r="CV42922" s="376"/>
    </row>
    <row r="42923" spans="1:100">
      <c r="A42923" s="374"/>
      <c r="C42923" s="374"/>
      <c r="CV42923" s="376"/>
    </row>
    <row r="42924" spans="1:100">
      <c r="A42924" s="374"/>
      <c r="C42924" s="374"/>
      <c r="CV42924" s="376"/>
    </row>
    <row r="42925" spans="1:100">
      <c r="A42925" s="374"/>
      <c r="C42925" s="374"/>
      <c r="CV42925" s="376"/>
    </row>
    <row r="42926" spans="1:100">
      <c r="A42926" s="374"/>
      <c r="C42926" s="374"/>
      <c r="CV42926" s="376"/>
    </row>
    <row r="42927" spans="1:100">
      <c r="A42927" s="374"/>
      <c r="C42927" s="374"/>
      <c r="CV42927" s="376"/>
    </row>
    <row r="42928" spans="1:100">
      <c r="A42928" s="374"/>
      <c r="C42928" s="374"/>
      <c r="CV42928" s="376"/>
    </row>
    <row r="42929" spans="1:100">
      <c r="A42929" s="374"/>
      <c r="C42929" s="374"/>
      <c r="CV42929" s="376"/>
    </row>
    <row r="42930" spans="1:100">
      <c r="A42930" s="374"/>
      <c r="C42930" s="374"/>
      <c r="CV42930" s="376"/>
    </row>
    <row r="42931" spans="1:100">
      <c r="A42931" s="374"/>
      <c r="C42931" s="374"/>
      <c r="CV42931" s="376"/>
    </row>
    <row r="42932" spans="1:100">
      <c r="A42932" s="374"/>
      <c r="C42932" s="374"/>
      <c r="CV42932" s="376"/>
    </row>
    <row r="42933" spans="1:100">
      <c r="A42933" s="374"/>
      <c r="C42933" s="374"/>
      <c r="CV42933" s="376"/>
    </row>
    <row r="42934" spans="1:100">
      <c r="A42934" s="374"/>
      <c r="C42934" s="374"/>
      <c r="CV42934" s="376"/>
    </row>
    <row r="42935" spans="1:100">
      <c r="A42935" s="374"/>
      <c r="C42935" s="374"/>
      <c r="CV42935" s="376"/>
    </row>
    <row r="42936" spans="1:100">
      <c r="A42936" s="374"/>
      <c r="C42936" s="374"/>
      <c r="CV42936" s="376"/>
    </row>
    <row r="42937" spans="1:100">
      <c r="A42937" s="374"/>
      <c r="C42937" s="374"/>
      <c r="CV42937" s="376"/>
    </row>
    <row r="42938" spans="1:100">
      <c r="A42938" s="374"/>
      <c r="C42938" s="374"/>
      <c r="CV42938" s="376"/>
    </row>
    <row r="42939" spans="1:100">
      <c r="A42939" s="374"/>
      <c r="C42939" s="374"/>
      <c r="CV42939" s="376"/>
    </row>
    <row r="42940" spans="1:100">
      <c r="A42940" s="374"/>
      <c r="C42940" s="374"/>
      <c r="CV42940" s="376"/>
    </row>
    <row r="42941" spans="1:100">
      <c r="A42941" s="374"/>
      <c r="C42941" s="374"/>
      <c r="CV42941" s="376"/>
    </row>
    <row r="42942" spans="1:100">
      <c r="A42942" s="374"/>
      <c r="C42942" s="374"/>
      <c r="CV42942" s="376"/>
    </row>
    <row r="42943" spans="1:100">
      <c r="A42943" s="374"/>
      <c r="C42943" s="374"/>
      <c r="CV42943" s="376"/>
    </row>
    <row r="42944" spans="1:100">
      <c r="A42944" s="374"/>
      <c r="C42944" s="374"/>
      <c r="CV42944" s="376"/>
    </row>
    <row r="42945" spans="1:100">
      <c r="A42945" s="374"/>
      <c r="C42945" s="374"/>
      <c r="CV42945" s="376"/>
    </row>
    <row r="42946" spans="1:100">
      <c r="A42946" s="374"/>
      <c r="C42946" s="374"/>
      <c r="CV42946" s="376"/>
    </row>
    <row r="42947" spans="1:100">
      <c r="A42947" s="374"/>
      <c r="C42947" s="374"/>
      <c r="CV42947" s="376"/>
    </row>
    <row r="42948" spans="1:100">
      <c r="A42948" s="374"/>
      <c r="C42948" s="374"/>
      <c r="CV42948" s="376"/>
    </row>
    <row r="42949" spans="1:100">
      <c r="A42949" s="374"/>
      <c r="C42949" s="374"/>
      <c r="CV42949" s="376"/>
    </row>
    <row r="42950" spans="1:100">
      <c r="A42950" s="374"/>
      <c r="C42950" s="374"/>
      <c r="CV42950" s="376"/>
    </row>
    <row r="42951" spans="1:100">
      <c r="A42951" s="374"/>
      <c r="C42951" s="374"/>
      <c r="CV42951" s="376"/>
    </row>
    <row r="42952" spans="1:100">
      <c r="A42952" s="374"/>
      <c r="C42952" s="374"/>
      <c r="CV42952" s="376"/>
    </row>
    <row r="42953" spans="1:100">
      <c r="A42953" s="374"/>
      <c r="C42953" s="374"/>
      <c r="CV42953" s="376"/>
    </row>
    <row r="42954" spans="1:100">
      <c r="A42954" s="374"/>
      <c r="C42954" s="374"/>
      <c r="CV42954" s="376"/>
    </row>
    <row r="42955" spans="1:100">
      <c r="A42955" s="374"/>
      <c r="C42955" s="374"/>
      <c r="CV42955" s="376"/>
    </row>
    <row r="42956" spans="1:100">
      <c r="A42956" s="374"/>
      <c r="C42956" s="374"/>
      <c r="CV42956" s="376"/>
    </row>
    <row r="42957" spans="1:100">
      <c r="A42957" s="374"/>
      <c r="C42957" s="374"/>
      <c r="CV42957" s="376"/>
    </row>
    <row r="42958" spans="1:100">
      <c r="A42958" s="374"/>
      <c r="C42958" s="374"/>
      <c r="CV42958" s="376"/>
    </row>
    <row r="42959" spans="1:100">
      <c r="A42959" s="374"/>
      <c r="C42959" s="374"/>
      <c r="CV42959" s="376"/>
    </row>
    <row r="42960" spans="1:100">
      <c r="A42960" s="374"/>
      <c r="C42960" s="374"/>
      <c r="CV42960" s="376"/>
    </row>
    <row r="42961" spans="1:100">
      <c r="A42961" s="374"/>
      <c r="C42961" s="374"/>
      <c r="CV42961" s="376"/>
    </row>
    <row r="42962" spans="1:100">
      <c r="A42962" s="374"/>
      <c r="C42962" s="374"/>
      <c r="CV42962" s="376"/>
    </row>
    <row r="42963" spans="1:100">
      <c r="A42963" s="374"/>
      <c r="C42963" s="374"/>
      <c r="CV42963" s="376"/>
    </row>
    <row r="42964" spans="1:100">
      <c r="A42964" s="374"/>
      <c r="C42964" s="374"/>
      <c r="CV42964" s="376"/>
    </row>
    <row r="42965" spans="1:100">
      <c r="A42965" s="374"/>
      <c r="C42965" s="374"/>
      <c r="CV42965" s="376"/>
    </row>
    <row r="42966" spans="1:100">
      <c r="A42966" s="374"/>
      <c r="C42966" s="374"/>
      <c r="CV42966" s="376"/>
    </row>
    <row r="42967" spans="1:100">
      <c r="A42967" s="374"/>
      <c r="C42967" s="374"/>
      <c r="CV42967" s="376"/>
    </row>
    <row r="42968" spans="1:100">
      <c r="A42968" s="374"/>
      <c r="C42968" s="374"/>
      <c r="CV42968" s="376"/>
    </row>
    <row r="42969" spans="1:100">
      <c r="A42969" s="374"/>
      <c r="C42969" s="374"/>
      <c r="CV42969" s="376"/>
    </row>
    <row r="42970" spans="1:100">
      <c r="A42970" s="374"/>
      <c r="C42970" s="374"/>
      <c r="CV42970" s="376"/>
    </row>
    <row r="42971" spans="1:100">
      <c r="A42971" s="374"/>
      <c r="C42971" s="374"/>
      <c r="CV42971" s="376"/>
    </row>
    <row r="42972" spans="1:100">
      <c r="A42972" s="374"/>
      <c r="C42972" s="374"/>
      <c r="CV42972" s="376"/>
    </row>
    <row r="42973" spans="1:100">
      <c r="A42973" s="374"/>
      <c r="C42973" s="374"/>
      <c r="CV42973" s="376"/>
    </row>
    <row r="42974" spans="1:100">
      <c r="A42974" s="374"/>
      <c r="C42974" s="374"/>
      <c r="CV42974" s="376"/>
    </row>
    <row r="42975" spans="1:100">
      <c r="A42975" s="374"/>
      <c r="C42975" s="374"/>
      <c r="CV42975" s="376"/>
    </row>
    <row r="42976" spans="1:100">
      <c r="A42976" s="374"/>
      <c r="C42976" s="374"/>
      <c r="CV42976" s="376"/>
    </row>
    <row r="42977" spans="1:100">
      <c r="A42977" s="374"/>
      <c r="C42977" s="374"/>
      <c r="CV42977" s="376"/>
    </row>
    <row r="42978" spans="1:100">
      <c r="A42978" s="374"/>
      <c r="C42978" s="374"/>
      <c r="CV42978" s="376"/>
    </row>
    <row r="42979" spans="1:100">
      <c r="A42979" s="374"/>
      <c r="C42979" s="374"/>
      <c r="CV42979" s="376"/>
    </row>
    <row r="42980" spans="1:100">
      <c r="A42980" s="374"/>
      <c r="C42980" s="374"/>
      <c r="CV42980" s="376"/>
    </row>
    <row r="42981" spans="1:100">
      <c r="A42981" s="374"/>
      <c r="C42981" s="374"/>
      <c r="CV42981" s="376"/>
    </row>
    <row r="42982" spans="1:100">
      <c r="A42982" s="374"/>
      <c r="C42982" s="374"/>
      <c r="CV42982" s="376"/>
    </row>
    <row r="42983" spans="1:100">
      <c r="A42983" s="374"/>
      <c r="C42983" s="374"/>
      <c r="CV42983" s="376"/>
    </row>
    <row r="42984" spans="1:100">
      <c r="A42984" s="374"/>
      <c r="C42984" s="374"/>
      <c r="CV42984" s="376"/>
    </row>
    <row r="42985" spans="1:100">
      <c r="A42985" s="374"/>
      <c r="C42985" s="374"/>
      <c r="CV42985" s="376"/>
    </row>
    <row r="42986" spans="1:100">
      <c r="A42986" s="374"/>
      <c r="C42986" s="374"/>
      <c r="CV42986" s="376"/>
    </row>
    <row r="42987" spans="1:100">
      <c r="A42987" s="374"/>
      <c r="C42987" s="374"/>
      <c r="CV42987" s="376"/>
    </row>
    <row r="42988" spans="1:100">
      <c r="A42988" s="374"/>
      <c r="C42988" s="374"/>
      <c r="CV42988" s="376"/>
    </row>
    <row r="42989" spans="1:100">
      <c r="A42989" s="374"/>
      <c r="C42989" s="374"/>
      <c r="CV42989" s="376"/>
    </row>
    <row r="42990" spans="1:100">
      <c r="A42990" s="374"/>
      <c r="C42990" s="374"/>
      <c r="CV42990" s="376"/>
    </row>
    <row r="42991" spans="1:100">
      <c r="A42991" s="374"/>
      <c r="C42991" s="374"/>
      <c r="CV42991" s="376"/>
    </row>
    <row r="42992" spans="1:100">
      <c r="A42992" s="374"/>
      <c r="C42992" s="374"/>
      <c r="CV42992" s="376"/>
    </row>
    <row r="42993" spans="1:100">
      <c r="A42993" s="374"/>
      <c r="C42993" s="374"/>
      <c r="CV42993" s="376"/>
    </row>
    <row r="42994" spans="1:100">
      <c r="A42994" s="374"/>
      <c r="C42994" s="374"/>
      <c r="CV42994" s="376"/>
    </row>
    <row r="42995" spans="1:100">
      <c r="A42995" s="374"/>
      <c r="C42995" s="374"/>
      <c r="CV42995" s="376"/>
    </row>
    <row r="42996" spans="1:100">
      <c r="A42996" s="374"/>
      <c r="C42996" s="374"/>
      <c r="CV42996" s="376"/>
    </row>
    <row r="42997" spans="1:100">
      <c r="A42997" s="374"/>
      <c r="C42997" s="374"/>
      <c r="CV42997" s="376"/>
    </row>
    <row r="42998" spans="1:100">
      <c r="A42998" s="374"/>
      <c r="C42998" s="374"/>
      <c r="CV42998" s="376"/>
    </row>
    <row r="42999" spans="1:100">
      <c r="A42999" s="374"/>
      <c r="C42999" s="374"/>
      <c r="CV42999" s="376"/>
    </row>
    <row r="43000" spans="1:100">
      <c r="A43000" s="374"/>
      <c r="C43000" s="374"/>
      <c r="CV43000" s="376"/>
    </row>
    <row r="43001" spans="1:100">
      <c r="A43001" s="374"/>
      <c r="C43001" s="374"/>
      <c r="CV43001" s="376"/>
    </row>
    <row r="43002" spans="1:100">
      <c r="A43002" s="374"/>
      <c r="C43002" s="374"/>
      <c r="CV43002" s="376"/>
    </row>
    <row r="43003" spans="1:100">
      <c r="A43003" s="374"/>
      <c r="C43003" s="374"/>
      <c r="CV43003" s="376"/>
    </row>
    <row r="43004" spans="1:100">
      <c r="A43004" s="374"/>
      <c r="C43004" s="374"/>
      <c r="CV43004" s="376"/>
    </row>
    <row r="43005" spans="1:100">
      <c r="A43005" s="374"/>
      <c r="C43005" s="374"/>
      <c r="CV43005" s="376"/>
    </row>
    <row r="43006" spans="1:100">
      <c r="A43006" s="374"/>
      <c r="C43006" s="374"/>
      <c r="CV43006" s="376"/>
    </row>
    <row r="43007" spans="1:100">
      <c r="A43007" s="374"/>
      <c r="C43007" s="374"/>
      <c r="CV43007" s="376"/>
    </row>
    <row r="43008" spans="1:100">
      <c r="A43008" s="374"/>
      <c r="C43008" s="374"/>
      <c r="CV43008" s="376"/>
    </row>
    <row r="43009" spans="1:100">
      <c r="A43009" s="374"/>
      <c r="C43009" s="374"/>
      <c r="CV43009" s="376"/>
    </row>
    <row r="43010" spans="1:100">
      <c r="A43010" s="374"/>
      <c r="C43010" s="374"/>
      <c r="CV43010" s="376"/>
    </row>
    <row r="43011" spans="1:100">
      <c r="A43011" s="374"/>
      <c r="C43011" s="374"/>
      <c r="CV43011" s="376"/>
    </row>
    <row r="43012" spans="1:100">
      <c r="A43012" s="374"/>
      <c r="C43012" s="374"/>
      <c r="CV43012" s="376"/>
    </row>
    <row r="43013" spans="1:100">
      <c r="A43013" s="374"/>
      <c r="C43013" s="374"/>
      <c r="CV43013" s="376"/>
    </row>
    <row r="43014" spans="1:100">
      <c r="A43014" s="374"/>
      <c r="C43014" s="374"/>
      <c r="CV43014" s="376"/>
    </row>
    <row r="43015" spans="1:100">
      <c r="A43015" s="374"/>
      <c r="C43015" s="374"/>
      <c r="CV43015" s="376"/>
    </row>
    <row r="43016" spans="1:100">
      <c r="A43016" s="374"/>
      <c r="C43016" s="374"/>
      <c r="CV43016" s="376"/>
    </row>
    <row r="43017" spans="1:100">
      <c r="A43017" s="374"/>
      <c r="C43017" s="374"/>
      <c r="CV43017" s="376"/>
    </row>
    <row r="43018" spans="1:100">
      <c r="A43018" s="374"/>
      <c r="C43018" s="374"/>
      <c r="CV43018" s="376"/>
    </row>
    <row r="43019" spans="1:100">
      <c r="A43019" s="374"/>
      <c r="C43019" s="374"/>
      <c r="CV43019" s="376"/>
    </row>
    <row r="43020" spans="1:100">
      <c r="A43020" s="374"/>
      <c r="C43020" s="374"/>
      <c r="CV43020" s="376"/>
    </row>
    <row r="43021" spans="1:100">
      <c r="A43021" s="374"/>
      <c r="C43021" s="374"/>
      <c r="CV43021" s="376"/>
    </row>
    <row r="43022" spans="1:100">
      <c r="A43022" s="374"/>
      <c r="C43022" s="374"/>
      <c r="CV43022" s="376"/>
    </row>
    <row r="43023" spans="1:100">
      <c r="A43023" s="374"/>
      <c r="C43023" s="374"/>
      <c r="CV43023" s="376"/>
    </row>
    <row r="43024" spans="1:100">
      <c r="A43024" s="374"/>
      <c r="C43024" s="374"/>
      <c r="CV43024" s="376"/>
    </row>
    <row r="43025" spans="1:100">
      <c r="A43025" s="374"/>
      <c r="C43025" s="374"/>
      <c r="CV43025" s="376"/>
    </row>
    <row r="43026" spans="1:100">
      <c r="A43026" s="374"/>
      <c r="C43026" s="374"/>
      <c r="CV43026" s="376"/>
    </row>
    <row r="43027" spans="1:100">
      <c r="A43027" s="374"/>
      <c r="C43027" s="374"/>
      <c r="CV43027" s="376"/>
    </row>
    <row r="43028" spans="1:100">
      <c r="A43028" s="374"/>
      <c r="C43028" s="374"/>
      <c r="CV43028" s="376"/>
    </row>
    <row r="43029" spans="1:100">
      <c r="A43029" s="374"/>
      <c r="C43029" s="374"/>
      <c r="CV43029" s="376"/>
    </row>
    <row r="43030" spans="1:100">
      <c r="A43030" s="374"/>
      <c r="C43030" s="374"/>
      <c r="CV43030" s="376"/>
    </row>
    <row r="43031" spans="1:100">
      <c r="A43031" s="374"/>
      <c r="C43031" s="374"/>
      <c r="CV43031" s="376"/>
    </row>
    <row r="43032" spans="1:100">
      <c r="A43032" s="374"/>
      <c r="C43032" s="374"/>
      <c r="CV43032" s="376"/>
    </row>
    <row r="43033" spans="1:100">
      <c r="A43033" s="374"/>
      <c r="C43033" s="374"/>
      <c r="CV43033" s="376"/>
    </row>
    <row r="43034" spans="1:100">
      <c r="A43034" s="374"/>
      <c r="C43034" s="374"/>
      <c r="CV43034" s="376"/>
    </row>
    <row r="43035" spans="1:100">
      <c r="A43035" s="374"/>
      <c r="C43035" s="374"/>
      <c r="CV43035" s="376"/>
    </row>
    <row r="43036" spans="1:100">
      <c r="A43036" s="374"/>
      <c r="C43036" s="374"/>
      <c r="CV43036" s="376"/>
    </row>
    <row r="43037" spans="1:100">
      <c r="A43037" s="374"/>
      <c r="C43037" s="374"/>
      <c r="CV43037" s="376"/>
    </row>
    <row r="43038" spans="1:100">
      <c r="A43038" s="374"/>
      <c r="C43038" s="374"/>
      <c r="CV43038" s="376"/>
    </row>
    <row r="43039" spans="1:100">
      <c r="A43039" s="374"/>
      <c r="C43039" s="374"/>
      <c r="CV43039" s="376"/>
    </row>
    <row r="43040" spans="1:100">
      <c r="A43040" s="374"/>
      <c r="C43040" s="374"/>
      <c r="CV43040" s="376"/>
    </row>
    <row r="43041" spans="1:100">
      <c r="A43041" s="374"/>
      <c r="C43041" s="374"/>
      <c r="CV43041" s="376"/>
    </row>
    <row r="43042" spans="1:100">
      <c r="A43042" s="374"/>
      <c r="C43042" s="374"/>
      <c r="CV43042" s="376"/>
    </row>
    <row r="43043" spans="1:100">
      <c r="A43043" s="374"/>
      <c r="C43043" s="374"/>
      <c r="CV43043" s="376"/>
    </row>
    <row r="43044" spans="1:100">
      <c r="A43044" s="374"/>
      <c r="C43044" s="374"/>
      <c r="CV43044" s="376"/>
    </row>
    <row r="43045" spans="1:100">
      <c r="A43045" s="374"/>
      <c r="C43045" s="374"/>
      <c r="CV43045" s="376"/>
    </row>
    <row r="43046" spans="1:100">
      <c r="A43046" s="374"/>
      <c r="C43046" s="374"/>
      <c r="CV43046" s="376"/>
    </row>
    <row r="43047" spans="1:100">
      <c r="A43047" s="374"/>
      <c r="C43047" s="374"/>
      <c r="CV43047" s="376"/>
    </row>
    <row r="43048" spans="1:100">
      <c r="A43048" s="374"/>
      <c r="C43048" s="374"/>
      <c r="CV43048" s="376"/>
    </row>
    <row r="43049" spans="1:100">
      <c r="A43049" s="374"/>
      <c r="C43049" s="374"/>
      <c r="CV43049" s="376"/>
    </row>
    <row r="43050" spans="1:100">
      <c r="A43050" s="374"/>
      <c r="C43050" s="374"/>
      <c r="CV43050" s="376"/>
    </row>
    <row r="43051" spans="1:100">
      <c r="A43051" s="374"/>
      <c r="C43051" s="374"/>
      <c r="CV43051" s="376"/>
    </row>
    <row r="43052" spans="1:100">
      <c r="A43052" s="374"/>
      <c r="C43052" s="374"/>
      <c r="CV43052" s="376"/>
    </row>
    <row r="43053" spans="1:100">
      <c r="A43053" s="374"/>
      <c r="C43053" s="374"/>
      <c r="CV43053" s="376"/>
    </row>
    <row r="43054" spans="1:100">
      <c r="A43054" s="374"/>
      <c r="C43054" s="374"/>
      <c r="CV43054" s="376"/>
    </row>
    <row r="43055" spans="1:100">
      <c r="A43055" s="374"/>
      <c r="C43055" s="374"/>
      <c r="CV43055" s="376"/>
    </row>
    <row r="43056" spans="1:100">
      <c r="A43056" s="374"/>
      <c r="C43056" s="374"/>
      <c r="CV43056" s="376"/>
    </row>
    <row r="43057" spans="1:100">
      <c r="A43057" s="374"/>
      <c r="C43057" s="374"/>
      <c r="CV43057" s="376"/>
    </row>
    <row r="43058" spans="1:100">
      <c r="A43058" s="374"/>
      <c r="C43058" s="374"/>
      <c r="CV43058" s="376"/>
    </row>
    <row r="43059" spans="1:100">
      <c r="A43059" s="374"/>
      <c r="C43059" s="374"/>
      <c r="CV43059" s="376"/>
    </row>
    <row r="43060" spans="1:100">
      <c r="A43060" s="374"/>
      <c r="C43060" s="374"/>
      <c r="CV43060" s="376"/>
    </row>
    <row r="43061" spans="1:100">
      <c r="A43061" s="374"/>
      <c r="C43061" s="374"/>
      <c r="CV43061" s="376"/>
    </row>
    <row r="43062" spans="1:100">
      <c r="A43062" s="374"/>
      <c r="C43062" s="374"/>
      <c r="CV43062" s="376"/>
    </row>
    <row r="43063" spans="1:100">
      <c r="A43063" s="374"/>
      <c r="C43063" s="374"/>
      <c r="CV43063" s="376"/>
    </row>
    <row r="43064" spans="1:100">
      <c r="A43064" s="374"/>
      <c r="C43064" s="374"/>
      <c r="CV43064" s="376"/>
    </row>
    <row r="43065" spans="1:100">
      <c r="A43065" s="374"/>
      <c r="C43065" s="374"/>
      <c r="CV43065" s="376"/>
    </row>
    <row r="43066" spans="1:100">
      <c r="A43066" s="374"/>
      <c r="C43066" s="374"/>
      <c r="CV43066" s="376"/>
    </row>
    <row r="43067" spans="1:100">
      <c r="A43067" s="374"/>
      <c r="C43067" s="374"/>
      <c r="CV43067" s="376"/>
    </row>
    <row r="43068" spans="1:100">
      <c r="A43068" s="374"/>
      <c r="C43068" s="374"/>
      <c r="CV43068" s="376"/>
    </row>
    <row r="43069" spans="1:100">
      <c r="A43069" s="374"/>
      <c r="C43069" s="374"/>
      <c r="CV43069" s="376"/>
    </row>
    <row r="43070" spans="1:100">
      <c r="A43070" s="374"/>
      <c r="C43070" s="374"/>
      <c r="CV43070" s="376"/>
    </row>
    <row r="43071" spans="1:100">
      <c r="A43071" s="374"/>
      <c r="C43071" s="374"/>
      <c r="CV43071" s="376"/>
    </row>
    <row r="43072" spans="1:100">
      <c r="A43072" s="374"/>
      <c r="C43072" s="374"/>
      <c r="CV43072" s="376"/>
    </row>
    <row r="43073" spans="1:100">
      <c r="A43073" s="374"/>
      <c r="C43073" s="374"/>
      <c r="CV43073" s="376"/>
    </row>
    <row r="43074" spans="1:100">
      <c r="A43074" s="374"/>
      <c r="C43074" s="374"/>
      <c r="CV43074" s="376"/>
    </row>
    <row r="43075" spans="1:100">
      <c r="A43075" s="374"/>
      <c r="C43075" s="374"/>
      <c r="CV43075" s="376"/>
    </row>
    <row r="43076" spans="1:100">
      <c r="A43076" s="374"/>
      <c r="C43076" s="374"/>
      <c r="CV43076" s="376"/>
    </row>
    <row r="43077" spans="1:100">
      <c r="A43077" s="374"/>
      <c r="C43077" s="374"/>
      <c r="CV43077" s="376"/>
    </row>
    <row r="43078" spans="1:100">
      <c r="A43078" s="374"/>
      <c r="C43078" s="374"/>
      <c r="CV43078" s="376"/>
    </row>
    <row r="43079" spans="1:100">
      <c r="A43079" s="374"/>
      <c r="C43079" s="374"/>
      <c r="CV43079" s="376"/>
    </row>
    <row r="43080" spans="1:100">
      <c r="A43080" s="374"/>
      <c r="C43080" s="374"/>
      <c r="CV43080" s="376"/>
    </row>
    <row r="43081" spans="1:100">
      <c r="A43081" s="374"/>
      <c r="C43081" s="374"/>
      <c r="CV43081" s="376"/>
    </row>
    <row r="43082" spans="1:100">
      <c r="A43082" s="374"/>
      <c r="C43082" s="374"/>
      <c r="CV43082" s="376"/>
    </row>
    <row r="43083" spans="1:100">
      <c r="A43083" s="374"/>
      <c r="C43083" s="374"/>
      <c r="CV43083" s="376"/>
    </row>
    <row r="43084" spans="1:100">
      <c r="A43084" s="374"/>
      <c r="C43084" s="374"/>
      <c r="CV43084" s="376"/>
    </row>
    <row r="43085" spans="1:100">
      <c r="A43085" s="374"/>
      <c r="C43085" s="374"/>
      <c r="CV43085" s="376"/>
    </row>
    <row r="43086" spans="1:100">
      <c r="A43086" s="374"/>
      <c r="C43086" s="374"/>
      <c r="CV43086" s="376"/>
    </row>
    <row r="43087" spans="1:100">
      <c r="A43087" s="374"/>
      <c r="C43087" s="374"/>
      <c r="CV43087" s="376"/>
    </row>
    <row r="43088" spans="1:100">
      <c r="A43088" s="374"/>
      <c r="C43088" s="374"/>
      <c r="CV43088" s="376"/>
    </row>
    <row r="43089" spans="1:100">
      <c r="A43089" s="374"/>
      <c r="C43089" s="374"/>
      <c r="CV43089" s="376"/>
    </row>
    <row r="43090" spans="1:100">
      <c r="A43090" s="374"/>
      <c r="C43090" s="374"/>
      <c r="CV43090" s="376"/>
    </row>
    <row r="43091" spans="1:100">
      <c r="A43091" s="374"/>
      <c r="C43091" s="374"/>
      <c r="CV43091" s="376"/>
    </row>
    <row r="43092" spans="1:100">
      <c r="A43092" s="374"/>
      <c r="C43092" s="374"/>
      <c r="CV43092" s="376"/>
    </row>
    <row r="43093" spans="1:100">
      <c r="A43093" s="374"/>
      <c r="C43093" s="374"/>
      <c r="CV43093" s="376"/>
    </row>
    <row r="43094" spans="1:100">
      <c r="A43094" s="374"/>
      <c r="C43094" s="374"/>
      <c r="CV43094" s="376"/>
    </row>
    <row r="43095" spans="1:100">
      <c r="A43095" s="374"/>
      <c r="C43095" s="374"/>
      <c r="CV43095" s="376"/>
    </row>
    <row r="43096" spans="1:100">
      <c r="A43096" s="374"/>
      <c r="C43096" s="374"/>
      <c r="CV43096" s="376"/>
    </row>
    <row r="43097" spans="1:100">
      <c r="A43097" s="374"/>
      <c r="C43097" s="374"/>
      <c r="CV43097" s="376"/>
    </row>
    <row r="43098" spans="1:100">
      <c r="A43098" s="374"/>
      <c r="C43098" s="374"/>
      <c r="CV43098" s="376"/>
    </row>
    <row r="43099" spans="1:100">
      <c r="A43099" s="374"/>
      <c r="C43099" s="374"/>
      <c r="CV43099" s="376"/>
    </row>
    <row r="43100" spans="1:100">
      <c r="A43100" s="374"/>
      <c r="C43100" s="374"/>
      <c r="CV43100" s="376"/>
    </row>
    <row r="43101" spans="1:100">
      <c r="A43101" s="374"/>
      <c r="C43101" s="374"/>
      <c r="CV43101" s="376"/>
    </row>
    <row r="43102" spans="1:100">
      <c r="A43102" s="374"/>
      <c r="C43102" s="374"/>
      <c r="CV43102" s="376"/>
    </row>
    <row r="43103" spans="1:100">
      <c r="A43103" s="374"/>
      <c r="C43103" s="374"/>
      <c r="CV43103" s="376"/>
    </row>
    <row r="43104" spans="1:100">
      <c r="A43104" s="374"/>
      <c r="C43104" s="374"/>
      <c r="CV43104" s="376"/>
    </row>
    <row r="43105" spans="1:100">
      <c r="A43105" s="374"/>
      <c r="C43105" s="374"/>
      <c r="CV43105" s="376"/>
    </row>
    <row r="43106" spans="1:100">
      <c r="A43106" s="374"/>
      <c r="C43106" s="374"/>
      <c r="CV43106" s="376"/>
    </row>
    <row r="43107" spans="1:100">
      <c r="A43107" s="374"/>
      <c r="C43107" s="374"/>
      <c r="CV43107" s="376"/>
    </row>
    <row r="43108" spans="1:100">
      <c r="A43108" s="374"/>
      <c r="C43108" s="374"/>
      <c r="CV43108" s="376"/>
    </row>
    <row r="43109" spans="1:100">
      <c r="A43109" s="374"/>
      <c r="C43109" s="374"/>
      <c r="CV43109" s="376"/>
    </row>
    <row r="43110" spans="1:100">
      <c r="A43110" s="374"/>
      <c r="C43110" s="374"/>
      <c r="CV43110" s="376"/>
    </row>
    <row r="43111" spans="1:100">
      <c r="A43111" s="374"/>
      <c r="C43111" s="374"/>
      <c r="CV43111" s="376"/>
    </row>
    <row r="43112" spans="1:100">
      <c r="A43112" s="374"/>
      <c r="C43112" s="374"/>
      <c r="CV43112" s="376"/>
    </row>
    <row r="43113" spans="1:100">
      <c r="A43113" s="374"/>
      <c r="C43113" s="374"/>
      <c r="CV43113" s="376"/>
    </row>
    <row r="43114" spans="1:100">
      <c r="A43114" s="374"/>
      <c r="C43114" s="374"/>
      <c r="CV43114" s="376"/>
    </row>
    <row r="43115" spans="1:100">
      <c r="A43115" s="374"/>
      <c r="C43115" s="374"/>
      <c r="CV43115" s="376"/>
    </row>
    <row r="43116" spans="1:100">
      <c r="A43116" s="374"/>
      <c r="C43116" s="374"/>
      <c r="CV43116" s="376"/>
    </row>
    <row r="43117" spans="1:100">
      <c r="A43117" s="374"/>
      <c r="C43117" s="374"/>
      <c r="CV43117" s="376"/>
    </row>
    <row r="43118" spans="1:100">
      <c r="A43118" s="374"/>
      <c r="C43118" s="374"/>
      <c r="CV43118" s="376"/>
    </row>
    <row r="43119" spans="1:100">
      <c r="A43119" s="374"/>
      <c r="C43119" s="374"/>
      <c r="CV43119" s="376"/>
    </row>
    <row r="43120" spans="1:100">
      <c r="A43120" s="374"/>
      <c r="C43120" s="374"/>
      <c r="CV43120" s="376"/>
    </row>
    <row r="43121" spans="1:100">
      <c r="A43121" s="374"/>
      <c r="C43121" s="374"/>
      <c r="CV43121" s="376"/>
    </row>
    <row r="43122" spans="1:100">
      <c r="A43122" s="374"/>
      <c r="C43122" s="374"/>
      <c r="CV43122" s="376"/>
    </row>
    <row r="43123" spans="1:100">
      <c r="A43123" s="374"/>
      <c r="C43123" s="374"/>
      <c r="CV43123" s="376"/>
    </row>
    <row r="43124" spans="1:100">
      <c r="A43124" s="374"/>
      <c r="C43124" s="374"/>
      <c r="CV43124" s="376"/>
    </row>
    <row r="43125" spans="1:100">
      <c r="A43125" s="374"/>
      <c r="C43125" s="374"/>
      <c r="CV43125" s="376"/>
    </row>
    <row r="43126" spans="1:100">
      <c r="A43126" s="374"/>
      <c r="C43126" s="374"/>
      <c r="CV43126" s="376"/>
    </row>
    <row r="43127" spans="1:100">
      <c r="A43127" s="374"/>
      <c r="C43127" s="374"/>
      <c r="CV43127" s="376"/>
    </row>
    <row r="43128" spans="1:100">
      <c r="A43128" s="374"/>
      <c r="C43128" s="374"/>
      <c r="CV43128" s="376"/>
    </row>
    <row r="43129" spans="1:100">
      <c r="A43129" s="374"/>
      <c r="C43129" s="374"/>
      <c r="CV43129" s="376"/>
    </row>
    <row r="43130" spans="1:100">
      <c r="A43130" s="374"/>
      <c r="C43130" s="374"/>
      <c r="CV43130" s="376"/>
    </row>
    <row r="43131" spans="1:100">
      <c r="A43131" s="374"/>
      <c r="C43131" s="374"/>
      <c r="CV43131" s="376"/>
    </row>
    <row r="43132" spans="1:100">
      <c r="A43132" s="374"/>
      <c r="C43132" s="374"/>
      <c r="CV43132" s="376"/>
    </row>
    <row r="43133" spans="1:100">
      <c r="A43133" s="374"/>
      <c r="C43133" s="374"/>
      <c r="CV43133" s="376"/>
    </row>
    <row r="43134" spans="1:100">
      <c r="A43134" s="374"/>
      <c r="C43134" s="374"/>
      <c r="CV43134" s="376"/>
    </row>
    <row r="43135" spans="1:100">
      <c r="A43135" s="374"/>
      <c r="C43135" s="374"/>
      <c r="CV43135" s="376"/>
    </row>
    <row r="43136" spans="1:100">
      <c r="A43136" s="374"/>
      <c r="C43136" s="374"/>
      <c r="CV43136" s="376"/>
    </row>
    <row r="43137" spans="1:100">
      <c r="A43137" s="374"/>
      <c r="C43137" s="374"/>
      <c r="CV43137" s="376"/>
    </row>
    <row r="43138" spans="1:100">
      <c r="A43138" s="374"/>
      <c r="C43138" s="374"/>
      <c r="CV43138" s="376"/>
    </row>
    <row r="43139" spans="1:100">
      <c r="A43139" s="374"/>
      <c r="C43139" s="374"/>
      <c r="CV43139" s="376"/>
    </row>
    <row r="43140" spans="1:100">
      <c r="A43140" s="374"/>
      <c r="C43140" s="374"/>
      <c r="CV43140" s="376"/>
    </row>
    <row r="43141" spans="1:100">
      <c r="A43141" s="374"/>
      <c r="C43141" s="374"/>
      <c r="CV43141" s="376"/>
    </row>
    <row r="43142" spans="1:100">
      <c r="A43142" s="374"/>
      <c r="C43142" s="374"/>
      <c r="CV43142" s="376"/>
    </row>
    <row r="43143" spans="1:100">
      <c r="A43143" s="374"/>
      <c r="C43143" s="374"/>
      <c r="CV43143" s="376"/>
    </row>
    <row r="43144" spans="1:100">
      <c r="A43144" s="374"/>
      <c r="C43144" s="374"/>
      <c r="CV43144" s="376"/>
    </row>
    <row r="43145" spans="1:100">
      <c r="A43145" s="374"/>
      <c r="C43145" s="374"/>
      <c r="CV43145" s="376"/>
    </row>
    <row r="43146" spans="1:100">
      <c r="A43146" s="374"/>
      <c r="C43146" s="374"/>
      <c r="CV43146" s="376"/>
    </row>
    <row r="43147" spans="1:100">
      <c r="A43147" s="374"/>
      <c r="C43147" s="374"/>
      <c r="CV43147" s="376"/>
    </row>
    <row r="43148" spans="1:100">
      <c r="A43148" s="374"/>
      <c r="C43148" s="374"/>
      <c r="CV43148" s="376"/>
    </row>
    <row r="43149" spans="1:100">
      <c r="A43149" s="374"/>
      <c r="C43149" s="374"/>
      <c r="CV43149" s="376"/>
    </row>
    <row r="43150" spans="1:100">
      <c r="A43150" s="374"/>
      <c r="C43150" s="374"/>
      <c r="CV43150" s="376"/>
    </row>
    <row r="43151" spans="1:100">
      <c r="A43151" s="374"/>
      <c r="C43151" s="374"/>
      <c r="CV43151" s="376"/>
    </row>
    <row r="43152" spans="1:100">
      <c r="A43152" s="374"/>
      <c r="C43152" s="374"/>
      <c r="CV43152" s="376"/>
    </row>
    <row r="43153" spans="1:100">
      <c r="A43153" s="374"/>
      <c r="C43153" s="374"/>
      <c r="CV43153" s="376"/>
    </row>
    <row r="43154" spans="1:100">
      <c r="A43154" s="374"/>
      <c r="C43154" s="374"/>
      <c r="CV43154" s="376"/>
    </row>
    <row r="43155" spans="1:100">
      <c r="A43155" s="374"/>
      <c r="C43155" s="374"/>
      <c r="CV43155" s="376"/>
    </row>
    <row r="43156" spans="1:100">
      <c r="A43156" s="374"/>
      <c r="C43156" s="374"/>
      <c r="CV43156" s="376"/>
    </row>
    <row r="43157" spans="1:100">
      <c r="A43157" s="374"/>
      <c r="C43157" s="374"/>
      <c r="CV43157" s="376"/>
    </row>
    <row r="43158" spans="1:100">
      <c r="A43158" s="374"/>
      <c r="C43158" s="374"/>
      <c r="CV43158" s="376"/>
    </row>
    <row r="43159" spans="1:100">
      <c r="A43159" s="374"/>
      <c r="C43159" s="374"/>
      <c r="CV43159" s="376"/>
    </row>
    <row r="43160" spans="1:100">
      <c r="A43160" s="374"/>
      <c r="C43160" s="374"/>
      <c r="CV43160" s="376"/>
    </row>
    <row r="43161" spans="1:100">
      <c r="A43161" s="374"/>
      <c r="C43161" s="374"/>
      <c r="CV43161" s="376"/>
    </row>
    <row r="43162" spans="1:100">
      <c r="A43162" s="374"/>
      <c r="C43162" s="374"/>
      <c r="CV43162" s="376"/>
    </row>
    <row r="43163" spans="1:100">
      <c r="A43163" s="374"/>
      <c r="C43163" s="374"/>
      <c r="CV43163" s="376"/>
    </row>
    <row r="43164" spans="1:100">
      <c r="A43164" s="374"/>
      <c r="C43164" s="374"/>
      <c r="CV43164" s="376"/>
    </row>
    <row r="43165" spans="1:100">
      <c r="A43165" s="374"/>
      <c r="C43165" s="374"/>
      <c r="CV43165" s="376"/>
    </row>
    <row r="43166" spans="1:100">
      <c r="A43166" s="374"/>
      <c r="C43166" s="374"/>
      <c r="CV43166" s="376"/>
    </row>
    <row r="43167" spans="1:100">
      <c r="A43167" s="374"/>
      <c r="C43167" s="374"/>
      <c r="CV43167" s="376"/>
    </row>
    <row r="43168" spans="1:100">
      <c r="A43168" s="374"/>
      <c r="C43168" s="374"/>
      <c r="CV43168" s="376"/>
    </row>
    <row r="43169" spans="1:100">
      <c r="A43169" s="374"/>
      <c r="C43169" s="374"/>
      <c r="CV43169" s="376"/>
    </row>
    <row r="43170" spans="1:100">
      <c r="A43170" s="374"/>
      <c r="C43170" s="374"/>
      <c r="CV43170" s="376"/>
    </row>
    <row r="43171" spans="1:100">
      <c r="A43171" s="374"/>
      <c r="C43171" s="374"/>
      <c r="CV43171" s="376"/>
    </row>
    <row r="43172" spans="1:100">
      <c r="A43172" s="374"/>
      <c r="C43172" s="374"/>
      <c r="CV43172" s="376"/>
    </row>
    <row r="43173" spans="1:100">
      <c r="A43173" s="374"/>
      <c r="C43173" s="374"/>
      <c r="CV43173" s="376"/>
    </row>
    <row r="43174" spans="1:100">
      <c r="A43174" s="374"/>
      <c r="C43174" s="374"/>
      <c r="CV43174" s="376"/>
    </row>
    <row r="43175" spans="1:100">
      <c r="A43175" s="374"/>
      <c r="C43175" s="374"/>
      <c r="CV43175" s="376"/>
    </row>
    <row r="43176" spans="1:100">
      <c r="A43176" s="374"/>
      <c r="C43176" s="374"/>
      <c r="CV43176" s="376"/>
    </row>
    <row r="43177" spans="1:100">
      <c r="A43177" s="374"/>
      <c r="C43177" s="374"/>
      <c r="CV43177" s="376"/>
    </row>
    <row r="43178" spans="1:100">
      <c r="A43178" s="374"/>
      <c r="C43178" s="374"/>
      <c r="CV43178" s="376"/>
    </row>
    <row r="43179" spans="1:100">
      <c r="A43179" s="374"/>
      <c r="C43179" s="374"/>
      <c r="CV43179" s="376"/>
    </row>
    <row r="43180" spans="1:100">
      <c r="A43180" s="374"/>
      <c r="C43180" s="374"/>
      <c r="CV43180" s="376"/>
    </row>
    <row r="43181" spans="1:100">
      <c r="A43181" s="374"/>
      <c r="C43181" s="374"/>
      <c r="CV43181" s="376"/>
    </row>
    <row r="43182" spans="1:100">
      <c r="A43182" s="374"/>
      <c r="C43182" s="374"/>
      <c r="CV43182" s="376"/>
    </row>
    <row r="43183" spans="1:100">
      <c r="A43183" s="374"/>
      <c r="C43183" s="374"/>
      <c r="CV43183" s="376"/>
    </row>
    <row r="43184" spans="1:100">
      <c r="A43184" s="374"/>
      <c r="C43184" s="374"/>
      <c r="CV43184" s="376"/>
    </row>
    <row r="43185" spans="1:100">
      <c r="A43185" s="374"/>
      <c r="C43185" s="374"/>
      <c r="CV43185" s="376"/>
    </row>
    <row r="43186" spans="1:100">
      <c r="A43186" s="374"/>
      <c r="C43186" s="374"/>
      <c r="CV43186" s="376"/>
    </row>
    <row r="43187" spans="1:100">
      <c r="A43187" s="374"/>
      <c r="C43187" s="374"/>
      <c r="CV43187" s="376"/>
    </row>
    <row r="43188" spans="1:100">
      <c r="A43188" s="374"/>
      <c r="C43188" s="374"/>
      <c r="CV43188" s="376"/>
    </row>
    <row r="43189" spans="1:100">
      <c r="A43189" s="374"/>
      <c r="C43189" s="374"/>
      <c r="CV43189" s="376"/>
    </row>
    <row r="43190" spans="1:100">
      <c r="A43190" s="374"/>
      <c r="C43190" s="374"/>
      <c r="CV43190" s="376"/>
    </row>
    <row r="43191" spans="1:100">
      <c r="A43191" s="374"/>
      <c r="C43191" s="374"/>
      <c r="CV43191" s="376"/>
    </row>
    <row r="43192" spans="1:100">
      <c r="A43192" s="374"/>
      <c r="C43192" s="374"/>
      <c r="CV43192" s="376"/>
    </row>
    <row r="43193" spans="1:100">
      <c r="A43193" s="374"/>
      <c r="C43193" s="374"/>
      <c r="CV43193" s="376"/>
    </row>
    <row r="43194" spans="1:100">
      <c r="A43194" s="374"/>
      <c r="C43194" s="374"/>
      <c r="CV43194" s="376"/>
    </row>
    <row r="43195" spans="1:100">
      <c r="A43195" s="374"/>
      <c r="C43195" s="374"/>
      <c r="CV43195" s="376"/>
    </row>
    <row r="43196" spans="1:100">
      <c r="A43196" s="374"/>
      <c r="C43196" s="374"/>
      <c r="CV43196" s="376"/>
    </row>
    <row r="43197" spans="1:100">
      <c r="A43197" s="374"/>
      <c r="C43197" s="374"/>
      <c r="CV43197" s="376"/>
    </row>
    <row r="43198" spans="1:100">
      <c r="A43198" s="374"/>
      <c r="C43198" s="374"/>
      <c r="CV43198" s="376"/>
    </row>
    <row r="43199" spans="1:100">
      <c r="A43199" s="374"/>
      <c r="C43199" s="374"/>
      <c r="CV43199" s="376"/>
    </row>
    <row r="43200" spans="1:100">
      <c r="A43200" s="374"/>
      <c r="C43200" s="374"/>
      <c r="CV43200" s="376"/>
    </row>
    <row r="43201" spans="1:100">
      <c r="A43201" s="374"/>
      <c r="C43201" s="374"/>
      <c r="CV43201" s="376"/>
    </row>
    <row r="43202" spans="1:100">
      <c r="A43202" s="374"/>
      <c r="C43202" s="374"/>
      <c r="CV43202" s="376"/>
    </row>
    <row r="43203" spans="1:100">
      <c r="A43203" s="374"/>
      <c r="C43203" s="374"/>
      <c r="CV43203" s="376"/>
    </row>
    <row r="43204" spans="1:100">
      <c r="A43204" s="374"/>
      <c r="C43204" s="374"/>
      <c r="CV43204" s="376"/>
    </row>
    <row r="43205" spans="1:100">
      <c r="A43205" s="374"/>
      <c r="C43205" s="374"/>
      <c r="CV43205" s="376"/>
    </row>
    <row r="43206" spans="1:100">
      <c r="A43206" s="374"/>
      <c r="C43206" s="374"/>
      <c r="CV43206" s="376"/>
    </row>
    <row r="43207" spans="1:100">
      <c r="A43207" s="374"/>
      <c r="C43207" s="374"/>
      <c r="CV43207" s="376"/>
    </row>
    <row r="43208" spans="1:100">
      <c r="A43208" s="374"/>
      <c r="C43208" s="374"/>
      <c r="CV43208" s="376"/>
    </row>
    <row r="43209" spans="1:100">
      <c r="A43209" s="374"/>
      <c r="C43209" s="374"/>
      <c r="CV43209" s="376"/>
    </row>
    <row r="43210" spans="1:100">
      <c r="A43210" s="374"/>
      <c r="C43210" s="374"/>
      <c r="CV43210" s="376"/>
    </row>
    <row r="43211" spans="1:100">
      <c r="A43211" s="374"/>
      <c r="C43211" s="374"/>
      <c r="CV43211" s="376"/>
    </row>
    <row r="43212" spans="1:100">
      <c r="A43212" s="374"/>
      <c r="C43212" s="374"/>
      <c r="CV43212" s="376"/>
    </row>
    <row r="43213" spans="1:100">
      <c r="A43213" s="374"/>
      <c r="C43213" s="374"/>
      <c r="CV43213" s="376"/>
    </row>
    <row r="43214" spans="1:100">
      <c r="A43214" s="374"/>
      <c r="C43214" s="374"/>
      <c r="CV43214" s="376"/>
    </row>
    <row r="43215" spans="1:100">
      <c r="A43215" s="374"/>
      <c r="C43215" s="374"/>
      <c r="CV43215" s="376"/>
    </row>
    <row r="43216" spans="1:100">
      <c r="A43216" s="374"/>
      <c r="C43216" s="374"/>
      <c r="CV43216" s="376"/>
    </row>
    <row r="43217" spans="1:100">
      <c r="A43217" s="374"/>
      <c r="C43217" s="374"/>
      <c r="CV43217" s="376"/>
    </row>
    <row r="43218" spans="1:100">
      <c r="A43218" s="374"/>
      <c r="C43218" s="374"/>
      <c r="CV43218" s="376"/>
    </row>
    <row r="43219" spans="1:100">
      <c r="A43219" s="374"/>
      <c r="C43219" s="374"/>
      <c r="CV43219" s="376"/>
    </row>
    <row r="43220" spans="1:100">
      <c r="A43220" s="374"/>
      <c r="C43220" s="374"/>
      <c r="CV43220" s="376"/>
    </row>
    <row r="43221" spans="1:100">
      <c r="A43221" s="374"/>
      <c r="C43221" s="374"/>
      <c r="CV43221" s="376"/>
    </row>
    <row r="43222" spans="1:100">
      <c r="A43222" s="374"/>
      <c r="C43222" s="374"/>
      <c r="CV43222" s="376"/>
    </row>
    <row r="43223" spans="1:100">
      <c r="A43223" s="374"/>
      <c r="C43223" s="374"/>
      <c r="CV43223" s="376"/>
    </row>
    <row r="43224" spans="1:100">
      <c r="A43224" s="374"/>
      <c r="C43224" s="374"/>
      <c r="CV43224" s="376"/>
    </row>
    <row r="43225" spans="1:100">
      <c r="A43225" s="374"/>
      <c r="C43225" s="374"/>
      <c r="CV43225" s="376"/>
    </row>
    <row r="43226" spans="1:100">
      <c r="A43226" s="374"/>
      <c r="C43226" s="374"/>
      <c r="CV43226" s="376"/>
    </row>
    <row r="43227" spans="1:100">
      <c r="A43227" s="374"/>
      <c r="C43227" s="374"/>
      <c r="CV43227" s="376"/>
    </row>
    <row r="43228" spans="1:100">
      <c r="A43228" s="374"/>
      <c r="C43228" s="374"/>
      <c r="CV43228" s="376"/>
    </row>
    <row r="43229" spans="1:100">
      <c r="A43229" s="374"/>
      <c r="C43229" s="374"/>
      <c r="CV43229" s="376"/>
    </row>
    <row r="43230" spans="1:100">
      <c r="A43230" s="374"/>
      <c r="C43230" s="374"/>
      <c r="CV43230" s="376"/>
    </row>
    <row r="43231" spans="1:100">
      <c r="A43231" s="374"/>
      <c r="C43231" s="374"/>
      <c r="CV43231" s="376"/>
    </row>
    <row r="43232" spans="1:100">
      <c r="A43232" s="374"/>
      <c r="C43232" s="374"/>
      <c r="CV43232" s="376"/>
    </row>
    <row r="43233" spans="1:100">
      <c r="A43233" s="374"/>
      <c r="C43233" s="374"/>
      <c r="CV43233" s="376"/>
    </row>
    <row r="43234" spans="1:100">
      <c r="A43234" s="374"/>
      <c r="C43234" s="374"/>
      <c r="CV43234" s="376"/>
    </row>
    <row r="43235" spans="1:100">
      <c r="A43235" s="374"/>
      <c r="C43235" s="374"/>
      <c r="CV43235" s="376"/>
    </row>
    <row r="43236" spans="1:100">
      <c r="A43236" s="374"/>
      <c r="C43236" s="374"/>
      <c r="CV43236" s="376"/>
    </row>
    <row r="43237" spans="1:100">
      <c r="A43237" s="374"/>
      <c r="C43237" s="374"/>
      <c r="CV43237" s="376"/>
    </row>
    <row r="43238" spans="1:100">
      <c r="A43238" s="374"/>
      <c r="C43238" s="374"/>
      <c r="CV43238" s="376"/>
    </row>
    <row r="43239" spans="1:100">
      <c r="A43239" s="374"/>
      <c r="C43239" s="374"/>
      <c r="CV43239" s="376"/>
    </row>
    <row r="43240" spans="1:100">
      <c r="A43240" s="374"/>
      <c r="C43240" s="374"/>
      <c r="CV43240" s="376"/>
    </row>
    <row r="43241" spans="1:100">
      <c r="A43241" s="374"/>
      <c r="C43241" s="374"/>
      <c r="CV43241" s="376"/>
    </row>
    <row r="43242" spans="1:100">
      <c r="A43242" s="374"/>
      <c r="C43242" s="374"/>
      <c r="CV43242" s="376"/>
    </row>
    <row r="43243" spans="1:100">
      <c r="A43243" s="374"/>
      <c r="C43243" s="374"/>
      <c r="CV43243" s="376"/>
    </row>
    <row r="43244" spans="1:100">
      <c r="A43244" s="374"/>
      <c r="C43244" s="374"/>
      <c r="CV43244" s="376"/>
    </row>
    <row r="43245" spans="1:100">
      <c r="A43245" s="374"/>
      <c r="C43245" s="374"/>
      <c r="CV43245" s="376"/>
    </row>
    <row r="43246" spans="1:100">
      <c r="A43246" s="374"/>
      <c r="C43246" s="374"/>
      <c r="CV43246" s="376"/>
    </row>
    <row r="43247" spans="1:100">
      <c r="A43247" s="374"/>
      <c r="C43247" s="374"/>
      <c r="CV43247" s="376"/>
    </row>
    <row r="43248" spans="1:100">
      <c r="A43248" s="374"/>
      <c r="C43248" s="374"/>
      <c r="CV43248" s="376"/>
    </row>
    <row r="43249" spans="1:100">
      <c r="A43249" s="374"/>
      <c r="C43249" s="374"/>
      <c r="CV43249" s="376"/>
    </row>
    <row r="43250" spans="1:100">
      <c r="A43250" s="374"/>
      <c r="C43250" s="374"/>
      <c r="CV43250" s="376"/>
    </row>
    <row r="43251" spans="1:100">
      <c r="A43251" s="374"/>
      <c r="C43251" s="374"/>
      <c r="CV43251" s="376"/>
    </row>
    <row r="43252" spans="1:100">
      <c r="A43252" s="374"/>
      <c r="C43252" s="374"/>
      <c r="CV43252" s="376"/>
    </row>
    <row r="43253" spans="1:100">
      <c r="A43253" s="374"/>
      <c r="C43253" s="374"/>
      <c r="CV43253" s="376"/>
    </row>
    <row r="43254" spans="1:100">
      <c r="A43254" s="374"/>
      <c r="C43254" s="374"/>
      <c r="CV43254" s="376"/>
    </row>
    <row r="43255" spans="1:100">
      <c r="A43255" s="374"/>
      <c r="C43255" s="374"/>
      <c r="CV43255" s="376"/>
    </row>
    <row r="43256" spans="1:100">
      <c r="A43256" s="374"/>
      <c r="C43256" s="374"/>
      <c r="CV43256" s="376"/>
    </row>
    <row r="43257" spans="1:100">
      <c r="A43257" s="374"/>
      <c r="C43257" s="374"/>
      <c r="CV43257" s="376"/>
    </row>
    <row r="43258" spans="1:100">
      <c r="A43258" s="374"/>
      <c r="C43258" s="374"/>
      <c r="CV43258" s="376"/>
    </row>
    <row r="43259" spans="1:100">
      <c r="A43259" s="374"/>
      <c r="C43259" s="374"/>
      <c r="CV43259" s="376"/>
    </row>
    <row r="43260" spans="1:100">
      <c r="A43260" s="374"/>
      <c r="C43260" s="374"/>
      <c r="CV43260" s="376"/>
    </row>
    <row r="43261" spans="1:100">
      <c r="A43261" s="374"/>
      <c r="C43261" s="374"/>
      <c r="CV43261" s="376"/>
    </row>
    <row r="43262" spans="1:100">
      <c r="A43262" s="374"/>
      <c r="C43262" s="374"/>
      <c r="CV43262" s="376"/>
    </row>
    <row r="43263" spans="1:100">
      <c r="A43263" s="374"/>
      <c r="C43263" s="374"/>
      <c r="CV43263" s="376"/>
    </row>
    <row r="43264" spans="1:100">
      <c r="A43264" s="374"/>
      <c r="C43264" s="374"/>
      <c r="CV43264" s="376"/>
    </row>
    <row r="43265" spans="1:100">
      <c r="A43265" s="374"/>
      <c r="C43265" s="374"/>
      <c r="CV43265" s="376"/>
    </row>
    <row r="43266" spans="1:100">
      <c r="A43266" s="374"/>
      <c r="C43266" s="374"/>
      <c r="CV43266" s="376"/>
    </row>
    <row r="43267" spans="1:100">
      <c r="A43267" s="374"/>
      <c r="C43267" s="374"/>
      <c r="CV43267" s="376"/>
    </row>
    <row r="43268" spans="1:100">
      <c r="A43268" s="374"/>
      <c r="C43268" s="374"/>
      <c r="CV43268" s="376"/>
    </row>
    <row r="43269" spans="1:100">
      <c r="A43269" s="374"/>
      <c r="C43269" s="374"/>
      <c r="CV43269" s="376"/>
    </row>
    <row r="43270" spans="1:100">
      <c r="A43270" s="374"/>
      <c r="C43270" s="374"/>
      <c r="CV43270" s="376"/>
    </row>
    <row r="43271" spans="1:100">
      <c r="A43271" s="374"/>
      <c r="C43271" s="374"/>
      <c r="CV43271" s="376"/>
    </row>
    <row r="43272" spans="1:100">
      <c r="A43272" s="374"/>
      <c r="C43272" s="374"/>
      <c r="CV43272" s="376"/>
    </row>
    <row r="43273" spans="1:100">
      <c r="A43273" s="374"/>
      <c r="C43273" s="374"/>
      <c r="CV43273" s="376"/>
    </row>
    <row r="43274" spans="1:100">
      <c r="A43274" s="374"/>
      <c r="C43274" s="374"/>
      <c r="CV43274" s="376"/>
    </row>
    <row r="43275" spans="1:100">
      <c r="A43275" s="374"/>
      <c r="C43275" s="374"/>
      <c r="CV43275" s="376"/>
    </row>
    <row r="43276" spans="1:100">
      <c r="A43276" s="374"/>
      <c r="C43276" s="374"/>
      <c r="CV43276" s="376"/>
    </row>
    <row r="43277" spans="1:100">
      <c r="A43277" s="374"/>
      <c r="C43277" s="374"/>
      <c r="CV43277" s="376"/>
    </row>
    <row r="43278" spans="1:100">
      <c r="A43278" s="374"/>
      <c r="C43278" s="374"/>
      <c r="CV43278" s="376"/>
    </row>
    <row r="43279" spans="1:100">
      <c r="A43279" s="374"/>
      <c r="C43279" s="374"/>
      <c r="CV43279" s="376"/>
    </row>
    <row r="43280" spans="1:100">
      <c r="A43280" s="374"/>
      <c r="C43280" s="374"/>
      <c r="CV43280" s="376"/>
    </row>
    <row r="43281" spans="1:100">
      <c r="A43281" s="374"/>
      <c r="C43281" s="374"/>
      <c r="CV43281" s="376"/>
    </row>
    <row r="43282" spans="1:100">
      <c r="A43282" s="374"/>
      <c r="C43282" s="374"/>
      <c r="CV43282" s="376"/>
    </row>
    <row r="43283" spans="1:100">
      <c r="A43283" s="374"/>
      <c r="C43283" s="374"/>
      <c r="CV43283" s="376"/>
    </row>
    <row r="43284" spans="1:100">
      <c r="A43284" s="374"/>
      <c r="C43284" s="374"/>
      <c r="CV43284" s="376"/>
    </row>
    <row r="43285" spans="1:100">
      <c r="A43285" s="374"/>
      <c r="C43285" s="374"/>
      <c r="CV43285" s="376"/>
    </row>
    <row r="43286" spans="1:100">
      <c r="A43286" s="374"/>
      <c r="C43286" s="374"/>
      <c r="CV43286" s="376"/>
    </row>
    <row r="43287" spans="1:100">
      <c r="A43287" s="374"/>
      <c r="C43287" s="374"/>
      <c r="CV43287" s="376"/>
    </row>
    <row r="43288" spans="1:100">
      <c r="A43288" s="374"/>
      <c r="C43288" s="374"/>
      <c r="CV43288" s="376"/>
    </row>
    <row r="43289" spans="1:100">
      <c r="A43289" s="374"/>
      <c r="C43289" s="374"/>
      <c r="CV43289" s="376"/>
    </row>
    <row r="43290" spans="1:100">
      <c r="A43290" s="374"/>
      <c r="C43290" s="374"/>
      <c r="CV43290" s="376"/>
    </row>
    <row r="43291" spans="1:100">
      <c r="A43291" s="374"/>
      <c r="C43291" s="374"/>
      <c r="CV43291" s="376"/>
    </row>
    <row r="43292" spans="1:100">
      <c r="A43292" s="374"/>
      <c r="C43292" s="374"/>
      <c r="CV43292" s="376"/>
    </row>
    <row r="43293" spans="1:100">
      <c r="A43293" s="374"/>
      <c r="C43293" s="374"/>
      <c r="CV43293" s="376"/>
    </row>
    <row r="43294" spans="1:100">
      <c r="A43294" s="374"/>
      <c r="C43294" s="374"/>
      <c r="CV43294" s="376"/>
    </row>
    <row r="43295" spans="1:100">
      <c r="A43295" s="374"/>
      <c r="C43295" s="374"/>
      <c r="CV43295" s="376"/>
    </row>
    <row r="43296" spans="1:100">
      <c r="A43296" s="374"/>
      <c r="C43296" s="374"/>
      <c r="CV43296" s="376"/>
    </row>
    <row r="43297" spans="1:100">
      <c r="A43297" s="374"/>
      <c r="C43297" s="374"/>
      <c r="CV43297" s="376"/>
    </row>
    <row r="43298" spans="1:100">
      <c r="A43298" s="374"/>
      <c r="C43298" s="374"/>
      <c r="CV43298" s="376"/>
    </row>
    <row r="43299" spans="1:100">
      <c r="A43299" s="374"/>
      <c r="C43299" s="374"/>
      <c r="CV43299" s="376"/>
    </row>
    <row r="43300" spans="1:100">
      <c r="A43300" s="374"/>
      <c r="C43300" s="374"/>
      <c r="CV43300" s="376"/>
    </row>
    <row r="43301" spans="1:100">
      <c r="A43301" s="374"/>
      <c r="C43301" s="374"/>
      <c r="CV43301" s="376"/>
    </row>
    <row r="43302" spans="1:100">
      <c r="A43302" s="374"/>
      <c r="C43302" s="374"/>
      <c r="CV43302" s="376"/>
    </row>
    <row r="43303" spans="1:100">
      <c r="A43303" s="374"/>
      <c r="C43303" s="374"/>
      <c r="CV43303" s="376"/>
    </row>
    <row r="43304" spans="1:100">
      <c r="A43304" s="374"/>
      <c r="C43304" s="374"/>
      <c r="CV43304" s="376"/>
    </row>
    <row r="43305" spans="1:100">
      <c r="A43305" s="374"/>
      <c r="C43305" s="374"/>
      <c r="CV43305" s="376"/>
    </row>
    <row r="43306" spans="1:100">
      <c r="A43306" s="374"/>
      <c r="C43306" s="374"/>
      <c r="CV43306" s="376"/>
    </row>
    <row r="43307" spans="1:100">
      <c r="A43307" s="374"/>
      <c r="C43307" s="374"/>
      <c r="CV43307" s="376"/>
    </row>
    <row r="43308" spans="1:100">
      <c r="A43308" s="374"/>
      <c r="C43308" s="374"/>
      <c r="CV43308" s="376"/>
    </row>
    <row r="43309" spans="1:100">
      <c r="A43309" s="374"/>
      <c r="C43309" s="374"/>
      <c r="CV43309" s="376"/>
    </row>
    <row r="43310" spans="1:100">
      <c r="A43310" s="374"/>
      <c r="C43310" s="374"/>
      <c r="CV43310" s="376"/>
    </row>
    <row r="43311" spans="1:100">
      <c r="A43311" s="374"/>
      <c r="C43311" s="374"/>
      <c r="CV43311" s="376"/>
    </row>
    <row r="43312" spans="1:100">
      <c r="A43312" s="374"/>
      <c r="C43312" s="374"/>
      <c r="CV43312" s="376"/>
    </row>
    <row r="43313" spans="1:100">
      <c r="A43313" s="374"/>
      <c r="C43313" s="374"/>
      <c r="CV43313" s="376"/>
    </row>
    <row r="43314" spans="1:100">
      <c r="A43314" s="374"/>
      <c r="C43314" s="374"/>
      <c r="CV43314" s="376"/>
    </row>
    <row r="43315" spans="1:100">
      <c r="A43315" s="374"/>
      <c r="C43315" s="374"/>
      <c r="CV43315" s="376"/>
    </row>
    <row r="43316" spans="1:100">
      <c r="A43316" s="374"/>
      <c r="C43316" s="374"/>
      <c r="CV43316" s="376"/>
    </row>
    <row r="43317" spans="1:100">
      <c r="A43317" s="374"/>
      <c r="C43317" s="374"/>
      <c r="CV43317" s="376"/>
    </row>
    <row r="43318" spans="1:100">
      <c r="A43318" s="374"/>
      <c r="C43318" s="374"/>
      <c r="CV43318" s="376"/>
    </row>
    <row r="43319" spans="1:100">
      <c r="A43319" s="374"/>
      <c r="C43319" s="374"/>
      <c r="CV43319" s="376"/>
    </row>
    <row r="43320" spans="1:100">
      <c r="A43320" s="374"/>
      <c r="C43320" s="374"/>
      <c r="CV43320" s="376"/>
    </row>
    <row r="43321" spans="1:100">
      <c r="A43321" s="374"/>
      <c r="C43321" s="374"/>
      <c r="CV43321" s="376"/>
    </row>
    <row r="43322" spans="1:100">
      <c r="A43322" s="374"/>
      <c r="C43322" s="374"/>
      <c r="CV43322" s="376"/>
    </row>
    <row r="43323" spans="1:100">
      <c r="A43323" s="374"/>
      <c r="C43323" s="374"/>
      <c r="CV43323" s="376"/>
    </row>
    <row r="43324" spans="1:100">
      <c r="A43324" s="374"/>
      <c r="C43324" s="374"/>
      <c r="CV43324" s="376"/>
    </row>
    <row r="43325" spans="1:100">
      <c r="A43325" s="374"/>
      <c r="C43325" s="374"/>
      <c r="CV43325" s="376"/>
    </row>
    <row r="43326" spans="1:100">
      <c r="A43326" s="374"/>
      <c r="C43326" s="374"/>
      <c r="CV43326" s="376"/>
    </row>
    <row r="43327" spans="1:100">
      <c r="A43327" s="374"/>
      <c r="C43327" s="374"/>
      <c r="CV43327" s="376"/>
    </row>
    <row r="43328" spans="1:100">
      <c r="A43328" s="374"/>
      <c r="C43328" s="374"/>
      <c r="CV43328" s="376"/>
    </row>
    <row r="43329" spans="1:100">
      <c r="A43329" s="374"/>
      <c r="C43329" s="374"/>
      <c r="CV43329" s="376"/>
    </row>
    <row r="43330" spans="1:100">
      <c r="A43330" s="374"/>
      <c r="C43330" s="374"/>
      <c r="CV43330" s="376"/>
    </row>
    <row r="43331" spans="1:100">
      <c r="A43331" s="374"/>
      <c r="C43331" s="374"/>
      <c r="CV43331" s="376"/>
    </row>
    <row r="43332" spans="1:100">
      <c r="A43332" s="374"/>
      <c r="C43332" s="374"/>
      <c r="CV43332" s="376"/>
    </row>
    <row r="43333" spans="1:100">
      <c r="A43333" s="374"/>
      <c r="C43333" s="374"/>
      <c r="CV43333" s="376"/>
    </row>
    <row r="43334" spans="1:100">
      <c r="A43334" s="374"/>
      <c r="C43334" s="374"/>
      <c r="CV43334" s="376"/>
    </row>
    <row r="43335" spans="1:100">
      <c r="A43335" s="374"/>
      <c r="C43335" s="374"/>
      <c r="CV43335" s="376"/>
    </row>
    <row r="43336" spans="1:100">
      <c r="A43336" s="374"/>
      <c r="C43336" s="374"/>
      <c r="CV43336" s="376"/>
    </row>
    <row r="43337" spans="1:100">
      <c r="A43337" s="374"/>
      <c r="C43337" s="374"/>
      <c r="CV43337" s="376"/>
    </row>
    <row r="43338" spans="1:100">
      <c r="A43338" s="374"/>
      <c r="C43338" s="374"/>
      <c r="CV43338" s="376"/>
    </row>
    <row r="43339" spans="1:100">
      <c r="A43339" s="374"/>
      <c r="C43339" s="374"/>
      <c r="CV43339" s="376"/>
    </row>
    <row r="43340" spans="1:100">
      <c r="A43340" s="374"/>
      <c r="C43340" s="374"/>
      <c r="CV43340" s="376"/>
    </row>
    <row r="43341" spans="1:100">
      <c r="A43341" s="374"/>
      <c r="C43341" s="374"/>
      <c r="CV43341" s="376"/>
    </row>
    <row r="43342" spans="1:100">
      <c r="A43342" s="374"/>
      <c r="C43342" s="374"/>
      <c r="CV43342" s="376"/>
    </row>
    <row r="43343" spans="1:100">
      <c r="A43343" s="374"/>
      <c r="C43343" s="374"/>
      <c r="CV43343" s="376"/>
    </row>
    <row r="43344" spans="1:100">
      <c r="A43344" s="374"/>
      <c r="C43344" s="374"/>
      <c r="CV43344" s="376"/>
    </row>
    <row r="43345" spans="1:100">
      <c r="A43345" s="374"/>
      <c r="C43345" s="374"/>
      <c r="CV43345" s="376"/>
    </row>
    <row r="43346" spans="1:100">
      <c r="A43346" s="374"/>
      <c r="C43346" s="374"/>
      <c r="CV43346" s="376"/>
    </row>
    <row r="43347" spans="1:100">
      <c r="A43347" s="374"/>
      <c r="C43347" s="374"/>
      <c r="CV43347" s="376"/>
    </row>
    <row r="43348" spans="1:100">
      <c r="A43348" s="374"/>
      <c r="C43348" s="374"/>
      <c r="CV43348" s="376"/>
    </row>
    <row r="43349" spans="1:100">
      <c r="A43349" s="374"/>
      <c r="C43349" s="374"/>
      <c r="CV43349" s="376"/>
    </row>
    <row r="43350" spans="1:100">
      <c r="A43350" s="374"/>
      <c r="C43350" s="374"/>
      <c r="CV43350" s="376"/>
    </row>
    <row r="43351" spans="1:100">
      <c r="A43351" s="374"/>
      <c r="C43351" s="374"/>
      <c r="CV43351" s="376"/>
    </row>
    <row r="43352" spans="1:100">
      <c r="A43352" s="374"/>
      <c r="C43352" s="374"/>
      <c r="CV43352" s="376"/>
    </row>
    <row r="43353" spans="1:100">
      <c r="A43353" s="374"/>
      <c r="C43353" s="374"/>
      <c r="CV43353" s="376"/>
    </row>
    <row r="43354" spans="1:100">
      <c r="A43354" s="374"/>
      <c r="C43354" s="374"/>
      <c r="CV43354" s="376"/>
    </row>
    <row r="43355" spans="1:100">
      <c r="A43355" s="374"/>
      <c r="C43355" s="374"/>
      <c r="CV43355" s="376"/>
    </row>
    <row r="43356" spans="1:100">
      <c r="A43356" s="374"/>
      <c r="C43356" s="374"/>
      <c r="CV43356" s="376"/>
    </row>
    <row r="43357" spans="1:100">
      <c r="A43357" s="374"/>
      <c r="C43357" s="374"/>
      <c r="CV43357" s="376"/>
    </row>
    <row r="43358" spans="1:100">
      <c r="A43358" s="374"/>
      <c r="C43358" s="374"/>
      <c r="CV43358" s="376"/>
    </row>
    <row r="43359" spans="1:100">
      <c r="A43359" s="374"/>
      <c r="C43359" s="374"/>
      <c r="CV43359" s="376"/>
    </row>
    <row r="43360" spans="1:100">
      <c r="A43360" s="374"/>
      <c r="C43360" s="374"/>
      <c r="CV43360" s="376"/>
    </row>
    <row r="43361" spans="1:100">
      <c r="A43361" s="374"/>
      <c r="C43361" s="374"/>
      <c r="CV43361" s="376"/>
    </row>
    <row r="43362" spans="1:100">
      <c r="A43362" s="374"/>
      <c r="C43362" s="374"/>
      <c r="CV43362" s="376"/>
    </row>
    <row r="43363" spans="1:100">
      <c r="A43363" s="374"/>
      <c r="C43363" s="374"/>
      <c r="CV43363" s="376"/>
    </row>
    <row r="43364" spans="1:100">
      <c r="A43364" s="374"/>
      <c r="C43364" s="374"/>
      <c r="CV43364" s="376"/>
    </row>
    <row r="43365" spans="1:100">
      <c r="A43365" s="374"/>
      <c r="C43365" s="374"/>
      <c r="CV43365" s="376"/>
    </row>
    <row r="43366" spans="1:100">
      <c r="A43366" s="374"/>
      <c r="C43366" s="374"/>
      <c r="CV43366" s="376"/>
    </row>
    <row r="43367" spans="1:100">
      <c r="A43367" s="374"/>
      <c r="C43367" s="374"/>
      <c r="CV43367" s="376"/>
    </row>
    <row r="43368" spans="1:100">
      <c r="A43368" s="374"/>
      <c r="C43368" s="374"/>
      <c r="CV43368" s="376"/>
    </row>
    <row r="43369" spans="1:100">
      <c r="A43369" s="374"/>
      <c r="C43369" s="374"/>
      <c r="CV43369" s="376"/>
    </row>
    <row r="43370" spans="1:100">
      <c r="A43370" s="374"/>
      <c r="C43370" s="374"/>
      <c r="CV43370" s="376"/>
    </row>
    <row r="43371" spans="1:100">
      <c r="A43371" s="374"/>
      <c r="C43371" s="374"/>
      <c r="CV43371" s="376"/>
    </row>
    <row r="43372" spans="1:100">
      <c r="A43372" s="374"/>
      <c r="C43372" s="374"/>
      <c r="CV43372" s="376"/>
    </row>
    <row r="43373" spans="1:100">
      <c r="A43373" s="374"/>
      <c r="C43373" s="374"/>
      <c r="CV43373" s="376"/>
    </row>
    <row r="43374" spans="1:100">
      <c r="A43374" s="374"/>
      <c r="C43374" s="374"/>
      <c r="CV43374" s="376"/>
    </row>
    <row r="43375" spans="1:100">
      <c r="A43375" s="374"/>
      <c r="C43375" s="374"/>
      <c r="CV43375" s="376"/>
    </row>
    <row r="43376" spans="1:100">
      <c r="A43376" s="374"/>
      <c r="C43376" s="374"/>
      <c r="CV43376" s="376"/>
    </row>
    <row r="43377" spans="1:100">
      <c r="A43377" s="374"/>
      <c r="C43377" s="374"/>
      <c r="CV43377" s="376"/>
    </row>
    <row r="43378" spans="1:100">
      <c r="A43378" s="374"/>
      <c r="C43378" s="374"/>
      <c r="CV43378" s="376"/>
    </row>
    <row r="43379" spans="1:100">
      <c r="A43379" s="374"/>
      <c r="C43379" s="374"/>
      <c r="CV43379" s="376"/>
    </row>
    <row r="43380" spans="1:100">
      <c r="A43380" s="374"/>
      <c r="C43380" s="374"/>
      <c r="CV43380" s="376"/>
    </row>
    <row r="43381" spans="1:100">
      <c r="A43381" s="374"/>
      <c r="C43381" s="374"/>
      <c r="CV43381" s="376"/>
    </row>
    <row r="43382" spans="1:100">
      <c r="A43382" s="374"/>
      <c r="C43382" s="374"/>
      <c r="CV43382" s="376"/>
    </row>
    <row r="43383" spans="1:100">
      <c r="A43383" s="374"/>
      <c r="C43383" s="374"/>
      <c r="CV43383" s="376"/>
    </row>
    <row r="43384" spans="1:100">
      <c r="A43384" s="374"/>
      <c r="C43384" s="374"/>
      <c r="CV43384" s="376"/>
    </row>
    <row r="43385" spans="1:100">
      <c r="A43385" s="374"/>
      <c r="C43385" s="374"/>
      <c r="CV43385" s="376"/>
    </row>
    <row r="43386" spans="1:100">
      <c r="A43386" s="374"/>
      <c r="C43386" s="374"/>
      <c r="CV43386" s="376"/>
    </row>
    <row r="43387" spans="1:100">
      <c r="A43387" s="374"/>
      <c r="C43387" s="374"/>
      <c r="CV43387" s="376"/>
    </row>
    <row r="43388" spans="1:100">
      <c r="A43388" s="374"/>
      <c r="C43388" s="374"/>
      <c r="CV43388" s="376"/>
    </row>
    <row r="43389" spans="1:100">
      <c r="A43389" s="374"/>
      <c r="C43389" s="374"/>
      <c r="CV43389" s="376"/>
    </row>
    <row r="43390" spans="1:100">
      <c r="A43390" s="374"/>
      <c r="C43390" s="374"/>
      <c r="CV43390" s="376"/>
    </row>
    <row r="43391" spans="1:100">
      <c r="A43391" s="374"/>
      <c r="C43391" s="374"/>
      <c r="CV43391" s="376"/>
    </row>
    <row r="43392" spans="1:100">
      <c r="A43392" s="374"/>
      <c r="C43392" s="374"/>
      <c r="CV43392" s="376"/>
    </row>
    <row r="43393" spans="1:100">
      <c r="A43393" s="374"/>
      <c r="C43393" s="374"/>
      <c r="CV43393" s="376"/>
    </row>
    <row r="43394" spans="1:100">
      <c r="A43394" s="374"/>
      <c r="C43394" s="374"/>
      <c r="CV43394" s="376"/>
    </row>
    <row r="43395" spans="1:100">
      <c r="A43395" s="374"/>
      <c r="C43395" s="374"/>
      <c r="CV43395" s="376"/>
    </row>
    <row r="43396" spans="1:100">
      <c r="A43396" s="374"/>
      <c r="C43396" s="374"/>
      <c r="CV43396" s="376"/>
    </row>
    <row r="43397" spans="1:100">
      <c r="A43397" s="374"/>
      <c r="C43397" s="374"/>
      <c r="CV43397" s="376"/>
    </row>
    <row r="43398" spans="1:100">
      <c r="A43398" s="374"/>
      <c r="C43398" s="374"/>
      <c r="CV43398" s="376"/>
    </row>
    <row r="43399" spans="1:100">
      <c r="A43399" s="374"/>
      <c r="C43399" s="374"/>
      <c r="CV43399" s="376"/>
    </row>
    <row r="43400" spans="1:100">
      <c r="A43400" s="374"/>
      <c r="C43400" s="374"/>
      <c r="CV43400" s="376"/>
    </row>
    <row r="43401" spans="1:100">
      <c r="A43401" s="374"/>
      <c r="C43401" s="374"/>
      <c r="CV43401" s="376"/>
    </row>
    <row r="43402" spans="1:100">
      <c r="A43402" s="374"/>
      <c r="C43402" s="374"/>
      <c r="CV43402" s="376"/>
    </row>
    <row r="43403" spans="1:100">
      <c r="A43403" s="374"/>
      <c r="C43403" s="374"/>
      <c r="CV43403" s="376"/>
    </row>
    <row r="43404" spans="1:100">
      <c r="A43404" s="374"/>
      <c r="C43404" s="374"/>
      <c r="CV43404" s="376"/>
    </row>
    <row r="43405" spans="1:100">
      <c r="A43405" s="374"/>
      <c r="C43405" s="374"/>
      <c r="CV43405" s="376"/>
    </row>
    <row r="43406" spans="1:100">
      <c r="A43406" s="374"/>
      <c r="C43406" s="374"/>
      <c r="CV43406" s="376"/>
    </row>
    <row r="43407" spans="1:100">
      <c r="A43407" s="374"/>
      <c r="C43407" s="374"/>
      <c r="CV43407" s="376"/>
    </row>
    <row r="43408" spans="1:100">
      <c r="A43408" s="374"/>
      <c r="C43408" s="374"/>
      <c r="CV43408" s="376"/>
    </row>
    <row r="43409" spans="1:100">
      <c r="A43409" s="374"/>
      <c r="C43409" s="374"/>
      <c r="CV43409" s="376"/>
    </row>
    <row r="43410" spans="1:100">
      <c r="A43410" s="374"/>
      <c r="C43410" s="374"/>
      <c r="CV43410" s="376"/>
    </row>
    <row r="43411" spans="1:100">
      <c r="A43411" s="374"/>
      <c r="C43411" s="374"/>
      <c r="CV43411" s="376"/>
    </row>
    <row r="43412" spans="1:100">
      <c r="A43412" s="374"/>
      <c r="C43412" s="374"/>
      <c r="CV43412" s="376"/>
    </row>
    <row r="43413" spans="1:100">
      <c r="A43413" s="374"/>
      <c r="C43413" s="374"/>
      <c r="CV43413" s="376"/>
    </row>
    <row r="43414" spans="1:100">
      <c r="A43414" s="374"/>
      <c r="C43414" s="374"/>
      <c r="CV43414" s="376"/>
    </row>
    <row r="43415" spans="1:100">
      <c r="A43415" s="374"/>
      <c r="C43415" s="374"/>
      <c r="CV43415" s="376"/>
    </row>
    <row r="43416" spans="1:100">
      <c r="A43416" s="374"/>
      <c r="C43416" s="374"/>
      <c r="CV43416" s="376"/>
    </row>
    <row r="43417" spans="1:100">
      <c r="A43417" s="374"/>
      <c r="C43417" s="374"/>
      <c r="CV43417" s="376"/>
    </row>
    <row r="43418" spans="1:100">
      <c r="A43418" s="374"/>
      <c r="C43418" s="374"/>
      <c r="CV43418" s="376"/>
    </row>
    <row r="43419" spans="1:100">
      <c r="A43419" s="374"/>
      <c r="C43419" s="374"/>
      <c r="CV43419" s="376"/>
    </row>
    <row r="43420" spans="1:100">
      <c r="A43420" s="374"/>
      <c r="C43420" s="374"/>
      <c r="CV43420" s="376"/>
    </row>
    <row r="43421" spans="1:100">
      <c r="A43421" s="374"/>
      <c r="C43421" s="374"/>
      <c r="CV43421" s="376"/>
    </row>
    <row r="43422" spans="1:100">
      <c r="A43422" s="374"/>
      <c r="C43422" s="374"/>
      <c r="CV43422" s="376"/>
    </row>
    <row r="43423" spans="1:100">
      <c r="A43423" s="374"/>
      <c r="C43423" s="374"/>
      <c r="CV43423" s="376"/>
    </row>
    <row r="43424" spans="1:100">
      <c r="A43424" s="374"/>
      <c r="C43424" s="374"/>
      <c r="CV43424" s="376"/>
    </row>
    <row r="43425" spans="1:100">
      <c r="A43425" s="374"/>
      <c r="C43425" s="374"/>
      <c r="CV43425" s="376"/>
    </row>
    <row r="43426" spans="1:100">
      <c r="A43426" s="374"/>
      <c r="C43426" s="374"/>
      <c r="CV43426" s="376"/>
    </row>
    <row r="43427" spans="1:100">
      <c r="A43427" s="374"/>
      <c r="C43427" s="374"/>
      <c r="CV43427" s="376"/>
    </row>
    <row r="43428" spans="1:100">
      <c r="A43428" s="374"/>
      <c r="C43428" s="374"/>
      <c r="CV43428" s="376"/>
    </row>
    <row r="43429" spans="1:100">
      <c r="A43429" s="374"/>
      <c r="C43429" s="374"/>
      <c r="CV43429" s="376"/>
    </row>
    <row r="43430" spans="1:100">
      <c r="A43430" s="374"/>
      <c r="C43430" s="374"/>
      <c r="CV43430" s="376"/>
    </row>
    <row r="43431" spans="1:100">
      <c r="A43431" s="374"/>
      <c r="C43431" s="374"/>
      <c r="CV43431" s="376"/>
    </row>
    <row r="43432" spans="1:100">
      <c r="A43432" s="374"/>
      <c r="C43432" s="374"/>
      <c r="CV43432" s="376"/>
    </row>
    <row r="43433" spans="1:100">
      <c r="A43433" s="374"/>
      <c r="C43433" s="374"/>
      <c r="CV43433" s="376"/>
    </row>
    <row r="43434" spans="1:100">
      <c r="A43434" s="374"/>
      <c r="C43434" s="374"/>
      <c r="CV43434" s="376"/>
    </row>
    <row r="43435" spans="1:100">
      <c r="A43435" s="374"/>
      <c r="C43435" s="374"/>
      <c r="CV43435" s="376"/>
    </row>
    <row r="43436" spans="1:100">
      <c r="A43436" s="374"/>
      <c r="C43436" s="374"/>
      <c r="CV43436" s="376"/>
    </row>
    <row r="43437" spans="1:100">
      <c r="A43437" s="374"/>
      <c r="C43437" s="374"/>
      <c r="CV43437" s="376"/>
    </row>
    <row r="43438" spans="1:100">
      <c r="A43438" s="374"/>
      <c r="C43438" s="374"/>
      <c r="CV43438" s="376"/>
    </row>
    <row r="43439" spans="1:100">
      <c r="A43439" s="374"/>
      <c r="C43439" s="374"/>
      <c r="CV43439" s="376"/>
    </row>
    <row r="43440" spans="1:100">
      <c r="A43440" s="374"/>
      <c r="C43440" s="374"/>
      <c r="CV43440" s="376"/>
    </row>
    <row r="43441" spans="1:100">
      <c r="A43441" s="374"/>
      <c r="C43441" s="374"/>
      <c r="CV43441" s="376"/>
    </row>
    <row r="43442" spans="1:100">
      <c r="A43442" s="374"/>
      <c r="C43442" s="374"/>
      <c r="CV43442" s="376"/>
    </row>
    <row r="43443" spans="1:100">
      <c r="A43443" s="374"/>
      <c r="C43443" s="374"/>
      <c r="CV43443" s="376"/>
    </row>
    <row r="43444" spans="1:100">
      <c r="A43444" s="374"/>
      <c r="C43444" s="374"/>
      <c r="CV43444" s="376"/>
    </row>
    <row r="43445" spans="1:100">
      <c r="A43445" s="374"/>
      <c r="C43445" s="374"/>
      <c r="CV43445" s="376"/>
    </row>
    <row r="43446" spans="1:100">
      <c r="A43446" s="374"/>
      <c r="C43446" s="374"/>
      <c r="CV43446" s="376"/>
    </row>
    <row r="43447" spans="1:100">
      <c r="A43447" s="374"/>
      <c r="C43447" s="374"/>
      <c r="CV43447" s="376"/>
    </row>
    <row r="43448" spans="1:100">
      <c r="A43448" s="374"/>
      <c r="C43448" s="374"/>
      <c r="CV43448" s="376"/>
    </row>
    <row r="43449" spans="1:100">
      <c r="A43449" s="374"/>
      <c r="C43449" s="374"/>
      <c r="CV43449" s="376"/>
    </row>
    <row r="43450" spans="1:100">
      <c r="A43450" s="374"/>
      <c r="C43450" s="374"/>
      <c r="CV43450" s="376"/>
    </row>
    <row r="43451" spans="1:100">
      <c r="A43451" s="374"/>
      <c r="C43451" s="374"/>
      <c r="CV43451" s="376"/>
    </row>
    <row r="43452" spans="1:100">
      <c r="A43452" s="374"/>
      <c r="C43452" s="374"/>
      <c r="CV43452" s="376"/>
    </row>
    <row r="43453" spans="1:100">
      <c r="A43453" s="374"/>
      <c r="C43453" s="374"/>
      <c r="CV43453" s="376"/>
    </row>
    <row r="43454" spans="1:100">
      <c r="A43454" s="374"/>
      <c r="C43454" s="374"/>
      <c r="CV43454" s="376"/>
    </row>
    <row r="43455" spans="1:100">
      <c r="A43455" s="374"/>
      <c r="C43455" s="374"/>
      <c r="CV43455" s="376"/>
    </row>
    <row r="43456" spans="1:100">
      <c r="A43456" s="374"/>
      <c r="C43456" s="374"/>
      <c r="CV43456" s="376"/>
    </row>
    <row r="43457" spans="1:100">
      <c r="A43457" s="374"/>
      <c r="C43457" s="374"/>
      <c r="CV43457" s="376"/>
    </row>
    <row r="43458" spans="1:100">
      <c r="A43458" s="374"/>
      <c r="C43458" s="374"/>
      <c r="CV43458" s="376"/>
    </row>
    <row r="43459" spans="1:100">
      <c r="A43459" s="374"/>
      <c r="C43459" s="374"/>
      <c r="CV43459" s="376"/>
    </row>
    <row r="43460" spans="1:100">
      <c r="A43460" s="374"/>
      <c r="C43460" s="374"/>
      <c r="CV43460" s="376"/>
    </row>
    <row r="43461" spans="1:100">
      <c r="A43461" s="374"/>
      <c r="C43461" s="374"/>
      <c r="CV43461" s="376"/>
    </row>
    <row r="43462" spans="1:100">
      <c r="A43462" s="374"/>
      <c r="C43462" s="374"/>
      <c r="CV43462" s="376"/>
    </row>
    <row r="43463" spans="1:100">
      <c r="A43463" s="374"/>
      <c r="C43463" s="374"/>
      <c r="CV43463" s="376"/>
    </row>
    <row r="43464" spans="1:100">
      <c r="A43464" s="374"/>
      <c r="C43464" s="374"/>
      <c r="CV43464" s="376"/>
    </row>
    <row r="43465" spans="1:100">
      <c r="A43465" s="374"/>
      <c r="C43465" s="374"/>
      <c r="CV43465" s="376"/>
    </row>
    <row r="43466" spans="1:100">
      <c r="A43466" s="374"/>
      <c r="C43466" s="374"/>
      <c r="CV43466" s="376"/>
    </row>
    <row r="43467" spans="1:100">
      <c r="A43467" s="374"/>
      <c r="C43467" s="374"/>
      <c r="CV43467" s="376"/>
    </row>
    <row r="43468" spans="1:100">
      <c r="A43468" s="374"/>
      <c r="C43468" s="374"/>
      <c r="CV43468" s="376"/>
    </row>
    <row r="43469" spans="1:100">
      <c r="A43469" s="374"/>
      <c r="C43469" s="374"/>
      <c r="CV43469" s="376"/>
    </row>
    <row r="43470" spans="1:100">
      <c r="A43470" s="374"/>
      <c r="C43470" s="374"/>
      <c r="CV43470" s="376"/>
    </row>
    <row r="43471" spans="1:100">
      <c r="A43471" s="374"/>
      <c r="C43471" s="374"/>
      <c r="CV43471" s="376"/>
    </row>
    <row r="43472" spans="1:100">
      <c r="A43472" s="374"/>
      <c r="C43472" s="374"/>
      <c r="CV43472" s="376"/>
    </row>
    <row r="43473" spans="1:100">
      <c r="A43473" s="374"/>
      <c r="C43473" s="374"/>
      <c r="CV43473" s="376"/>
    </row>
    <row r="43474" spans="1:100">
      <c r="A43474" s="374"/>
      <c r="C43474" s="374"/>
      <c r="CV43474" s="376"/>
    </row>
    <row r="43475" spans="1:100">
      <c r="A43475" s="374"/>
      <c r="C43475" s="374"/>
      <c r="CV43475" s="376"/>
    </row>
    <row r="43476" spans="1:100">
      <c r="A43476" s="374"/>
      <c r="C43476" s="374"/>
      <c r="CV43476" s="376"/>
    </row>
    <row r="43477" spans="1:100">
      <c r="A43477" s="374"/>
      <c r="C43477" s="374"/>
      <c r="CV43477" s="376"/>
    </row>
    <row r="43478" spans="1:100">
      <c r="A43478" s="374"/>
      <c r="C43478" s="374"/>
      <c r="CV43478" s="376"/>
    </row>
    <row r="43479" spans="1:100">
      <c r="A43479" s="374"/>
      <c r="C43479" s="374"/>
      <c r="CV43479" s="376"/>
    </row>
    <row r="43480" spans="1:100">
      <c r="A43480" s="374"/>
      <c r="C43480" s="374"/>
      <c r="CV43480" s="376"/>
    </row>
    <row r="43481" spans="1:100">
      <c r="A43481" s="374"/>
      <c r="C43481" s="374"/>
      <c r="CV43481" s="376"/>
    </row>
    <row r="43482" spans="1:100">
      <c r="A43482" s="374"/>
      <c r="C43482" s="374"/>
      <c r="CV43482" s="376"/>
    </row>
    <row r="43483" spans="1:100">
      <c r="A43483" s="374"/>
      <c r="C43483" s="374"/>
      <c r="CV43483" s="376"/>
    </row>
    <row r="43484" spans="1:100">
      <c r="A43484" s="374"/>
      <c r="C43484" s="374"/>
      <c r="CV43484" s="376"/>
    </row>
    <row r="43485" spans="1:100">
      <c r="A43485" s="374"/>
      <c r="C43485" s="374"/>
      <c r="CV43485" s="376"/>
    </row>
    <row r="43486" spans="1:100">
      <c r="A43486" s="374"/>
      <c r="C43486" s="374"/>
      <c r="CV43486" s="376"/>
    </row>
    <row r="43487" spans="1:100">
      <c r="A43487" s="374"/>
      <c r="C43487" s="374"/>
      <c r="CV43487" s="376"/>
    </row>
    <row r="43488" spans="1:100">
      <c r="A43488" s="374"/>
      <c r="C43488" s="374"/>
      <c r="CV43488" s="376"/>
    </row>
    <row r="43489" spans="1:100">
      <c r="A43489" s="374"/>
      <c r="C43489" s="374"/>
      <c r="CV43489" s="376"/>
    </row>
    <row r="43490" spans="1:100">
      <c r="A43490" s="374"/>
      <c r="C43490" s="374"/>
      <c r="CV43490" s="376"/>
    </row>
    <row r="43491" spans="1:100">
      <c r="A43491" s="374"/>
      <c r="C43491" s="374"/>
      <c r="CV43491" s="376"/>
    </row>
    <row r="43492" spans="1:100">
      <c r="A43492" s="374"/>
      <c r="C43492" s="374"/>
      <c r="CV43492" s="376"/>
    </row>
    <row r="43493" spans="1:100">
      <c r="A43493" s="374"/>
      <c r="C43493" s="374"/>
      <c r="CV43493" s="376"/>
    </row>
    <row r="43494" spans="1:100">
      <c r="A43494" s="374"/>
      <c r="C43494" s="374"/>
      <c r="CV43494" s="376"/>
    </row>
    <row r="43495" spans="1:100">
      <c r="A43495" s="374"/>
      <c r="C43495" s="374"/>
      <c r="CV43495" s="376"/>
    </row>
    <row r="43496" spans="1:100">
      <c r="A43496" s="374"/>
      <c r="C43496" s="374"/>
      <c r="CV43496" s="376"/>
    </row>
    <row r="43497" spans="1:100">
      <c r="A43497" s="374"/>
      <c r="C43497" s="374"/>
      <c r="CV43497" s="376"/>
    </row>
    <row r="43498" spans="1:100">
      <c r="A43498" s="374"/>
      <c r="C43498" s="374"/>
      <c r="CV43498" s="376"/>
    </row>
    <row r="43499" spans="1:100">
      <c r="A43499" s="374"/>
      <c r="C43499" s="374"/>
      <c r="CV43499" s="376"/>
    </row>
    <row r="43500" spans="1:100">
      <c r="A43500" s="374"/>
      <c r="C43500" s="374"/>
      <c r="CV43500" s="376"/>
    </row>
    <row r="43501" spans="1:100">
      <c r="A43501" s="374"/>
      <c r="C43501" s="374"/>
      <c r="CV43501" s="376"/>
    </row>
    <row r="43502" spans="1:100">
      <c r="A43502" s="374"/>
      <c r="C43502" s="374"/>
      <c r="CV43502" s="376"/>
    </row>
    <row r="43503" spans="1:100">
      <c r="A43503" s="374"/>
      <c r="C43503" s="374"/>
      <c r="CV43503" s="376"/>
    </row>
    <row r="43504" spans="1:100">
      <c r="A43504" s="374"/>
      <c r="C43504" s="374"/>
      <c r="CV43504" s="376"/>
    </row>
    <row r="43505" spans="1:100">
      <c r="A43505" s="374"/>
      <c r="C43505" s="374"/>
      <c r="CV43505" s="376"/>
    </row>
    <row r="43506" spans="1:100">
      <c r="A43506" s="374"/>
      <c r="C43506" s="374"/>
      <c r="CV43506" s="376"/>
    </row>
    <row r="43507" spans="1:100">
      <c r="A43507" s="374"/>
      <c r="C43507" s="374"/>
      <c r="CV43507" s="376"/>
    </row>
    <row r="43508" spans="1:100">
      <c r="A43508" s="374"/>
      <c r="C43508" s="374"/>
      <c r="CV43508" s="376"/>
    </row>
    <row r="43509" spans="1:100">
      <c r="A43509" s="374"/>
      <c r="C43509" s="374"/>
      <c r="CV43509" s="376"/>
    </row>
    <row r="43510" spans="1:100">
      <c r="A43510" s="374"/>
      <c r="C43510" s="374"/>
      <c r="CV43510" s="376"/>
    </row>
    <row r="43511" spans="1:100">
      <c r="A43511" s="374"/>
      <c r="C43511" s="374"/>
      <c r="CV43511" s="376"/>
    </row>
    <row r="43512" spans="1:100">
      <c r="A43512" s="374"/>
      <c r="C43512" s="374"/>
      <c r="CV43512" s="376"/>
    </row>
    <row r="43513" spans="1:100">
      <c r="A43513" s="374"/>
      <c r="C43513" s="374"/>
      <c r="CV43513" s="376"/>
    </row>
    <row r="43514" spans="1:100">
      <c r="A43514" s="374"/>
      <c r="C43514" s="374"/>
      <c r="CV43514" s="376"/>
    </row>
    <row r="43515" spans="1:100">
      <c r="A43515" s="374"/>
      <c r="C43515" s="374"/>
      <c r="CV43515" s="376"/>
    </row>
    <row r="43516" spans="1:100">
      <c r="A43516" s="374"/>
      <c r="C43516" s="374"/>
      <c r="CV43516" s="376"/>
    </row>
    <row r="43517" spans="1:100">
      <c r="A43517" s="374"/>
      <c r="C43517" s="374"/>
      <c r="CV43517" s="376"/>
    </row>
    <row r="43518" spans="1:100">
      <c r="A43518" s="374"/>
      <c r="C43518" s="374"/>
      <c r="CV43518" s="376"/>
    </row>
    <row r="43519" spans="1:100">
      <c r="A43519" s="374"/>
      <c r="C43519" s="374"/>
      <c r="CV43519" s="376"/>
    </row>
    <row r="43520" spans="1:100">
      <c r="A43520" s="374"/>
      <c r="C43520" s="374"/>
      <c r="CV43520" s="376"/>
    </row>
    <row r="43521" spans="1:100">
      <c r="A43521" s="374"/>
      <c r="C43521" s="374"/>
      <c r="CV43521" s="376"/>
    </row>
    <row r="43522" spans="1:100">
      <c r="A43522" s="374"/>
      <c r="C43522" s="374"/>
      <c r="CV43522" s="376"/>
    </row>
    <row r="43523" spans="1:100">
      <c r="A43523" s="374"/>
      <c r="C43523" s="374"/>
      <c r="CV43523" s="376"/>
    </row>
    <row r="43524" spans="1:100">
      <c r="A43524" s="374"/>
      <c r="C43524" s="374"/>
      <c r="CV43524" s="376"/>
    </row>
    <row r="43525" spans="1:100">
      <c r="A43525" s="374"/>
      <c r="C43525" s="374"/>
      <c r="CV43525" s="376"/>
    </row>
    <row r="43526" spans="1:100">
      <c r="A43526" s="374"/>
      <c r="C43526" s="374"/>
      <c r="CV43526" s="376"/>
    </row>
    <row r="43527" spans="1:100">
      <c r="A43527" s="374"/>
      <c r="C43527" s="374"/>
      <c r="CV43527" s="376"/>
    </row>
    <row r="43528" spans="1:100">
      <c r="A43528" s="374"/>
      <c r="C43528" s="374"/>
      <c r="CV43528" s="376"/>
    </row>
    <row r="43529" spans="1:100">
      <c r="A43529" s="374"/>
      <c r="C43529" s="374"/>
      <c r="CV43529" s="376"/>
    </row>
    <row r="43530" spans="1:100">
      <c r="A43530" s="374"/>
      <c r="C43530" s="374"/>
      <c r="CV43530" s="376"/>
    </row>
    <row r="43531" spans="1:100">
      <c r="A43531" s="374"/>
      <c r="C43531" s="374"/>
      <c r="CV43531" s="376"/>
    </row>
    <row r="43532" spans="1:100">
      <c r="A43532" s="374"/>
      <c r="C43532" s="374"/>
      <c r="CV43532" s="376"/>
    </row>
    <row r="43533" spans="1:100">
      <c r="A43533" s="374"/>
      <c r="C43533" s="374"/>
      <c r="CV43533" s="376"/>
    </row>
    <row r="43534" spans="1:100">
      <c r="A43534" s="374"/>
      <c r="C43534" s="374"/>
      <c r="CV43534" s="376"/>
    </row>
    <row r="43535" spans="1:100">
      <c r="A43535" s="374"/>
      <c r="C43535" s="374"/>
      <c r="CV43535" s="376"/>
    </row>
    <row r="43536" spans="1:100">
      <c r="A43536" s="374"/>
      <c r="C43536" s="374"/>
      <c r="CV43536" s="376"/>
    </row>
    <row r="43537" spans="1:100">
      <c r="A43537" s="374"/>
      <c r="C43537" s="374"/>
      <c r="CV43537" s="376"/>
    </row>
    <row r="43538" spans="1:100">
      <c r="A43538" s="374"/>
      <c r="C43538" s="374"/>
      <c r="CV43538" s="376"/>
    </row>
    <row r="43539" spans="1:100">
      <c r="A43539" s="374"/>
      <c r="C43539" s="374"/>
      <c r="CV43539" s="376"/>
    </row>
    <row r="43540" spans="1:100">
      <c r="A43540" s="374"/>
      <c r="C43540" s="374"/>
      <c r="CV43540" s="376"/>
    </row>
    <row r="43541" spans="1:100">
      <c r="A43541" s="374"/>
      <c r="C43541" s="374"/>
      <c r="CV43541" s="376"/>
    </row>
    <row r="43542" spans="1:100">
      <c r="A43542" s="374"/>
      <c r="C43542" s="374"/>
      <c r="CV43542" s="376"/>
    </row>
    <row r="43543" spans="1:100">
      <c r="A43543" s="374"/>
      <c r="C43543" s="374"/>
      <c r="CV43543" s="376"/>
    </row>
    <row r="43544" spans="1:100">
      <c r="A43544" s="374"/>
      <c r="C43544" s="374"/>
      <c r="CV43544" s="376"/>
    </row>
    <row r="43545" spans="1:100">
      <c r="A43545" s="374"/>
      <c r="C43545" s="374"/>
      <c r="CV43545" s="376"/>
    </row>
    <row r="43546" spans="1:100">
      <c r="A43546" s="374"/>
      <c r="C43546" s="374"/>
      <c r="CV43546" s="376"/>
    </row>
    <row r="43547" spans="1:100">
      <c r="A43547" s="374"/>
      <c r="C43547" s="374"/>
      <c r="CV43547" s="376"/>
    </row>
    <row r="43548" spans="1:100">
      <c r="A43548" s="374"/>
      <c r="C43548" s="374"/>
      <c r="CV43548" s="376"/>
    </row>
    <row r="43549" spans="1:100">
      <c r="A43549" s="374"/>
      <c r="C43549" s="374"/>
      <c r="CV43549" s="376"/>
    </row>
    <row r="43550" spans="1:100">
      <c r="A43550" s="374"/>
      <c r="C43550" s="374"/>
      <c r="CV43550" s="376"/>
    </row>
    <row r="43551" spans="1:100">
      <c r="A43551" s="374"/>
      <c r="C43551" s="374"/>
      <c r="CV43551" s="376"/>
    </row>
    <row r="43552" spans="1:100">
      <c r="A43552" s="374"/>
      <c r="C43552" s="374"/>
      <c r="CV43552" s="376"/>
    </row>
    <row r="43553" spans="1:100">
      <c r="A43553" s="374"/>
      <c r="C43553" s="374"/>
      <c r="CV43553" s="376"/>
    </row>
    <row r="43554" spans="1:100">
      <c r="A43554" s="374"/>
      <c r="C43554" s="374"/>
      <c r="CV43554" s="376"/>
    </row>
    <row r="43555" spans="1:100">
      <c r="A43555" s="374"/>
      <c r="C43555" s="374"/>
      <c r="CV43555" s="376"/>
    </row>
    <row r="43556" spans="1:100">
      <c r="A43556" s="374"/>
      <c r="C43556" s="374"/>
      <c r="CV43556" s="376"/>
    </row>
    <row r="43557" spans="1:100">
      <c r="A43557" s="374"/>
      <c r="C43557" s="374"/>
      <c r="CV43557" s="376"/>
    </row>
    <row r="43558" spans="1:100">
      <c r="A43558" s="374"/>
      <c r="C43558" s="374"/>
      <c r="CV43558" s="376"/>
    </row>
    <row r="43559" spans="1:100">
      <c r="A43559" s="374"/>
      <c r="C43559" s="374"/>
      <c r="CV43559" s="376"/>
    </row>
    <row r="43560" spans="1:100">
      <c r="A43560" s="374"/>
      <c r="C43560" s="374"/>
      <c r="CV43560" s="376"/>
    </row>
    <row r="43561" spans="1:100">
      <c r="A43561" s="374"/>
      <c r="C43561" s="374"/>
      <c r="CV43561" s="376"/>
    </row>
    <row r="43562" spans="1:100">
      <c r="A43562" s="374"/>
      <c r="C43562" s="374"/>
      <c r="CV43562" s="376"/>
    </row>
    <row r="43563" spans="1:100">
      <c r="A43563" s="374"/>
      <c r="C43563" s="374"/>
      <c r="CV43563" s="376"/>
    </row>
    <row r="43564" spans="1:100">
      <c r="A43564" s="374"/>
      <c r="C43564" s="374"/>
      <c r="CV43564" s="376"/>
    </row>
    <row r="43565" spans="1:100">
      <c r="A43565" s="374"/>
      <c r="C43565" s="374"/>
      <c r="CV43565" s="376"/>
    </row>
    <row r="43566" spans="1:100">
      <c r="A43566" s="374"/>
      <c r="C43566" s="374"/>
      <c r="CV43566" s="376"/>
    </row>
    <row r="43567" spans="1:100">
      <c r="A43567" s="374"/>
      <c r="C43567" s="374"/>
      <c r="CV43567" s="376"/>
    </row>
    <row r="43568" spans="1:100">
      <c r="A43568" s="374"/>
      <c r="C43568" s="374"/>
      <c r="CV43568" s="376"/>
    </row>
    <row r="43569" spans="1:100">
      <c r="A43569" s="374"/>
      <c r="C43569" s="374"/>
      <c r="CV43569" s="376"/>
    </row>
    <row r="43570" spans="1:100">
      <c r="A43570" s="374"/>
      <c r="C43570" s="374"/>
      <c r="CV43570" s="376"/>
    </row>
    <row r="43571" spans="1:100">
      <c r="A43571" s="374"/>
      <c r="C43571" s="374"/>
      <c r="CV43571" s="376"/>
    </row>
    <row r="43572" spans="1:100">
      <c r="A43572" s="374"/>
      <c r="C43572" s="374"/>
      <c r="CV43572" s="376"/>
    </row>
    <row r="43573" spans="1:100">
      <c r="A43573" s="374"/>
      <c r="C43573" s="374"/>
      <c r="CV43573" s="376"/>
    </row>
    <row r="43574" spans="1:100">
      <c r="A43574" s="374"/>
      <c r="C43574" s="374"/>
      <c r="CV43574" s="376"/>
    </row>
    <row r="43575" spans="1:100">
      <c r="A43575" s="374"/>
      <c r="C43575" s="374"/>
      <c r="CV43575" s="376"/>
    </row>
    <row r="43576" spans="1:100">
      <c r="A43576" s="374"/>
      <c r="C43576" s="374"/>
      <c r="CV43576" s="376"/>
    </row>
    <row r="43577" spans="1:100">
      <c r="A43577" s="374"/>
      <c r="C43577" s="374"/>
      <c r="CV43577" s="376"/>
    </row>
    <row r="43578" spans="1:100">
      <c r="A43578" s="374"/>
      <c r="C43578" s="374"/>
      <c r="CV43578" s="376"/>
    </row>
    <row r="43579" spans="1:100">
      <c r="A43579" s="374"/>
      <c r="C43579" s="374"/>
      <c r="CV43579" s="376"/>
    </row>
    <row r="43580" spans="1:100">
      <c r="A43580" s="374"/>
      <c r="C43580" s="374"/>
      <c r="CV43580" s="376"/>
    </row>
    <row r="43581" spans="1:100">
      <c r="A43581" s="374"/>
      <c r="C43581" s="374"/>
      <c r="CV43581" s="376"/>
    </row>
    <row r="43582" spans="1:100">
      <c r="A43582" s="374"/>
      <c r="C43582" s="374"/>
      <c r="CV43582" s="376"/>
    </row>
    <row r="43583" spans="1:100">
      <c r="A43583" s="374"/>
      <c r="C43583" s="374"/>
      <c r="CV43583" s="376"/>
    </row>
    <row r="43584" spans="1:100">
      <c r="A43584" s="374"/>
      <c r="C43584" s="374"/>
      <c r="CV43584" s="376"/>
    </row>
    <row r="43585" spans="1:100">
      <c r="A43585" s="374"/>
      <c r="C43585" s="374"/>
      <c r="CV43585" s="376"/>
    </row>
    <row r="43586" spans="1:100">
      <c r="A43586" s="374"/>
      <c r="C43586" s="374"/>
      <c r="CV43586" s="376"/>
    </row>
    <row r="43587" spans="1:100">
      <c r="A43587" s="374"/>
      <c r="C43587" s="374"/>
      <c r="CV43587" s="376"/>
    </row>
    <row r="43588" spans="1:100">
      <c r="A43588" s="374"/>
      <c r="C43588" s="374"/>
      <c r="CV43588" s="376"/>
    </row>
    <row r="43589" spans="1:100">
      <c r="A43589" s="374"/>
      <c r="C43589" s="374"/>
      <c r="CV43589" s="376"/>
    </row>
    <row r="43590" spans="1:100">
      <c r="A43590" s="374"/>
      <c r="C43590" s="374"/>
      <c r="CV43590" s="376"/>
    </row>
    <row r="43591" spans="1:100">
      <c r="A43591" s="374"/>
      <c r="C43591" s="374"/>
      <c r="CV43591" s="376"/>
    </row>
    <row r="43592" spans="1:100">
      <c r="A43592" s="374"/>
      <c r="C43592" s="374"/>
      <c r="CV43592" s="376"/>
    </row>
    <row r="43593" spans="1:100">
      <c r="A43593" s="374"/>
      <c r="C43593" s="374"/>
      <c r="CV43593" s="376"/>
    </row>
    <row r="43594" spans="1:100">
      <c r="A43594" s="374"/>
      <c r="C43594" s="374"/>
      <c r="CV43594" s="376"/>
    </row>
    <row r="43595" spans="1:100">
      <c r="A43595" s="374"/>
      <c r="C43595" s="374"/>
      <c r="CV43595" s="376"/>
    </row>
    <row r="43596" spans="1:100">
      <c r="A43596" s="374"/>
      <c r="C43596" s="374"/>
      <c r="CV43596" s="376"/>
    </row>
    <row r="43597" spans="1:100">
      <c r="A43597" s="374"/>
      <c r="C43597" s="374"/>
      <c r="CV43597" s="376"/>
    </row>
    <row r="43598" spans="1:100">
      <c r="A43598" s="374"/>
      <c r="C43598" s="374"/>
      <c r="CV43598" s="376"/>
    </row>
    <row r="43599" spans="1:100">
      <c r="A43599" s="374"/>
      <c r="C43599" s="374"/>
      <c r="CV43599" s="376"/>
    </row>
    <row r="43600" spans="1:100">
      <c r="A43600" s="374"/>
      <c r="C43600" s="374"/>
      <c r="CV43600" s="376"/>
    </row>
    <row r="43601" spans="1:100">
      <c r="A43601" s="374"/>
      <c r="C43601" s="374"/>
      <c r="CV43601" s="376"/>
    </row>
    <row r="43602" spans="1:100">
      <c r="A43602" s="374"/>
      <c r="C43602" s="374"/>
      <c r="CV43602" s="376"/>
    </row>
    <row r="43603" spans="1:100">
      <c r="A43603" s="374"/>
      <c r="C43603" s="374"/>
      <c r="CV43603" s="376"/>
    </row>
    <row r="43604" spans="1:100">
      <c r="A43604" s="374"/>
      <c r="C43604" s="374"/>
      <c r="CV43604" s="376"/>
    </row>
    <row r="43605" spans="1:100">
      <c r="A43605" s="374"/>
      <c r="C43605" s="374"/>
      <c r="CV43605" s="376"/>
    </row>
    <row r="43606" spans="1:100">
      <c r="A43606" s="374"/>
      <c r="C43606" s="374"/>
      <c r="CV43606" s="376"/>
    </row>
    <row r="43607" spans="1:100">
      <c r="A43607" s="374"/>
      <c r="C43607" s="374"/>
      <c r="CV43607" s="376"/>
    </row>
    <row r="43608" spans="1:100">
      <c r="A43608" s="374"/>
      <c r="C43608" s="374"/>
      <c r="CV43608" s="376"/>
    </row>
    <row r="43609" spans="1:100">
      <c r="A43609" s="374"/>
      <c r="C43609" s="374"/>
      <c r="CV43609" s="376"/>
    </row>
    <row r="43610" spans="1:100">
      <c r="A43610" s="374"/>
      <c r="C43610" s="374"/>
      <c r="CV43610" s="376"/>
    </row>
    <row r="43611" spans="1:100">
      <c r="A43611" s="374"/>
      <c r="C43611" s="374"/>
      <c r="CV43611" s="376"/>
    </row>
    <row r="43612" spans="1:100">
      <c r="A43612" s="374"/>
      <c r="C43612" s="374"/>
      <c r="CV43612" s="376"/>
    </row>
    <row r="43613" spans="1:100">
      <c r="A43613" s="374"/>
      <c r="C43613" s="374"/>
      <c r="CV43613" s="376"/>
    </row>
    <row r="43614" spans="1:100">
      <c r="A43614" s="374"/>
      <c r="C43614" s="374"/>
      <c r="CV43614" s="376"/>
    </row>
    <row r="43615" spans="1:100">
      <c r="A43615" s="374"/>
      <c r="C43615" s="374"/>
      <c r="CV43615" s="376"/>
    </row>
    <row r="43616" spans="1:100">
      <c r="A43616" s="374"/>
      <c r="C43616" s="374"/>
      <c r="CV43616" s="376"/>
    </row>
    <row r="43617" spans="1:100">
      <c r="A43617" s="374"/>
      <c r="C43617" s="374"/>
      <c r="CV43617" s="376"/>
    </row>
    <row r="43618" spans="1:100">
      <c r="A43618" s="374"/>
      <c r="C43618" s="374"/>
      <c r="CV43618" s="376"/>
    </row>
    <row r="43619" spans="1:100">
      <c r="A43619" s="374"/>
      <c r="C43619" s="374"/>
      <c r="CV43619" s="376"/>
    </row>
    <row r="43620" spans="1:100">
      <c r="A43620" s="374"/>
      <c r="C43620" s="374"/>
      <c r="CV43620" s="376"/>
    </row>
    <row r="43621" spans="1:100">
      <c r="A43621" s="374"/>
      <c r="C43621" s="374"/>
      <c r="CV43621" s="376"/>
    </row>
    <row r="43622" spans="1:100">
      <c r="A43622" s="374"/>
      <c r="C43622" s="374"/>
      <c r="CV43622" s="376"/>
    </row>
    <row r="43623" spans="1:100">
      <c r="A43623" s="374"/>
      <c r="C43623" s="374"/>
      <c r="CV43623" s="376"/>
    </row>
    <row r="43624" spans="1:100">
      <c r="A43624" s="374"/>
      <c r="C43624" s="374"/>
      <c r="CV43624" s="376"/>
    </row>
    <row r="43625" spans="1:100">
      <c r="A43625" s="374"/>
      <c r="C43625" s="374"/>
      <c r="CV43625" s="376"/>
    </row>
    <row r="43626" spans="1:100">
      <c r="A43626" s="374"/>
      <c r="C43626" s="374"/>
      <c r="CV43626" s="376"/>
    </row>
    <row r="43627" spans="1:100">
      <c r="A43627" s="374"/>
      <c r="C43627" s="374"/>
      <c r="CV43627" s="376"/>
    </row>
    <row r="43628" spans="1:100">
      <c r="A43628" s="374"/>
      <c r="C43628" s="374"/>
      <c r="CV43628" s="376"/>
    </row>
    <row r="43629" spans="1:100">
      <c r="A43629" s="374"/>
      <c r="C43629" s="374"/>
      <c r="CV43629" s="376"/>
    </row>
    <row r="43630" spans="1:100">
      <c r="A43630" s="374"/>
      <c r="C43630" s="374"/>
      <c r="CV43630" s="376"/>
    </row>
    <row r="43631" spans="1:100">
      <c r="A43631" s="374"/>
      <c r="C43631" s="374"/>
      <c r="CV43631" s="376"/>
    </row>
    <row r="43632" spans="1:100">
      <c r="A43632" s="374"/>
      <c r="C43632" s="374"/>
      <c r="CV43632" s="376"/>
    </row>
    <row r="43633" spans="1:100">
      <c r="A43633" s="374"/>
      <c r="C43633" s="374"/>
      <c r="CV43633" s="376"/>
    </row>
    <row r="43634" spans="1:100">
      <c r="A43634" s="374"/>
      <c r="C43634" s="374"/>
      <c r="CV43634" s="376"/>
    </row>
    <row r="43635" spans="1:100">
      <c r="A43635" s="374"/>
      <c r="C43635" s="374"/>
      <c r="CV43635" s="376"/>
    </row>
    <row r="43636" spans="1:100">
      <c r="A43636" s="374"/>
      <c r="C43636" s="374"/>
      <c r="CV43636" s="376"/>
    </row>
    <row r="43637" spans="1:100">
      <c r="A43637" s="374"/>
      <c r="C43637" s="374"/>
      <c r="CV43637" s="376"/>
    </row>
    <row r="43638" spans="1:100">
      <c r="A43638" s="374"/>
      <c r="C43638" s="374"/>
      <c r="CV43638" s="376"/>
    </row>
    <row r="43639" spans="1:100">
      <c r="A43639" s="374"/>
      <c r="C43639" s="374"/>
      <c r="CV43639" s="376"/>
    </row>
    <row r="43640" spans="1:100">
      <c r="A43640" s="374"/>
      <c r="C43640" s="374"/>
      <c r="CV43640" s="376"/>
    </row>
    <row r="43641" spans="1:100">
      <c r="A43641" s="374"/>
      <c r="C43641" s="374"/>
      <c r="CV43641" s="376"/>
    </row>
    <row r="43642" spans="1:100">
      <c r="A43642" s="374"/>
      <c r="C43642" s="374"/>
      <c r="CV43642" s="376"/>
    </row>
    <row r="43643" spans="1:100">
      <c r="A43643" s="374"/>
      <c r="C43643" s="374"/>
      <c r="CV43643" s="376"/>
    </row>
    <row r="43644" spans="1:100">
      <c r="A43644" s="374"/>
      <c r="C43644" s="374"/>
      <c r="CV43644" s="376"/>
    </row>
    <row r="43645" spans="1:100">
      <c r="A43645" s="374"/>
      <c r="C43645" s="374"/>
      <c r="CV43645" s="376"/>
    </row>
    <row r="43646" spans="1:100">
      <c r="A43646" s="374"/>
      <c r="C43646" s="374"/>
      <c r="CV43646" s="376"/>
    </row>
    <row r="43647" spans="1:100">
      <c r="A43647" s="374"/>
      <c r="C43647" s="374"/>
      <c r="CV43647" s="376"/>
    </row>
    <row r="43648" spans="1:100">
      <c r="A43648" s="374"/>
      <c r="C43648" s="374"/>
      <c r="CV43648" s="376"/>
    </row>
    <row r="43649" spans="1:100">
      <c r="A43649" s="374"/>
      <c r="C43649" s="374"/>
      <c r="CV43649" s="376"/>
    </row>
    <row r="43650" spans="1:100">
      <c r="A43650" s="374"/>
      <c r="C43650" s="374"/>
      <c r="CV43650" s="376"/>
    </row>
    <row r="43651" spans="1:100">
      <c r="A43651" s="374"/>
      <c r="C43651" s="374"/>
      <c r="CV43651" s="376"/>
    </row>
    <row r="43652" spans="1:100">
      <c r="A43652" s="374"/>
      <c r="C43652" s="374"/>
      <c r="CV43652" s="376"/>
    </row>
    <row r="43653" spans="1:100">
      <c r="A43653" s="374"/>
      <c r="C43653" s="374"/>
      <c r="CV43653" s="376"/>
    </row>
    <row r="43654" spans="1:100">
      <c r="A43654" s="374"/>
      <c r="C43654" s="374"/>
      <c r="CV43654" s="376"/>
    </row>
    <row r="43655" spans="1:100">
      <c r="A43655" s="374"/>
      <c r="C43655" s="374"/>
      <c r="CV43655" s="376"/>
    </row>
    <row r="43656" spans="1:100">
      <c r="A43656" s="374"/>
      <c r="C43656" s="374"/>
      <c r="CV43656" s="376"/>
    </row>
    <row r="43657" spans="1:100">
      <c r="A43657" s="374"/>
      <c r="C43657" s="374"/>
      <c r="CV43657" s="376"/>
    </row>
    <row r="43658" spans="1:100">
      <c r="A43658" s="374"/>
      <c r="C43658" s="374"/>
      <c r="CV43658" s="376"/>
    </row>
    <row r="43659" spans="1:100">
      <c r="A43659" s="374"/>
      <c r="C43659" s="374"/>
      <c r="CV43659" s="376"/>
    </row>
    <row r="43660" spans="1:100">
      <c r="A43660" s="374"/>
      <c r="C43660" s="374"/>
      <c r="CV43660" s="376"/>
    </row>
    <row r="43661" spans="1:100">
      <c r="A43661" s="374"/>
      <c r="C43661" s="374"/>
      <c r="CV43661" s="376"/>
    </row>
    <row r="43662" spans="1:100">
      <c r="A43662" s="374"/>
      <c r="C43662" s="374"/>
      <c r="CV43662" s="376"/>
    </row>
    <row r="43663" spans="1:100">
      <c r="A43663" s="374"/>
      <c r="C43663" s="374"/>
      <c r="CV43663" s="376"/>
    </row>
    <row r="43664" spans="1:100">
      <c r="A43664" s="374"/>
      <c r="C43664" s="374"/>
      <c r="CV43664" s="376"/>
    </row>
    <row r="43665" spans="1:100">
      <c r="A43665" s="374"/>
      <c r="C43665" s="374"/>
      <c r="CV43665" s="376"/>
    </row>
    <row r="43666" spans="1:100">
      <c r="A43666" s="374"/>
      <c r="C43666" s="374"/>
      <c r="CV43666" s="376"/>
    </row>
    <row r="43667" spans="1:100">
      <c r="A43667" s="374"/>
      <c r="C43667" s="374"/>
      <c r="CV43667" s="376"/>
    </row>
    <row r="43668" spans="1:100">
      <c r="A43668" s="374"/>
      <c r="C43668" s="374"/>
      <c r="CV43668" s="376"/>
    </row>
    <row r="43669" spans="1:100">
      <c r="A43669" s="374"/>
      <c r="C43669" s="374"/>
      <c r="CV43669" s="376"/>
    </row>
    <row r="43670" spans="1:100">
      <c r="A43670" s="374"/>
      <c r="C43670" s="374"/>
      <c r="CV43670" s="376"/>
    </row>
    <row r="43671" spans="1:100">
      <c r="A43671" s="374"/>
      <c r="C43671" s="374"/>
      <c r="CV43671" s="376"/>
    </row>
    <row r="43672" spans="1:100">
      <c r="A43672" s="374"/>
      <c r="C43672" s="374"/>
      <c r="CV43672" s="376"/>
    </row>
    <row r="43673" spans="1:100">
      <c r="A43673" s="374"/>
      <c r="C43673" s="374"/>
      <c r="CV43673" s="376"/>
    </row>
    <row r="43674" spans="1:100">
      <c r="A43674" s="374"/>
      <c r="C43674" s="374"/>
      <c r="CV43674" s="376"/>
    </row>
    <row r="43675" spans="1:100">
      <c r="A43675" s="374"/>
      <c r="C43675" s="374"/>
      <c r="CV43675" s="376"/>
    </row>
    <row r="43676" spans="1:100">
      <c r="A43676" s="374"/>
      <c r="C43676" s="374"/>
      <c r="CV43676" s="376"/>
    </row>
    <row r="43677" spans="1:100">
      <c r="A43677" s="374"/>
      <c r="C43677" s="374"/>
      <c r="CV43677" s="376"/>
    </row>
    <row r="43678" spans="1:100">
      <c r="A43678" s="374"/>
      <c r="C43678" s="374"/>
      <c r="CV43678" s="376"/>
    </row>
    <row r="43679" spans="1:100">
      <c r="A43679" s="374"/>
      <c r="C43679" s="374"/>
      <c r="CV43679" s="376"/>
    </row>
    <row r="43680" spans="1:100">
      <c r="A43680" s="374"/>
      <c r="C43680" s="374"/>
      <c r="CV43680" s="376"/>
    </row>
    <row r="43681" spans="1:100">
      <c r="A43681" s="374"/>
      <c r="C43681" s="374"/>
      <c r="CV43681" s="376"/>
    </row>
    <row r="43682" spans="1:100">
      <c r="A43682" s="374"/>
      <c r="C43682" s="374"/>
      <c r="CV43682" s="376"/>
    </row>
    <row r="43683" spans="1:100">
      <c r="A43683" s="374"/>
      <c r="C43683" s="374"/>
      <c r="CV43683" s="376"/>
    </row>
    <row r="43684" spans="1:100">
      <c r="A43684" s="374"/>
      <c r="C43684" s="374"/>
      <c r="CV43684" s="376"/>
    </row>
    <row r="43685" spans="1:100">
      <c r="A43685" s="374"/>
      <c r="C43685" s="374"/>
      <c r="CV43685" s="376"/>
    </row>
    <row r="43686" spans="1:100">
      <c r="A43686" s="374"/>
      <c r="C43686" s="374"/>
      <c r="CV43686" s="376"/>
    </row>
    <row r="43687" spans="1:100">
      <c r="A43687" s="374"/>
      <c r="C43687" s="374"/>
      <c r="CV43687" s="376"/>
    </row>
    <row r="43688" spans="1:100">
      <c r="A43688" s="374"/>
      <c r="C43688" s="374"/>
      <c r="CV43688" s="376"/>
    </row>
    <row r="43689" spans="1:100">
      <c r="A43689" s="374"/>
      <c r="C43689" s="374"/>
      <c r="CV43689" s="376"/>
    </row>
    <row r="43690" spans="1:100">
      <c r="A43690" s="374"/>
      <c r="C43690" s="374"/>
      <c r="CV43690" s="376"/>
    </row>
    <row r="43691" spans="1:100">
      <c r="A43691" s="374"/>
      <c r="C43691" s="374"/>
      <c r="CV43691" s="376"/>
    </row>
    <row r="43692" spans="1:100">
      <c r="A43692" s="374"/>
      <c r="C43692" s="374"/>
      <c r="CV43692" s="376"/>
    </row>
    <row r="43693" spans="1:100">
      <c r="A43693" s="374"/>
      <c r="C43693" s="374"/>
      <c r="CV43693" s="376"/>
    </row>
    <row r="43694" spans="1:100">
      <c r="A43694" s="374"/>
      <c r="C43694" s="374"/>
      <c r="CV43694" s="376"/>
    </row>
    <row r="43695" spans="1:100">
      <c r="A43695" s="374"/>
      <c r="C43695" s="374"/>
      <c r="CV43695" s="376"/>
    </row>
    <row r="43696" spans="1:100">
      <c r="A43696" s="374"/>
      <c r="C43696" s="374"/>
      <c r="CV43696" s="376"/>
    </row>
    <row r="43697" spans="1:100">
      <c r="A43697" s="374"/>
      <c r="C43697" s="374"/>
      <c r="CV43697" s="376"/>
    </row>
    <row r="43698" spans="1:100">
      <c r="A43698" s="374"/>
      <c r="C43698" s="374"/>
      <c r="CV43698" s="376"/>
    </row>
    <row r="43699" spans="1:100">
      <c r="A43699" s="374"/>
      <c r="C43699" s="374"/>
      <c r="CV43699" s="376"/>
    </row>
    <row r="43700" spans="1:100">
      <c r="A43700" s="374"/>
      <c r="C43700" s="374"/>
      <c r="CV43700" s="376"/>
    </row>
    <row r="43701" spans="1:100">
      <c r="A43701" s="374"/>
      <c r="C43701" s="374"/>
      <c r="CV43701" s="376"/>
    </row>
    <row r="43702" spans="1:100">
      <c r="A43702" s="374"/>
      <c r="C43702" s="374"/>
      <c r="CV43702" s="376"/>
    </row>
    <row r="43703" spans="1:100">
      <c r="A43703" s="374"/>
      <c r="C43703" s="374"/>
      <c r="CV43703" s="376"/>
    </row>
    <row r="43704" spans="1:100">
      <c r="A43704" s="374"/>
      <c r="C43704" s="374"/>
      <c r="CV43704" s="376"/>
    </row>
    <row r="43705" spans="1:100">
      <c r="A43705" s="374"/>
      <c r="C43705" s="374"/>
      <c r="CV43705" s="376"/>
    </row>
    <row r="43706" spans="1:100">
      <c r="A43706" s="374"/>
      <c r="C43706" s="374"/>
      <c r="CV43706" s="376"/>
    </row>
    <row r="43707" spans="1:100">
      <c r="A43707" s="374"/>
      <c r="C43707" s="374"/>
      <c r="CV43707" s="376"/>
    </row>
    <row r="43708" spans="1:100">
      <c r="A43708" s="374"/>
      <c r="C43708" s="374"/>
      <c r="CV43708" s="376"/>
    </row>
    <row r="43709" spans="1:100">
      <c r="A43709" s="374"/>
      <c r="C43709" s="374"/>
      <c r="CV43709" s="376"/>
    </row>
    <row r="43710" spans="1:100">
      <c r="A43710" s="374"/>
      <c r="C43710" s="374"/>
      <c r="CV43710" s="376"/>
    </row>
    <row r="43711" spans="1:100">
      <c r="A43711" s="374"/>
      <c r="C43711" s="374"/>
      <c r="CV43711" s="376"/>
    </row>
    <row r="43712" spans="1:100">
      <c r="A43712" s="374"/>
      <c r="C43712" s="374"/>
      <c r="CV43712" s="376"/>
    </row>
    <row r="43713" spans="1:100">
      <c r="A43713" s="374"/>
      <c r="C43713" s="374"/>
      <c r="CV43713" s="376"/>
    </row>
    <row r="43714" spans="1:100">
      <c r="A43714" s="374"/>
      <c r="C43714" s="374"/>
      <c r="CV43714" s="376"/>
    </row>
    <row r="43715" spans="1:100">
      <c r="A43715" s="374"/>
      <c r="C43715" s="374"/>
      <c r="CV43715" s="376"/>
    </row>
    <row r="43716" spans="1:100">
      <c r="A43716" s="374"/>
      <c r="C43716" s="374"/>
      <c r="CV43716" s="376"/>
    </row>
    <row r="43717" spans="1:100">
      <c r="A43717" s="374"/>
      <c r="C43717" s="374"/>
      <c r="CV43717" s="376"/>
    </row>
    <row r="43718" spans="1:100">
      <c r="A43718" s="374"/>
      <c r="C43718" s="374"/>
      <c r="CV43718" s="376"/>
    </row>
    <row r="43719" spans="1:100">
      <c r="A43719" s="374"/>
      <c r="C43719" s="374"/>
      <c r="CV43719" s="376"/>
    </row>
    <row r="43720" spans="1:100">
      <c r="A43720" s="374"/>
      <c r="C43720" s="374"/>
      <c r="CV43720" s="376"/>
    </row>
    <row r="43721" spans="1:100">
      <c r="A43721" s="374"/>
      <c r="C43721" s="374"/>
      <c r="CV43721" s="376"/>
    </row>
    <row r="43722" spans="1:100">
      <c r="A43722" s="374"/>
      <c r="C43722" s="374"/>
      <c r="CV43722" s="376"/>
    </row>
    <row r="43723" spans="1:100">
      <c r="A43723" s="374"/>
      <c r="C43723" s="374"/>
      <c r="CV43723" s="376"/>
    </row>
    <row r="43724" spans="1:100">
      <c r="A43724" s="374"/>
      <c r="C43724" s="374"/>
      <c r="CV43724" s="376"/>
    </row>
    <row r="43725" spans="1:100">
      <c r="A43725" s="374"/>
      <c r="C43725" s="374"/>
      <c r="CV43725" s="376"/>
    </row>
    <row r="43726" spans="1:100">
      <c r="A43726" s="374"/>
      <c r="C43726" s="374"/>
      <c r="CV43726" s="376"/>
    </row>
    <row r="43727" spans="1:100">
      <c r="A43727" s="374"/>
      <c r="C43727" s="374"/>
      <c r="CV43727" s="376"/>
    </row>
    <row r="43728" spans="1:100">
      <c r="A43728" s="374"/>
      <c r="C43728" s="374"/>
      <c r="CV43728" s="376"/>
    </row>
    <row r="43729" spans="1:100">
      <c r="A43729" s="374"/>
      <c r="C43729" s="374"/>
      <c r="CV43729" s="376"/>
    </row>
    <row r="43730" spans="1:100">
      <c r="A43730" s="374"/>
      <c r="C43730" s="374"/>
      <c r="CV43730" s="376"/>
    </row>
    <row r="43731" spans="1:100">
      <c r="A43731" s="374"/>
      <c r="C43731" s="374"/>
      <c r="CV43731" s="376"/>
    </row>
    <row r="43732" spans="1:100">
      <c r="A43732" s="374"/>
      <c r="C43732" s="374"/>
      <c r="CV43732" s="376"/>
    </row>
    <row r="43733" spans="1:100">
      <c r="A43733" s="374"/>
      <c r="C43733" s="374"/>
      <c r="CV43733" s="376"/>
    </row>
    <row r="43734" spans="1:100">
      <c r="A43734" s="374"/>
      <c r="C43734" s="374"/>
      <c r="CV43734" s="376"/>
    </row>
    <row r="43735" spans="1:100">
      <c r="A43735" s="374"/>
      <c r="C43735" s="374"/>
      <c r="CV43735" s="376"/>
    </row>
    <row r="43736" spans="1:100">
      <c r="A43736" s="374"/>
      <c r="C43736" s="374"/>
      <c r="CV43736" s="376"/>
    </row>
    <row r="43737" spans="1:100">
      <c r="A43737" s="374"/>
      <c r="C43737" s="374"/>
      <c r="CV43737" s="376"/>
    </row>
    <row r="43738" spans="1:100">
      <c r="A43738" s="374"/>
      <c r="C43738" s="374"/>
      <c r="CV43738" s="376"/>
    </row>
    <row r="43739" spans="1:100">
      <c r="A43739" s="374"/>
      <c r="C43739" s="374"/>
      <c r="CV43739" s="376"/>
    </row>
    <row r="43740" spans="1:100">
      <c r="A43740" s="374"/>
      <c r="C43740" s="374"/>
      <c r="CV43740" s="376"/>
    </row>
    <row r="43741" spans="1:100">
      <c r="A43741" s="374"/>
      <c r="C43741" s="374"/>
      <c r="CV43741" s="376"/>
    </row>
    <row r="43742" spans="1:100">
      <c r="A43742" s="374"/>
      <c r="C43742" s="374"/>
      <c r="CV43742" s="376"/>
    </row>
    <row r="43743" spans="1:100">
      <c r="A43743" s="374"/>
      <c r="C43743" s="374"/>
      <c r="CV43743" s="376"/>
    </row>
    <row r="43744" spans="1:100">
      <c r="A43744" s="374"/>
      <c r="C43744" s="374"/>
      <c r="CV43744" s="376"/>
    </row>
    <row r="43745" spans="1:100">
      <c r="A43745" s="374"/>
      <c r="C43745" s="374"/>
      <c r="CV43745" s="376"/>
    </row>
    <row r="43746" spans="1:100">
      <c r="A43746" s="374"/>
      <c r="C43746" s="374"/>
      <c r="CV43746" s="376"/>
    </row>
    <row r="43747" spans="1:100">
      <c r="A43747" s="374"/>
      <c r="C43747" s="374"/>
      <c r="CV43747" s="376"/>
    </row>
    <row r="43748" spans="1:100">
      <c r="A43748" s="374"/>
      <c r="C43748" s="374"/>
      <c r="CV43748" s="376"/>
    </row>
    <row r="43749" spans="1:100">
      <c r="A43749" s="374"/>
      <c r="C43749" s="374"/>
      <c r="CV43749" s="376"/>
    </row>
    <row r="43750" spans="1:100">
      <c r="A43750" s="374"/>
      <c r="C43750" s="374"/>
      <c r="CV43750" s="376"/>
    </row>
    <row r="43751" spans="1:100">
      <c r="A43751" s="374"/>
      <c r="C43751" s="374"/>
      <c r="CV43751" s="376"/>
    </row>
    <row r="43752" spans="1:100">
      <c r="A43752" s="374"/>
      <c r="C43752" s="374"/>
      <c r="CV43752" s="376"/>
    </row>
    <row r="43753" spans="1:100">
      <c r="A43753" s="374"/>
      <c r="C43753" s="374"/>
      <c r="CV43753" s="376"/>
    </row>
    <row r="43754" spans="1:100">
      <c r="A43754" s="374"/>
      <c r="C43754" s="374"/>
      <c r="CV43754" s="376"/>
    </row>
    <row r="43755" spans="1:100">
      <c r="A43755" s="374"/>
      <c r="C43755" s="374"/>
      <c r="CV43755" s="376"/>
    </row>
    <row r="43756" spans="1:100">
      <c r="A43756" s="374"/>
      <c r="C43756" s="374"/>
      <c r="CV43756" s="376"/>
    </row>
    <row r="43757" spans="1:100">
      <c r="A43757" s="374"/>
      <c r="C43757" s="374"/>
      <c r="CV43757" s="376"/>
    </row>
    <row r="43758" spans="1:100">
      <c r="A43758" s="374"/>
      <c r="C43758" s="374"/>
      <c r="CV43758" s="376"/>
    </row>
    <row r="43759" spans="1:100">
      <c r="A43759" s="374"/>
      <c r="C43759" s="374"/>
      <c r="CV43759" s="376"/>
    </row>
    <row r="43760" spans="1:100">
      <c r="A43760" s="374"/>
      <c r="C43760" s="374"/>
      <c r="CV43760" s="376"/>
    </row>
    <row r="43761" spans="1:100">
      <c r="A43761" s="374"/>
      <c r="C43761" s="374"/>
      <c r="CV43761" s="376"/>
    </row>
    <row r="43762" spans="1:100">
      <c r="A43762" s="374"/>
      <c r="C43762" s="374"/>
      <c r="CV43762" s="376"/>
    </row>
    <row r="43763" spans="1:100">
      <c r="A43763" s="374"/>
      <c r="C43763" s="374"/>
      <c r="CV43763" s="376"/>
    </row>
    <row r="43764" spans="1:100">
      <c r="A43764" s="374"/>
      <c r="C43764" s="374"/>
      <c r="CV43764" s="376"/>
    </row>
    <row r="43765" spans="1:100">
      <c r="A43765" s="374"/>
      <c r="C43765" s="374"/>
      <c r="CV43765" s="376"/>
    </row>
    <row r="43766" spans="1:100">
      <c r="A43766" s="374"/>
      <c r="C43766" s="374"/>
      <c r="CV43766" s="376"/>
    </row>
    <row r="43767" spans="1:100">
      <c r="A43767" s="374"/>
      <c r="C43767" s="374"/>
      <c r="CV43767" s="376"/>
    </row>
    <row r="43768" spans="1:100">
      <c r="A43768" s="374"/>
      <c r="C43768" s="374"/>
      <c r="CV43768" s="376"/>
    </row>
    <row r="43769" spans="1:100">
      <c r="A43769" s="374"/>
      <c r="C43769" s="374"/>
      <c r="CV43769" s="376"/>
    </row>
    <row r="43770" spans="1:100">
      <c r="A43770" s="374"/>
      <c r="C43770" s="374"/>
      <c r="CV43770" s="376"/>
    </row>
    <row r="43771" spans="1:100">
      <c r="A43771" s="374"/>
      <c r="C43771" s="374"/>
      <c r="CV43771" s="376"/>
    </row>
    <row r="43772" spans="1:100">
      <c r="A43772" s="374"/>
      <c r="C43772" s="374"/>
      <c r="CV43772" s="376"/>
    </row>
    <row r="43773" spans="1:100">
      <c r="A43773" s="374"/>
      <c r="C43773" s="374"/>
      <c r="CV43773" s="376"/>
    </row>
    <row r="43774" spans="1:100">
      <c r="A43774" s="374"/>
      <c r="C43774" s="374"/>
      <c r="CV43774" s="376"/>
    </row>
    <row r="43775" spans="1:100">
      <c r="A43775" s="374"/>
      <c r="C43775" s="374"/>
      <c r="CV43775" s="376"/>
    </row>
    <row r="43776" spans="1:100">
      <c r="A43776" s="374"/>
      <c r="C43776" s="374"/>
      <c r="CV43776" s="376"/>
    </row>
    <row r="43777" spans="1:100">
      <c r="A43777" s="374"/>
      <c r="C43777" s="374"/>
      <c r="CV43777" s="376"/>
    </row>
    <row r="43778" spans="1:100">
      <c r="A43778" s="374"/>
      <c r="C43778" s="374"/>
      <c r="CV43778" s="376"/>
    </row>
    <row r="43779" spans="1:100">
      <c r="A43779" s="374"/>
      <c r="C43779" s="374"/>
      <c r="CV43779" s="376"/>
    </row>
    <row r="43780" spans="1:100">
      <c r="A43780" s="374"/>
      <c r="C43780" s="374"/>
      <c r="CV43780" s="376"/>
    </row>
    <row r="43781" spans="1:100">
      <c r="A43781" s="374"/>
      <c r="C43781" s="374"/>
      <c r="CV43781" s="376"/>
    </row>
    <row r="43782" spans="1:100">
      <c r="A43782" s="374"/>
      <c r="C43782" s="374"/>
      <c r="CV43782" s="376"/>
    </row>
    <row r="43783" spans="1:100">
      <c r="A43783" s="374"/>
      <c r="C43783" s="374"/>
      <c r="CV43783" s="376"/>
    </row>
    <row r="43784" spans="1:100">
      <c r="A43784" s="374"/>
      <c r="C43784" s="374"/>
      <c r="CV43784" s="376"/>
    </row>
    <row r="43785" spans="1:100">
      <c r="A43785" s="374"/>
      <c r="C43785" s="374"/>
      <c r="CV43785" s="376"/>
    </row>
    <row r="43786" spans="1:100">
      <c r="A43786" s="374"/>
      <c r="C43786" s="374"/>
      <c r="CV43786" s="376"/>
    </row>
    <row r="43787" spans="1:100">
      <c r="A43787" s="374"/>
      <c r="C43787" s="374"/>
      <c r="CV43787" s="376"/>
    </row>
    <row r="43788" spans="1:100">
      <c r="A43788" s="374"/>
      <c r="C43788" s="374"/>
      <c r="CV43788" s="376"/>
    </row>
    <row r="43789" spans="1:100">
      <c r="A43789" s="374"/>
      <c r="C43789" s="374"/>
      <c r="CV43789" s="376"/>
    </row>
    <row r="43790" spans="1:100">
      <c r="A43790" s="374"/>
      <c r="C43790" s="374"/>
      <c r="CV43790" s="376"/>
    </row>
    <row r="43791" spans="1:100">
      <c r="A43791" s="374"/>
      <c r="C43791" s="374"/>
      <c r="CV43791" s="376"/>
    </row>
    <row r="43792" spans="1:100">
      <c r="A43792" s="374"/>
      <c r="C43792" s="374"/>
      <c r="CV43792" s="376"/>
    </row>
    <row r="43793" spans="1:100">
      <c r="A43793" s="374"/>
      <c r="C43793" s="374"/>
      <c r="CV43793" s="376"/>
    </row>
    <row r="43794" spans="1:100">
      <c r="A43794" s="374"/>
      <c r="C43794" s="374"/>
      <c r="CV43794" s="376"/>
    </row>
    <row r="43795" spans="1:100">
      <c r="A43795" s="374"/>
      <c r="C43795" s="374"/>
      <c r="CV43795" s="376"/>
    </row>
    <row r="43796" spans="1:100">
      <c r="A43796" s="374"/>
      <c r="C43796" s="374"/>
      <c r="CV43796" s="376"/>
    </row>
    <row r="43797" spans="1:100">
      <c r="A43797" s="374"/>
      <c r="C43797" s="374"/>
      <c r="CV43797" s="376"/>
    </row>
    <row r="43798" spans="1:100">
      <c r="A43798" s="374"/>
      <c r="C43798" s="374"/>
      <c r="CV43798" s="376"/>
    </row>
    <row r="43799" spans="1:100">
      <c r="A43799" s="374"/>
      <c r="C43799" s="374"/>
      <c r="CV43799" s="376"/>
    </row>
    <row r="43800" spans="1:100">
      <c r="A43800" s="374"/>
      <c r="C43800" s="374"/>
      <c r="CV43800" s="376"/>
    </row>
    <row r="43801" spans="1:100">
      <c r="A43801" s="374"/>
      <c r="C43801" s="374"/>
      <c r="CV43801" s="376"/>
    </row>
    <row r="43802" spans="1:100">
      <c r="A43802" s="374"/>
      <c r="C43802" s="374"/>
      <c r="CV43802" s="376"/>
    </row>
    <row r="43803" spans="1:100">
      <c r="A43803" s="374"/>
      <c r="C43803" s="374"/>
      <c r="CV43803" s="376"/>
    </row>
    <row r="43804" spans="1:100">
      <c r="A43804" s="374"/>
      <c r="C43804" s="374"/>
      <c r="CV43804" s="376"/>
    </row>
    <row r="43805" spans="1:100">
      <c r="A43805" s="374"/>
      <c r="C43805" s="374"/>
      <c r="CV43805" s="376"/>
    </row>
    <row r="43806" spans="1:100">
      <c r="A43806" s="374"/>
      <c r="C43806" s="374"/>
      <c r="CV43806" s="376"/>
    </row>
    <row r="43807" spans="1:100">
      <c r="A43807" s="374"/>
      <c r="C43807" s="374"/>
      <c r="CV43807" s="376"/>
    </row>
    <row r="43808" spans="1:100">
      <c r="A43808" s="374"/>
      <c r="C43808" s="374"/>
      <c r="CV43808" s="376"/>
    </row>
    <row r="43809" spans="1:100">
      <c r="A43809" s="374"/>
      <c r="C43809" s="374"/>
      <c r="CV43809" s="376"/>
    </row>
    <row r="43810" spans="1:100">
      <c r="A43810" s="374"/>
      <c r="C43810" s="374"/>
      <c r="CV43810" s="376"/>
    </row>
    <row r="43811" spans="1:100">
      <c r="A43811" s="374"/>
      <c r="C43811" s="374"/>
      <c r="CV43811" s="376"/>
    </row>
    <row r="43812" spans="1:100">
      <c r="A43812" s="374"/>
      <c r="C43812" s="374"/>
      <c r="CV43812" s="376"/>
    </row>
    <row r="43813" spans="1:100">
      <c r="A43813" s="374"/>
      <c r="C43813" s="374"/>
      <c r="CV43813" s="376"/>
    </row>
    <row r="43814" spans="1:100">
      <c r="A43814" s="374"/>
      <c r="C43814" s="374"/>
      <c r="CV43814" s="376"/>
    </row>
    <row r="43815" spans="1:100">
      <c r="A43815" s="374"/>
      <c r="C43815" s="374"/>
      <c r="CV43815" s="376"/>
    </row>
    <row r="43816" spans="1:100">
      <c r="A43816" s="374"/>
      <c r="C43816" s="374"/>
      <c r="CV43816" s="376"/>
    </row>
    <row r="43817" spans="1:100">
      <c r="A43817" s="374"/>
      <c r="C43817" s="374"/>
      <c r="CV43817" s="376"/>
    </row>
    <row r="43818" spans="1:100">
      <c r="A43818" s="374"/>
      <c r="C43818" s="374"/>
      <c r="CV43818" s="376"/>
    </row>
    <row r="43819" spans="1:100">
      <c r="A43819" s="374"/>
      <c r="C43819" s="374"/>
      <c r="CV43819" s="376"/>
    </row>
    <row r="43820" spans="1:100">
      <c r="A43820" s="374"/>
      <c r="C43820" s="374"/>
      <c r="CV43820" s="376"/>
    </row>
    <row r="43821" spans="1:100">
      <c r="A43821" s="374"/>
      <c r="C43821" s="374"/>
      <c r="CV43821" s="376"/>
    </row>
    <row r="43822" spans="1:100">
      <c r="A43822" s="374"/>
      <c r="C43822" s="374"/>
      <c r="CV43822" s="376"/>
    </row>
    <row r="43823" spans="1:100">
      <c r="A43823" s="374"/>
      <c r="C43823" s="374"/>
      <c r="CV43823" s="376"/>
    </row>
    <row r="43824" spans="1:100">
      <c r="A43824" s="374"/>
      <c r="C43824" s="374"/>
      <c r="CV43824" s="376"/>
    </row>
    <row r="43825" spans="1:100">
      <c r="A43825" s="374"/>
      <c r="C43825" s="374"/>
      <c r="CV43825" s="376"/>
    </row>
    <row r="43826" spans="1:100">
      <c r="A43826" s="374"/>
      <c r="C43826" s="374"/>
      <c r="CV43826" s="376"/>
    </row>
    <row r="43827" spans="1:100">
      <c r="A43827" s="374"/>
      <c r="C43827" s="374"/>
      <c r="CV43827" s="376"/>
    </row>
    <row r="43828" spans="1:100">
      <c r="A43828" s="374"/>
      <c r="C43828" s="374"/>
      <c r="CV43828" s="376"/>
    </row>
    <row r="43829" spans="1:100">
      <c r="A43829" s="374"/>
      <c r="C43829" s="374"/>
      <c r="CV43829" s="376"/>
    </row>
    <row r="43830" spans="1:100">
      <c r="A43830" s="374"/>
      <c r="C43830" s="374"/>
      <c r="CV43830" s="376"/>
    </row>
    <row r="43831" spans="1:100">
      <c r="A43831" s="374"/>
      <c r="C43831" s="374"/>
      <c r="CV43831" s="376"/>
    </row>
    <row r="43832" spans="1:100">
      <c r="A43832" s="374"/>
      <c r="C43832" s="374"/>
      <c r="CV43832" s="376"/>
    </row>
    <row r="43833" spans="1:100">
      <c r="A43833" s="374"/>
      <c r="C43833" s="374"/>
      <c r="CV43833" s="376"/>
    </row>
    <row r="43834" spans="1:100">
      <c r="A43834" s="374"/>
      <c r="C43834" s="374"/>
      <c r="CV43834" s="376"/>
    </row>
    <row r="43835" spans="1:100">
      <c r="A43835" s="374"/>
      <c r="C43835" s="374"/>
      <c r="CV43835" s="376"/>
    </row>
    <row r="43836" spans="1:100">
      <c r="A43836" s="374"/>
      <c r="C43836" s="374"/>
      <c r="CV43836" s="376"/>
    </row>
    <row r="43837" spans="1:100">
      <c r="A43837" s="374"/>
      <c r="C43837" s="374"/>
      <c r="CV43837" s="376"/>
    </row>
    <row r="43838" spans="1:100">
      <c r="A43838" s="374"/>
      <c r="C43838" s="374"/>
      <c r="CV43838" s="376"/>
    </row>
    <row r="43839" spans="1:100">
      <c r="A43839" s="374"/>
      <c r="C43839" s="374"/>
      <c r="CV43839" s="376"/>
    </row>
    <row r="43840" spans="1:100">
      <c r="A43840" s="374"/>
      <c r="C43840" s="374"/>
      <c r="CV43840" s="376"/>
    </row>
    <row r="43841" spans="1:100">
      <c r="A43841" s="374"/>
      <c r="C43841" s="374"/>
      <c r="CV43841" s="376"/>
    </row>
    <row r="43842" spans="1:100">
      <c r="A43842" s="374"/>
      <c r="C43842" s="374"/>
      <c r="CV43842" s="376"/>
    </row>
    <row r="43843" spans="1:100">
      <c r="A43843" s="374"/>
      <c r="C43843" s="374"/>
      <c r="CV43843" s="376"/>
    </row>
    <row r="43844" spans="1:100">
      <c r="A43844" s="374"/>
      <c r="C43844" s="374"/>
      <c r="CV43844" s="376"/>
    </row>
    <row r="43845" spans="1:100">
      <c r="A43845" s="374"/>
      <c r="C43845" s="374"/>
      <c r="CV43845" s="376"/>
    </row>
    <row r="43846" spans="1:100">
      <c r="A43846" s="374"/>
      <c r="C43846" s="374"/>
      <c r="CV43846" s="376"/>
    </row>
    <row r="43847" spans="1:100">
      <c r="A43847" s="374"/>
      <c r="C43847" s="374"/>
      <c r="CV43847" s="376"/>
    </row>
    <row r="43848" spans="1:100">
      <c r="A43848" s="374"/>
      <c r="C43848" s="374"/>
      <c r="CV43848" s="376"/>
    </row>
    <row r="43849" spans="1:100">
      <c r="A43849" s="374"/>
      <c r="C43849" s="374"/>
      <c r="CV43849" s="376"/>
    </row>
    <row r="43850" spans="1:100">
      <c r="A43850" s="374"/>
      <c r="C43850" s="374"/>
      <c r="CV43850" s="376"/>
    </row>
    <row r="43851" spans="1:100">
      <c r="A43851" s="374"/>
      <c r="C43851" s="374"/>
      <c r="CV43851" s="376"/>
    </row>
    <row r="43852" spans="1:100">
      <c r="A43852" s="374"/>
      <c r="C43852" s="374"/>
      <c r="CV43852" s="376"/>
    </row>
    <row r="43853" spans="1:100">
      <c r="A43853" s="374"/>
      <c r="C43853" s="374"/>
      <c r="CV43853" s="376"/>
    </row>
    <row r="43854" spans="1:100">
      <c r="A43854" s="374"/>
      <c r="C43854" s="374"/>
      <c r="CV43854" s="376"/>
    </row>
    <row r="43855" spans="1:100">
      <c r="A43855" s="374"/>
      <c r="C43855" s="374"/>
      <c r="CV43855" s="376"/>
    </row>
    <row r="43856" spans="1:100">
      <c r="A43856" s="374"/>
      <c r="C43856" s="374"/>
      <c r="CV43856" s="376"/>
    </row>
    <row r="43857" spans="1:100">
      <c r="A43857" s="374"/>
      <c r="C43857" s="374"/>
      <c r="CV43857" s="376"/>
    </row>
    <row r="43858" spans="1:100">
      <c r="A43858" s="374"/>
      <c r="C43858" s="374"/>
      <c r="CV43858" s="376"/>
    </row>
    <row r="43859" spans="1:100">
      <c r="A43859" s="374"/>
      <c r="C43859" s="374"/>
      <c r="CV43859" s="376"/>
    </row>
    <row r="43860" spans="1:100">
      <c r="A43860" s="374"/>
      <c r="C43860" s="374"/>
      <c r="CV43860" s="376"/>
    </row>
    <row r="43861" spans="1:100">
      <c r="A43861" s="374"/>
      <c r="C43861" s="374"/>
      <c r="CV43861" s="376"/>
    </row>
    <row r="43862" spans="1:100">
      <c r="A43862" s="374"/>
      <c r="C43862" s="374"/>
      <c r="CV43862" s="376"/>
    </row>
    <row r="43863" spans="1:100">
      <c r="A43863" s="374"/>
      <c r="C43863" s="374"/>
      <c r="CV43863" s="376"/>
    </row>
    <row r="43864" spans="1:100">
      <c r="A43864" s="374"/>
      <c r="C43864" s="374"/>
      <c r="CV43864" s="376"/>
    </row>
    <row r="43865" spans="1:100">
      <c r="A43865" s="374"/>
      <c r="C43865" s="374"/>
      <c r="CV43865" s="376"/>
    </row>
    <row r="43866" spans="1:100">
      <c r="A43866" s="374"/>
      <c r="C43866" s="374"/>
      <c r="CV43866" s="376"/>
    </row>
    <row r="43867" spans="1:100">
      <c r="A43867" s="374"/>
      <c r="C43867" s="374"/>
      <c r="CV43867" s="376"/>
    </row>
    <row r="43868" spans="1:100">
      <c r="A43868" s="374"/>
      <c r="C43868" s="374"/>
      <c r="CV43868" s="376"/>
    </row>
    <row r="43869" spans="1:100">
      <c r="A43869" s="374"/>
      <c r="C43869" s="374"/>
      <c r="CV43869" s="376"/>
    </row>
    <row r="43870" spans="1:100">
      <c r="A43870" s="374"/>
      <c r="C43870" s="374"/>
      <c r="CV43870" s="376"/>
    </row>
    <row r="43871" spans="1:100">
      <c r="A43871" s="374"/>
      <c r="C43871" s="374"/>
      <c r="CV43871" s="376"/>
    </row>
    <row r="43872" spans="1:100">
      <c r="A43872" s="374"/>
      <c r="C43872" s="374"/>
      <c r="CV43872" s="376"/>
    </row>
    <row r="43873" spans="1:100">
      <c r="A43873" s="374"/>
      <c r="C43873" s="374"/>
      <c r="CV43873" s="376"/>
    </row>
    <row r="43874" spans="1:100">
      <c r="A43874" s="374"/>
      <c r="C43874" s="374"/>
      <c r="CV43874" s="376"/>
    </row>
    <row r="43875" spans="1:100">
      <c r="A43875" s="374"/>
      <c r="C43875" s="374"/>
      <c r="CV43875" s="376"/>
    </row>
    <row r="43876" spans="1:100">
      <c r="A43876" s="374"/>
      <c r="C43876" s="374"/>
      <c r="CV43876" s="376"/>
    </row>
    <row r="43877" spans="1:100">
      <c r="A43877" s="374"/>
      <c r="C43877" s="374"/>
      <c r="CV43877" s="376"/>
    </row>
    <row r="43878" spans="1:100">
      <c r="A43878" s="374"/>
      <c r="C43878" s="374"/>
      <c r="CV43878" s="376"/>
    </row>
    <row r="43879" spans="1:100">
      <c r="A43879" s="374"/>
      <c r="C43879" s="374"/>
      <c r="CV43879" s="376"/>
    </row>
    <row r="43880" spans="1:100">
      <c r="A43880" s="374"/>
      <c r="C43880" s="374"/>
      <c r="CV43880" s="376"/>
    </row>
    <row r="43881" spans="1:100">
      <c r="A43881" s="374"/>
      <c r="C43881" s="374"/>
      <c r="CV43881" s="376"/>
    </row>
    <row r="43882" spans="1:100">
      <c r="A43882" s="374"/>
      <c r="C43882" s="374"/>
      <c r="CV43882" s="376"/>
    </row>
    <row r="43883" spans="1:100">
      <c r="A43883" s="374"/>
      <c r="C43883" s="374"/>
      <c r="CV43883" s="376"/>
    </row>
    <row r="43884" spans="1:100">
      <c r="A43884" s="374"/>
      <c r="C43884" s="374"/>
      <c r="CV43884" s="376"/>
    </row>
    <row r="43885" spans="1:100">
      <c r="A43885" s="374"/>
      <c r="C43885" s="374"/>
      <c r="CV43885" s="376"/>
    </row>
    <row r="43886" spans="1:100">
      <c r="A43886" s="374"/>
      <c r="C43886" s="374"/>
      <c r="CV43886" s="376"/>
    </row>
    <row r="43887" spans="1:100">
      <c r="A43887" s="374"/>
      <c r="C43887" s="374"/>
      <c r="CV43887" s="376"/>
    </row>
    <row r="43888" spans="1:100">
      <c r="A43888" s="374"/>
      <c r="C43888" s="374"/>
      <c r="CV43888" s="376"/>
    </row>
    <row r="43889" spans="1:100">
      <c r="A43889" s="374"/>
      <c r="C43889" s="374"/>
      <c r="CV43889" s="376"/>
    </row>
    <row r="43890" spans="1:100">
      <c r="A43890" s="374"/>
      <c r="C43890" s="374"/>
      <c r="CV43890" s="376"/>
    </row>
    <row r="43891" spans="1:100">
      <c r="A43891" s="374"/>
      <c r="C43891" s="374"/>
      <c r="CV43891" s="376"/>
    </row>
    <row r="43892" spans="1:100">
      <c r="A43892" s="374"/>
      <c r="C43892" s="374"/>
      <c r="CV43892" s="376"/>
    </row>
    <row r="43893" spans="1:100">
      <c r="A43893" s="374"/>
      <c r="C43893" s="374"/>
      <c r="CV43893" s="376"/>
    </row>
    <row r="43894" spans="1:100">
      <c r="A43894" s="374"/>
      <c r="C43894" s="374"/>
      <c r="CV43894" s="376"/>
    </row>
    <row r="43895" spans="1:100">
      <c r="A43895" s="374"/>
      <c r="C43895" s="374"/>
      <c r="CV43895" s="376"/>
    </row>
    <row r="43896" spans="1:100">
      <c r="A43896" s="374"/>
      <c r="C43896" s="374"/>
      <c r="CV43896" s="376"/>
    </row>
    <row r="43897" spans="1:100">
      <c r="A43897" s="374"/>
      <c r="C43897" s="374"/>
      <c r="CV43897" s="376"/>
    </row>
    <row r="43898" spans="1:100">
      <c r="A43898" s="374"/>
      <c r="C43898" s="374"/>
      <c r="CV43898" s="376"/>
    </row>
    <row r="43899" spans="1:100">
      <c r="A43899" s="374"/>
      <c r="C43899" s="374"/>
      <c r="CV43899" s="376"/>
    </row>
    <row r="43900" spans="1:100">
      <c r="A43900" s="374"/>
      <c r="C43900" s="374"/>
      <c r="CV43900" s="376"/>
    </row>
    <row r="43901" spans="1:100">
      <c r="A43901" s="374"/>
      <c r="C43901" s="374"/>
      <c r="CV43901" s="376"/>
    </row>
    <row r="43902" spans="1:100">
      <c r="A43902" s="374"/>
      <c r="C43902" s="374"/>
      <c r="CV43902" s="376"/>
    </row>
    <row r="43903" spans="1:100">
      <c r="A43903" s="374"/>
      <c r="C43903" s="374"/>
      <c r="CV43903" s="376"/>
    </row>
    <row r="43904" spans="1:100">
      <c r="A43904" s="374"/>
      <c r="C43904" s="374"/>
      <c r="CV43904" s="376"/>
    </row>
    <row r="43905" spans="1:100">
      <c r="A43905" s="374"/>
      <c r="C43905" s="374"/>
      <c r="CV43905" s="376"/>
    </row>
    <row r="43906" spans="1:100">
      <c r="A43906" s="374"/>
      <c r="C43906" s="374"/>
      <c r="CV43906" s="376"/>
    </row>
    <row r="43907" spans="1:100">
      <c r="A43907" s="374"/>
      <c r="C43907" s="374"/>
      <c r="CV43907" s="376"/>
    </row>
    <row r="43908" spans="1:100">
      <c r="A43908" s="374"/>
      <c r="C43908" s="374"/>
      <c r="CV43908" s="376"/>
    </row>
    <row r="43909" spans="1:100">
      <c r="A43909" s="374"/>
      <c r="C43909" s="374"/>
      <c r="CV43909" s="376"/>
    </row>
    <row r="43910" spans="1:100">
      <c r="A43910" s="374"/>
      <c r="C43910" s="374"/>
      <c r="CV43910" s="376"/>
    </row>
    <row r="43911" spans="1:100">
      <c r="A43911" s="374"/>
      <c r="C43911" s="374"/>
      <c r="CV43911" s="376"/>
    </row>
    <row r="43912" spans="1:100">
      <c r="A43912" s="374"/>
      <c r="C43912" s="374"/>
      <c r="CV43912" s="376"/>
    </row>
    <row r="43913" spans="1:100">
      <c r="A43913" s="374"/>
      <c r="C43913" s="374"/>
      <c r="CV43913" s="376"/>
    </row>
    <row r="43914" spans="1:100">
      <c r="A43914" s="374"/>
      <c r="C43914" s="374"/>
      <c r="CV43914" s="376"/>
    </row>
    <row r="43915" spans="1:100">
      <c r="A43915" s="374"/>
      <c r="C43915" s="374"/>
      <c r="CV43915" s="376"/>
    </row>
    <row r="43916" spans="1:100">
      <c r="A43916" s="374"/>
      <c r="C43916" s="374"/>
      <c r="CV43916" s="376"/>
    </row>
    <row r="43917" spans="1:100">
      <c r="A43917" s="374"/>
      <c r="C43917" s="374"/>
      <c r="CV43917" s="376"/>
    </row>
    <row r="43918" spans="1:100">
      <c r="A43918" s="374"/>
      <c r="C43918" s="374"/>
      <c r="CV43918" s="376"/>
    </row>
    <row r="43919" spans="1:100">
      <c r="A43919" s="374"/>
      <c r="C43919" s="374"/>
      <c r="CV43919" s="376"/>
    </row>
    <row r="43920" spans="1:100">
      <c r="A43920" s="374"/>
      <c r="C43920" s="374"/>
      <c r="CV43920" s="376"/>
    </row>
    <row r="43921" spans="1:100">
      <c r="A43921" s="374"/>
      <c r="C43921" s="374"/>
      <c r="CV43921" s="376"/>
    </row>
    <row r="43922" spans="1:100">
      <c r="A43922" s="374"/>
      <c r="C43922" s="374"/>
      <c r="CV43922" s="376"/>
    </row>
    <row r="43923" spans="1:100">
      <c r="A43923" s="374"/>
      <c r="C43923" s="374"/>
      <c r="CV43923" s="376"/>
    </row>
    <row r="43924" spans="1:100">
      <c r="A43924" s="374"/>
      <c r="C43924" s="374"/>
      <c r="CV43924" s="376"/>
    </row>
    <row r="43925" spans="1:100">
      <c r="A43925" s="374"/>
      <c r="C43925" s="374"/>
      <c r="CV43925" s="376"/>
    </row>
    <row r="43926" spans="1:100">
      <c r="A43926" s="374"/>
      <c r="C43926" s="374"/>
      <c r="CV43926" s="376"/>
    </row>
    <row r="43927" spans="1:100">
      <c r="A43927" s="374"/>
      <c r="C43927" s="374"/>
      <c r="CV43927" s="376"/>
    </row>
    <row r="43928" spans="1:100">
      <c r="A43928" s="374"/>
      <c r="C43928" s="374"/>
      <c r="CV43928" s="376"/>
    </row>
    <row r="43929" spans="1:100">
      <c r="A43929" s="374"/>
      <c r="C43929" s="374"/>
      <c r="CV43929" s="376"/>
    </row>
    <row r="43930" spans="1:100">
      <c r="A43930" s="374"/>
      <c r="C43930" s="374"/>
      <c r="CV43930" s="376"/>
    </row>
    <row r="43931" spans="1:100">
      <c r="A43931" s="374"/>
      <c r="C43931" s="374"/>
      <c r="CV43931" s="376"/>
    </row>
    <row r="43932" spans="1:100">
      <c r="A43932" s="374"/>
      <c r="C43932" s="374"/>
      <c r="CV43932" s="376"/>
    </row>
    <row r="43933" spans="1:100">
      <c r="A43933" s="374"/>
      <c r="C43933" s="374"/>
      <c r="CV43933" s="376"/>
    </row>
    <row r="43934" spans="1:100">
      <c r="A43934" s="374"/>
      <c r="C43934" s="374"/>
      <c r="CV43934" s="376"/>
    </row>
    <row r="43935" spans="1:100">
      <c r="A43935" s="374"/>
      <c r="C43935" s="374"/>
      <c r="CV43935" s="376"/>
    </row>
    <row r="43936" spans="1:100">
      <c r="A43936" s="374"/>
      <c r="C43936" s="374"/>
      <c r="CV43936" s="376"/>
    </row>
    <row r="43937" spans="1:100">
      <c r="A43937" s="374"/>
      <c r="C43937" s="374"/>
      <c r="CV43937" s="376"/>
    </row>
    <row r="43938" spans="1:100">
      <c r="A43938" s="374"/>
      <c r="C43938" s="374"/>
      <c r="CV43938" s="376"/>
    </row>
    <row r="43939" spans="1:100">
      <c r="A43939" s="374"/>
      <c r="C43939" s="374"/>
      <c r="CV43939" s="376"/>
    </row>
    <row r="43940" spans="1:100">
      <c r="A43940" s="374"/>
      <c r="C43940" s="374"/>
      <c r="CV43940" s="376"/>
    </row>
    <row r="43941" spans="1:100">
      <c r="A43941" s="374"/>
      <c r="C43941" s="374"/>
      <c r="CV43941" s="376"/>
    </row>
    <row r="43942" spans="1:100">
      <c r="A43942" s="374"/>
      <c r="C43942" s="374"/>
      <c r="CV43942" s="376"/>
    </row>
    <row r="43943" spans="1:100">
      <c r="A43943" s="374"/>
      <c r="C43943" s="374"/>
      <c r="CV43943" s="376"/>
    </row>
    <row r="43944" spans="1:100">
      <c r="A43944" s="374"/>
      <c r="C43944" s="374"/>
      <c r="CV43944" s="376"/>
    </row>
    <row r="43945" spans="1:100">
      <c r="A43945" s="374"/>
      <c r="C43945" s="374"/>
      <c r="CV43945" s="376"/>
    </row>
    <row r="43946" spans="1:100">
      <c r="A43946" s="374"/>
      <c r="C43946" s="374"/>
      <c r="CV43946" s="376"/>
    </row>
    <row r="43947" spans="1:100">
      <c r="A43947" s="374"/>
      <c r="C43947" s="374"/>
      <c r="CV43947" s="376"/>
    </row>
    <row r="43948" spans="1:100">
      <c r="A43948" s="374"/>
      <c r="C43948" s="374"/>
      <c r="CV43948" s="376"/>
    </row>
    <row r="43949" spans="1:100">
      <c r="A43949" s="374"/>
      <c r="C43949" s="374"/>
      <c r="CV43949" s="376"/>
    </row>
    <row r="43950" spans="1:100">
      <c r="A43950" s="374"/>
      <c r="C43950" s="374"/>
      <c r="CV43950" s="376"/>
    </row>
    <row r="43951" spans="1:100">
      <c r="A43951" s="374"/>
      <c r="C43951" s="374"/>
      <c r="CV43951" s="376"/>
    </row>
    <row r="43952" spans="1:100">
      <c r="A43952" s="374"/>
      <c r="C43952" s="374"/>
      <c r="CV43952" s="376"/>
    </row>
    <row r="43953" spans="1:100">
      <c r="A43953" s="374"/>
      <c r="C43953" s="374"/>
      <c r="CV43953" s="376"/>
    </row>
    <row r="43954" spans="1:100">
      <c r="A43954" s="374"/>
      <c r="C43954" s="374"/>
      <c r="CV43954" s="376"/>
    </row>
    <row r="43955" spans="1:100">
      <c r="A43955" s="374"/>
      <c r="C43955" s="374"/>
      <c r="CV43955" s="376"/>
    </row>
    <row r="43956" spans="1:100">
      <c r="A43956" s="374"/>
      <c r="C43956" s="374"/>
      <c r="CV43956" s="376"/>
    </row>
    <row r="43957" spans="1:100">
      <c r="A43957" s="374"/>
      <c r="C43957" s="374"/>
      <c r="CV43957" s="376"/>
    </row>
    <row r="43958" spans="1:100">
      <c r="A43958" s="374"/>
      <c r="C43958" s="374"/>
      <c r="CV43958" s="376"/>
    </row>
    <row r="43959" spans="1:100">
      <c r="A43959" s="374"/>
      <c r="C43959" s="374"/>
      <c r="CV43959" s="376"/>
    </row>
    <row r="43960" spans="1:100">
      <c r="A43960" s="374"/>
      <c r="C43960" s="374"/>
      <c r="CV43960" s="376"/>
    </row>
    <row r="43961" spans="1:100">
      <c r="A43961" s="374"/>
      <c r="C43961" s="374"/>
      <c r="CV43961" s="376"/>
    </row>
    <row r="43962" spans="1:100">
      <c r="A43962" s="374"/>
      <c r="C43962" s="374"/>
      <c r="CV43962" s="376"/>
    </row>
    <row r="43963" spans="1:100">
      <c r="A43963" s="374"/>
      <c r="C43963" s="374"/>
      <c r="CV43963" s="376"/>
    </row>
    <row r="43964" spans="1:100">
      <c r="A43964" s="374"/>
      <c r="C43964" s="374"/>
      <c r="CV43964" s="376"/>
    </row>
    <row r="43965" spans="1:100">
      <c r="A43965" s="374"/>
      <c r="C43965" s="374"/>
      <c r="CV43965" s="376"/>
    </row>
    <row r="43966" spans="1:100">
      <c r="A43966" s="374"/>
      <c r="C43966" s="374"/>
      <c r="CV43966" s="376"/>
    </row>
    <row r="43967" spans="1:100">
      <c r="A43967" s="374"/>
      <c r="C43967" s="374"/>
      <c r="CV43967" s="376"/>
    </row>
    <row r="43968" spans="1:100">
      <c r="A43968" s="374"/>
      <c r="C43968" s="374"/>
      <c r="CV43968" s="376"/>
    </row>
    <row r="43969" spans="1:100">
      <c r="A43969" s="374"/>
      <c r="C43969" s="374"/>
      <c r="CV43969" s="376"/>
    </row>
    <row r="43970" spans="1:100">
      <c r="A43970" s="374"/>
      <c r="C43970" s="374"/>
      <c r="CV43970" s="376"/>
    </row>
    <row r="43971" spans="1:100">
      <c r="A43971" s="374"/>
      <c r="C43971" s="374"/>
      <c r="CV43971" s="376"/>
    </row>
    <row r="43972" spans="1:100">
      <c r="A43972" s="374"/>
      <c r="C43972" s="374"/>
      <c r="CV43972" s="376"/>
    </row>
    <row r="43973" spans="1:100">
      <c r="A43973" s="374"/>
      <c r="C43973" s="374"/>
      <c r="CV43973" s="376"/>
    </row>
    <row r="43974" spans="1:100">
      <c r="A43974" s="374"/>
      <c r="C43974" s="374"/>
      <c r="CV43974" s="376"/>
    </row>
    <row r="43975" spans="1:100">
      <c r="A43975" s="374"/>
      <c r="C43975" s="374"/>
      <c r="CV43975" s="376"/>
    </row>
    <row r="43976" spans="1:100">
      <c r="A43976" s="374"/>
      <c r="C43976" s="374"/>
      <c r="CV43976" s="376"/>
    </row>
    <row r="43977" spans="1:100">
      <c r="A43977" s="374"/>
      <c r="C43977" s="374"/>
      <c r="CV43977" s="376"/>
    </row>
    <row r="43978" spans="1:100">
      <c r="A43978" s="374"/>
      <c r="C43978" s="374"/>
      <c r="CV43978" s="376"/>
    </row>
    <row r="43979" spans="1:100">
      <c r="A43979" s="374"/>
      <c r="C43979" s="374"/>
      <c r="CV43979" s="376"/>
    </row>
    <row r="43980" spans="1:100">
      <c r="A43980" s="374"/>
      <c r="C43980" s="374"/>
      <c r="CV43980" s="376"/>
    </row>
    <row r="43981" spans="1:100">
      <c r="A43981" s="374"/>
      <c r="C43981" s="374"/>
      <c r="CV43981" s="376"/>
    </row>
    <row r="43982" spans="1:100">
      <c r="A43982" s="374"/>
      <c r="C43982" s="374"/>
      <c r="CV43982" s="376"/>
    </row>
    <row r="43983" spans="1:100">
      <c r="A43983" s="374"/>
      <c r="C43983" s="374"/>
      <c r="CV43983" s="376"/>
    </row>
    <row r="43984" spans="1:100">
      <c r="A43984" s="374"/>
      <c r="C43984" s="374"/>
      <c r="CV43984" s="376"/>
    </row>
    <row r="43985" spans="1:100">
      <c r="A43985" s="374"/>
      <c r="C43985" s="374"/>
      <c r="CV43985" s="376"/>
    </row>
    <row r="43986" spans="1:100">
      <c r="A43986" s="374"/>
      <c r="C43986" s="374"/>
      <c r="CV43986" s="376"/>
    </row>
    <row r="43987" spans="1:100">
      <c r="A43987" s="374"/>
      <c r="C43987" s="374"/>
      <c r="CV43987" s="376"/>
    </row>
    <row r="43988" spans="1:100">
      <c r="A43988" s="374"/>
      <c r="C43988" s="374"/>
      <c r="CV43988" s="376"/>
    </row>
    <row r="43989" spans="1:100">
      <c r="A43989" s="374"/>
      <c r="C43989" s="374"/>
      <c r="CV43989" s="376"/>
    </row>
    <row r="43990" spans="1:100">
      <c r="A43990" s="374"/>
      <c r="C43990" s="374"/>
      <c r="CV43990" s="376"/>
    </row>
    <row r="43991" spans="1:100">
      <c r="A43991" s="374"/>
      <c r="C43991" s="374"/>
      <c r="CV43991" s="376"/>
    </row>
    <row r="43992" spans="1:100">
      <c r="A43992" s="374"/>
      <c r="C43992" s="374"/>
      <c r="CV43992" s="376"/>
    </row>
    <row r="43993" spans="1:100">
      <c r="A43993" s="374"/>
      <c r="C43993" s="374"/>
      <c r="CV43993" s="376"/>
    </row>
    <row r="43994" spans="1:100">
      <c r="A43994" s="374"/>
      <c r="C43994" s="374"/>
      <c r="CV43994" s="376"/>
    </row>
    <row r="43995" spans="1:100">
      <c r="A43995" s="374"/>
      <c r="C43995" s="374"/>
      <c r="CV43995" s="376"/>
    </row>
    <row r="43996" spans="1:100">
      <c r="A43996" s="374"/>
      <c r="C43996" s="374"/>
      <c r="CV43996" s="376"/>
    </row>
    <row r="43997" spans="1:100">
      <c r="A43997" s="374"/>
      <c r="C43997" s="374"/>
      <c r="CV43997" s="376"/>
    </row>
    <row r="43998" spans="1:100">
      <c r="A43998" s="374"/>
      <c r="C43998" s="374"/>
      <c r="CV43998" s="376"/>
    </row>
    <row r="43999" spans="1:100">
      <c r="A43999" s="374"/>
      <c r="C43999" s="374"/>
      <c r="CV43999" s="376"/>
    </row>
    <row r="44000" spans="1:100">
      <c r="A44000" s="374"/>
      <c r="C44000" s="374"/>
      <c r="CV44000" s="376"/>
    </row>
    <row r="44001" spans="1:100">
      <c r="A44001" s="374"/>
      <c r="C44001" s="374"/>
      <c r="CV44001" s="376"/>
    </row>
    <row r="44002" spans="1:100">
      <c r="A44002" s="374"/>
      <c r="C44002" s="374"/>
      <c r="CV44002" s="376"/>
    </row>
    <row r="44003" spans="1:100">
      <c r="A44003" s="374"/>
      <c r="C44003" s="374"/>
      <c r="CV44003" s="376"/>
    </row>
    <row r="44004" spans="1:100">
      <c r="A44004" s="374"/>
      <c r="C44004" s="374"/>
      <c r="CV44004" s="376"/>
    </row>
    <row r="44005" spans="1:100">
      <c r="A44005" s="374"/>
      <c r="C44005" s="374"/>
      <c r="CV44005" s="376"/>
    </row>
    <row r="44006" spans="1:100">
      <c r="A44006" s="374"/>
      <c r="C44006" s="374"/>
      <c r="CV44006" s="376"/>
    </row>
    <row r="44007" spans="1:100">
      <c r="A44007" s="374"/>
      <c r="C44007" s="374"/>
      <c r="CV44007" s="376"/>
    </row>
    <row r="44008" spans="1:100">
      <c r="A44008" s="374"/>
      <c r="C44008" s="374"/>
      <c r="CV44008" s="376"/>
    </row>
    <row r="44009" spans="1:100">
      <c r="A44009" s="374"/>
      <c r="C44009" s="374"/>
      <c r="CV44009" s="376"/>
    </row>
    <row r="44010" spans="1:100">
      <c r="A44010" s="374"/>
      <c r="C44010" s="374"/>
      <c r="CV44010" s="376"/>
    </row>
    <row r="44011" spans="1:100">
      <c r="A44011" s="374"/>
      <c r="C44011" s="374"/>
      <c r="CV44011" s="376"/>
    </row>
    <row r="44012" spans="1:100">
      <c r="A44012" s="374"/>
      <c r="C44012" s="374"/>
      <c r="CV44012" s="376"/>
    </row>
    <row r="44013" spans="1:100">
      <c r="A44013" s="374"/>
      <c r="C44013" s="374"/>
      <c r="CV44013" s="376"/>
    </row>
    <row r="44014" spans="1:100">
      <c r="A44014" s="374"/>
      <c r="C44014" s="374"/>
      <c r="CV44014" s="376"/>
    </row>
    <row r="44015" spans="1:100">
      <c r="A44015" s="374"/>
      <c r="C44015" s="374"/>
      <c r="CV44015" s="376"/>
    </row>
    <row r="44016" spans="1:100">
      <c r="A44016" s="374"/>
      <c r="C44016" s="374"/>
      <c r="CV44016" s="376"/>
    </row>
    <row r="44017" spans="1:100">
      <c r="A44017" s="374"/>
      <c r="C44017" s="374"/>
      <c r="CV44017" s="376"/>
    </row>
    <row r="44018" spans="1:100">
      <c r="A44018" s="374"/>
      <c r="C44018" s="374"/>
      <c r="CV44018" s="376"/>
    </row>
    <row r="44019" spans="1:100">
      <c r="A44019" s="374"/>
      <c r="C44019" s="374"/>
      <c r="CV44019" s="376"/>
    </row>
    <row r="44020" spans="1:100">
      <c r="A44020" s="374"/>
      <c r="C44020" s="374"/>
      <c r="CV44020" s="376"/>
    </row>
    <row r="44021" spans="1:100">
      <c r="A44021" s="374"/>
      <c r="C44021" s="374"/>
      <c r="CV44021" s="376"/>
    </row>
    <row r="44022" spans="1:100">
      <c r="A44022" s="374"/>
      <c r="C44022" s="374"/>
      <c r="CV44022" s="376"/>
    </row>
    <row r="44023" spans="1:100">
      <c r="A44023" s="374"/>
      <c r="C44023" s="374"/>
      <c r="CV44023" s="376"/>
    </row>
    <row r="44024" spans="1:100">
      <c r="A44024" s="374"/>
      <c r="C44024" s="374"/>
      <c r="CV44024" s="376"/>
    </row>
    <row r="44025" spans="1:100">
      <c r="A44025" s="374"/>
      <c r="C44025" s="374"/>
      <c r="CV44025" s="376"/>
    </row>
    <row r="44026" spans="1:100">
      <c r="A44026" s="374"/>
      <c r="C44026" s="374"/>
      <c r="CV44026" s="376"/>
    </row>
    <row r="44027" spans="1:100">
      <c r="A44027" s="374"/>
      <c r="C44027" s="374"/>
      <c r="CV44027" s="376"/>
    </row>
    <row r="44028" spans="1:100">
      <c r="A44028" s="374"/>
      <c r="C44028" s="374"/>
      <c r="CV44028" s="376"/>
    </row>
    <row r="44029" spans="1:100">
      <c r="A44029" s="374"/>
      <c r="C44029" s="374"/>
      <c r="CV44029" s="376"/>
    </row>
    <row r="44030" spans="1:100">
      <c r="A44030" s="374"/>
      <c r="C44030" s="374"/>
      <c r="CV44030" s="376"/>
    </row>
    <row r="44031" spans="1:100">
      <c r="A44031" s="374"/>
      <c r="C44031" s="374"/>
      <c r="CV44031" s="376"/>
    </row>
    <row r="44032" spans="1:100">
      <c r="A44032" s="374"/>
      <c r="C44032" s="374"/>
      <c r="CV44032" s="376"/>
    </row>
    <row r="44033" spans="1:100">
      <c r="A44033" s="374"/>
      <c r="C44033" s="374"/>
      <c r="CV44033" s="376"/>
    </row>
    <row r="44034" spans="1:100">
      <c r="A44034" s="374"/>
      <c r="C44034" s="374"/>
      <c r="CV44034" s="376"/>
    </row>
    <row r="44035" spans="1:100">
      <c r="A44035" s="374"/>
      <c r="C44035" s="374"/>
      <c r="CV44035" s="376"/>
    </row>
    <row r="44036" spans="1:100">
      <c r="A44036" s="374"/>
      <c r="C44036" s="374"/>
      <c r="CV44036" s="376"/>
    </row>
    <row r="44037" spans="1:100">
      <c r="A44037" s="374"/>
      <c r="C44037" s="374"/>
      <c r="CV44037" s="376"/>
    </row>
    <row r="44038" spans="1:100">
      <c r="A44038" s="374"/>
      <c r="C44038" s="374"/>
      <c r="CV44038" s="376"/>
    </row>
    <row r="44039" spans="1:100">
      <c r="A44039" s="374"/>
      <c r="C44039" s="374"/>
      <c r="CV44039" s="376"/>
    </row>
    <row r="44040" spans="1:100">
      <c r="A44040" s="374"/>
      <c r="C44040" s="374"/>
      <c r="CV44040" s="376"/>
    </row>
    <row r="44041" spans="1:100">
      <c r="A44041" s="374"/>
      <c r="C44041" s="374"/>
      <c r="CV44041" s="376"/>
    </row>
    <row r="44042" spans="1:100">
      <c r="A44042" s="374"/>
      <c r="C44042" s="374"/>
      <c r="CV44042" s="376"/>
    </row>
    <row r="44043" spans="1:100">
      <c r="A44043" s="374"/>
      <c r="C44043" s="374"/>
      <c r="CV44043" s="376"/>
    </row>
    <row r="44044" spans="1:100">
      <c r="A44044" s="374"/>
      <c r="C44044" s="374"/>
      <c r="CV44044" s="376"/>
    </row>
    <row r="44045" spans="1:100">
      <c r="A44045" s="374"/>
      <c r="C44045" s="374"/>
      <c r="CV44045" s="376"/>
    </row>
    <row r="44046" spans="1:100">
      <c r="A44046" s="374"/>
      <c r="C44046" s="374"/>
      <c r="CV44046" s="376"/>
    </row>
    <row r="44047" spans="1:100">
      <c r="A44047" s="374"/>
      <c r="C44047" s="374"/>
      <c r="CV44047" s="376"/>
    </row>
    <row r="44048" spans="1:100">
      <c r="A44048" s="374"/>
      <c r="C44048" s="374"/>
      <c r="CV44048" s="376"/>
    </row>
    <row r="44049" spans="1:100">
      <c r="A44049" s="374"/>
      <c r="C44049" s="374"/>
      <c r="CV44049" s="376"/>
    </row>
    <row r="44050" spans="1:100">
      <c r="A44050" s="374"/>
      <c r="C44050" s="374"/>
      <c r="CV44050" s="376"/>
    </row>
    <row r="44051" spans="1:100">
      <c r="A44051" s="374"/>
      <c r="C44051" s="374"/>
      <c r="CV44051" s="376"/>
    </row>
    <row r="44052" spans="1:100">
      <c r="A44052" s="374"/>
      <c r="C44052" s="374"/>
      <c r="CV44052" s="376"/>
    </row>
    <row r="44053" spans="1:100">
      <c r="A44053" s="374"/>
      <c r="C44053" s="374"/>
      <c r="CV44053" s="376"/>
    </row>
    <row r="44054" spans="1:100">
      <c r="A44054" s="374"/>
      <c r="C44054" s="374"/>
      <c r="CV44054" s="376"/>
    </row>
    <row r="44055" spans="1:100">
      <c r="A44055" s="374"/>
      <c r="C44055" s="374"/>
      <c r="CV44055" s="376"/>
    </row>
    <row r="44056" spans="1:100">
      <c r="A44056" s="374"/>
      <c r="C44056" s="374"/>
      <c r="CV44056" s="376"/>
    </row>
    <row r="44057" spans="1:100">
      <c r="A44057" s="374"/>
      <c r="C44057" s="374"/>
      <c r="CV44057" s="376"/>
    </row>
    <row r="44058" spans="1:100">
      <c r="A44058" s="374"/>
      <c r="C44058" s="374"/>
      <c r="CV44058" s="376"/>
    </row>
    <row r="44059" spans="1:100">
      <c r="A44059" s="374"/>
      <c r="C44059" s="374"/>
      <c r="CV44059" s="376"/>
    </row>
    <row r="44060" spans="1:100">
      <c r="A44060" s="374"/>
      <c r="C44060" s="374"/>
      <c r="CV44060" s="376"/>
    </row>
    <row r="44061" spans="1:100">
      <c r="A44061" s="374"/>
      <c r="C44061" s="374"/>
      <c r="CV44061" s="376"/>
    </row>
    <row r="44062" spans="1:100">
      <c r="A44062" s="374"/>
      <c r="C44062" s="374"/>
      <c r="CV44062" s="376"/>
    </row>
    <row r="44063" spans="1:100">
      <c r="A44063" s="374"/>
      <c r="C44063" s="374"/>
      <c r="CV44063" s="376"/>
    </row>
    <row r="44064" spans="1:100">
      <c r="A44064" s="374"/>
      <c r="C44064" s="374"/>
      <c r="CV44064" s="376"/>
    </row>
    <row r="44065" spans="1:100">
      <c r="A44065" s="374"/>
      <c r="C44065" s="374"/>
      <c r="CV44065" s="376"/>
    </row>
    <row r="44066" spans="1:100">
      <c r="A44066" s="374"/>
      <c r="C44066" s="374"/>
      <c r="CV44066" s="376"/>
    </row>
    <row r="44067" spans="1:100">
      <c r="A44067" s="374"/>
      <c r="C44067" s="374"/>
      <c r="CV44067" s="376"/>
    </row>
    <row r="44068" spans="1:100">
      <c r="A44068" s="374"/>
      <c r="C44068" s="374"/>
      <c r="CV44068" s="376"/>
    </row>
    <row r="44069" spans="1:100">
      <c r="A44069" s="374"/>
      <c r="C44069" s="374"/>
      <c r="CV44069" s="376"/>
    </row>
    <row r="44070" spans="1:100">
      <c r="A44070" s="374"/>
      <c r="C44070" s="374"/>
      <c r="CV44070" s="376"/>
    </row>
    <row r="44071" spans="1:100">
      <c r="A44071" s="374"/>
      <c r="C44071" s="374"/>
      <c r="CV44071" s="376"/>
    </row>
    <row r="44072" spans="1:100">
      <c r="A44072" s="374"/>
      <c r="C44072" s="374"/>
      <c r="CV44072" s="376"/>
    </row>
    <row r="44073" spans="1:100">
      <c r="A44073" s="374"/>
      <c r="C44073" s="374"/>
      <c r="CV44073" s="376"/>
    </row>
    <row r="44074" spans="1:100">
      <c r="A44074" s="374"/>
      <c r="C44074" s="374"/>
      <c r="CV44074" s="376"/>
    </row>
    <row r="44075" spans="1:100">
      <c r="A44075" s="374"/>
      <c r="C44075" s="374"/>
      <c r="CV44075" s="376"/>
    </row>
    <row r="44076" spans="1:100">
      <c r="A44076" s="374"/>
      <c r="C44076" s="374"/>
      <c r="CV44076" s="376"/>
    </row>
    <row r="44077" spans="1:100">
      <c r="A44077" s="374"/>
      <c r="C44077" s="374"/>
      <c r="CV44077" s="376"/>
    </row>
    <row r="44078" spans="1:100">
      <c r="A44078" s="374"/>
      <c r="C44078" s="374"/>
      <c r="CV44078" s="376"/>
    </row>
    <row r="44079" spans="1:100">
      <c r="A44079" s="374"/>
      <c r="C44079" s="374"/>
      <c r="CV44079" s="376"/>
    </row>
    <row r="44080" spans="1:100">
      <c r="A44080" s="374"/>
      <c r="C44080" s="374"/>
      <c r="CV44080" s="376"/>
    </row>
    <row r="44081" spans="1:100">
      <c r="A44081" s="374"/>
      <c r="C44081" s="374"/>
      <c r="CV44081" s="376"/>
    </row>
    <row r="44082" spans="1:100">
      <c r="A44082" s="374"/>
      <c r="C44082" s="374"/>
      <c r="CV44082" s="376"/>
    </row>
    <row r="44083" spans="1:100">
      <c r="A44083" s="374"/>
      <c r="C44083" s="374"/>
      <c r="CV44083" s="376"/>
    </row>
    <row r="44084" spans="1:100">
      <c r="A44084" s="374"/>
      <c r="C44084" s="374"/>
      <c r="CV44084" s="376"/>
    </row>
    <row r="44085" spans="1:100">
      <c r="A44085" s="374"/>
      <c r="C44085" s="374"/>
      <c r="CV44085" s="376"/>
    </row>
    <row r="44086" spans="1:100">
      <c r="A44086" s="374"/>
      <c r="C44086" s="374"/>
      <c r="CV44086" s="376"/>
    </row>
    <row r="44087" spans="1:100">
      <c r="A44087" s="374"/>
      <c r="C44087" s="374"/>
      <c r="CV44087" s="376"/>
    </row>
    <row r="44088" spans="1:100">
      <c r="A44088" s="374"/>
      <c r="C44088" s="374"/>
      <c r="CV44088" s="376"/>
    </row>
    <row r="44089" spans="1:100">
      <c r="A44089" s="374"/>
      <c r="C44089" s="374"/>
      <c r="CV44089" s="376"/>
    </row>
    <row r="44090" spans="1:100">
      <c r="A44090" s="374"/>
      <c r="C44090" s="374"/>
      <c r="CV44090" s="376"/>
    </row>
    <row r="44091" spans="1:100">
      <c r="A44091" s="374"/>
      <c r="C44091" s="374"/>
      <c r="CV44091" s="376"/>
    </row>
    <row r="44092" spans="1:100">
      <c r="A44092" s="374"/>
      <c r="C44092" s="374"/>
      <c r="CV44092" s="376"/>
    </row>
    <row r="44093" spans="1:100">
      <c r="A44093" s="374"/>
      <c r="C44093" s="374"/>
      <c r="CV44093" s="376"/>
    </row>
    <row r="44094" spans="1:100">
      <c r="A44094" s="374"/>
      <c r="C44094" s="374"/>
      <c r="CV44094" s="376"/>
    </row>
    <row r="44095" spans="1:100">
      <c r="A44095" s="374"/>
      <c r="C44095" s="374"/>
      <c r="CV44095" s="376"/>
    </row>
    <row r="44096" spans="1:100">
      <c r="A44096" s="374"/>
      <c r="C44096" s="374"/>
      <c r="CV44096" s="376"/>
    </row>
    <row r="44097" spans="1:100">
      <c r="A44097" s="374"/>
      <c r="C44097" s="374"/>
      <c r="CV44097" s="376"/>
    </row>
    <row r="44098" spans="1:100">
      <c r="A44098" s="374"/>
      <c r="C44098" s="374"/>
      <c r="CV44098" s="376"/>
    </row>
    <row r="44099" spans="1:100">
      <c r="A44099" s="374"/>
      <c r="C44099" s="374"/>
      <c r="CV44099" s="376"/>
    </row>
    <row r="44100" spans="1:100">
      <c r="A44100" s="374"/>
      <c r="C44100" s="374"/>
      <c r="CV44100" s="376"/>
    </row>
    <row r="44101" spans="1:100">
      <c r="A44101" s="374"/>
      <c r="C44101" s="374"/>
      <c r="CV44101" s="376"/>
    </row>
    <row r="44102" spans="1:100">
      <c r="A44102" s="374"/>
      <c r="C44102" s="374"/>
      <c r="CV44102" s="376"/>
    </row>
    <row r="44103" spans="1:100">
      <c r="A44103" s="374"/>
      <c r="C44103" s="374"/>
      <c r="CV44103" s="376"/>
    </row>
    <row r="44104" spans="1:100">
      <c r="A44104" s="374"/>
      <c r="C44104" s="374"/>
      <c r="CV44104" s="376"/>
    </row>
    <row r="44105" spans="1:100">
      <c r="A44105" s="374"/>
      <c r="C44105" s="374"/>
      <c r="CV44105" s="376"/>
    </row>
    <row r="44106" spans="1:100">
      <c r="A44106" s="374"/>
      <c r="C44106" s="374"/>
      <c r="CV44106" s="376"/>
    </row>
    <row r="44107" spans="1:100">
      <c r="A44107" s="374"/>
      <c r="C44107" s="374"/>
      <c r="CV44107" s="376"/>
    </row>
    <row r="44108" spans="1:100">
      <c r="A44108" s="374"/>
      <c r="C44108" s="374"/>
      <c r="CV44108" s="376"/>
    </row>
    <row r="44109" spans="1:100">
      <c r="A44109" s="374"/>
      <c r="C44109" s="374"/>
      <c r="CV44109" s="376"/>
    </row>
    <row r="44110" spans="1:100">
      <c r="A44110" s="374"/>
      <c r="C44110" s="374"/>
      <c r="CV44110" s="376"/>
    </row>
    <row r="44111" spans="1:100">
      <c r="A44111" s="374"/>
      <c r="C44111" s="374"/>
      <c r="CV44111" s="376"/>
    </row>
    <row r="44112" spans="1:100">
      <c r="A44112" s="374"/>
      <c r="C44112" s="374"/>
      <c r="CV44112" s="376"/>
    </row>
    <row r="44113" spans="1:100">
      <c r="A44113" s="374"/>
      <c r="C44113" s="374"/>
      <c r="CV44113" s="376"/>
    </row>
    <row r="44114" spans="1:100">
      <c r="A44114" s="374"/>
      <c r="C44114" s="374"/>
      <c r="CV44114" s="376"/>
    </row>
    <row r="44115" spans="1:100">
      <c r="A44115" s="374"/>
      <c r="C44115" s="374"/>
      <c r="CV44115" s="376"/>
    </row>
    <row r="44116" spans="1:100">
      <c r="A44116" s="374"/>
      <c r="C44116" s="374"/>
      <c r="CV44116" s="376"/>
    </row>
    <row r="44117" spans="1:100">
      <c r="A44117" s="374"/>
      <c r="C44117" s="374"/>
      <c r="CV44117" s="376"/>
    </row>
    <row r="44118" spans="1:100">
      <c r="A44118" s="374"/>
      <c r="C44118" s="374"/>
      <c r="CV44118" s="376"/>
    </row>
    <row r="44119" spans="1:100">
      <c r="A44119" s="374"/>
      <c r="C44119" s="374"/>
      <c r="CV44119" s="376"/>
    </row>
    <row r="44120" spans="1:100">
      <c r="A44120" s="374"/>
      <c r="C44120" s="374"/>
      <c r="CV44120" s="376"/>
    </row>
    <row r="44121" spans="1:100">
      <c r="A44121" s="374"/>
      <c r="C44121" s="374"/>
      <c r="CV44121" s="376"/>
    </row>
    <row r="44122" spans="1:100">
      <c r="A44122" s="374"/>
      <c r="C44122" s="374"/>
      <c r="CV44122" s="376"/>
    </row>
    <row r="44123" spans="1:100">
      <c r="A44123" s="374"/>
      <c r="C44123" s="374"/>
      <c r="CV44123" s="376"/>
    </row>
    <row r="44124" spans="1:100">
      <c r="A44124" s="374"/>
      <c r="C44124" s="374"/>
      <c r="CV44124" s="376"/>
    </row>
    <row r="44125" spans="1:100">
      <c r="A44125" s="374"/>
      <c r="C44125" s="374"/>
      <c r="CV44125" s="376"/>
    </row>
    <row r="44126" spans="1:100">
      <c r="A44126" s="374"/>
      <c r="C44126" s="374"/>
      <c r="CV44126" s="376"/>
    </row>
    <row r="44127" spans="1:100">
      <c r="A44127" s="374"/>
      <c r="C44127" s="374"/>
      <c r="CV44127" s="376"/>
    </row>
    <row r="44128" spans="1:100">
      <c r="A44128" s="374"/>
      <c r="C44128" s="374"/>
      <c r="CV44128" s="376"/>
    </row>
    <row r="44129" spans="1:100">
      <c r="A44129" s="374"/>
      <c r="C44129" s="374"/>
      <c r="CV44129" s="376"/>
    </row>
    <row r="44130" spans="1:100">
      <c r="A44130" s="374"/>
      <c r="C44130" s="374"/>
      <c r="CV44130" s="376"/>
    </row>
    <row r="44131" spans="1:100">
      <c r="A44131" s="374"/>
      <c r="C44131" s="374"/>
      <c r="CV44131" s="376"/>
    </row>
    <row r="44132" spans="1:100">
      <c r="A44132" s="374"/>
      <c r="C44132" s="374"/>
      <c r="CV44132" s="376"/>
    </row>
    <row r="44133" spans="1:100">
      <c r="A44133" s="374"/>
      <c r="C44133" s="374"/>
      <c r="CV44133" s="376"/>
    </row>
    <row r="44134" spans="1:100">
      <c r="A44134" s="374"/>
      <c r="C44134" s="374"/>
      <c r="CV44134" s="376"/>
    </row>
    <row r="44135" spans="1:100">
      <c r="A44135" s="374"/>
      <c r="C44135" s="374"/>
      <c r="CV44135" s="376"/>
    </row>
    <row r="44136" spans="1:100">
      <c r="A44136" s="374"/>
      <c r="C44136" s="374"/>
      <c r="CV44136" s="376"/>
    </row>
    <row r="44137" spans="1:100">
      <c r="A44137" s="374"/>
      <c r="C44137" s="374"/>
      <c r="CV44137" s="376"/>
    </row>
    <row r="44138" spans="1:100">
      <c r="A44138" s="374"/>
      <c r="C44138" s="374"/>
      <c r="CV44138" s="376"/>
    </row>
    <row r="44139" spans="1:100">
      <c r="A44139" s="374"/>
      <c r="C44139" s="374"/>
      <c r="CV44139" s="376"/>
    </row>
    <row r="44140" spans="1:100">
      <c r="A44140" s="374"/>
      <c r="C44140" s="374"/>
      <c r="CV44140" s="376"/>
    </row>
    <row r="44141" spans="1:100">
      <c r="A44141" s="374"/>
      <c r="C44141" s="374"/>
      <c r="CV44141" s="376"/>
    </row>
    <row r="44142" spans="1:100">
      <c r="A44142" s="374"/>
      <c r="C44142" s="374"/>
      <c r="CV44142" s="376"/>
    </row>
    <row r="44143" spans="1:100">
      <c r="A44143" s="374"/>
      <c r="C44143" s="374"/>
      <c r="CV44143" s="376"/>
    </row>
    <row r="44144" spans="1:100">
      <c r="A44144" s="374"/>
      <c r="C44144" s="374"/>
      <c r="CV44144" s="376"/>
    </row>
    <row r="44145" spans="1:100">
      <c r="A44145" s="374"/>
      <c r="C44145" s="374"/>
      <c r="CV44145" s="376"/>
    </row>
    <row r="44146" spans="1:100">
      <c r="A44146" s="374"/>
      <c r="C44146" s="374"/>
      <c r="CV44146" s="376"/>
    </row>
    <row r="44147" spans="1:100">
      <c r="A44147" s="374"/>
      <c r="C44147" s="374"/>
      <c r="CV44147" s="376"/>
    </row>
    <row r="44148" spans="1:100">
      <c r="A44148" s="374"/>
      <c r="C44148" s="374"/>
      <c r="CV44148" s="376"/>
    </row>
    <row r="44149" spans="1:100">
      <c r="A44149" s="374"/>
      <c r="C44149" s="374"/>
      <c r="CV44149" s="376"/>
    </row>
    <row r="44150" spans="1:100">
      <c r="A44150" s="374"/>
      <c r="C44150" s="374"/>
      <c r="CV44150" s="376"/>
    </row>
    <row r="44151" spans="1:100">
      <c r="A44151" s="374"/>
      <c r="C44151" s="374"/>
      <c r="CV44151" s="376"/>
    </row>
    <row r="44152" spans="1:100">
      <c r="A44152" s="374"/>
      <c r="C44152" s="374"/>
      <c r="CV44152" s="376"/>
    </row>
    <row r="44153" spans="1:100">
      <c r="A44153" s="374"/>
      <c r="C44153" s="374"/>
      <c r="CV44153" s="376"/>
    </row>
    <row r="44154" spans="1:100">
      <c r="A44154" s="374"/>
      <c r="C44154" s="374"/>
      <c r="CV44154" s="376"/>
    </row>
    <row r="44155" spans="1:100">
      <c r="A44155" s="374"/>
      <c r="C44155" s="374"/>
      <c r="CV44155" s="376"/>
    </row>
    <row r="44156" spans="1:100">
      <c r="A44156" s="374"/>
      <c r="C44156" s="374"/>
      <c r="CV44156" s="376"/>
    </row>
    <row r="44157" spans="1:100">
      <c r="A44157" s="374"/>
      <c r="C44157" s="374"/>
      <c r="CV44157" s="376"/>
    </row>
    <row r="44158" spans="1:100">
      <c r="A44158" s="374"/>
      <c r="C44158" s="374"/>
      <c r="CV44158" s="376"/>
    </row>
    <row r="44159" spans="1:100">
      <c r="A44159" s="374"/>
      <c r="C44159" s="374"/>
      <c r="CV44159" s="376"/>
    </row>
    <row r="44160" spans="1:100">
      <c r="A44160" s="374"/>
      <c r="C44160" s="374"/>
      <c r="CV44160" s="376"/>
    </row>
    <row r="44161" spans="1:100">
      <c r="A44161" s="374"/>
      <c r="C44161" s="374"/>
      <c r="CV44161" s="376"/>
    </row>
    <row r="44162" spans="1:100">
      <c r="A44162" s="374"/>
      <c r="C44162" s="374"/>
      <c r="CV44162" s="376"/>
    </row>
    <row r="44163" spans="1:100">
      <c r="A44163" s="374"/>
      <c r="C44163" s="374"/>
      <c r="CV44163" s="376"/>
    </row>
    <row r="44164" spans="1:100">
      <c r="A44164" s="374"/>
      <c r="C44164" s="374"/>
      <c r="CV44164" s="376"/>
    </row>
    <row r="44165" spans="1:100">
      <c r="A44165" s="374"/>
      <c r="C44165" s="374"/>
      <c r="CV44165" s="376"/>
    </row>
    <row r="44166" spans="1:100">
      <c r="A44166" s="374"/>
      <c r="C44166" s="374"/>
      <c r="CV44166" s="376"/>
    </row>
    <row r="44167" spans="1:100">
      <c r="A44167" s="374"/>
      <c r="C44167" s="374"/>
      <c r="CV44167" s="376"/>
    </row>
    <row r="44168" spans="1:100">
      <c r="A44168" s="374"/>
      <c r="C44168" s="374"/>
      <c r="CV44168" s="376"/>
    </row>
    <row r="44169" spans="1:100">
      <c r="A44169" s="374"/>
      <c r="C44169" s="374"/>
      <c r="CV44169" s="376"/>
    </row>
    <row r="44170" spans="1:100">
      <c r="A44170" s="374"/>
      <c r="C44170" s="374"/>
      <c r="CV44170" s="376"/>
    </row>
    <row r="44171" spans="1:100">
      <c r="A44171" s="374"/>
      <c r="C44171" s="374"/>
      <c r="CV44171" s="376"/>
    </row>
    <row r="44172" spans="1:100">
      <c r="A44172" s="374"/>
      <c r="C44172" s="374"/>
      <c r="CV44172" s="376"/>
    </row>
    <row r="44173" spans="1:100">
      <c r="A44173" s="374"/>
      <c r="C44173" s="374"/>
      <c r="CV44173" s="376"/>
    </row>
    <row r="44174" spans="1:100">
      <c r="A44174" s="374"/>
      <c r="C44174" s="374"/>
      <c r="CV44174" s="376"/>
    </row>
    <row r="44175" spans="1:100">
      <c r="A44175" s="374"/>
      <c r="C44175" s="374"/>
      <c r="CV44175" s="376"/>
    </row>
    <row r="44176" spans="1:100">
      <c r="A44176" s="374"/>
      <c r="C44176" s="374"/>
      <c r="CV44176" s="376"/>
    </row>
    <row r="44177" spans="1:100">
      <c r="A44177" s="374"/>
      <c r="C44177" s="374"/>
      <c r="CV44177" s="376"/>
    </row>
    <row r="44178" spans="1:100">
      <c r="A44178" s="374"/>
      <c r="C44178" s="374"/>
      <c r="CV44178" s="376"/>
    </row>
    <row r="44179" spans="1:100">
      <c r="A44179" s="374"/>
      <c r="C44179" s="374"/>
      <c r="CV44179" s="376"/>
    </row>
    <row r="44180" spans="1:100">
      <c r="A44180" s="374"/>
      <c r="C44180" s="374"/>
      <c r="CV44180" s="376"/>
    </row>
    <row r="44181" spans="1:100">
      <c r="A44181" s="374"/>
      <c r="C44181" s="374"/>
      <c r="CV44181" s="376"/>
    </row>
    <row r="44182" spans="1:100">
      <c r="A44182" s="374"/>
      <c r="C44182" s="374"/>
      <c r="CV44182" s="376"/>
    </row>
    <row r="44183" spans="1:100">
      <c r="A44183" s="374"/>
      <c r="C44183" s="374"/>
      <c r="CV44183" s="376"/>
    </row>
    <row r="44184" spans="1:100">
      <c r="A44184" s="374"/>
      <c r="C44184" s="374"/>
      <c r="CV44184" s="376"/>
    </row>
    <row r="44185" spans="1:100">
      <c r="A44185" s="374"/>
      <c r="C44185" s="374"/>
      <c r="CV44185" s="376"/>
    </row>
    <row r="44186" spans="1:100">
      <c r="A44186" s="374"/>
      <c r="C44186" s="374"/>
      <c r="CV44186" s="376"/>
    </row>
    <row r="44187" spans="1:100">
      <c r="A44187" s="374"/>
      <c r="C44187" s="374"/>
      <c r="CV44187" s="376"/>
    </row>
    <row r="44188" spans="1:100">
      <c r="A44188" s="374"/>
      <c r="C44188" s="374"/>
      <c r="CV44188" s="376"/>
    </row>
    <row r="44189" spans="1:100">
      <c r="A44189" s="374"/>
      <c r="C44189" s="374"/>
      <c r="CV44189" s="376"/>
    </row>
    <row r="44190" spans="1:100">
      <c r="A44190" s="374"/>
      <c r="C44190" s="374"/>
      <c r="CV44190" s="376"/>
    </row>
    <row r="44191" spans="1:100">
      <c r="A44191" s="374"/>
      <c r="C44191" s="374"/>
      <c r="CV44191" s="376"/>
    </row>
    <row r="44192" spans="1:100">
      <c r="A44192" s="374"/>
      <c r="C44192" s="374"/>
      <c r="CV44192" s="376"/>
    </row>
    <row r="44193" spans="1:100">
      <c r="A44193" s="374"/>
      <c r="C44193" s="374"/>
      <c r="CV44193" s="376"/>
    </row>
    <row r="44194" spans="1:100">
      <c r="A44194" s="374"/>
      <c r="C44194" s="374"/>
      <c r="CV44194" s="376"/>
    </row>
    <row r="44195" spans="1:100">
      <c r="A44195" s="374"/>
      <c r="C44195" s="374"/>
      <c r="CV44195" s="376"/>
    </row>
    <row r="44196" spans="1:100">
      <c r="A44196" s="374"/>
      <c r="C44196" s="374"/>
      <c r="CV44196" s="376"/>
    </row>
    <row r="44197" spans="1:100">
      <c r="A44197" s="374"/>
      <c r="C44197" s="374"/>
      <c r="CV44197" s="376"/>
    </row>
    <row r="44198" spans="1:100">
      <c r="A44198" s="374"/>
      <c r="C44198" s="374"/>
      <c r="CV44198" s="376"/>
    </row>
    <row r="44199" spans="1:100">
      <c r="A44199" s="374"/>
      <c r="C44199" s="374"/>
      <c r="CV44199" s="376"/>
    </row>
    <row r="44200" spans="1:100">
      <c r="A44200" s="374"/>
      <c r="C44200" s="374"/>
      <c r="CV44200" s="376"/>
    </row>
    <row r="44201" spans="1:100">
      <c r="A44201" s="374"/>
      <c r="C44201" s="374"/>
      <c r="CV44201" s="376"/>
    </row>
    <row r="44202" spans="1:100">
      <c r="A44202" s="374"/>
      <c r="C44202" s="374"/>
      <c r="CV44202" s="376"/>
    </row>
    <row r="44203" spans="1:100">
      <c r="A44203" s="374"/>
      <c r="C44203" s="374"/>
      <c r="CV44203" s="376"/>
    </row>
    <row r="44204" spans="1:100">
      <c r="A44204" s="374"/>
      <c r="C44204" s="374"/>
      <c r="CV44204" s="376"/>
    </row>
    <row r="44205" spans="1:100">
      <c r="A44205" s="374"/>
      <c r="C44205" s="374"/>
      <c r="CV44205" s="376"/>
    </row>
    <row r="44206" spans="1:100">
      <c r="A44206" s="374"/>
      <c r="C44206" s="374"/>
      <c r="CV44206" s="376"/>
    </row>
    <row r="44207" spans="1:100">
      <c r="A44207" s="374"/>
      <c r="C44207" s="374"/>
      <c r="CV44207" s="376"/>
    </row>
    <row r="44208" spans="1:100">
      <c r="A44208" s="374"/>
      <c r="C44208" s="374"/>
      <c r="CV44208" s="376"/>
    </row>
    <row r="44209" spans="1:100">
      <c r="A44209" s="374"/>
      <c r="C44209" s="374"/>
      <c r="CV44209" s="376"/>
    </row>
    <row r="44210" spans="1:100">
      <c r="A44210" s="374"/>
      <c r="C44210" s="374"/>
      <c r="CV44210" s="376"/>
    </row>
    <row r="44211" spans="1:100">
      <c r="A44211" s="374"/>
      <c r="C44211" s="374"/>
      <c r="CV44211" s="376"/>
    </row>
    <row r="44212" spans="1:100">
      <c r="A44212" s="374"/>
      <c r="C44212" s="374"/>
      <c r="CV44212" s="376"/>
    </row>
    <row r="44213" spans="1:100">
      <c r="A44213" s="374"/>
      <c r="C44213" s="374"/>
      <c r="CV44213" s="376"/>
    </row>
    <row r="44214" spans="1:100">
      <c r="A44214" s="374"/>
      <c r="C44214" s="374"/>
      <c r="CV44214" s="376"/>
    </row>
    <row r="44215" spans="1:100">
      <c r="A44215" s="374"/>
      <c r="C44215" s="374"/>
      <c r="CV44215" s="376"/>
    </row>
    <row r="44216" spans="1:100">
      <c r="A44216" s="374"/>
      <c r="C44216" s="374"/>
      <c r="CV44216" s="376"/>
    </row>
    <row r="44217" spans="1:100">
      <c r="A44217" s="374"/>
      <c r="C44217" s="374"/>
      <c r="CV44217" s="376"/>
    </row>
    <row r="44218" spans="1:100">
      <c r="A44218" s="374"/>
      <c r="C44218" s="374"/>
      <c r="CV44218" s="376"/>
    </row>
    <row r="44219" spans="1:100">
      <c r="A44219" s="374"/>
      <c r="C44219" s="374"/>
      <c r="CV44219" s="376"/>
    </row>
    <row r="44220" spans="1:100">
      <c r="A44220" s="374"/>
      <c r="C44220" s="374"/>
      <c r="CV44220" s="376"/>
    </row>
    <row r="44221" spans="1:100">
      <c r="A44221" s="374"/>
      <c r="C44221" s="374"/>
      <c r="CV44221" s="376"/>
    </row>
    <row r="44222" spans="1:100">
      <c r="A44222" s="374"/>
      <c r="C44222" s="374"/>
      <c r="CV44222" s="376"/>
    </row>
    <row r="44223" spans="1:100">
      <c r="A44223" s="374"/>
      <c r="C44223" s="374"/>
      <c r="CV44223" s="376"/>
    </row>
    <row r="44224" spans="1:100">
      <c r="A44224" s="374"/>
      <c r="C44224" s="374"/>
      <c r="CV44224" s="376"/>
    </row>
    <row r="44225" spans="1:100">
      <c r="A44225" s="374"/>
      <c r="C44225" s="374"/>
      <c r="CV44225" s="376"/>
    </row>
    <row r="44226" spans="1:100">
      <c r="A44226" s="374"/>
      <c r="C44226" s="374"/>
      <c r="CV44226" s="376"/>
    </row>
    <row r="44227" spans="1:100">
      <c r="A44227" s="374"/>
      <c r="C44227" s="374"/>
      <c r="CV44227" s="376"/>
    </row>
    <row r="44228" spans="1:100">
      <c r="A44228" s="374"/>
      <c r="C44228" s="374"/>
      <c r="CV44228" s="376"/>
    </row>
    <row r="44229" spans="1:100">
      <c r="A44229" s="374"/>
      <c r="C44229" s="374"/>
      <c r="CV44229" s="376"/>
    </row>
    <row r="44230" spans="1:100">
      <c r="A44230" s="374"/>
      <c r="C44230" s="374"/>
      <c r="CV44230" s="376"/>
    </row>
    <row r="44231" spans="1:100">
      <c r="A44231" s="374"/>
      <c r="C44231" s="374"/>
      <c r="CV44231" s="376"/>
    </row>
    <row r="44232" spans="1:100">
      <c r="A44232" s="374"/>
      <c r="C44232" s="374"/>
      <c r="CV44232" s="376"/>
    </row>
    <row r="44233" spans="1:100">
      <c r="A44233" s="374"/>
      <c r="C44233" s="374"/>
      <c r="CV44233" s="376"/>
    </row>
    <row r="44234" spans="1:100">
      <c r="A44234" s="374"/>
      <c r="C44234" s="374"/>
      <c r="CV44234" s="376"/>
    </row>
    <row r="44235" spans="1:100">
      <c r="A44235" s="374"/>
      <c r="C44235" s="374"/>
      <c r="CV44235" s="376"/>
    </row>
    <row r="44236" spans="1:100">
      <c r="A44236" s="374"/>
      <c r="C44236" s="374"/>
      <c r="CV44236" s="376"/>
    </row>
    <row r="44237" spans="1:100">
      <c r="A44237" s="374"/>
      <c r="C44237" s="374"/>
      <c r="CV44237" s="376"/>
    </row>
    <row r="44238" spans="1:100">
      <c r="A44238" s="374"/>
      <c r="C44238" s="374"/>
      <c r="CV44238" s="376"/>
    </row>
    <row r="44239" spans="1:100">
      <c r="A44239" s="374"/>
      <c r="C44239" s="374"/>
      <c r="CV44239" s="376"/>
    </row>
    <row r="44240" spans="1:100">
      <c r="A44240" s="374"/>
      <c r="C44240" s="374"/>
      <c r="CV44240" s="376"/>
    </row>
    <row r="44241" spans="1:100">
      <c r="A44241" s="374"/>
      <c r="C44241" s="374"/>
      <c r="CV44241" s="376"/>
    </row>
    <row r="44242" spans="1:100">
      <c r="A44242" s="374"/>
      <c r="C44242" s="374"/>
      <c r="CV44242" s="376"/>
    </row>
    <row r="44243" spans="1:100">
      <c r="A44243" s="374"/>
      <c r="C44243" s="374"/>
      <c r="CV44243" s="376"/>
    </row>
    <row r="44244" spans="1:100">
      <c r="A44244" s="374"/>
      <c r="C44244" s="374"/>
      <c r="CV44244" s="376"/>
    </row>
    <row r="44245" spans="1:100">
      <c r="A44245" s="374"/>
      <c r="C44245" s="374"/>
      <c r="CV44245" s="376"/>
    </row>
    <row r="44246" spans="1:100">
      <c r="A44246" s="374"/>
      <c r="C44246" s="374"/>
      <c r="CV44246" s="376"/>
    </row>
    <row r="44247" spans="1:100">
      <c r="A44247" s="374"/>
      <c r="C44247" s="374"/>
      <c r="CV44247" s="376"/>
    </row>
    <row r="44248" spans="1:100">
      <c r="A44248" s="374"/>
      <c r="C44248" s="374"/>
      <c r="CV44248" s="376"/>
    </row>
    <row r="44249" spans="1:100">
      <c r="A44249" s="374"/>
      <c r="C44249" s="374"/>
      <c r="CV44249" s="376"/>
    </row>
    <row r="44250" spans="1:100">
      <c r="A44250" s="374"/>
      <c r="C44250" s="374"/>
      <c r="CV44250" s="376"/>
    </row>
    <row r="44251" spans="1:100">
      <c r="A44251" s="374"/>
      <c r="C44251" s="374"/>
      <c r="CV44251" s="376"/>
    </row>
    <row r="44252" spans="1:100">
      <c r="A44252" s="374"/>
      <c r="C44252" s="374"/>
      <c r="CV44252" s="376"/>
    </row>
    <row r="44253" spans="1:100">
      <c r="A44253" s="374"/>
      <c r="C44253" s="374"/>
      <c r="CV44253" s="376"/>
    </row>
    <row r="44254" spans="1:100">
      <c r="A44254" s="374"/>
      <c r="C44254" s="374"/>
      <c r="CV44254" s="376"/>
    </row>
    <row r="44255" spans="1:100">
      <c r="A44255" s="374"/>
      <c r="C44255" s="374"/>
      <c r="CV44255" s="376"/>
    </row>
    <row r="44256" spans="1:100">
      <c r="A44256" s="374"/>
      <c r="C44256" s="374"/>
      <c r="CV44256" s="376"/>
    </row>
    <row r="44257" spans="1:100">
      <c r="A44257" s="374"/>
      <c r="C44257" s="374"/>
      <c r="CV44257" s="376"/>
    </row>
    <row r="44258" spans="1:100">
      <c r="A44258" s="374"/>
      <c r="C44258" s="374"/>
      <c r="CV44258" s="376"/>
    </row>
    <row r="44259" spans="1:100">
      <c r="A44259" s="374"/>
      <c r="C44259" s="374"/>
      <c r="CV44259" s="376"/>
    </row>
    <row r="44260" spans="1:100">
      <c r="A44260" s="374"/>
      <c r="C44260" s="374"/>
      <c r="CV44260" s="376"/>
    </row>
    <row r="44261" spans="1:100">
      <c r="A44261" s="374"/>
      <c r="C44261" s="374"/>
      <c r="CV44261" s="376"/>
    </row>
    <row r="44262" spans="1:100">
      <c r="A44262" s="374"/>
      <c r="C44262" s="374"/>
      <c r="CV44262" s="376"/>
    </row>
    <row r="44263" spans="1:100">
      <c r="A44263" s="374"/>
      <c r="C44263" s="374"/>
      <c r="CV44263" s="376"/>
    </row>
    <row r="44264" spans="1:100">
      <c r="A44264" s="374"/>
      <c r="C44264" s="374"/>
      <c r="CV44264" s="376"/>
    </row>
    <row r="44265" spans="1:100">
      <c r="A44265" s="374"/>
      <c r="C44265" s="374"/>
      <c r="CV44265" s="376"/>
    </row>
    <row r="44266" spans="1:100">
      <c r="A44266" s="374"/>
      <c r="C44266" s="374"/>
      <c r="CV44266" s="376"/>
    </row>
    <row r="44267" spans="1:100">
      <c r="A44267" s="374"/>
      <c r="C44267" s="374"/>
      <c r="CV44267" s="376"/>
    </row>
    <row r="44268" spans="1:100">
      <c r="A44268" s="374"/>
      <c r="C44268" s="374"/>
      <c r="CV44268" s="376"/>
    </row>
    <row r="44269" spans="1:100">
      <c r="A44269" s="374"/>
      <c r="C44269" s="374"/>
      <c r="CV44269" s="376"/>
    </row>
    <row r="44270" spans="1:100">
      <c r="A44270" s="374"/>
      <c r="C44270" s="374"/>
      <c r="CV44270" s="376"/>
    </row>
    <row r="44271" spans="1:100">
      <c r="A44271" s="374"/>
      <c r="C44271" s="374"/>
      <c r="CV44271" s="376"/>
    </row>
    <row r="44272" spans="1:100">
      <c r="A44272" s="374"/>
      <c r="C44272" s="374"/>
      <c r="CV44272" s="376"/>
    </row>
    <row r="44273" spans="1:100">
      <c r="A44273" s="374"/>
      <c r="C44273" s="374"/>
      <c r="CV44273" s="376"/>
    </row>
    <row r="44274" spans="1:100">
      <c r="A44274" s="374"/>
      <c r="C44274" s="374"/>
      <c r="CV44274" s="376"/>
    </row>
    <row r="44275" spans="1:100">
      <c r="A44275" s="374"/>
      <c r="C44275" s="374"/>
      <c r="CV44275" s="376"/>
    </row>
    <row r="44276" spans="1:100">
      <c r="A44276" s="374"/>
      <c r="C44276" s="374"/>
      <c r="CV44276" s="376"/>
    </row>
    <row r="44277" spans="1:100">
      <c r="A44277" s="374"/>
      <c r="C44277" s="374"/>
      <c r="CV44277" s="376"/>
    </row>
    <row r="44278" spans="1:100">
      <c r="A44278" s="374"/>
      <c r="C44278" s="374"/>
      <c r="CV44278" s="376"/>
    </row>
    <row r="44279" spans="1:100">
      <c r="A44279" s="374"/>
      <c r="C44279" s="374"/>
      <c r="CV44279" s="376"/>
    </row>
    <row r="44280" spans="1:100">
      <c r="A44280" s="374"/>
      <c r="C44280" s="374"/>
      <c r="CV44280" s="376"/>
    </row>
    <row r="44281" spans="1:100">
      <c r="A44281" s="374"/>
      <c r="C44281" s="374"/>
      <c r="CV44281" s="376"/>
    </row>
    <row r="44282" spans="1:100">
      <c r="A44282" s="374"/>
      <c r="C44282" s="374"/>
      <c r="CV44282" s="376"/>
    </row>
    <row r="44283" spans="1:100">
      <c r="A44283" s="374"/>
      <c r="C44283" s="374"/>
      <c r="CV44283" s="376"/>
    </row>
    <row r="44284" spans="1:100">
      <c r="A44284" s="374"/>
      <c r="C44284" s="374"/>
      <c r="CV44284" s="376"/>
    </row>
    <row r="44285" spans="1:100">
      <c r="A44285" s="374"/>
      <c r="C44285" s="374"/>
      <c r="CV44285" s="376"/>
    </row>
    <row r="44286" spans="1:100">
      <c r="A44286" s="374"/>
      <c r="C44286" s="374"/>
      <c r="CV44286" s="376"/>
    </row>
    <row r="44287" spans="1:100">
      <c r="A44287" s="374"/>
      <c r="C44287" s="374"/>
      <c r="CV44287" s="376"/>
    </row>
    <row r="44288" spans="1:100">
      <c r="A44288" s="374"/>
      <c r="C44288" s="374"/>
      <c r="CV44288" s="376"/>
    </row>
    <row r="44289" spans="1:100">
      <c r="A44289" s="374"/>
      <c r="C44289" s="374"/>
      <c r="CV44289" s="376"/>
    </row>
    <row r="44290" spans="1:100">
      <c r="A44290" s="374"/>
      <c r="C44290" s="374"/>
      <c r="CV44290" s="376"/>
    </row>
    <row r="44291" spans="1:100">
      <c r="A44291" s="374"/>
      <c r="C44291" s="374"/>
      <c r="CV44291" s="376"/>
    </row>
    <row r="44292" spans="1:100">
      <c r="A44292" s="374"/>
      <c r="C44292" s="374"/>
      <c r="CV44292" s="376"/>
    </row>
    <row r="44293" spans="1:100">
      <c r="A44293" s="374"/>
      <c r="C44293" s="374"/>
      <c r="CV44293" s="376"/>
    </row>
    <row r="44294" spans="1:100">
      <c r="A44294" s="374"/>
      <c r="C44294" s="374"/>
      <c r="CV44294" s="376"/>
    </row>
    <row r="44295" spans="1:100">
      <c r="A44295" s="374"/>
      <c r="C44295" s="374"/>
      <c r="CV44295" s="376"/>
    </row>
    <row r="44296" spans="1:100">
      <c r="A44296" s="374"/>
      <c r="C44296" s="374"/>
      <c r="CV44296" s="376"/>
    </row>
    <row r="44297" spans="1:100">
      <c r="A44297" s="374"/>
      <c r="C44297" s="374"/>
      <c r="CV44297" s="376"/>
    </row>
    <row r="44298" spans="1:100">
      <c r="A44298" s="374"/>
      <c r="C44298" s="374"/>
      <c r="CV44298" s="376"/>
    </row>
    <row r="44299" spans="1:100">
      <c r="A44299" s="374"/>
      <c r="C44299" s="374"/>
      <c r="CV44299" s="376"/>
    </row>
    <row r="44300" spans="1:100">
      <c r="A44300" s="374"/>
      <c r="C44300" s="374"/>
      <c r="CV44300" s="376"/>
    </row>
    <row r="44301" spans="1:100">
      <c r="A44301" s="374"/>
      <c r="C44301" s="374"/>
      <c r="CV44301" s="376"/>
    </row>
    <row r="44302" spans="1:100">
      <c r="A44302" s="374"/>
      <c r="C44302" s="374"/>
      <c r="CV44302" s="376"/>
    </row>
    <row r="44303" spans="1:100">
      <c r="A44303" s="374"/>
      <c r="C44303" s="374"/>
      <c r="CV44303" s="376"/>
    </row>
    <row r="44304" spans="1:100">
      <c r="A44304" s="374"/>
      <c r="C44304" s="374"/>
      <c r="CV44304" s="376"/>
    </row>
    <row r="44305" spans="1:100">
      <c r="A44305" s="374"/>
      <c r="C44305" s="374"/>
      <c r="CV44305" s="376"/>
    </row>
    <row r="44306" spans="1:100">
      <c r="A44306" s="374"/>
      <c r="C44306" s="374"/>
      <c r="CV44306" s="376"/>
    </row>
    <row r="44307" spans="1:100">
      <c r="A44307" s="374"/>
      <c r="C44307" s="374"/>
      <c r="CV44307" s="376"/>
    </row>
    <row r="44308" spans="1:100">
      <c r="A44308" s="374"/>
      <c r="C44308" s="374"/>
      <c r="CV44308" s="376"/>
    </row>
    <row r="44309" spans="1:100">
      <c r="A44309" s="374"/>
      <c r="C44309" s="374"/>
      <c r="CV44309" s="376"/>
    </row>
    <row r="44310" spans="1:100">
      <c r="A44310" s="374"/>
      <c r="C44310" s="374"/>
      <c r="CV44310" s="376"/>
    </row>
    <row r="44311" spans="1:100">
      <c r="A44311" s="374"/>
      <c r="C44311" s="374"/>
      <c r="CV44311" s="376"/>
    </row>
    <row r="44312" spans="1:100">
      <c r="A44312" s="374"/>
      <c r="C44312" s="374"/>
      <c r="CV44312" s="376"/>
    </row>
    <row r="44313" spans="1:100">
      <c r="A44313" s="374"/>
      <c r="C44313" s="374"/>
      <c r="CV44313" s="376"/>
    </row>
    <row r="44314" spans="1:100">
      <c r="A44314" s="374"/>
      <c r="C44314" s="374"/>
      <c r="CV44314" s="376"/>
    </row>
    <row r="44315" spans="1:100">
      <c r="A44315" s="374"/>
      <c r="C44315" s="374"/>
      <c r="CV44315" s="376"/>
    </row>
    <row r="44316" spans="1:100">
      <c r="A44316" s="374"/>
      <c r="C44316" s="374"/>
      <c r="CV44316" s="376"/>
    </row>
    <row r="44317" spans="1:100">
      <c r="A44317" s="374"/>
      <c r="C44317" s="374"/>
      <c r="CV44317" s="376"/>
    </row>
    <row r="44318" spans="1:100">
      <c r="A44318" s="374"/>
      <c r="C44318" s="374"/>
      <c r="CV44318" s="376"/>
    </row>
    <row r="44319" spans="1:100">
      <c r="A44319" s="374"/>
      <c r="C44319" s="374"/>
      <c r="CV44319" s="376"/>
    </row>
    <row r="44320" spans="1:100">
      <c r="A44320" s="374"/>
      <c r="C44320" s="374"/>
      <c r="CV44320" s="376"/>
    </row>
    <row r="44321" spans="1:100">
      <c r="A44321" s="374"/>
      <c r="C44321" s="374"/>
      <c r="CV44321" s="376"/>
    </row>
    <row r="44322" spans="1:100">
      <c r="A44322" s="374"/>
      <c r="C44322" s="374"/>
      <c r="CV44322" s="376"/>
    </row>
    <row r="44323" spans="1:100">
      <c r="A44323" s="374"/>
      <c r="C44323" s="374"/>
      <c r="CV44323" s="376"/>
    </row>
    <row r="44324" spans="1:100">
      <c r="A44324" s="374"/>
      <c r="C44324" s="374"/>
      <c r="CV44324" s="376"/>
    </row>
    <row r="44325" spans="1:100">
      <c r="A44325" s="374"/>
      <c r="C44325" s="374"/>
      <c r="CV44325" s="376"/>
    </row>
    <row r="44326" spans="1:100">
      <c r="A44326" s="374"/>
      <c r="C44326" s="374"/>
      <c r="CV44326" s="376"/>
    </row>
    <row r="44327" spans="1:100">
      <c r="A44327" s="374"/>
      <c r="C44327" s="374"/>
      <c r="CV44327" s="376"/>
    </row>
    <row r="44328" spans="1:100">
      <c r="A44328" s="374"/>
      <c r="C44328" s="374"/>
      <c r="CV44328" s="376"/>
    </row>
    <row r="44329" spans="1:100">
      <c r="A44329" s="374"/>
      <c r="C44329" s="374"/>
      <c r="CV44329" s="376"/>
    </row>
    <row r="44330" spans="1:100">
      <c r="A44330" s="374"/>
      <c r="C44330" s="374"/>
      <c r="CV44330" s="376"/>
    </row>
    <row r="44331" spans="1:100">
      <c r="A44331" s="374"/>
      <c r="C44331" s="374"/>
      <c r="CV44331" s="376"/>
    </row>
    <row r="44332" spans="1:100">
      <c r="A44332" s="374"/>
      <c r="C44332" s="374"/>
      <c r="CV44332" s="376"/>
    </row>
    <row r="44333" spans="1:100">
      <c r="A44333" s="374"/>
      <c r="C44333" s="374"/>
      <c r="CV44333" s="376"/>
    </row>
    <row r="44334" spans="1:100">
      <c r="A44334" s="374"/>
      <c r="C44334" s="374"/>
      <c r="CV44334" s="376"/>
    </row>
    <row r="44335" spans="1:100">
      <c r="A44335" s="374"/>
      <c r="C44335" s="374"/>
      <c r="CV44335" s="376"/>
    </row>
    <row r="44336" spans="1:100">
      <c r="A44336" s="374"/>
      <c r="C44336" s="374"/>
      <c r="CV44336" s="376"/>
    </row>
    <row r="44337" spans="1:100">
      <c r="A44337" s="374"/>
      <c r="C44337" s="374"/>
      <c r="CV44337" s="376"/>
    </row>
    <row r="44338" spans="1:100">
      <c r="A44338" s="374"/>
      <c r="C44338" s="374"/>
      <c r="CV44338" s="376"/>
    </row>
    <row r="44339" spans="1:100">
      <c r="A44339" s="374"/>
      <c r="C44339" s="374"/>
      <c r="CV44339" s="376"/>
    </row>
    <row r="44340" spans="1:100">
      <c r="A44340" s="374"/>
      <c r="C44340" s="374"/>
      <c r="CV44340" s="376"/>
    </row>
    <row r="44341" spans="1:100">
      <c r="A44341" s="374"/>
      <c r="C44341" s="374"/>
      <c r="CV44341" s="376"/>
    </row>
    <row r="44342" spans="1:100">
      <c r="A44342" s="374"/>
      <c r="C44342" s="374"/>
      <c r="CV44342" s="376"/>
    </row>
    <row r="44343" spans="1:100">
      <c r="A44343" s="374"/>
      <c r="C44343" s="374"/>
      <c r="CV44343" s="376"/>
    </row>
    <row r="44344" spans="1:100">
      <c r="A44344" s="374"/>
      <c r="C44344" s="374"/>
      <c r="CV44344" s="376"/>
    </row>
    <row r="44345" spans="1:100">
      <c r="A44345" s="374"/>
      <c r="C44345" s="374"/>
      <c r="CV44345" s="376"/>
    </row>
    <row r="44346" spans="1:100">
      <c r="A44346" s="374"/>
      <c r="C44346" s="374"/>
      <c r="CV44346" s="376"/>
    </row>
    <row r="44347" spans="1:100">
      <c r="A44347" s="374"/>
      <c r="C44347" s="374"/>
      <c r="CV44347" s="376"/>
    </row>
    <row r="44348" spans="1:100">
      <c r="A44348" s="374"/>
      <c r="C44348" s="374"/>
      <c r="CV44348" s="376"/>
    </row>
    <row r="44349" spans="1:100">
      <c r="A44349" s="374"/>
      <c r="C44349" s="374"/>
      <c r="CV44349" s="376"/>
    </row>
    <row r="44350" spans="1:100">
      <c r="A44350" s="374"/>
      <c r="C44350" s="374"/>
      <c r="CV44350" s="376"/>
    </row>
    <row r="44351" spans="1:100">
      <c r="A44351" s="374"/>
      <c r="C44351" s="374"/>
      <c r="CV44351" s="376"/>
    </row>
    <row r="44352" spans="1:100">
      <c r="A44352" s="374"/>
      <c r="C44352" s="374"/>
      <c r="CV44352" s="376"/>
    </row>
    <row r="44353" spans="1:100">
      <c r="A44353" s="374"/>
      <c r="C44353" s="374"/>
      <c r="CV44353" s="376"/>
    </row>
    <row r="44354" spans="1:100">
      <c r="A44354" s="374"/>
      <c r="C44354" s="374"/>
      <c r="CV44354" s="376"/>
    </row>
    <row r="44355" spans="1:100">
      <c r="A44355" s="374"/>
      <c r="C44355" s="374"/>
      <c r="CV44355" s="376"/>
    </row>
    <row r="44356" spans="1:100">
      <c r="A44356" s="374"/>
      <c r="C44356" s="374"/>
      <c r="CV44356" s="376"/>
    </row>
    <row r="44357" spans="1:100">
      <c r="A44357" s="374"/>
      <c r="C44357" s="374"/>
      <c r="CV44357" s="376"/>
    </row>
    <row r="44358" spans="1:100">
      <c r="A44358" s="374"/>
      <c r="C44358" s="374"/>
      <c r="CV44358" s="376"/>
    </row>
    <row r="44359" spans="1:100">
      <c r="A44359" s="374"/>
      <c r="C44359" s="374"/>
      <c r="CV44359" s="376"/>
    </row>
    <row r="44360" spans="1:100">
      <c r="A44360" s="374"/>
      <c r="C44360" s="374"/>
      <c r="CV44360" s="376"/>
    </row>
    <row r="44361" spans="1:100">
      <c r="A44361" s="374"/>
      <c r="C44361" s="374"/>
      <c r="CV44361" s="376"/>
    </row>
    <row r="44362" spans="1:100">
      <c r="A44362" s="374"/>
      <c r="C44362" s="374"/>
      <c r="CV44362" s="376"/>
    </row>
    <row r="44363" spans="1:100">
      <c r="A44363" s="374"/>
      <c r="C44363" s="374"/>
      <c r="CV44363" s="376"/>
    </row>
    <row r="44364" spans="1:100">
      <c r="A44364" s="374"/>
      <c r="C44364" s="374"/>
      <c r="CV44364" s="376"/>
    </row>
    <row r="44365" spans="1:100">
      <c r="A44365" s="374"/>
      <c r="C44365" s="374"/>
      <c r="CV44365" s="376"/>
    </row>
    <row r="44366" spans="1:100">
      <c r="A44366" s="374"/>
      <c r="C44366" s="374"/>
      <c r="CV44366" s="376"/>
    </row>
    <row r="44367" spans="1:100">
      <c r="A44367" s="374"/>
      <c r="C44367" s="374"/>
      <c r="CV44367" s="376"/>
    </row>
    <row r="44368" spans="1:100">
      <c r="A44368" s="374"/>
      <c r="C44368" s="374"/>
      <c r="CV44368" s="376"/>
    </row>
    <row r="44369" spans="1:100">
      <c r="A44369" s="374"/>
      <c r="C44369" s="374"/>
      <c r="CV44369" s="376"/>
    </row>
    <row r="44370" spans="1:100">
      <c r="A44370" s="374"/>
      <c r="C44370" s="374"/>
      <c r="CV44370" s="376"/>
    </row>
    <row r="44371" spans="1:100">
      <c r="A44371" s="374"/>
      <c r="C44371" s="374"/>
      <c r="CV44371" s="376"/>
    </row>
    <row r="44372" spans="1:100">
      <c r="A44372" s="374"/>
      <c r="C44372" s="374"/>
      <c r="CV44372" s="376"/>
    </row>
    <row r="44373" spans="1:100">
      <c r="A44373" s="374"/>
      <c r="C44373" s="374"/>
      <c r="CV44373" s="376"/>
    </row>
    <row r="44374" spans="1:100">
      <c r="A44374" s="374"/>
      <c r="C44374" s="374"/>
      <c r="CV44374" s="376"/>
    </row>
    <row r="44375" spans="1:100">
      <c r="A44375" s="374"/>
      <c r="C44375" s="374"/>
      <c r="CV44375" s="376"/>
    </row>
    <row r="44376" spans="1:100">
      <c r="A44376" s="374"/>
      <c r="C44376" s="374"/>
      <c r="CV44376" s="376"/>
    </row>
    <row r="44377" spans="1:100">
      <c r="A44377" s="374"/>
      <c r="C44377" s="374"/>
      <c r="CV44377" s="376"/>
    </row>
    <row r="44378" spans="1:100">
      <c r="A44378" s="374"/>
      <c r="C44378" s="374"/>
      <c r="CV44378" s="376"/>
    </row>
    <row r="44379" spans="1:100">
      <c r="A44379" s="374"/>
      <c r="C44379" s="374"/>
      <c r="CV44379" s="376"/>
    </row>
    <row r="44380" spans="1:100">
      <c r="A44380" s="374"/>
      <c r="C44380" s="374"/>
      <c r="CV44380" s="376"/>
    </row>
    <row r="44381" spans="1:100">
      <c r="A44381" s="374"/>
      <c r="C44381" s="374"/>
      <c r="CV44381" s="376"/>
    </row>
    <row r="44382" spans="1:100">
      <c r="A44382" s="374"/>
      <c r="C44382" s="374"/>
      <c r="CV44382" s="376"/>
    </row>
    <row r="44383" spans="1:100">
      <c r="A44383" s="374"/>
      <c r="C44383" s="374"/>
      <c r="CV44383" s="376"/>
    </row>
    <row r="44384" spans="1:100">
      <c r="A44384" s="374"/>
      <c r="C44384" s="374"/>
      <c r="CV44384" s="376"/>
    </row>
    <row r="44385" spans="1:100">
      <c r="A44385" s="374"/>
      <c r="C44385" s="374"/>
      <c r="CV44385" s="376"/>
    </row>
    <row r="44386" spans="1:100">
      <c r="A44386" s="374"/>
      <c r="C44386" s="374"/>
      <c r="CV44386" s="376"/>
    </row>
    <row r="44387" spans="1:100">
      <c r="A44387" s="374"/>
      <c r="C44387" s="374"/>
      <c r="CV44387" s="376"/>
    </row>
    <row r="44388" spans="1:100">
      <c r="A44388" s="374"/>
      <c r="C44388" s="374"/>
      <c r="CV44388" s="376"/>
    </row>
    <row r="44389" spans="1:100">
      <c r="A44389" s="374"/>
      <c r="C44389" s="374"/>
      <c r="CV44389" s="376"/>
    </row>
    <row r="44390" spans="1:100">
      <c r="A44390" s="374"/>
      <c r="C44390" s="374"/>
      <c r="CV44390" s="376"/>
    </row>
    <row r="44391" spans="1:100">
      <c r="A44391" s="374"/>
      <c r="C44391" s="374"/>
      <c r="CV44391" s="376"/>
    </row>
    <row r="44392" spans="1:100">
      <c r="A44392" s="374"/>
      <c r="C44392" s="374"/>
      <c r="CV44392" s="376"/>
    </row>
    <row r="44393" spans="1:100">
      <c r="A44393" s="374"/>
      <c r="C44393" s="374"/>
      <c r="CV44393" s="376"/>
    </row>
    <row r="44394" spans="1:100">
      <c r="A44394" s="374"/>
      <c r="C44394" s="374"/>
      <c r="CV44394" s="376"/>
    </row>
    <row r="44395" spans="1:100">
      <c r="A44395" s="374"/>
      <c r="C44395" s="374"/>
      <c r="CV44395" s="376"/>
    </row>
    <row r="44396" spans="1:100">
      <c r="A44396" s="374"/>
      <c r="C44396" s="374"/>
      <c r="CV44396" s="376"/>
    </row>
    <row r="44397" spans="1:100">
      <c r="A44397" s="374"/>
      <c r="C44397" s="374"/>
      <c r="CV44397" s="376"/>
    </row>
    <row r="44398" spans="1:100">
      <c r="A44398" s="374"/>
      <c r="C44398" s="374"/>
      <c r="CV44398" s="376"/>
    </row>
    <row r="44399" spans="1:100">
      <c r="A44399" s="374"/>
      <c r="C44399" s="374"/>
      <c r="CV44399" s="376"/>
    </row>
    <row r="44400" spans="1:100">
      <c r="A44400" s="374"/>
      <c r="C44400" s="374"/>
      <c r="CV44400" s="376"/>
    </row>
    <row r="44401" spans="1:100">
      <c r="A44401" s="374"/>
      <c r="C44401" s="374"/>
      <c r="CV44401" s="376"/>
    </row>
    <row r="44402" spans="1:100">
      <c r="A44402" s="374"/>
      <c r="C44402" s="374"/>
      <c r="CV44402" s="376"/>
    </row>
    <row r="44403" spans="1:100">
      <c r="A44403" s="374"/>
      <c r="C44403" s="374"/>
      <c r="CV44403" s="376"/>
    </row>
    <row r="44404" spans="1:100">
      <c r="A44404" s="374"/>
      <c r="C44404" s="374"/>
      <c r="CV44404" s="376"/>
    </row>
    <row r="44405" spans="1:100">
      <c r="A44405" s="374"/>
      <c r="C44405" s="374"/>
      <c r="CV44405" s="376"/>
    </row>
    <row r="44406" spans="1:100">
      <c r="A44406" s="374"/>
      <c r="C44406" s="374"/>
      <c r="CV44406" s="376"/>
    </row>
    <row r="44407" spans="1:100">
      <c r="A44407" s="374"/>
      <c r="C44407" s="374"/>
      <c r="CV44407" s="376"/>
    </row>
    <row r="44408" spans="1:100">
      <c r="A44408" s="374"/>
      <c r="C44408" s="374"/>
      <c r="CV44408" s="376"/>
    </row>
    <row r="44409" spans="1:100">
      <c r="A44409" s="374"/>
      <c r="C44409" s="374"/>
      <c r="CV44409" s="376"/>
    </row>
    <row r="44410" spans="1:100">
      <c r="A44410" s="374"/>
      <c r="C44410" s="374"/>
      <c r="CV44410" s="376"/>
    </row>
    <row r="44411" spans="1:100">
      <c r="A44411" s="374"/>
      <c r="C44411" s="374"/>
      <c r="CV44411" s="376"/>
    </row>
    <row r="44412" spans="1:100">
      <c r="A44412" s="374"/>
      <c r="C44412" s="374"/>
      <c r="CV44412" s="376"/>
    </row>
    <row r="44413" spans="1:100">
      <c r="A44413" s="374"/>
      <c r="C44413" s="374"/>
      <c r="CV44413" s="376"/>
    </row>
    <row r="44414" spans="1:100">
      <c r="A44414" s="374"/>
      <c r="C44414" s="374"/>
      <c r="CV44414" s="376"/>
    </row>
    <row r="44415" spans="1:100">
      <c r="A44415" s="374"/>
      <c r="C44415" s="374"/>
      <c r="CV44415" s="376"/>
    </row>
    <row r="44416" spans="1:100">
      <c r="A44416" s="374"/>
      <c r="C44416" s="374"/>
      <c r="CV44416" s="376"/>
    </row>
    <row r="44417" spans="1:100">
      <c r="A44417" s="374"/>
      <c r="C44417" s="374"/>
      <c r="CV44417" s="376"/>
    </row>
    <row r="44418" spans="1:100">
      <c r="A44418" s="374"/>
      <c r="C44418" s="374"/>
      <c r="CV44418" s="376"/>
    </row>
    <row r="44419" spans="1:100">
      <c r="A44419" s="374"/>
      <c r="C44419" s="374"/>
      <c r="CV44419" s="376"/>
    </row>
    <row r="44420" spans="1:100">
      <c r="A44420" s="374"/>
      <c r="C44420" s="374"/>
      <c r="CV44420" s="376"/>
    </row>
    <row r="44421" spans="1:100">
      <c r="A44421" s="374"/>
      <c r="C44421" s="374"/>
      <c r="CV44421" s="376"/>
    </row>
    <row r="44422" spans="1:100">
      <c r="A44422" s="374"/>
      <c r="C44422" s="374"/>
      <c r="CV44422" s="376"/>
    </row>
    <row r="44423" spans="1:100">
      <c r="A44423" s="374"/>
      <c r="C44423" s="374"/>
      <c r="CV44423" s="376"/>
    </row>
    <row r="44424" spans="1:100">
      <c r="A44424" s="374"/>
      <c r="C44424" s="374"/>
      <c r="CV44424" s="376"/>
    </row>
    <row r="44425" spans="1:100">
      <c r="A44425" s="374"/>
      <c r="C44425" s="374"/>
      <c r="CV44425" s="376"/>
    </row>
    <row r="44426" spans="1:100">
      <c r="A44426" s="374"/>
      <c r="C44426" s="374"/>
      <c r="CV44426" s="376"/>
    </row>
    <row r="44427" spans="1:100">
      <c r="A44427" s="374"/>
      <c r="C44427" s="374"/>
      <c r="CV44427" s="376"/>
    </row>
    <row r="44428" spans="1:100">
      <c r="A44428" s="374"/>
      <c r="C44428" s="374"/>
      <c r="CV44428" s="376"/>
    </row>
    <row r="44429" spans="1:100">
      <c r="A44429" s="374"/>
      <c r="C44429" s="374"/>
      <c r="CV44429" s="376"/>
    </row>
    <row r="44430" spans="1:100">
      <c r="A44430" s="374"/>
      <c r="C44430" s="374"/>
      <c r="CV44430" s="376"/>
    </row>
    <row r="44431" spans="1:100">
      <c r="A44431" s="374"/>
      <c r="C44431" s="374"/>
      <c r="CV44431" s="376"/>
    </row>
    <row r="44432" spans="1:100">
      <c r="A44432" s="374"/>
      <c r="C44432" s="374"/>
      <c r="CV44432" s="376"/>
    </row>
    <row r="44433" spans="1:100">
      <c r="A44433" s="374"/>
      <c r="C44433" s="374"/>
      <c r="CV44433" s="376"/>
    </row>
    <row r="44434" spans="1:100">
      <c r="A44434" s="374"/>
      <c r="C44434" s="374"/>
      <c r="CV44434" s="376"/>
    </row>
    <row r="44435" spans="1:100">
      <c r="A44435" s="374"/>
      <c r="C44435" s="374"/>
      <c r="CV44435" s="376"/>
    </row>
    <row r="44436" spans="1:100">
      <c r="A44436" s="374"/>
      <c r="C44436" s="374"/>
      <c r="CV44436" s="376"/>
    </row>
    <row r="44437" spans="1:100">
      <c r="A44437" s="374"/>
      <c r="C44437" s="374"/>
      <c r="CV44437" s="376"/>
    </row>
    <row r="44438" spans="1:100">
      <c r="A44438" s="374"/>
      <c r="C44438" s="374"/>
      <c r="CV44438" s="376"/>
    </row>
    <row r="44439" spans="1:100">
      <c r="A44439" s="374"/>
      <c r="C44439" s="374"/>
      <c r="CV44439" s="376"/>
    </row>
    <row r="44440" spans="1:100">
      <c r="A44440" s="374"/>
      <c r="C44440" s="374"/>
      <c r="CV44440" s="376"/>
    </row>
    <row r="44441" spans="1:100">
      <c r="A44441" s="374"/>
      <c r="C44441" s="374"/>
      <c r="CV44441" s="376"/>
    </row>
    <row r="44442" spans="1:100">
      <c r="A44442" s="374"/>
      <c r="C44442" s="374"/>
      <c r="CV44442" s="376"/>
    </row>
    <row r="44443" spans="1:100">
      <c r="A44443" s="374"/>
      <c r="C44443" s="374"/>
      <c r="CV44443" s="376"/>
    </row>
    <row r="44444" spans="1:100">
      <c r="A44444" s="374"/>
      <c r="C44444" s="374"/>
      <c r="CV44444" s="376"/>
    </row>
    <row r="44445" spans="1:100">
      <c r="A44445" s="374"/>
      <c r="C44445" s="374"/>
      <c r="CV44445" s="376"/>
    </row>
    <row r="44446" spans="1:100">
      <c r="A44446" s="374"/>
      <c r="C44446" s="374"/>
      <c r="CV44446" s="376"/>
    </row>
    <row r="44447" spans="1:100">
      <c r="A44447" s="374"/>
      <c r="C44447" s="374"/>
      <c r="CV44447" s="376"/>
    </row>
    <row r="44448" spans="1:100">
      <c r="A44448" s="374"/>
      <c r="C44448" s="374"/>
      <c r="CV44448" s="376"/>
    </row>
    <row r="44449" spans="1:100">
      <c r="A44449" s="374"/>
      <c r="C44449" s="374"/>
      <c r="CV44449" s="376"/>
    </row>
    <row r="44450" spans="1:100">
      <c r="A44450" s="374"/>
      <c r="C44450" s="374"/>
      <c r="CV44450" s="376"/>
    </row>
    <row r="44451" spans="1:100">
      <c r="A44451" s="374"/>
      <c r="C44451" s="374"/>
      <c r="CV44451" s="376"/>
    </row>
    <row r="44452" spans="1:100">
      <c r="A44452" s="374"/>
      <c r="C44452" s="374"/>
      <c r="CV44452" s="376"/>
    </row>
    <row r="44453" spans="1:100">
      <c r="A44453" s="374"/>
      <c r="C44453" s="374"/>
      <c r="CV44453" s="376"/>
    </row>
    <row r="44454" spans="1:100">
      <c r="A44454" s="374"/>
      <c r="C44454" s="374"/>
      <c r="CV44454" s="376"/>
    </row>
    <row r="44455" spans="1:100">
      <c r="A44455" s="374"/>
      <c r="C44455" s="374"/>
      <c r="CV44455" s="376"/>
    </row>
    <row r="44456" spans="1:100">
      <c r="A44456" s="374"/>
      <c r="C44456" s="374"/>
      <c r="CV44456" s="376"/>
    </row>
    <row r="44457" spans="1:100">
      <c r="A44457" s="374"/>
      <c r="C44457" s="374"/>
      <c r="CV44457" s="376"/>
    </row>
    <row r="44458" spans="1:100">
      <c r="A44458" s="374"/>
      <c r="C44458" s="374"/>
      <c r="CV44458" s="376"/>
    </row>
    <row r="44459" spans="1:100">
      <c r="A44459" s="374"/>
      <c r="C44459" s="374"/>
      <c r="CV44459" s="376"/>
    </row>
    <row r="44460" spans="1:100">
      <c r="A44460" s="374"/>
      <c r="C44460" s="374"/>
      <c r="CV44460" s="376"/>
    </row>
    <row r="44461" spans="1:100">
      <c r="A44461" s="374"/>
      <c r="C44461" s="374"/>
      <c r="CV44461" s="376"/>
    </row>
    <row r="44462" spans="1:100">
      <c r="A44462" s="374"/>
      <c r="C44462" s="374"/>
      <c r="CV44462" s="376"/>
    </row>
    <row r="44463" spans="1:100">
      <c r="A44463" s="374"/>
      <c r="C44463" s="374"/>
      <c r="CV44463" s="376"/>
    </row>
    <row r="44464" spans="1:100">
      <c r="A44464" s="374"/>
      <c r="C44464" s="374"/>
      <c r="CV44464" s="376"/>
    </row>
    <row r="44465" spans="1:100">
      <c r="A44465" s="374"/>
      <c r="C44465" s="374"/>
      <c r="CV44465" s="376"/>
    </row>
    <row r="44466" spans="1:100">
      <c r="A44466" s="374"/>
      <c r="C44466" s="374"/>
      <c r="CV44466" s="376"/>
    </row>
    <row r="44467" spans="1:100">
      <c r="A44467" s="374"/>
      <c r="C44467" s="374"/>
      <c r="CV44467" s="376"/>
    </row>
    <row r="44468" spans="1:100">
      <c r="A44468" s="374"/>
      <c r="C44468" s="374"/>
      <c r="CV44468" s="376"/>
    </row>
    <row r="44469" spans="1:100">
      <c r="A44469" s="374"/>
      <c r="C44469" s="374"/>
      <c r="CV44469" s="376"/>
    </row>
    <row r="44470" spans="1:100">
      <c r="A44470" s="374"/>
      <c r="C44470" s="374"/>
      <c r="CV44470" s="376"/>
    </row>
    <row r="44471" spans="1:100">
      <c r="A44471" s="374"/>
      <c r="C44471" s="374"/>
      <c r="CV44471" s="376"/>
    </row>
    <row r="44472" spans="1:100">
      <c r="A44472" s="374"/>
      <c r="C44472" s="374"/>
      <c r="CV44472" s="376"/>
    </row>
    <row r="44473" spans="1:100">
      <c r="A44473" s="374"/>
      <c r="C44473" s="374"/>
      <c r="CV44473" s="376"/>
    </row>
    <row r="44474" spans="1:100">
      <c r="A44474" s="374"/>
      <c r="C44474" s="374"/>
      <c r="CV44474" s="376"/>
    </row>
    <row r="44475" spans="1:100">
      <c r="A44475" s="374"/>
      <c r="C44475" s="374"/>
      <c r="CV44475" s="376"/>
    </row>
    <row r="44476" spans="1:100">
      <c r="A44476" s="374"/>
      <c r="C44476" s="374"/>
      <c r="CV44476" s="376"/>
    </row>
    <row r="44477" spans="1:100">
      <c r="A44477" s="374"/>
      <c r="C44477" s="374"/>
      <c r="CV44477" s="376"/>
    </row>
    <row r="44478" spans="1:100">
      <c r="A44478" s="374"/>
      <c r="C44478" s="374"/>
      <c r="CV44478" s="376"/>
    </row>
    <row r="44479" spans="1:100">
      <c r="A44479" s="374"/>
      <c r="C44479" s="374"/>
      <c r="CV44479" s="376"/>
    </row>
    <row r="44480" spans="1:100">
      <c r="A44480" s="374"/>
      <c r="C44480" s="374"/>
      <c r="CV44480" s="376"/>
    </row>
    <row r="44481" spans="1:100">
      <c r="A44481" s="374"/>
      <c r="C44481" s="374"/>
      <c r="CV44481" s="376"/>
    </row>
    <row r="44482" spans="1:100">
      <c r="A44482" s="374"/>
      <c r="C44482" s="374"/>
      <c r="CV44482" s="376"/>
    </row>
    <row r="44483" spans="1:100">
      <c r="A44483" s="374"/>
      <c r="C44483" s="374"/>
      <c r="CV44483" s="376"/>
    </row>
    <row r="44484" spans="1:100">
      <c r="A44484" s="374"/>
      <c r="C44484" s="374"/>
      <c r="CV44484" s="376"/>
    </row>
    <row r="44485" spans="1:100">
      <c r="A44485" s="374"/>
      <c r="C44485" s="374"/>
      <c r="CV44485" s="376"/>
    </row>
    <row r="44486" spans="1:100">
      <c r="A44486" s="374"/>
      <c r="C44486" s="374"/>
      <c r="CV44486" s="376"/>
    </row>
    <row r="44487" spans="1:100">
      <c r="A44487" s="374"/>
      <c r="C44487" s="374"/>
      <c r="CV44487" s="376"/>
    </row>
    <row r="44488" spans="1:100">
      <c r="A44488" s="374"/>
      <c r="C44488" s="374"/>
      <c r="CV44488" s="376"/>
    </row>
    <row r="44489" spans="1:100">
      <c r="A44489" s="374"/>
      <c r="C44489" s="374"/>
      <c r="CV44489" s="376"/>
    </row>
    <row r="44490" spans="1:100">
      <c r="A44490" s="374"/>
      <c r="C44490" s="374"/>
      <c r="CV44490" s="376"/>
    </row>
    <row r="44491" spans="1:100">
      <c r="A44491" s="374"/>
      <c r="C44491" s="374"/>
      <c r="CV44491" s="376"/>
    </row>
    <row r="44492" spans="1:100">
      <c r="A44492" s="374"/>
      <c r="C44492" s="374"/>
      <c r="CV44492" s="376"/>
    </row>
    <row r="44493" spans="1:100">
      <c r="A44493" s="374"/>
      <c r="C44493" s="374"/>
      <c r="CV44493" s="376"/>
    </row>
    <row r="44494" spans="1:100">
      <c r="A44494" s="374"/>
      <c r="C44494" s="374"/>
      <c r="CV44494" s="376"/>
    </row>
    <row r="44495" spans="1:100">
      <c r="A44495" s="374"/>
      <c r="C44495" s="374"/>
      <c r="CV44495" s="376"/>
    </row>
    <row r="44496" spans="1:100">
      <c r="A44496" s="374"/>
      <c r="C44496" s="374"/>
      <c r="CV44496" s="376"/>
    </row>
    <row r="44497" spans="1:100">
      <c r="A44497" s="374"/>
      <c r="C44497" s="374"/>
      <c r="CV44497" s="376"/>
    </row>
    <row r="44498" spans="1:100">
      <c r="A44498" s="374"/>
      <c r="C44498" s="374"/>
      <c r="CV44498" s="376"/>
    </row>
    <row r="44499" spans="1:100">
      <c r="A44499" s="374"/>
      <c r="C44499" s="374"/>
      <c r="CV44499" s="376"/>
    </row>
    <row r="44500" spans="1:100">
      <c r="A44500" s="374"/>
      <c r="C44500" s="374"/>
      <c r="CV44500" s="376"/>
    </row>
    <row r="44501" spans="1:100">
      <c r="A44501" s="374"/>
      <c r="C44501" s="374"/>
      <c r="CV44501" s="376"/>
    </row>
    <row r="44502" spans="1:100">
      <c r="A44502" s="374"/>
      <c r="C44502" s="374"/>
      <c r="CV44502" s="376"/>
    </row>
    <row r="44503" spans="1:100">
      <c r="A44503" s="374"/>
      <c r="C44503" s="374"/>
      <c r="CV44503" s="376"/>
    </row>
    <row r="44504" spans="1:100">
      <c r="A44504" s="374"/>
      <c r="C44504" s="374"/>
      <c r="CV44504" s="376"/>
    </row>
    <row r="44505" spans="1:100">
      <c r="A44505" s="374"/>
      <c r="C44505" s="374"/>
      <c r="CV44505" s="376"/>
    </row>
    <row r="44506" spans="1:100">
      <c r="A44506" s="374"/>
      <c r="C44506" s="374"/>
      <c r="CV44506" s="376"/>
    </row>
    <row r="44507" spans="1:100">
      <c r="A44507" s="374"/>
      <c r="C44507" s="374"/>
      <c r="CV44507" s="376"/>
    </row>
    <row r="44508" spans="1:100">
      <c r="A44508" s="374"/>
      <c r="C44508" s="374"/>
      <c r="CV44508" s="376"/>
    </row>
    <row r="44509" spans="1:100">
      <c r="A44509" s="374"/>
      <c r="C44509" s="374"/>
      <c r="CV44509" s="376"/>
    </row>
    <row r="44510" spans="1:100">
      <c r="A44510" s="374"/>
      <c r="C44510" s="374"/>
      <c r="CV44510" s="376"/>
    </row>
    <row r="44511" spans="1:100">
      <c r="A44511" s="374"/>
      <c r="C44511" s="374"/>
      <c r="CV44511" s="376"/>
    </row>
    <row r="44512" spans="1:100">
      <c r="A44512" s="374"/>
      <c r="C44512" s="374"/>
      <c r="CV44512" s="376"/>
    </row>
    <row r="44513" spans="1:100">
      <c r="A44513" s="374"/>
      <c r="C44513" s="374"/>
      <c r="CV44513" s="376"/>
    </row>
    <row r="44514" spans="1:100">
      <c r="A44514" s="374"/>
      <c r="C44514" s="374"/>
      <c r="CV44514" s="376"/>
    </row>
    <row r="44515" spans="1:100">
      <c r="A44515" s="374"/>
      <c r="C44515" s="374"/>
      <c r="CV44515" s="376"/>
    </row>
    <row r="44516" spans="1:100">
      <c r="A44516" s="374"/>
      <c r="C44516" s="374"/>
      <c r="CV44516" s="376"/>
    </row>
    <row r="44517" spans="1:100">
      <c r="A44517" s="374"/>
      <c r="C44517" s="374"/>
      <c r="CV44517" s="376"/>
    </row>
    <row r="44518" spans="1:100">
      <c r="A44518" s="374"/>
      <c r="C44518" s="374"/>
      <c r="CV44518" s="376"/>
    </row>
    <row r="44519" spans="1:100">
      <c r="A44519" s="374"/>
      <c r="C44519" s="374"/>
      <c r="CV44519" s="376"/>
    </row>
    <row r="44520" spans="1:100">
      <c r="A44520" s="374"/>
      <c r="C44520" s="374"/>
      <c r="CV44520" s="376"/>
    </row>
    <row r="44521" spans="1:100">
      <c r="A44521" s="374"/>
      <c r="C44521" s="374"/>
      <c r="CV44521" s="376"/>
    </row>
    <row r="44522" spans="1:100">
      <c r="A44522" s="374"/>
      <c r="C44522" s="374"/>
      <c r="CV44522" s="376"/>
    </row>
    <row r="44523" spans="1:100">
      <c r="A44523" s="374"/>
      <c r="C44523" s="374"/>
      <c r="CV44523" s="376"/>
    </row>
    <row r="44524" spans="1:100">
      <c r="A44524" s="374"/>
      <c r="C44524" s="374"/>
      <c r="CV44524" s="376"/>
    </row>
    <row r="44525" spans="1:100">
      <c r="A44525" s="374"/>
      <c r="C44525" s="374"/>
      <c r="CV44525" s="376"/>
    </row>
    <row r="44526" spans="1:100">
      <c r="A44526" s="374"/>
      <c r="C44526" s="374"/>
      <c r="CV44526" s="376"/>
    </row>
    <row r="44527" spans="1:100">
      <c r="A44527" s="374"/>
      <c r="C44527" s="374"/>
      <c r="CV44527" s="376"/>
    </row>
    <row r="44528" spans="1:100">
      <c r="A44528" s="374"/>
      <c r="C44528" s="374"/>
      <c r="CV44528" s="376"/>
    </row>
    <row r="44529" spans="1:100">
      <c r="A44529" s="374"/>
      <c r="C44529" s="374"/>
      <c r="CV44529" s="376"/>
    </row>
    <row r="44530" spans="1:100">
      <c r="A44530" s="374"/>
      <c r="C44530" s="374"/>
      <c r="CV44530" s="376"/>
    </row>
    <row r="44531" spans="1:100">
      <c r="A44531" s="374"/>
      <c r="C44531" s="374"/>
      <c r="CV44531" s="376"/>
    </row>
    <row r="44532" spans="1:100">
      <c r="A44532" s="374"/>
      <c r="C44532" s="374"/>
      <c r="CV44532" s="376"/>
    </row>
    <row r="44533" spans="1:100">
      <c r="A44533" s="374"/>
      <c r="C44533" s="374"/>
      <c r="CV44533" s="376"/>
    </row>
    <row r="44534" spans="1:100">
      <c r="A44534" s="374"/>
      <c r="C44534" s="374"/>
      <c r="CV44534" s="376"/>
    </row>
    <row r="44535" spans="1:100">
      <c r="A44535" s="374"/>
      <c r="C44535" s="374"/>
      <c r="CV44535" s="376"/>
    </row>
    <row r="44536" spans="1:100">
      <c r="A44536" s="374"/>
      <c r="C44536" s="374"/>
      <c r="CV44536" s="376"/>
    </row>
    <row r="44537" spans="1:100">
      <c r="A44537" s="374"/>
      <c r="C44537" s="374"/>
      <c r="CV44537" s="376"/>
    </row>
    <row r="44538" spans="1:100">
      <c r="A44538" s="374"/>
      <c r="C44538" s="374"/>
      <c r="CV44538" s="376"/>
    </row>
    <row r="44539" spans="1:100">
      <c r="A44539" s="374"/>
      <c r="C44539" s="374"/>
      <c r="CV44539" s="376"/>
    </row>
    <row r="44540" spans="1:100">
      <c r="A44540" s="374"/>
      <c r="C44540" s="374"/>
      <c r="CV44540" s="376"/>
    </row>
    <row r="44541" spans="1:100">
      <c r="A44541" s="374"/>
      <c r="C44541" s="374"/>
      <c r="CV44541" s="376"/>
    </row>
    <row r="44542" spans="1:100">
      <c r="A44542" s="374"/>
      <c r="C44542" s="374"/>
      <c r="CV44542" s="376"/>
    </row>
    <row r="44543" spans="1:100">
      <c r="A44543" s="374"/>
      <c r="C44543" s="374"/>
      <c r="CV44543" s="376"/>
    </row>
    <row r="44544" spans="1:100">
      <c r="A44544" s="374"/>
      <c r="C44544" s="374"/>
      <c r="CV44544" s="376"/>
    </row>
    <row r="44545" spans="1:100">
      <c r="A44545" s="374"/>
      <c r="C44545" s="374"/>
      <c r="CV44545" s="376"/>
    </row>
    <row r="44546" spans="1:100">
      <c r="A44546" s="374"/>
      <c r="C44546" s="374"/>
      <c r="CV44546" s="376"/>
    </row>
    <row r="44547" spans="1:100">
      <c r="A44547" s="374"/>
      <c r="C44547" s="374"/>
      <c r="CV44547" s="376"/>
    </row>
    <row r="44548" spans="1:100">
      <c r="A44548" s="374"/>
      <c r="C44548" s="374"/>
      <c r="CV44548" s="376"/>
    </row>
    <row r="44549" spans="1:100">
      <c r="A44549" s="374"/>
      <c r="C44549" s="374"/>
      <c r="CV44549" s="376"/>
    </row>
    <row r="44550" spans="1:100">
      <c r="A44550" s="374"/>
      <c r="C44550" s="374"/>
      <c r="CV44550" s="376"/>
    </row>
    <row r="44551" spans="1:100">
      <c r="A44551" s="374"/>
      <c r="C44551" s="374"/>
      <c r="CV44551" s="376"/>
    </row>
    <row r="44552" spans="1:100">
      <c r="A44552" s="374"/>
      <c r="C44552" s="374"/>
      <c r="CV44552" s="376"/>
    </row>
    <row r="44553" spans="1:100">
      <c r="A44553" s="374"/>
      <c r="C44553" s="374"/>
      <c r="CV44553" s="376"/>
    </row>
    <row r="44554" spans="1:100">
      <c r="A44554" s="374"/>
      <c r="C44554" s="374"/>
      <c r="CV44554" s="376"/>
    </row>
    <row r="44555" spans="1:100">
      <c r="A44555" s="374"/>
      <c r="C44555" s="374"/>
      <c r="CV44555" s="376"/>
    </row>
    <row r="44556" spans="1:100">
      <c r="A44556" s="374"/>
      <c r="C44556" s="374"/>
      <c r="CV44556" s="376"/>
    </row>
    <row r="44557" spans="1:100">
      <c r="A44557" s="374"/>
      <c r="C44557" s="374"/>
      <c r="CV44557" s="376"/>
    </row>
    <row r="44558" spans="1:100">
      <c r="A44558" s="374"/>
      <c r="C44558" s="374"/>
      <c r="CV44558" s="376"/>
    </row>
    <row r="44559" spans="1:100">
      <c r="A44559" s="374"/>
      <c r="C44559" s="374"/>
      <c r="CV44559" s="376"/>
    </row>
    <row r="44560" spans="1:100">
      <c r="A44560" s="374"/>
      <c r="C44560" s="374"/>
      <c r="CV44560" s="376"/>
    </row>
    <row r="44561" spans="1:100">
      <c r="A44561" s="374"/>
      <c r="C44561" s="374"/>
      <c r="CV44561" s="376"/>
    </row>
    <row r="44562" spans="1:100">
      <c r="A44562" s="374"/>
      <c r="C44562" s="374"/>
      <c r="CV44562" s="376"/>
    </row>
    <row r="44563" spans="1:100">
      <c r="A44563" s="374"/>
      <c r="C44563" s="374"/>
      <c r="CV44563" s="376"/>
    </row>
    <row r="44564" spans="1:100">
      <c r="A44564" s="374"/>
      <c r="C44564" s="374"/>
      <c r="CV44564" s="376"/>
    </row>
    <row r="44565" spans="1:100">
      <c r="A44565" s="374"/>
      <c r="C44565" s="374"/>
      <c r="CV44565" s="376"/>
    </row>
    <row r="44566" spans="1:100">
      <c r="A44566" s="374"/>
      <c r="C44566" s="374"/>
      <c r="CV44566" s="376"/>
    </row>
    <row r="44567" spans="1:100">
      <c r="A44567" s="374"/>
      <c r="C44567" s="374"/>
      <c r="CV44567" s="376"/>
    </row>
    <row r="44568" spans="1:100">
      <c r="A44568" s="374"/>
      <c r="C44568" s="374"/>
      <c r="CV44568" s="376"/>
    </row>
    <row r="44569" spans="1:100">
      <c r="A44569" s="374"/>
      <c r="C44569" s="374"/>
      <c r="CV44569" s="376"/>
    </row>
    <row r="44570" spans="1:100">
      <c r="A44570" s="374"/>
      <c r="C44570" s="374"/>
      <c r="CV44570" s="376"/>
    </row>
    <row r="44571" spans="1:100">
      <c r="A44571" s="374"/>
      <c r="C44571" s="374"/>
      <c r="CV44571" s="376"/>
    </row>
    <row r="44572" spans="1:100">
      <c r="A44572" s="374"/>
      <c r="C44572" s="374"/>
      <c r="CV44572" s="376"/>
    </row>
    <row r="44573" spans="1:100">
      <c r="A44573" s="374"/>
      <c r="C44573" s="374"/>
      <c r="CV44573" s="376"/>
    </row>
    <row r="44574" spans="1:100">
      <c r="A44574" s="374"/>
      <c r="C44574" s="374"/>
      <c r="CV44574" s="376"/>
    </row>
    <row r="44575" spans="1:100">
      <c r="A44575" s="374"/>
      <c r="C44575" s="374"/>
      <c r="CV44575" s="376"/>
    </row>
    <row r="44576" spans="1:100">
      <c r="A44576" s="374"/>
      <c r="C44576" s="374"/>
      <c r="CV44576" s="376"/>
    </row>
    <row r="44577" spans="1:100">
      <c r="A44577" s="374"/>
      <c r="C44577" s="374"/>
      <c r="CV44577" s="376"/>
    </row>
    <row r="44578" spans="1:100">
      <c r="A44578" s="374"/>
      <c r="C44578" s="374"/>
      <c r="CV44578" s="376"/>
    </row>
    <row r="44579" spans="1:100">
      <c r="A44579" s="374"/>
      <c r="C44579" s="374"/>
      <c r="CV44579" s="376"/>
    </row>
    <row r="44580" spans="1:100">
      <c r="A44580" s="374"/>
      <c r="C44580" s="374"/>
      <c r="CV44580" s="376"/>
    </row>
    <row r="44581" spans="1:100">
      <c r="A44581" s="374"/>
      <c r="C44581" s="374"/>
      <c r="CV44581" s="376"/>
    </row>
    <row r="44582" spans="1:100">
      <c r="A44582" s="374"/>
      <c r="C44582" s="374"/>
      <c r="CV44582" s="376"/>
    </row>
    <row r="44583" spans="1:100">
      <c r="A44583" s="374"/>
      <c r="C44583" s="374"/>
      <c r="CV44583" s="376"/>
    </row>
    <row r="44584" spans="1:100">
      <c r="A44584" s="374"/>
      <c r="C44584" s="374"/>
      <c r="CV44584" s="376"/>
    </row>
    <row r="44585" spans="1:100">
      <c r="A44585" s="374"/>
      <c r="C44585" s="374"/>
      <c r="CV44585" s="376"/>
    </row>
    <row r="44586" spans="1:100">
      <c r="A44586" s="374"/>
      <c r="C44586" s="374"/>
      <c r="CV44586" s="376"/>
    </row>
    <row r="44587" spans="1:100">
      <c r="A44587" s="374"/>
      <c r="C44587" s="374"/>
      <c r="CV44587" s="376"/>
    </row>
    <row r="44588" spans="1:100">
      <c r="A44588" s="374"/>
      <c r="C44588" s="374"/>
      <c r="CV44588" s="376"/>
    </row>
    <row r="44589" spans="1:100">
      <c r="A44589" s="374"/>
      <c r="C44589" s="374"/>
      <c r="CV44589" s="376"/>
    </row>
    <row r="44590" spans="1:100">
      <c r="A44590" s="374"/>
      <c r="C44590" s="374"/>
      <c r="CV44590" s="376"/>
    </row>
    <row r="44591" spans="1:100">
      <c r="A44591" s="374"/>
      <c r="C44591" s="374"/>
      <c r="CV44591" s="376"/>
    </row>
    <row r="44592" spans="1:100">
      <c r="A44592" s="374"/>
      <c r="C44592" s="374"/>
      <c r="CV44592" s="376"/>
    </row>
    <row r="44593" spans="1:100">
      <c r="A44593" s="374"/>
      <c r="C44593" s="374"/>
      <c r="CV44593" s="376"/>
    </row>
    <row r="44594" spans="1:100">
      <c r="A44594" s="374"/>
      <c r="C44594" s="374"/>
      <c r="CV44594" s="376"/>
    </row>
    <row r="44595" spans="1:100">
      <c r="A44595" s="374"/>
      <c r="C44595" s="374"/>
      <c r="CV44595" s="376"/>
    </row>
    <row r="44596" spans="1:100">
      <c r="A44596" s="374"/>
      <c r="C44596" s="374"/>
      <c r="CV44596" s="376"/>
    </row>
    <row r="44597" spans="1:100">
      <c r="A44597" s="374"/>
      <c r="C44597" s="374"/>
      <c r="CV44597" s="376"/>
    </row>
    <row r="44598" spans="1:100">
      <c r="A44598" s="374"/>
      <c r="C44598" s="374"/>
      <c r="CV44598" s="376"/>
    </row>
    <row r="44599" spans="1:100">
      <c r="A44599" s="374"/>
      <c r="C44599" s="374"/>
      <c r="CV44599" s="376"/>
    </row>
    <row r="44600" spans="1:100">
      <c r="A44600" s="374"/>
      <c r="C44600" s="374"/>
      <c r="CV44600" s="376"/>
    </row>
    <row r="44601" spans="1:100">
      <c r="A44601" s="374"/>
      <c r="C44601" s="374"/>
      <c r="CV44601" s="376"/>
    </row>
    <row r="44602" spans="1:100">
      <c r="A44602" s="374"/>
      <c r="C44602" s="374"/>
      <c r="CV44602" s="376"/>
    </row>
    <row r="44603" spans="1:100">
      <c r="A44603" s="374"/>
      <c r="C44603" s="374"/>
      <c r="CV44603" s="376"/>
    </row>
    <row r="44604" spans="1:100">
      <c r="A44604" s="374"/>
      <c r="C44604" s="374"/>
      <c r="CV44604" s="376"/>
    </row>
    <row r="44605" spans="1:100">
      <c r="A44605" s="374"/>
      <c r="C44605" s="374"/>
      <c r="CV44605" s="376"/>
    </row>
    <row r="44606" spans="1:100">
      <c r="A44606" s="374"/>
      <c r="C44606" s="374"/>
      <c r="CV44606" s="376"/>
    </row>
    <row r="44607" spans="1:100">
      <c r="A44607" s="374"/>
      <c r="C44607" s="374"/>
      <c r="CV44607" s="376"/>
    </row>
    <row r="44608" spans="1:100">
      <c r="A44608" s="374"/>
      <c r="C44608" s="374"/>
      <c r="CV44608" s="376"/>
    </row>
    <row r="44609" spans="1:100">
      <c r="A44609" s="374"/>
      <c r="C44609" s="374"/>
      <c r="CV44609" s="376"/>
    </row>
    <row r="44610" spans="1:100">
      <c r="A44610" s="374"/>
      <c r="C44610" s="374"/>
      <c r="CV44610" s="376"/>
    </row>
    <row r="44611" spans="1:100">
      <c r="A44611" s="374"/>
      <c r="C44611" s="374"/>
      <c r="CV44611" s="376"/>
    </row>
    <row r="44612" spans="1:100">
      <c r="A44612" s="374"/>
      <c r="C44612" s="374"/>
      <c r="CV44612" s="376"/>
    </row>
    <row r="44613" spans="1:100">
      <c r="A44613" s="374"/>
      <c r="C44613" s="374"/>
      <c r="CV44613" s="376"/>
    </row>
    <row r="44614" spans="1:100">
      <c r="A44614" s="374"/>
      <c r="C44614" s="374"/>
      <c r="CV44614" s="376"/>
    </row>
    <row r="44615" spans="1:100">
      <c r="A44615" s="374"/>
      <c r="C44615" s="374"/>
      <c r="CV44615" s="376"/>
    </row>
    <row r="44616" spans="1:100">
      <c r="A44616" s="374"/>
      <c r="C44616" s="374"/>
      <c r="CV44616" s="376"/>
    </row>
    <row r="44617" spans="1:100">
      <c r="A44617" s="374"/>
      <c r="C44617" s="374"/>
      <c r="CV44617" s="376"/>
    </row>
    <row r="44618" spans="1:100">
      <c r="A44618" s="374"/>
      <c r="C44618" s="374"/>
      <c r="CV44618" s="376"/>
    </row>
    <row r="44619" spans="1:100">
      <c r="A44619" s="374"/>
      <c r="C44619" s="374"/>
      <c r="CV44619" s="376"/>
    </row>
    <row r="44620" spans="1:100">
      <c r="A44620" s="374"/>
      <c r="C44620" s="374"/>
      <c r="CV44620" s="376"/>
    </row>
    <row r="44621" spans="1:100">
      <c r="A44621" s="374"/>
      <c r="C44621" s="374"/>
      <c r="CV44621" s="376"/>
    </row>
    <row r="44622" spans="1:100">
      <c r="A44622" s="374"/>
      <c r="C44622" s="374"/>
      <c r="CV44622" s="376"/>
    </row>
    <row r="44623" spans="1:100">
      <c r="A44623" s="374"/>
      <c r="C44623" s="374"/>
      <c r="CV44623" s="376"/>
    </row>
    <row r="44624" spans="1:100">
      <c r="A44624" s="374"/>
      <c r="C44624" s="374"/>
      <c r="CV44624" s="376"/>
    </row>
    <row r="44625" spans="1:100">
      <c r="A44625" s="374"/>
      <c r="C44625" s="374"/>
      <c r="CV44625" s="376"/>
    </row>
    <row r="44626" spans="1:100">
      <c r="A44626" s="374"/>
      <c r="C44626" s="374"/>
      <c r="CV44626" s="376"/>
    </row>
    <row r="44627" spans="1:100">
      <c r="A44627" s="374"/>
      <c r="C44627" s="374"/>
      <c r="CV44627" s="376"/>
    </row>
    <row r="44628" spans="1:100">
      <c r="A44628" s="374"/>
      <c r="C44628" s="374"/>
      <c r="CV44628" s="376"/>
    </row>
    <row r="44629" spans="1:100">
      <c r="A44629" s="374"/>
      <c r="C44629" s="374"/>
      <c r="CV44629" s="376"/>
    </row>
    <row r="44630" spans="1:100">
      <c r="A44630" s="374"/>
      <c r="C44630" s="374"/>
      <c r="CV44630" s="376"/>
    </row>
    <row r="44631" spans="1:100">
      <c r="A44631" s="374"/>
      <c r="C44631" s="374"/>
      <c r="CV44631" s="376"/>
    </row>
    <row r="44632" spans="1:100">
      <c r="A44632" s="374"/>
      <c r="C44632" s="374"/>
      <c r="CV44632" s="376"/>
    </row>
    <row r="44633" spans="1:100">
      <c r="A44633" s="374"/>
      <c r="C44633" s="374"/>
      <c r="CV44633" s="376"/>
    </row>
    <row r="44634" spans="1:100">
      <c r="A44634" s="374"/>
      <c r="C44634" s="374"/>
      <c r="CV44634" s="376"/>
    </row>
    <row r="44635" spans="1:100">
      <c r="A44635" s="374"/>
      <c r="C44635" s="374"/>
      <c r="CV44635" s="376"/>
    </row>
    <row r="44636" spans="1:100">
      <c r="A44636" s="374"/>
      <c r="C44636" s="374"/>
      <c r="CV44636" s="376"/>
    </row>
    <row r="44637" spans="1:100">
      <c r="A44637" s="374"/>
      <c r="C44637" s="374"/>
      <c r="CV44637" s="376"/>
    </row>
    <row r="44638" spans="1:100">
      <c r="A44638" s="374"/>
      <c r="C44638" s="374"/>
      <c r="CV44638" s="376"/>
    </row>
    <row r="44639" spans="1:100">
      <c r="A44639" s="374"/>
      <c r="C44639" s="374"/>
      <c r="CV44639" s="376"/>
    </row>
    <row r="44640" spans="1:100">
      <c r="A44640" s="374"/>
      <c r="C44640" s="374"/>
      <c r="CV44640" s="376"/>
    </row>
    <row r="44641" spans="1:100">
      <c r="A44641" s="374"/>
      <c r="C44641" s="374"/>
      <c r="CV44641" s="376"/>
    </row>
    <row r="44642" spans="1:100">
      <c r="A44642" s="374"/>
      <c r="C44642" s="374"/>
      <c r="CV44642" s="376"/>
    </row>
    <row r="44643" spans="1:100">
      <c r="A44643" s="374"/>
      <c r="C44643" s="374"/>
      <c r="CV44643" s="376"/>
    </row>
    <row r="44644" spans="1:100">
      <c r="A44644" s="374"/>
      <c r="C44644" s="374"/>
      <c r="CV44644" s="376"/>
    </row>
    <row r="44645" spans="1:100">
      <c r="A44645" s="374"/>
      <c r="C44645" s="374"/>
      <c r="CV44645" s="376"/>
    </row>
    <row r="44646" spans="1:100">
      <c r="A44646" s="374"/>
      <c r="C44646" s="374"/>
      <c r="CV44646" s="376"/>
    </row>
    <row r="44647" spans="1:100">
      <c r="A44647" s="374"/>
      <c r="C44647" s="374"/>
      <c r="CV44647" s="376"/>
    </row>
    <row r="44648" spans="1:100">
      <c r="A44648" s="374"/>
      <c r="C44648" s="374"/>
      <c r="CV44648" s="376"/>
    </row>
    <row r="44649" spans="1:100">
      <c r="A44649" s="374"/>
      <c r="C44649" s="374"/>
      <c r="CV44649" s="376"/>
    </row>
    <row r="44650" spans="1:100">
      <c r="A44650" s="374"/>
      <c r="C44650" s="374"/>
      <c r="CV44650" s="376"/>
    </row>
    <row r="44651" spans="1:100">
      <c r="A44651" s="374"/>
      <c r="C44651" s="374"/>
      <c r="CV44651" s="376"/>
    </row>
    <row r="44652" spans="1:100">
      <c r="A44652" s="374"/>
      <c r="C44652" s="374"/>
      <c r="CV44652" s="376"/>
    </row>
    <row r="44653" spans="1:100">
      <c r="A44653" s="374"/>
      <c r="C44653" s="374"/>
      <c r="CV44653" s="376"/>
    </row>
    <row r="44654" spans="1:100">
      <c r="A44654" s="374"/>
      <c r="C44654" s="374"/>
      <c r="CV44654" s="376"/>
    </row>
    <row r="44655" spans="1:100">
      <c r="A44655" s="374"/>
      <c r="C44655" s="374"/>
      <c r="CV44655" s="376"/>
    </row>
    <row r="44656" spans="1:100">
      <c r="A44656" s="374"/>
      <c r="C44656" s="374"/>
      <c r="CV44656" s="376"/>
    </row>
    <row r="44657" spans="1:100">
      <c r="A44657" s="374"/>
      <c r="C44657" s="374"/>
      <c r="CV44657" s="376"/>
    </row>
    <row r="44658" spans="1:100">
      <c r="A44658" s="374"/>
      <c r="C44658" s="374"/>
      <c r="CV44658" s="376"/>
    </row>
    <row r="44659" spans="1:100">
      <c r="A44659" s="374"/>
      <c r="C44659" s="374"/>
      <c r="CV44659" s="376"/>
    </row>
    <row r="44660" spans="1:100">
      <c r="A44660" s="374"/>
      <c r="C44660" s="374"/>
      <c r="CV44660" s="376"/>
    </row>
    <row r="44661" spans="1:100">
      <c r="A44661" s="374"/>
      <c r="C44661" s="374"/>
      <c r="CV44661" s="376"/>
    </row>
    <row r="44662" spans="1:100">
      <c r="A44662" s="374"/>
      <c r="C44662" s="374"/>
      <c r="CV44662" s="376"/>
    </row>
    <row r="44663" spans="1:100">
      <c r="A44663" s="374"/>
      <c r="C44663" s="374"/>
      <c r="CV44663" s="376"/>
    </row>
    <row r="44664" spans="1:100">
      <c r="A44664" s="374"/>
      <c r="C44664" s="374"/>
      <c r="CV44664" s="376"/>
    </row>
    <row r="44665" spans="1:100">
      <c r="A44665" s="374"/>
      <c r="C44665" s="374"/>
      <c r="CV44665" s="376"/>
    </row>
    <row r="44666" spans="1:100">
      <c r="A44666" s="374"/>
      <c r="C44666" s="374"/>
      <c r="CV44666" s="376"/>
    </row>
    <row r="44667" spans="1:100">
      <c r="A44667" s="374"/>
      <c r="C44667" s="374"/>
      <c r="CV44667" s="376"/>
    </row>
    <row r="44668" spans="1:100">
      <c r="A44668" s="374"/>
      <c r="C44668" s="374"/>
      <c r="CV44668" s="376"/>
    </row>
    <row r="44669" spans="1:100">
      <c r="A44669" s="374"/>
      <c r="C44669" s="374"/>
      <c r="CV44669" s="376"/>
    </row>
    <row r="44670" spans="1:100">
      <c r="A44670" s="374"/>
      <c r="C44670" s="374"/>
      <c r="CV44670" s="376"/>
    </row>
    <row r="44671" spans="1:100">
      <c r="A44671" s="374"/>
      <c r="C44671" s="374"/>
      <c r="CV44671" s="376"/>
    </row>
    <row r="44672" spans="1:100">
      <c r="A44672" s="374"/>
      <c r="C44672" s="374"/>
      <c r="CV44672" s="376"/>
    </row>
    <row r="44673" spans="1:100">
      <c r="A44673" s="374"/>
      <c r="C44673" s="374"/>
      <c r="CV44673" s="376"/>
    </row>
    <row r="44674" spans="1:100">
      <c r="A44674" s="374"/>
      <c r="C44674" s="374"/>
      <c r="CV44674" s="376"/>
    </row>
    <row r="44675" spans="1:100">
      <c r="A44675" s="374"/>
      <c r="C44675" s="374"/>
      <c r="CV44675" s="376"/>
    </row>
    <row r="44676" spans="1:100">
      <c r="A44676" s="374"/>
      <c r="C44676" s="374"/>
      <c r="CV44676" s="376"/>
    </row>
    <row r="44677" spans="1:100">
      <c r="A44677" s="374"/>
      <c r="C44677" s="374"/>
      <c r="CV44677" s="376"/>
    </row>
    <row r="44678" spans="1:100">
      <c r="A44678" s="374"/>
      <c r="C44678" s="374"/>
      <c r="CV44678" s="376"/>
    </row>
    <row r="44679" spans="1:100">
      <c r="A44679" s="374"/>
      <c r="C44679" s="374"/>
      <c r="CV44679" s="376"/>
    </row>
    <row r="44680" spans="1:100">
      <c r="A44680" s="374"/>
      <c r="C44680" s="374"/>
      <c r="CV44680" s="376"/>
    </row>
    <row r="44681" spans="1:100">
      <c r="A44681" s="374"/>
      <c r="C44681" s="374"/>
      <c r="CV44681" s="376"/>
    </row>
    <row r="44682" spans="1:100">
      <c r="A44682" s="374"/>
      <c r="C44682" s="374"/>
      <c r="CV44682" s="376"/>
    </row>
    <row r="44683" spans="1:100">
      <c r="A44683" s="374"/>
      <c r="C44683" s="374"/>
      <c r="CV44683" s="376"/>
    </row>
    <row r="44684" spans="1:100">
      <c r="A44684" s="374"/>
      <c r="C44684" s="374"/>
      <c r="CV44684" s="376"/>
    </row>
    <row r="44685" spans="1:100">
      <c r="A44685" s="374"/>
      <c r="C44685" s="374"/>
      <c r="CV44685" s="376"/>
    </row>
    <row r="44686" spans="1:100">
      <c r="A44686" s="374"/>
      <c r="C44686" s="374"/>
      <c r="CV44686" s="376"/>
    </row>
    <row r="44687" spans="1:100">
      <c r="A44687" s="374"/>
      <c r="C44687" s="374"/>
      <c r="CV44687" s="376"/>
    </row>
    <row r="44688" spans="1:100">
      <c r="A44688" s="374"/>
      <c r="C44688" s="374"/>
      <c r="CV44688" s="376"/>
    </row>
    <row r="44689" spans="1:100">
      <c r="A44689" s="374"/>
      <c r="C44689" s="374"/>
      <c r="CV44689" s="376"/>
    </row>
    <row r="44690" spans="1:100">
      <c r="A44690" s="374"/>
      <c r="C44690" s="374"/>
      <c r="CV44690" s="376"/>
    </row>
    <row r="44691" spans="1:100">
      <c r="A44691" s="374"/>
      <c r="C44691" s="374"/>
      <c r="CV44691" s="376"/>
    </row>
    <row r="44692" spans="1:100">
      <c r="A44692" s="374"/>
      <c r="C44692" s="374"/>
      <c r="CV44692" s="376"/>
    </row>
    <row r="44693" spans="1:100">
      <c r="A44693" s="374"/>
      <c r="C44693" s="374"/>
      <c r="CV44693" s="376"/>
    </row>
    <row r="44694" spans="1:100">
      <c r="A44694" s="374"/>
      <c r="C44694" s="374"/>
      <c r="CV44694" s="376"/>
    </row>
    <row r="44695" spans="1:100">
      <c r="A44695" s="374"/>
      <c r="C44695" s="374"/>
      <c r="CV44695" s="376"/>
    </row>
    <row r="44696" spans="1:100">
      <c r="A44696" s="374"/>
      <c r="C44696" s="374"/>
      <c r="CV44696" s="376"/>
    </row>
    <row r="44697" spans="1:100">
      <c r="A44697" s="374"/>
      <c r="C44697" s="374"/>
      <c r="CV44697" s="376"/>
    </row>
    <row r="44698" spans="1:100">
      <c r="A44698" s="374"/>
      <c r="C44698" s="374"/>
      <c r="CV44698" s="376"/>
    </row>
    <row r="44699" spans="1:100">
      <c r="A44699" s="374"/>
      <c r="C44699" s="374"/>
      <c r="CV44699" s="376"/>
    </row>
    <row r="44700" spans="1:100">
      <c r="A44700" s="374"/>
      <c r="C44700" s="374"/>
      <c r="CV44700" s="376"/>
    </row>
    <row r="44701" spans="1:100">
      <c r="A44701" s="374"/>
      <c r="C44701" s="374"/>
      <c r="CV44701" s="376"/>
    </row>
    <row r="44702" spans="1:100">
      <c r="A44702" s="374"/>
      <c r="C44702" s="374"/>
      <c r="CV44702" s="376"/>
    </row>
    <row r="44703" spans="1:100">
      <c r="A44703" s="374"/>
      <c r="C44703" s="374"/>
      <c r="CV44703" s="376"/>
    </row>
    <row r="44704" spans="1:100">
      <c r="A44704" s="374"/>
      <c r="C44704" s="374"/>
      <c r="CV44704" s="376"/>
    </row>
    <row r="44705" spans="1:100">
      <c r="A44705" s="374"/>
      <c r="C44705" s="374"/>
      <c r="CV44705" s="376"/>
    </row>
    <row r="44706" spans="1:100">
      <c r="A44706" s="374"/>
      <c r="C44706" s="374"/>
      <c r="CV44706" s="376"/>
    </row>
    <row r="44707" spans="1:100">
      <c r="A44707" s="374"/>
      <c r="C44707" s="374"/>
      <c r="CV44707" s="376"/>
    </row>
    <row r="44708" spans="1:100">
      <c r="A44708" s="374"/>
      <c r="C44708" s="374"/>
      <c r="CV44708" s="376"/>
    </row>
    <row r="44709" spans="1:100">
      <c r="A44709" s="374"/>
      <c r="C44709" s="374"/>
      <c r="CV44709" s="376"/>
    </row>
    <row r="44710" spans="1:100">
      <c r="A44710" s="374"/>
      <c r="C44710" s="374"/>
      <c r="CV44710" s="376"/>
    </row>
    <row r="44711" spans="1:100">
      <c r="A44711" s="374"/>
      <c r="C44711" s="374"/>
      <c r="CV44711" s="376"/>
    </row>
    <row r="44712" spans="1:100">
      <c r="A44712" s="374"/>
      <c r="C44712" s="374"/>
      <c r="CV44712" s="376"/>
    </row>
    <row r="44713" spans="1:100">
      <c r="A44713" s="374"/>
      <c r="C44713" s="374"/>
      <c r="CV44713" s="376"/>
    </row>
    <row r="44714" spans="1:100">
      <c r="A44714" s="374"/>
      <c r="C44714" s="374"/>
      <c r="CV44714" s="376"/>
    </row>
    <row r="44715" spans="1:100">
      <c r="A44715" s="374"/>
      <c r="C44715" s="374"/>
      <c r="CV44715" s="376"/>
    </row>
    <row r="44716" spans="1:100">
      <c r="A44716" s="374"/>
      <c r="C44716" s="374"/>
      <c r="CV44716" s="376"/>
    </row>
    <row r="44717" spans="1:100">
      <c r="A44717" s="374"/>
      <c r="C44717" s="374"/>
      <c r="CV44717" s="376"/>
    </row>
    <row r="44718" spans="1:100">
      <c r="A44718" s="374"/>
      <c r="C44718" s="374"/>
      <c r="CV44718" s="376"/>
    </row>
    <row r="44719" spans="1:100">
      <c r="A44719" s="374"/>
      <c r="C44719" s="374"/>
      <c r="CV44719" s="376"/>
    </row>
    <row r="44720" spans="1:100">
      <c r="A44720" s="374"/>
      <c r="C44720" s="374"/>
      <c r="CV44720" s="376"/>
    </row>
    <row r="44721" spans="1:100">
      <c r="A44721" s="374"/>
      <c r="C44721" s="374"/>
      <c r="CV44721" s="376"/>
    </row>
    <row r="44722" spans="1:100">
      <c r="A44722" s="374"/>
      <c r="C44722" s="374"/>
      <c r="CV44722" s="376"/>
    </row>
    <row r="44723" spans="1:100">
      <c r="A44723" s="374"/>
      <c r="C44723" s="374"/>
      <c r="CV44723" s="376"/>
    </row>
    <row r="44724" spans="1:100">
      <c r="A44724" s="374"/>
      <c r="C44724" s="374"/>
      <c r="CV44724" s="376"/>
    </row>
    <row r="44725" spans="1:100">
      <c r="A44725" s="374"/>
      <c r="C44725" s="374"/>
      <c r="CV44725" s="376"/>
    </row>
    <row r="44726" spans="1:100">
      <c r="A44726" s="374"/>
      <c r="C44726" s="374"/>
      <c r="CV44726" s="376"/>
    </row>
    <row r="44727" spans="1:100">
      <c r="A44727" s="374"/>
      <c r="C44727" s="374"/>
      <c r="CV44727" s="376"/>
    </row>
    <row r="44728" spans="1:100">
      <c r="A44728" s="374"/>
      <c r="C44728" s="374"/>
      <c r="CV44728" s="376"/>
    </row>
    <row r="44729" spans="1:100">
      <c r="A44729" s="374"/>
      <c r="C44729" s="374"/>
      <c r="CV44729" s="376"/>
    </row>
    <row r="44730" spans="1:100">
      <c r="A44730" s="374"/>
      <c r="C44730" s="374"/>
      <c r="CV44730" s="376"/>
    </row>
    <row r="44731" spans="1:100">
      <c r="A44731" s="374"/>
      <c r="C44731" s="374"/>
      <c r="CV44731" s="376"/>
    </row>
    <row r="44732" spans="1:100">
      <c r="A44732" s="374"/>
      <c r="C44732" s="374"/>
      <c r="CV44732" s="376"/>
    </row>
    <row r="44733" spans="1:100">
      <c r="A44733" s="374"/>
      <c r="C44733" s="374"/>
      <c r="CV44733" s="376"/>
    </row>
    <row r="44734" spans="1:100">
      <c r="A44734" s="374"/>
      <c r="C44734" s="374"/>
      <c r="CV44734" s="376"/>
    </row>
    <row r="44735" spans="1:100">
      <c r="A44735" s="374"/>
      <c r="C44735" s="374"/>
      <c r="CV44735" s="376"/>
    </row>
    <row r="44736" spans="1:100">
      <c r="A44736" s="374"/>
      <c r="C44736" s="374"/>
      <c r="CV44736" s="376"/>
    </row>
    <row r="44737" spans="1:100">
      <c r="A44737" s="374"/>
      <c r="C44737" s="374"/>
      <c r="CV44737" s="376"/>
    </row>
    <row r="44738" spans="1:100">
      <c r="A44738" s="374"/>
      <c r="C44738" s="374"/>
      <c r="CV44738" s="376"/>
    </row>
    <row r="44739" spans="1:100">
      <c r="A44739" s="374"/>
      <c r="C44739" s="374"/>
      <c r="CV44739" s="376"/>
    </row>
    <row r="44740" spans="1:100">
      <c r="A44740" s="374"/>
      <c r="C44740" s="374"/>
      <c r="CV44740" s="376"/>
    </row>
    <row r="44741" spans="1:100">
      <c r="A44741" s="374"/>
      <c r="C44741" s="374"/>
      <c r="CV44741" s="376"/>
    </row>
    <row r="44742" spans="1:100">
      <c r="A44742" s="374"/>
      <c r="C44742" s="374"/>
      <c r="CV44742" s="376"/>
    </row>
    <row r="44743" spans="1:100">
      <c r="A44743" s="374"/>
      <c r="C44743" s="374"/>
      <c r="CV44743" s="376"/>
    </row>
    <row r="44744" spans="1:100">
      <c r="A44744" s="374"/>
      <c r="C44744" s="374"/>
      <c r="CV44744" s="376"/>
    </row>
    <row r="44745" spans="1:100">
      <c r="A44745" s="374"/>
      <c r="C44745" s="374"/>
      <c r="CV44745" s="376"/>
    </row>
    <row r="44746" spans="1:100">
      <c r="A44746" s="374"/>
      <c r="C44746" s="374"/>
      <c r="CV44746" s="376"/>
    </row>
    <row r="44747" spans="1:100">
      <c r="A44747" s="374"/>
      <c r="C44747" s="374"/>
      <c r="CV44747" s="376"/>
    </row>
    <row r="44748" spans="1:100">
      <c r="A44748" s="374"/>
      <c r="C44748" s="374"/>
      <c r="CV44748" s="376"/>
    </row>
    <row r="44749" spans="1:100">
      <c r="A44749" s="374"/>
      <c r="C44749" s="374"/>
      <c r="CV44749" s="376"/>
    </row>
    <row r="44750" spans="1:100">
      <c r="A44750" s="374"/>
      <c r="C44750" s="374"/>
      <c r="CV44750" s="376"/>
    </row>
    <row r="44751" spans="1:100">
      <c r="A44751" s="374"/>
      <c r="C44751" s="374"/>
      <c r="CV44751" s="376"/>
    </row>
    <row r="44752" spans="1:100">
      <c r="A44752" s="374"/>
      <c r="C44752" s="374"/>
      <c r="CV44752" s="376"/>
    </row>
    <row r="44753" spans="1:100">
      <c r="A44753" s="374"/>
      <c r="C44753" s="374"/>
      <c r="CV44753" s="376"/>
    </row>
    <row r="44754" spans="1:100">
      <c r="A44754" s="374"/>
      <c r="C44754" s="374"/>
      <c r="CV44754" s="376"/>
    </row>
    <row r="44755" spans="1:100">
      <c r="A44755" s="374"/>
      <c r="C44755" s="374"/>
      <c r="CV44755" s="376"/>
    </row>
    <row r="44756" spans="1:100">
      <c r="A44756" s="374"/>
      <c r="C44756" s="374"/>
      <c r="CV44756" s="376"/>
    </row>
    <row r="44757" spans="1:100">
      <c r="A44757" s="374"/>
      <c r="C44757" s="374"/>
      <c r="CV44757" s="376"/>
    </row>
    <row r="44758" spans="1:100">
      <c r="A44758" s="374"/>
      <c r="C44758" s="374"/>
      <c r="CV44758" s="376"/>
    </row>
    <row r="44759" spans="1:100">
      <c r="A44759" s="374"/>
      <c r="C44759" s="374"/>
      <c r="CV44759" s="376"/>
    </row>
    <row r="44760" spans="1:100">
      <c r="A44760" s="374"/>
      <c r="C44760" s="374"/>
      <c r="CV44760" s="376"/>
    </row>
    <row r="44761" spans="1:100">
      <c r="A44761" s="374"/>
      <c r="C44761" s="374"/>
      <c r="CV44761" s="376"/>
    </row>
    <row r="44762" spans="1:100">
      <c r="A44762" s="374"/>
      <c r="C44762" s="374"/>
      <c r="CV44762" s="376"/>
    </row>
    <row r="44763" spans="1:100">
      <c r="A44763" s="374"/>
      <c r="C44763" s="374"/>
      <c r="CV44763" s="376"/>
    </row>
    <row r="44764" spans="1:100">
      <c r="A44764" s="374"/>
      <c r="C44764" s="374"/>
      <c r="CV44764" s="376"/>
    </row>
    <row r="44765" spans="1:100">
      <c r="A44765" s="374"/>
      <c r="C44765" s="374"/>
      <c r="CV44765" s="376"/>
    </row>
    <row r="44766" spans="1:100">
      <c r="A44766" s="374"/>
      <c r="C44766" s="374"/>
      <c r="CV44766" s="376"/>
    </row>
    <row r="44767" spans="1:100">
      <c r="A44767" s="374"/>
      <c r="C44767" s="374"/>
      <c r="CV44767" s="376"/>
    </row>
    <row r="44768" spans="1:100">
      <c r="A44768" s="374"/>
      <c r="C44768" s="374"/>
      <c r="CV44768" s="376"/>
    </row>
    <row r="44769" spans="1:100">
      <c r="A44769" s="374"/>
      <c r="C44769" s="374"/>
      <c r="CV44769" s="376"/>
    </row>
    <row r="44770" spans="1:100">
      <c r="A44770" s="374"/>
      <c r="C44770" s="374"/>
      <c r="CV44770" s="376"/>
    </row>
    <row r="44771" spans="1:100">
      <c r="A44771" s="374"/>
      <c r="C44771" s="374"/>
      <c r="CV44771" s="376"/>
    </row>
    <row r="44772" spans="1:100">
      <c r="A44772" s="374"/>
      <c r="C44772" s="374"/>
      <c r="CV44772" s="376"/>
    </row>
    <row r="44773" spans="1:100">
      <c r="A44773" s="374"/>
      <c r="C44773" s="374"/>
      <c r="CV44773" s="376"/>
    </row>
    <row r="44774" spans="1:100">
      <c r="A44774" s="374"/>
      <c r="C44774" s="374"/>
      <c r="CV44774" s="376"/>
    </row>
    <row r="44775" spans="1:100">
      <c r="A44775" s="374"/>
      <c r="C44775" s="374"/>
      <c r="CV44775" s="376"/>
    </row>
    <row r="44776" spans="1:100">
      <c r="A44776" s="374"/>
      <c r="C44776" s="374"/>
      <c r="CV44776" s="376"/>
    </row>
    <row r="44777" spans="1:100">
      <c r="A44777" s="374"/>
      <c r="C44777" s="374"/>
      <c r="CV44777" s="376"/>
    </row>
    <row r="44778" spans="1:100">
      <c r="A44778" s="374"/>
      <c r="C44778" s="374"/>
      <c r="CV44778" s="376"/>
    </row>
    <row r="44779" spans="1:100">
      <c r="A44779" s="374"/>
      <c r="C44779" s="374"/>
      <c r="CV44779" s="376"/>
    </row>
    <row r="44780" spans="1:100">
      <c r="A44780" s="374"/>
      <c r="C44780" s="374"/>
      <c r="CV44780" s="376"/>
    </row>
    <row r="44781" spans="1:100">
      <c r="A44781" s="374"/>
      <c r="C44781" s="374"/>
      <c r="CV44781" s="376"/>
    </row>
    <row r="44782" spans="1:100">
      <c r="A44782" s="374"/>
      <c r="C44782" s="374"/>
      <c r="CV44782" s="376"/>
    </row>
    <row r="44783" spans="1:100">
      <c r="A44783" s="374"/>
      <c r="C44783" s="374"/>
      <c r="CV44783" s="376"/>
    </row>
    <row r="44784" spans="1:100">
      <c r="A44784" s="374"/>
      <c r="C44784" s="374"/>
      <c r="CV44784" s="376"/>
    </row>
    <row r="44785" spans="1:100">
      <c r="A44785" s="374"/>
      <c r="C44785" s="374"/>
      <c r="CV44785" s="376"/>
    </row>
    <row r="44786" spans="1:100">
      <c r="A44786" s="374"/>
      <c r="C44786" s="374"/>
      <c r="CV44786" s="376"/>
    </row>
    <row r="44787" spans="1:100">
      <c r="A44787" s="374"/>
      <c r="C44787" s="374"/>
      <c r="CV44787" s="376"/>
    </row>
    <row r="44788" spans="1:100">
      <c r="A44788" s="374"/>
      <c r="C44788" s="374"/>
      <c r="CV44788" s="376"/>
    </row>
    <row r="44789" spans="1:100">
      <c r="A44789" s="374"/>
      <c r="C44789" s="374"/>
      <c r="CV44789" s="376"/>
    </row>
    <row r="44790" spans="1:100">
      <c r="A44790" s="374"/>
      <c r="C44790" s="374"/>
      <c r="CV44790" s="376"/>
    </row>
    <row r="44791" spans="1:100">
      <c r="A44791" s="374"/>
      <c r="C44791" s="374"/>
      <c r="CV44791" s="376"/>
    </row>
    <row r="44792" spans="1:100">
      <c r="A44792" s="374"/>
      <c r="C44792" s="374"/>
      <c r="CV44792" s="376"/>
    </row>
    <row r="44793" spans="1:100">
      <c r="A44793" s="374"/>
      <c r="C44793" s="374"/>
      <c r="CV44793" s="376"/>
    </row>
    <row r="44794" spans="1:100">
      <c r="A44794" s="374"/>
      <c r="C44794" s="374"/>
      <c r="CV44794" s="376"/>
    </row>
    <row r="44795" spans="1:100">
      <c r="A44795" s="374"/>
      <c r="C44795" s="374"/>
      <c r="CV44795" s="376"/>
    </row>
    <row r="44796" spans="1:100">
      <c r="A44796" s="374"/>
      <c r="C44796" s="374"/>
      <c r="CV44796" s="376"/>
    </row>
    <row r="44797" spans="1:100">
      <c r="A44797" s="374"/>
      <c r="C44797" s="374"/>
      <c r="CV44797" s="376"/>
    </row>
    <row r="44798" spans="1:100">
      <c r="A44798" s="374"/>
      <c r="C44798" s="374"/>
      <c r="CV44798" s="376"/>
    </row>
    <row r="44799" spans="1:100">
      <c r="A44799" s="374"/>
      <c r="C44799" s="374"/>
      <c r="CV44799" s="376"/>
    </row>
    <row r="44800" spans="1:100">
      <c r="A44800" s="374"/>
      <c r="C44800" s="374"/>
      <c r="CV44800" s="376"/>
    </row>
    <row r="44801" spans="1:100">
      <c r="A44801" s="374"/>
      <c r="C44801" s="374"/>
      <c r="CV44801" s="376"/>
    </row>
    <row r="44802" spans="1:100">
      <c r="A44802" s="374"/>
      <c r="C44802" s="374"/>
      <c r="CV44802" s="376"/>
    </row>
    <row r="44803" spans="1:100">
      <c r="A44803" s="374"/>
      <c r="C44803" s="374"/>
      <c r="CV44803" s="376"/>
    </row>
    <row r="44804" spans="1:100">
      <c r="A44804" s="374"/>
      <c r="C44804" s="374"/>
      <c r="CV44804" s="376"/>
    </row>
    <row r="44805" spans="1:100">
      <c r="A44805" s="374"/>
      <c r="C44805" s="374"/>
      <c r="CV44805" s="376"/>
    </row>
    <row r="44806" spans="1:100">
      <c r="A44806" s="374"/>
      <c r="C44806" s="374"/>
      <c r="CV44806" s="376"/>
    </row>
    <row r="44807" spans="1:100">
      <c r="A44807" s="374"/>
      <c r="C44807" s="374"/>
      <c r="CV44807" s="376"/>
    </row>
    <row r="44808" spans="1:100">
      <c r="A44808" s="374"/>
      <c r="C44808" s="374"/>
      <c r="CV44808" s="376"/>
    </row>
    <row r="44809" spans="1:100">
      <c r="A44809" s="374"/>
      <c r="C44809" s="374"/>
      <c r="CV44809" s="376"/>
    </row>
    <row r="44810" spans="1:100">
      <c r="A44810" s="374"/>
      <c r="C44810" s="374"/>
      <c r="CV44810" s="376"/>
    </row>
    <row r="44811" spans="1:100">
      <c r="A44811" s="374"/>
      <c r="C44811" s="374"/>
      <c r="CV44811" s="376"/>
    </row>
    <row r="44812" spans="1:100">
      <c r="A44812" s="374"/>
      <c r="C44812" s="374"/>
      <c r="CV44812" s="376"/>
    </row>
    <row r="44813" spans="1:100">
      <c r="A44813" s="374"/>
      <c r="C44813" s="374"/>
      <c r="CV44813" s="376"/>
    </row>
    <row r="44814" spans="1:100">
      <c r="A44814" s="374"/>
      <c r="C44814" s="374"/>
      <c r="CV44814" s="376"/>
    </row>
    <row r="44815" spans="1:100">
      <c r="A44815" s="374"/>
      <c r="C44815" s="374"/>
      <c r="CV44815" s="376"/>
    </row>
    <row r="44816" spans="1:100">
      <c r="A44816" s="374"/>
      <c r="C44816" s="374"/>
      <c r="CV44816" s="376"/>
    </row>
    <row r="44817" spans="1:100">
      <c r="A44817" s="374"/>
      <c r="C44817" s="374"/>
      <c r="CV44817" s="376"/>
    </row>
    <row r="44818" spans="1:100">
      <c r="A44818" s="374"/>
      <c r="C44818" s="374"/>
      <c r="CV44818" s="376"/>
    </row>
    <row r="44819" spans="1:100">
      <c r="A44819" s="374"/>
      <c r="C44819" s="374"/>
      <c r="CV44819" s="376"/>
    </row>
    <row r="44820" spans="1:100">
      <c r="A44820" s="374"/>
      <c r="C44820" s="374"/>
      <c r="CV44820" s="376"/>
    </row>
    <row r="44821" spans="1:100">
      <c r="A44821" s="374"/>
      <c r="C44821" s="374"/>
      <c r="CV44821" s="376"/>
    </row>
    <row r="44822" spans="1:100">
      <c r="A44822" s="374"/>
      <c r="C44822" s="374"/>
      <c r="CV44822" s="376"/>
    </row>
    <row r="44823" spans="1:100">
      <c r="A44823" s="374"/>
      <c r="C44823" s="374"/>
      <c r="CV44823" s="376"/>
    </row>
    <row r="44824" spans="1:100">
      <c r="A44824" s="374"/>
      <c r="C44824" s="374"/>
      <c r="CV44824" s="376"/>
    </row>
    <row r="44825" spans="1:100">
      <c r="A44825" s="374"/>
      <c r="C44825" s="374"/>
      <c r="CV44825" s="376"/>
    </row>
    <row r="44826" spans="1:100">
      <c r="A44826" s="374"/>
      <c r="C44826" s="374"/>
      <c r="CV44826" s="376"/>
    </row>
    <row r="44827" spans="1:100">
      <c r="A44827" s="374"/>
      <c r="C44827" s="374"/>
      <c r="CV44827" s="376"/>
    </row>
    <row r="44828" spans="1:100">
      <c r="A44828" s="374"/>
      <c r="C44828" s="374"/>
      <c r="CV44828" s="376"/>
    </row>
    <row r="44829" spans="1:100">
      <c r="A44829" s="374"/>
      <c r="C44829" s="374"/>
      <c r="CV44829" s="376"/>
    </row>
    <row r="44830" spans="1:100">
      <c r="A44830" s="374"/>
      <c r="C44830" s="374"/>
      <c r="CV44830" s="376"/>
    </row>
    <row r="44831" spans="1:100">
      <c r="A44831" s="374"/>
      <c r="C44831" s="374"/>
      <c r="CV44831" s="376"/>
    </row>
    <row r="44832" spans="1:100">
      <c r="A44832" s="374"/>
      <c r="C44832" s="374"/>
      <c r="CV44832" s="376"/>
    </row>
    <row r="44833" spans="1:100">
      <c r="A44833" s="374"/>
      <c r="C44833" s="374"/>
      <c r="CV44833" s="376"/>
    </row>
    <row r="44834" spans="1:100">
      <c r="A44834" s="374"/>
      <c r="C44834" s="374"/>
      <c r="CV44834" s="376"/>
    </row>
    <row r="44835" spans="1:100">
      <c r="A44835" s="374"/>
      <c r="C44835" s="374"/>
      <c r="CV44835" s="376"/>
    </row>
    <row r="44836" spans="1:100">
      <c r="A44836" s="374"/>
      <c r="C44836" s="374"/>
      <c r="CV44836" s="376"/>
    </row>
    <row r="44837" spans="1:100">
      <c r="A44837" s="374"/>
      <c r="C44837" s="374"/>
      <c r="CV44837" s="376"/>
    </row>
    <row r="44838" spans="1:100">
      <c r="A44838" s="374"/>
      <c r="C44838" s="374"/>
      <c r="CV44838" s="376"/>
    </row>
    <row r="44839" spans="1:100">
      <c r="A44839" s="374"/>
      <c r="C44839" s="374"/>
      <c r="CV44839" s="376"/>
    </row>
    <row r="44840" spans="1:100">
      <c r="A44840" s="374"/>
      <c r="C44840" s="374"/>
      <c r="CV44840" s="376"/>
    </row>
    <row r="44841" spans="1:100">
      <c r="A44841" s="374"/>
      <c r="C44841" s="374"/>
      <c r="CV44841" s="376"/>
    </row>
    <row r="44842" spans="1:100">
      <c r="A44842" s="374"/>
      <c r="C44842" s="374"/>
      <c r="CV44842" s="376"/>
    </row>
    <row r="44843" spans="1:100">
      <c r="A44843" s="374"/>
      <c r="C44843" s="374"/>
      <c r="CV44843" s="376"/>
    </row>
    <row r="44844" spans="1:100">
      <c r="A44844" s="374"/>
      <c r="C44844" s="374"/>
      <c r="CV44844" s="376"/>
    </row>
    <row r="44845" spans="1:100">
      <c r="A44845" s="374"/>
      <c r="C44845" s="374"/>
      <c r="CV44845" s="376"/>
    </row>
    <row r="44846" spans="1:100">
      <c r="A44846" s="374"/>
      <c r="C44846" s="374"/>
      <c r="CV44846" s="376"/>
    </row>
    <row r="44847" spans="1:100">
      <c r="A44847" s="374"/>
      <c r="C44847" s="374"/>
      <c r="CV44847" s="376"/>
    </row>
    <row r="44848" spans="1:100">
      <c r="A44848" s="374"/>
      <c r="C44848" s="374"/>
      <c r="CV44848" s="376"/>
    </row>
    <row r="44849" spans="1:100">
      <c r="A44849" s="374"/>
      <c r="C44849" s="374"/>
      <c r="CV44849" s="376"/>
    </row>
    <row r="44850" spans="1:100">
      <c r="A44850" s="374"/>
      <c r="C44850" s="374"/>
      <c r="CV44850" s="376"/>
    </row>
    <row r="44851" spans="1:100">
      <c r="A44851" s="374"/>
      <c r="C44851" s="374"/>
      <c r="CV44851" s="376"/>
    </row>
    <row r="44852" spans="1:100">
      <c r="A44852" s="374"/>
      <c r="C44852" s="374"/>
      <c r="CV44852" s="376"/>
    </row>
    <row r="44853" spans="1:100">
      <c r="A44853" s="374"/>
      <c r="C44853" s="374"/>
      <c r="CV44853" s="376"/>
    </row>
    <row r="44854" spans="1:100">
      <c r="A44854" s="374"/>
      <c r="C44854" s="374"/>
      <c r="CV44854" s="376"/>
    </row>
    <row r="44855" spans="1:100">
      <c r="A44855" s="374"/>
      <c r="C44855" s="374"/>
      <c r="CV44855" s="376"/>
    </row>
    <row r="44856" spans="1:100">
      <c r="A44856" s="374"/>
      <c r="C44856" s="374"/>
      <c r="CV44856" s="376"/>
    </row>
    <row r="44857" spans="1:100">
      <c r="A44857" s="374"/>
      <c r="C44857" s="374"/>
      <c r="CV44857" s="376"/>
    </row>
    <row r="44858" spans="1:100">
      <c r="A44858" s="374"/>
      <c r="C44858" s="374"/>
      <c r="CV44858" s="376"/>
    </row>
    <row r="44859" spans="1:100">
      <c r="A44859" s="374"/>
      <c r="C44859" s="374"/>
      <c r="CV44859" s="376"/>
    </row>
    <row r="44860" spans="1:100">
      <c r="A44860" s="374"/>
      <c r="C44860" s="374"/>
      <c r="CV44860" s="376"/>
    </row>
    <row r="44861" spans="1:100">
      <c r="A44861" s="374"/>
      <c r="C44861" s="374"/>
      <c r="CV44861" s="376"/>
    </row>
    <row r="44862" spans="1:100">
      <c r="A44862" s="374"/>
      <c r="C44862" s="374"/>
      <c r="CV44862" s="376"/>
    </row>
    <row r="44863" spans="1:100">
      <c r="A44863" s="374"/>
      <c r="C44863" s="374"/>
      <c r="CV44863" s="376"/>
    </row>
    <row r="44864" spans="1:100">
      <c r="A44864" s="374"/>
      <c r="C44864" s="374"/>
      <c r="CV44864" s="376"/>
    </row>
    <row r="44865" spans="1:100">
      <c r="A44865" s="374"/>
      <c r="C44865" s="374"/>
      <c r="CV44865" s="376"/>
    </row>
    <row r="44866" spans="1:100">
      <c r="A44866" s="374"/>
      <c r="C44866" s="374"/>
      <c r="CV44866" s="376"/>
    </row>
    <row r="44867" spans="1:100">
      <c r="A44867" s="374"/>
      <c r="C44867" s="374"/>
      <c r="CV44867" s="376"/>
    </row>
    <row r="44868" spans="1:100">
      <c r="A44868" s="374"/>
      <c r="C44868" s="374"/>
      <c r="CV44868" s="376"/>
    </row>
    <row r="44869" spans="1:100">
      <c r="A44869" s="374"/>
      <c r="C44869" s="374"/>
      <c r="CV44869" s="376"/>
    </row>
    <row r="44870" spans="1:100">
      <c r="A44870" s="374"/>
      <c r="C44870" s="374"/>
      <c r="CV44870" s="376"/>
    </row>
    <row r="44871" spans="1:100">
      <c r="A44871" s="374"/>
      <c r="C44871" s="374"/>
      <c r="CV44871" s="376"/>
    </row>
    <row r="44872" spans="1:100">
      <c r="A44872" s="374"/>
      <c r="C44872" s="374"/>
      <c r="CV44872" s="376"/>
    </row>
    <row r="44873" spans="1:100">
      <c r="A44873" s="374"/>
      <c r="C44873" s="374"/>
      <c r="CV44873" s="376"/>
    </row>
    <row r="44874" spans="1:100">
      <c r="A44874" s="374"/>
      <c r="C44874" s="374"/>
      <c r="CV44874" s="376"/>
    </row>
    <row r="44875" spans="1:100">
      <c r="A44875" s="374"/>
      <c r="C44875" s="374"/>
      <c r="CV44875" s="376"/>
    </row>
    <row r="44876" spans="1:100">
      <c r="A44876" s="374"/>
      <c r="C44876" s="374"/>
      <c r="CV44876" s="376"/>
    </row>
    <row r="44877" spans="1:100">
      <c r="A44877" s="374"/>
      <c r="C44877" s="374"/>
      <c r="CV44877" s="376"/>
    </row>
    <row r="44878" spans="1:100">
      <c r="A44878" s="374"/>
      <c r="C44878" s="374"/>
      <c r="CV44878" s="376"/>
    </row>
    <row r="44879" spans="1:100">
      <c r="A44879" s="374"/>
      <c r="C44879" s="374"/>
      <c r="CV44879" s="376"/>
    </row>
    <row r="44880" spans="1:100">
      <c r="A44880" s="374"/>
      <c r="C44880" s="374"/>
      <c r="CV44880" s="376"/>
    </row>
    <row r="44881" spans="1:100">
      <c r="A44881" s="374"/>
      <c r="C44881" s="374"/>
      <c r="CV44881" s="376"/>
    </row>
    <row r="44882" spans="1:100">
      <c r="A44882" s="374"/>
      <c r="C44882" s="374"/>
      <c r="CV44882" s="376"/>
    </row>
    <row r="44883" spans="1:100">
      <c r="A44883" s="374"/>
      <c r="C44883" s="374"/>
      <c r="CV44883" s="376"/>
    </row>
    <row r="44884" spans="1:100">
      <c r="A44884" s="374"/>
      <c r="C44884" s="374"/>
      <c r="CV44884" s="376"/>
    </row>
    <row r="44885" spans="1:100">
      <c r="A44885" s="374"/>
      <c r="C44885" s="374"/>
      <c r="CV44885" s="376"/>
    </row>
    <row r="44886" spans="1:100">
      <c r="A44886" s="374"/>
      <c r="C44886" s="374"/>
      <c r="CV44886" s="376"/>
    </row>
    <row r="44887" spans="1:100">
      <c r="A44887" s="374"/>
      <c r="C44887" s="374"/>
      <c r="CV44887" s="376"/>
    </row>
    <row r="44888" spans="1:100">
      <c r="A44888" s="374"/>
      <c r="C44888" s="374"/>
      <c r="CV44888" s="376"/>
    </row>
    <row r="44889" spans="1:100">
      <c r="A44889" s="374"/>
      <c r="C44889" s="374"/>
      <c r="CV44889" s="376"/>
    </row>
    <row r="44890" spans="1:100">
      <c r="A44890" s="374"/>
      <c r="C44890" s="374"/>
      <c r="CV44890" s="376"/>
    </row>
    <row r="44891" spans="1:100">
      <c r="A44891" s="374"/>
      <c r="C44891" s="374"/>
      <c r="CV44891" s="376"/>
    </row>
    <row r="44892" spans="1:100">
      <c r="A44892" s="374"/>
      <c r="C44892" s="374"/>
      <c r="CV44892" s="376"/>
    </row>
    <row r="44893" spans="1:100">
      <c r="A44893" s="374"/>
      <c r="C44893" s="374"/>
      <c r="CV44893" s="376"/>
    </row>
    <row r="44894" spans="1:100">
      <c r="A44894" s="374"/>
      <c r="C44894" s="374"/>
      <c r="CV44894" s="376"/>
    </row>
    <row r="44895" spans="1:100">
      <c r="A44895" s="374"/>
      <c r="C44895" s="374"/>
      <c r="CV44895" s="376"/>
    </row>
    <row r="44896" spans="1:100">
      <c r="A44896" s="374"/>
      <c r="C44896" s="374"/>
      <c r="CV44896" s="376"/>
    </row>
    <row r="44897" spans="1:100">
      <c r="A44897" s="374"/>
      <c r="C44897" s="374"/>
      <c r="CV44897" s="376"/>
    </row>
    <row r="44898" spans="1:100">
      <c r="A44898" s="374"/>
      <c r="C44898" s="374"/>
      <c r="CV44898" s="376"/>
    </row>
    <row r="44899" spans="1:100">
      <c r="A44899" s="374"/>
      <c r="C44899" s="374"/>
      <c r="CV44899" s="376"/>
    </row>
    <row r="44900" spans="1:100">
      <c r="A44900" s="374"/>
      <c r="C44900" s="374"/>
      <c r="CV44900" s="376"/>
    </row>
    <row r="44901" spans="1:100">
      <c r="A44901" s="374"/>
      <c r="C44901" s="374"/>
      <c r="CV44901" s="376"/>
    </row>
    <row r="44902" spans="1:100">
      <c r="A44902" s="374"/>
      <c r="C44902" s="374"/>
      <c r="CV44902" s="376"/>
    </row>
    <row r="44903" spans="1:100">
      <c r="A44903" s="374"/>
      <c r="C44903" s="374"/>
      <c r="CV44903" s="376"/>
    </row>
    <row r="44904" spans="1:100">
      <c r="A44904" s="374"/>
      <c r="C44904" s="374"/>
      <c r="CV44904" s="376"/>
    </row>
    <row r="44905" spans="1:100">
      <c r="A44905" s="374"/>
      <c r="C44905" s="374"/>
      <c r="CV44905" s="376"/>
    </row>
    <row r="44906" spans="1:100">
      <c r="A44906" s="374"/>
      <c r="C44906" s="374"/>
      <c r="CV44906" s="376"/>
    </row>
    <row r="44907" spans="1:100">
      <c r="A44907" s="374"/>
      <c r="C44907" s="374"/>
      <c r="CV44907" s="376"/>
    </row>
    <row r="44908" spans="1:100">
      <c r="A44908" s="374"/>
      <c r="C44908" s="374"/>
      <c r="CV44908" s="376"/>
    </row>
    <row r="44909" spans="1:100">
      <c r="A44909" s="374"/>
      <c r="C44909" s="374"/>
      <c r="CV44909" s="376"/>
    </row>
    <row r="44910" spans="1:100">
      <c r="A44910" s="374"/>
      <c r="C44910" s="374"/>
      <c r="CV44910" s="376"/>
    </row>
    <row r="44911" spans="1:100">
      <c r="A44911" s="374"/>
      <c r="C44911" s="374"/>
      <c r="CV44911" s="376"/>
    </row>
    <row r="44912" spans="1:100">
      <c r="A44912" s="374"/>
      <c r="C44912" s="374"/>
      <c r="CV44912" s="376"/>
    </row>
    <row r="44913" spans="1:100">
      <c r="A44913" s="374"/>
      <c r="C44913" s="374"/>
      <c r="CV44913" s="376"/>
    </row>
    <row r="44914" spans="1:100">
      <c r="A44914" s="374"/>
      <c r="C44914" s="374"/>
      <c r="CV44914" s="376"/>
    </row>
    <row r="44915" spans="1:100">
      <c r="A44915" s="374"/>
      <c r="C44915" s="374"/>
      <c r="CV44915" s="376"/>
    </row>
    <row r="44916" spans="1:100">
      <c r="A44916" s="374"/>
      <c r="C44916" s="374"/>
      <c r="CV44916" s="376"/>
    </row>
    <row r="44917" spans="1:100">
      <c r="A44917" s="374"/>
      <c r="C44917" s="374"/>
      <c r="CV44917" s="376"/>
    </row>
    <row r="44918" spans="1:100">
      <c r="A44918" s="374"/>
      <c r="C44918" s="374"/>
      <c r="CV44918" s="376"/>
    </row>
    <row r="44919" spans="1:100">
      <c r="A44919" s="374"/>
      <c r="C44919" s="374"/>
      <c r="CV44919" s="376"/>
    </row>
    <row r="44920" spans="1:100">
      <c r="A44920" s="374"/>
      <c r="C44920" s="374"/>
      <c r="CV44920" s="376"/>
    </row>
    <row r="44921" spans="1:100">
      <c r="A44921" s="374"/>
      <c r="C44921" s="374"/>
      <c r="CV44921" s="376"/>
    </row>
    <row r="44922" spans="1:100">
      <c r="A44922" s="374"/>
      <c r="C44922" s="374"/>
      <c r="CV44922" s="376"/>
    </row>
    <row r="44923" spans="1:100">
      <c r="A44923" s="374"/>
      <c r="C44923" s="374"/>
      <c r="CV44923" s="376"/>
    </row>
    <row r="44924" spans="1:100">
      <c r="A44924" s="374"/>
      <c r="C44924" s="374"/>
      <c r="CV44924" s="376"/>
    </row>
    <row r="44925" spans="1:100">
      <c r="A44925" s="374"/>
      <c r="C44925" s="374"/>
      <c r="CV44925" s="376"/>
    </row>
    <row r="44926" spans="1:100">
      <c r="A44926" s="374"/>
      <c r="C44926" s="374"/>
      <c r="CV44926" s="376"/>
    </row>
    <row r="44927" spans="1:100">
      <c r="A44927" s="374"/>
      <c r="C44927" s="374"/>
      <c r="CV44927" s="376"/>
    </row>
    <row r="44928" spans="1:100">
      <c r="A44928" s="374"/>
      <c r="C44928" s="374"/>
      <c r="CV44928" s="376"/>
    </row>
    <row r="44929" spans="1:100">
      <c r="A44929" s="374"/>
      <c r="C44929" s="374"/>
      <c r="CV44929" s="376"/>
    </row>
    <row r="44930" spans="1:100">
      <c r="A44930" s="374"/>
      <c r="C44930" s="374"/>
      <c r="CV44930" s="376"/>
    </row>
    <row r="44931" spans="1:100">
      <c r="A44931" s="374"/>
      <c r="C44931" s="374"/>
      <c r="CV44931" s="376"/>
    </row>
    <row r="44932" spans="1:100">
      <c r="A44932" s="374"/>
      <c r="C44932" s="374"/>
      <c r="CV44932" s="376"/>
    </row>
    <row r="44933" spans="1:100">
      <c r="A44933" s="374"/>
      <c r="C44933" s="374"/>
      <c r="CV44933" s="376"/>
    </row>
    <row r="44934" spans="1:100">
      <c r="A44934" s="374"/>
      <c r="C44934" s="374"/>
      <c r="CV44934" s="376"/>
    </row>
    <row r="44935" spans="1:100">
      <c r="A44935" s="374"/>
      <c r="C44935" s="374"/>
      <c r="CV44935" s="376"/>
    </row>
    <row r="44936" spans="1:100">
      <c r="A44936" s="374"/>
      <c r="C44936" s="374"/>
      <c r="CV44936" s="376"/>
    </row>
    <row r="44937" spans="1:100">
      <c r="A44937" s="374"/>
      <c r="C44937" s="374"/>
      <c r="CV44937" s="376"/>
    </row>
    <row r="44938" spans="1:100">
      <c r="A44938" s="374"/>
      <c r="C44938" s="374"/>
      <c r="CV44938" s="376"/>
    </row>
    <row r="44939" spans="1:100">
      <c r="A44939" s="374"/>
      <c r="C44939" s="374"/>
      <c r="CV44939" s="376"/>
    </row>
    <row r="44940" spans="1:100">
      <c r="A44940" s="374"/>
      <c r="C44940" s="374"/>
      <c r="CV44940" s="376"/>
    </row>
    <row r="44941" spans="1:100">
      <c r="A44941" s="374"/>
      <c r="C44941" s="374"/>
      <c r="CV44941" s="376"/>
    </row>
    <row r="44942" spans="1:100">
      <c r="A44942" s="374"/>
      <c r="C44942" s="374"/>
      <c r="CV44942" s="376"/>
    </row>
    <row r="44943" spans="1:100">
      <c r="A44943" s="374"/>
      <c r="C44943" s="374"/>
      <c r="CV44943" s="376"/>
    </row>
    <row r="44944" spans="1:100">
      <c r="A44944" s="374"/>
      <c r="C44944" s="374"/>
      <c r="CV44944" s="376"/>
    </row>
    <row r="44945" spans="1:100">
      <c r="A44945" s="374"/>
      <c r="C44945" s="374"/>
      <c r="CV44945" s="376"/>
    </row>
    <row r="44946" spans="1:100">
      <c r="A44946" s="374"/>
      <c r="C44946" s="374"/>
      <c r="CV44946" s="376"/>
    </row>
    <row r="44947" spans="1:100">
      <c r="A44947" s="374"/>
      <c r="C44947" s="374"/>
      <c r="CV44947" s="376"/>
    </row>
    <row r="44948" spans="1:100">
      <c r="A44948" s="374"/>
      <c r="C44948" s="374"/>
      <c r="CV44948" s="376"/>
    </row>
    <row r="44949" spans="1:100">
      <c r="A44949" s="374"/>
      <c r="C44949" s="374"/>
      <c r="CV44949" s="376"/>
    </row>
    <row r="44950" spans="1:100">
      <c r="A44950" s="374"/>
      <c r="C44950" s="374"/>
      <c r="CV44950" s="376"/>
    </row>
    <row r="44951" spans="1:100">
      <c r="A44951" s="374"/>
      <c r="C44951" s="374"/>
      <c r="CV44951" s="376"/>
    </row>
    <row r="44952" spans="1:100">
      <c r="A44952" s="374"/>
      <c r="C44952" s="374"/>
      <c r="CV44952" s="376"/>
    </row>
    <row r="44953" spans="1:100">
      <c r="A44953" s="374"/>
      <c r="C44953" s="374"/>
      <c r="CV44953" s="376"/>
    </row>
    <row r="44954" spans="1:100">
      <c r="A44954" s="374"/>
      <c r="C44954" s="374"/>
      <c r="CV44954" s="376"/>
    </row>
    <row r="44955" spans="1:100">
      <c r="A44955" s="374"/>
      <c r="C44955" s="374"/>
      <c r="CV44955" s="376"/>
    </row>
    <row r="44956" spans="1:100">
      <c r="A44956" s="374"/>
      <c r="C44956" s="374"/>
      <c r="CV44956" s="376"/>
    </row>
    <row r="44957" spans="1:100">
      <c r="A44957" s="374"/>
      <c r="C44957" s="374"/>
      <c r="CV44957" s="376"/>
    </row>
    <row r="44958" spans="1:100">
      <c r="A44958" s="374"/>
      <c r="C44958" s="374"/>
      <c r="CV44958" s="376"/>
    </row>
    <row r="44959" spans="1:100">
      <c r="A44959" s="374"/>
      <c r="C44959" s="374"/>
      <c r="CV44959" s="376"/>
    </row>
    <row r="44960" spans="1:100">
      <c r="A44960" s="374"/>
      <c r="C44960" s="374"/>
      <c r="CV44960" s="376"/>
    </row>
    <row r="44961" spans="1:100">
      <c r="A44961" s="374"/>
      <c r="C44961" s="374"/>
      <c r="CV44961" s="376"/>
    </row>
    <row r="44962" spans="1:100">
      <c r="A44962" s="374"/>
      <c r="C44962" s="374"/>
      <c r="CV44962" s="376"/>
    </row>
    <row r="44963" spans="1:100">
      <c r="A44963" s="374"/>
      <c r="C44963" s="374"/>
      <c r="CV44963" s="376"/>
    </row>
    <row r="44964" spans="1:100">
      <c r="A44964" s="374"/>
      <c r="C44964" s="374"/>
      <c r="CV44964" s="376"/>
    </row>
    <row r="44965" spans="1:100">
      <c r="A44965" s="374"/>
      <c r="C44965" s="374"/>
      <c r="CV44965" s="376"/>
    </row>
    <row r="44966" spans="1:100">
      <c r="A44966" s="374"/>
      <c r="C44966" s="374"/>
      <c r="CV44966" s="376"/>
    </row>
    <row r="44967" spans="1:100">
      <c r="A44967" s="374"/>
      <c r="C44967" s="374"/>
      <c r="CV44967" s="376"/>
    </row>
    <row r="44968" spans="1:100">
      <c r="A44968" s="374"/>
      <c r="C44968" s="374"/>
      <c r="CV44968" s="376"/>
    </row>
    <row r="44969" spans="1:100">
      <c r="A44969" s="374"/>
      <c r="C44969" s="374"/>
      <c r="CV44969" s="376"/>
    </row>
    <row r="44970" spans="1:100">
      <c r="A44970" s="374"/>
      <c r="C44970" s="374"/>
      <c r="CV44970" s="376"/>
    </row>
    <row r="44971" spans="1:100">
      <c r="A44971" s="374"/>
      <c r="C44971" s="374"/>
      <c r="CV44971" s="376"/>
    </row>
    <row r="44972" spans="1:100">
      <c r="A44972" s="374"/>
      <c r="C44972" s="374"/>
      <c r="CV44972" s="376"/>
    </row>
    <row r="44973" spans="1:100">
      <c r="A44973" s="374"/>
      <c r="C44973" s="374"/>
      <c r="CV44973" s="376"/>
    </row>
    <row r="44974" spans="1:100">
      <c r="A44974" s="374"/>
      <c r="C44974" s="374"/>
      <c r="CV44974" s="376"/>
    </row>
    <row r="44975" spans="1:100">
      <c r="A44975" s="374"/>
      <c r="C44975" s="374"/>
      <c r="CV44975" s="376"/>
    </row>
    <row r="44976" spans="1:100">
      <c r="A44976" s="374"/>
      <c r="C44976" s="374"/>
      <c r="CV44976" s="376"/>
    </row>
    <row r="44977" spans="1:100">
      <c r="A44977" s="374"/>
      <c r="C44977" s="374"/>
      <c r="CV44977" s="376"/>
    </row>
    <row r="44978" spans="1:100">
      <c r="A44978" s="374"/>
      <c r="C44978" s="374"/>
      <c r="CV44978" s="376"/>
    </row>
    <row r="44979" spans="1:100">
      <c r="A44979" s="374"/>
      <c r="C44979" s="374"/>
      <c r="CV44979" s="376"/>
    </row>
    <row r="44980" spans="1:100">
      <c r="A44980" s="374"/>
      <c r="C44980" s="374"/>
      <c r="CV44980" s="376"/>
    </row>
    <row r="44981" spans="1:100">
      <c r="A44981" s="374"/>
      <c r="C44981" s="374"/>
      <c r="CV44981" s="376"/>
    </row>
    <row r="44982" spans="1:100">
      <c r="A44982" s="374"/>
      <c r="C44982" s="374"/>
      <c r="CV44982" s="376"/>
    </row>
    <row r="44983" spans="1:100">
      <c r="A44983" s="374"/>
      <c r="C44983" s="374"/>
      <c r="CV44983" s="376"/>
    </row>
    <row r="44984" spans="1:100">
      <c r="A44984" s="374"/>
      <c r="C44984" s="374"/>
      <c r="CV44984" s="376"/>
    </row>
    <row r="44985" spans="1:100">
      <c r="A44985" s="374"/>
      <c r="C44985" s="374"/>
      <c r="CV44985" s="376"/>
    </row>
    <row r="44986" spans="1:100">
      <c r="A44986" s="374"/>
      <c r="C44986" s="374"/>
      <c r="CV44986" s="376"/>
    </row>
    <row r="44987" spans="1:100">
      <c r="A44987" s="374"/>
      <c r="C44987" s="374"/>
      <c r="CV44987" s="376"/>
    </row>
    <row r="44988" spans="1:100">
      <c r="A44988" s="374"/>
      <c r="C44988" s="374"/>
      <c r="CV44988" s="376"/>
    </row>
    <row r="44989" spans="1:100">
      <c r="A44989" s="374"/>
      <c r="C44989" s="374"/>
      <c r="CV44989" s="376"/>
    </row>
    <row r="44990" spans="1:100">
      <c r="A44990" s="374"/>
      <c r="C44990" s="374"/>
      <c r="CV44990" s="376"/>
    </row>
    <row r="44991" spans="1:100">
      <c r="A44991" s="374"/>
      <c r="C44991" s="374"/>
      <c r="CV44991" s="376"/>
    </row>
    <row r="44992" spans="1:100">
      <c r="A44992" s="374"/>
      <c r="C44992" s="374"/>
      <c r="CV44992" s="376"/>
    </row>
    <row r="44993" spans="1:100">
      <c r="A44993" s="374"/>
      <c r="C44993" s="374"/>
      <c r="CV44993" s="376"/>
    </row>
    <row r="44994" spans="1:100">
      <c r="A44994" s="374"/>
      <c r="C44994" s="374"/>
      <c r="CV44994" s="376"/>
    </row>
    <row r="44995" spans="1:100">
      <c r="A44995" s="374"/>
      <c r="C44995" s="374"/>
      <c r="CV44995" s="376"/>
    </row>
    <row r="44996" spans="1:100">
      <c r="A44996" s="374"/>
      <c r="C44996" s="374"/>
      <c r="CV44996" s="376"/>
    </row>
    <row r="44997" spans="1:100">
      <c r="A44997" s="374"/>
      <c r="C44997" s="374"/>
      <c r="CV44997" s="376"/>
    </row>
    <row r="44998" spans="1:100">
      <c r="A44998" s="374"/>
      <c r="C44998" s="374"/>
      <c r="CV44998" s="376"/>
    </row>
    <row r="44999" spans="1:100">
      <c r="A44999" s="374"/>
      <c r="C44999" s="374"/>
      <c r="CV44999" s="376"/>
    </row>
    <row r="45000" spans="1:100">
      <c r="A45000" s="374"/>
      <c r="C45000" s="374"/>
      <c r="CV45000" s="376"/>
    </row>
    <row r="45001" spans="1:100">
      <c r="A45001" s="374"/>
      <c r="C45001" s="374"/>
      <c r="CV45001" s="376"/>
    </row>
    <row r="45002" spans="1:100">
      <c r="A45002" s="374"/>
      <c r="C45002" s="374"/>
      <c r="CV45002" s="376"/>
    </row>
    <row r="45003" spans="1:100">
      <c r="A45003" s="374"/>
      <c r="C45003" s="374"/>
      <c r="CV45003" s="376"/>
    </row>
    <row r="45004" spans="1:100">
      <c r="A45004" s="374"/>
      <c r="C45004" s="374"/>
      <c r="CV45004" s="376"/>
    </row>
    <row r="45005" spans="1:100">
      <c r="A45005" s="374"/>
      <c r="C45005" s="374"/>
      <c r="CV45005" s="376"/>
    </row>
    <row r="45006" spans="1:100">
      <c r="A45006" s="374"/>
      <c r="C45006" s="374"/>
      <c r="CV45006" s="376"/>
    </row>
    <row r="45007" spans="1:100">
      <c r="A45007" s="374"/>
      <c r="C45007" s="374"/>
      <c r="CV45007" s="376"/>
    </row>
    <row r="45008" spans="1:100">
      <c r="A45008" s="374"/>
      <c r="C45008" s="374"/>
      <c r="CV45008" s="376"/>
    </row>
    <row r="45009" spans="1:100">
      <c r="A45009" s="374"/>
      <c r="C45009" s="374"/>
      <c r="CV45009" s="376"/>
    </row>
    <row r="45010" spans="1:100">
      <c r="A45010" s="374"/>
      <c r="C45010" s="374"/>
      <c r="CV45010" s="376"/>
    </row>
    <row r="45011" spans="1:100">
      <c r="A45011" s="374"/>
      <c r="C45011" s="374"/>
      <c r="CV45011" s="376"/>
    </row>
    <row r="45012" spans="1:100">
      <c r="A45012" s="374"/>
      <c r="C45012" s="374"/>
      <c r="CV45012" s="376"/>
    </row>
    <row r="45013" spans="1:100">
      <c r="A45013" s="374"/>
      <c r="C45013" s="374"/>
      <c r="CV45013" s="376"/>
    </row>
    <row r="45014" spans="1:100">
      <c r="A45014" s="374"/>
      <c r="C45014" s="374"/>
      <c r="CV45014" s="376"/>
    </row>
    <row r="45015" spans="1:100">
      <c r="A45015" s="374"/>
      <c r="C45015" s="374"/>
      <c r="CV45015" s="376"/>
    </row>
    <row r="45016" spans="1:100">
      <c r="A45016" s="374"/>
      <c r="C45016" s="374"/>
      <c r="CV45016" s="376"/>
    </row>
    <row r="45017" spans="1:100">
      <c r="A45017" s="374"/>
      <c r="C45017" s="374"/>
      <c r="CV45017" s="376"/>
    </row>
    <row r="45018" spans="1:100">
      <c r="A45018" s="374"/>
      <c r="C45018" s="374"/>
      <c r="CV45018" s="376"/>
    </row>
    <row r="45019" spans="1:100">
      <c r="A45019" s="374"/>
      <c r="C45019" s="374"/>
      <c r="CV45019" s="376"/>
    </row>
    <row r="45020" spans="1:100">
      <c r="A45020" s="374"/>
      <c r="C45020" s="374"/>
      <c r="CV45020" s="376"/>
    </row>
    <row r="45021" spans="1:100">
      <c r="A45021" s="374"/>
      <c r="C45021" s="374"/>
      <c r="CV45021" s="376"/>
    </row>
    <row r="45022" spans="1:100">
      <c r="A45022" s="374"/>
      <c r="C45022" s="374"/>
      <c r="CV45022" s="376"/>
    </row>
    <row r="45023" spans="1:100">
      <c r="A45023" s="374"/>
      <c r="C45023" s="374"/>
      <c r="CV45023" s="376"/>
    </row>
    <row r="45024" spans="1:100">
      <c r="A45024" s="374"/>
      <c r="C45024" s="374"/>
      <c r="CV45024" s="376"/>
    </row>
    <row r="45025" spans="1:100">
      <c r="A45025" s="374"/>
      <c r="C45025" s="374"/>
      <c r="CV45025" s="376"/>
    </row>
    <row r="45026" spans="1:100">
      <c r="A45026" s="374"/>
      <c r="C45026" s="374"/>
      <c r="CV45026" s="376"/>
    </row>
    <row r="45027" spans="1:100">
      <c r="A45027" s="374"/>
      <c r="C45027" s="374"/>
      <c r="CV45027" s="376"/>
    </row>
    <row r="45028" spans="1:100">
      <c r="A45028" s="374"/>
      <c r="C45028" s="374"/>
      <c r="CV45028" s="376"/>
    </row>
    <row r="45029" spans="1:100">
      <c r="A45029" s="374"/>
      <c r="C45029" s="374"/>
      <c r="CV45029" s="376"/>
    </row>
    <row r="45030" spans="1:100">
      <c r="A45030" s="374"/>
      <c r="C45030" s="374"/>
      <c r="CV45030" s="376"/>
    </row>
    <row r="45031" spans="1:100">
      <c r="A45031" s="374"/>
      <c r="C45031" s="374"/>
      <c r="CV45031" s="376"/>
    </row>
    <row r="45032" spans="1:100">
      <c r="A45032" s="374"/>
      <c r="C45032" s="374"/>
      <c r="CV45032" s="376"/>
    </row>
    <row r="45033" spans="1:100">
      <c r="A45033" s="374"/>
      <c r="C45033" s="374"/>
      <c r="CV45033" s="376"/>
    </row>
    <row r="45034" spans="1:100">
      <c r="A45034" s="374"/>
      <c r="C45034" s="374"/>
      <c r="CV45034" s="376"/>
    </row>
    <row r="45035" spans="1:100">
      <c r="A45035" s="374"/>
      <c r="C45035" s="374"/>
      <c r="CV45035" s="376"/>
    </row>
    <row r="45036" spans="1:100">
      <c r="A45036" s="374"/>
      <c r="C45036" s="374"/>
      <c r="CV45036" s="376"/>
    </row>
    <row r="45037" spans="1:100">
      <c r="A45037" s="374"/>
      <c r="C45037" s="374"/>
      <c r="CV45037" s="376"/>
    </row>
    <row r="45038" spans="1:100">
      <c r="A45038" s="374"/>
      <c r="C45038" s="374"/>
      <c r="CV45038" s="376"/>
    </row>
    <row r="45039" spans="1:100">
      <c r="A45039" s="374"/>
      <c r="C45039" s="374"/>
      <c r="CV45039" s="376"/>
    </row>
    <row r="45040" spans="1:100">
      <c r="A45040" s="374"/>
      <c r="C45040" s="374"/>
      <c r="CV45040" s="376"/>
    </row>
    <row r="45041" spans="1:100">
      <c r="A45041" s="374"/>
      <c r="C45041" s="374"/>
      <c r="CV45041" s="376"/>
    </row>
    <row r="45042" spans="1:100">
      <c r="A45042" s="374"/>
      <c r="C45042" s="374"/>
      <c r="CV45042" s="376"/>
    </row>
    <row r="45043" spans="1:100">
      <c r="A45043" s="374"/>
      <c r="C45043" s="374"/>
      <c r="CV45043" s="376"/>
    </row>
    <row r="45044" spans="1:100">
      <c r="A45044" s="374"/>
      <c r="C45044" s="374"/>
      <c r="CV45044" s="376"/>
    </row>
    <row r="45045" spans="1:100">
      <c r="A45045" s="374"/>
      <c r="C45045" s="374"/>
      <c r="CV45045" s="376"/>
    </row>
    <row r="45046" spans="1:100">
      <c r="A45046" s="374"/>
      <c r="C45046" s="374"/>
      <c r="CV45046" s="376"/>
    </row>
    <row r="45047" spans="1:100">
      <c r="A45047" s="374"/>
      <c r="C45047" s="374"/>
      <c r="CV45047" s="376"/>
    </row>
    <row r="45048" spans="1:100">
      <c r="A45048" s="374"/>
      <c r="C45048" s="374"/>
      <c r="CV45048" s="376"/>
    </row>
    <row r="45049" spans="1:100">
      <c r="A45049" s="374"/>
      <c r="C45049" s="374"/>
      <c r="CV45049" s="376"/>
    </row>
    <row r="45050" spans="1:100">
      <c r="A45050" s="374"/>
      <c r="C45050" s="374"/>
      <c r="CV45050" s="376"/>
    </row>
    <row r="45051" spans="1:100">
      <c r="A45051" s="374"/>
      <c r="C45051" s="374"/>
      <c r="CV45051" s="376"/>
    </row>
    <row r="45052" spans="1:100">
      <c r="A45052" s="374"/>
      <c r="C45052" s="374"/>
      <c r="CV45052" s="376"/>
    </row>
    <row r="45053" spans="1:100">
      <c r="A45053" s="374"/>
      <c r="C45053" s="374"/>
      <c r="CV45053" s="376"/>
    </row>
    <row r="45054" spans="1:100">
      <c r="A45054" s="374"/>
      <c r="C45054" s="374"/>
      <c r="CV45054" s="376"/>
    </row>
    <row r="45055" spans="1:100">
      <c r="A45055" s="374"/>
      <c r="C45055" s="374"/>
      <c r="CV45055" s="376"/>
    </row>
    <row r="45056" spans="1:100">
      <c r="A45056" s="374"/>
      <c r="C45056" s="374"/>
      <c r="CV45056" s="376"/>
    </row>
    <row r="45057" spans="1:100">
      <c r="A45057" s="374"/>
      <c r="C45057" s="374"/>
      <c r="CV45057" s="376"/>
    </row>
    <row r="45058" spans="1:100">
      <c r="A45058" s="374"/>
      <c r="C45058" s="374"/>
      <c r="CV45058" s="376"/>
    </row>
    <row r="45059" spans="1:100">
      <c r="A45059" s="374"/>
      <c r="C45059" s="374"/>
      <c r="CV45059" s="376"/>
    </row>
    <row r="45060" spans="1:100">
      <c r="A45060" s="374"/>
      <c r="C45060" s="374"/>
      <c r="CV45060" s="376"/>
    </row>
    <row r="45061" spans="1:100">
      <c r="A45061" s="374"/>
      <c r="C45061" s="374"/>
      <c r="CV45061" s="376"/>
    </row>
    <row r="45062" spans="1:100">
      <c r="A45062" s="374"/>
      <c r="C45062" s="374"/>
      <c r="CV45062" s="376"/>
    </row>
    <row r="45063" spans="1:100">
      <c r="A45063" s="374"/>
      <c r="C45063" s="374"/>
      <c r="CV45063" s="376"/>
    </row>
    <row r="45064" spans="1:100">
      <c r="A45064" s="374"/>
      <c r="C45064" s="374"/>
      <c r="CV45064" s="376"/>
    </row>
    <row r="45065" spans="1:100">
      <c r="A45065" s="374"/>
      <c r="C45065" s="374"/>
      <c r="CV45065" s="376"/>
    </row>
    <row r="45066" spans="1:100">
      <c r="A45066" s="374"/>
      <c r="C45066" s="374"/>
      <c r="CV45066" s="376"/>
    </row>
    <row r="45067" spans="1:100">
      <c r="A45067" s="374"/>
      <c r="C45067" s="374"/>
      <c r="CV45067" s="376"/>
    </row>
    <row r="45068" spans="1:100">
      <c r="A45068" s="374"/>
      <c r="C45068" s="374"/>
      <c r="CV45068" s="376"/>
    </row>
    <row r="45069" spans="1:100">
      <c r="A45069" s="374"/>
      <c r="C45069" s="374"/>
      <c r="CV45069" s="376"/>
    </row>
    <row r="45070" spans="1:100">
      <c r="A45070" s="374"/>
      <c r="C45070" s="374"/>
      <c r="CV45070" s="376"/>
    </row>
    <row r="45071" spans="1:100">
      <c r="A45071" s="374"/>
      <c r="C45071" s="374"/>
      <c r="CV45071" s="376"/>
    </row>
    <row r="45072" spans="1:100">
      <c r="A45072" s="374"/>
      <c r="C45072" s="374"/>
      <c r="CV45072" s="376"/>
    </row>
    <row r="45073" spans="1:100">
      <c r="A45073" s="374"/>
      <c r="C45073" s="374"/>
      <c r="CV45073" s="376"/>
    </row>
    <row r="45074" spans="1:100">
      <c r="A45074" s="374"/>
      <c r="C45074" s="374"/>
      <c r="CV45074" s="376"/>
    </row>
    <row r="45075" spans="1:100">
      <c r="A45075" s="374"/>
      <c r="C45075" s="374"/>
      <c r="CV45075" s="376"/>
    </row>
    <row r="45076" spans="1:100">
      <c r="A45076" s="374"/>
      <c r="C45076" s="374"/>
      <c r="CV45076" s="376"/>
    </row>
    <row r="45077" spans="1:100">
      <c r="A45077" s="374"/>
      <c r="C45077" s="374"/>
      <c r="CV45077" s="376"/>
    </row>
    <row r="45078" spans="1:100">
      <c r="A45078" s="374"/>
      <c r="C45078" s="374"/>
      <c r="CV45078" s="376"/>
    </row>
    <row r="45079" spans="1:100">
      <c r="A45079" s="374"/>
      <c r="C45079" s="374"/>
      <c r="CV45079" s="376"/>
    </row>
    <row r="45080" spans="1:100">
      <c r="A45080" s="374"/>
      <c r="C45080" s="374"/>
      <c r="CV45080" s="376"/>
    </row>
    <row r="45081" spans="1:100">
      <c r="A45081" s="374"/>
      <c r="C45081" s="374"/>
      <c r="CV45081" s="376"/>
    </row>
    <row r="45082" spans="1:100">
      <c r="A45082" s="374"/>
      <c r="C45082" s="374"/>
      <c r="CV45082" s="376"/>
    </row>
    <row r="45083" spans="1:100">
      <c r="A45083" s="374"/>
      <c r="C45083" s="374"/>
      <c r="CV45083" s="376"/>
    </row>
    <row r="45084" spans="1:100">
      <c r="A45084" s="374"/>
      <c r="C45084" s="374"/>
      <c r="CV45084" s="376"/>
    </row>
    <row r="45085" spans="1:100">
      <c r="A45085" s="374"/>
      <c r="C45085" s="374"/>
      <c r="CV45085" s="376"/>
    </row>
    <row r="45086" spans="1:100">
      <c r="A45086" s="374"/>
      <c r="C45086" s="374"/>
      <c r="CV45086" s="376"/>
    </row>
    <row r="45087" spans="1:100">
      <c r="A45087" s="374"/>
      <c r="C45087" s="374"/>
      <c r="CV45087" s="376"/>
    </row>
    <row r="45088" spans="1:100">
      <c r="A45088" s="374"/>
      <c r="C45088" s="374"/>
      <c r="CV45088" s="376"/>
    </row>
    <row r="45089" spans="1:100">
      <c r="A45089" s="374"/>
      <c r="C45089" s="374"/>
      <c r="CV45089" s="376"/>
    </row>
    <row r="45090" spans="1:100">
      <c r="A45090" s="374"/>
      <c r="C45090" s="374"/>
      <c r="CV45090" s="376"/>
    </row>
    <row r="45091" spans="1:100">
      <c r="A45091" s="374"/>
      <c r="C45091" s="374"/>
      <c r="CV45091" s="376"/>
    </row>
    <row r="45092" spans="1:100">
      <c r="A45092" s="374"/>
      <c r="C45092" s="374"/>
      <c r="CV45092" s="376"/>
    </row>
    <row r="45093" spans="1:100">
      <c r="A45093" s="374"/>
      <c r="C45093" s="374"/>
      <c r="CV45093" s="376"/>
    </row>
    <row r="45094" spans="1:100">
      <c r="A45094" s="374"/>
      <c r="C45094" s="374"/>
      <c r="CV45094" s="376"/>
    </row>
    <row r="45095" spans="1:100">
      <c r="A45095" s="374"/>
      <c r="C45095" s="374"/>
      <c r="CV45095" s="376"/>
    </row>
    <row r="45096" spans="1:100">
      <c r="A45096" s="374"/>
      <c r="C45096" s="374"/>
      <c r="CV45096" s="376"/>
    </row>
    <row r="45097" spans="1:100">
      <c r="A45097" s="374"/>
      <c r="C45097" s="374"/>
      <c r="CV45097" s="376"/>
    </row>
    <row r="45098" spans="1:100">
      <c r="A45098" s="374"/>
      <c r="C45098" s="374"/>
      <c r="CV45098" s="376"/>
    </row>
    <row r="45099" spans="1:100">
      <c r="A45099" s="374"/>
      <c r="C45099" s="374"/>
      <c r="CV45099" s="376"/>
    </row>
    <row r="45100" spans="1:100">
      <c r="A45100" s="374"/>
      <c r="C45100" s="374"/>
      <c r="CV45100" s="376"/>
    </row>
    <row r="45101" spans="1:100">
      <c r="A45101" s="374"/>
      <c r="C45101" s="374"/>
      <c r="CV45101" s="376"/>
    </row>
    <row r="45102" spans="1:100">
      <c r="A45102" s="374"/>
      <c r="C45102" s="374"/>
      <c r="CV45102" s="376"/>
    </row>
    <row r="45103" spans="1:100">
      <c r="A45103" s="374"/>
      <c r="C45103" s="374"/>
      <c r="CV45103" s="376"/>
    </row>
    <row r="45104" spans="1:100">
      <c r="A45104" s="374"/>
      <c r="C45104" s="374"/>
      <c r="CV45104" s="376"/>
    </row>
    <row r="45105" spans="1:100">
      <c r="A45105" s="374"/>
      <c r="C45105" s="374"/>
      <c r="CV45105" s="376"/>
    </row>
    <row r="45106" spans="1:100">
      <c r="A45106" s="374"/>
      <c r="C45106" s="374"/>
      <c r="CV45106" s="376"/>
    </row>
    <row r="45107" spans="1:100">
      <c r="A45107" s="374"/>
      <c r="C45107" s="374"/>
      <c r="CV45107" s="376"/>
    </row>
    <row r="45108" spans="1:100">
      <c r="A45108" s="374"/>
      <c r="C45108" s="374"/>
      <c r="CV45108" s="376"/>
    </row>
    <row r="45109" spans="1:100">
      <c r="A45109" s="374"/>
      <c r="C45109" s="374"/>
      <c r="CV45109" s="376"/>
    </row>
    <row r="45110" spans="1:100">
      <c r="A45110" s="374"/>
      <c r="C45110" s="374"/>
      <c r="CV45110" s="376"/>
    </row>
    <row r="45111" spans="1:100">
      <c r="A45111" s="374"/>
      <c r="C45111" s="374"/>
      <c r="CV45111" s="376"/>
    </row>
    <row r="45112" spans="1:100">
      <c r="A45112" s="374"/>
      <c r="C45112" s="374"/>
      <c r="CV45112" s="376"/>
    </row>
    <row r="45113" spans="1:100">
      <c r="A45113" s="374"/>
      <c r="C45113" s="374"/>
      <c r="CV45113" s="376"/>
    </row>
    <row r="45114" spans="1:100">
      <c r="A45114" s="374"/>
      <c r="C45114" s="374"/>
      <c r="CV45114" s="376"/>
    </row>
    <row r="45115" spans="1:100">
      <c r="A45115" s="374"/>
      <c r="C45115" s="374"/>
      <c r="CV45115" s="376"/>
    </row>
    <row r="45116" spans="1:100">
      <c r="A45116" s="374"/>
      <c r="C45116" s="374"/>
      <c r="CV45116" s="376"/>
    </row>
    <row r="45117" spans="1:100">
      <c r="A45117" s="374"/>
      <c r="C45117" s="374"/>
      <c r="CV45117" s="376"/>
    </row>
    <row r="45118" spans="1:100">
      <c r="A45118" s="374"/>
      <c r="C45118" s="374"/>
      <c r="CV45118" s="376"/>
    </row>
    <row r="45119" spans="1:100">
      <c r="A45119" s="374"/>
      <c r="C45119" s="374"/>
      <c r="CV45119" s="376"/>
    </row>
    <row r="45120" spans="1:100">
      <c r="A45120" s="374"/>
      <c r="C45120" s="374"/>
      <c r="CV45120" s="376"/>
    </row>
    <row r="45121" spans="1:100">
      <c r="A45121" s="374"/>
      <c r="C45121" s="374"/>
      <c r="CV45121" s="376"/>
    </row>
    <row r="45122" spans="1:100">
      <c r="A45122" s="374"/>
      <c r="C45122" s="374"/>
      <c r="CV45122" s="376"/>
    </row>
    <row r="45123" spans="1:100">
      <c r="A45123" s="374"/>
      <c r="C45123" s="374"/>
      <c r="CV45123" s="376"/>
    </row>
    <row r="45124" spans="1:100">
      <c r="A45124" s="374"/>
      <c r="C45124" s="374"/>
      <c r="CV45124" s="376"/>
    </row>
    <row r="45125" spans="1:100">
      <c r="A45125" s="374"/>
      <c r="C45125" s="374"/>
      <c r="CV45125" s="376"/>
    </row>
    <row r="45126" spans="1:100">
      <c r="A45126" s="374"/>
      <c r="C45126" s="374"/>
      <c r="CV45126" s="376"/>
    </row>
    <row r="45127" spans="1:100">
      <c r="A45127" s="374"/>
      <c r="C45127" s="374"/>
      <c r="CV45127" s="376"/>
    </row>
    <row r="45128" spans="1:100">
      <c r="A45128" s="374"/>
      <c r="C45128" s="374"/>
      <c r="CV45128" s="376"/>
    </row>
    <row r="45129" spans="1:100">
      <c r="A45129" s="374"/>
      <c r="C45129" s="374"/>
      <c r="CV45129" s="376"/>
    </row>
    <row r="45130" spans="1:100">
      <c r="A45130" s="374"/>
      <c r="C45130" s="374"/>
      <c r="CV45130" s="376"/>
    </row>
    <row r="45131" spans="1:100">
      <c r="A45131" s="374"/>
      <c r="C45131" s="374"/>
      <c r="CV45131" s="376"/>
    </row>
    <row r="45132" spans="1:100">
      <c r="A45132" s="374"/>
      <c r="C45132" s="374"/>
      <c r="CV45132" s="376"/>
    </row>
    <row r="45133" spans="1:100">
      <c r="A45133" s="374"/>
      <c r="C45133" s="374"/>
      <c r="CV45133" s="376"/>
    </row>
    <row r="45134" spans="1:100">
      <c r="A45134" s="374"/>
      <c r="C45134" s="374"/>
      <c r="CV45134" s="376"/>
    </row>
    <row r="45135" spans="1:100">
      <c r="A45135" s="374"/>
      <c r="C45135" s="374"/>
      <c r="CV45135" s="376"/>
    </row>
    <row r="45136" spans="1:100">
      <c r="A45136" s="374"/>
      <c r="C45136" s="374"/>
      <c r="CV45136" s="376"/>
    </row>
    <row r="45137" spans="1:100">
      <c r="A45137" s="374"/>
      <c r="C45137" s="374"/>
      <c r="CV45137" s="376"/>
    </row>
    <row r="45138" spans="1:100">
      <c r="A45138" s="374"/>
      <c r="C45138" s="374"/>
      <c r="CV45138" s="376"/>
    </row>
    <row r="45139" spans="1:100">
      <c r="A45139" s="374"/>
      <c r="C45139" s="374"/>
      <c r="CV45139" s="376"/>
    </row>
    <row r="45140" spans="1:100">
      <c r="A45140" s="374"/>
      <c r="C45140" s="374"/>
      <c r="CV45140" s="376"/>
    </row>
    <row r="45141" spans="1:100">
      <c r="A45141" s="374"/>
      <c r="C45141" s="374"/>
      <c r="CV45141" s="376"/>
    </row>
    <row r="45142" spans="1:100">
      <c r="A45142" s="374"/>
      <c r="C45142" s="374"/>
      <c r="CV45142" s="376"/>
    </row>
    <row r="45143" spans="1:100">
      <c r="A45143" s="374"/>
      <c r="C45143" s="374"/>
      <c r="CV45143" s="376"/>
    </row>
    <row r="45144" spans="1:100">
      <c r="A45144" s="374"/>
      <c r="C45144" s="374"/>
      <c r="CV45144" s="376"/>
    </row>
    <row r="45145" spans="1:100">
      <c r="A45145" s="374"/>
      <c r="C45145" s="374"/>
      <c r="CV45145" s="376"/>
    </row>
    <row r="45146" spans="1:100">
      <c r="A45146" s="374"/>
      <c r="C45146" s="374"/>
      <c r="CV45146" s="376"/>
    </row>
    <row r="45147" spans="1:100">
      <c r="A45147" s="374"/>
      <c r="C45147" s="374"/>
      <c r="CV45147" s="376"/>
    </row>
    <row r="45148" spans="1:100">
      <c r="A45148" s="374"/>
      <c r="C45148" s="374"/>
      <c r="CV45148" s="376"/>
    </row>
    <row r="45149" spans="1:100">
      <c r="A45149" s="374"/>
      <c r="C45149" s="374"/>
      <c r="CV45149" s="376"/>
    </row>
    <row r="45150" spans="1:100">
      <c r="A45150" s="374"/>
      <c r="C45150" s="374"/>
      <c r="CV45150" s="376"/>
    </row>
    <row r="45151" spans="1:100">
      <c r="A45151" s="374"/>
      <c r="C45151" s="374"/>
      <c r="CV45151" s="376"/>
    </row>
    <row r="45152" spans="1:100">
      <c r="A45152" s="374"/>
      <c r="C45152" s="374"/>
      <c r="CV45152" s="376"/>
    </row>
    <row r="45153" spans="1:100">
      <c r="A45153" s="374"/>
      <c r="C45153" s="374"/>
      <c r="CV45153" s="376"/>
    </row>
    <row r="45154" spans="1:100">
      <c r="A45154" s="374"/>
      <c r="C45154" s="374"/>
      <c r="CV45154" s="376"/>
    </row>
    <row r="45155" spans="1:100">
      <c r="A45155" s="374"/>
      <c r="C45155" s="374"/>
      <c r="CV45155" s="376"/>
    </row>
    <row r="45156" spans="1:100">
      <c r="A45156" s="374"/>
      <c r="C45156" s="374"/>
      <c r="CV45156" s="376"/>
    </row>
    <row r="45157" spans="1:100">
      <c r="A45157" s="374"/>
      <c r="C45157" s="374"/>
      <c r="CV45157" s="376"/>
    </row>
    <row r="45158" spans="1:100">
      <c r="A45158" s="374"/>
      <c r="C45158" s="374"/>
      <c r="CV45158" s="376"/>
    </row>
    <row r="45159" spans="1:100">
      <c r="A45159" s="374"/>
      <c r="C45159" s="374"/>
      <c r="CV45159" s="376"/>
    </row>
    <row r="45160" spans="1:100">
      <c r="A45160" s="374"/>
      <c r="C45160" s="374"/>
      <c r="CV45160" s="376"/>
    </row>
    <row r="45161" spans="1:100">
      <c r="A45161" s="374"/>
      <c r="C45161" s="374"/>
      <c r="CV45161" s="376"/>
    </row>
    <row r="45162" spans="1:100">
      <c r="A45162" s="374"/>
      <c r="C45162" s="374"/>
      <c r="CV45162" s="376"/>
    </row>
    <row r="45163" spans="1:100">
      <c r="A45163" s="374"/>
      <c r="C45163" s="374"/>
      <c r="CV45163" s="376"/>
    </row>
    <row r="45164" spans="1:100">
      <c r="A45164" s="374"/>
      <c r="C45164" s="374"/>
      <c r="CV45164" s="376"/>
    </row>
    <row r="45165" spans="1:100">
      <c r="A45165" s="374"/>
      <c r="C45165" s="374"/>
      <c r="CV45165" s="376"/>
    </row>
    <row r="45166" spans="1:100">
      <c r="A45166" s="374"/>
      <c r="C45166" s="374"/>
      <c r="CV45166" s="376"/>
    </row>
    <row r="45167" spans="1:100">
      <c r="A45167" s="374"/>
      <c r="C45167" s="374"/>
      <c r="CV45167" s="376"/>
    </row>
    <row r="45168" spans="1:100">
      <c r="A45168" s="374"/>
      <c r="C45168" s="374"/>
      <c r="CV45168" s="376"/>
    </row>
    <row r="45169" spans="1:100">
      <c r="A45169" s="374"/>
      <c r="C45169" s="374"/>
      <c r="CV45169" s="376"/>
    </row>
    <row r="45170" spans="1:100">
      <c r="A45170" s="374"/>
      <c r="C45170" s="374"/>
      <c r="CV45170" s="376"/>
    </row>
    <row r="45171" spans="1:100">
      <c r="A45171" s="374"/>
      <c r="C45171" s="374"/>
      <c r="CV45171" s="376"/>
    </row>
    <row r="45172" spans="1:100">
      <c r="A45172" s="374"/>
      <c r="C45172" s="374"/>
      <c r="CV45172" s="376"/>
    </row>
    <row r="45173" spans="1:100">
      <c r="A45173" s="374"/>
      <c r="C45173" s="374"/>
      <c r="CV45173" s="376"/>
    </row>
    <row r="45174" spans="1:100">
      <c r="A45174" s="374"/>
      <c r="C45174" s="374"/>
      <c r="CV45174" s="376"/>
    </row>
    <row r="45175" spans="1:100">
      <c r="A45175" s="374"/>
      <c r="C45175" s="374"/>
      <c r="CV45175" s="376"/>
    </row>
    <row r="45176" spans="1:100">
      <c r="A45176" s="374"/>
      <c r="C45176" s="374"/>
      <c r="CV45176" s="376"/>
    </row>
    <row r="45177" spans="1:100">
      <c r="A45177" s="374"/>
      <c r="C45177" s="374"/>
      <c r="CV45177" s="376"/>
    </row>
    <row r="45178" spans="1:100">
      <c r="A45178" s="374"/>
      <c r="C45178" s="374"/>
      <c r="CV45178" s="376"/>
    </row>
    <row r="45179" spans="1:100">
      <c r="A45179" s="374"/>
      <c r="C45179" s="374"/>
      <c r="CV45179" s="376"/>
    </row>
    <row r="45180" spans="1:100">
      <c r="A45180" s="374"/>
      <c r="C45180" s="374"/>
      <c r="CV45180" s="376"/>
    </row>
    <row r="45181" spans="1:100">
      <c r="A45181" s="374"/>
      <c r="C45181" s="374"/>
      <c r="CV45181" s="376"/>
    </row>
    <row r="45182" spans="1:100">
      <c r="A45182" s="374"/>
      <c r="C45182" s="374"/>
      <c r="CV45182" s="376"/>
    </row>
    <row r="45183" spans="1:100">
      <c r="A45183" s="374"/>
      <c r="C45183" s="374"/>
      <c r="CV45183" s="376"/>
    </row>
    <row r="45184" spans="1:100">
      <c r="A45184" s="374"/>
      <c r="C45184" s="374"/>
      <c r="CV45184" s="376"/>
    </row>
    <row r="45185" spans="1:100">
      <c r="A45185" s="374"/>
      <c r="C45185" s="374"/>
      <c r="CV45185" s="376"/>
    </row>
    <row r="45186" spans="1:100">
      <c r="A45186" s="374"/>
      <c r="C45186" s="374"/>
      <c r="CV45186" s="376"/>
    </row>
    <row r="45187" spans="1:100">
      <c r="A45187" s="374"/>
      <c r="C45187" s="374"/>
      <c r="CV45187" s="376"/>
    </row>
    <row r="45188" spans="1:100">
      <c r="A45188" s="374"/>
      <c r="C45188" s="374"/>
      <c r="CV45188" s="376"/>
    </row>
    <row r="45189" spans="1:100">
      <c r="A45189" s="374"/>
      <c r="C45189" s="374"/>
      <c r="CV45189" s="376"/>
    </row>
    <row r="45190" spans="1:100">
      <c r="A45190" s="374"/>
      <c r="C45190" s="374"/>
      <c r="CV45190" s="376"/>
    </row>
    <row r="45191" spans="1:100">
      <c r="A45191" s="374"/>
      <c r="C45191" s="374"/>
      <c r="CV45191" s="376"/>
    </row>
    <row r="45192" spans="1:100">
      <c r="A45192" s="374"/>
      <c r="C45192" s="374"/>
      <c r="CV45192" s="376"/>
    </row>
    <row r="45193" spans="1:100">
      <c r="A45193" s="374"/>
      <c r="C45193" s="374"/>
      <c r="CV45193" s="376"/>
    </row>
    <row r="45194" spans="1:100">
      <c r="A45194" s="374"/>
      <c r="C45194" s="374"/>
      <c r="CV45194" s="376"/>
    </row>
    <row r="45195" spans="1:100">
      <c r="A45195" s="374"/>
      <c r="C45195" s="374"/>
      <c r="CV45195" s="376"/>
    </row>
    <row r="45196" spans="1:100">
      <c r="A45196" s="374"/>
      <c r="C45196" s="374"/>
      <c r="CV45196" s="376"/>
    </row>
    <row r="45197" spans="1:100">
      <c r="A45197" s="374"/>
      <c r="C45197" s="374"/>
      <c r="CV45197" s="376"/>
    </row>
    <row r="45198" spans="1:100">
      <c r="A45198" s="374"/>
      <c r="C45198" s="374"/>
      <c r="CV45198" s="376"/>
    </row>
    <row r="45199" spans="1:100">
      <c r="A45199" s="374"/>
      <c r="C45199" s="374"/>
      <c r="CV45199" s="376"/>
    </row>
    <row r="45200" spans="1:100">
      <c r="A45200" s="374"/>
      <c r="C45200" s="374"/>
      <c r="CV45200" s="376"/>
    </row>
    <row r="45201" spans="1:100">
      <c r="A45201" s="374"/>
      <c r="C45201" s="374"/>
      <c r="CV45201" s="376"/>
    </row>
    <row r="45202" spans="1:100">
      <c r="A45202" s="374"/>
      <c r="C45202" s="374"/>
      <c r="CV45202" s="376"/>
    </row>
    <row r="45203" spans="1:100">
      <c r="A45203" s="374"/>
      <c r="C45203" s="374"/>
      <c r="CV45203" s="376"/>
    </row>
    <row r="45204" spans="1:100">
      <c r="A45204" s="374"/>
      <c r="C45204" s="374"/>
      <c r="CV45204" s="376"/>
    </row>
    <row r="45205" spans="1:100">
      <c r="A45205" s="374"/>
      <c r="C45205" s="374"/>
      <c r="CV45205" s="376"/>
    </row>
    <row r="45206" spans="1:100">
      <c r="A45206" s="374"/>
      <c r="C45206" s="374"/>
      <c r="CV45206" s="376"/>
    </row>
    <row r="45207" spans="1:100">
      <c r="A45207" s="374"/>
      <c r="C45207" s="374"/>
      <c r="CV45207" s="376"/>
    </row>
    <row r="45208" spans="1:100">
      <c r="A45208" s="374"/>
      <c r="C45208" s="374"/>
      <c r="CV45208" s="376"/>
    </row>
    <row r="45209" spans="1:100">
      <c r="A45209" s="374"/>
      <c r="C45209" s="374"/>
      <c r="CV45209" s="376"/>
    </row>
    <row r="45210" spans="1:100">
      <c r="A45210" s="374"/>
      <c r="C45210" s="374"/>
      <c r="CV45210" s="376"/>
    </row>
    <row r="45211" spans="1:100">
      <c r="A45211" s="374"/>
      <c r="C45211" s="374"/>
      <c r="CV45211" s="376"/>
    </row>
    <row r="45212" spans="1:100">
      <c r="A45212" s="374"/>
      <c r="C45212" s="374"/>
      <c r="CV45212" s="376"/>
    </row>
    <row r="45213" spans="1:100">
      <c r="A45213" s="374"/>
      <c r="C45213" s="374"/>
      <c r="CV45213" s="376"/>
    </row>
    <row r="45214" spans="1:100">
      <c r="A45214" s="374"/>
      <c r="C45214" s="374"/>
      <c r="CV45214" s="376"/>
    </row>
    <row r="45215" spans="1:100">
      <c r="A45215" s="374"/>
      <c r="C45215" s="374"/>
      <c r="CV45215" s="376"/>
    </row>
    <row r="45216" spans="1:100">
      <c r="A45216" s="374"/>
      <c r="C45216" s="374"/>
      <c r="CV45216" s="376"/>
    </row>
    <row r="45217" spans="1:100">
      <c r="A45217" s="374"/>
      <c r="C45217" s="374"/>
      <c r="CV45217" s="376"/>
    </row>
    <row r="45218" spans="1:100">
      <c r="A45218" s="374"/>
      <c r="C45218" s="374"/>
      <c r="CV45218" s="376"/>
    </row>
    <row r="45219" spans="1:100">
      <c r="A45219" s="374"/>
      <c r="C45219" s="374"/>
      <c r="CV45219" s="376"/>
    </row>
    <row r="45220" spans="1:100">
      <c r="A45220" s="374"/>
      <c r="C45220" s="374"/>
      <c r="CV45220" s="376"/>
    </row>
    <row r="45221" spans="1:100">
      <c r="A45221" s="374"/>
      <c r="C45221" s="374"/>
      <c r="CV45221" s="376"/>
    </row>
    <row r="45222" spans="1:100">
      <c r="A45222" s="374"/>
      <c r="C45222" s="374"/>
      <c r="CV45222" s="376"/>
    </row>
    <row r="45223" spans="1:100">
      <c r="A45223" s="374"/>
      <c r="C45223" s="374"/>
      <c r="CV45223" s="376"/>
    </row>
    <row r="45224" spans="1:100">
      <c r="A45224" s="374"/>
      <c r="C45224" s="374"/>
      <c r="CV45224" s="376"/>
    </row>
    <row r="45225" spans="1:100">
      <c r="A45225" s="374"/>
      <c r="C45225" s="374"/>
      <c r="CV45225" s="376"/>
    </row>
    <row r="45226" spans="1:100">
      <c r="A45226" s="374"/>
      <c r="C45226" s="374"/>
      <c r="CV45226" s="376"/>
    </row>
    <row r="45227" spans="1:100">
      <c r="A45227" s="374"/>
      <c r="C45227" s="374"/>
      <c r="CV45227" s="376"/>
    </row>
    <row r="45228" spans="1:100">
      <c r="A45228" s="374"/>
      <c r="C45228" s="374"/>
      <c r="CV45228" s="376"/>
    </row>
    <row r="45229" spans="1:100">
      <c r="A45229" s="374"/>
      <c r="C45229" s="374"/>
      <c r="CV45229" s="376"/>
    </row>
    <row r="45230" spans="1:100">
      <c r="A45230" s="374"/>
      <c r="C45230" s="374"/>
      <c r="CV45230" s="376"/>
    </row>
    <row r="45231" spans="1:100">
      <c r="A45231" s="374"/>
      <c r="C45231" s="374"/>
      <c r="CV45231" s="376"/>
    </row>
    <row r="45232" spans="1:100">
      <c r="A45232" s="374"/>
      <c r="C45232" s="374"/>
      <c r="CV45232" s="376"/>
    </row>
    <row r="45233" spans="1:100">
      <c r="A45233" s="374"/>
      <c r="C45233" s="374"/>
      <c r="CV45233" s="376"/>
    </row>
    <row r="45234" spans="1:100">
      <c r="A45234" s="374"/>
      <c r="C45234" s="374"/>
      <c r="CV45234" s="376"/>
    </row>
    <row r="45235" spans="1:100">
      <c r="A45235" s="374"/>
      <c r="C45235" s="374"/>
      <c r="CV45235" s="376"/>
    </row>
    <row r="45236" spans="1:100">
      <c r="A45236" s="374"/>
      <c r="C45236" s="374"/>
      <c r="CV45236" s="376"/>
    </row>
    <row r="45237" spans="1:100">
      <c r="A45237" s="374"/>
      <c r="C45237" s="374"/>
      <c r="CV45237" s="376"/>
    </row>
    <row r="45238" spans="1:100">
      <c r="A45238" s="374"/>
      <c r="C45238" s="374"/>
      <c r="CV45238" s="376"/>
    </row>
    <row r="45239" spans="1:100">
      <c r="A45239" s="374"/>
      <c r="C45239" s="374"/>
      <c r="CV45239" s="376"/>
    </row>
    <row r="45240" spans="1:100">
      <c r="A45240" s="374"/>
      <c r="C45240" s="374"/>
      <c r="CV45240" s="376"/>
    </row>
    <row r="45241" spans="1:100">
      <c r="A45241" s="374"/>
      <c r="C45241" s="374"/>
      <c r="CV45241" s="376"/>
    </row>
    <row r="45242" spans="1:100">
      <c r="A45242" s="374"/>
      <c r="C45242" s="374"/>
      <c r="CV45242" s="376"/>
    </row>
    <row r="45243" spans="1:100">
      <c r="A45243" s="374"/>
      <c r="C45243" s="374"/>
      <c r="CV45243" s="376"/>
    </row>
    <row r="45244" spans="1:100">
      <c r="A45244" s="374"/>
      <c r="C45244" s="374"/>
      <c r="CV45244" s="376"/>
    </row>
    <row r="45245" spans="1:100">
      <c r="A45245" s="374"/>
      <c r="C45245" s="374"/>
      <c r="CV45245" s="376"/>
    </row>
    <row r="45246" spans="1:100">
      <c r="A45246" s="374"/>
      <c r="C45246" s="374"/>
      <c r="CV45246" s="376"/>
    </row>
    <row r="45247" spans="1:100">
      <c r="A45247" s="374"/>
      <c r="C45247" s="374"/>
      <c r="CV45247" s="376"/>
    </row>
    <row r="45248" spans="1:100">
      <c r="A45248" s="374"/>
      <c r="C45248" s="374"/>
      <c r="CV45248" s="376"/>
    </row>
    <row r="45249" spans="1:100">
      <c r="A45249" s="374"/>
      <c r="C45249" s="374"/>
      <c r="CV45249" s="376"/>
    </row>
    <row r="45250" spans="1:100">
      <c r="A45250" s="374"/>
      <c r="C45250" s="374"/>
      <c r="CV45250" s="376"/>
    </row>
    <row r="45251" spans="1:100">
      <c r="A45251" s="374"/>
      <c r="C45251" s="374"/>
      <c r="CV45251" s="376"/>
    </row>
    <row r="45252" spans="1:100">
      <c r="A45252" s="374"/>
      <c r="C45252" s="374"/>
      <c r="CV45252" s="376"/>
    </row>
    <row r="45253" spans="1:100">
      <c r="A45253" s="374"/>
      <c r="C45253" s="374"/>
      <c r="CV45253" s="376"/>
    </row>
    <row r="45254" spans="1:100">
      <c r="A45254" s="374"/>
      <c r="C45254" s="374"/>
      <c r="CV45254" s="376"/>
    </row>
    <row r="45255" spans="1:100">
      <c r="A45255" s="374"/>
      <c r="C45255" s="374"/>
      <c r="CV45255" s="376"/>
    </row>
    <row r="45256" spans="1:100">
      <c r="A45256" s="374"/>
      <c r="C45256" s="374"/>
      <c r="CV45256" s="376"/>
    </row>
    <row r="45257" spans="1:100">
      <c r="A45257" s="374"/>
      <c r="C45257" s="374"/>
      <c r="CV45257" s="376"/>
    </row>
    <row r="45258" spans="1:100">
      <c r="A45258" s="374"/>
      <c r="C45258" s="374"/>
      <c r="CV45258" s="376"/>
    </row>
    <row r="45259" spans="1:100">
      <c r="A45259" s="374"/>
      <c r="C45259" s="374"/>
      <c r="CV45259" s="376"/>
    </row>
    <row r="45260" spans="1:100">
      <c r="A45260" s="374"/>
      <c r="C45260" s="374"/>
      <c r="CV45260" s="376"/>
    </row>
    <row r="45261" spans="1:100">
      <c r="A45261" s="374"/>
      <c r="C45261" s="374"/>
      <c r="CV45261" s="376"/>
    </row>
    <row r="45262" spans="1:100">
      <c r="A45262" s="374"/>
      <c r="C45262" s="374"/>
      <c r="CV45262" s="376"/>
    </row>
    <row r="45263" spans="1:100">
      <c r="A45263" s="374"/>
      <c r="C45263" s="374"/>
      <c r="CV45263" s="376"/>
    </row>
    <row r="45264" spans="1:100">
      <c r="A45264" s="374"/>
      <c r="C45264" s="374"/>
      <c r="CV45264" s="376"/>
    </row>
    <row r="45265" spans="1:100">
      <c r="A45265" s="374"/>
      <c r="C45265" s="374"/>
      <c r="CV45265" s="376"/>
    </row>
    <row r="45266" spans="1:100">
      <c r="A45266" s="374"/>
      <c r="C45266" s="374"/>
      <c r="CV45266" s="376"/>
    </row>
    <row r="45267" spans="1:100">
      <c r="A45267" s="374"/>
      <c r="C45267" s="374"/>
      <c r="CV45267" s="376"/>
    </row>
    <row r="45268" spans="1:100">
      <c r="A45268" s="374"/>
      <c r="C45268" s="374"/>
      <c r="CV45268" s="376"/>
    </row>
    <row r="45269" spans="1:100">
      <c r="A45269" s="374"/>
      <c r="C45269" s="374"/>
      <c r="CV45269" s="376"/>
    </row>
    <row r="45270" spans="1:100">
      <c r="A45270" s="374"/>
      <c r="C45270" s="374"/>
      <c r="CV45270" s="376"/>
    </row>
    <row r="45271" spans="1:100">
      <c r="A45271" s="374"/>
      <c r="C45271" s="374"/>
      <c r="CV45271" s="376"/>
    </row>
    <row r="45272" spans="1:100">
      <c r="A45272" s="374"/>
      <c r="C45272" s="374"/>
      <c r="CV45272" s="376"/>
    </row>
    <row r="45273" spans="1:100">
      <c r="A45273" s="374"/>
      <c r="C45273" s="374"/>
      <c r="CV45273" s="376"/>
    </row>
    <row r="45274" spans="1:100">
      <c r="A45274" s="374"/>
      <c r="C45274" s="374"/>
      <c r="CV45274" s="376"/>
    </row>
    <row r="45275" spans="1:100">
      <c r="A45275" s="374"/>
      <c r="C45275" s="374"/>
      <c r="CV45275" s="376"/>
    </row>
    <row r="45276" spans="1:100">
      <c r="A45276" s="374"/>
      <c r="C45276" s="374"/>
      <c r="CV45276" s="376"/>
    </row>
    <row r="45277" spans="1:100">
      <c r="A45277" s="374"/>
      <c r="C45277" s="374"/>
      <c r="CV45277" s="376"/>
    </row>
    <row r="45278" spans="1:100">
      <c r="A45278" s="374"/>
      <c r="C45278" s="374"/>
      <c r="CV45278" s="376"/>
    </row>
    <row r="45279" spans="1:100">
      <c r="A45279" s="374"/>
      <c r="C45279" s="374"/>
      <c r="CV45279" s="376"/>
    </row>
    <row r="45280" spans="1:100">
      <c r="A45280" s="374"/>
      <c r="C45280" s="374"/>
      <c r="CV45280" s="376"/>
    </row>
    <row r="45281" spans="1:100">
      <c r="A45281" s="374"/>
      <c r="C45281" s="374"/>
      <c r="CV45281" s="376"/>
    </row>
    <row r="45282" spans="1:100">
      <c r="A45282" s="374"/>
      <c r="C45282" s="374"/>
      <c r="CV45282" s="376"/>
    </row>
    <row r="45283" spans="1:100">
      <c r="A45283" s="374"/>
      <c r="C45283" s="374"/>
      <c r="CV45283" s="376"/>
    </row>
    <row r="45284" spans="1:100">
      <c r="A45284" s="374"/>
      <c r="C45284" s="374"/>
      <c r="CV45284" s="376"/>
    </row>
    <row r="45285" spans="1:100">
      <c r="A45285" s="374"/>
      <c r="C45285" s="374"/>
      <c r="CV45285" s="376"/>
    </row>
    <row r="45286" spans="1:100">
      <c r="A45286" s="374"/>
      <c r="C45286" s="374"/>
      <c r="CV45286" s="376"/>
    </row>
    <row r="45287" spans="1:100">
      <c r="A45287" s="374"/>
      <c r="C45287" s="374"/>
      <c r="CV45287" s="376"/>
    </row>
    <row r="45288" spans="1:100">
      <c r="A45288" s="374"/>
      <c r="C45288" s="374"/>
      <c r="CV45288" s="376"/>
    </row>
    <row r="45289" spans="1:100">
      <c r="A45289" s="374"/>
      <c r="C45289" s="374"/>
      <c r="CV45289" s="376"/>
    </row>
    <row r="45290" spans="1:100">
      <c r="A45290" s="374"/>
      <c r="C45290" s="374"/>
      <c r="CV45290" s="376"/>
    </row>
    <row r="45291" spans="1:100">
      <c r="A45291" s="374"/>
      <c r="C45291" s="374"/>
      <c r="CV45291" s="376"/>
    </row>
    <row r="45292" spans="1:100">
      <c r="A45292" s="374"/>
      <c r="C45292" s="374"/>
      <c r="CV45292" s="376"/>
    </row>
    <row r="45293" spans="1:100">
      <c r="A45293" s="374"/>
      <c r="C45293" s="374"/>
      <c r="CV45293" s="376"/>
    </row>
    <row r="45294" spans="1:100">
      <c r="A45294" s="374"/>
      <c r="C45294" s="374"/>
      <c r="CV45294" s="376"/>
    </row>
    <row r="45295" spans="1:100">
      <c r="A45295" s="374"/>
      <c r="C45295" s="374"/>
      <c r="CV45295" s="376"/>
    </row>
    <row r="45296" spans="1:100">
      <c r="A45296" s="374"/>
      <c r="C45296" s="374"/>
      <c r="CV45296" s="376"/>
    </row>
    <row r="45297" spans="1:100">
      <c r="A45297" s="374"/>
      <c r="C45297" s="374"/>
      <c r="CV45297" s="376"/>
    </row>
    <row r="45298" spans="1:100">
      <c r="A45298" s="374"/>
      <c r="C45298" s="374"/>
      <c r="CV45298" s="376"/>
    </row>
    <row r="45299" spans="1:100">
      <c r="A45299" s="374"/>
      <c r="C45299" s="374"/>
      <c r="CV45299" s="376"/>
    </row>
    <row r="45300" spans="1:100">
      <c r="A45300" s="374"/>
      <c r="C45300" s="374"/>
      <c r="CV45300" s="376"/>
    </row>
    <row r="45301" spans="1:100">
      <c r="A45301" s="374"/>
      <c r="C45301" s="374"/>
      <c r="CV45301" s="376"/>
    </row>
    <row r="45302" spans="1:100">
      <c r="A45302" s="374"/>
      <c r="C45302" s="374"/>
      <c r="CV45302" s="376"/>
    </row>
    <row r="45303" spans="1:100">
      <c r="A45303" s="374"/>
      <c r="C45303" s="374"/>
      <c r="CV45303" s="376"/>
    </row>
    <row r="45304" spans="1:100">
      <c r="A45304" s="374"/>
      <c r="C45304" s="374"/>
      <c r="CV45304" s="376"/>
    </row>
    <row r="45305" spans="1:100">
      <c r="A45305" s="374"/>
      <c r="C45305" s="374"/>
      <c r="CV45305" s="376"/>
    </row>
    <row r="45306" spans="1:100">
      <c r="A45306" s="374"/>
      <c r="C45306" s="374"/>
      <c r="CV45306" s="376"/>
    </row>
    <row r="45307" spans="1:100">
      <c r="A45307" s="374"/>
      <c r="C45307" s="374"/>
      <c r="CV45307" s="376"/>
    </row>
    <row r="45308" spans="1:100">
      <c r="A45308" s="374"/>
      <c r="C45308" s="374"/>
      <c r="CV45308" s="376"/>
    </row>
    <row r="45309" spans="1:100">
      <c r="A45309" s="374"/>
      <c r="C45309" s="374"/>
      <c r="CV45309" s="376"/>
    </row>
    <row r="45310" spans="1:100">
      <c r="A45310" s="374"/>
      <c r="C45310" s="374"/>
      <c r="CV45310" s="376"/>
    </row>
    <row r="45311" spans="1:100">
      <c r="A45311" s="374"/>
      <c r="C45311" s="374"/>
      <c r="CV45311" s="376"/>
    </row>
    <row r="45312" spans="1:100">
      <c r="A45312" s="374"/>
      <c r="C45312" s="374"/>
      <c r="CV45312" s="376"/>
    </row>
    <row r="45313" spans="1:100">
      <c r="A45313" s="374"/>
      <c r="C45313" s="374"/>
      <c r="CV45313" s="376"/>
    </row>
    <row r="45314" spans="1:100">
      <c r="A45314" s="374"/>
      <c r="C45314" s="374"/>
      <c r="CV45314" s="376"/>
    </row>
    <row r="45315" spans="1:100">
      <c r="A45315" s="374"/>
      <c r="C45315" s="374"/>
      <c r="CV45315" s="376"/>
    </row>
    <row r="45316" spans="1:100">
      <c r="A45316" s="374"/>
      <c r="C45316" s="374"/>
      <c r="CV45316" s="376"/>
    </row>
    <row r="45317" spans="1:100">
      <c r="A45317" s="374"/>
      <c r="C45317" s="374"/>
      <c r="CV45317" s="376"/>
    </row>
    <row r="45318" spans="1:100">
      <c r="A45318" s="374"/>
      <c r="C45318" s="374"/>
      <c r="CV45318" s="376"/>
    </row>
    <row r="45319" spans="1:100">
      <c r="A45319" s="374"/>
      <c r="C45319" s="374"/>
      <c r="CV45319" s="376"/>
    </row>
    <row r="45320" spans="1:100">
      <c r="A45320" s="374"/>
      <c r="C45320" s="374"/>
      <c r="CV45320" s="376"/>
    </row>
    <row r="45321" spans="1:100">
      <c r="A45321" s="374"/>
      <c r="C45321" s="374"/>
      <c r="CV45321" s="376"/>
    </row>
    <row r="45322" spans="1:100">
      <c r="A45322" s="374"/>
      <c r="C45322" s="374"/>
      <c r="CV45322" s="376"/>
    </row>
    <row r="45323" spans="1:100">
      <c r="A45323" s="374"/>
      <c r="C45323" s="374"/>
      <c r="CV45323" s="376"/>
    </row>
    <row r="45324" spans="1:100">
      <c r="A45324" s="374"/>
      <c r="C45324" s="374"/>
      <c r="CV45324" s="376"/>
    </row>
    <row r="45325" spans="1:100">
      <c r="A45325" s="374"/>
      <c r="C45325" s="374"/>
      <c r="CV45325" s="376"/>
    </row>
    <row r="45326" spans="1:100">
      <c r="A45326" s="374"/>
      <c r="C45326" s="374"/>
      <c r="CV45326" s="376"/>
    </row>
    <row r="45327" spans="1:100">
      <c r="A45327" s="374"/>
      <c r="C45327" s="374"/>
      <c r="CV45327" s="376"/>
    </row>
    <row r="45328" spans="1:100">
      <c r="A45328" s="374"/>
      <c r="C45328" s="374"/>
      <c r="CV45328" s="376"/>
    </row>
    <row r="45329" spans="1:100">
      <c r="A45329" s="374"/>
      <c r="C45329" s="374"/>
      <c r="CV45329" s="376"/>
    </row>
    <row r="45330" spans="1:100">
      <c r="A45330" s="374"/>
      <c r="C45330" s="374"/>
      <c r="CV45330" s="376"/>
    </row>
    <row r="45331" spans="1:100">
      <c r="A45331" s="374"/>
      <c r="C45331" s="374"/>
      <c r="CV45331" s="376"/>
    </row>
    <row r="45332" spans="1:100">
      <c r="A45332" s="374"/>
      <c r="C45332" s="374"/>
      <c r="CV45332" s="376"/>
    </row>
    <row r="45333" spans="1:100">
      <c r="A45333" s="374"/>
      <c r="C45333" s="374"/>
      <c r="CV45333" s="376"/>
    </row>
    <row r="45334" spans="1:100">
      <c r="A45334" s="374"/>
      <c r="C45334" s="374"/>
      <c r="CV45334" s="376"/>
    </row>
    <row r="45335" spans="1:100">
      <c r="A45335" s="374"/>
      <c r="C45335" s="374"/>
      <c r="CV45335" s="376"/>
    </row>
    <row r="45336" spans="1:100">
      <c r="A45336" s="374"/>
      <c r="C45336" s="374"/>
      <c r="CV45336" s="376"/>
    </row>
    <row r="45337" spans="1:100">
      <c r="A45337" s="374"/>
      <c r="C45337" s="374"/>
      <c r="CV45337" s="376"/>
    </row>
    <row r="45338" spans="1:100">
      <c r="A45338" s="374"/>
      <c r="C45338" s="374"/>
      <c r="CV45338" s="376"/>
    </row>
    <row r="45339" spans="1:100">
      <c r="A45339" s="374"/>
      <c r="C45339" s="374"/>
      <c r="CV45339" s="376"/>
    </row>
    <row r="45340" spans="1:100">
      <c r="A45340" s="374"/>
      <c r="C45340" s="374"/>
      <c r="CV45340" s="376"/>
    </row>
    <row r="45341" spans="1:100">
      <c r="A45341" s="374"/>
      <c r="C45341" s="374"/>
      <c r="CV45341" s="376"/>
    </row>
    <row r="45342" spans="1:100">
      <c r="A45342" s="374"/>
      <c r="C45342" s="374"/>
      <c r="CV45342" s="376"/>
    </row>
    <row r="45343" spans="1:100">
      <c r="A45343" s="374"/>
      <c r="C45343" s="374"/>
      <c r="CV45343" s="376"/>
    </row>
    <row r="45344" spans="1:100">
      <c r="A45344" s="374"/>
      <c r="C45344" s="374"/>
      <c r="CV45344" s="376"/>
    </row>
    <row r="45345" spans="1:100">
      <c r="A45345" s="374"/>
      <c r="C45345" s="374"/>
      <c r="CV45345" s="376"/>
    </row>
    <row r="45346" spans="1:100">
      <c r="A45346" s="374"/>
      <c r="C45346" s="374"/>
      <c r="CV45346" s="376"/>
    </row>
    <row r="45347" spans="1:100">
      <c r="A45347" s="374"/>
      <c r="C45347" s="374"/>
      <c r="CV45347" s="376"/>
    </row>
    <row r="45348" spans="1:100">
      <c r="A45348" s="374"/>
      <c r="C45348" s="374"/>
      <c r="CV45348" s="376"/>
    </row>
    <row r="45349" spans="1:100">
      <c r="A45349" s="374"/>
      <c r="C45349" s="374"/>
      <c r="CV45349" s="376"/>
    </row>
    <row r="45350" spans="1:100">
      <c r="A45350" s="374"/>
      <c r="C45350" s="374"/>
      <c r="CV45350" s="376"/>
    </row>
    <row r="45351" spans="1:100">
      <c r="A45351" s="374"/>
      <c r="C45351" s="374"/>
      <c r="CV45351" s="376"/>
    </row>
    <row r="45352" spans="1:100">
      <c r="A45352" s="374"/>
      <c r="C45352" s="374"/>
      <c r="CV45352" s="376"/>
    </row>
    <row r="45353" spans="1:100">
      <c r="A45353" s="374"/>
      <c r="C45353" s="374"/>
      <c r="CV45353" s="376"/>
    </row>
    <row r="45354" spans="1:100">
      <c r="A45354" s="374"/>
      <c r="C45354" s="374"/>
      <c r="CV45354" s="376"/>
    </row>
    <row r="45355" spans="1:100">
      <c r="A45355" s="374"/>
      <c r="C45355" s="374"/>
      <c r="CV45355" s="376"/>
    </row>
    <row r="45356" spans="1:100">
      <c r="A45356" s="374"/>
      <c r="C45356" s="374"/>
      <c r="CV45356" s="376"/>
    </row>
    <row r="45357" spans="1:100">
      <c r="A45357" s="374"/>
      <c r="C45357" s="374"/>
      <c r="CV45357" s="376"/>
    </row>
    <row r="45358" spans="1:100">
      <c r="A45358" s="374"/>
      <c r="C45358" s="374"/>
      <c r="CV45358" s="376"/>
    </row>
    <row r="45359" spans="1:100">
      <c r="A45359" s="374"/>
      <c r="C45359" s="374"/>
      <c r="CV45359" s="376"/>
    </row>
    <row r="45360" spans="1:100">
      <c r="A45360" s="374"/>
      <c r="C45360" s="374"/>
      <c r="CV45360" s="376"/>
    </row>
    <row r="45361" spans="1:100">
      <c r="A45361" s="374"/>
      <c r="C45361" s="374"/>
      <c r="CV45361" s="376"/>
    </row>
    <row r="45362" spans="1:100">
      <c r="A45362" s="374"/>
      <c r="C45362" s="374"/>
      <c r="CV45362" s="376"/>
    </row>
    <row r="45363" spans="1:100">
      <c r="A45363" s="374"/>
      <c r="C45363" s="374"/>
      <c r="CV45363" s="376"/>
    </row>
    <row r="45364" spans="1:100">
      <c r="A45364" s="374"/>
      <c r="C45364" s="374"/>
      <c r="CV45364" s="376"/>
    </row>
    <row r="45365" spans="1:100">
      <c r="A45365" s="374"/>
      <c r="C45365" s="374"/>
      <c r="CV45365" s="376"/>
    </row>
    <row r="45366" spans="1:100">
      <c r="A45366" s="374"/>
      <c r="C45366" s="374"/>
      <c r="CV45366" s="376"/>
    </row>
    <row r="45367" spans="1:100">
      <c r="A45367" s="374"/>
      <c r="C45367" s="374"/>
      <c r="CV45367" s="376"/>
    </row>
    <row r="45368" spans="1:100">
      <c r="A45368" s="374"/>
      <c r="C45368" s="374"/>
      <c r="CV45368" s="376"/>
    </row>
    <row r="45369" spans="1:100">
      <c r="A45369" s="374"/>
      <c r="C45369" s="374"/>
      <c r="CV45369" s="376"/>
    </row>
    <row r="45370" spans="1:100">
      <c r="A45370" s="374"/>
      <c r="C45370" s="374"/>
      <c r="CV45370" s="376"/>
    </row>
    <row r="45371" spans="1:100">
      <c r="A45371" s="374"/>
      <c r="C45371" s="374"/>
      <c r="CV45371" s="376"/>
    </row>
    <row r="45372" spans="1:100">
      <c r="A45372" s="374"/>
      <c r="C45372" s="374"/>
      <c r="CV45372" s="376"/>
    </row>
    <row r="45373" spans="1:100">
      <c r="A45373" s="374"/>
      <c r="C45373" s="374"/>
      <c r="CV45373" s="376"/>
    </row>
    <row r="45374" spans="1:100">
      <c r="A45374" s="374"/>
      <c r="C45374" s="374"/>
      <c r="CV45374" s="376"/>
    </row>
    <row r="45375" spans="1:100">
      <c r="A45375" s="374"/>
      <c r="C45375" s="374"/>
      <c r="CV45375" s="376"/>
    </row>
    <row r="45376" spans="1:100">
      <c r="A45376" s="374"/>
      <c r="C45376" s="374"/>
      <c r="CV45376" s="376"/>
    </row>
    <row r="45377" spans="1:100">
      <c r="A45377" s="374"/>
      <c r="C45377" s="374"/>
      <c r="CV45377" s="376"/>
    </row>
    <row r="45378" spans="1:100">
      <c r="A45378" s="374"/>
      <c r="C45378" s="374"/>
      <c r="CV45378" s="376"/>
    </row>
    <row r="45379" spans="1:100">
      <c r="A45379" s="374"/>
      <c r="C45379" s="374"/>
      <c r="CV45379" s="376"/>
    </row>
    <row r="45380" spans="1:100">
      <c r="A45380" s="374"/>
      <c r="C45380" s="374"/>
      <c r="CV45380" s="376"/>
    </row>
    <row r="45381" spans="1:100">
      <c r="A45381" s="374"/>
      <c r="C45381" s="374"/>
      <c r="CV45381" s="376"/>
    </row>
    <row r="45382" spans="1:100">
      <c r="A45382" s="374"/>
      <c r="C45382" s="374"/>
      <c r="CV45382" s="376"/>
    </row>
    <row r="45383" spans="1:100">
      <c r="A45383" s="374"/>
      <c r="C45383" s="374"/>
      <c r="CV45383" s="376"/>
    </row>
    <row r="45384" spans="1:100">
      <c r="A45384" s="374"/>
      <c r="C45384" s="374"/>
      <c r="CV45384" s="376"/>
    </row>
    <row r="45385" spans="1:100">
      <c r="A45385" s="374"/>
      <c r="C45385" s="374"/>
      <c r="CV45385" s="376"/>
    </row>
    <row r="45386" spans="1:100">
      <c r="A45386" s="374"/>
      <c r="C45386" s="374"/>
      <c r="CV45386" s="376"/>
    </row>
    <row r="45387" spans="1:100">
      <c r="A45387" s="374"/>
      <c r="C45387" s="374"/>
      <c r="CV45387" s="376"/>
    </row>
    <row r="45388" spans="1:100">
      <c r="A45388" s="374"/>
      <c r="C45388" s="374"/>
      <c r="CV45388" s="376"/>
    </row>
    <row r="45389" spans="1:100">
      <c r="A45389" s="374"/>
      <c r="C45389" s="374"/>
      <c r="CV45389" s="376"/>
    </row>
    <row r="45390" spans="1:100">
      <c r="A45390" s="374"/>
      <c r="C45390" s="374"/>
      <c r="CV45390" s="376"/>
    </row>
    <row r="45391" spans="1:100">
      <c r="A45391" s="374"/>
      <c r="C45391" s="374"/>
      <c r="CV45391" s="376"/>
    </row>
    <row r="45392" spans="1:100">
      <c r="A45392" s="374"/>
      <c r="C45392" s="374"/>
      <c r="CV45392" s="376"/>
    </row>
    <row r="45393" spans="1:100">
      <c r="A45393" s="374"/>
      <c r="C45393" s="374"/>
      <c r="CV45393" s="376"/>
    </row>
    <row r="45394" spans="1:100">
      <c r="A45394" s="374"/>
      <c r="C45394" s="374"/>
      <c r="CV45394" s="376"/>
    </row>
    <row r="45395" spans="1:100">
      <c r="A45395" s="374"/>
      <c r="C45395" s="374"/>
      <c r="CV45395" s="376"/>
    </row>
    <row r="45396" spans="1:100">
      <c r="A45396" s="374"/>
      <c r="C45396" s="374"/>
      <c r="CV45396" s="376"/>
    </row>
    <row r="45397" spans="1:100">
      <c r="A45397" s="374"/>
      <c r="C45397" s="374"/>
      <c r="CV45397" s="376"/>
    </row>
    <row r="45398" spans="1:100">
      <c r="A45398" s="374"/>
      <c r="C45398" s="374"/>
      <c r="CV45398" s="376"/>
    </row>
    <row r="45399" spans="1:100">
      <c r="A45399" s="374"/>
      <c r="C45399" s="374"/>
      <c r="CV45399" s="376"/>
    </row>
    <row r="45400" spans="1:100">
      <c r="A45400" s="374"/>
      <c r="C45400" s="374"/>
      <c r="CV45400" s="376"/>
    </row>
    <row r="45401" spans="1:100">
      <c r="A45401" s="374"/>
      <c r="C45401" s="374"/>
      <c r="CV45401" s="376"/>
    </row>
    <row r="45402" spans="1:100">
      <c r="A45402" s="374"/>
      <c r="C45402" s="374"/>
      <c r="CV45402" s="376"/>
    </row>
    <row r="45403" spans="1:100">
      <c r="A45403" s="374"/>
      <c r="C45403" s="374"/>
      <c r="CV45403" s="376"/>
    </row>
    <row r="45404" spans="1:100">
      <c r="A45404" s="374"/>
      <c r="C45404" s="374"/>
      <c r="CV45404" s="376"/>
    </row>
    <row r="45405" spans="1:100">
      <c r="A45405" s="374"/>
      <c r="C45405" s="374"/>
      <c r="CV45405" s="376"/>
    </row>
    <row r="45406" spans="1:100">
      <c r="A45406" s="374"/>
      <c r="C45406" s="374"/>
      <c r="CV45406" s="376"/>
    </row>
    <row r="45407" spans="1:100">
      <c r="A45407" s="374"/>
      <c r="C45407" s="374"/>
      <c r="CV45407" s="376"/>
    </row>
    <row r="45408" spans="1:100">
      <c r="A45408" s="374"/>
      <c r="C45408" s="374"/>
      <c r="CV45408" s="376"/>
    </row>
    <row r="45409" spans="1:100">
      <c r="A45409" s="374"/>
      <c r="C45409" s="374"/>
      <c r="CV45409" s="376"/>
    </row>
    <row r="45410" spans="1:100">
      <c r="A45410" s="374"/>
      <c r="C45410" s="374"/>
      <c r="CV45410" s="376"/>
    </row>
    <row r="45411" spans="1:100">
      <c r="A45411" s="374"/>
      <c r="C45411" s="374"/>
      <c r="CV45411" s="376"/>
    </row>
    <row r="45412" spans="1:100">
      <c r="A45412" s="374"/>
      <c r="C45412" s="374"/>
      <c r="CV45412" s="376"/>
    </row>
    <row r="45413" spans="1:100">
      <c r="A45413" s="374"/>
      <c r="C45413" s="374"/>
      <c r="CV45413" s="376"/>
    </row>
    <row r="45414" spans="1:100">
      <c r="A45414" s="374"/>
      <c r="C45414" s="374"/>
      <c r="CV45414" s="376"/>
    </row>
    <row r="45415" spans="1:100">
      <c r="A45415" s="374"/>
      <c r="C45415" s="374"/>
      <c r="CV45415" s="376"/>
    </row>
    <row r="45416" spans="1:100">
      <c r="A45416" s="374"/>
      <c r="C45416" s="374"/>
      <c r="CV45416" s="376"/>
    </row>
    <row r="45417" spans="1:100">
      <c r="A45417" s="374"/>
      <c r="C45417" s="374"/>
      <c r="CV45417" s="376"/>
    </row>
    <row r="45418" spans="1:100">
      <c r="A45418" s="374"/>
      <c r="C45418" s="374"/>
      <c r="CV45418" s="376"/>
    </row>
    <row r="45419" spans="1:100">
      <c r="A45419" s="374"/>
      <c r="C45419" s="374"/>
      <c r="CV45419" s="376"/>
    </row>
    <row r="45420" spans="1:100">
      <c r="A45420" s="374"/>
      <c r="C45420" s="374"/>
      <c r="CV45420" s="376"/>
    </row>
    <row r="45421" spans="1:100">
      <c r="A45421" s="374"/>
      <c r="C45421" s="374"/>
      <c r="CV45421" s="376"/>
    </row>
    <row r="45422" spans="1:100">
      <c r="A45422" s="374"/>
      <c r="C45422" s="374"/>
      <c r="CV45422" s="376"/>
    </row>
    <row r="45423" spans="1:100">
      <c r="A45423" s="374"/>
      <c r="C45423" s="374"/>
      <c r="CV45423" s="376"/>
    </row>
    <row r="45424" spans="1:100">
      <c r="A45424" s="374"/>
      <c r="C45424" s="374"/>
      <c r="CV45424" s="376"/>
    </row>
    <row r="45425" spans="1:100">
      <c r="A45425" s="374"/>
      <c r="C45425" s="374"/>
      <c r="CV45425" s="376"/>
    </row>
    <row r="45426" spans="1:100">
      <c r="A45426" s="374"/>
      <c r="C45426" s="374"/>
      <c r="CV45426" s="376"/>
    </row>
    <row r="45427" spans="1:100">
      <c r="A45427" s="374"/>
      <c r="C45427" s="374"/>
      <c r="CV45427" s="376"/>
    </row>
    <row r="45428" spans="1:100">
      <c r="A45428" s="374"/>
      <c r="C45428" s="374"/>
      <c r="CV45428" s="376"/>
    </row>
    <row r="45429" spans="1:100">
      <c r="A45429" s="374"/>
      <c r="C45429" s="374"/>
      <c r="CV45429" s="376"/>
    </row>
    <row r="45430" spans="1:100">
      <c r="A45430" s="374"/>
      <c r="C45430" s="374"/>
      <c r="CV45430" s="376"/>
    </row>
    <row r="45431" spans="1:100">
      <c r="A45431" s="374"/>
      <c r="C45431" s="374"/>
      <c r="CV45431" s="376"/>
    </row>
    <row r="45432" spans="1:100">
      <c r="A45432" s="374"/>
      <c r="C45432" s="374"/>
      <c r="CV45432" s="376"/>
    </row>
    <row r="45433" spans="1:100">
      <c r="A45433" s="374"/>
      <c r="C45433" s="374"/>
      <c r="CV45433" s="376"/>
    </row>
    <row r="45434" spans="1:100">
      <c r="A45434" s="374"/>
      <c r="C45434" s="374"/>
      <c r="CV45434" s="376"/>
    </row>
    <row r="45435" spans="1:100">
      <c r="A45435" s="374"/>
      <c r="C45435" s="374"/>
      <c r="CV45435" s="376"/>
    </row>
    <row r="45436" spans="1:100">
      <c r="A45436" s="374"/>
      <c r="C45436" s="374"/>
      <c r="CV45436" s="376"/>
    </row>
    <row r="45437" spans="1:100">
      <c r="A45437" s="374"/>
      <c r="C45437" s="374"/>
      <c r="CV45437" s="376"/>
    </row>
    <row r="45438" spans="1:100">
      <c r="A45438" s="374"/>
      <c r="C45438" s="374"/>
      <c r="CV45438" s="376"/>
    </row>
    <row r="45439" spans="1:100">
      <c r="A45439" s="374"/>
      <c r="C45439" s="374"/>
      <c r="CV45439" s="376"/>
    </row>
    <row r="45440" spans="1:100">
      <c r="A45440" s="374"/>
      <c r="C45440" s="374"/>
      <c r="CV45440" s="376"/>
    </row>
    <row r="45441" spans="1:100">
      <c r="A45441" s="374"/>
      <c r="C45441" s="374"/>
      <c r="CV45441" s="376"/>
    </row>
    <row r="45442" spans="1:100">
      <c r="A45442" s="374"/>
      <c r="C45442" s="374"/>
      <c r="CV45442" s="376"/>
    </row>
    <row r="45443" spans="1:100">
      <c r="A45443" s="374"/>
      <c r="C45443" s="374"/>
      <c r="CV45443" s="376"/>
    </row>
    <row r="45444" spans="1:100">
      <c r="A45444" s="374"/>
      <c r="C45444" s="374"/>
      <c r="CV45444" s="376"/>
    </row>
    <row r="45445" spans="1:100">
      <c r="A45445" s="374"/>
      <c r="C45445" s="374"/>
      <c r="CV45445" s="376"/>
    </row>
    <row r="45446" spans="1:100">
      <c r="A45446" s="374"/>
      <c r="C45446" s="374"/>
      <c r="CV45446" s="376"/>
    </row>
    <row r="45447" spans="1:100">
      <c r="A45447" s="374"/>
      <c r="C45447" s="374"/>
      <c r="CV45447" s="376"/>
    </row>
    <row r="45448" spans="1:100">
      <c r="A45448" s="374"/>
      <c r="C45448" s="374"/>
      <c r="CV45448" s="376"/>
    </row>
    <row r="45449" spans="1:100">
      <c r="A45449" s="374"/>
      <c r="C45449" s="374"/>
      <c r="CV45449" s="376"/>
    </row>
    <row r="45450" spans="1:100">
      <c r="A45450" s="374"/>
      <c r="C45450" s="374"/>
      <c r="CV45450" s="376"/>
    </row>
    <row r="45451" spans="1:100">
      <c r="A45451" s="374"/>
      <c r="C45451" s="374"/>
      <c r="CV45451" s="376"/>
    </row>
    <row r="45452" spans="1:100">
      <c r="A45452" s="374"/>
      <c r="C45452" s="374"/>
      <c r="CV45452" s="376"/>
    </row>
    <row r="45453" spans="1:100">
      <c r="A45453" s="374"/>
      <c r="C45453" s="374"/>
      <c r="CV45453" s="376"/>
    </row>
    <row r="45454" spans="1:100">
      <c r="A45454" s="374"/>
      <c r="C45454" s="374"/>
      <c r="CV45454" s="376"/>
    </row>
    <row r="45455" spans="1:100">
      <c r="A45455" s="374"/>
      <c r="C45455" s="374"/>
      <c r="CV45455" s="376"/>
    </row>
    <row r="45456" spans="1:100">
      <c r="A45456" s="374"/>
      <c r="C45456" s="374"/>
      <c r="CV45456" s="376"/>
    </row>
    <row r="45457" spans="1:100">
      <c r="A45457" s="374"/>
      <c r="C45457" s="374"/>
      <c r="CV45457" s="376"/>
    </row>
    <row r="45458" spans="1:100">
      <c r="A45458" s="374"/>
      <c r="C45458" s="374"/>
      <c r="CV45458" s="376"/>
    </row>
    <row r="45459" spans="1:100">
      <c r="A45459" s="374"/>
      <c r="C45459" s="374"/>
      <c r="CV45459" s="376"/>
    </row>
    <row r="45460" spans="1:100">
      <c r="A45460" s="374"/>
      <c r="C45460" s="374"/>
      <c r="CV45460" s="376"/>
    </row>
    <row r="45461" spans="1:100">
      <c r="A45461" s="374"/>
      <c r="C45461" s="374"/>
      <c r="CV45461" s="376"/>
    </row>
    <row r="45462" spans="1:100">
      <c r="A45462" s="374"/>
      <c r="C45462" s="374"/>
      <c r="CV45462" s="376"/>
    </row>
    <row r="45463" spans="1:100">
      <c r="A45463" s="374"/>
      <c r="C45463" s="374"/>
      <c r="CV45463" s="376"/>
    </row>
    <row r="45464" spans="1:100">
      <c r="A45464" s="374"/>
      <c r="C45464" s="374"/>
      <c r="CV45464" s="376"/>
    </row>
    <row r="45465" spans="1:100">
      <c r="A45465" s="374"/>
      <c r="C45465" s="374"/>
      <c r="CV45465" s="376"/>
    </row>
    <row r="45466" spans="1:100">
      <c r="A45466" s="374"/>
      <c r="C45466" s="374"/>
      <c r="CV45466" s="376"/>
    </row>
    <row r="45467" spans="1:100">
      <c r="A45467" s="374"/>
      <c r="C45467" s="374"/>
      <c r="CV45467" s="376"/>
    </row>
    <row r="45468" spans="1:100">
      <c r="A45468" s="374"/>
      <c r="C45468" s="374"/>
      <c r="CV45468" s="376"/>
    </row>
    <row r="45469" spans="1:100">
      <c r="A45469" s="374"/>
      <c r="C45469" s="374"/>
      <c r="CV45469" s="376"/>
    </row>
    <row r="45470" spans="1:100">
      <c r="A45470" s="374"/>
      <c r="C45470" s="374"/>
      <c r="CV45470" s="376"/>
    </row>
    <row r="45471" spans="1:100">
      <c r="A45471" s="374"/>
      <c r="C45471" s="374"/>
      <c r="CV45471" s="376"/>
    </row>
    <row r="45472" spans="1:100">
      <c r="A45472" s="374"/>
      <c r="C45472" s="374"/>
      <c r="CV45472" s="376"/>
    </row>
    <row r="45473" spans="1:100">
      <c r="A45473" s="374"/>
      <c r="C45473" s="374"/>
      <c r="CV45473" s="376"/>
    </row>
    <row r="45474" spans="1:100">
      <c r="A45474" s="374"/>
      <c r="C45474" s="374"/>
      <c r="CV45474" s="376"/>
    </row>
    <row r="45475" spans="1:100">
      <c r="A45475" s="374"/>
      <c r="C45475" s="374"/>
      <c r="CV45475" s="376"/>
    </row>
    <row r="45476" spans="1:100">
      <c r="A45476" s="374"/>
      <c r="C45476" s="374"/>
      <c r="CV45476" s="376"/>
    </row>
    <row r="45477" spans="1:100">
      <c r="A45477" s="374"/>
      <c r="C45477" s="374"/>
      <c r="CV45477" s="376"/>
    </row>
    <row r="45478" spans="1:100">
      <c r="A45478" s="374"/>
      <c r="C45478" s="374"/>
      <c r="CV45478" s="376"/>
    </row>
    <row r="45479" spans="1:100">
      <c r="A45479" s="374"/>
      <c r="C45479" s="374"/>
      <c r="CV45479" s="376"/>
    </row>
    <row r="45480" spans="1:100">
      <c r="A45480" s="374"/>
      <c r="C45480" s="374"/>
      <c r="CV45480" s="376"/>
    </row>
    <row r="45481" spans="1:100">
      <c r="A45481" s="374"/>
      <c r="C45481" s="374"/>
      <c r="CV45481" s="376"/>
    </row>
    <row r="45482" spans="1:100">
      <c r="A45482" s="374"/>
      <c r="C45482" s="374"/>
      <c r="CV45482" s="376"/>
    </row>
    <row r="45483" spans="1:100">
      <c r="A45483" s="374"/>
      <c r="C45483" s="374"/>
      <c r="CV45483" s="376"/>
    </row>
    <row r="45484" spans="1:100">
      <c r="A45484" s="374"/>
      <c r="C45484" s="374"/>
      <c r="CV45484" s="376"/>
    </row>
    <row r="45485" spans="1:100">
      <c r="A45485" s="374"/>
      <c r="C45485" s="374"/>
      <c r="CV45485" s="376"/>
    </row>
    <row r="45486" spans="1:100">
      <c r="A45486" s="374"/>
      <c r="C45486" s="374"/>
      <c r="CV45486" s="376"/>
    </row>
    <row r="45487" spans="1:100">
      <c r="A45487" s="374"/>
      <c r="C45487" s="374"/>
      <c r="CV45487" s="376"/>
    </row>
    <row r="45488" spans="1:100">
      <c r="A45488" s="374"/>
      <c r="C45488" s="374"/>
      <c r="CV45488" s="376"/>
    </row>
    <row r="45489" spans="1:100">
      <c r="A45489" s="374"/>
      <c r="C45489" s="374"/>
      <c r="CV45489" s="376"/>
    </row>
    <row r="45490" spans="1:100">
      <c r="A45490" s="374"/>
      <c r="C45490" s="374"/>
      <c r="CV45490" s="376"/>
    </row>
    <row r="45491" spans="1:100">
      <c r="A45491" s="374"/>
      <c r="C45491" s="374"/>
      <c r="CV45491" s="376"/>
    </row>
    <row r="45492" spans="1:100">
      <c r="A45492" s="374"/>
      <c r="C45492" s="374"/>
      <c r="CV45492" s="376"/>
    </row>
    <row r="45493" spans="1:100">
      <c r="A45493" s="374"/>
      <c r="C45493" s="374"/>
      <c r="CV45493" s="376"/>
    </row>
    <row r="45494" spans="1:100">
      <c r="A45494" s="374"/>
      <c r="C45494" s="374"/>
      <c r="CV45494" s="376"/>
    </row>
    <row r="45495" spans="1:100">
      <c r="A45495" s="374"/>
      <c r="C45495" s="374"/>
      <c r="CV45495" s="376"/>
    </row>
    <row r="45496" spans="1:100">
      <c r="A45496" s="374"/>
      <c r="C45496" s="374"/>
      <c r="CV45496" s="376"/>
    </row>
    <row r="45497" spans="1:100">
      <c r="A45497" s="374"/>
      <c r="C45497" s="374"/>
      <c r="CV45497" s="376"/>
    </row>
    <row r="45498" spans="1:100">
      <c r="A45498" s="374"/>
      <c r="C45498" s="374"/>
      <c r="CV45498" s="376"/>
    </row>
    <row r="45499" spans="1:100">
      <c r="A45499" s="374"/>
      <c r="C45499" s="374"/>
      <c r="CV45499" s="376"/>
    </row>
    <row r="45500" spans="1:100">
      <c r="A45500" s="374"/>
      <c r="C45500" s="374"/>
      <c r="CV45500" s="376"/>
    </row>
    <row r="45501" spans="1:100">
      <c r="A45501" s="374"/>
      <c r="C45501" s="374"/>
      <c r="CV45501" s="376"/>
    </row>
    <row r="45502" spans="1:100">
      <c r="A45502" s="374"/>
      <c r="C45502" s="374"/>
      <c r="CV45502" s="376"/>
    </row>
    <row r="45503" spans="1:100">
      <c r="A45503" s="374"/>
      <c r="C45503" s="374"/>
      <c r="CV45503" s="376"/>
    </row>
    <row r="45504" spans="1:100">
      <c r="A45504" s="374"/>
      <c r="C45504" s="374"/>
      <c r="CV45504" s="376"/>
    </row>
    <row r="45505" spans="1:100">
      <c r="A45505" s="374"/>
      <c r="C45505" s="374"/>
      <c r="CV45505" s="376"/>
    </row>
    <row r="45506" spans="1:100">
      <c r="A45506" s="374"/>
      <c r="C45506" s="374"/>
      <c r="CV45506" s="376"/>
    </row>
    <row r="45507" spans="1:100">
      <c r="A45507" s="374"/>
      <c r="C45507" s="374"/>
      <c r="CV45507" s="376"/>
    </row>
    <row r="45508" spans="1:100">
      <c r="A45508" s="374"/>
      <c r="C45508" s="374"/>
      <c r="CV45508" s="376"/>
    </row>
    <row r="45509" spans="1:100">
      <c r="A45509" s="374"/>
      <c r="C45509" s="374"/>
      <c r="CV45509" s="376"/>
    </row>
    <row r="45510" spans="1:100">
      <c r="A45510" s="374"/>
      <c r="C45510" s="374"/>
      <c r="CV45510" s="376"/>
    </row>
    <row r="45511" spans="1:100">
      <c r="A45511" s="374"/>
      <c r="C45511" s="374"/>
      <c r="CV45511" s="376"/>
    </row>
    <row r="45512" spans="1:100">
      <c r="A45512" s="374"/>
      <c r="C45512" s="374"/>
      <c r="CV45512" s="376"/>
    </row>
    <row r="45513" spans="1:100">
      <c r="A45513" s="374"/>
      <c r="C45513" s="374"/>
      <c r="CV45513" s="376"/>
    </row>
    <row r="45514" spans="1:100">
      <c r="A45514" s="374"/>
      <c r="C45514" s="374"/>
      <c r="CV45514" s="376"/>
    </row>
    <row r="45515" spans="1:100">
      <c r="A45515" s="374"/>
      <c r="C45515" s="374"/>
      <c r="CV45515" s="376"/>
    </row>
    <row r="45516" spans="1:100">
      <c r="A45516" s="374"/>
      <c r="C45516" s="374"/>
      <c r="CV45516" s="376"/>
    </row>
    <row r="45517" spans="1:100">
      <c r="A45517" s="374"/>
      <c r="C45517" s="374"/>
      <c r="CV45517" s="376"/>
    </row>
    <row r="45518" spans="1:100">
      <c r="A45518" s="374"/>
      <c r="C45518" s="374"/>
      <c r="CV45518" s="376"/>
    </row>
    <row r="45519" spans="1:100">
      <c r="A45519" s="374"/>
      <c r="C45519" s="374"/>
      <c r="CV45519" s="376"/>
    </row>
    <row r="45520" spans="1:100">
      <c r="A45520" s="374"/>
      <c r="C45520" s="374"/>
      <c r="CV45520" s="376"/>
    </row>
    <row r="45521" spans="1:100">
      <c r="A45521" s="374"/>
      <c r="C45521" s="374"/>
      <c r="CV45521" s="376"/>
    </row>
    <row r="45522" spans="1:100">
      <c r="A45522" s="374"/>
      <c r="C45522" s="374"/>
      <c r="CV45522" s="376"/>
    </row>
    <row r="45523" spans="1:100">
      <c r="A45523" s="374"/>
      <c r="C45523" s="374"/>
      <c r="CV45523" s="376"/>
    </row>
    <row r="45524" spans="1:100">
      <c r="A45524" s="374"/>
      <c r="C45524" s="374"/>
      <c r="CV45524" s="376"/>
    </row>
    <row r="45525" spans="1:100">
      <c r="A45525" s="374"/>
      <c r="C45525" s="374"/>
      <c r="CV45525" s="376"/>
    </row>
    <row r="45526" spans="1:100">
      <c r="A45526" s="374"/>
      <c r="C45526" s="374"/>
      <c r="CV45526" s="376"/>
    </row>
    <row r="45527" spans="1:100">
      <c r="A45527" s="374"/>
      <c r="C45527" s="374"/>
      <c r="CV45527" s="376"/>
    </row>
    <row r="45528" spans="1:100">
      <c r="A45528" s="374"/>
      <c r="C45528" s="374"/>
      <c r="CV45528" s="376"/>
    </row>
    <row r="45529" spans="1:100">
      <c r="A45529" s="374"/>
      <c r="C45529" s="374"/>
      <c r="CV45529" s="376"/>
    </row>
    <row r="45530" spans="1:100">
      <c r="A45530" s="374"/>
      <c r="C45530" s="374"/>
      <c r="CV45530" s="376"/>
    </row>
    <row r="45531" spans="1:100">
      <c r="A45531" s="374"/>
      <c r="C45531" s="374"/>
      <c r="CV45531" s="376"/>
    </row>
    <row r="45532" spans="1:100">
      <c r="A45532" s="374"/>
      <c r="C45532" s="374"/>
      <c r="CV45532" s="376"/>
    </row>
    <row r="45533" spans="1:100">
      <c r="A45533" s="374"/>
      <c r="C45533" s="374"/>
      <c r="CV45533" s="376"/>
    </row>
    <row r="45534" spans="1:100">
      <c r="A45534" s="374"/>
      <c r="C45534" s="374"/>
      <c r="CV45534" s="376"/>
    </row>
    <row r="45535" spans="1:100">
      <c r="A45535" s="374"/>
      <c r="C45535" s="374"/>
      <c r="CV45535" s="376"/>
    </row>
    <row r="45536" spans="1:100">
      <c r="A45536" s="374"/>
      <c r="C45536" s="374"/>
      <c r="CV45536" s="376"/>
    </row>
    <row r="45537" spans="1:100">
      <c r="A45537" s="374"/>
      <c r="C45537" s="374"/>
      <c r="CV45537" s="376"/>
    </row>
    <row r="45538" spans="1:100">
      <c r="A45538" s="374"/>
      <c r="C45538" s="374"/>
      <c r="CV45538" s="376"/>
    </row>
    <row r="45539" spans="1:100">
      <c r="A45539" s="374"/>
      <c r="C45539" s="374"/>
      <c r="CV45539" s="376"/>
    </row>
    <row r="45540" spans="1:100">
      <c r="A45540" s="374"/>
      <c r="C45540" s="374"/>
      <c r="CV45540" s="376"/>
    </row>
    <row r="45541" spans="1:100">
      <c r="A45541" s="374"/>
      <c r="C45541" s="374"/>
      <c r="CV45541" s="376"/>
    </row>
    <row r="45542" spans="1:100">
      <c r="A45542" s="374"/>
      <c r="C45542" s="374"/>
      <c r="CV45542" s="376"/>
    </row>
    <row r="45543" spans="1:100">
      <c r="A45543" s="374"/>
      <c r="C45543" s="374"/>
      <c r="CV45543" s="376"/>
    </row>
    <row r="45544" spans="1:100">
      <c r="A45544" s="374"/>
      <c r="C45544" s="374"/>
      <c r="CV45544" s="376"/>
    </row>
    <row r="45545" spans="1:100">
      <c r="A45545" s="374"/>
      <c r="C45545" s="374"/>
      <c r="CV45545" s="376"/>
    </row>
    <row r="45546" spans="1:100">
      <c r="A45546" s="374"/>
      <c r="C45546" s="374"/>
      <c r="CV45546" s="376"/>
    </row>
    <row r="45547" spans="1:100">
      <c r="A45547" s="374"/>
      <c r="C45547" s="374"/>
      <c r="CV45547" s="376"/>
    </row>
    <row r="45548" spans="1:100">
      <c r="A45548" s="374"/>
      <c r="C45548" s="374"/>
      <c r="CV45548" s="376"/>
    </row>
    <row r="45549" spans="1:100">
      <c r="A45549" s="374"/>
      <c r="C45549" s="374"/>
      <c r="CV45549" s="376"/>
    </row>
    <row r="45550" spans="1:100">
      <c r="A45550" s="374"/>
      <c r="C45550" s="374"/>
      <c r="CV45550" s="376"/>
    </row>
    <row r="45551" spans="1:100">
      <c r="A45551" s="374"/>
      <c r="C45551" s="374"/>
      <c r="CV45551" s="376"/>
    </row>
    <row r="45552" spans="1:100">
      <c r="A45552" s="374"/>
      <c r="C45552" s="374"/>
      <c r="CV45552" s="376"/>
    </row>
    <row r="45553" spans="1:100">
      <c r="A45553" s="374"/>
      <c r="C45553" s="374"/>
      <c r="CV45553" s="376"/>
    </row>
    <row r="45554" spans="1:100">
      <c r="A45554" s="374"/>
      <c r="C45554" s="374"/>
      <c r="CV45554" s="376"/>
    </row>
    <row r="45555" spans="1:100">
      <c r="A45555" s="374"/>
      <c r="C45555" s="374"/>
      <c r="CV45555" s="376"/>
    </row>
    <row r="45556" spans="1:100">
      <c r="A45556" s="374"/>
      <c r="C45556" s="374"/>
      <c r="CV45556" s="376"/>
    </row>
    <row r="45557" spans="1:100">
      <c r="A45557" s="374"/>
      <c r="C45557" s="374"/>
      <c r="CV45557" s="376"/>
    </row>
    <row r="45558" spans="1:100">
      <c r="A45558" s="374"/>
      <c r="C45558" s="374"/>
      <c r="CV45558" s="376"/>
    </row>
    <row r="45559" spans="1:100">
      <c r="A45559" s="374"/>
      <c r="C45559" s="374"/>
      <c r="CV45559" s="376"/>
    </row>
    <row r="45560" spans="1:100">
      <c r="A45560" s="374"/>
      <c r="C45560" s="374"/>
      <c r="CV45560" s="376"/>
    </row>
    <row r="45561" spans="1:100">
      <c r="A45561" s="374"/>
      <c r="C45561" s="374"/>
      <c r="CV45561" s="376"/>
    </row>
    <row r="45562" spans="1:100">
      <c r="A45562" s="374"/>
      <c r="C45562" s="374"/>
      <c r="CV45562" s="376"/>
    </row>
    <row r="45563" spans="1:100">
      <c r="A45563" s="374"/>
      <c r="C45563" s="374"/>
      <c r="CV45563" s="376"/>
    </row>
    <row r="45564" spans="1:100">
      <c r="A45564" s="374"/>
      <c r="C45564" s="374"/>
      <c r="CV45564" s="376"/>
    </row>
    <row r="45565" spans="1:100">
      <c r="A45565" s="374"/>
      <c r="C45565" s="374"/>
      <c r="CV45565" s="376"/>
    </row>
    <row r="45566" spans="1:100">
      <c r="A45566" s="374"/>
      <c r="C45566" s="374"/>
      <c r="CV45566" s="376"/>
    </row>
    <row r="45567" spans="1:100">
      <c r="A45567" s="374"/>
      <c r="C45567" s="374"/>
      <c r="CV45567" s="376"/>
    </row>
    <row r="45568" spans="1:100">
      <c r="A45568" s="374"/>
      <c r="C45568" s="374"/>
      <c r="CV45568" s="376"/>
    </row>
    <row r="45569" spans="1:100">
      <c r="A45569" s="374"/>
      <c r="C45569" s="374"/>
      <c r="CV45569" s="376"/>
    </row>
    <row r="45570" spans="1:100">
      <c r="A45570" s="374"/>
      <c r="C45570" s="374"/>
      <c r="CV45570" s="376"/>
    </row>
    <row r="45571" spans="1:100">
      <c r="A45571" s="374"/>
      <c r="C45571" s="374"/>
      <c r="CV45571" s="376"/>
    </row>
    <row r="45572" spans="1:100">
      <c r="A45572" s="374"/>
      <c r="C45572" s="374"/>
      <c r="CV45572" s="376"/>
    </row>
    <row r="45573" spans="1:100">
      <c r="A45573" s="374"/>
      <c r="C45573" s="374"/>
      <c r="CV45573" s="376"/>
    </row>
    <row r="45574" spans="1:100">
      <c r="A45574" s="374"/>
      <c r="C45574" s="374"/>
      <c r="CV45574" s="376"/>
    </row>
    <row r="45575" spans="1:100">
      <c r="A45575" s="374"/>
      <c r="C45575" s="374"/>
      <c r="CV45575" s="376"/>
    </row>
    <row r="45576" spans="1:100">
      <c r="A45576" s="374"/>
      <c r="C45576" s="374"/>
      <c r="CV45576" s="376"/>
    </row>
    <row r="45577" spans="1:100">
      <c r="A45577" s="374"/>
      <c r="C45577" s="374"/>
      <c r="CV45577" s="376"/>
    </row>
    <row r="45578" spans="1:100">
      <c r="A45578" s="374"/>
      <c r="C45578" s="374"/>
      <c r="CV45578" s="376"/>
    </row>
    <row r="45579" spans="1:100">
      <c r="A45579" s="374"/>
      <c r="C45579" s="374"/>
      <c r="CV45579" s="376"/>
    </row>
    <row r="45580" spans="1:100">
      <c r="A45580" s="374"/>
      <c r="C45580" s="374"/>
      <c r="CV45580" s="376"/>
    </row>
    <row r="45581" spans="1:100">
      <c r="A45581" s="374"/>
      <c r="C45581" s="374"/>
      <c r="CV45581" s="376"/>
    </row>
    <row r="45582" spans="1:100">
      <c r="A45582" s="374"/>
      <c r="C45582" s="374"/>
      <c r="CV45582" s="376"/>
    </row>
    <row r="45583" spans="1:100">
      <c r="A45583" s="374"/>
      <c r="C45583" s="374"/>
      <c r="CV45583" s="376"/>
    </row>
    <row r="45584" spans="1:100">
      <c r="A45584" s="374"/>
      <c r="C45584" s="374"/>
      <c r="CV45584" s="376"/>
    </row>
    <row r="45585" spans="1:100">
      <c r="A45585" s="374"/>
      <c r="C45585" s="374"/>
      <c r="CV45585" s="376"/>
    </row>
    <row r="45586" spans="1:100">
      <c r="A45586" s="374"/>
      <c r="C45586" s="374"/>
      <c r="CV45586" s="376"/>
    </row>
    <row r="45587" spans="1:100">
      <c r="A45587" s="374"/>
      <c r="C45587" s="374"/>
      <c r="CV45587" s="376"/>
    </row>
    <row r="45588" spans="1:100">
      <c r="A45588" s="374"/>
      <c r="C45588" s="374"/>
      <c r="CV45588" s="376"/>
    </row>
    <row r="45589" spans="1:100">
      <c r="A45589" s="374"/>
      <c r="C45589" s="374"/>
      <c r="CV45589" s="376"/>
    </row>
    <row r="45590" spans="1:100">
      <c r="A45590" s="374"/>
      <c r="C45590" s="374"/>
      <c r="CV45590" s="376"/>
    </row>
    <row r="45591" spans="1:100">
      <c r="A45591" s="374"/>
      <c r="C45591" s="374"/>
      <c r="CV45591" s="376"/>
    </row>
    <row r="45592" spans="1:100">
      <c r="A45592" s="374"/>
      <c r="C45592" s="374"/>
      <c r="CV45592" s="376"/>
    </row>
    <row r="45593" spans="1:100">
      <c r="A45593" s="374"/>
      <c r="C45593" s="374"/>
      <c r="CV45593" s="376"/>
    </row>
    <row r="45594" spans="1:100">
      <c r="A45594" s="374"/>
      <c r="C45594" s="374"/>
      <c r="CV45594" s="376"/>
    </row>
    <row r="45595" spans="1:100">
      <c r="A45595" s="374"/>
      <c r="C45595" s="374"/>
      <c r="CV45595" s="376"/>
    </row>
    <row r="45596" spans="1:100">
      <c r="A45596" s="374"/>
      <c r="C45596" s="374"/>
      <c r="CV45596" s="376"/>
    </row>
    <row r="45597" spans="1:100">
      <c r="A45597" s="374"/>
      <c r="C45597" s="374"/>
      <c r="CV45597" s="376"/>
    </row>
    <row r="45598" spans="1:100">
      <c r="A45598" s="374"/>
      <c r="C45598" s="374"/>
      <c r="CV45598" s="376"/>
    </row>
    <row r="45599" spans="1:100">
      <c r="A45599" s="374"/>
      <c r="C45599" s="374"/>
      <c r="CV45599" s="376"/>
    </row>
    <row r="45600" spans="1:100">
      <c r="A45600" s="374"/>
      <c r="C45600" s="374"/>
      <c r="CV45600" s="376"/>
    </row>
    <row r="45601" spans="1:100">
      <c r="A45601" s="374"/>
      <c r="C45601" s="374"/>
      <c r="CV45601" s="376"/>
    </row>
    <row r="45602" spans="1:100">
      <c r="A45602" s="374"/>
      <c r="C45602" s="374"/>
      <c r="CV45602" s="376"/>
    </row>
    <row r="45603" spans="1:100">
      <c r="A45603" s="374"/>
      <c r="C45603" s="374"/>
      <c r="CV45603" s="376"/>
    </row>
    <row r="45604" spans="1:100">
      <c r="A45604" s="374"/>
      <c r="C45604" s="374"/>
      <c r="CV45604" s="376"/>
    </row>
    <row r="45605" spans="1:100">
      <c r="A45605" s="374"/>
      <c r="C45605" s="374"/>
      <c r="CV45605" s="376"/>
    </row>
    <row r="45606" spans="1:100">
      <c r="A45606" s="374"/>
      <c r="C45606" s="374"/>
      <c r="CV45606" s="376"/>
    </row>
    <row r="45607" spans="1:100">
      <c r="A45607" s="374"/>
      <c r="C45607" s="374"/>
      <c r="CV45607" s="376"/>
    </row>
    <row r="45608" spans="1:100">
      <c r="A45608" s="374"/>
      <c r="C45608" s="374"/>
      <c r="CV45608" s="376"/>
    </row>
    <row r="45609" spans="1:100">
      <c r="A45609" s="374"/>
      <c r="C45609" s="374"/>
      <c r="CV45609" s="376"/>
    </row>
    <row r="45610" spans="1:100">
      <c r="A45610" s="374"/>
      <c r="C45610" s="374"/>
      <c r="CV45610" s="376"/>
    </row>
    <row r="45611" spans="1:100">
      <c r="A45611" s="374"/>
      <c r="C45611" s="374"/>
      <c r="CV45611" s="376"/>
    </row>
    <row r="45612" spans="1:100">
      <c r="A45612" s="374"/>
      <c r="C45612" s="374"/>
      <c r="CV45612" s="376"/>
    </row>
    <row r="45613" spans="1:100">
      <c r="A45613" s="374"/>
      <c r="C45613" s="374"/>
      <c r="CV45613" s="376"/>
    </row>
    <row r="45614" spans="1:100">
      <c r="A45614" s="374"/>
      <c r="C45614" s="374"/>
      <c r="CV45614" s="376"/>
    </row>
    <row r="45615" spans="1:100">
      <c r="A45615" s="374"/>
      <c r="C45615" s="374"/>
      <c r="CV45615" s="376"/>
    </row>
    <row r="45616" spans="1:100">
      <c r="A45616" s="374"/>
      <c r="C45616" s="374"/>
      <c r="CV45616" s="376"/>
    </row>
    <row r="45617" spans="1:100">
      <c r="A45617" s="374"/>
      <c r="C45617" s="374"/>
      <c r="CV45617" s="376"/>
    </row>
    <row r="45618" spans="1:100">
      <c r="A45618" s="374"/>
      <c r="C45618" s="374"/>
      <c r="CV45618" s="376"/>
    </row>
    <row r="45619" spans="1:100">
      <c r="A45619" s="374"/>
      <c r="C45619" s="374"/>
      <c r="CV45619" s="376"/>
    </row>
    <row r="45620" spans="1:100">
      <c r="A45620" s="374"/>
      <c r="C45620" s="374"/>
      <c r="CV45620" s="376"/>
    </row>
    <row r="45621" spans="1:100">
      <c r="A45621" s="374"/>
      <c r="C45621" s="374"/>
      <c r="CV45621" s="376"/>
    </row>
    <row r="45622" spans="1:100">
      <c r="A45622" s="374"/>
      <c r="C45622" s="374"/>
      <c r="CV45622" s="376"/>
    </row>
    <row r="45623" spans="1:100">
      <c r="A45623" s="374"/>
      <c r="C45623" s="374"/>
      <c r="CV45623" s="376"/>
    </row>
    <row r="45624" spans="1:100">
      <c r="A45624" s="374"/>
      <c r="C45624" s="374"/>
      <c r="CV45624" s="376"/>
    </row>
    <row r="45625" spans="1:100">
      <c r="A45625" s="374"/>
      <c r="C45625" s="374"/>
      <c r="CV45625" s="376"/>
    </row>
    <row r="45626" spans="1:100">
      <c r="A45626" s="374"/>
      <c r="C45626" s="374"/>
      <c r="CV45626" s="376"/>
    </row>
    <row r="45627" spans="1:100">
      <c r="A45627" s="374"/>
      <c r="C45627" s="374"/>
      <c r="CV45627" s="376"/>
    </row>
    <row r="45628" spans="1:100">
      <c r="A45628" s="374"/>
      <c r="C45628" s="374"/>
      <c r="CV45628" s="376"/>
    </row>
    <row r="45629" spans="1:100">
      <c r="A45629" s="374"/>
      <c r="C45629" s="374"/>
      <c r="CV45629" s="376"/>
    </row>
    <row r="45630" spans="1:100">
      <c r="A45630" s="374"/>
      <c r="C45630" s="374"/>
      <c r="CV45630" s="376"/>
    </row>
    <row r="45631" spans="1:100">
      <c r="A45631" s="374"/>
      <c r="C45631" s="374"/>
      <c r="CV45631" s="376"/>
    </row>
    <row r="45632" spans="1:100">
      <c r="A45632" s="374"/>
      <c r="C45632" s="374"/>
      <c r="CV45632" s="376"/>
    </row>
    <row r="45633" spans="1:100">
      <c r="A45633" s="374"/>
      <c r="C45633" s="374"/>
      <c r="CV45633" s="376"/>
    </row>
    <row r="45634" spans="1:100">
      <c r="A45634" s="374"/>
      <c r="C45634" s="374"/>
      <c r="CV45634" s="376"/>
    </row>
    <row r="45635" spans="1:100">
      <c r="A45635" s="374"/>
      <c r="C45635" s="374"/>
      <c r="CV45635" s="376"/>
    </row>
    <row r="45636" spans="1:100">
      <c r="A45636" s="374"/>
      <c r="C45636" s="374"/>
      <c r="CV45636" s="376"/>
    </row>
    <row r="45637" spans="1:100">
      <c r="A45637" s="374"/>
      <c r="C45637" s="374"/>
      <c r="CV45637" s="376"/>
    </row>
    <row r="45638" spans="1:100">
      <c r="A45638" s="374"/>
      <c r="C45638" s="374"/>
      <c r="CV45638" s="376"/>
    </row>
    <row r="45639" spans="1:100">
      <c r="A45639" s="374"/>
      <c r="C45639" s="374"/>
      <c r="CV45639" s="376"/>
    </row>
    <row r="45640" spans="1:100">
      <c r="A45640" s="374"/>
      <c r="C45640" s="374"/>
      <c r="CV45640" s="376"/>
    </row>
    <row r="45641" spans="1:100">
      <c r="A45641" s="374"/>
      <c r="C45641" s="374"/>
      <c r="CV45641" s="376"/>
    </row>
    <row r="45642" spans="1:100">
      <c r="A45642" s="374"/>
      <c r="C45642" s="374"/>
      <c r="CV45642" s="376"/>
    </row>
    <row r="45643" spans="1:100">
      <c r="A45643" s="374"/>
      <c r="C45643" s="374"/>
      <c r="CV45643" s="376"/>
    </row>
    <row r="45644" spans="1:100">
      <c r="A45644" s="374"/>
      <c r="C45644" s="374"/>
      <c r="CV45644" s="376"/>
    </row>
    <row r="45645" spans="1:100">
      <c r="A45645" s="374"/>
      <c r="C45645" s="374"/>
      <c r="CV45645" s="376"/>
    </row>
    <row r="45646" spans="1:100">
      <c r="A45646" s="374"/>
      <c r="C45646" s="374"/>
      <c r="CV45646" s="376"/>
    </row>
    <row r="45647" spans="1:100">
      <c r="A45647" s="374"/>
      <c r="C45647" s="374"/>
      <c r="CV45647" s="376"/>
    </row>
    <row r="45648" spans="1:100">
      <c r="A45648" s="374"/>
      <c r="C45648" s="374"/>
      <c r="CV45648" s="376"/>
    </row>
    <row r="45649" spans="1:100">
      <c r="A45649" s="374"/>
      <c r="C45649" s="374"/>
      <c r="CV45649" s="376"/>
    </row>
    <row r="45650" spans="1:100">
      <c r="A45650" s="374"/>
      <c r="C45650" s="374"/>
      <c r="CV45650" s="376"/>
    </row>
    <row r="45651" spans="1:100">
      <c r="A45651" s="374"/>
      <c r="C45651" s="374"/>
      <c r="CV45651" s="376"/>
    </row>
    <row r="45652" spans="1:100">
      <c r="A45652" s="374"/>
      <c r="C45652" s="374"/>
      <c r="CV45652" s="376"/>
    </row>
    <row r="45653" spans="1:100">
      <c r="A45653" s="374"/>
      <c r="C45653" s="374"/>
      <c r="CV45653" s="376"/>
    </row>
    <row r="45654" spans="1:100">
      <c r="A45654" s="374"/>
      <c r="C45654" s="374"/>
      <c r="CV45654" s="376"/>
    </row>
    <row r="45655" spans="1:100">
      <c r="A45655" s="374"/>
      <c r="C45655" s="374"/>
      <c r="CV45655" s="376"/>
    </row>
    <row r="45656" spans="1:100">
      <c r="A45656" s="374"/>
      <c r="C45656" s="374"/>
      <c r="CV45656" s="376"/>
    </row>
    <row r="45657" spans="1:100">
      <c r="A45657" s="374"/>
      <c r="C45657" s="374"/>
      <c r="CV45657" s="376"/>
    </row>
    <row r="45658" spans="1:100">
      <c r="A45658" s="374"/>
      <c r="C45658" s="374"/>
      <c r="CV45658" s="376"/>
    </row>
    <row r="45659" spans="1:100">
      <c r="A45659" s="374"/>
      <c r="C45659" s="374"/>
      <c r="CV45659" s="376"/>
    </row>
    <row r="45660" spans="1:100">
      <c r="A45660" s="374"/>
      <c r="C45660" s="374"/>
      <c r="CV45660" s="376"/>
    </row>
    <row r="45661" spans="1:100">
      <c r="A45661" s="374"/>
      <c r="C45661" s="374"/>
      <c r="CV45661" s="376"/>
    </row>
    <row r="45662" spans="1:100">
      <c r="A45662" s="374"/>
      <c r="C45662" s="374"/>
      <c r="CV45662" s="376"/>
    </row>
    <row r="45663" spans="1:100">
      <c r="A45663" s="374"/>
      <c r="C45663" s="374"/>
      <c r="CV45663" s="376"/>
    </row>
    <row r="45664" spans="1:100">
      <c r="A45664" s="374"/>
      <c r="C45664" s="374"/>
      <c r="CV45664" s="376"/>
    </row>
    <row r="45665" spans="1:100">
      <c r="A45665" s="374"/>
      <c r="C45665" s="374"/>
      <c r="CV45665" s="376"/>
    </row>
    <row r="45666" spans="1:100">
      <c r="A45666" s="374"/>
      <c r="C45666" s="374"/>
      <c r="CV45666" s="376"/>
    </row>
    <row r="45667" spans="1:100">
      <c r="A45667" s="374"/>
      <c r="C45667" s="374"/>
      <c r="CV45667" s="376"/>
    </row>
    <row r="45668" spans="1:100">
      <c r="A45668" s="374"/>
      <c r="C45668" s="374"/>
      <c r="CV45668" s="376"/>
    </row>
    <row r="45669" spans="1:100">
      <c r="A45669" s="374"/>
      <c r="C45669" s="374"/>
      <c r="CV45669" s="376"/>
    </row>
    <row r="45670" spans="1:100">
      <c r="A45670" s="374"/>
      <c r="C45670" s="374"/>
      <c r="CV45670" s="376"/>
    </row>
    <row r="45671" spans="1:100">
      <c r="A45671" s="374"/>
      <c r="C45671" s="374"/>
      <c r="CV45671" s="376"/>
    </row>
    <row r="45672" spans="1:100">
      <c r="A45672" s="374"/>
      <c r="C45672" s="374"/>
      <c r="CV45672" s="376"/>
    </row>
    <row r="45673" spans="1:100">
      <c r="A45673" s="374"/>
      <c r="C45673" s="374"/>
      <c r="CV45673" s="376"/>
    </row>
    <row r="45674" spans="1:100">
      <c r="A45674" s="374"/>
      <c r="C45674" s="374"/>
      <c r="CV45674" s="376"/>
    </row>
    <row r="45675" spans="1:100">
      <c r="A45675" s="374"/>
      <c r="C45675" s="374"/>
      <c r="CV45675" s="376"/>
    </row>
    <row r="45676" spans="1:100">
      <c r="A45676" s="374"/>
      <c r="C45676" s="374"/>
      <c r="CV45676" s="376"/>
    </row>
    <row r="45677" spans="1:100">
      <c r="A45677" s="374"/>
      <c r="C45677" s="374"/>
      <c r="CV45677" s="376"/>
    </row>
    <row r="45678" spans="1:100">
      <c r="A45678" s="374"/>
      <c r="C45678" s="374"/>
      <c r="CV45678" s="376"/>
    </row>
    <row r="45679" spans="1:100">
      <c r="A45679" s="374"/>
      <c r="C45679" s="374"/>
      <c r="CV45679" s="376"/>
    </row>
    <row r="45680" spans="1:100">
      <c r="A45680" s="374"/>
      <c r="C45680" s="374"/>
      <c r="CV45680" s="376"/>
    </row>
    <row r="45681" spans="1:100">
      <c r="A45681" s="374"/>
      <c r="C45681" s="374"/>
      <c r="CV45681" s="376"/>
    </row>
    <row r="45682" spans="1:100">
      <c r="A45682" s="374"/>
      <c r="C45682" s="374"/>
      <c r="CV45682" s="376"/>
    </row>
    <row r="45683" spans="1:100">
      <c r="A45683" s="374"/>
      <c r="C45683" s="374"/>
      <c r="CV45683" s="376"/>
    </row>
    <row r="45684" spans="1:100">
      <c r="A45684" s="374"/>
      <c r="C45684" s="374"/>
      <c r="CV45684" s="376"/>
    </row>
    <row r="45685" spans="1:100">
      <c r="A45685" s="374"/>
      <c r="C45685" s="374"/>
      <c r="CV45685" s="376"/>
    </row>
    <row r="45686" spans="1:100">
      <c r="A45686" s="374"/>
      <c r="C45686" s="374"/>
      <c r="CV45686" s="376"/>
    </row>
    <row r="45687" spans="1:100">
      <c r="A45687" s="374"/>
      <c r="C45687" s="374"/>
      <c r="CV45687" s="376"/>
    </row>
    <row r="45688" spans="1:100">
      <c r="A45688" s="374"/>
      <c r="C45688" s="374"/>
      <c r="CV45688" s="376"/>
    </row>
    <row r="45689" spans="1:100">
      <c r="A45689" s="374"/>
      <c r="C45689" s="374"/>
      <c r="CV45689" s="376"/>
    </row>
    <row r="45690" spans="1:100">
      <c r="A45690" s="374"/>
      <c r="C45690" s="374"/>
      <c r="CV45690" s="376"/>
    </row>
    <row r="45691" spans="1:100">
      <c r="A45691" s="374"/>
      <c r="C45691" s="374"/>
      <c r="CV45691" s="376"/>
    </row>
    <row r="45692" spans="1:100">
      <c r="A45692" s="374"/>
      <c r="C45692" s="374"/>
      <c r="CV45692" s="376"/>
    </row>
    <row r="45693" spans="1:100">
      <c r="A45693" s="374"/>
      <c r="C45693" s="374"/>
      <c r="CV45693" s="376"/>
    </row>
    <row r="45694" spans="1:100">
      <c r="A45694" s="374"/>
      <c r="C45694" s="374"/>
      <c r="CV45694" s="376"/>
    </row>
    <row r="45695" spans="1:100">
      <c r="A45695" s="374"/>
      <c r="C45695" s="374"/>
      <c r="CV45695" s="376"/>
    </row>
    <row r="45696" spans="1:100">
      <c r="A45696" s="374"/>
      <c r="C45696" s="374"/>
      <c r="CV45696" s="376"/>
    </row>
    <row r="45697" spans="1:100">
      <c r="A45697" s="374"/>
      <c r="C45697" s="374"/>
      <c r="CV45697" s="376"/>
    </row>
    <row r="45698" spans="1:100">
      <c r="A45698" s="374"/>
      <c r="C45698" s="374"/>
      <c r="CV45698" s="376"/>
    </row>
    <row r="45699" spans="1:100">
      <c r="A45699" s="374"/>
      <c r="C45699" s="374"/>
      <c r="CV45699" s="376"/>
    </row>
    <row r="45700" spans="1:100">
      <c r="A45700" s="374"/>
      <c r="C45700" s="374"/>
      <c r="CV45700" s="376"/>
    </row>
    <row r="45701" spans="1:100">
      <c r="A45701" s="374"/>
      <c r="C45701" s="374"/>
      <c r="CV45701" s="376"/>
    </row>
    <row r="45702" spans="1:100">
      <c r="A45702" s="374"/>
      <c r="C45702" s="374"/>
      <c r="CV45702" s="376"/>
    </row>
    <row r="45703" spans="1:100">
      <c r="A45703" s="374"/>
      <c r="C45703" s="374"/>
      <c r="CV45703" s="376"/>
    </row>
    <row r="45704" spans="1:100">
      <c r="A45704" s="374"/>
      <c r="C45704" s="374"/>
      <c r="CV45704" s="376"/>
    </row>
    <row r="45705" spans="1:100">
      <c r="A45705" s="374"/>
      <c r="C45705" s="374"/>
      <c r="CV45705" s="376"/>
    </row>
    <row r="45706" spans="1:100">
      <c r="A45706" s="374"/>
      <c r="C45706" s="374"/>
      <c r="CV45706" s="376"/>
    </row>
    <row r="45707" spans="1:100">
      <c r="A45707" s="374"/>
      <c r="C45707" s="374"/>
      <c r="CV45707" s="376"/>
    </row>
    <row r="45708" spans="1:100">
      <c r="A45708" s="374"/>
      <c r="C45708" s="374"/>
      <c r="CV45708" s="376"/>
    </row>
    <row r="45709" spans="1:100">
      <c r="A45709" s="374"/>
      <c r="C45709" s="374"/>
      <c r="CV45709" s="376"/>
    </row>
    <row r="45710" spans="1:100">
      <c r="A45710" s="374"/>
      <c r="C45710" s="374"/>
      <c r="CV45710" s="376"/>
    </row>
    <row r="45711" spans="1:100">
      <c r="A45711" s="374"/>
      <c r="C45711" s="374"/>
      <c r="CV45711" s="376"/>
    </row>
    <row r="45712" spans="1:100">
      <c r="A45712" s="374"/>
      <c r="C45712" s="374"/>
      <c r="CV45712" s="376"/>
    </row>
    <row r="45713" spans="1:100">
      <c r="A45713" s="374"/>
      <c r="C45713" s="374"/>
      <c r="CV45713" s="376"/>
    </row>
    <row r="45714" spans="1:100">
      <c r="A45714" s="374"/>
      <c r="C45714" s="374"/>
      <c r="CV45714" s="376"/>
    </row>
    <row r="45715" spans="1:100">
      <c r="A45715" s="374"/>
      <c r="C45715" s="374"/>
      <c r="CV45715" s="376"/>
    </row>
    <row r="45716" spans="1:100">
      <c r="A45716" s="374"/>
      <c r="C45716" s="374"/>
      <c r="CV45716" s="376"/>
    </row>
    <row r="45717" spans="1:100">
      <c r="A45717" s="374"/>
      <c r="C45717" s="374"/>
      <c r="CV45717" s="376"/>
    </row>
    <row r="45718" spans="1:100">
      <c r="A45718" s="374"/>
      <c r="C45718" s="374"/>
      <c r="CV45718" s="376"/>
    </row>
    <row r="45719" spans="1:100">
      <c r="A45719" s="374"/>
      <c r="C45719" s="374"/>
      <c r="CV45719" s="376"/>
    </row>
    <row r="45720" spans="1:100">
      <c r="A45720" s="374"/>
      <c r="C45720" s="374"/>
      <c r="CV45720" s="376"/>
    </row>
    <row r="45721" spans="1:100">
      <c r="A45721" s="374"/>
      <c r="C45721" s="374"/>
      <c r="CV45721" s="376"/>
    </row>
    <row r="45722" spans="1:100">
      <c r="A45722" s="374"/>
      <c r="C45722" s="374"/>
      <c r="CV45722" s="376"/>
    </row>
    <row r="45723" spans="1:100">
      <c r="A45723" s="374"/>
      <c r="C45723" s="374"/>
      <c r="CV45723" s="376"/>
    </row>
    <row r="45724" spans="1:100">
      <c r="A45724" s="374"/>
      <c r="C45724" s="374"/>
      <c r="CV45724" s="376"/>
    </row>
    <row r="45725" spans="1:100">
      <c r="A45725" s="374"/>
      <c r="C45725" s="374"/>
      <c r="CV45725" s="376"/>
    </row>
    <row r="45726" spans="1:100">
      <c r="A45726" s="374"/>
      <c r="C45726" s="374"/>
      <c r="CV45726" s="376"/>
    </row>
    <row r="45727" spans="1:100">
      <c r="A45727" s="374"/>
      <c r="C45727" s="374"/>
      <c r="CV45727" s="376"/>
    </row>
    <row r="45728" spans="1:100">
      <c r="A45728" s="374"/>
      <c r="C45728" s="374"/>
      <c r="CV45728" s="376"/>
    </row>
    <row r="45729" spans="1:100">
      <c r="A45729" s="374"/>
      <c r="C45729" s="374"/>
      <c r="CV45729" s="376"/>
    </row>
    <row r="45730" spans="1:100">
      <c r="A45730" s="374"/>
      <c r="C45730" s="374"/>
      <c r="CV45730" s="376"/>
    </row>
    <row r="45731" spans="1:100">
      <c r="A45731" s="374"/>
      <c r="C45731" s="374"/>
      <c r="CV45731" s="376"/>
    </row>
    <row r="45732" spans="1:100">
      <c r="A45732" s="374"/>
      <c r="C45732" s="374"/>
      <c r="CV45732" s="376"/>
    </row>
    <row r="45733" spans="1:100">
      <c r="A45733" s="374"/>
      <c r="C45733" s="374"/>
      <c r="CV45733" s="376"/>
    </row>
    <row r="45734" spans="1:100">
      <c r="A45734" s="374"/>
      <c r="C45734" s="374"/>
      <c r="CV45734" s="376"/>
    </row>
    <row r="45735" spans="1:100">
      <c r="A45735" s="374"/>
      <c r="C45735" s="374"/>
      <c r="CV45735" s="376"/>
    </row>
    <row r="45736" spans="1:100">
      <c r="A45736" s="374"/>
      <c r="C45736" s="374"/>
      <c r="CV45736" s="376"/>
    </row>
    <row r="45737" spans="1:100">
      <c r="A45737" s="374"/>
      <c r="C45737" s="374"/>
      <c r="CV45737" s="376"/>
    </row>
    <row r="45738" spans="1:100">
      <c r="A45738" s="374"/>
      <c r="C45738" s="374"/>
      <c r="CV45738" s="376"/>
    </row>
    <row r="45739" spans="1:100">
      <c r="A45739" s="374"/>
      <c r="C45739" s="374"/>
      <c r="CV45739" s="376"/>
    </row>
    <row r="45740" spans="1:100">
      <c r="A45740" s="374"/>
      <c r="C45740" s="374"/>
      <c r="CV45740" s="376"/>
    </row>
    <row r="45741" spans="1:100">
      <c r="A45741" s="374"/>
      <c r="C45741" s="374"/>
      <c r="CV45741" s="376"/>
    </row>
    <row r="45742" spans="1:100">
      <c r="A45742" s="374"/>
      <c r="C45742" s="374"/>
      <c r="CV45742" s="376"/>
    </row>
    <row r="45743" spans="1:100">
      <c r="A45743" s="374"/>
      <c r="C45743" s="374"/>
      <c r="CV45743" s="376"/>
    </row>
    <row r="45744" spans="1:100">
      <c r="A45744" s="374"/>
      <c r="C45744" s="374"/>
      <c r="CV45744" s="376"/>
    </row>
    <row r="45745" spans="1:100">
      <c r="A45745" s="374"/>
      <c r="C45745" s="374"/>
      <c r="CV45745" s="376"/>
    </row>
    <row r="45746" spans="1:100">
      <c r="A45746" s="374"/>
      <c r="C45746" s="374"/>
      <c r="CV45746" s="376"/>
    </row>
    <row r="45747" spans="1:100">
      <c r="A45747" s="374"/>
      <c r="C45747" s="374"/>
      <c r="CV45747" s="376"/>
    </row>
    <row r="45748" spans="1:100">
      <c r="A45748" s="374"/>
      <c r="C45748" s="374"/>
      <c r="CV45748" s="376"/>
    </row>
    <row r="45749" spans="1:100">
      <c r="A45749" s="374"/>
      <c r="C45749" s="374"/>
      <c r="CV45749" s="376"/>
    </row>
    <row r="45750" spans="1:100">
      <c r="A45750" s="374"/>
      <c r="C45750" s="374"/>
      <c r="CV45750" s="376"/>
    </row>
    <row r="45751" spans="1:100">
      <c r="A45751" s="374"/>
      <c r="C45751" s="374"/>
      <c r="CV45751" s="376"/>
    </row>
    <row r="45752" spans="1:100">
      <c r="A45752" s="374"/>
      <c r="C45752" s="374"/>
      <c r="CV45752" s="376"/>
    </row>
    <row r="45753" spans="1:100">
      <c r="A45753" s="374"/>
      <c r="C45753" s="374"/>
      <c r="CV45753" s="376"/>
    </row>
    <row r="45754" spans="1:100">
      <c r="A45754" s="374"/>
      <c r="C45754" s="374"/>
      <c r="CV45754" s="376"/>
    </row>
    <row r="45755" spans="1:100">
      <c r="A45755" s="374"/>
      <c r="C45755" s="374"/>
      <c r="CV45755" s="376"/>
    </row>
    <row r="45756" spans="1:100">
      <c r="A45756" s="374"/>
      <c r="C45756" s="374"/>
      <c r="CV45756" s="376"/>
    </row>
    <row r="45757" spans="1:100">
      <c r="A45757" s="374"/>
      <c r="C45757" s="374"/>
      <c r="CV45757" s="376"/>
    </row>
    <row r="45758" spans="1:100">
      <c r="A45758" s="374"/>
      <c r="C45758" s="374"/>
      <c r="CV45758" s="376"/>
    </row>
    <row r="45759" spans="1:100">
      <c r="A45759" s="374"/>
      <c r="C45759" s="374"/>
      <c r="CV45759" s="376"/>
    </row>
    <row r="45760" spans="1:100">
      <c r="A45760" s="374"/>
      <c r="C45760" s="374"/>
      <c r="CV45760" s="376"/>
    </row>
    <row r="45761" spans="1:100">
      <c r="A45761" s="374"/>
      <c r="C45761" s="374"/>
      <c r="CV45761" s="376"/>
    </row>
    <row r="45762" spans="1:100">
      <c r="A45762" s="374"/>
      <c r="C45762" s="374"/>
      <c r="CV45762" s="376"/>
    </row>
    <row r="45763" spans="1:100">
      <c r="A45763" s="374"/>
      <c r="C45763" s="374"/>
      <c r="CV45763" s="376"/>
    </row>
    <row r="45764" spans="1:100">
      <c r="A45764" s="374"/>
      <c r="C45764" s="374"/>
      <c r="CV45764" s="376"/>
    </row>
    <row r="45765" spans="1:100">
      <c r="A45765" s="374"/>
      <c r="C45765" s="374"/>
      <c r="CV45765" s="376"/>
    </row>
    <row r="45766" spans="1:100">
      <c r="A45766" s="374"/>
      <c r="C45766" s="374"/>
      <c r="CV45766" s="376"/>
    </row>
    <row r="45767" spans="1:100">
      <c r="A45767" s="374"/>
      <c r="C45767" s="374"/>
      <c r="CV45767" s="376"/>
    </row>
    <row r="45768" spans="1:100">
      <c r="A45768" s="374"/>
      <c r="C45768" s="374"/>
      <c r="CV45768" s="376"/>
    </row>
    <row r="45769" spans="1:100">
      <c r="A45769" s="374"/>
      <c r="C45769" s="374"/>
      <c r="CV45769" s="376"/>
    </row>
    <row r="45770" spans="1:100">
      <c r="A45770" s="374"/>
      <c r="C45770" s="374"/>
      <c r="CV45770" s="376"/>
    </row>
    <row r="45771" spans="1:100">
      <c r="A45771" s="374"/>
      <c r="C45771" s="374"/>
      <c r="CV45771" s="376"/>
    </row>
    <row r="45772" spans="1:100">
      <c r="A45772" s="374"/>
      <c r="C45772" s="374"/>
      <c r="CV45772" s="376"/>
    </row>
    <row r="45773" spans="1:100">
      <c r="A45773" s="374"/>
      <c r="C45773" s="374"/>
      <c r="CV45773" s="376"/>
    </row>
    <row r="45774" spans="1:100">
      <c r="A45774" s="374"/>
      <c r="C45774" s="374"/>
      <c r="CV45774" s="376"/>
    </row>
    <row r="45775" spans="1:100">
      <c r="A45775" s="374"/>
      <c r="C45775" s="374"/>
      <c r="CV45775" s="376"/>
    </row>
    <row r="45776" spans="1:100">
      <c r="A45776" s="374"/>
      <c r="C45776" s="374"/>
      <c r="CV45776" s="376"/>
    </row>
    <row r="45777" spans="1:100">
      <c r="A45777" s="374"/>
      <c r="C45777" s="374"/>
      <c r="CV45777" s="376"/>
    </row>
    <row r="45778" spans="1:100">
      <c r="A45778" s="374"/>
      <c r="C45778" s="374"/>
      <c r="CV45778" s="376"/>
    </row>
    <row r="45779" spans="1:100">
      <c r="A45779" s="374"/>
      <c r="C45779" s="374"/>
      <c r="CV45779" s="376"/>
    </row>
    <row r="45780" spans="1:100">
      <c r="A45780" s="374"/>
      <c r="C45780" s="374"/>
      <c r="CV45780" s="376"/>
    </row>
    <row r="45781" spans="1:100">
      <c r="A45781" s="374"/>
      <c r="C45781" s="374"/>
      <c r="CV45781" s="376"/>
    </row>
    <row r="45782" spans="1:100">
      <c r="A45782" s="374"/>
      <c r="C45782" s="374"/>
      <c r="CV45782" s="376"/>
    </row>
    <row r="45783" spans="1:100">
      <c r="A45783" s="374"/>
      <c r="C45783" s="374"/>
      <c r="CV45783" s="376"/>
    </row>
    <row r="45784" spans="1:100">
      <c r="A45784" s="374"/>
      <c r="C45784" s="374"/>
      <c r="CV45784" s="376"/>
    </row>
    <row r="45785" spans="1:100">
      <c r="A45785" s="374"/>
      <c r="C45785" s="374"/>
      <c r="CV45785" s="376"/>
    </row>
    <row r="45786" spans="1:100">
      <c r="A45786" s="374"/>
      <c r="C45786" s="374"/>
      <c r="CV45786" s="376"/>
    </row>
    <row r="45787" spans="1:100">
      <c r="A45787" s="374"/>
      <c r="C45787" s="374"/>
      <c r="CV45787" s="376"/>
    </row>
    <row r="45788" spans="1:100">
      <c r="A45788" s="374"/>
      <c r="C45788" s="374"/>
      <c r="CV45788" s="376"/>
    </row>
    <row r="45789" spans="1:100">
      <c r="A45789" s="374"/>
      <c r="C45789" s="374"/>
      <c r="CV45789" s="376"/>
    </row>
    <row r="45790" spans="1:100">
      <c r="A45790" s="374"/>
      <c r="C45790" s="374"/>
      <c r="CV45790" s="376"/>
    </row>
    <row r="45791" spans="1:100">
      <c r="A45791" s="374"/>
      <c r="C45791" s="374"/>
      <c r="CV45791" s="376"/>
    </row>
    <row r="45792" spans="1:100">
      <c r="A45792" s="374"/>
      <c r="C45792" s="374"/>
      <c r="CV45792" s="376"/>
    </row>
    <row r="45793" spans="1:100">
      <c r="A45793" s="374"/>
      <c r="C45793" s="374"/>
      <c r="CV45793" s="376"/>
    </row>
    <row r="45794" spans="1:100">
      <c r="A45794" s="374"/>
      <c r="C45794" s="374"/>
      <c r="CV45794" s="376"/>
    </row>
    <row r="45795" spans="1:100">
      <c r="A45795" s="374"/>
      <c r="C45795" s="374"/>
      <c r="CV45795" s="376"/>
    </row>
    <row r="45796" spans="1:100">
      <c r="A45796" s="374"/>
      <c r="C45796" s="374"/>
      <c r="CV45796" s="376"/>
    </row>
    <row r="45797" spans="1:100">
      <c r="A45797" s="374"/>
      <c r="C45797" s="374"/>
      <c r="CV45797" s="376"/>
    </row>
    <row r="45798" spans="1:100">
      <c r="A45798" s="374"/>
      <c r="C45798" s="374"/>
      <c r="CV45798" s="376"/>
    </row>
    <row r="45799" spans="1:100">
      <c r="A45799" s="374"/>
      <c r="C45799" s="374"/>
      <c r="CV45799" s="376"/>
    </row>
    <row r="45800" spans="1:100">
      <c r="A45800" s="374"/>
      <c r="C45800" s="374"/>
      <c r="CV45800" s="376"/>
    </row>
    <row r="45801" spans="1:100">
      <c r="A45801" s="374"/>
      <c r="C45801" s="374"/>
      <c r="CV45801" s="376"/>
    </row>
    <row r="45802" spans="1:100">
      <c r="A45802" s="374"/>
      <c r="C45802" s="374"/>
      <c r="CV45802" s="376"/>
    </row>
    <row r="45803" spans="1:100">
      <c r="A45803" s="374"/>
      <c r="C45803" s="374"/>
      <c r="CV45803" s="376"/>
    </row>
    <row r="45804" spans="1:100">
      <c r="A45804" s="374"/>
      <c r="C45804" s="374"/>
      <c r="CV45804" s="376"/>
    </row>
    <row r="45805" spans="1:100">
      <c r="A45805" s="374"/>
      <c r="C45805" s="374"/>
      <c r="CV45805" s="376"/>
    </row>
    <row r="45806" spans="1:100">
      <c r="A45806" s="374"/>
      <c r="C45806" s="374"/>
      <c r="CV45806" s="376"/>
    </row>
    <row r="45807" spans="1:100">
      <c r="A45807" s="374"/>
      <c r="C45807" s="374"/>
      <c r="CV45807" s="376"/>
    </row>
    <row r="45808" spans="1:100">
      <c r="A45808" s="374"/>
      <c r="C45808" s="374"/>
      <c r="CV45808" s="376"/>
    </row>
    <row r="45809" spans="1:100">
      <c r="A45809" s="374"/>
      <c r="C45809" s="374"/>
      <c r="CV45809" s="376"/>
    </row>
    <row r="45810" spans="1:100">
      <c r="A45810" s="374"/>
      <c r="C45810" s="374"/>
      <c r="CV45810" s="376"/>
    </row>
    <row r="45811" spans="1:100">
      <c r="A45811" s="374"/>
      <c r="C45811" s="374"/>
      <c r="CV45811" s="376"/>
    </row>
    <row r="45812" spans="1:100">
      <c r="A45812" s="374"/>
      <c r="C45812" s="374"/>
      <c r="CV45812" s="376"/>
    </row>
    <row r="45813" spans="1:100">
      <c r="A45813" s="374"/>
      <c r="C45813" s="374"/>
      <c r="CV45813" s="376"/>
    </row>
    <row r="45814" spans="1:100">
      <c r="A45814" s="374"/>
      <c r="C45814" s="374"/>
      <c r="CV45814" s="376"/>
    </row>
    <row r="45815" spans="1:100">
      <c r="A45815" s="374"/>
      <c r="C45815" s="374"/>
      <c r="CV45815" s="376"/>
    </row>
    <row r="45816" spans="1:100">
      <c r="A45816" s="374"/>
      <c r="C45816" s="374"/>
      <c r="CV45816" s="376"/>
    </row>
    <row r="45817" spans="1:100">
      <c r="A45817" s="374"/>
      <c r="C45817" s="374"/>
      <c r="CV45817" s="376"/>
    </row>
    <row r="45818" spans="1:100">
      <c r="A45818" s="374"/>
      <c r="C45818" s="374"/>
      <c r="CV45818" s="376"/>
    </row>
    <row r="45819" spans="1:100">
      <c r="A45819" s="374"/>
      <c r="C45819" s="374"/>
      <c r="CV45819" s="376"/>
    </row>
    <row r="45820" spans="1:100">
      <c r="A45820" s="374"/>
      <c r="C45820" s="374"/>
      <c r="CV45820" s="376"/>
    </row>
    <row r="45821" spans="1:100">
      <c r="A45821" s="374"/>
      <c r="C45821" s="374"/>
      <c r="CV45821" s="376"/>
    </row>
    <row r="45822" spans="1:100">
      <c r="A45822" s="374"/>
      <c r="C45822" s="374"/>
      <c r="CV45822" s="376"/>
    </row>
    <row r="45823" spans="1:100">
      <c r="A45823" s="374"/>
      <c r="C45823" s="374"/>
      <c r="CV45823" s="376"/>
    </row>
    <row r="45824" spans="1:100">
      <c r="A45824" s="374"/>
      <c r="C45824" s="374"/>
      <c r="CV45824" s="376"/>
    </row>
    <row r="45825" spans="1:100">
      <c r="A45825" s="374"/>
      <c r="C45825" s="374"/>
      <c r="CV45825" s="376"/>
    </row>
    <row r="45826" spans="1:100">
      <c r="A45826" s="374"/>
      <c r="C45826" s="374"/>
      <c r="CV45826" s="376"/>
    </row>
    <row r="45827" spans="1:100">
      <c r="A45827" s="374"/>
      <c r="C45827" s="374"/>
      <c r="CV45827" s="376"/>
    </row>
    <row r="45828" spans="1:100">
      <c r="A45828" s="374"/>
      <c r="C45828" s="374"/>
      <c r="CV45828" s="376"/>
    </row>
    <row r="45829" spans="1:100">
      <c r="A45829" s="374"/>
      <c r="C45829" s="374"/>
      <c r="CV45829" s="376"/>
    </row>
    <row r="45830" spans="1:100">
      <c r="A45830" s="374"/>
      <c r="C45830" s="374"/>
      <c r="CV45830" s="376"/>
    </row>
    <row r="45831" spans="1:100">
      <c r="A45831" s="374"/>
      <c r="C45831" s="374"/>
      <c r="CV45831" s="376"/>
    </row>
    <row r="45832" spans="1:100">
      <c r="A45832" s="374"/>
      <c r="C45832" s="374"/>
      <c r="CV45832" s="376"/>
    </row>
    <row r="45833" spans="1:100">
      <c r="A45833" s="374"/>
      <c r="C45833" s="374"/>
      <c r="CV45833" s="376"/>
    </row>
    <row r="45834" spans="1:100">
      <c r="A45834" s="374"/>
      <c r="C45834" s="374"/>
      <c r="CV45834" s="376"/>
    </row>
    <row r="45835" spans="1:100">
      <c r="A45835" s="374"/>
      <c r="C45835" s="374"/>
      <c r="CV45835" s="376"/>
    </row>
    <row r="45836" spans="1:100">
      <c r="A45836" s="374"/>
      <c r="C45836" s="374"/>
      <c r="CV45836" s="376"/>
    </row>
    <row r="45837" spans="1:100">
      <c r="A45837" s="374"/>
      <c r="C45837" s="374"/>
      <c r="CV45837" s="376"/>
    </row>
    <row r="45838" spans="1:100">
      <c r="A45838" s="374"/>
      <c r="C45838" s="374"/>
      <c r="CV45838" s="376"/>
    </row>
    <row r="45839" spans="1:100">
      <c r="A45839" s="374"/>
      <c r="C45839" s="374"/>
      <c r="CV45839" s="376"/>
    </row>
    <row r="45840" spans="1:100">
      <c r="A45840" s="374"/>
      <c r="C45840" s="374"/>
      <c r="CV45840" s="376"/>
    </row>
    <row r="45841" spans="1:100">
      <c r="A45841" s="374"/>
      <c r="C45841" s="374"/>
      <c r="CV45841" s="376"/>
    </row>
    <row r="45842" spans="1:100">
      <c r="A45842" s="374"/>
      <c r="C45842" s="374"/>
      <c r="CV45842" s="376"/>
    </row>
    <row r="45843" spans="1:100">
      <c r="A45843" s="374"/>
      <c r="C45843" s="374"/>
      <c r="CV45843" s="376"/>
    </row>
    <row r="45844" spans="1:100">
      <c r="A45844" s="374"/>
      <c r="C45844" s="374"/>
      <c r="CV45844" s="376"/>
    </row>
    <row r="45845" spans="1:100">
      <c r="A45845" s="374"/>
      <c r="C45845" s="374"/>
      <c r="CV45845" s="376"/>
    </row>
    <row r="45846" spans="1:100">
      <c r="A45846" s="374"/>
      <c r="C45846" s="374"/>
      <c r="CV45846" s="376"/>
    </row>
    <row r="45847" spans="1:100">
      <c r="A45847" s="374"/>
      <c r="C45847" s="374"/>
      <c r="CV45847" s="376"/>
    </row>
    <row r="45848" spans="1:100">
      <c r="A45848" s="374"/>
      <c r="C45848" s="374"/>
      <c r="CV45848" s="376"/>
    </row>
    <row r="45849" spans="1:100">
      <c r="A45849" s="374"/>
      <c r="C45849" s="374"/>
      <c r="CV45849" s="376"/>
    </row>
    <row r="45850" spans="1:100">
      <c r="A45850" s="374"/>
      <c r="C45850" s="374"/>
      <c r="CV45850" s="376"/>
    </row>
    <row r="45851" spans="1:100">
      <c r="A45851" s="374"/>
      <c r="C45851" s="374"/>
      <c r="CV45851" s="376"/>
    </row>
    <row r="45852" spans="1:100">
      <c r="A45852" s="374"/>
      <c r="C45852" s="374"/>
      <c r="CV45852" s="376"/>
    </row>
    <row r="45853" spans="1:100">
      <c r="A45853" s="374"/>
      <c r="C45853" s="374"/>
      <c r="CV45853" s="376"/>
    </row>
    <row r="45854" spans="1:100">
      <c r="A45854" s="374"/>
      <c r="C45854" s="374"/>
      <c r="CV45854" s="376"/>
    </row>
    <row r="45855" spans="1:100">
      <c r="A45855" s="374"/>
      <c r="C45855" s="374"/>
      <c r="CV45855" s="376"/>
    </row>
    <row r="45856" spans="1:100">
      <c r="A45856" s="374"/>
      <c r="C45856" s="374"/>
      <c r="CV45856" s="376"/>
    </row>
    <row r="45857" spans="1:100">
      <c r="A45857" s="374"/>
      <c r="C45857" s="374"/>
      <c r="CV45857" s="376"/>
    </row>
    <row r="45858" spans="1:100">
      <c r="A45858" s="374"/>
      <c r="C45858" s="374"/>
      <c r="CV45858" s="376"/>
    </row>
    <row r="45859" spans="1:100">
      <c r="A45859" s="374"/>
      <c r="C45859" s="374"/>
      <c r="CV45859" s="376"/>
    </row>
    <row r="45860" spans="1:100">
      <c r="A45860" s="374"/>
      <c r="C45860" s="374"/>
      <c r="CV45860" s="376"/>
    </row>
    <row r="45861" spans="1:100">
      <c r="A45861" s="374"/>
      <c r="C45861" s="374"/>
      <c r="CV45861" s="376"/>
    </row>
    <row r="45862" spans="1:100">
      <c r="A45862" s="374"/>
      <c r="C45862" s="374"/>
      <c r="CV45862" s="376"/>
    </row>
    <row r="45863" spans="1:100">
      <c r="A45863" s="374"/>
      <c r="C45863" s="374"/>
      <c r="CV45863" s="376"/>
    </row>
    <row r="45864" spans="1:100">
      <c r="A45864" s="374"/>
      <c r="C45864" s="374"/>
      <c r="CV45864" s="376"/>
    </row>
    <row r="45865" spans="1:100">
      <c r="A45865" s="374"/>
      <c r="C45865" s="374"/>
      <c r="CV45865" s="376"/>
    </row>
    <row r="45866" spans="1:100">
      <c r="A45866" s="374"/>
      <c r="C45866" s="374"/>
      <c r="CV45866" s="376"/>
    </row>
    <row r="45867" spans="1:100">
      <c r="A45867" s="374"/>
      <c r="C45867" s="374"/>
      <c r="CV45867" s="376"/>
    </row>
    <row r="45868" spans="1:100">
      <c r="A45868" s="374"/>
      <c r="C45868" s="374"/>
      <c r="CV45868" s="376"/>
    </row>
    <row r="45869" spans="1:100">
      <c r="A45869" s="374"/>
      <c r="C45869" s="374"/>
      <c r="CV45869" s="376"/>
    </row>
    <row r="45870" spans="1:100">
      <c r="A45870" s="374"/>
      <c r="C45870" s="374"/>
      <c r="CV45870" s="376"/>
    </row>
    <row r="45871" spans="1:100">
      <c r="A45871" s="374"/>
      <c r="C45871" s="374"/>
      <c r="CV45871" s="376"/>
    </row>
    <row r="45872" spans="1:100">
      <c r="A45872" s="374"/>
      <c r="C45872" s="374"/>
      <c r="CV45872" s="376"/>
    </row>
    <row r="45873" spans="1:100">
      <c r="A45873" s="374"/>
      <c r="C45873" s="374"/>
      <c r="CV45873" s="376"/>
    </row>
    <row r="45874" spans="1:100">
      <c r="A45874" s="374"/>
      <c r="C45874" s="374"/>
      <c r="CV45874" s="376"/>
    </row>
    <row r="45875" spans="1:100">
      <c r="A45875" s="374"/>
      <c r="C45875" s="374"/>
      <c r="CV45875" s="376"/>
    </row>
    <row r="45876" spans="1:100">
      <c r="A45876" s="374"/>
      <c r="C45876" s="374"/>
      <c r="CV45876" s="376"/>
    </row>
    <row r="45877" spans="1:100">
      <c r="A45877" s="374"/>
      <c r="C45877" s="374"/>
      <c r="CV45877" s="376"/>
    </row>
    <row r="45878" spans="1:100">
      <c r="A45878" s="374"/>
      <c r="C45878" s="374"/>
      <c r="CV45878" s="376"/>
    </row>
    <row r="45879" spans="1:100">
      <c r="A45879" s="374"/>
      <c r="C45879" s="374"/>
      <c r="CV45879" s="376"/>
    </row>
    <row r="45880" spans="1:100">
      <c r="A45880" s="374"/>
      <c r="C45880" s="374"/>
      <c r="CV45880" s="376"/>
    </row>
    <row r="45881" spans="1:100">
      <c r="A45881" s="374"/>
      <c r="C45881" s="374"/>
      <c r="CV45881" s="376"/>
    </row>
    <row r="45882" spans="1:100">
      <c r="A45882" s="374"/>
      <c r="C45882" s="374"/>
      <c r="CV45882" s="376"/>
    </row>
    <row r="45883" spans="1:100">
      <c r="A45883" s="374"/>
      <c r="C45883" s="374"/>
      <c r="CV45883" s="376"/>
    </row>
    <row r="45884" spans="1:100">
      <c r="A45884" s="374"/>
      <c r="C45884" s="374"/>
      <c r="CV45884" s="376"/>
    </row>
    <row r="45885" spans="1:100">
      <c r="A45885" s="374"/>
      <c r="C45885" s="374"/>
      <c r="CV45885" s="376"/>
    </row>
    <row r="45886" spans="1:100">
      <c r="A45886" s="374"/>
      <c r="C45886" s="374"/>
      <c r="CV45886" s="376"/>
    </row>
    <row r="45887" spans="1:100">
      <c r="A45887" s="374"/>
      <c r="C45887" s="374"/>
      <c r="CV45887" s="376"/>
    </row>
    <row r="45888" spans="1:100">
      <c r="A45888" s="374"/>
      <c r="C45888" s="374"/>
      <c r="CV45888" s="376"/>
    </row>
    <row r="45889" spans="1:100">
      <c r="A45889" s="374"/>
      <c r="C45889" s="374"/>
      <c r="CV45889" s="376"/>
    </row>
    <row r="45890" spans="1:100">
      <c r="A45890" s="374"/>
      <c r="C45890" s="374"/>
      <c r="CV45890" s="376"/>
    </row>
    <row r="45891" spans="1:100">
      <c r="A45891" s="374"/>
      <c r="C45891" s="374"/>
      <c r="CV45891" s="376"/>
    </row>
    <row r="45892" spans="1:100">
      <c r="A45892" s="374"/>
      <c r="C45892" s="374"/>
      <c r="CV45892" s="376"/>
    </row>
    <row r="45893" spans="1:100">
      <c r="A45893" s="374"/>
      <c r="C45893" s="374"/>
      <c r="CV45893" s="376"/>
    </row>
    <row r="45894" spans="1:100">
      <c r="A45894" s="374"/>
      <c r="C45894" s="374"/>
      <c r="CV45894" s="376"/>
    </row>
    <row r="45895" spans="1:100">
      <c r="A45895" s="374"/>
      <c r="C45895" s="374"/>
      <c r="CV45895" s="376"/>
    </row>
    <row r="45896" spans="1:100">
      <c r="A45896" s="374"/>
      <c r="C45896" s="374"/>
      <c r="CV45896" s="376"/>
    </row>
    <row r="45897" spans="1:100">
      <c r="A45897" s="374"/>
      <c r="C45897" s="374"/>
      <c r="CV45897" s="376"/>
    </row>
    <row r="45898" spans="1:100">
      <c r="A45898" s="374"/>
      <c r="C45898" s="374"/>
      <c r="CV45898" s="376"/>
    </row>
    <row r="45899" spans="1:100">
      <c r="A45899" s="374"/>
      <c r="C45899" s="374"/>
      <c r="CV45899" s="376"/>
    </row>
    <row r="45900" spans="1:100">
      <c r="A45900" s="374"/>
      <c r="C45900" s="374"/>
      <c r="CV45900" s="376"/>
    </row>
    <row r="45901" spans="1:100">
      <c r="A45901" s="374"/>
      <c r="C45901" s="374"/>
      <c r="CV45901" s="376"/>
    </row>
    <row r="45902" spans="1:100">
      <c r="A45902" s="374"/>
      <c r="C45902" s="374"/>
      <c r="CV45902" s="376"/>
    </row>
    <row r="45903" spans="1:100">
      <c r="A45903" s="374"/>
      <c r="C45903" s="374"/>
      <c r="CV45903" s="376"/>
    </row>
    <row r="45904" spans="1:100">
      <c r="A45904" s="374"/>
      <c r="C45904" s="374"/>
      <c r="CV45904" s="376"/>
    </row>
    <row r="45905" spans="1:100">
      <c r="A45905" s="374"/>
      <c r="C45905" s="374"/>
      <c r="CV45905" s="376"/>
    </row>
    <row r="45906" spans="1:100">
      <c r="A45906" s="374"/>
      <c r="C45906" s="374"/>
      <c r="CV45906" s="376"/>
    </row>
    <row r="45907" spans="1:100">
      <c r="A45907" s="374"/>
      <c r="C45907" s="374"/>
      <c r="CV45907" s="376"/>
    </row>
    <row r="45908" spans="1:100">
      <c r="A45908" s="374"/>
      <c r="C45908" s="374"/>
      <c r="CV45908" s="376"/>
    </row>
    <row r="45909" spans="1:100">
      <c r="A45909" s="374"/>
      <c r="C45909" s="374"/>
      <c r="CV45909" s="376"/>
    </row>
    <row r="45910" spans="1:100">
      <c r="A45910" s="374"/>
      <c r="C45910" s="374"/>
      <c r="CV45910" s="376"/>
    </row>
    <row r="45911" spans="1:100">
      <c r="A45911" s="374"/>
      <c r="C45911" s="374"/>
      <c r="CV45911" s="376"/>
    </row>
    <row r="45912" spans="1:100">
      <c r="A45912" s="374"/>
      <c r="C45912" s="374"/>
      <c r="CV45912" s="376"/>
    </row>
    <row r="45913" spans="1:100">
      <c r="A45913" s="374"/>
      <c r="C45913" s="374"/>
      <c r="CV45913" s="376"/>
    </row>
    <row r="45914" spans="1:100">
      <c r="A45914" s="374"/>
      <c r="C45914" s="374"/>
      <c r="CV45914" s="376"/>
    </row>
    <row r="45915" spans="1:100">
      <c r="A45915" s="374"/>
      <c r="C45915" s="374"/>
      <c r="CV45915" s="376"/>
    </row>
    <row r="45916" spans="1:100">
      <c r="A45916" s="374"/>
      <c r="C45916" s="374"/>
      <c r="CV45916" s="376"/>
    </row>
    <row r="45917" spans="1:100">
      <c r="A45917" s="374"/>
      <c r="C45917" s="374"/>
      <c r="CV45917" s="376"/>
    </row>
    <row r="45918" spans="1:100">
      <c r="A45918" s="374"/>
      <c r="C45918" s="374"/>
      <c r="CV45918" s="376"/>
    </row>
    <row r="45919" spans="1:100">
      <c r="A45919" s="374"/>
      <c r="C45919" s="374"/>
      <c r="CV45919" s="376"/>
    </row>
    <row r="45920" spans="1:100">
      <c r="A45920" s="374"/>
      <c r="C45920" s="374"/>
      <c r="CV45920" s="376"/>
    </row>
    <row r="45921" spans="1:100">
      <c r="A45921" s="374"/>
      <c r="C45921" s="374"/>
      <c r="CV45921" s="376"/>
    </row>
    <row r="45922" spans="1:100">
      <c r="A45922" s="374"/>
      <c r="C45922" s="374"/>
      <c r="CV45922" s="376"/>
    </row>
    <row r="45923" spans="1:100">
      <c r="A45923" s="374"/>
      <c r="C45923" s="374"/>
      <c r="CV45923" s="376"/>
    </row>
    <row r="45924" spans="1:100">
      <c r="A45924" s="374"/>
      <c r="C45924" s="374"/>
      <c r="CV45924" s="376"/>
    </row>
    <row r="45925" spans="1:100">
      <c r="A45925" s="374"/>
      <c r="C45925" s="374"/>
      <c r="CV45925" s="376"/>
    </row>
    <row r="45926" spans="1:100">
      <c r="A45926" s="374"/>
      <c r="C45926" s="374"/>
      <c r="CV45926" s="376"/>
    </row>
    <row r="45927" spans="1:100">
      <c r="A45927" s="374"/>
      <c r="C45927" s="374"/>
      <c r="CV45927" s="376"/>
    </row>
    <row r="45928" spans="1:100">
      <c r="A45928" s="374"/>
      <c r="C45928" s="374"/>
      <c r="CV45928" s="376"/>
    </row>
    <row r="45929" spans="1:100">
      <c r="A45929" s="374"/>
      <c r="C45929" s="374"/>
      <c r="CV45929" s="376"/>
    </row>
    <row r="45930" spans="1:100">
      <c r="A45930" s="374"/>
      <c r="C45930" s="374"/>
      <c r="CV45930" s="376"/>
    </row>
    <row r="45931" spans="1:100">
      <c r="A45931" s="374"/>
      <c r="C45931" s="374"/>
      <c r="CV45931" s="376"/>
    </row>
    <row r="45932" spans="1:100">
      <c r="A45932" s="374"/>
      <c r="C45932" s="374"/>
      <c r="CV45932" s="376"/>
    </row>
    <row r="45933" spans="1:100">
      <c r="A45933" s="374"/>
      <c r="C45933" s="374"/>
      <c r="CV45933" s="376"/>
    </row>
    <row r="45934" spans="1:100">
      <c r="A45934" s="374"/>
      <c r="C45934" s="374"/>
      <c r="CV45934" s="376"/>
    </row>
    <row r="45935" spans="1:100">
      <c r="A45935" s="374"/>
      <c r="C45935" s="374"/>
      <c r="CV45935" s="376"/>
    </row>
    <row r="45936" spans="1:100">
      <c r="A45936" s="374"/>
      <c r="C45936" s="374"/>
      <c r="CV45936" s="376"/>
    </row>
    <row r="45937" spans="1:100">
      <c r="A45937" s="374"/>
      <c r="C45937" s="374"/>
      <c r="CV45937" s="376"/>
    </row>
    <row r="45938" spans="1:100">
      <c r="A45938" s="374"/>
      <c r="C45938" s="374"/>
      <c r="CV45938" s="376"/>
    </row>
    <row r="45939" spans="1:100">
      <c r="A45939" s="374"/>
      <c r="C45939" s="374"/>
      <c r="CV45939" s="376"/>
    </row>
    <row r="45940" spans="1:100">
      <c r="A45940" s="374"/>
      <c r="C45940" s="374"/>
      <c r="CV45940" s="376"/>
    </row>
    <row r="45941" spans="1:100">
      <c r="A45941" s="374"/>
      <c r="C45941" s="374"/>
      <c r="CV45941" s="376"/>
    </row>
    <row r="45942" spans="1:100">
      <c r="A45942" s="374"/>
      <c r="C45942" s="374"/>
      <c r="CV45942" s="376"/>
    </row>
    <row r="45943" spans="1:100">
      <c r="A45943" s="374"/>
      <c r="C45943" s="374"/>
      <c r="CV45943" s="376"/>
    </row>
    <row r="45944" spans="1:100">
      <c r="A45944" s="374"/>
      <c r="C45944" s="374"/>
      <c r="CV45944" s="376"/>
    </row>
    <row r="45945" spans="1:100">
      <c r="A45945" s="374"/>
      <c r="C45945" s="374"/>
      <c r="CV45945" s="376"/>
    </row>
    <row r="45946" spans="1:100">
      <c r="A45946" s="374"/>
      <c r="C45946" s="374"/>
      <c r="CV45946" s="376"/>
    </row>
    <row r="45947" spans="1:100">
      <c r="A45947" s="374"/>
      <c r="C45947" s="374"/>
      <c r="CV45947" s="376"/>
    </row>
    <row r="45948" spans="1:100">
      <c r="A45948" s="374"/>
      <c r="C45948" s="374"/>
      <c r="CV45948" s="376"/>
    </row>
    <row r="45949" spans="1:100">
      <c r="A45949" s="374"/>
      <c r="C45949" s="374"/>
      <c r="CV45949" s="376"/>
    </row>
    <row r="45950" spans="1:100">
      <c r="A45950" s="374"/>
      <c r="C45950" s="374"/>
      <c r="CV45950" s="376"/>
    </row>
    <row r="45951" spans="1:100">
      <c r="A45951" s="374"/>
      <c r="C45951" s="374"/>
      <c r="CV45951" s="376"/>
    </row>
    <row r="45952" spans="1:100">
      <c r="A45952" s="374"/>
      <c r="C45952" s="374"/>
      <c r="CV45952" s="376"/>
    </row>
    <row r="45953" spans="1:100">
      <c r="A45953" s="374"/>
      <c r="C45953" s="374"/>
      <c r="CV45953" s="376"/>
    </row>
    <row r="45954" spans="1:100">
      <c r="A45954" s="374"/>
      <c r="C45954" s="374"/>
      <c r="CV45954" s="376"/>
    </row>
    <row r="45955" spans="1:100">
      <c r="A45955" s="374"/>
      <c r="C45955" s="374"/>
      <c r="CV45955" s="376"/>
    </row>
    <row r="45956" spans="1:100">
      <c r="A45956" s="374"/>
      <c r="C45956" s="374"/>
      <c r="CV45956" s="376"/>
    </row>
    <row r="45957" spans="1:100">
      <c r="A45957" s="374"/>
      <c r="C45957" s="374"/>
      <c r="CV45957" s="376"/>
    </row>
    <row r="45958" spans="1:100">
      <c r="A45958" s="374"/>
      <c r="C45958" s="374"/>
      <c r="CV45958" s="376"/>
    </row>
    <row r="45959" spans="1:100">
      <c r="A45959" s="374"/>
      <c r="C45959" s="374"/>
      <c r="CV45959" s="376"/>
    </row>
    <row r="45960" spans="1:100">
      <c r="A45960" s="374"/>
      <c r="C45960" s="374"/>
      <c r="CV45960" s="376"/>
    </row>
    <row r="45961" spans="1:100">
      <c r="A45961" s="374"/>
      <c r="C45961" s="374"/>
      <c r="CV45961" s="376"/>
    </row>
    <row r="45962" spans="1:100">
      <c r="A45962" s="374"/>
      <c r="C45962" s="374"/>
      <c r="CV45962" s="376"/>
    </row>
    <row r="45963" spans="1:100">
      <c r="A45963" s="374"/>
      <c r="C45963" s="374"/>
      <c r="CV45963" s="376"/>
    </row>
    <row r="45964" spans="1:100">
      <c r="A45964" s="374"/>
      <c r="C45964" s="374"/>
      <c r="CV45964" s="376"/>
    </row>
    <row r="45965" spans="1:100">
      <c r="A45965" s="374"/>
      <c r="C45965" s="374"/>
      <c r="CV45965" s="376"/>
    </row>
    <row r="45966" spans="1:100">
      <c r="A45966" s="374"/>
      <c r="C45966" s="374"/>
      <c r="CV45966" s="376"/>
    </row>
    <row r="45967" spans="1:100">
      <c r="A45967" s="374"/>
      <c r="C45967" s="374"/>
      <c r="CV45967" s="376"/>
    </row>
    <row r="45968" spans="1:100">
      <c r="A45968" s="374"/>
      <c r="C45968" s="374"/>
      <c r="CV45968" s="376"/>
    </row>
    <row r="45969" spans="1:100">
      <c r="A45969" s="374"/>
      <c r="C45969" s="374"/>
      <c r="CV45969" s="376"/>
    </row>
    <row r="45970" spans="1:100">
      <c r="A45970" s="374"/>
      <c r="C45970" s="374"/>
      <c r="CV45970" s="376"/>
    </row>
    <row r="45971" spans="1:100">
      <c r="A45971" s="374"/>
      <c r="C45971" s="374"/>
      <c r="CV45971" s="376"/>
    </row>
    <row r="45972" spans="1:100">
      <c r="A45972" s="374"/>
      <c r="C45972" s="374"/>
      <c r="CV45972" s="376"/>
    </row>
    <row r="45973" spans="1:100">
      <c r="A45973" s="374"/>
      <c r="C45973" s="374"/>
      <c r="CV45973" s="376"/>
    </row>
    <row r="45974" spans="1:100">
      <c r="A45974" s="374"/>
      <c r="C45974" s="374"/>
      <c r="CV45974" s="376"/>
    </row>
    <row r="45975" spans="1:100">
      <c r="A45975" s="374"/>
      <c r="C45975" s="374"/>
      <c r="CV45975" s="376"/>
    </row>
    <row r="45976" spans="1:100">
      <c r="A45976" s="374"/>
      <c r="C45976" s="374"/>
      <c r="CV45976" s="376"/>
    </row>
    <row r="45977" spans="1:100">
      <c r="A45977" s="374"/>
      <c r="C45977" s="374"/>
      <c r="CV45977" s="376"/>
    </row>
    <row r="45978" spans="1:100">
      <c r="A45978" s="374"/>
      <c r="C45978" s="374"/>
      <c r="CV45978" s="376"/>
    </row>
    <row r="45979" spans="1:100">
      <c r="A45979" s="374"/>
      <c r="C45979" s="374"/>
      <c r="CV45979" s="376"/>
    </row>
    <row r="45980" spans="1:100">
      <c r="A45980" s="374"/>
      <c r="C45980" s="374"/>
      <c r="CV45980" s="376"/>
    </row>
    <row r="45981" spans="1:100">
      <c r="A45981" s="374"/>
      <c r="C45981" s="374"/>
      <c r="CV45981" s="376"/>
    </row>
    <row r="45982" spans="1:100">
      <c r="A45982" s="374"/>
      <c r="C45982" s="374"/>
      <c r="CV45982" s="376"/>
    </row>
    <row r="45983" spans="1:100">
      <c r="A45983" s="374"/>
      <c r="C45983" s="374"/>
      <c r="CV45983" s="376"/>
    </row>
    <row r="45984" spans="1:100">
      <c r="A45984" s="374"/>
      <c r="C45984" s="374"/>
      <c r="CV45984" s="376"/>
    </row>
    <row r="45985" spans="1:100">
      <c r="A45985" s="374"/>
      <c r="C45985" s="374"/>
      <c r="CV45985" s="376"/>
    </row>
    <row r="45986" spans="1:100">
      <c r="A45986" s="374"/>
      <c r="C45986" s="374"/>
      <c r="CV45986" s="376"/>
    </row>
    <row r="45987" spans="1:100">
      <c r="A45987" s="374"/>
      <c r="C45987" s="374"/>
      <c r="CV45987" s="376"/>
    </row>
    <row r="45988" spans="1:100">
      <c r="A45988" s="374"/>
      <c r="C45988" s="374"/>
      <c r="CV45988" s="376"/>
    </row>
    <row r="45989" spans="1:100">
      <c r="A45989" s="374"/>
      <c r="C45989" s="374"/>
      <c r="CV45989" s="376"/>
    </row>
    <row r="45990" spans="1:100">
      <c r="A45990" s="374"/>
      <c r="C45990" s="374"/>
      <c r="CV45990" s="376"/>
    </row>
    <row r="45991" spans="1:100">
      <c r="A45991" s="374"/>
      <c r="C45991" s="374"/>
      <c r="CV45991" s="376"/>
    </row>
    <row r="45992" spans="1:100">
      <c r="A45992" s="374"/>
      <c r="C45992" s="374"/>
      <c r="CV45992" s="376"/>
    </row>
    <row r="45993" spans="1:100">
      <c r="A45993" s="374"/>
      <c r="C45993" s="374"/>
      <c r="CV45993" s="376"/>
    </row>
    <row r="45994" spans="1:100">
      <c r="A45994" s="374"/>
      <c r="C45994" s="374"/>
      <c r="CV45994" s="376"/>
    </row>
    <row r="45995" spans="1:100">
      <c r="A45995" s="374"/>
      <c r="C45995" s="374"/>
      <c r="CV45995" s="376"/>
    </row>
    <row r="45996" spans="1:100">
      <c r="A45996" s="374"/>
      <c r="C45996" s="374"/>
      <c r="CV45996" s="376"/>
    </row>
    <row r="45997" spans="1:100">
      <c r="A45997" s="374"/>
      <c r="C45997" s="374"/>
      <c r="CV45997" s="376"/>
    </row>
    <row r="45998" spans="1:100">
      <c r="A45998" s="374"/>
      <c r="C45998" s="374"/>
      <c r="CV45998" s="376"/>
    </row>
    <row r="45999" spans="1:100">
      <c r="A45999" s="374"/>
      <c r="C45999" s="374"/>
      <c r="CV45999" s="376"/>
    </row>
    <row r="46000" spans="1:100">
      <c r="A46000" s="374"/>
      <c r="C46000" s="374"/>
      <c r="CV46000" s="376"/>
    </row>
    <row r="46001" spans="1:100">
      <c r="A46001" s="374"/>
      <c r="C46001" s="374"/>
      <c r="CV46001" s="376"/>
    </row>
    <row r="46002" spans="1:100">
      <c r="A46002" s="374"/>
      <c r="C46002" s="374"/>
      <c r="CV46002" s="376"/>
    </row>
    <row r="46003" spans="1:100">
      <c r="A46003" s="374"/>
      <c r="C46003" s="374"/>
      <c r="CV46003" s="376"/>
    </row>
    <row r="46004" spans="1:100">
      <c r="A46004" s="374"/>
      <c r="C46004" s="374"/>
      <c r="CV46004" s="376"/>
    </row>
    <row r="46005" spans="1:100">
      <c r="A46005" s="374"/>
      <c r="C46005" s="374"/>
      <c r="CV46005" s="376"/>
    </row>
    <row r="46006" spans="1:100">
      <c r="A46006" s="374"/>
      <c r="C46006" s="374"/>
      <c r="CV46006" s="376"/>
    </row>
    <row r="46007" spans="1:100">
      <c r="A46007" s="374"/>
      <c r="C46007" s="374"/>
      <c r="CV46007" s="376"/>
    </row>
    <row r="46008" spans="1:100">
      <c r="A46008" s="374"/>
      <c r="C46008" s="374"/>
      <c r="CV46008" s="376"/>
    </row>
    <row r="46009" spans="1:100">
      <c r="A46009" s="374"/>
      <c r="C46009" s="374"/>
      <c r="CV46009" s="376"/>
    </row>
    <row r="46010" spans="1:100">
      <c r="A46010" s="374"/>
      <c r="C46010" s="374"/>
      <c r="CV46010" s="376"/>
    </row>
    <row r="46011" spans="1:100">
      <c r="A46011" s="374"/>
      <c r="C46011" s="374"/>
      <c r="CV46011" s="376"/>
    </row>
    <row r="46012" spans="1:100">
      <c r="A46012" s="374"/>
      <c r="C46012" s="374"/>
      <c r="CV46012" s="376"/>
    </row>
    <row r="46013" spans="1:100">
      <c r="A46013" s="374"/>
      <c r="C46013" s="374"/>
      <c r="CV46013" s="376"/>
    </row>
    <row r="46014" spans="1:100">
      <c r="A46014" s="374"/>
      <c r="C46014" s="374"/>
      <c r="CV46014" s="376"/>
    </row>
    <row r="46015" spans="1:100">
      <c r="A46015" s="374"/>
      <c r="C46015" s="374"/>
      <c r="CV46015" s="376"/>
    </row>
    <row r="46016" spans="1:100">
      <c r="A46016" s="374"/>
      <c r="C46016" s="374"/>
      <c r="CV46016" s="376"/>
    </row>
    <row r="46017" spans="1:100">
      <c r="A46017" s="374"/>
      <c r="C46017" s="374"/>
      <c r="CV46017" s="376"/>
    </row>
    <row r="46018" spans="1:100">
      <c r="A46018" s="374"/>
      <c r="C46018" s="374"/>
      <c r="CV46018" s="376"/>
    </row>
    <row r="46019" spans="1:100">
      <c r="A46019" s="374"/>
      <c r="C46019" s="374"/>
      <c r="CV46019" s="376"/>
    </row>
    <row r="46020" spans="1:100">
      <c r="A46020" s="374"/>
      <c r="C46020" s="374"/>
      <c r="CV46020" s="376"/>
    </row>
    <row r="46021" spans="1:100">
      <c r="A46021" s="374"/>
      <c r="C46021" s="374"/>
      <c r="CV46021" s="376"/>
    </row>
    <row r="46022" spans="1:100">
      <c r="A46022" s="374"/>
      <c r="C46022" s="374"/>
      <c r="CV46022" s="376"/>
    </row>
    <row r="46023" spans="1:100">
      <c r="A46023" s="374"/>
      <c r="C46023" s="374"/>
      <c r="CV46023" s="376"/>
    </row>
    <row r="46024" spans="1:100">
      <c r="A46024" s="374"/>
      <c r="C46024" s="374"/>
      <c r="CV46024" s="376"/>
    </row>
    <row r="46025" spans="1:100">
      <c r="A46025" s="374"/>
      <c r="C46025" s="374"/>
      <c r="CV46025" s="376"/>
    </row>
    <row r="46026" spans="1:100">
      <c r="A46026" s="374"/>
      <c r="C46026" s="374"/>
      <c r="CV46026" s="376"/>
    </row>
    <row r="46027" spans="1:100">
      <c r="A46027" s="374"/>
      <c r="C46027" s="374"/>
      <c r="CV46027" s="376"/>
    </row>
    <row r="46028" spans="1:100">
      <c r="A46028" s="374"/>
      <c r="C46028" s="374"/>
      <c r="CV46028" s="376"/>
    </row>
    <row r="46029" spans="1:100">
      <c r="A46029" s="374"/>
      <c r="C46029" s="374"/>
      <c r="CV46029" s="376"/>
    </row>
    <row r="46030" spans="1:100">
      <c r="A46030" s="374"/>
      <c r="C46030" s="374"/>
      <c r="CV46030" s="376"/>
    </row>
    <row r="46031" spans="1:100">
      <c r="A46031" s="374"/>
      <c r="C46031" s="374"/>
      <c r="CV46031" s="376"/>
    </row>
    <row r="46032" spans="1:100">
      <c r="A46032" s="374"/>
      <c r="C46032" s="374"/>
      <c r="CV46032" s="376"/>
    </row>
    <row r="46033" spans="1:100">
      <c r="A46033" s="374"/>
      <c r="C46033" s="374"/>
      <c r="CV46033" s="376"/>
    </row>
    <row r="46034" spans="1:100">
      <c r="A46034" s="374"/>
      <c r="C46034" s="374"/>
      <c r="CV46034" s="376"/>
    </row>
    <row r="46035" spans="1:100">
      <c r="A46035" s="374"/>
      <c r="C46035" s="374"/>
      <c r="CV46035" s="376"/>
    </row>
    <row r="46036" spans="1:100">
      <c r="A46036" s="374"/>
      <c r="C46036" s="374"/>
      <c r="CV46036" s="376"/>
    </row>
    <row r="46037" spans="1:100">
      <c r="A46037" s="374"/>
      <c r="C46037" s="374"/>
      <c r="CV46037" s="376"/>
    </row>
    <row r="46038" spans="1:100">
      <c r="A46038" s="374"/>
      <c r="C46038" s="374"/>
      <c r="CV46038" s="376"/>
    </row>
    <row r="46039" spans="1:100">
      <c r="A46039" s="374"/>
      <c r="C46039" s="374"/>
      <c r="CV46039" s="376"/>
    </row>
    <row r="46040" spans="1:100">
      <c r="A46040" s="374"/>
      <c r="C46040" s="374"/>
      <c r="CV46040" s="376"/>
    </row>
    <row r="46041" spans="1:100">
      <c r="A46041" s="374"/>
      <c r="C46041" s="374"/>
      <c r="CV46041" s="376"/>
    </row>
    <row r="46042" spans="1:100">
      <c r="A46042" s="374"/>
      <c r="C46042" s="374"/>
      <c r="CV46042" s="376"/>
    </row>
    <row r="46043" spans="1:100">
      <c r="A46043" s="374"/>
      <c r="C46043" s="374"/>
      <c r="CV46043" s="376"/>
    </row>
    <row r="46044" spans="1:100">
      <c r="A46044" s="374"/>
      <c r="C46044" s="374"/>
      <c r="CV46044" s="376"/>
    </row>
    <row r="46045" spans="1:100">
      <c r="A46045" s="374"/>
      <c r="C46045" s="374"/>
      <c r="CV46045" s="376"/>
    </row>
    <row r="46046" spans="1:100">
      <c r="A46046" s="374"/>
      <c r="C46046" s="374"/>
      <c r="CV46046" s="376"/>
    </row>
    <row r="46047" spans="1:100">
      <c r="A46047" s="374"/>
      <c r="C46047" s="374"/>
      <c r="CV46047" s="376"/>
    </row>
    <row r="46048" spans="1:100">
      <c r="A46048" s="374"/>
      <c r="C46048" s="374"/>
      <c r="CV46048" s="376"/>
    </row>
    <row r="46049" spans="1:100">
      <c r="A46049" s="374"/>
      <c r="C46049" s="374"/>
      <c r="CV46049" s="376"/>
    </row>
    <row r="46050" spans="1:100">
      <c r="A46050" s="374"/>
      <c r="C46050" s="374"/>
      <c r="CV46050" s="376"/>
    </row>
    <row r="46051" spans="1:100">
      <c r="A46051" s="374"/>
      <c r="C46051" s="374"/>
      <c r="CV46051" s="376"/>
    </row>
    <row r="46052" spans="1:100">
      <c r="A46052" s="374"/>
      <c r="C46052" s="374"/>
      <c r="CV46052" s="376"/>
    </row>
    <row r="46053" spans="1:100">
      <c r="A46053" s="374"/>
      <c r="C46053" s="374"/>
      <c r="CV46053" s="376"/>
    </row>
    <row r="46054" spans="1:100">
      <c r="A46054" s="374"/>
      <c r="C46054" s="374"/>
      <c r="CV46054" s="376"/>
    </row>
    <row r="46055" spans="1:100">
      <c r="A46055" s="374"/>
      <c r="C46055" s="374"/>
      <c r="CV46055" s="376"/>
    </row>
    <row r="46056" spans="1:100">
      <c r="A46056" s="374"/>
      <c r="C46056" s="374"/>
      <c r="CV46056" s="376"/>
    </row>
    <row r="46057" spans="1:100">
      <c r="A46057" s="374"/>
      <c r="C46057" s="374"/>
      <c r="CV46057" s="376"/>
    </row>
    <row r="46058" spans="1:100">
      <c r="A46058" s="374"/>
      <c r="C46058" s="374"/>
      <c r="CV46058" s="376"/>
    </row>
    <row r="46059" spans="1:100">
      <c r="A46059" s="374"/>
      <c r="C46059" s="374"/>
      <c r="CV46059" s="376"/>
    </row>
    <row r="46060" spans="1:100">
      <c r="A46060" s="374"/>
      <c r="C46060" s="374"/>
      <c r="CV46060" s="376"/>
    </row>
    <row r="46061" spans="1:100">
      <c r="A46061" s="374"/>
      <c r="C46061" s="374"/>
      <c r="CV46061" s="376"/>
    </row>
    <row r="46062" spans="1:100">
      <c r="A46062" s="374"/>
      <c r="C46062" s="374"/>
      <c r="CV46062" s="376"/>
    </row>
    <row r="46063" spans="1:100">
      <c r="A46063" s="374"/>
      <c r="C46063" s="374"/>
      <c r="CV46063" s="376"/>
    </row>
    <row r="46064" spans="1:100">
      <c r="A46064" s="374"/>
      <c r="C46064" s="374"/>
      <c r="CV46064" s="376"/>
    </row>
    <row r="46065" spans="1:100">
      <c r="A46065" s="374"/>
      <c r="C46065" s="374"/>
      <c r="CV46065" s="376"/>
    </row>
    <row r="46066" spans="1:100">
      <c r="A46066" s="374"/>
      <c r="C46066" s="374"/>
      <c r="CV46066" s="376"/>
    </row>
    <row r="46067" spans="1:100">
      <c r="A46067" s="374"/>
      <c r="C46067" s="374"/>
      <c r="CV46067" s="376"/>
    </row>
    <row r="46068" spans="1:100">
      <c r="A46068" s="374"/>
      <c r="C46068" s="374"/>
      <c r="CV46068" s="376"/>
    </row>
    <row r="46069" spans="1:100">
      <c r="A46069" s="374"/>
      <c r="C46069" s="374"/>
      <c r="CV46069" s="376"/>
    </row>
    <row r="46070" spans="1:100">
      <c r="A46070" s="374"/>
      <c r="C46070" s="374"/>
      <c r="CV46070" s="376"/>
    </row>
    <row r="46071" spans="1:100">
      <c r="A46071" s="374"/>
      <c r="C46071" s="374"/>
      <c r="CV46071" s="376"/>
    </row>
    <row r="46072" spans="1:100">
      <c r="A46072" s="374"/>
      <c r="C46072" s="374"/>
      <c r="CV46072" s="376"/>
    </row>
    <row r="46073" spans="1:100">
      <c r="A46073" s="374"/>
      <c r="C46073" s="374"/>
      <c r="CV46073" s="376"/>
    </row>
    <row r="46074" spans="1:100">
      <c r="A46074" s="374"/>
      <c r="C46074" s="374"/>
      <c r="CV46074" s="376"/>
    </row>
    <row r="46075" spans="1:100">
      <c r="A46075" s="374"/>
      <c r="C46075" s="374"/>
      <c r="CV46075" s="376"/>
    </row>
    <row r="46076" spans="1:100">
      <c r="A46076" s="374"/>
      <c r="C46076" s="374"/>
      <c r="CV46076" s="376"/>
    </row>
    <row r="46077" spans="1:100">
      <c r="A46077" s="374"/>
      <c r="C46077" s="374"/>
      <c r="CV46077" s="376"/>
    </row>
    <row r="46078" spans="1:100">
      <c r="A46078" s="374"/>
      <c r="C46078" s="374"/>
      <c r="CV46078" s="376"/>
    </row>
    <row r="46079" spans="1:100">
      <c r="A46079" s="374"/>
      <c r="C46079" s="374"/>
      <c r="CV46079" s="376"/>
    </row>
    <row r="46080" spans="1:100">
      <c r="A46080" s="374"/>
      <c r="C46080" s="374"/>
      <c r="CV46080" s="376"/>
    </row>
    <row r="46081" spans="1:100">
      <c r="A46081" s="374"/>
      <c r="C46081" s="374"/>
      <c r="CV46081" s="376"/>
    </row>
    <row r="46082" spans="1:100">
      <c r="A46082" s="374"/>
      <c r="C46082" s="374"/>
      <c r="CV46082" s="376"/>
    </row>
    <row r="46083" spans="1:100">
      <c r="A46083" s="374"/>
      <c r="C46083" s="374"/>
      <c r="CV46083" s="376"/>
    </row>
    <row r="46084" spans="1:100">
      <c r="A46084" s="374"/>
      <c r="C46084" s="374"/>
      <c r="CV46084" s="376"/>
    </row>
    <row r="46085" spans="1:100">
      <c r="A46085" s="374"/>
      <c r="C46085" s="374"/>
      <c r="CV46085" s="376"/>
    </row>
    <row r="46086" spans="1:100">
      <c r="A46086" s="374"/>
      <c r="C46086" s="374"/>
      <c r="CV46086" s="376"/>
    </row>
    <row r="46087" spans="1:100">
      <c r="A46087" s="374"/>
      <c r="C46087" s="374"/>
      <c r="CV46087" s="376"/>
    </row>
    <row r="46088" spans="1:100">
      <c r="A46088" s="374"/>
      <c r="C46088" s="374"/>
      <c r="CV46088" s="376"/>
    </row>
    <row r="46089" spans="1:100">
      <c r="A46089" s="374"/>
      <c r="C46089" s="374"/>
      <c r="CV46089" s="376"/>
    </row>
    <row r="46090" spans="1:100">
      <c r="A46090" s="374"/>
      <c r="C46090" s="374"/>
      <c r="CV46090" s="376"/>
    </row>
    <row r="46091" spans="1:100">
      <c r="A46091" s="374"/>
      <c r="C46091" s="374"/>
      <c r="CV46091" s="376"/>
    </row>
    <row r="46092" spans="1:100">
      <c r="A46092" s="374"/>
      <c r="C46092" s="374"/>
      <c r="CV46092" s="376"/>
    </row>
    <row r="46093" spans="1:100">
      <c r="A46093" s="374"/>
      <c r="C46093" s="374"/>
      <c r="CV46093" s="376"/>
    </row>
    <row r="46094" spans="1:100">
      <c r="A46094" s="374"/>
      <c r="C46094" s="374"/>
      <c r="CV46094" s="376"/>
    </row>
    <row r="46095" spans="1:100">
      <c r="A46095" s="374"/>
      <c r="C46095" s="374"/>
      <c r="CV46095" s="376"/>
    </row>
    <row r="46096" spans="1:100">
      <c r="A46096" s="374"/>
      <c r="C46096" s="374"/>
      <c r="CV46096" s="376"/>
    </row>
    <row r="46097" spans="1:100">
      <c r="A46097" s="374"/>
      <c r="C46097" s="374"/>
      <c r="CV46097" s="376"/>
    </row>
    <row r="46098" spans="1:100">
      <c r="A46098" s="374"/>
      <c r="C46098" s="374"/>
      <c r="CV46098" s="376"/>
    </row>
    <row r="46099" spans="1:100">
      <c r="A46099" s="374"/>
      <c r="C46099" s="374"/>
      <c r="CV46099" s="376"/>
    </row>
    <row r="46100" spans="1:100">
      <c r="A46100" s="374"/>
      <c r="C46100" s="374"/>
      <c r="CV46100" s="376"/>
    </row>
    <row r="46101" spans="1:100">
      <c r="A46101" s="374"/>
      <c r="C46101" s="374"/>
      <c r="CV46101" s="376"/>
    </row>
    <row r="46102" spans="1:100">
      <c r="A46102" s="374"/>
      <c r="C46102" s="374"/>
      <c r="CV46102" s="376"/>
    </row>
    <row r="46103" spans="1:100">
      <c r="A46103" s="374"/>
      <c r="C46103" s="374"/>
      <c r="CV46103" s="376"/>
    </row>
    <row r="46104" spans="1:100">
      <c r="A46104" s="374"/>
      <c r="C46104" s="374"/>
      <c r="CV46104" s="376"/>
    </row>
    <row r="46105" spans="1:100">
      <c r="A46105" s="374"/>
      <c r="C46105" s="374"/>
      <c r="CV46105" s="376"/>
    </row>
    <row r="46106" spans="1:100">
      <c r="A46106" s="374"/>
      <c r="C46106" s="374"/>
      <c r="CV46106" s="376"/>
    </row>
    <row r="46107" spans="1:100">
      <c r="A46107" s="374"/>
      <c r="C46107" s="374"/>
      <c r="CV46107" s="376"/>
    </row>
    <row r="46108" spans="1:100">
      <c r="A46108" s="374"/>
      <c r="C46108" s="374"/>
      <c r="CV46108" s="376"/>
    </row>
    <row r="46109" spans="1:100">
      <c r="A46109" s="374"/>
      <c r="C46109" s="374"/>
      <c r="CV46109" s="376"/>
    </row>
    <row r="46110" spans="1:100">
      <c r="A46110" s="374"/>
      <c r="C46110" s="374"/>
      <c r="CV46110" s="376"/>
    </row>
    <row r="46111" spans="1:100">
      <c r="A46111" s="374"/>
      <c r="C46111" s="374"/>
      <c r="CV46111" s="376"/>
    </row>
    <row r="46112" spans="1:100">
      <c r="A46112" s="374"/>
      <c r="C46112" s="374"/>
      <c r="CV46112" s="376"/>
    </row>
    <row r="46113" spans="1:100">
      <c r="A46113" s="374"/>
      <c r="C46113" s="374"/>
      <c r="CV46113" s="376"/>
    </row>
    <row r="46114" spans="1:100">
      <c r="A46114" s="374"/>
      <c r="C46114" s="374"/>
      <c r="CV46114" s="376"/>
    </row>
    <row r="46115" spans="1:100">
      <c r="A46115" s="374"/>
      <c r="C46115" s="374"/>
      <c r="CV46115" s="376"/>
    </row>
    <row r="46116" spans="1:100">
      <c r="A46116" s="374"/>
      <c r="C46116" s="374"/>
      <c r="CV46116" s="376"/>
    </row>
    <row r="46117" spans="1:100">
      <c r="A46117" s="374"/>
      <c r="C46117" s="374"/>
      <c r="CV46117" s="376"/>
    </row>
    <row r="46118" spans="1:100">
      <c r="A46118" s="374"/>
      <c r="C46118" s="374"/>
      <c r="CV46118" s="376"/>
    </row>
    <row r="46119" spans="1:100">
      <c r="A46119" s="374"/>
      <c r="C46119" s="374"/>
      <c r="CV46119" s="376"/>
    </row>
    <row r="46120" spans="1:100">
      <c r="A46120" s="374"/>
      <c r="C46120" s="374"/>
      <c r="CV46120" s="376"/>
    </row>
    <row r="46121" spans="1:100">
      <c r="A46121" s="374"/>
      <c r="C46121" s="374"/>
      <c r="CV46121" s="376"/>
    </row>
    <row r="46122" spans="1:100">
      <c r="A46122" s="374"/>
      <c r="C46122" s="374"/>
      <c r="CV46122" s="376"/>
    </row>
    <row r="46123" spans="1:100">
      <c r="A46123" s="374"/>
      <c r="C46123" s="374"/>
      <c r="CV46123" s="376"/>
    </row>
    <row r="46124" spans="1:100">
      <c r="A46124" s="374"/>
      <c r="C46124" s="374"/>
      <c r="CV46124" s="376"/>
    </row>
    <row r="46125" spans="1:100">
      <c r="A46125" s="374"/>
      <c r="C46125" s="374"/>
      <c r="CV46125" s="376"/>
    </row>
    <row r="46126" spans="1:100">
      <c r="A46126" s="374"/>
      <c r="C46126" s="374"/>
      <c r="CV46126" s="376"/>
    </row>
    <row r="46127" spans="1:100">
      <c r="A46127" s="374"/>
      <c r="C46127" s="374"/>
      <c r="CV46127" s="376"/>
    </row>
    <row r="46128" spans="1:100">
      <c r="A46128" s="374"/>
      <c r="C46128" s="374"/>
      <c r="CV46128" s="376"/>
    </row>
    <row r="46129" spans="1:100">
      <c r="A46129" s="374"/>
      <c r="C46129" s="374"/>
      <c r="CV46129" s="376"/>
    </row>
    <row r="46130" spans="1:100">
      <c r="A46130" s="374"/>
      <c r="C46130" s="374"/>
      <c r="CV46130" s="376"/>
    </row>
    <row r="46131" spans="1:100">
      <c r="A46131" s="374"/>
      <c r="C46131" s="374"/>
      <c r="CV46131" s="376"/>
    </row>
    <row r="46132" spans="1:100">
      <c r="A46132" s="374"/>
      <c r="C46132" s="374"/>
      <c r="CV46132" s="376"/>
    </row>
    <row r="46133" spans="1:100">
      <c r="A46133" s="374"/>
      <c r="C46133" s="374"/>
      <c r="CV46133" s="376"/>
    </row>
    <row r="46134" spans="1:100">
      <c r="A46134" s="374"/>
      <c r="C46134" s="374"/>
      <c r="CV46134" s="376"/>
    </row>
    <row r="46135" spans="1:100">
      <c r="A46135" s="374"/>
      <c r="C46135" s="374"/>
      <c r="CV46135" s="376"/>
    </row>
    <row r="46136" spans="1:100">
      <c r="A46136" s="374"/>
      <c r="C46136" s="374"/>
      <c r="CV46136" s="376"/>
    </row>
    <row r="46137" spans="1:100">
      <c r="A46137" s="374"/>
      <c r="C46137" s="374"/>
      <c r="CV46137" s="376"/>
    </row>
    <row r="46138" spans="1:100">
      <c r="A46138" s="374"/>
      <c r="C46138" s="374"/>
      <c r="CV46138" s="376"/>
    </row>
    <row r="46139" spans="1:100">
      <c r="A46139" s="374"/>
      <c r="C46139" s="374"/>
      <c r="CV46139" s="376"/>
    </row>
    <row r="46140" spans="1:100">
      <c r="A46140" s="374"/>
      <c r="C46140" s="374"/>
      <c r="CV46140" s="376"/>
    </row>
    <row r="46141" spans="1:100">
      <c r="A46141" s="374"/>
      <c r="C46141" s="374"/>
      <c r="CV46141" s="376"/>
    </row>
    <row r="46142" spans="1:100">
      <c r="A46142" s="374"/>
      <c r="C46142" s="374"/>
      <c r="CV46142" s="376"/>
    </row>
    <row r="46143" spans="1:100">
      <c r="A46143" s="374"/>
      <c r="C46143" s="374"/>
      <c r="CV46143" s="376"/>
    </row>
    <row r="46144" spans="1:100">
      <c r="A46144" s="374"/>
      <c r="C46144" s="374"/>
      <c r="CV46144" s="376"/>
    </row>
    <row r="46145" spans="1:100">
      <c r="A46145" s="374"/>
      <c r="C46145" s="374"/>
      <c r="CV46145" s="376"/>
    </row>
    <row r="46146" spans="1:100">
      <c r="A46146" s="374"/>
      <c r="C46146" s="374"/>
      <c r="CV46146" s="376"/>
    </row>
    <row r="46147" spans="1:100">
      <c r="A46147" s="374"/>
      <c r="C46147" s="374"/>
      <c r="CV46147" s="376"/>
    </row>
    <row r="46148" spans="1:100">
      <c r="A46148" s="374"/>
      <c r="C46148" s="374"/>
      <c r="CV46148" s="376"/>
    </row>
    <row r="46149" spans="1:100">
      <c r="A46149" s="374"/>
      <c r="C46149" s="374"/>
      <c r="CV46149" s="376"/>
    </row>
    <row r="46150" spans="1:100">
      <c r="A46150" s="374"/>
      <c r="C46150" s="374"/>
      <c r="CV46150" s="376"/>
    </row>
    <row r="46151" spans="1:100">
      <c r="A46151" s="374"/>
      <c r="C46151" s="374"/>
      <c r="CV46151" s="376"/>
    </row>
    <row r="46152" spans="1:100">
      <c r="A46152" s="374"/>
      <c r="C46152" s="374"/>
      <c r="CV46152" s="376"/>
    </row>
    <row r="46153" spans="1:100">
      <c r="A46153" s="374"/>
      <c r="C46153" s="374"/>
      <c r="CV46153" s="376"/>
    </row>
    <row r="46154" spans="1:100">
      <c r="A46154" s="374"/>
      <c r="C46154" s="374"/>
      <c r="CV46154" s="376"/>
    </row>
    <row r="46155" spans="1:100">
      <c r="A46155" s="374"/>
      <c r="C46155" s="374"/>
      <c r="CV46155" s="376"/>
    </row>
    <row r="46156" spans="1:100">
      <c r="A46156" s="374"/>
      <c r="C46156" s="374"/>
      <c r="CV46156" s="376"/>
    </row>
    <row r="46157" spans="1:100">
      <c r="A46157" s="374"/>
      <c r="C46157" s="374"/>
      <c r="CV46157" s="376"/>
    </row>
    <row r="46158" spans="1:100">
      <c r="A46158" s="374"/>
      <c r="C46158" s="374"/>
      <c r="CV46158" s="376"/>
    </row>
    <row r="46159" spans="1:100">
      <c r="A46159" s="374"/>
      <c r="C46159" s="374"/>
      <c r="CV46159" s="376"/>
    </row>
    <row r="46160" spans="1:100">
      <c r="A46160" s="374"/>
      <c r="C46160" s="374"/>
      <c r="CV46160" s="376"/>
    </row>
    <row r="46161" spans="1:100">
      <c r="A46161" s="374"/>
      <c r="C46161" s="374"/>
      <c r="CV46161" s="376"/>
    </row>
    <row r="46162" spans="1:100">
      <c r="A46162" s="374"/>
      <c r="C46162" s="374"/>
      <c r="CV46162" s="376"/>
    </row>
    <row r="46163" spans="1:100">
      <c r="A46163" s="374"/>
      <c r="C46163" s="374"/>
      <c r="CV46163" s="376"/>
    </row>
    <row r="46164" spans="1:100">
      <c r="A46164" s="374"/>
      <c r="C46164" s="374"/>
      <c r="CV46164" s="376"/>
    </row>
    <row r="46165" spans="1:100">
      <c r="A46165" s="374"/>
      <c r="C46165" s="374"/>
      <c r="CV46165" s="376"/>
    </row>
    <row r="46166" spans="1:100">
      <c r="A46166" s="374"/>
      <c r="C46166" s="374"/>
      <c r="CV46166" s="376"/>
    </row>
    <row r="46167" spans="1:100">
      <c r="A46167" s="374"/>
      <c r="C46167" s="374"/>
      <c r="CV46167" s="376"/>
    </row>
    <row r="46168" spans="1:100">
      <c r="A46168" s="374"/>
      <c r="C46168" s="374"/>
      <c r="CV46168" s="376"/>
    </row>
    <row r="46169" spans="1:100">
      <c r="A46169" s="374"/>
      <c r="C46169" s="374"/>
      <c r="CV46169" s="376"/>
    </row>
    <row r="46170" spans="1:100">
      <c r="A46170" s="374"/>
      <c r="C46170" s="374"/>
      <c r="CV46170" s="376"/>
    </row>
    <row r="46171" spans="1:100">
      <c r="A46171" s="374"/>
      <c r="C46171" s="374"/>
      <c r="CV46171" s="376"/>
    </row>
    <row r="46172" spans="1:100">
      <c r="A46172" s="374"/>
      <c r="C46172" s="374"/>
      <c r="CV46172" s="376"/>
    </row>
    <row r="46173" spans="1:100">
      <c r="A46173" s="374"/>
      <c r="C46173" s="374"/>
      <c r="CV46173" s="376"/>
    </row>
    <row r="46174" spans="1:100">
      <c r="A46174" s="374"/>
      <c r="C46174" s="374"/>
      <c r="CV46174" s="376"/>
    </row>
    <row r="46175" spans="1:100">
      <c r="A46175" s="374"/>
      <c r="C46175" s="374"/>
      <c r="CV46175" s="376"/>
    </row>
    <row r="46176" spans="1:100">
      <c r="A46176" s="374"/>
      <c r="C46176" s="374"/>
      <c r="CV46176" s="376"/>
    </row>
    <row r="46177" spans="1:100">
      <c r="A46177" s="374"/>
      <c r="C46177" s="374"/>
      <c r="CV46177" s="376"/>
    </row>
    <row r="46178" spans="1:100">
      <c r="A46178" s="374"/>
      <c r="C46178" s="374"/>
      <c r="CV46178" s="376"/>
    </row>
    <row r="46179" spans="1:100">
      <c r="A46179" s="374"/>
      <c r="C46179" s="374"/>
      <c r="CV46179" s="376"/>
    </row>
    <row r="46180" spans="1:100">
      <c r="A46180" s="374"/>
      <c r="C46180" s="374"/>
      <c r="CV46180" s="376"/>
    </row>
    <row r="46181" spans="1:100">
      <c r="A46181" s="374"/>
      <c r="C46181" s="374"/>
      <c r="CV46181" s="376"/>
    </row>
    <row r="46182" spans="1:100">
      <c r="A46182" s="374"/>
      <c r="C46182" s="374"/>
      <c r="CV46182" s="376"/>
    </row>
    <row r="46183" spans="1:100">
      <c r="A46183" s="374"/>
      <c r="C46183" s="374"/>
      <c r="CV46183" s="376"/>
    </row>
    <row r="46184" spans="1:100">
      <c r="A46184" s="374"/>
      <c r="C46184" s="374"/>
      <c r="CV46184" s="376"/>
    </row>
    <row r="46185" spans="1:100">
      <c r="A46185" s="374"/>
      <c r="C46185" s="374"/>
      <c r="CV46185" s="376"/>
    </row>
    <row r="46186" spans="1:100">
      <c r="A46186" s="374"/>
      <c r="C46186" s="374"/>
      <c r="CV46186" s="376"/>
    </row>
    <row r="46187" spans="1:100">
      <c r="A46187" s="374"/>
      <c r="C46187" s="374"/>
      <c r="CV46187" s="376"/>
    </row>
    <row r="46188" spans="1:100">
      <c r="A46188" s="374"/>
      <c r="C46188" s="374"/>
      <c r="CV46188" s="376"/>
    </row>
    <row r="46189" spans="1:100">
      <c r="A46189" s="374"/>
      <c r="C46189" s="374"/>
      <c r="CV46189" s="376"/>
    </row>
    <row r="46190" spans="1:100">
      <c r="A46190" s="374"/>
      <c r="C46190" s="374"/>
      <c r="CV46190" s="376"/>
    </row>
    <row r="46191" spans="1:100">
      <c r="A46191" s="374"/>
      <c r="C46191" s="374"/>
      <c r="CV46191" s="376"/>
    </row>
    <row r="46192" spans="1:100">
      <c r="A46192" s="374"/>
      <c r="C46192" s="374"/>
      <c r="CV46192" s="376"/>
    </row>
    <row r="46193" spans="1:100">
      <c r="A46193" s="374"/>
      <c r="C46193" s="374"/>
      <c r="CV46193" s="376"/>
    </row>
    <row r="46194" spans="1:100">
      <c r="A46194" s="374"/>
      <c r="C46194" s="374"/>
      <c r="CV46194" s="376"/>
    </row>
    <row r="46195" spans="1:100">
      <c r="A46195" s="374"/>
      <c r="C46195" s="374"/>
      <c r="CV46195" s="376"/>
    </row>
    <row r="46196" spans="1:100">
      <c r="A46196" s="374"/>
      <c r="C46196" s="374"/>
      <c r="CV46196" s="376"/>
    </row>
    <row r="46197" spans="1:100">
      <c r="A46197" s="374"/>
      <c r="C46197" s="374"/>
      <c r="CV46197" s="376"/>
    </row>
    <row r="46198" spans="1:100">
      <c r="A46198" s="374"/>
      <c r="C46198" s="374"/>
      <c r="CV46198" s="376"/>
    </row>
    <row r="46199" spans="1:100">
      <c r="A46199" s="374"/>
      <c r="C46199" s="374"/>
      <c r="CV46199" s="376"/>
    </row>
    <row r="46200" spans="1:100">
      <c r="A46200" s="374"/>
      <c r="C46200" s="374"/>
      <c r="CV46200" s="376"/>
    </row>
    <row r="46201" spans="1:100">
      <c r="A46201" s="374"/>
      <c r="C46201" s="374"/>
      <c r="CV46201" s="376"/>
    </row>
    <row r="46202" spans="1:100">
      <c r="A46202" s="374"/>
      <c r="C46202" s="374"/>
      <c r="CV46202" s="376"/>
    </row>
    <row r="46203" spans="1:100">
      <c r="A46203" s="374"/>
      <c r="C46203" s="374"/>
      <c r="CV46203" s="376"/>
    </row>
    <row r="46204" spans="1:100">
      <c r="A46204" s="374"/>
      <c r="C46204" s="374"/>
      <c r="CV46204" s="376"/>
    </row>
    <row r="46205" spans="1:100">
      <c r="A46205" s="374"/>
      <c r="C46205" s="374"/>
      <c r="CV46205" s="376"/>
    </row>
    <row r="46206" spans="1:100">
      <c r="A46206" s="374"/>
      <c r="C46206" s="374"/>
      <c r="CV46206" s="376"/>
    </row>
    <row r="46207" spans="1:100">
      <c r="A46207" s="374"/>
      <c r="C46207" s="374"/>
      <c r="CV46207" s="376"/>
    </row>
    <row r="46208" spans="1:100">
      <c r="A46208" s="374"/>
      <c r="C46208" s="374"/>
      <c r="CV46208" s="376"/>
    </row>
    <row r="46209" spans="1:100">
      <c r="A46209" s="374"/>
      <c r="C46209" s="374"/>
      <c r="CV46209" s="376"/>
    </row>
    <row r="46210" spans="1:100">
      <c r="A46210" s="374"/>
      <c r="C46210" s="374"/>
      <c r="CV46210" s="376"/>
    </row>
    <row r="46211" spans="1:100">
      <c r="A46211" s="374"/>
      <c r="C46211" s="374"/>
      <c r="CV46211" s="376"/>
    </row>
    <row r="46212" spans="1:100">
      <c r="A46212" s="374"/>
      <c r="C46212" s="374"/>
      <c r="CV46212" s="376"/>
    </row>
    <row r="46213" spans="1:100">
      <c r="A46213" s="374"/>
      <c r="C46213" s="374"/>
      <c r="CV46213" s="376"/>
    </row>
    <row r="46214" spans="1:100">
      <c r="A46214" s="374"/>
      <c r="C46214" s="374"/>
      <c r="CV46214" s="376"/>
    </row>
    <row r="46215" spans="1:100">
      <c r="A46215" s="374"/>
      <c r="C46215" s="374"/>
      <c r="CV46215" s="376"/>
    </row>
    <row r="46216" spans="1:100">
      <c r="A46216" s="374"/>
      <c r="C46216" s="374"/>
      <c r="CV46216" s="376"/>
    </row>
    <row r="46217" spans="1:100">
      <c r="A46217" s="374"/>
      <c r="C46217" s="374"/>
      <c r="CV46217" s="376"/>
    </row>
    <row r="46218" spans="1:100">
      <c r="A46218" s="374"/>
      <c r="C46218" s="374"/>
      <c r="CV46218" s="376"/>
    </row>
    <row r="46219" spans="1:100">
      <c r="A46219" s="374"/>
      <c r="C46219" s="374"/>
      <c r="CV46219" s="376"/>
    </row>
    <row r="46220" spans="1:100">
      <c r="A46220" s="374"/>
      <c r="C46220" s="374"/>
      <c r="CV46220" s="376"/>
    </row>
    <row r="46221" spans="1:100">
      <c r="A46221" s="374"/>
      <c r="C46221" s="374"/>
      <c r="CV46221" s="376"/>
    </row>
    <row r="46222" spans="1:100">
      <c r="A46222" s="374"/>
      <c r="C46222" s="374"/>
      <c r="CV46222" s="376"/>
    </row>
    <row r="46223" spans="1:100">
      <c r="A46223" s="374"/>
      <c r="C46223" s="374"/>
      <c r="CV46223" s="376"/>
    </row>
    <row r="46224" spans="1:100">
      <c r="A46224" s="374"/>
      <c r="C46224" s="374"/>
      <c r="CV46224" s="376"/>
    </row>
    <row r="46225" spans="1:100">
      <c r="A46225" s="374"/>
      <c r="C46225" s="374"/>
      <c r="CV46225" s="376"/>
    </row>
    <row r="46226" spans="1:100">
      <c r="A46226" s="374"/>
      <c r="C46226" s="374"/>
      <c r="CV46226" s="376"/>
    </row>
    <row r="46227" spans="1:100">
      <c r="A46227" s="374"/>
      <c r="C46227" s="374"/>
      <c r="CV46227" s="376"/>
    </row>
    <row r="46228" spans="1:100">
      <c r="A46228" s="374"/>
      <c r="C46228" s="374"/>
      <c r="CV46228" s="376"/>
    </row>
    <row r="46229" spans="1:100">
      <c r="A46229" s="374"/>
      <c r="C46229" s="374"/>
      <c r="CV46229" s="376"/>
    </row>
    <row r="46230" spans="1:100">
      <c r="A46230" s="374"/>
      <c r="C46230" s="374"/>
      <c r="CV46230" s="376"/>
    </row>
    <row r="46231" spans="1:100">
      <c r="A46231" s="374"/>
      <c r="C46231" s="374"/>
      <c r="CV46231" s="376"/>
    </row>
    <row r="46232" spans="1:100">
      <c r="A46232" s="374"/>
      <c r="C46232" s="374"/>
      <c r="CV46232" s="376"/>
    </row>
    <row r="46233" spans="1:100">
      <c r="A46233" s="374"/>
      <c r="C46233" s="374"/>
      <c r="CV46233" s="376"/>
    </row>
    <row r="46234" spans="1:100">
      <c r="A46234" s="374"/>
      <c r="C46234" s="374"/>
      <c r="CV46234" s="376"/>
    </row>
    <row r="46235" spans="1:100">
      <c r="A46235" s="374"/>
      <c r="C46235" s="374"/>
      <c r="CV46235" s="376"/>
    </row>
    <row r="46236" spans="1:100">
      <c r="A46236" s="374"/>
      <c r="C46236" s="374"/>
      <c r="CV46236" s="376"/>
    </row>
    <row r="46237" spans="1:100">
      <c r="A46237" s="374"/>
      <c r="C46237" s="374"/>
      <c r="CV46237" s="376"/>
    </row>
    <row r="46238" spans="1:100">
      <c r="A46238" s="374"/>
      <c r="C46238" s="374"/>
      <c r="CV46238" s="376"/>
    </row>
    <row r="46239" spans="1:100">
      <c r="A46239" s="374"/>
      <c r="C46239" s="374"/>
      <c r="CV46239" s="376"/>
    </row>
    <row r="46240" spans="1:100">
      <c r="A46240" s="374"/>
      <c r="C46240" s="374"/>
      <c r="CV46240" s="376"/>
    </row>
    <row r="46241" spans="1:100">
      <c r="A46241" s="374"/>
      <c r="C46241" s="374"/>
      <c r="CV46241" s="376"/>
    </row>
    <row r="46242" spans="1:100">
      <c r="A46242" s="374"/>
      <c r="C46242" s="374"/>
      <c r="CV46242" s="376"/>
    </row>
    <row r="46243" spans="1:100">
      <c r="A46243" s="374"/>
      <c r="C46243" s="374"/>
      <c r="CV46243" s="376"/>
    </row>
    <row r="46244" spans="1:100">
      <c r="A46244" s="374"/>
      <c r="C46244" s="374"/>
      <c r="CV46244" s="376"/>
    </row>
    <row r="46245" spans="1:100">
      <c r="A46245" s="374"/>
      <c r="C46245" s="374"/>
      <c r="CV46245" s="376"/>
    </row>
    <row r="46246" spans="1:100">
      <c r="A46246" s="374"/>
      <c r="C46246" s="374"/>
      <c r="CV46246" s="376"/>
    </row>
    <row r="46247" spans="1:100">
      <c r="A46247" s="374"/>
      <c r="C46247" s="374"/>
      <c r="CV46247" s="376"/>
    </row>
    <row r="46248" spans="1:100">
      <c r="A46248" s="374"/>
      <c r="C46248" s="374"/>
      <c r="CV46248" s="376"/>
    </row>
    <row r="46249" spans="1:100">
      <c r="A46249" s="374"/>
      <c r="C46249" s="374"/>
      <c r="CV46249" s="376"/>
    </row>
    <row r="46250" spans="1:100">
      <c r="A46250" s="374"/>
      <c r="C46250" s="374"/>
      <c r="CV46250" s="376"/>
    </row>
    <row r="46251" spans="1:100">
      <c r="A46251" s="374"/>
      <c r="C46251" s="374"/>
      <c r="CV46251" s="376"/>
    </row>
    <row r="46252" spans="1:100">
      <c r="A46252" s="374"/>
      <c r="C46252" s="374"/>
      <c r="CV46252" s="376"/>
    </row>
    <row r="46253" spans="1:100">
      <c r="A46253" s="374"/>
      <c r="C46253" s="374"/>
      <c r="CV46253" s="376"/>
    </row>
    <row r="46254" spans="1:100">
      <c r="A46254" s="374"/>
      <c r="C46254" s="374"/>
      <c r="CV46254" s="376"/>
    </row>
    <row r="46255" spans="1:100">
      <c r="A46255" s="374"/>
      <c r="C46255" s="374"/>
      <c r="CV46255" s="376"/>
    </row>
    <row r="46256" spans="1:100">
      <c r="A46256" s="374"/>
      <c r="C46256" s="374"/>
      <c r="CV46256" s="376"/>
    </row>
    <row r="46257" spans="1:100">
      <c r="A46257" s="374"/>
      <c r="C46257" s="374"/>
      <c r="CV46257" s="376"/>
    </row>
    <row r="46258" spans="1:100">
      <c r="A46258" s="374"/>
      <c r="C46258" s="374"/>
      <c r="CV46258" s="376"/>
    </row>
    <row r="46259" spans="1:100">
      <c r="A46259" s="374"/>
      <c r="C46259" s="374"/>
      <c r="CV46259" s="376"/>
    </row>
    <row r="46260" spans="1:100">
      <c r="A46260" s="374"/>
      <c r="C46260" s="374"/>
      <c r="CV46260" s="376"/>
    </row>
    <row r="46261" spans="1:100">
      <c r="A46261" s="374"/>
      <c r="C46261" s="374"/>
      <c r="CV46261" s="376"/>
    </row>
    <row r="46262" spans="1:100">
      <c r="A46262" s="374"/>
      <c r="C46262" s="374"/>
      <c r="CV46262" s="376"/>
    </row>
    <row r="46263" spans="1:100">
      <c r="A46263" s="374"/>
      <c r="C46263" s="374"/>
      <c r="CV46263" s="376"/>
    </row>
    <row r="46264" spans="1:100">
      <c r="A46264" s="374"/>
      <c r="C46264" s="374"/>
      <c r="CV46264" s="376"/>
    </row>
    <row r="46265" spans="1:100">
      <c r="A46265" s="374"/>
      <c r="C46265" s="374"/>
      <c r="CV46265" s="376"/>
    </row>
    <row r="46266" spans="1:100">
      <c r="A46266" s="374"/>
      <c r="C46266" s="374"/>
      <c r="CV46266" s="376"/>
    </row>
    <row r="46267" spans="1:100">
      <c r="A46267" s="374"/>
      <c r="C46267" s="374"/>
      <c r="CV46267" s="376"/>
    </row>
    <row r="46268" spans="1:100">
      <c r="A46268" s="374"/>
      <c r="C46268" s="374"/>
      <c r="CV46268" s="376"/>
    </row>
    <row r="46269" spans="1:100">
      <c r="A46269" s="374"/>
      <c r="C46269" s="374"/>
      <c r="CV46269" s="376"/>
    </row>
    <row r="46270" spans="1:100">
      <c r="A46270" s="374"/>
      <c r="C46270" s="374"/>
      <c r="CV46270" s="376"/>
    </row>
    <row r="46271" spans="1:100">
      <c r="A46271" s="374"/>
      <c r="C46271" s="374"/>
      <c r="CV46271" s="376"/>
    </row>
    <row r="46272" spans="1:100">
      <c r="A46272" s="374"/>
      <c r="C46272" s="374"/>
      <c r="CV46272" s="376"/>
    </row>
    <row r="46273" spans="1:100">
      <c r="A46273" s="374"/>
      <c r="C46273" s="374"/>
      <c r="CV46273" s="376"/>
    </row>
    <row r="46274" spans="1:100">
      <c r="A46274" s="374"/>
      <c r="C46274" s="374"/>
      <c r="CV46274" s="376"/>
    </row>
    <row r="46275" spans="1:100">
      <c r="A46275" s="374"/>
      <c r="C46275" s="374"/>
      <c r="CV46275" s="376"/>
    </row>
    <row r="46276" spans="1:100">
      <c r="A46276" s="374"/>
      <c r="C46276" s="374"/>
      <c r="CV46276" s="376"/>
    </row>
    <row r="46277" spans="1:100">
      <c r="A46277" s="374"/>
      <c r="C46277" s="374"/>
      <c r="CV46277" s="376"/>
    </row>
    <row r="46278" spans="1:100">
      <c r="A46278" s="374"/>
      <c r="C46278" s="374"/>
      <c r="CV46278" s="376"/>
    </row>
    <row r="46279" spans="1:100">
      <c r="A46279" s="374"/>
      <c r="C46279" s="374"/>
      <c r="CV46279" s="376"/>
    </row>
    <row r="46280" spans="1:100">
      <c r="A46280" s="374"/>
      <c r="C46280" s="374"/>
      <c r="CV46280" s="376"/>
    </row>
    <row r="46281" spans="1:100">
      <c r="A46281" s="374"/>
      <c r="C46281" s="374"/>
      <c r="CV46281" s="376"/>
    </row>
    <row r="46282" spans="1:100">
      <c r="A46282" s="374"/>
      <c r="C46282" s="374"/>
      <c r="CV46282" s="376"/>
    </row>
    <row r="46283" spans="1:100">
      <c r="A46283" s="374"/>
      <c r="C46283" s="374"/>
      <c r="CV46283" s="376"/>
    </row>
    <row r="46284" spans="1:100">
      <c r="A46284" s="374"/>
      <c r="C46284" s="374"/>
      <c r="CV46284" s="376"/>
    </row>
    <row r="46285" spans="1:100">
      <c r="A46285" s="374"/>
      <c r="C46285" s="374"/>
      <c r="CV46285" s="376"/>
    </row>
    <row r="46286" spans="1:100">
      <c r="A46286" s="374"/>
      <c r="C46286" s="374"/>
      <c r="CV46286" s="376"/>
    </row>
    <row r="46287" spans="1:100">
      <c r="A46287" s="374"/>
      <c r="C46287" s="374"/>
      <c r="CV46287" s="376"/>
    </row>
    <row r="46288" spans="1:100">
      <c r="A46288" s="374"/>
      <c r="C46288" s="374"/>
      <c r="CV46288" s="376"/>
    </row>
    <row r="46289" spans="1:100">
      <c r="A46289" s="374"/>
      <c r="C46289" s="374"/>
      <c r="CV46289" s="376"/>
    </row>
    <row r="46290" spans="1:100">
      <c r="A46290" s="374"/>
      <c r="C46290" s="374"/>
      <c r="CV46290" s="376"/>
    </row>
    <row r="46291" spans="1:100">
      <c r="A46291" s="374"/>
      <c r="C46291" s="374"/>
      <c r="CV46291" s="376"/>
    </row>
    <row r="46292" spans="1:100">
      <c r="A46292" s="374"/>
      <c r="C46292" s="374"/>
      <c r="CV46292" s="376"/>
    </row>
    <row r="46293" spans="1:100">
      <c r="A46293" s="374"/>
      <c r="C46293" s="374"/>
      <c r="CV46293" s="376"/>
    </row>
    <row r="46294" spans="1:100">
      <c r="A46294" s="374"/>
      <c r="C46294" s="374"/>
      <c r="CV46294" s="376"/>
    </row>
    <row r="46295" spans="1:100">
      <c r="A46295" s="374"/>
      <c r="C46295" s="374"/>
      <c r="CV46295" s="376"/>
    </row>
    <row r="46296" spans="1:100">
      <c r="A46296" s="374"/>
      <c r="C46296" s="374"/>
      <c r="CV46296" s="376"/>
    </row>
    <row r="46297" spans="1:100">
      <c r="A46297" s="374"/>
      <c r="C46297" s="374"/>
      <c r="CV46297" s="376"/>
    </row>
    <row r="46298" spans="1:100">
      <c r="A46298" s="374"/>
      <c r="C46298" s="374"/>
      <c r="CV46298" s="376"/>
    </row>
    <row r="46299" spans="1:100">
      <c r="A46299" s="374"/>
      <c r="C46299" s="374"/>
      <c r="CV46299" s="376"/>
    </row>
    <row r="46300" spans="1:100">
      <c r="A46300" s="374"/>
      <c r="C46300" s="374"/>
      <c r="CV46300" s="376"/>
    </row>
    <row r="46301" spans="1:100">
      <c r="A46301" s="374"/>
      <c r="C46301" s="374"/>
      <c r="CV46301" s="376"/>
    </row>
    <row r="46302" spans="1:100">
      <c r="A46302" s="374"/>
      <c r="C46302" s="374"/>
      <c r="CV46302" s="376"/>
    </row>
    <row r="46303" spans="1:100">
      <c r="A46303" s="374"/>
      <c r="C46303" s="374"/>
      <c r="CV46303" s="376"/>
    </row>
    <row r="46304" spans="1:100">
      <c r="A46304" s="374"/>
      <c r="C46304" s="374"/>
      <c r="CV46304" s="376"/>
    </row>
    <row r="46305" spans="1:100">
      <c r="A46305" s="374"/>
      <c r="C46305" s="374"/>
      <c r="CV46305" s="376"/>
    </row>
    <row r="46306" spans="1:100">
      <c r="A46306" s="374"/>
      <c r="C46306" s="374"/>
      <c r="CV46306" s="376"/>
    </row>
    <row r="46307" spans="1:100">
      <c r="A46307" s="374"/>
      <c r="C46307" s="374"/>
      <c r="CV46307" s="376"/>
    </row>
    <row r="46308" spans="1:100">
      <c r="A46308" s="374"/>
      <c r="C46308" s="374"/>
      <c r="CV46308" s="376"/>
    </row>
    <row r="46309" spans="1:100">
      <c r="A46309" s="374"/>
      <c r="C46309" s="374"/>
      <c r="CV46309" s="376"/>
    </row>
    <row r="46310" spans="1:100">
      <c r="A46310" s="374"/>
      <c r="C46310" s="374"/>
      <c r="CV46310" s="376"/>
    </row>
    <row r="46311" spans="1:100">
      <c r="A46311" s="374"/>
      <c r="C46311" s="374"/>
      <c r="CV46311" s="376"/>
    </row>
    <row r="46312" spans="1:100">
      <c r="A46312" s="374"/>
      <c r="C46312" s="374"/>
      <c r="CV46312" s="376"/>
    </row>
    <row r="46313" spans="1:100">
      <c r="A46313" s="374"/>
      <c r="C46313" s="374"/>
      <c r="CV46313" s="376"/>
    </row>
    <row r="46314" spans="1:100">
      <c r="A46314" s="374"/>
      <c r="C46314" s="374"/>
      <c r="CV46314" s="376"/>
    </row>
    <row r="46315" spans="1:100">
      <c r="A46315" s="374"/>
      <c r="C46315" s="374"/>
      <c r="CV46315" s="376"/>
    </row>
    <row r="46316" spans="1:100">
      <c r="A46316" s="374"/>
      <c r="C46316" s="374"/>
      <c r="CV46316" s="376"/>
    </row>
    <row r="46317" spans="1:100">
      <c r="A46317" s="374"/>
      <c r="C46317" s="374"/>
      <c r="CV46317" s="376"/>
    </row>
    <row r="46318" spans="1:100">
      <c r="A46318" s="374"/>
      <c r="C46318" s="374"/>
      <c r="CV46318" s="376"/>
    </row>
    <row r="46319" spans="1:100">
      <c r="A46319" s="374"/>
      <c r="C46319" s="374"/>
      <c r="CV46319" s="376"/>
    </row>
    <row r="46320" spans="1:100">
      <c r="A46320" s="374"/>
      <c r="C46320" s="374"/>
      <c r="CV46320" s="376"/>
    </row>
    <row r="46321" spans="1:100">
      <c r="A46321" s="374"/>
      <c r="C46321" s="374"/>
      <c r="CV46321" s="376"/>
    </row>
    <row r="46322" spans="1:100">
      <c r="A46322" s="374"/>
      <c r="C46322" s="374"/>
      <c r="CV46322" s="376"/>
    </row>
    <row r="46323" spans="1:100">
      <c r="A46323" s="374"/>
      <c r="C46323" s="374"/>
      <c r="CV46323" s="376"/>
    </row>
    <row r="46324" spans="1:100">
      <c r="A46324" s="374"/>
      <c r="C46324" s="374"/>
      <c r="CV46324" s="376"/>
    </row>
    <row r="46325" spans="1:100">
      <c r="A46325" s="374"/>
      <c r="C46325" s="374"/>
      <c r="CV46325" s="376"/>
    </row>
    <row r="46326" spans="1:100">
      <c r="A46326" s="374"/>
      <c r="C46326" s="374"/>
      <c r="CV46326" s="376"/>
    </row>
    <row r="46327" spans="1:100">
      <c r="A46327" s="374"/>
      <c r="C46327" s="374"/>
      <c r="CV46327" s="376"/>
    </row>
    <row r="46328" spans="1:100">
      <c r="A46328" s="374"/>
      <c r="C46328" s="374"/>
      <c r="CV46328" s="376"/>
    </row>
    <row r="46329" spans="1:100">
      <c r="A46329" s="374"/>
      <c r="C46329" s="374"/>
      <c r="CV46329" s="376"/>
    </row>
    <row r="46330" spans="1:100">
      <c r="A46330" s="374"/>
      <c r="C46330" s="374"/>
      <c r="CV46330" s="376"/>
    </row>
    <row r="46331" spans="1:100">
      <c r="A46331" s="374"/>
      <c r="C46331" s="374"/>
      <c r="CV46331" s="376"/>
    </row>
    <row r="46332" spans="1:100">
      <c r="A46332" s="374"/>
      <c r="C46332" s="374"/>
      <c r="CV46332" s="376"/>
    </row>
    <row r="46333" spans="1:100">
      <c r="A46333" s="374"/>
      <c r="C46333" s="374"/>
      <c r="CV46333" s="376"/>
    </row>
    <row r="46334" spans="1:100">
      <c r="A46334" s="374"/>
      <c r="C46334" s="374"/>
      <c r="CV46334" s="376"/>
    </row>
    <row r="46335" spans="1:100">
      <c r="A46335" s="374"/>
      <c r="C46335" s="374"/>
      <c r="CV46335" s="376"/>
    </row>
    <row r="46336" spans="1:100">
      <c r="A46336" s="374"/>
      <c r="C46336" s="374"/>
      <c r="CV46336" s="376"/>
    </row>
    <row r="46337" spans="1:100">
      <c r="A46337" s="374"/>
      <c r="C46337" s="374"/>
      <c r="CV46337" s="376"/>
    </row>
    <row r="46338" spans="1:100">
      <c r="A46338" s="374"/>
      <c r="C46338" s="374"/>
      <c r="CV46338" s="376"/>
    </row>
    <row r="46339" spans="1:100">
      <c r="A46339" s="374"/>
      <c r="C46339" s="374"/>
      <c r="CV46339" s="376"/>
    </row>
    <row r="46340" spans="1:100">
      <c r="A46340" s="374"/>
      <c r="C46340" s="374"/>
      <c r="CV46340" s="376"/>
    </row>
    <row r="46341" spans="1:100">
      <c r="A46341" s="374"/>
      <c r="C46341" s="374"/>
      <c r="CV46341" s="376"/>
    </row>
    <row r="46342" spans="1:100">
      <c r="A46342" s="374"/>
      <c r="C46342" s="374"/>
      <c r="CV46342" s="376"/>
    </row>
    <row r="46343" spans="1:100">
      <c r="A46343" s="374"/>
      <c r="C46343" s="374"/>
      <c r="CV46343" s="376"/>
    </row>
    <row r="46344" spans="1:100">
      <c r="A46344" s="374"/>
      <c r="C46344" s="374"/>
      <c r="CV46344" s="376"/>
    </row>
    <row r="46345" spans="1:100">
      <c r="A46345" s="374"/>
      <c r="C46345" s="374"/>
      <c r="CV46345" s="376"/>
    </row>
    <row r="46346" spans="1:100">
      <c r="A46346" s="374"/>
      <c r="C46346" s="374"/>
      <c r="CV46346" s="376"/>
    </row>
    <row r="46347" spans="1:100">
      <c r="A46347" s="374"/>
      <c r="C46347" s="374"/>
      <c r="CV46347" s="376"/>
    </row>
    <row r="46348" spans="1:100">
      <c r="A46348" s="374"/>
      <c r="C46348" s="374"/>
      <c r="CV46348" s="376"/>
    </row>
    <row r="46349" spans="1:100">
      <c r="A46349" s="374"/>
      <c r="C46349" s="374"/>
      <c r="CV46349" s="376"/>
    </row>
    <row r="46350" spans="1:100">
      <c r="A46350" s="374"/>
      <c r="C46350" s="374"/>
      <c r="CV46350" s="376"/>
    </row>
    <row r="46351" spans="1:100">
      <c r="A46351" s="374"/>
      <c r="C46351" s="374"/>
      <c r="CV46351" s="376"/>
    </row>
    <row r="46352" spans="1:100">
      <c r="A46352" s="374"/>
      <c r="C46352" s="374"/>
      <c r="CV46352" s="376"/>
    </row>
    <row r="46353" spans="1:100">
      <c r="A46353" s="374"/>
      <c r="C46353" s="374"/>
      <c r="CV46353" s="376"/>
    </row>
    <row r="46354" spans="1:100">
      <c r="A46354" s="374"/>
      <c r="C46354" s="374"/>
      <c r="CV46354" s="376"/>
    </row>
    <row r="46355" spans="1:100">
      <c r="A46355" s="374"/>
      <c r="C46355" s="374"/>
      <c r="CV46355" s="376"/>
    </row>
    <row r="46356" spans="1:100">
      <c r="A46356" s="374"/>
      <c r="C46356" s="374"/>
      <c r="CV46356" s="376"/>
    </row>
    <row r="46357" spans="1:100">
      <c r="A46357" s="374"/>
      <c r="C46357" s="374"/>
      <c r="CV46357" s="376"/>
    </row>
    <row r="46358" spans="1:100">
      <c r="A46358" s="374"/>
      <c r="C46358" s="374"/>
      <c r="CV46358" s="376"/>
    </row>
    <row r="46359" spans="1:100">
      <c r="A46359" s="374"/>
      <c r="C46359" s="374"/>
      <c r="CV46359" s="376"/>
    </row>
    <row r="46360" spans="1:100">
      <c r="A46360" s="374"/>
      <c r="C46360" s="374"/>
      <c r="CV46360" s="376"/>
    </row>
    <row r="46361" spans="1:100">
      <c r="A46361" s="374"/>
      <c r="C46361" s="374"/>
      <c r="CV46361" s="376"/>
    </row>
    <row r="46362" spans="1:100">
      <c r="A46362" s="374"/>
      <c r="C46362" s="374"/>
      <c r="CV46362" s="376"/>
    </row>
    <row r="46363" spans="1:100">
      <c r="A46363" s="374"/>
      <c r="C46363" s="374"/>
      <c r="CV46363" s="376"/>
    </row>
    <row r="46364" spans="1:100">
      <c r="A46364" s="374"/>
      <c r="C46364" s="374"/>
      <c r="CV46364" s="376"/>
    </row>
    <row r="46365" spans="1:100">
      <c r="A46365" s="374"/>
      <c r="C46365" s="374"/>
      <c r="CV46365" s="376"/>
    </row>
    <row r="46366" spans="1:100">
      <c r="A46366" s="374"/>
      <c r="C46366" s="374"/>
      <c r="CV46366" s="376"/>
    </row>
    <row r="46367" spans="1:100">
      <c r="A46367" s="374"/>
      <c r="C46367" s="374"/>
      <c r="CV46367" s="376"/>
    </row>
    <row r="46368" spans="1:100">
      <c r="A46368" s="374"/>
      <c r="C46368" s="374"/>
      <c r="CV46368" s="376"/>
    </row>
    <row r="46369" spans="1:100">
      <c r="A46369" s="374"/>
      <c r="C46369" s="374"/>
      <c r="CV46369" s="376"/>
    </row>
    <row r="46370" spans="1:100">
      <c r="A46370" s="374"/>
      <c r="C46370" s="374"/>
      <c r="CV46370" s="376"/>
    </row>
    <row r="46371" spans="1:100">
      <c r="A46371" s="374"/>
      <c r="C46371" s="374"/>
      <c r="CV46371" s="376"/>
    </row>
    <row r="46372" spans="1:100">
      <c r="A46372" s="374"/>
      <c r="C46372" s="374"/>
      <c r="CV46372" s="376"/>
    </row>
    <row r="46373" spans="1:100">
      <c r="A46373" s="374"/>
      <c r="C46373" s="374"/>
      <c r="CV46373" s="376"/>
    </row>
    <row r="46374" spans="1:100">
      <c r="A46374" s="374"/>
      <c r="C46374" s="374"/>
      <c r="CV46374" s="376"/>
    </row>
    <row r="46375" spans="1:100">
      <c r="A46375" s="374"/>
      <c r="C46375" s="374"/>
      <c r="CV46375" s="376"/>
    </row>
    <row r="46376" spans="1:100">
      <c r="A46376" s="374"/>
      <c r="C46376" s="374"/>
      <c r="CV46376" s="376"/>
    </row>
    <row r="46377" spans="1:100">
      <c r="A46377" s="374"/>
      <c r="C46377" s="374"/>
      <c r="CV46377" s="376"/>
    </row>
    <row r="46378" spans="1:100">
      <c r="A46378" s="374"/>
      <c r="C46378" s="374"/>
      <c r="CV46378" s="376"/>
    </row>
    <row r="46379" spans="1:100">
      <c r="A46379" s="374"/>
      <c r="C46379" s="374"/>
      <c r="CV46379" s="376"/>
    </row>
    <row r="46380" spans="1:100">
      <c r="A46380" s="374"/>
      <c r="C46380" s="374"/>
      <c r="CV46380" s="376"/>
    </row>
    <row r="46381" spans="1:100">
      <c r="A46381" s="374"/>
      <c r="C46381" s="374"/>
      <c r="CV46381" s="376"/>
    </row>
    <row r="46382" spans="1:100">
      <c r="A46382" s="374"/>
      <c r="C46382" s="374"/>
      <c r="CV46382" s="376"/>
    </row>
    <row r="46383" spans="1:100">
      <c r="A46383" s="374"/>
      <c r="C46383" s="374"/>
      <c r="CV46383" s="376"/>
    </row>
    <row r="46384" spans="1:100">
      <c r="A46384" s="374"/>
      <c r="C46384" s="374"/>
      <c r="CV46384" s="376"/>
    </row>
    <row r="46385" spans="1:100">
      <c r="A46385" s="374"/>
      <c r="C46385" s="374"/>
      <c r="CV46385" s="376"/>
    </row>
    <row r="46386" spans="1:100">
      <c r="A46386" s="374"/>
      <c r="C46386" s="374"/>
      <c r="CV46386" s="376"/>
    </row>
    <row r="46387" spans="1:100">
      <c r="A46387" s="374"/>
      <c r="C46387" s="374"/>
      <c r="CV46387" s="376"/>
    </row>
    <row r="46388" spans="1:100">
      <c r="A46388" s="374"/>
      <c r="C46388" s="374"/>
      <c r="CV46388" s="376"/>
    </row>
    <row r="46389" spans="1:100">
      <c r="A46389" s="374"/>
      <c r="C46389" s="374"/>
      <c r="CV46389" s="376"/>
    </row>
    <row r="46390" spans="1:100">
      <c r="A46390" s="374"/>
      <c r="C46390" s="374"/>
      <c r="CV46390" s="376"/>
    </row>
    <row r="46391" spans="1:100">
      <c r="A46391" s="374"/>
      <c r="C46391" s="374"/>
      <c r="CV46391" s="376"/>
    </row>
    <row r="46392" spans="1:100">
      <c r="A46392" s="374"/>
      <c r="C46392" s="374"/>
      <c r="CV46392" s="376"/>
    </row>
    <row r="46393" spans="1:100">
      <c r="A46393" s="374"/>
      <c r="C46393" s="374"/>
      <c r="CV46393" s="376"/>
    </row>
    <row r="46394" spans="1:100">
      <c r="A46394" s="374"/>
      <c r="C46394" s="374"/>
      <c r="CV46394" s="376"/>
    </row>
    <row r="46395" spans="1:100">
      <c r="A46395" s="374"/>
      <c r="C46395" s="374"/>
      <c r="CV46395" s="376"/>
    </row>
    <row r="46396" spans="1:100">
      <c r="A46396" s="374"/>
      <c r="C46396" s="374"/>
      <c r="CV46396" s="376"/>
    </row>
    <row r="46397" spans="1:100">
      <c r="A46397" s="374"/>
      <c r="C46397" s="374"/>
      <c r="CV46397" s="376"/>
    </row>
    <row r="46398" spans="1:100">
      <c r="A46398" s="374"/>
      <c r="C46398" s="374"/>
      <c r="CV46398" s="376"/>
    </row>
    <row r="46399" spans="1:100">
      <c r="A46399" s="374"/>
      <c r="C46399" s="374"/>
      <c r="CV46399" s="376"/>
    </row>
    <row r="46400" spans="1:100">
      <c r="A46400" s="374"/>
      <c r="C46400" s="374"/>
      <c r="CV46400" s="376"/>
    </row>
    <row r="46401" spans="1:100">
      <c r="A46401" s="374"/>
      <c r="C46401" s="374"/>
      <c r="CV46401" s="376"/>
    </row>
    <row r="46402" spans="1:100">
      <c r="A46402" s="374"/>
      <c r="C46402" s="374"/>
      <c r="CV46402" s="376"/>
    </row>
    <row r="46403" spans="1:100">
      <c r="A46403" s="374"/>
      <c r="C46403" s="374"/>
      <c r="CV46403" s="376"/>
    </row>
    <row r="46404" spans="1:100">
      <c r="A46404" s="374"/>
      <c r="C46404" s="374"/>
      <c r="CV46404" s="376"/>
    </row>
    <row r="46405" spans="1:100">
      <c r="A46405" s="374"/>
      <c r="C46405" s="374"/>
      <c r="CV46405" s="376"/>
    </row>
    <row r="46406" spans="1:100">
      <c r="A46406" s="374"/>
      <c r="C46406" s="374"/>
      <c r="CV46406" s="376"/>
    </row>
    <row r="46407" spans="1:100">
      <c r="A46407" s="374"/>
      <c r="C46407" s="374"/>
      <c r="CV46407" s="376"/>
    </row>
    <row r="46408" spans="1:100">
      <c r="A46408" s="374"/>
      <c r="C46408" s="374"/>
      <c r="CV46408" s="376"/>
    </row>
    <row r="46409" spans="1:100">
      <c r="A46409" s="374"/>
      <c r="C46409" s="374"/>
      <c r="CV46409" s="376"/>
    </row>
    <row r="46410" spans="1:100">
      <c r="A46410" s="374"/>
      <c r="C46410" s="374"/>
      <c r="CV46410" s="376"/>
    </row>
    <row r="46411" spans="1:100">
      <c r="A46411" s="374"/>
      <c r="C46411" s="374"/>
      <c r="CV46411" s="376"/>
    </row>
    <row r="46412" spans="1:100">
      <c r="A46412" s="374"/>
      <c r="C46412" s="374"/>
      <c r="CV46412" s="376"/>
    </row>
    <row r="46413" spans="1:100">
      <c r="A46413" s="374"/>
      <c r="C46413" s="374"/>
      <c r="CV46413" s="376"/>
    </row>
    <row r="46414" spans="1:100">
      <c r="A46414" s="374"/>
      <c r="C46414" s="374"/>
      <c r="CV46414" s="376"/>
    </row>
    <row r="46415" spans="1:100">
      <c r="A46415" s="374"/>
      <c r="C46415" s="374"/>
      <c r="CV46415" s="376"/>
    </row>
    <row r="46416" spans="1:100">
      <c r="A46416" s="374"/>
      <c r="C46416" s="374"/>
      <c r="CV46416" s="376"/>
    </row>
    <row r="46417" spans="1:100">
      <c r="A46417" s="374"/>
      <c r="C46417" s="374"/>
      <c r="CV46417" s="376"/>
    </row>
    <row r="46418" spans="1:100">
      <c r="A46418" s="374"/>
      <c r="C46418" s="374"/>
      <c r="CV46418" s="376"/>
    </row>
    <row r="46419" spans="1:100">
      <c r="A46419" s="374"/>
      <c r="C46419" s="374"/>
      <c r="CV46419" s="376"/>
    </row>
    <row r="46420" spans="1:100">
      <c r="A46420" s="374"/>
      <c r="C46420" s="374"/>
      <c r="CV46420" s="376"/>
    </row>
    <row r="46421" spans="1:100">
      <c r="A46421" s="374"/>
      <c r="C46421" s="374"/>
      <c r="CV46421" s="376"/>
    </row>
    <row r="46422" spans="1:100">
      <c r="A46422" s="374"/>
      <c r="C46422" s="374"/>
      <c r="CV46422" s="376"/>
    </row>
    <row r="46423" spans="1:100">
      <c r="A46423" s="374"/>
      <c r="C46423" s="374"/>
      <c r="CV46423" s="376"/>
    </row>
    <row r="46424" spans="1:100">
      <c r="A46424" s="374"/>
      <c r="C46424" s="374"/>
      <c r="CV46424" s="376"/>
    </row>
    <row r="46425" spans="1:100">
      <c r="A46425" s="374"/>
      <c r="C46425" s="374"/>
      <c r="CV46425" s="376"/>
    </row>
    <row r="46426" spans="1:100">
      <c r="A46426" s="374"/>
      <c r="C46426" s="374"/>
      <c r="CV46426" s="376"/>
    </row>
    <row r="46427" spans="1:100">
      <c r="A46427" s="374"/>
      <c r="C46427" s="374"/>
      <c r="CV46427" s="376"/>
    </row>
    <row r="46428" spans="1:100">
      <c r="A46428" s="374"/>
      <c r="C46428" s="374"/>
      <c r="CV46428" s="376"/>
    </row>
    <row r="46429" spans="1:100">
      <c r="A46429" s="374"/>
      <c r="C46429" s="374"/>
      <c r="CV46429" s="376"/>
    </row>
    <row r="46430" spans="1:100">
      <c r="A46430" s="374"/>
      <c r="C46430" s="374"/>
      <c r="CV46430" s="376"/>
    </row>
    <row r="46431" spans="1:100">
      <c r="A46431" s="374"/>
      <c r="C46431" s="374"/>
      <c r="CV46431" s="376"/>
    </row>
    <row r="46432" spans="1:100">
      <c r="A46432" s="374"/>
      <c r="C46432" s="374"/>
      <c r="CV46432" s="376"/>
    </row>
    <row r="46433" spans="1:100">
      <c r="A46433" s="374"/>
      <c r="C46433" s="374"/>
      <c r="CV46433" s="376"/>
    </row>
    <row r="46434" spans="1:100">
      <c r="A46434" s="374"/>
      <c r="C46434" s="374"/>
      <c r="CV46434" s="376"/>
    </row>
    <row r="46435" spans="1:100">
      <c r="A46435" s="374"/>
      <c r="C46435" s="374"/>
      <c r="CV46435" s="376"/>
    </row>
    <row r="46436" spans="1:100">
      <c r="A46436" s="374"/>
      <c r="C46436" s="374"/>
      <c r="CV46436" s="376"/>
    </row>
    <row r="46437" spans="1:100">
      <c r="A46437" s="374"/>
      <c r="C46437" s="374"/>
      <c r="CV46437" s="376"/>
    </row>
    <row r="46438" spans="1:100">
      <c r="A46438" s="374"/>
      <c r="C46438" s="374"/>
      <c r="CV46438" s="376"/>
    </row>
    <row r="46439" spans="1:100">
      <c r="A46439" s="374"/>
      <c r="C46439" s="374"/>
      <c r="CV46439" s="376"/>
    </row>
    <row r="46440" spans="1:100">
      <c r="A46440" s="374"/>
      <c r="C46440" s="374"/>
      <c r="CV46440" s="376"/>
    </row>
    <row r="46441" spans="1:100">
      <c r="A46441" s="374"/>
      <c r="C46441" s="374"/>
      <c r="CV46441" s="376"/>
    </row>
    <row r="46442" spans="1:100">
      <c r="A46442" s="374"/>
      <c r="C46442" s="374"/>
      <c r="CV46442" s="376"/>
    </row>
    <row r="46443" spans="1:100">
      <c r="A46443" s="374"/>
      <c r="C46443" s="374"/>
      <c r="CV46443" s="376"/>
    </row>
    <row r="46444" spans="1:100">
      <c r="A46444" s="374"/>
      <c r="C46444" s="374"/>
      <c r="CV46444" s="376"/>
    </row>
    <row r="46445" spans="1:100">
      <c r="A46445" s="374"/>
      <c r="C46445" s="374"/>
      <c r="CV46445" s="376"/>
    </row>
    <row r="46446" spans="1:100">
      <c r="A46446" s="374"/>
      <c r="C46446" s="374"/>
      <c r="CV46446" s="376"/>
    </row>
    <row r="46447" spans="1:100">
      <c r="A46447" s="374"/>
      <c r="C46447" s="374"/>
      <c r="CV46447" s="376"/>
    </row>
    <row r="46448" spans="1:100">
      <c r="A46448" s="374"/>
      <c r="C46448" s="374"/>
      <c r="CV46448" s="376"/>
    </row>
    <row r="46449" spans="1:100">
      <c r="A46449" s="374"/>
      <c r="C46449" s="374"/>
      <c r="CV46449" s="376"/>
    </row>
    <row r="46450" spans="1:100">
      <c r="A46450" s="374"/>
      <c r="C46450" s="374"/>
      <c r="CV46450" s="376"/>
    </row>
    <row r="46451" spans="1:100">
      <c r="A46451" s="374"/>
      <c r="C46451" s="374"/>
      <c r="CV46451" s="376"/>
    </row>
    <row r="46452" spans="1:100">
      <c r="A46452" s="374"/>
      <c r="C46452" s="374"/>
      <c r="CV46452" s="376"/>
    </row>
    <row r="46453" spans="1:100">
      <c r="A46453" s="374"/>
      <c r="C46453" s="374"/>
      <c r="CV46453" s="376"/>
    </row>
    <row r="46454" spans="1:100">
      <c r="A46454" s="374"/>
      <c r="C46454" s="374"/>
      <c r="CV46454" s="376"/>
    </row>
    <row r="46455" spans="1:100">
      <c r="A46455" s="374"/>
      <c r="C46455" s="374"/>
      <c r="CV46455" s="376"/>
    </row>
    <row r="46456" spans="1:100">
      <c r="A46456" s="374"/>
      <c r="C46456" s="374"/>
      <c r="CV46456" s="376"/>
    </row>
    <row r="46457" spans="1:100">
      <c r="A46457" s="374"/>
      <c r="C46457" s="374"/>
      <c r="CV46457" s="376"/>
    </row>
    <row r="46458" spans="1:100">
      <c r="A46458" s="374"/>
      <c r="C46458" s="374"/>
      <c r="CV46458" s="376"/>
    </row>
    <row r="46459" spans="1:100">
      <c r="A46459" s="374"/>
      <c r="C46459" s="374"/>
      <c r="CV46459" s="376"/>
    </row>
    <row r="46460" spans="1:100">
      <c r="A46460" s="374"/>
      <c r="C46460" s="374"/>
      <c r="CV46460" s="376"/>
    </row>
    <row r="46461" spans="1:100">
      <c r="A46461" s="374"/>
      <c r="C46461" s="374"/>
      <c r="CV46461" s="376"/>
    </row>
    <row r="46462" spans="1:100">
      <c r="A46462" s="374"/>
      <c r="C46462" s="374"/>
      <c r="CV46462" s="376"/>
    </row>
    <row r="46463" spans="1:100">
      <c r="A46463" s="374"/>
      <c r="C46463" s="374"/>
      <c r="CV46463" s="376"/>
    </row>
    <row r="46464" spans="1:100">
      <c r="A46464" s="374"/>
      <c r="C46464" s="374"/>
      <c r="CV46464" s="376"/>
    </row>
    <row r="46465" spans="1:100">
      <c r="A46465" s="374"/>
      <c r="C46465" s="374"/>
      <c r="CV46465" s="376"/>
    </row>
    <row r="46466" spans="1:100">
      <c r="A46466" s="374"/>
      <c r="C46466" s="374"/>
      <c r="CV46466" s="376"/>
    </row>
    <row r="46467" spans="1:100">
      <c r="A46467" s="374"/>
      <c r="C46467" s="374"/>
      <c r="CV46467" s="376"/>
    </row>
    <row r="46468" spans="1:100">
      <c r="A46468" s="374"/>
      <c r="C46468" s="374"/>
      <c r="CV46468" s="376"/>
    </row>
    <row r="46469" spans="1:100">
      <c r="A46469" s="374"/>
      <c r="C46469" s="374"/>
      <c r="CV46469" s="376"/>
    </row>
    <row r="46470" spans="1:100">
      <c r="A46470" s="374"/>
      <c r="C46470" s="374"/>
      <c r="CV46470" s="376"/>
    </row>
    <row r="46471" spans="1:100">
      <c r="A46471" s="374"/>
      <c r="C46471" s="374"/>
      <c r="CV46471" s="376"/>
    </row>
    <row r="46472" spans="1:100">
      <c r="A46472" s="374"/>
      <c r="C46472" s="374"/>
      <c r="CV46472" s="376"/>
    </row>
    <row r="46473" spans="1:100">
      <c r="A46473" s="374"/>
      <c r="C46473" s="374"/>
      <c r="CV46473" s="376"/>
    </row>
    <row r="46474" spans="1:100">
      <c r="A46474" s="374"/>
      <c r="C46474" s="374"/>
      <c r="CV46474" s="376"/>
    </row>
    <row r="46475" spans="1:100">
      <c r="A46475" s="374"/>
      <c r="C46475" s="374"/>
      <c r="CV46475" s="376"/>
    </row>
    <row r="46476" spans="1:100">
      <c r="A46476" s="374"/>
      <c r="C46476" s="374"/>
      <c r="CV46476" s="376"/>
    </row>
    <row r="46477" spans="1:100">
      <c r="A46477" s="374"/>
      <c r="C46477" s="374"/>
      <c r="CV46477" s="376"/>
    </row>
    <row r="46478" spans="1:100">
      <c r="A46478" s="374"/>
      <c r="C46478" s="374"/>
      <c r="CV46478" s="376"/>
    </row>
    <row r="46479" spans="1:100">
      <c r="A46479" s="374"/>
      <c r="C46479" s="374"/>
      <c r="CV46479" s="376"/>
    </row>
    <row r="46480" spans="1:100">
      <c r="A46480" s="374"/>
      <c r="C46480" s="374"/>
      <c r="CV46480" s="376"/>
    </row>
    <row r="46481" spans="1:100">
      <c r="A46481" s="374"/>
      <c r="C46481" s="374"/>
      <c r="CV46481" s="376"/>
    </row>
    <row r="46482" spans="1:100">
      <c r="A46482" s="374"/>
      <c r="C46482" s="374"/>
      <c r="CV46482" s="376"/>
    </row>
    <row r="46483" spans="1:100">
      <c r="A46483" s="374"/>
      <c r="C46483" s="374"/>
      <c r="CV46483" s="376"/>
    </row>
    <row r="46484" spans="1:100">
      <c r="A46484" s="374"/>
      <c r="C46484" s="374"/>
      <c r="CV46484" s="376"/>
    </row>
    <row r="46485" spans="1:100">
      <c r="A46485" s="374"/>
      <c r="C46485" s="374"/>
      <c r="CV46485" s="376"/>
    </row>
    <row r="46486" spans="1:100">
      <c r="A46486" s="374"/>
      <c r="C46486" s="374"/>
      <c r="CV46486" s="376"/>
    </row>
    <row r="46487" spans="1:100">
      <c r="A46487" s="374"/>
      <c r="C46487" s="374"/>
      <c r="CV46487" s="376"/>
    </row>
    <row r="46488" spans="1:100">
      <c r="A46488" s="374"/>
      <c r="C46488" s="374"/>
      <c r="CV46488" s="376"/>
    </row>
    <row r="46489" spans="1:100">
      <c r="A46489" s="374"/>
      <c r="C46489" s="374"/>
      <c r="CV46489" s="376"/>
    </row>
    <row r="46490" spans="1:100">
      <c r="A46490" s="374"/>
      <c r="C46490" s="374"/>
      <c r="CV46490" s="376"/>
    </row>
    <row r="46491" spans="1:100">
      <c r="A46491" s="374"/>
      <c r="C46491" s="374"/>
      <c r="CV46491" s="376"/>
    </row>
    <row r="46492" spans="1:100">
      <c r="A46492" s="374"/>
      <c r="C46492" s="374"/>
      <c r="CV46492" s="376"/>
    </row>
    <row r="46493" spans="1:100">
      <c r="A46493" s="374"/>
      <c r="C46493" s="374"/>
      <c r="CV46493" s="376"/>
    </row>
    <row r="46494" spans="1:100">
      <c r="A46494" s="374"/>
      <c r="C46494" s="374"/>
      <c r="CV46494" s="376"/>
    </row>
    <row r="46495" spans="1:100">
      <c r="A46495" s="374"/>
      <c r="C46495" s="374"/>
      <c r="CV46495" s="376"/>
    </row>
    <row r="46496" spans="1:100">
      <c r="A46496" s="374"/>
      <c r="C46496" s="374"/>
      <c r="CV46496" s="376"/>
    </row>
    <row r="46497" spans="1:100">
      <c r="A46497" s="374"/>
      <c r="C46497" s="374"/>
      <c r="CV46497" s="376"/>
    </row>
    <row r="46498" spans="1:100">
      <c r="A46498" s="374"/>
      <c r="C46498" s="374"/>
      <c r="CV46498" s="376"/>
    </row>
    <row r="46499" spans="1:100">
      <c r="A46499" s="374"/>
      <c r="C46499" s="374"/>
      <c r="CV46499" s="376"/>
    </row>
    <row r="46500" spans="1:100">
      <c r="A46500" s="374"/>
      <c r="C46500" s="374"/>
      <c r="CV46500" s="376"/>
    </row>
    <row r="46501" spans="1:100">
      <c r="A46501" s="374"/>
      <c r="C46501" s="374"/>
      <c r="CV46501" s="376"/>
    </row>
    <row r="46502" spans="1:100">
      <c r="A46502" s="374"/>
      <c r="C46502" s="374"/>
      <c r="CV46502" s="376"/>
    </row>
    <row r="46503" spans="1:100">
      <c r="A46503" s="374"/>
      <c r="C46503" s="374"/>
      <c r="CV46503" s="376"/>
    </row>
    <row r="46504" spans="1:100">
      <c r="A46504" s="374"/>
      <c r="C46504" s="374"/>
      <c r="CV46504" s="376"/>
    </row>
    <row r="46505" spans="1:100">
      <c r="A46505" s="374"/>
      <c r="C46505" s="374"/>
      <c r="CV46505" s="376"/>
    </row>
    <row r="46506" spans="1:100">
      <c r="A46506" s="374"/>
      <c r="C46506" s="374"/>
      <c r="CV46506" s="376"/>
    </row>
    <row r="46507" spans="1:100">
      <c r="A46507" s="374"/>
      <c r="C46507" s="374"/>
      <c r="CV46507" s="376"/>
    </row>
    <row r="46508" spans="1:100">
      <c r="A46508" s="374"/>
      <c r="C46508" s="374"/>
      <c r="CV46508" s="376"/>
    </row>
    <row r="46509" spans="1:100">
      <c r="A46509" s="374"/>
      <c r="C46509" s="374"/>
      <c r="CV46509" s="376"/>
    </row>
    <row r="46510" spans="1:100">
      <c r="A46510" s="374"/>
      <c r="C46510" s="374"/>
      <c r="CV46510" s="376"/>
    </row>
    <row r="46511" spans="1:100">
      <c r="A46511" s="374"/>
      <c r="C46511" s="374"/>
      <c r="CV46511" s="376"/>
    </row>
    <row r="46512" spans="1:100">
      <c r="A46512" s="374"/>
      <c r="C46512" s="374"/>
      <c r="CV46512" s="376"/>
    </row>
    <row r="46513" spans="1:100">
      <c r="A46513" s="374"/>
      <c r="C46513" s="374"/>
      <c r="CV46513" s="376"/>
    </row>
    <row r="46514" spans="1:100">
      <c r="A46514" s="374"/>
      <c r="C46514" s="374"/>
      <c r="CV46514" s="376"/>
    </row>
    <row r="46515" spans="1:100">
      <c r="A46515" s="374"/>
      <c r="C46515" s="374"/>
      <c r="CV46515" s="376"/>
    </row>
    <row r="46516" spans="1:100">
      <c r="A46516" s="374"/>
      <c r="C46516" s="374"/>
      <c r="CV46516" s="376"/>
    </row>
    <row r="46517" spans="1:100">
      <c r="A46517" s="374"/>
      <c r="C46517" s="374"/>
      <c r="CV46517" s="376"/>
    </row>
    <row r="46518" spans="1:100">
      <c r="A46518" s="374"/>
      <c r="C46518" s="374"/>
      <c r="CV46518" s="376"/>
    </row>
    <row r="46519" spans="1:100">
      <c r="A46519" s="374"/>
      <c r="C46519" s="374"/>
      <c r="CV46519" s="376"/>
    </row>
    <row r="46520" spans="1:100">
      <c r="A46520" s="374"/>
      <c r="C46520" s="374"/>
      <c r="CV46520" s="376"/>
    </row>
    <row r="46521" spans="1:100">
      <c r="A46521" s="374"/>
      <c r="C46521" s="374"/>
      <c r="CV46521" s="376"/>
    </row>
    <row r="46522" spans="1:100">
      <c r="A46522" s="374"/>
      <c r="C46522" s="374"/>
      <c r="CV46522" s="376"/>
    </row>
    <row r="46523" spans="1:100">
      <c r="A46523" s="374"/>
      <c r="C46523" s="374"/>
      <c r="CV46523" s="376"/>
    </row>
    <row r="46524" spans="1:100">
      <c r="A46524" s="374"/>
      <c r="C46524" s="374"/>
      <c r="CV46524" s="376"/>
    </row>
    <row r="46525" spans="1:100">
      <c r="A46525" s="374"/>
      <c r="C46525" s="374"/>
      <c r="CV46525" s="376"/>
    </row>
    <row r="46526" spans="1:100">
      <c r="A46526" s="374"/>
      <c r="C46526" s="374"/>
      <c r="CV46526" s="376"/>
    </row>
    <row r="46527" spans="1:100">
      <c r="A46527" s="374"/>
      <c r="C46527" s="374"/>
      <c r="CV46527" s="376"/>
    </row>
    <row r="46528" spans="1:100">
      <c r="A46528" s="374"/>
      <c r="C46528" s="374"/>
      <c r="CV46528" s="376"/>
    </row>
    <row r="46529" spans="1:100">
      <c r="A46529" s="374"/>
      <c r="C46529" s="374"/>
      <c r="CV46529" s="376"/>
    </row>
    <row r="46530" spans="1:100">
      <c r="A46530" s="374"/>
      <c r="C46530" s="374"/>
      <c r="CV46530" s="376"/>
    </row>
    <row r="46531" spans="1:100">
      <c r="A46531" s="374"/>
      <c r="C46531" s="374"/>
      <c r="CV46531" s="376"/>
    </row>
    <row r="46532" spans="1:100">
      <c r="A46532" s="374"/>
      <c r="C46532" s="374"/>
      <c r="CV46532" s="376"/>
    </row>
    <row r="46533" spans="1:100">
      <c r="A46533" s="374"/>
      <c r="C46533" s="374"/>
      <c r="CV46533" s="376"/>
    </row>
    <row r="46534" spans="1:100">
      <c r="A46534" s="374"/>
      <c r="C46534" s="374"/>
      <c r="CV46534" s="376"/>
    </row>
    <row r="46535" spans="1:100">
      <c r="A46535" s="374"/>
      <c r="C46535" s="374"/>
      <c r="CV46535" s="376"/>
    </row>
    <row r="46536" spans="1:100">
      <c r="A46536" s="374"/>
      <c r="C46536" s="374"/>
      <c r="CV46536" s="376"/>
    </row>
    <row r="46537" spans="1:100">
      <c r="A46537" s="374"/>
      <c r="C46537" s="374"/>
      <c r="CV46537" s="376"/>
    </row>
    <row r="46538" spans="1:100">
      <c r="A46538" s="374"/>
      <c r="C46538" s="374"/>
      <c r="CV46538" s="376"/>
    </row>
    <row r="46539" spans="1:100">
      <c r="A46539" s="374"/>
      <c r="C46539" s="374"/>
      <c r="CV46539" s="376"/>
    </row>
    <row r="46540" spans="1:100">
      <c r="A46540" s="374"/>
      <c r="C46540" s="374"/>
      <c r="CV46540" s="376"/>
    </row>
    <row r="46541" spans="1:100">
      <c r="A46541" s="374"/>
      <c r="C46541" s="374"/>
      <c r="CV46541" s="376"/>
    </row>
    <row r="46542" spans="1:100">
      <c r="A46542" s="374"/>
      <c r="C46542" s="374"/>
      <c r="CV46542" s="376"/>
    </row>
    <row r="46543" spans="1:100">
      <c r="A46543" s="374"/>
      <c r="C46543" s="374"/>
      <c r="CV46543" s="376"/>
    </row>
    <row r="46544" spans="1:100">
      <c r="A46544" s="374"/>
      <c r="C46544" s="374"/>
      <c r="CV46544" s="376"/>
    </row>
    <row r="46545" spans="1:100">
      <c r="A46545" s="374"/>
      <c r="C46545" s="374"/>
      <c r="CV46545" s="376"/>
    </row>
    <row r="46546" spans="1:100">
      <c r="A46546" s="374"/>
      <c r="C46546" s="374"/>
      <c r="CV46546" s="376"/>
    </row>
    <row r="46547" spans="1:100">
      <c r="A46547" s="374"/>
      <c r="C46547" s="374"/>
      <c r="CV46547" s="376"/>
    </row>
    <row r="46548" spans="1:100">
      <c r="A46548" s="374"/>
      <c r="C46548" s="374"/>
      <c r="CV46548" s="376"/>
    </row>
    <row r="46549" spans="1:100">
      <c r="A46549" s="374"/>
      <c r="C46549" s="374"/>
      <c r="CV46549" s="376"/>
    </row>
    <row r="46550" spans="1:100">
      <c r="A46550" s="374"/>
      <c r="C46550" s="374"/>
      <c r="CV46550" s="376"/>
    </row>
    <row r="46551" spans="1:100">
      <c r="A46551" s="374"/>
      <c r="C46551" s="374"/>
      <c r="CV46551" s="376"/>
    </row>
    <row r="46552" spans="1:100">
      <c r="A46552" s="374"/>
      <c r="C46552" s="374"/>
      <c r="CV46552" s="376"/>
    </row>
    <row r="46553" spans="1:100">
      <c r="A46553" s="374"/>
      <c r="C46553" s="374"/>
      <c r="CV46553" s="376"/>
    </row>
    <row r="46554" spans="1:100">
      <c r="A46554" s="374"/>
      <c r="C46554" s="374"/>
      <c r="CV46554" s="376"/>
    </row>
    <row r="46555" spans="1:100">
      <c r="A46555" s="374"/>
      <c r="C46555" s="374"/>
      <c r="CV46555" s="376"/>
    </row>
    <row r="46556" spans="1:100">
      <c r="A46556" s="374"/>
      <c r="C46556" s="374"/>
      <c r="CV46556" s="376"/>
    </row>
    <row r="46557" spans="1:100">
      <c r="A46557" s="374"/>
      <c r="C46557" s="374"/>
      <c r="CV46557" s="376"/>
    </row>
    <row r="46558" spans="1:100">
      <c r="A46558" s="374"/>
      <c r="C46558" s="374"/>
      <c r="CV46558" s="376"/>
    </row>
    <row r="46559" spans="1:100">
      <c r="A46559" s="374"/>
      <c r="C46559" s="374"/>
      <c r="CV46559" s="376"/>
    </row>
    <row r="46560" spans="1:100">
      <c r="A46560" s="374"/>
      <c r="C46560" s="374"/>
      <c r="CV46560" s="376"/>
    </row>
    <row r="46561" spans="1:100">
      <c r="A46561" s="374"/>
      <c r="C46561" s="374"/>
      <c r="CV46561" s="376"/>
    </row>
    <row r="46562" spans="1:100">
      <c r="A46562" s="374"/>
      <c r="C46562" s="374"/>
      <c r="CV46562" s="376"/>
    </row>
    <row r="46563" spans="1:100">
      <c r="A46563" s="374"/>
      <c r="C46563" s="374"/>
      <c r="CV46563" s="376"/>
    </row>
    <row r="46564" spans="1:100">
      <c r="A46564" s="374"/>
      <c r="C46564" s="374"/>
      <c r="CV46564" s="376"/>
    </row>
    <row r="46565" spans="1:100">
      <c r="A46565" s="374"/>
      <c r="C46565" s="374"/>
      <c r="CV46565" s="376"/>
    </row>
    <row r="46566" spans="1:100">
      <c r="A46566" s="374"/>
      <c r="C46566" s="374"/>
      <c r="CV46566" s="376"/>
    </row>
    <row r="46567" spans="1:100">
      <c r="A46567" s="374"/>
      <c r="C46567" s="374"/>
      <c r="CV46567" s="376"/>
    </row>
    <row r="46568" spans="1:100">
      <c r="A46568" s="374"/>
      <c r="C46568" s="374"/>
      <c r="CV46568" s="376"/>
    </row>
    <row r="46569" spans="1:100">
      <c r="A46569" s="374"/>
      <c r="C46569" s="374"/>
      <c r="CV46569" s="376"/>
    </row>
    <row r="46570" spans="1:100">
      <c r="A46570" s="374"/>
      <c r="C46570" s="374"/>
      <c r="CV46570" s="376"/>
    </row>
    <row r="46571" spans="1:100">
      <c r="A46571" s="374"/>
      <c r="C46571" s="374"/>
      <c r="CV46571" s="376"/>
    </row>
    <row r="46572" spans="1:100">
      <c r="A46572" s="374"/>
      <c r="C46572" s="374"/>
      <c r="CV46572" s="376"/>
    </row>
    <row r="46573" spans="1:100">
      <c r="A46573" s="374"/>
      <c r="C46573" s="374"/>
      <c r="CV46573" s="376"/>
    </row>
    <row r="46574" spans="1:100">
      <c r="A46574" s="374"/>
      <c r="C46574" s="374"/>
      <c r="CV46574" s="376"/>
    </row>
    <row r="46575" spans="1:100">
      <c r="A46575" s="374"/>
      <c r="C46575" s="374"/>
      <c r="CV46575" s="376"/>
    </row>
    <row r="46576" spans="1:100">
      <c r="A46576" s="374"/>
      <c r="C46576" s="374"/>
      <c r="CV46576" s="376"/>
    </row>
    <row r="46577" spans="1:100">
      <c r="A46577" s="374"/>
      <c r="C46577" s="374"/>
      <c r="CV46577" s="376"/>
    </row>
    <row r="46578" spans="1:100">
      <c r="A46578" s="374"/>
      <c r="C46578" s="374"/>
      <c r="CV46578" s="376"/>
    </row>
    <row r="46579" spans="1:100">
      <c r="A46579" s="374"/>
      <c r="C46579" s="374"/>
      <c r="CV46579" s="376"/>
    </row>
    <row r="46580" spans="1:100">
      <c r="A46580" s="374"/>
      <c r="C46580" s="374"/>
      <c r="CV46580" s="376"/>
    </row>
    <row r="46581" spans="1:100">
      <c r="A46581" s="374"/>
      <c r="C46581" s="374"/>
      <c r="CV46581" s="376"/>
    </row>
    <row r="46582" spans="1:100">
      <c r="A46582" s="374"/>
      <c r="C46582" s="374"/>
      <c r="CV46582" s="376"/>
    </row>
    <row r="46583" spans="1:100">
      <c r="A46583" s="374"/>
      <c r="C46583" s="374"/>
      <c r="CV46583" s="376"/>
    </row>
    <row r="46584" spans="1:100">
      <c r="A46584" s="374"/>
      <c r="C46584" s="374"/>
      <c r="CV46584" s="376"/>
    </row>
    <row r="46585" spans="1:100">
      <c r="A46585" s="374"/>
      <c r="C46585" s="374"/>
      <c r="CV46585" s="376"/>
    </row>
    <row r="46586" spans="1:100">
      <c r="A46586" s="374"/>
      <c r="C46586" s="374"/>
      <c r="CV46586" s="376"/>
    </row>
    <row r="46587" spans="1:100">
      <c r="A46587" s="374"/>
      <c r="C46587" s="374"/>
      <c r="CV46587" s="376"/>
    </row>
    <row r="46588" spans="1:100">
      <c r="A46588" s="374"/>
      <c r="C46588" s="374"/>
      <c r="CV46588" s="376"/>
    </row>
    <row r="46589" spans="1:100">
      <c r="A46589" s="374"/>
      <c r="C46589" s="374"/>
      <c r="CV46589" s="376"/>
    </row>
    <row r="46590" spans="1:100">
      <c r="A46590" s="374"/>
      <c r="C46590" s="374"/>
      <c r="CV46590" s="376"/>
    </row>
    <row r="46591" spans="1:100">
      <c r="A46591" s="374"/>
      <c r="C46591" s="374"/>
      <c r="CV46591" s="376"/>
    </row>
    <row r="46592" spans="1:100">
      <c r="A46592" s="374"/>
      <c r="C46592" s="374"/>
      <c r="CV46592" s="376"/>
    </row>
    <row r="46593" spans="1:100">
      <c r="A46593" s="374"/>
      <c r="C46593" s="374"/>
      <c r="CV46593" s="376"/>
    </row>
    <row r="46594" spans="1:100">
      <c r="A46594" s="374"/>
      <c r="C46594" s="374"/>
      <c r="CV46594" s="376"/>
    </row>
    <row r="46595" spans="1:100">
      <c r="A46595" s="374"/>
      <c r="C46595" s="374"/>
      <c r="CV46595" s="376"/>
    </row>
    <row r="46596" spans="1:100">
      <c r="A46596" s="374"/>
      <c r="C46596" s="374"/>
      <c r="CV46596" s="376"/>
    </row>
    <row r="46597" spans="1:100">
      <c r="A46597" s="374"/>
      <c r="C46597" s="374"/>
      <c r="CV46597" s="376"/>
    </row>
    <row r="46598" spans="1:100">
      <c r="A46598" s="374"/>
      <c r="C46598" s="374"/>
      <c r="CV46598" s="376"/>
    </row>
    <row r="46599" spans="1:100">
      <c r="A46599" s="374"/>
      <c r="C46599" s="374"/>
      <c r="CV46599" s="376"/>
    </row>
    <row r="46600" spans="1:100">
      <c r="A46600" s="374"/>
      <c r="C46600" s="374"/>
      <c r="CV46600" s="376"/>
    </row>
    <row r="46601" spans="1:100">
      <c r="A46601" s="374"/>
      <c r="C46601" s="374"/>
      <c r="CV46601" s="376"/>
    </row>
    <row r="46602" spans="1:100">
      <c r="A46602" s="374"/>
      <c r="C46602" s="374"/>
      <c r="CV46602" s="376"/>
    </row>
    <row r="46603" spans="1:100">
      <c r="A46603" s="374"/>
      <c r="C46603" s="374"/>
      <c r="CV46603" s="376"/>
    </row>
    <row r="46604" spans="1:100">
      <c r="A46604" s="374"/>
      <c r="C46604" s="374"/>
      <c r="CV46604" s="376"/>
    </row>
    <row r="46605" spans="1:100">
      <c r="A46605" s="374"/>
      <c r="C46605" s="374"/>
      <c r="CV46605" s="376"/>
    </row>
    <row r="46606" spans="1:100">
      <c r="A46606" s="374"/>
      <c r="C46606" s="374"/>
      <c r="CV46606" s="376"/>
    </row>
    <row r="46607" spans="1:100">
      <c r="A46607" s="374"/>
      <c r="C46607" s="374"/>
      <c r="CV46607" s="376"/>
    </row>
    <row r="46608" spans="1:100">
      <c r="A46608" s="374"/>
      <c r="C46608" s="374"/>
      <c r="CV46608" s="376"/>
    </row>
    <row r="46609" spans="1:100">
      <c r="A46609" s="374"/>
      <c r="C46609" s="374"/>
      <c r="CV46609" s="376"/>
    </row>
    <row r="46610" spans="1:100">
      <c r="A46610" s="374"/>
      <c r="C46610" s="374"/>
      <c r="CV46610" s="376"/>
    </row>
    <row r="46611" spans="1:100">
      <c r="A46611" s="374"/>
      <c r="C46611" s="374"/>
      <c r="CV46611" s="376"/>
    </row>
    <row r="46612" spans="1:100">
      <c r="A46612" s="374"/>
      <c r="C46612" s="374"/>
      <c r="CV46612" s="376"/>
    </row>
    <row r="46613" spans="1:100">
      <c r="A46613" s="374"/>
      <c r="C46613" s="374"/>
      <c r="CV46613" s="376"/>
    </row>
    <row r="46614" spans="1:100">
      <c r="A46614" s="374"/>
      <c r="C46614" s="374"/>
      <c r="CV46614" s="376"/>
    </row>
    <row r="46615" spans="1:100">
      <c r="A46615" s="374"/>
      <c r="C46615" s="374"/>
      <c r="CV46615" s="376"/>
    </row>
    <row r="46616" spans="1:100">
      <c r="A46616" s="374"/>
      <c r="C46616" s="374"/>
      <c r="CV46616" s="376"/>
    </row>
    <row r="46617" spans="1:100">
      <c r="A46617" s="374"/>
      <c r="C46617" s="374"/>
      <c r="CV46617" s="376"/>
    </row>
    <row r="46618" spans="1:100">
      <c r="A46618" s="374"/>
      <c r="C46618" s="374"/>
      <c r="CV46618" s="376"/>
    </row>
    <row r="46619" spans="1:100">
      <c r="A46619" s="374"/>
      <c r="C46619" s="374"/>
      <c r="CV46619" s="376"/>
    </row>
    <row r="46620" spans="1:100">
      <c r="A46620" s="374"/>
      <c r="C46620" s="374"/>
      <c r="CV46620" s="376"/>
    </row>
    <row r="46621" spans="1:100">
      <c r="A46621" s="374"/>
      <c r="C46621" s="374"/>
      <c r="CV46621" s="376"/>
    </row>
    <row r="46622" spans="1:100">
      <c r="A46622" s="374"/>
      <c r="C46622" s="374"/>
      <c r="CV46622" s="376"/>
    </row>
    <row r="46623" spans="1:100">
      <c r="A46623" s="374"/>
      <c r="C46623" s="374"/>
      <c r="CV46623" s="376"/>
    </row>
    <row r="46624" spans="1:100">
      <c r="A46624" s="374"/>
      <c r="C46624" s="374"/>
      <c r="CV46624" s="376"/>
    </row>
    <row r="46625" spans="1:100">
      <c r="A46625" s="374"/>
      <c r="C46625" s="374"/>
      <c r="CV46625" s="376"/>
    </row>
    <row r="46626" spans="1:100">
      <c r="A46626" s="374"/>
      <c r="C46626" s="374"/>
      <c r="CV46626" s="376"/>
    </row>
    <row r="46627" spans="1:100">
      <c r="A46627" s="374"/>
      <c r="C46627" s="374"/>
      <c r="CV46627" s="376"/>
    </row>
    <row r="46628" spans="1:100">
      <c r="A46628" s="374"/>
      <c r="C46628" s="374"/>
      <c r="CV46628" s="376"/>
    </row>
    <row r="46629" spans="1:100">
      <c r="A46629" s="374"/>
      <c r="C46629" s="374"/>
      <c r="CV46629" s="376"/>
    </row>
    <row r="46630" spans="1:100">
      <c r="A46630" s="374"/>
      <c r="C46630" s="374"/>
      <c r="CV46630" s="376"/>
    </row>
    <row r="46631" spans="1:100">
      <c r="A46631" s="374"/>
      <c r="C46631" s="374"/>
      <c r="CV46631" s="376"/>
    </row>
    <row r="46632" spans="1:100">
      <c r="A46632" s="374"/>
      <c r="C46632" s="374"/>
      <c r="CV46632" s="376"/>
    </row>
    <row r="46633" spans="1:100">
      <c r="A46633" s="374"/>
      <c r="C46633" s="374"/>
      <c r="CV46633" s="376"/>
    </row>
    <row r="46634" spans="1:100">
      <c r="A46634" s="374"/>
      <c r="C46634" s="374"/>
      <c r="CV46634" s="376"/>
    </row>
    <row r="46635" spans="1:100">
      <c r="A46635" s="374"/>
      <c r="C46635" s="374"/>
      <c r="CV46635" s="376"/>
    </row>
    <row r="46636" spans="1:100">
      <c r="A46636" s="374"/>
      <c r="C46636" s="374"/>
      <c r="CV46636" s="376"/>
    </row>
    <row r="46637" spans="1:100">
      <c r="A46637" s="374"/>
      <c r="C46637" s="374"/>
      <c r="CV46637" s="376"/>
    </row>
    <row r="46638" spans="1:100">
      <c r="A46638" s="374"/>
      <c r="C46638" s="374"/>
      <c r="CV46638" s="376"/>
    </row>
    <row r="46639" spans="1:100">
      <c r="A46639" s="374"/>
      <c r="C46639" s="374"/>
      <c r="CV46639" s="376"/>
    </row>
    <row r="46640" spans="1:100">
      <c r="A46640" s="374"/>
      <c r="C46640" s="374"/>
      <c r="CV46640" s="376"/>
    </row>
    <row r="46641" spans="1:100">
      <c r="A46641" s="374"/>
      <c r="C46641" s="374"/>
      <c r="CV46641" s="376"/>
    </row>
    <row r="46642" spans="1:100">
      <c r="A46642" s="374"/>
      <c r="C46642" s="374"/>
      <c r="CV46642" s="376"/>
    </row>
    <row r="46643" spans="1:100">
      <c r="A46643" s="374"/>
      <c r="C46643" s="374"/>
      <c r="CV46643" s="376"/>
    </row>
    <row r="46644" spans="1:100">
      <c r="A46644" s="374"/>
      <c r="C46644" s="374"/>
      <c r="CV46644" s="376"/>
    </row>
    <row r="46645" spans="1:100">
      <c r="A46645" s="374"/>
      <c r="C46645" s="374"/>
      <c r="CV46645" s="376"/>
    </row>
    <row r="46646" spans="1:100">
      <c r="A46646" s="374"/>
      <c r="C46646" s="374"/>
      <c r="CV46646" s="376"/>
    </row>
    <row r="46647" spans="1:100">
      <c r="A46647" s="374"/>
      <c r="C46647" s="374"/>
      <c r="CV46647" s="376"/>
    </row>
    <row r="46648" spans="1:100">
      <c r="A46648" s="374"/>
      <c r="C46648" s="374"/>
      <c r="CV46648" s="376"/>
    </row>
    <row r="46649" spans="1:100">
      <c r="A46649" s="374"/>
      <c r="C46649" s="374"/>
      <c r="CV46649" s="376"/>
    </row>
    <row r="46650" spans="1:100">
      <c r="A46650" s="374"/>
      <c r="C46650" s="374"/>
      <c r="CV46650" s="376"/>
    </row>
    <row r="46651" spans="1:100">
      <c r="A46651" s="374"/>
      <c r="C46651" s="374"/>
      <c r="CV46651" s="376"/>
    </row>
    <row r="46652" spans="1:100">
      <c r="A46652" s="374"/>
      <c r="C46652" s="374"/>
      <c r="CV46652" s="376"/>
    </row>
    <row r="46653" spans="1:100">
      <c r="A46653" s="374"/>
      <c r="C46653" s="374"/>
      <c r="CV46653" s="376"/>
    </row>
    <row r="46654" spans="1:100">
      <c r="A46654" s="374"/>
      <c r="C46654" s="374"/>
      <c r="CV46654" s="376"/>
    </row>
    <row r="46655" spans="1:100">
      <c r="A46655" s="374"/>
      <c r="C46655" s="374"/>
      <c r="CV46655" s="376"/>
    </row>
    <row r="46656" spans="1:100">
      <c r="A46656" s="374"/>
      <c r="C46656" s="374"/>
      <c r="CV46656" s="376"/>
    </row>
    <row r="46657" spans="1:100">
      <c r="A46657" s="374"/>
      <c r="C46657" s="374"/>
      <c r="CV46657" s="376"/>
    </row>
    <row r="46658" spans="1:100">
      <c r="A46658" s="374"/>
      <c r="C46658" s="374"/>
      <c r="CV46658" s="376"/>
    </row>
    <row r="46659" spans="1:100">
      <c r="A46659" s="374"/>
      <c r="C46659" s="374"/>
      <c r="CV46659" s="376"/>
    </row>
    <row r="46660" spans="1:100">
      <c r="A46660" s="374"/>
      <c r="C46660" s="374"/>
      <c r="CV46660" s="376"/>
    </row>
    <row r="46661" spans="1:100">
      <c r="A46661" s="374"/>
      <c r="C46661" s="374"/>
      <c r="CV46661" s="376"/>
    </row>
    <row r="46662" spans="1:100">
      <c r="A46662" s="374"/>
      <c r="C46662" s="374"/>
      <c r="CV46662" s="376"/>
    </row>
    <row r="46663" spans="1:100">
      <c r="A46663" s="374"/>
      <c r="C46663" s="374"/>
      <c r="CV46663" s="376"/>
    </row>
    <row r="46664" spans="1:100">
      <c r="A46664" s="374"/>
      <c r="C46664" s="374"/>
      <c r="CV46664" s="376"/>
    </row>
    <row r="46665" spans="1:100">
      <c r="A46665" s="374"/>
      <c r="C46665" s="374"/>
      <c r="CV46665" s="376"/>
    </row>
    <row r="46666" spans="1:100">
      <c r="A46666" s="374"/>
      <c r="C46666" s="374"/>
      <c r="CV46666" s="376"/>
    </row>
    <row r="46667" spans="1:100">
      <c r="A46667" s="374"/>
      <c r="C46667" s="374"/>
      <c r="CV46667" s="376"/>
    </row>
    <row r="46668" spans="1:100">
      <c r="A46668" s="374"/>
      <c r="C46668" s="374"/>
      <c r="CV46668" s="376"/>
    </row>
    <row r="46669" spans="1:100">
      <c r="A46669" s="374"/>
      <c r="C46669" s="374"/>
      <c r="CV46669" s="376"/>
    </row>
    <row r="46670" spans="1:100">
      <c r="A46670" s="374"/>
      <c r="C46670" s="374"/>
      <c r="CV46670" s="376"/>
    </row>
    <row r="46671" spans="1:100">
      <c r="A46671" s="374"/>
      <c r="C46671" s="374"/>
      <c r="CV46671" s="376"/>
    </row>
    <row r="46672" spans="1:100">
      <c r="A46672" s="374"/>
      <c r="C46672" s="374"/>
      <c r="CV46672" s="376"/>
    </row>
    <row r="46673" spans="1:100">
      <c r="A46673" s="374"/>
      <c r="C46673" s="374"/>
      <c r="CV46673" s="376"/>
    </row>
    <row r="46674" spans="1:100">
      <c r="A46674" s="374"/>
      <c r="C46674" s="374"/>
      <c r="CV46674" s="376"/>
    </row>
    <row r="46675" spans="1:100">
      <c r="A46675" s="374"/>
      <c r="C46675" s="374"/>
      <c r="CV46675" s="376"/>
    </row>
    <row r="46676" spans="1:100">
      <c r="A46676" s="374"/>
      <c r="C46676" s="374"/>
      <c r="CV46676" s="376"/>
    </row>
    <row r="46677" spans="1:100">
      <c r="A46677" s="374"/>
      <c r="C46677" s="374"/>
      <c r="CV46677" s="376"/>
    </row>
    <row r="46678" spans="1:100">
      <c r="A46678" s="374"/>
      <c r="C46678" s="374"/>
      <c r="CV46678" s="376"/>
    </row>
    <row r="46679" spans="1:100">
      <c r="A46679" s="374"/>
      <c r="C46679" s="374"/>
      <c r="CV46679" s="376"/>
    </row>
    <row r="46680" spans="1:100">
      <c r="A46680" s="374"/>
      <c r="C46680" s="374"/>
      <c r="CV46680" s="376"/>
    </row>
    <row r="46681" spans="1:100">
      <c r="A46681" s="374"/>
      <c r="C46681" s="374"/>
      <c r="CV46681" s="376"/>
    </row>
    <row r="46682" spans="1:100">
      <c r="A46682" s="374"/>
      <c r="C46682" s="374"/>
      <c r="CV46682" s="376"/>
    </row>
    <row r="46683" spans="1:100">
      <c r="A46683" s="374"/>
      <c r="C46683" s="374"/>
      <c r="CV46683" s="376"/>
    </row>
    <row r="46684" spans="1:100">
      <c r="A46684" s="374"/>
      <c r="C46684" s="374"/>
      <c r="CV46684" s="376"/>
    </row>
    <row r="46685" spans="1:100">
      <c r="A46685" s="374"/>
      <c r="C46685" s="374"/>
      <c r="CV46685" s="376"/>
    </row>
    <row r="46686" spans="1:100">
      <c r="A46686" s="374"/>
      <c r="C46686" s="374"/>
      <c r="CV46686" s="376"/>
    </row>
    <row r="46687" spans="1:100">
      <c r="A46687" s="374"/>
      <c r="C46687" s="374"/>
      <c r="CV46687" s="376"/>
    </row>
    <row r="46688" spans="1:100">
      <c r="A46688" s="374"/>
      <c r="C46688" s="374"/>
      <c r="CV46688" s="376"/>
    </row>
    <row r="46689" spans="1:100">
      <c r="A46689" s="374"/>
      <c r="C46689" s="374"/>
      <c r="CV46689" s="376"/>
    </row>
    <row r="46690" spans="1:100">
      <c r="A46690" s="374"/>
      <c r="C46690" s="374"/>
      <c r="CV46690" s="376"/>
    </row>
    <row r="46691" spans="1:100">
      <c r="A46691" s="374"/>
      <c r="C46691" s="374"/>
      <c r="CV46691" s="376"/>
    </row>
    <row r="46692" spans="1:100">
      <c r="A46692" s="374"/>
      <c r="C46692" s="374"/>
      <c r="CV46692" s="376"/>
    </row>
    <row r="46693" spans="1:100">
      <c r="A46693" s="374"/>
      <c r="C46693" s="374"/>
      <c r="CV46693" s="376"/>
    </row>
    <row r="46694" spans="1:100">
      <c r="A46694" s="374"/>
      <c r="C46694" s="374"/>
      <c r="CV46694" s="376"/>
    </row>
    <row r="46695" spans="1:100">
      <c r="A46695" s="374"/>
      <c r="C46695" s="374"/>
      <c r="CV46695" s="376"/>
    </row>
    <row r="46696" spans="1:100">
      <c r="A46696" s="374"/>
      <c r="C46696" s="374"/>
      <c r="CV46696" s="376"/>
    </row>
    <row r="46697" spans="1:100">
      <c r="A46697" s="374"/>
      <c r="C46697" s="374"/>
      <c r="CV46697" s="376"/>
    </row>
    <row r="46698" spans="1:100">
      <c r="A46698" s="374"/>
      <c r="C46698" s="374"/>
      <c r="CV46698" s="376"/>
    </row>
    <row r="46699" spans="1:100">
      <c r="A46699" s="374"/>
      <c r="C46699" s="374"/>
      <c r="CV46699" s="376"/>
    </row>
    <row r="46700" spans="1:100">
      <c r="A46700" s="374"/>
      <c r="C46700" s="374"/>
      <c r="CV46700" s="376"/>
    </row>
    <row r="46701" spans="1:100">
      <c r="A46701" s="374"/>
      <c r="C46701" s="374"/>
      <c r="CV46701" s="376"/>
    </row>
    <row r="46702" spans="1:100">
      <c r="A46702" s="374"/>
      <c r="C46702" s="374"/>
      <c r="CV46702" s="376"/>
    </row>
    <row r="46703" spans="1:100">
      <c r="A46703" s="374"/>
      <c r="C46703" s="374"/>
      <c r="CV46703" s="376"/>
    </row>
    <row r="46704" spans="1:100">
      <c r="A46704" s="374"/>
      <c r="C46704" s="374"/>
      <c r="CV46704" s="376"/>
    </row>
    <row r="46705" spans="1:100">
      <c r="A46705" s="374"/>
      <c r="C46705" s="374"/>
      <c r="CV46705" s="376"/>
    </row>
    <row r="46706" spans="1:100">
      <c r="A46706" s="374"/>
      <c r="C46706" s="374"/>
      <c r="CV46706" s="376"/>
    </row>
    <row r="46707" spans="1:100">
      <c r="A46707" s="374"/>
      <c r="C46707" s="374"/>
      <c r="CV46707" s="376"/>
    </row>
    <row r="46708" spans="1:100">
      <c r="A46708" s="374"/>
      <c r="C46708" s="374"/>
      <c r="CV46708" s="376"/>
    </row>
    <row r="46709" spans="1:100">
      <c r="A46709" s="374"/>
      <c r="C46709" s="374"/>
      <c r="CV46709" s="376"/>
    </row>
    <row r="46710" spans="1:100">
      <c r="A46710" s="374"/>
      <c r="C46710" s="374"/>
      <c r="CV46710" s="376"/>
    </row>
    <row r="46711" spans="1:100">
      <c r="A46711" s="374"/>
      <c r="C46711" s="374"/>
      <c r="CV46711" s="376"/>
    </row>
    <row r="46712" spans="1:100">
      <c r="A46712" s="374"/>
      <c r="C46712" s="374"/>
      <c r="CV46712" s="376"/>
    </row>
    <row r="46713" spans="1:100">
      <c r="A46713" s="374"/>
      <c r="C46713" s="374"/>
      <c r="CV46713" s="376"/>
    </row>
    <row r="46714" spans="1:100">
      <c r="A46714" s="374"/>
      <c r="C46714" s="374"/>
      <c r="CV46714" s="376"/>
    </row>
    <row r="46715" spans="1:100">
      <c r="A46715" s="374"/>
      <c r="C46715" s="374"/>
      <c r="CV46715" s="376"/>
    </row>
    <row r="46716" spans="1:100">
      <c r="A46716" s="374"/>
      <c r="C46716" s="374"/>
      <c r="CV46716" s="376"/>
    </row>
    <row r="46717" spans="1:100">
      <c r="A46717" s="374"/>
      <c r="C46717" s="374"/>
      <c r="CV46717" s="376"/>
    </row>
    <row r="46718" spans="1:100">
      <c r="A46718" s="374"/>
      <c r="C46718" s="374"/>
      <c r="CV46718" s="376"/>
    </row>
    <row r="46719" spans="1:100">
      <c r="A46719" s="374"/>
      <c r="C46719" s="374"/>
      <c r="CV46719" s="376"/>
    </row>
    <row r="46720" spans="1:100">
      <c r="A46720" s="374"/>
      <c r="C46720" s="374"/>
      <c r="CV46720" s="376"/>
    </row>
    <row r="46721" spans="1:100">
      <c r="A46721" s="374"/>
      <c r="C46721" s="374"/>
      <c r="CV46721" s="376"/>
    </row>
    <row r="46722" spans="1:100">
      <c r="A46722" s="374"/>
      <c r="C46722" s="374"/>
      <c r="CV46722" s="376"/>
    </row>
    <row r="46723" spans="1:100">
      <c r="A46723" s="374"/>
      <c r="C46723" s="374"/>
      <c r="CV46723" s="376"/>
    </row>
    <row r="46724" spans="1:100">
      <c r="A46724" s="374"/>
      <c r="C46724" s="374"/>
      <c r="CV46724" s="376"/>
    </row>
    <row r="46725" spans="1:100">
      <c r="A46725" s="374"/>
      <c r="C46725" s="374"/>
      <c r="CV46725" s="376"/>
    </row>
    <row r="46726" spans="1:100">
      <c r="A46726" s="374"/>
      <c r="C46726" s="374"/>
      <c r="CV46726" s="376"/>
    </row>
    <row r="46727" spans="1:100">
      <c r="A46727" s="374"/>
      <c r="C46727" s="374"/>
      <c r="CV46727" s="376"/>
    </row>
    <row r="46728" spans="1:100">
      <c r="A46728" s="374"/>
      <c r="C46728" s="374"/>
      <c r="CV46728" s="376"/>
    </row>
    <row r="46729" spans="1:100">
      <c r="A46729" s="374"/>
      <c r="C46729" s="374"/>
      <c r="CV46729" s="376"/>
    </row>
    <row r="46730" spans="1:100">
      <c r="A46730" s="374"/>
      <c r="C46730" s="374"/>
      <c r="CV46730" s="376"/>
    </row>
    <row r="46731" spans="1:100">
      <c r="A46731" s="374"/>
      <c r="C46731" s="374"/>
      <c r="CV46731" s="376"/>
    </row>
    <row r="46732" spans="1:100">
      <c r="A46732" s="374"/>
      <c r="C46732" s="374"/>
      <c r="CV46732" s="376"/>
    </row>
    <row r="46733" spans="1:100">
      <c r="A46733" s="374"/>
      <c r="C46733" s="374"/>
      <c r="CV46733" s="376"/>
    </row>
    <row r="46734" spans="1:100">
      <c r="A46734" s="374"/>
      <c r="C46734" s="374"/>
      <c r="CV46734" s="376"/>
    </row>
    <row r="46735" spans="1:100">
      <c r="A46735" s="374"/>
      <c r="C46735" s="374"/>
      <c r="CV46735" s="376"/>
    </row>
    <row r="46736" spans="1:100">
      <c r="A46736" s="374"/>
      <c r="C46736" s="374"/>
      <c r="CV46736" s="376"/>
    </row>
    <row r="46737" spans="1:100">
      <c r="A46737" s="374"/>
      <c r="C46737" s="374"/>
      <c r="CV46737" s="376"/>
    </row>
    <row r="46738" spans="1:100">
      <c r="A46738" s="374"/>
      <c r="C46738" s="374"/>
      <c r="CV46738" s="376"/>
    </row>
    <row r="46739" spans="1:100">
      <c r="A46739" s="374"/>
      <c r="C46739" s="374"/>
      <c r="CV46739" s="376"/>
    </row>
    <row r="46740" spans="1:100">
      <c r="A46740" s="374"/>
      <c r="C46740" s="374"/>
      <c r="CV46740" s="376"/>
    </row>
    <row r="46741" spans="1:100">
      <c r="A46741" s="374"/>
      <c r="C46741" s="374"/>
      <c r="CV46741" s="376"/>
    </row>
    <row r="46742" spans="1:100">
      <c r="A46742" s="374"/>
      <c r="C46742" s="374"/>
      <c r="CV46742" s="376"/>
    </row>
    <row r="46743" spans="1:100">
      <c r="A46743" s="374"/>
      <c r="C46743" s="374"/>
      <c r="CV46743" s="376"/>
    </row>
    <row r="46744" spans="1:100">
      <c r="A46744" s="374"/>
      <c r="C46744" s="374"/>
      <c r="CV46744" s="376"/>
    </row>
    <row r="46745" spans="1:100">
      <c r="A46745" s="374"/>
      <c r="C46745" s="374"/>
      <c r="CV46745" s="376"/>
    </row>
    <row r="46746" spans="1:100">
      <c r="A46746" s="374"/>
      <c r="C46746" s="374"/>
      <c r="CV46746" s="376"/>
    </row>
    <row r="46747" spans="1:100">
      <c r="A46747" s="374"/>
      <c r="C46747" s="374"/>
      <c r="CV46747" s="376"/>
    </row>
    <row r="46748" spans="1:100">
      <c r="A46748" s="374"/>
      <c r="C46748" s="374"/>
      <c r="CV46748" s="376"/>
    </row>
    <row r="46749" spans="1:100">
      <c r="A46749" s="374"/>
      <c r="C46749" s="374"/>
      <c r="CV46749" s="376"/>
    </row>
    <row r="46750" spans="1:100">
      <c r="A46750" s="374"/>
      <c r="C46750" s="374"/>
      <c r="CV46750" s="376"/>
    </row>
    <row r="46751" spans="1:100">
      <c r="A46751" s="374"/>
      <c r="C46751" s="374"/>
      <c r="CV46751" s="376"/>
    </row>
    <row r="46752" spans="1:100">
      <c r="A46752" s="374"/>
      <c r="C46752" s="374"/>
      <c r="CV46752" s="376"/>
    </row>
    <row r="46753" spans="1:100">
      <c r="A46753" s="374"/>
      <c r="C46753" s="374"/>
      <c r="CV46753" s="376"/>
    </row>
    <row r="46754" spans="1:100">
      <c r="A46754" s="374"/>
      <c r="C46754" s="374"/>
      <c r="CV46754" s="376"/>
    </row>
    <row r="46755" spans="1:100">
      <c r="A46755" s="374"/>
      <c r="C46755" s="374"/>
      <c r="CV46755" s="376"/>
    </row>
    <row r="46756" spans="1:100">
      <c r="A46756" s="374"/>
      <c r="C46756" s="374"/>
      <c r="CV46756" s="376"/>
    </row>
    <row r="46757" spans="1:100">
      <c r="A46757" s="374"/>
      <c r="C46757" s="374"/>
      <c r="CV46757" s="376"/>
    </row>
    <row r="46758" spans="1:100">
      <c r="A46758" s="374"/>
      <c r="C46758" s="374"/>
      <c r="CV46758" s="376"/>
    </row>
    <row r="46759" spans="1:100">
      <c r="A46759" s="374"/>
      <c r="C46759" s="374"/>
      <c r="CV46759" s="376"/>
    </row>
    <row r="46760" spans="1:100">
      <c r="A46760" s="374"/>
      <c r="C46760" s="374"/>
      <c r="CV46760" s="376"/>
    </row>
    <row r="46761" spans="1:100">
      <c r="A46761" s="374"/>
      <c r="C46761" s="374"/>
      <c r="CV46761" s="376"/>
    </row>
    <row r="46762" spans="1:100">
      <c r="A46762" s="374"/>
      <c r="C46762" s="374"/>
      <c r="CV46762" s="376"/>
    </row>
    <row r="46763" spans="1:100">
      <c r="A46763" s="374"/>
      <c r="C46763" s="374"/>
      <c r="CV46763" s="376"/>
    </row>
    <row r="46764" spans="1:100">
      <c r="A46764" s="374"/>
      <c r="C46764" s="374"/>
      <c r="CV46764" s="376"/>
    </row>
    <row r="46765" spans="1:100">
      <c r="A46765" s="374"/>
      <c r="C46765" s="374"/>
      <c r="CV46765" s="376"/>
    </row>
    <row r="46766" spans="1:100">
      <c r="A46766" s="374"/>
      <c r="C46766" s="374"/>
      <c r="CV46766" s="376"/>
    </row>
    <row r="46767" spans="1:100">
      <c r="A46767" s="374"/>
      <c r="C46767" s="374"/>
      <c r="CV46767" s="376"/>
    </row>
    <row r="46768" spans="1:100">
      <c r="A46768" s="374"/>
      <c r="C46768" s="374"/>
      <c r="CV46768" s="376"/>
    </row>
    <row r="46769" spans="1:100">
      <c r="A46769" s="374"/>
      <c r="C46769" s="374"/>
      <c r="CV46769" s="376"/>
    </row>
    <row r="46770" spans="1:100">
      <c r="A46770" s="374"/>
      <c r="C46770" s="374"/>
      <c r="CV46770" s="376"/>
    </row>
    <row r="46771" spans="1:100">
      <c r="A46771" s="374"/>
      <c r="C46771" s="374"/>
      <c r="CV46771" s="376"/>
    </row>
    <row r="46772" spans="1:100">
      <c r="A46772" s="374"/>
      <c r="C46772" s="374"/>
      <c r="CV46772" s="376"/>
    </row>
    <row r="46773" spans="1:100">
      <c r="A46773" s="374"/>
      <c r="C46773" s="374"/>
      <c r="CV46773" s="376"/>
    </row>
    <row r="46774" spans="1:100">
      <c r="A46774" s="374"/>
      <c r="C46774" s="374"/>
      <c r="CV46774" s="376"/>
    </row>
    <row r="46775" spans="1:100">
      <c r="A46775" s="374"/>
      <c r="C46775" s="374"/>
      <c r="CV46775" s="376"/>
    </row>
    <row r="46776" spans="1:100">
      <c r="A46776" s="374"/>
      <c r="C46776" s="374"/>
      <c r="CV46776" s="376"/>
    </row>
    <row r="46777" spans="1:100">
      <c r="A46777" s="374"/>
      <c r="C46777" s="374"/>
      <c r="CV46777" s="376"/>
    </row>
    <row r="46778" spans="1:100">
      <c r="A46778" s="374"/>
      <c r="C46778" s="374"/>
      <c r="CV46778" s="376"/>
    </row>
    <row r="46779" spans="1:100">
      <c r="A46779" s="374"/>
      <c r="C46779" s="374"/>
      <c r="CV46779" s="376"/>
    </row>
    <row r="46780" spans="1:100">
      <c r="A46780" s="374"/>
      <c r="C46780" s="374"/>
      <c r="CV46780" s="376"/>
    </row>
    <row r="46781" spans="1:100">
      <c r="A46781" s="374"/>
      <c r="C46781" s="374"/>
      <c r="CV46781" s="376"/>
    </row>
    <row r="46782" spans="1:100">
      <c r="A46782" s="374"/>
      <c r="C46782" s="374"/>
      <c r="CV46782" s="376"/>
    </row>
    <row r="46783" spans="1:100">
      <c r="A46783" s="374"/>
      <c r="C46783" s="374"/>
      <c r="CV46783" s="376"/>
    </row>
    <row r="46784" spans="1:100">
      <c r="A46784" s="374"/>
      <c r="C46784" s="374"/>
      <c r="CV46784" s="376"/>
    </row>
    <row r="46785" spans="1:100">
      <c r="A46785" s="374"/>
      <c r="C46785" s="374"/>
      <c r="CV46785" s="376"/>
    </row>
    <row r="46786" spans="1:100">
      <c r="A46786" s="374"/>
      <c r="C46786" s="374"/>
      <c r="CV46786" s="376"/>
    </row>
    <row r="46787" spans="1:100">
      <c r="A46787" s="374"/>
      <c r="C46787" s="374"/>
      <c r="CV46787" s="376"/>
    </row>
    <row r="46788" spans="1:100">
      <c r="A46788" s="374"/>
      <c r="C46788" s="374"/>
      <c r="CV46788" s="376"/>
    </row>
    <row r="46789" spans="1:100">
      <c r="A46789" s="374"/>
      <c r="C46789" s="374"/>
      <c r="CV46789" s="376"/>
    </row>
    <row r="46790" spans="1:100">
      <c r="A46790" s="374"/>
      <c r="C46790" s="374"/>
      <c r="CV46790" s="376"/>
    </row>
    <row r="46791" spans="1:100">
      <c r="A46791" s="374"/>
      <c r="C46791" s="374"/>
      <c r="CV46791" s="376"/>
    </row>
    <row r="46792" spans="1:100">
      <c r="A46792" s="374"/>
      <c r="C46792" s="374"/>
      <c r="CV46792" s="376"/>
    </row>
    <row r="46793" spans="1:100">
      <c r="A46793" s="374"/>
      <c r="C46793" s="374"/>
      <c r="CV46793" s="376"/>
    </row>
    <row r="46794" spans="1:100">
      <c r="A46794" s="374"/>
      <c r="C46794" s="374"/>
      <c r="CV46794" s="376"/>
    </row>
    <row r="46795" spans="1:100">
      <c r="A46795" s="374"/>
      <c r="C46795" s="374"/>
      <c r="CV46795" s="376"/>
    </row>
    <row r="46796" spans="1:100">
      <c r="A46796" s="374"/>
      <c r="C46796" s="374"/>
      <c r="CV46796" s="376"/>
    </row>
    <row r="46797" spans="1:100">
      <c r="A46797" s="374"/>
      <c r="C46797" s="374"/>
      <c r="CV46797" s="376"/>
    </row>
    <row r="46798" spans="1:100">
      <c r="A46798" s="374"/>
      <c r="C46798" s="374"/>
      <c r="CV46798" s="376"/>
    </row>
    <row r="46799" spans="1:100">
      <c r="A46799" s="374"/>
      <c r="C46799" s="374"/>
      <c r="CV46799" s="376"/>
    </row>
    <row r="46800" spans="1:100">
      <c r="A46800" s="374"/>
      <c r="C46800" s="374"/>
      <c r="CV46800" s="376"/>
    </row>
    <row r="46801" spans="1:100">
      <c r="A46801" s="374"/>
      <c r="C46801" s="374"/>
      <c r="CV46801" s="376"/>
    </row>
    <row r="46802" spans="1:100">
      <c r="A46802" s="374"/>
      <c r="C46802" s="374"/>
      <c r="CV46802" s="376"/>
    </row>
    <row r="46803" spans="1:100">
      <c r="A46803" s="374"/>
      <c r="C46803" s="374"/>
      <c r="CV46803" s="376"/>
    </row>
    <row r="46804" spans="1:100">
      <c r="A46804" s="374"/>
      <c r="C46804" s="374"/>
      <c r="CV46804" s="376"/>
    </row>
    <row r="46805" spans="1:100">
      <c r="A46805" s="374"/>
      <c r="C46805" s="374"/>
      <c r="CV46805" s="376"/>
    </row>
    <row r="46806" spans="1:100">
      <c r="A46806" s="374"/>
      <c r="C46806" s="374"/>
      <c r="CV46806" s="376"/>
    </row>
    <row r="46807" spans="1:100">
      <c r="A46807" s="374"/>
      <c r="C46807" s="374"/>
      <c r="CV46807" s="376"/>
    </row>
    <row r="46808" spans="1:100">
      <c r="A46808" s="374"/>
      <c r="C46808" s="374"/>
      <c r="CV46808" s="376"/>
    </row>
    <row r="46809" spans="1:100">
      <c r="A46809" s="374"/>
      <c r="C46809" s="374"/>
      <c r="CV46809" s="376"/>
    </row>
    <row r="46810" spans="1:100">
      <c r="A46810" s="374"/>
      <c r="C46810" s="374"/>
      <c r="CV46810" s="376"/>
    </row>
    <row r="46811" spans="1:100">
      <c r="A46811" s="374"/>
      <c r="C46811" s="374"/>
      <c r="CV46811" s="376"/>
    </row>
    <row r="46812" spans="1:100">
      <c r="A46812" s="374"/>
      <c r="C46812" s="374"/>
      <c r="CV46812" s="376"/>
    </row>
    <row r="46813" spans="1:100">
      <c r="A46813" s="374"/>
      <c r="C46813" s="374"/>
      <c r="CV46813" s="376"/>
    </row>
    <row r="46814" spans="1:100">
      <c r="A46814" s="374"/>
      <c r="C46814" s="374"/>
      <c r="CV46814" s="376"/>
    </row>
    <row r="46815" spans="1:100">
      <c r="A46815" s="374"/>
      <c r="C46815" s="374"/>
      <c r="CV46815" s="376"/>
    </row>
    <row r="46816" spans="1:100">
      <c r="A46816" s="374"/>
      <c r="C46816" s="374"/>
      <c r="CV46816" s="376"/>
    </row>
    <row r="46817" spans="1:100">
      <c r="A46817" s="374"/>
      <c r="C46817" s="374"/>
      <c r="CV46817" s="376"/>
    </row>
    <row r="46818" spans="1:100">
      <c r="A46818" s="374"/>
      <c r="C46818" s="374"/>
      <c r="CV46818" s="376"/>
    </row>
    <row r="46819" spans="1:100">
      <c r="A46819" s="374"/>
      <c r="C46819" s="374"/>
      <c r="CV46819" s="376"/>
    </row>
    <row r="46820" spans="1:100">
      <c r="A46820" s="374"/>
      <c r="C46820" s="374"/>
      <c r="CV46820" s="376"/>
    </row>
    <row r="46821" spans="1:100">
      <c r="A46821" s="374"/>
      <c r="C46821" s="374"/>
      <c r="CV46821" s="376"/>
    </row>
    <row r="46822" spans="1:100">
      <c r="A46822" s="374"/>
      <c r="C46822" s="374"/>
      <c r="CV46822" s="376"/>
    </row>
    <row r="46823" spans="1:100">
      <c r="A46823" s="374"/>
      <c r="C46823" s="374"/>
      <c r="CV46823" s="376"/>
    </row>
    <row r="46824" spans="1:100">
      <c r="A46824" s="374"/>
      <c r="C46824" s="374"/>
      <c r="CV46824" s="376"/>
    </row>
    <row r="46825" spans="1:100">
      <c r="A46825" s="374"/>
      <c r="C46825" s="374"/>
      <c r="CV46825" s="376"/>
    </row>
    <row r="46826" spans="1:100">
      <c r="A46826" s="374"/>
      <c r="C46826" s="374"/>
      <c r="CV46826" s="376"/>
    </row>
    <row r="46827" spans="1:100">
      <c r="A46827" s="374"/>
      <c r="C46827" s="374"/>
      <c r="CV46827" s="376"/>
    </row>
    <row r="46828" spans="1:100">
      <c r="A46828" s="374"/>
      <c r="C46828" s="374"/>
      <c r="CV46828" s="376"/>
    </row>
    <row r="46829" spans="1:100">
      <c r="A46829" s="374"/>
      <c r="C46829" s="374"/>
      <c r="CV46829" s="376"/>
    </row>
    <row r="46830" spans="1:100">
      <c r="A46830" s="374"/>
      <c r="C46830" s="374"/>
      <c r="CV46830" s="376"/>
    </row>
    <row r="46831" spans="1:100">
      <c r="A46831" s="374"/>
      <c r="C46831" s="374"/>
      <c r="CV46831" s="376"/>
    </row>
    <row r="46832" spans="1:100">
      <c r="A46832" s="374"/>
      <c r="C46832" s="374"/>
      <c r="CV46832" s="376"/>
    </row>
    <row r="46833" spans="1:100">
      <c r="A46833" s="374"/>
      <c r="C46833" s="374"/>
      <c r="CV46833" s="376"/>
    </row>
    <row r="46834" spans="1:100">
      <c r="A46834" s="374"/>
      <c r="C46834" s="374"/>
      <c r="CV46834" s="376"/>
    </row>
    <row r="46835" spans="1:100">
      <c r="A46835" s="374"/>
      <c r="C46835" s="374"/>
      <c r="CV46835" s="376"/>
    </row>
    <row r="46836" spans="1:100">
      <c r="A46836" s="374"/>
      <c r="C46836" s="374"/>
      <c r="CV46836" s="376"/>
    </row>
    <row r="46837" spans="1:100">
      <c r="A46837" s="374"/>
      <c r="C46837" s="374"/>
      <c r="CV46837" s="376"/>
    </row>
    <row r="46838" spans="1:100">
      <c r="A46838" s="374"/>
      <c r="C46838" s="374"/>
      <c r="CV46838" s="376"/>
    </row>
    <row r="46839" spans="1:100">
      <c r="A46839" s="374"/>
      <c r="C46839" s="374"/>
      <c r="CV46839" s="376"/>
    </row>
    <row r="46840" spans="1:100">
      <c r="A46840" s="374"/>
      <c r="C46840" s="374"/>
      <c r="CV46840" s="376"/>
    </row>
    <row r="46841" spans="1:100">
      <c r="A46841" s="374"/>
      <c r="C46841" s="374"/>
      <c r="CV46841" s="376"/>
    </row>
    <row r="46842" spans="1:100">
      <c r="A46842" s="374"/>
      <c r="C46842" s="374"/>
      <c r="CV46842" s="376"/>
    </row>
    <row r="46843" spans="1:100">
      <c r="A46843" s="374"/>
      <c r="C46843" s="374"/>
      <c r="CV46843" s="376"/>
    </row>
    <row r="46844" spans="1:100">
      <c r="A46844" s="374"/>
      <c r="C46844" s="374"/>
      <c r="CV46844" s="376"/>
    </row>
    <row r="46845" spans="1:100">
      <c r="A46845" s="374"/>
      <c r="C46845" s="374"/>
      <c r="CV46845" s="376"/>
    </row>
    <row r="46846" spans="1:100">
      <c r="A46846" s="374"/>
      <c r="C46846" s="374"/>
      <c r="CV46846" s="376"/>
    </row>
    <row r="46847" spans="1:100">
      <c r="A46847" s="374"/>
      <c r="C46847" s="374"/>
      <c r="CV46847" s="376"/>
    </row>
    <row r="46848" spans="1:100">
      <c r="A46848" s="374"/>
      <c r="C46848" s="374"/>
      <c r="CV46848" s="376"/>
    </row>
    <row r="46849" spans="1:100">
      <c r="A46849" s="374"/>
      <c r="C46849" s="374"/>
      <c r="CV46849" s="376"/>
    </row>
    <row r="46850" spans="1:100">
      <c r="A46850" s="374"/>
      <c r="C46850" s="374"/>
      <c r="CV46850" s="376"/>
    </row>
    <row r="46851" spans="1:100">
      <c r="A46851" s="374"/>
      <c r="C46851" s="374"/>
      <c r="CV46851" s="376"/>
    </row>
    <row r="46852" spans="1:100">
      <c r="A46852" s="374"/>
      <c r="C46852" s="374"/>
      <c r="CV46852" s="376"/>
    </row>
    <row r="46853" spans="1:100">
      <c r="A46853" s="374"/>
      <c r="C46853" s="374"/>
      <c r="CV46853" s="376"/>
    </row>
    <row r="46854" spans="1:100">
      <c r="A46854" s="374"/>
      <c r="C46854" s="374"/>
      <c r="CV46854" s="376"/>
    </row>
    <row r="46855" spans="1:100">
      <c r="A46855" s="374"/>
      <c r="C46855" s="374"/>
      <c r="CV46855" s="376"/>
    </row>
    <row r="46856" spans="1:100">
      <c r="A46856" s="374"/>
      <c r="C46856" s="374"/>
      <c r="CV46856" s="376"/>
    </row>
    <row r="46857" spans="1:100">
      <c r="A46857" s="374"/>
      <c r="C46857" s="374"/>
      <c r="CV46857" s="376"/>
    </row>
    <row r="46858" spans="1:100">
      <c r="A46858" s="374"/>
      <c r="C46858" s="374"/>
      <c r="CV46858" s="376"/>
    </row>
    <row r="46859" spans="1:100">
      <c r="A46859" s="374"/>
      <c r="C46859" s="374"/>
      <c r="CV46859" s="376"/>
    </row>
    <row r="46860" spans="1:100">
      <c r="A46860" s="374"/>
      <c r="C46860" s="374"/>
      <c r="CV46860" s="376"/>
    </row>
    <row r="46861" spans="1:100">
      <c r="A46861" s="374"/>
      <c r="C46861" s="374"/>
      <c r="CV46861" s="376"/>
    </row>
    <row r="46862" spans="1:100">
      <c r="A46862" s="374"/>
      <c r="C46862" s="374"/>
      <c r="CV46862" s="376"/>
    </row>
    <row r="46863" spans="1:100">
      <c r="A46863" s="374"/>
      <c r="C46863" s="374"/>
      <c r="CV46863" s="376"/>
    </row>
    <row r="46864" spans="1:100">
      <c r="A46864" s="374"/>
      <c r="C46864" s="374"/>
      <c r="CV46864" s="376"/>
    </row>
    <row r="46865" spans="1:100">
      <c r="A46865" s="374"/>
      <c r="C46865" s="374"/>
      <c r="CV46865" s="376"/>
    </row>
    <row r="46866" spans="1:100">
      <c r="A46866" s="374"/>
      <c r="C46866" s="374"/>
      <c r="CV46866" s="376"/>
    </row>
    <row r="46867" spans="1:100">
      <c r="A46867" s="374"/>
      <c r="C46867" s="374"/>
      <c r="CV46867" s="376"/>
    </row>
    <row r="46868" spans="1:100">
      <c r="A46868" s="374"/>
      <c r="C46868" s="374"/>
      <c r="CV46868" s="376"/>
    </row>
    <row r="46869" spans="1:100">
      <c r="A46869" s="374"/>
      <c r="C46869" s="374"/>
      <c r="CV46869" s="376"/>
    </row>
    <row r="46870" spans="1:100">
      <c r="A46870" s="374"/>
      <c r="C46870" s="374"/>
      <c r="CV46870" s="376"/>
    </row>
    <row r="46871" spans="1:100">
      <c r="A46871" s="374"/>
      <c r="C46871" s="374"/>
      <c r="CV46871" s="376"/>
    </row>
    <row r="46872" spans="1:100">
      <c r="A46872" s="374"/>
      <c r="C46872" s="374"/>
      <c r="CV46872" s="376"/>
    </row>
    <row r="46873" spans="1:100">
      <c r="A46873" s="374"/>
      <c r="C46873" s="374"/>
      <c r="CV46873" s="376"/>
    </row>
    <row r="46874" spans="1:100">
      <c r="A46874" s="374"/>
      <c r="C46874" s="374"/>
      <c r="CV46874" s="376"/>
    </row>
    <row r="46875" spans="1:100">
      <c r="A46875" s="374"/>
      <c r="C46875" s="374"/>
      <c r="CV46875" s="376"/>
    </row>
    <row r="46876" spans="1:100">
      <c r="A46876" s="374"/>
      <c r="C46876" s="374"/>
      <c r="CV46876" s="376"/>
    </row>
    <row r="46877" spans="1:100">
      <c r="A46877" s="374"/>
      <c r="C46877" s="374"/>
      <c r="CV46877" s="376"/>
    </row>
    <row r="46878" spans="1:100">
      <c r="A46878" s="374"/>
      <c r="C46878" s="374"/>
      <c r="CV46878" s="376"/>
    </row>
    <row r="46879" spans="1:100">
      <c r="A46879" s="374"/>
      <c r="C46879" s="374"/>
      <c r="CV46879" s="376"/>
    </row>
    <row r="46880" spans="1:100">
      <c r="A46880" s="374"/>
      <c r="C46880" s="374"/>
      <c r="CV46880" s="376"/>
    </row>
    <row r="46881" spans="1:100">
      <c r="A46881" s="374"/>
      <c r="C46881" s="374"/>
      <c r="CV46881" s="376"/>
    </row>
    <row r="46882" spans="1:100">
      <c r="A46882" s="374"/>
      <c r="C46882" s="374"/>
      <c r="CV46882" s="376"/>
    </row>
    <row r="46883" spans="1:100">
      <c r="A46883" s="374"/>
      <c r="C46883" s="374"/>
      <c r="CV46883" s="376"/>
    </row>
    <row r="46884" spans="1:100">
      <c r="A46884" s="374"/>
      <c r="C46884" s="374"/>
      <c r="CV46884" s="376"/>
    </row>
    <row r="46885" spans="1:100">
      <c r="A46885" s="374"/>
      <c r="C46885" s="374"/>
      <c r="CV46885" s="376"/>
    </row>
    <row r="46886" spans="1:100">
      <c r="A46886" s="374"/>
      <c r="C46886" s="374"/>
      <c r="CV46886" s="376"/>
    </row>
    <row r="46887" spans="1:100">
      <c r="A46887" s="374"/>
      <c r="C46887" s="374"/>
      <c r="CV46887" s="376"/>
    </row>
    <row r="46888" spans="1:100">
      <c r="A46888" s="374"/>
      <c r="C46888" s="374"/>
      <c r="CV46888" s="376"/>
    </row>
    <row r="46889" spans="1:100">
      <c r="A46889" s="374"/>
      <c r="C46889" s="374"/>
      <c r="CV46889" s="376"/>
    </row>
    <row r="46890" spans="1:100">
      <c r="A46890" s="374"/>
      <c r="C46890" s="374"/>
      <c r="CV46890" s="376"/>
    </row>
    <row r="46891" spans="1:100">
      <c r="A46891" s="374"/>
      <c r="C46891" s="374"/>
      <c r="CV46891" s="376"/>
    </row>
    <row r="46892" spans="1:100">
      <c r="A46892" s="374"/>
      <c r="C46892" s="374"/>
      <c r="CV46892" s="376"/>
    </row>
    <row r="46893" spans="1:100">
      <c r="A46893" s="374"/>
      <c r="C46893" s="374"/>
      <c r="CV46893" s="376"/>
    </row>
    <row r="46894" spans="1:100">
      <c r="A46894" s="374"/>
      <c r="C46894" s="374"/>
      <c r="CV46894" s="376"/>
    </row>
    <row r="46895" spans="1:100">
      <c r="A46895" s="374"/>
      <c r="C46895" s="374"/>
      <c r="CV46895" s="376"/>
    </row>
    <row r="46896" spans="1:100">
      <c r="A46896" s="374"/>
      <c r="C46896" s="374"/>
      <c r="CV46896" s="376"/>
    </row>
    <row r="46897" spans="1:100">
      <c r="A46897" s="374"/>
      <c r="C46897" s="374"/>
      <c r="CV46897" s="376"/>
    </row>
    <row r="46898" spans="1:100">
      <c r="A46898" s="374"/>
      <c r="C46898" s="374"/>
      <c r="CV46898" s="376"/>
    </row>
    <row r="46899" spans="1:100">
      <c r="A46899" s="374"/>
      <c r="C46899" s="374"/>
      <c r="CV46899" s="376"/>
    </row>
    <row r="46900" spans="1:100">
      <c r="A46900" s="374"/>
      <c r="C46900" s="374"/>
      <c r="CV46900" s="376"/>
    </row>
    <row r="46901" spans="1:100">
      <c r="A46901" s="374"/>
      <c r="C46901" s="374"/>
      <c r="CV46901" s="376"/>
    </row>
    <row r="46902" spans="1:100">
      <c r="A46902" s="374"/>
      <c r="C46902" s="374"/>
      <c r="CV46902" s="376"/>
    </row>
    <row r="46903" spans="1:100">
      <c r="A46903" s="374"/>
      <c r="C46903" s="374"/>
      <c r="CV46903" s="376"/>
    </row>
    <row r="46904" spans="1:100">
      <c r="A46904" s="374"/>
      <c r="C46904" s="374"/>
      <c r="CV46904" s="376"/>
    </row>
    <row r="46905" spans="1:100">
      <c r="A46905" s="374"/>
      <c r="C46905" s="374"/>
      <c r="CV46905" s="376"/>
    </row>
    <row r="46906" spans="1:100">
      <c r="A46906" s="374"/>
      <c r="C46906" s="374"/>
      <c r="CV46906" s="376"/>
    </row>
    <row r="46907" spans="1:100">
      <c r="A46907" s="374"/>
      <c r="C46907" s="374"/>
      <c r="CV46907" s="376"/>
    </row>
    <row r="46908" spans="1:100">
      <c r="A46908" s="374"/>
      <c r="C46908" s="374"/>
      <c r="CV46908" s="376"/>
    </row>
    <row r="46909" spans="1:100">
      <c r="A46909" s="374"/>
      <c r="C46909" s="374"/>
      <c r="CV46909" s="376"/>
    </row>
    <row r="46910" spans="1:100">
      <c r="A46910" s="374"/>
      <c r="C46910" s="374"/>
      <c r="CV46910" s="376"/>
    </row>
    <row r="46911" spans="1:100">
      <c r="A46911" s="374"/>
      <c r="C46911" s="374"/>
      <c r="CV46911" s="376"/>
    </row>
    <row r="46912" spans="1:100">
      <c r="A46912" s="374"/>
      <c r="C46912" s="374"/>
      <c r="CV46912" s="376"/>
    </row>
    <row r="46913" spans="1:100">
      <c r="A46913" s="374"/>
      <c r="C46913" s="374"/>
      <c r="CV46913" s="376"/>
    </row>
    <row r="46914" spans="1:100">
      <c r="A46914" s="374"/>
      <c r="C46914" s="374"/>
      <c r="CV46914" s="376"/>
    </row>
    <row r="46915" spans="1:100">
      <c r="A46915" s="374"/>
      <c r="C46915" s="374"/>
      <c r="CV46915" s="376"/>
    </row>
    <row r="46916" spans="1:100">
      <c r="A46916" s="374"/>
      <c r="C46916" s="374"/>
      <c r="CV46916" s="376"/>
    </row>
    <row r="46917" spans="1:100">
      <c r="A46917" s="374"/>
      <c r="C46917" s="374"/>
      <c r="CV46917" s="376"/>
    </row>
    <row r="46918" spans="1:100">
      <c r="A46918" s="374"/>
      <c r="C46918" s="374"/>
      <c r="CV46918" s="376"/>
    </row>
    <row r="46919" spans="1:100">
      <c r="A46919" s="374"/>
      <c r="C46919" s="374"/>
      <c r="CV46919" s="376"/>
    </row>
    <row r="46920" spans="1:100">
      <c r="A46920" s="374"/>
      <c r="C46920" s="374"/>
      <c r="CV46920" s="376"/>
    </row>
    <row r="46921" spans="1:100">
      <c r="A46921" s="374"/>
      <c r="C46921" s="374"/>
      <c r="CV46921" s="376"/>
    </row>
    <row r="46922" spans="1:100">
      <c r="A46922" s="374"/>
      <c r="C46922" s="374"/>
      <c r="CV46922" s="376"/>
    </row>
    <row r="46923" spans="1:100">
      <c r="A46923" s="374"/>
      <c r="C46923" s="374"/>
      <c r="CV46923" s="376"/>
    </row>
    <row r="46924" spans="1:100">
      <c r="A46924" s="374"/>
      <c r="C46924" s="374"/>
      <c r="CV46924" s="376"/>
    </row>
    <row r="46925" spans="1:100">
      <c r="A46925" s="374"/>
      <c r="C46925" s="374"/>
      <c r="CV46925" s="376"/>
    </row>
    <row r="46926" spans="1:100">
      <c r="A46926" s="374"/>
      <c r="C46926" s="374"/>
      <c r="CV46926" s="376"/>
    </row>
    <row r="46927" spans="1:100">
      <c r="A46927" s="374"/>
      <c r="C46927" s="374"/>
      <c r="CV46927" s="376"/>
    </row>
    <row r="46928" spans="1:100">
      <c r="A46928" s="374"/>
      <c r="C46928" s="374"/>
      <c r="CV46928" s="376"/>
    </row>
    <row r="46929" spans="1:100">
      <c r="A46929" s="374"/>
      <c r="C46929" s="374"/>
      <c r="CV46929" s="376"/>
    </row>
    <row r="46930" spans="1:100">
      <c r="A46930" s="374"/>
      <c r="C46930" s="374"/>
      <c r="CV46930" s="376"/>
    </row>
    <row r="46931" spans="1:100">
      <c r="A46931" s="374"/>
      <c r="C46931" s="374"/>
      <c r="CV46931" s="376"/>
    </row>
    <row r="46932" spans="1:100">
      <c r="A46932" s="374"/>
      <c r="C46932" s="374"/>
      <c r="CV46932" s="376"/>
    </row>
    <row r="46933" spans="1:100">
      <c r="A46933" s="374"/>
      <c r="C46933" s="374"/>
      <c r="CV46933" s="376"/>
    </row>
    <row r="46934" spans="1:100">
      <c r="A46934" s="374"/>
      <c r="C46934" s="374"/>
      <c r="CV46934" s="376"/>
    </row>
    <row r="46935" spans="1:100">
      <c r="A46935" s="374"/>
      <c r="C46935" s="374"/>
      <c r="CV46935" s="376"/>
    </row>
    <row r="46936" spans="1:100">
      <c r="A46936" s="374"/>
      <c r="C46936" s="374"/>
      <c r="CV46936" s="376"/>
    </row>
    <row r="46937" spans="1:100">
      <c r="A46937" s="374"/>
      <c r="C46937" s="374"/>
      <c r="CV46937" s="376"/>
    </row>
    <row r="46938" spans="1:100">
      <c r="A46938" s="374"/>
      <c r="C46938" s="374"/>
      <c r="CV46938" s="376"/>
    </row>
    <row r="46939" spans="1:100">
      <c r="A46939" s="374"/>
      <c r="C46939" s="374"/>
      <c r="CV46939" s="376"/>
    </row>
    <row r="46940" spans="1:100">
      <c r="A46940" s="374"/>
      <c r="C46940" s="374"/>
      <c r="CV46940" s="376"/>
    </row>
    <row r="46941" spans="1:100">
      <c r="A46941" s="374"/>
      <c r="C46941" s="374"/>
      <c r="CV46941" s="376"/>
    </row>
    <row r="46942" spans="1:100">
      <c r="A46942" s="374"/>
      <c r="C46942" s="374"/>
      <c r="CV46942" s="376"/>
    </row>
    <row r="46943" spans="1:100">
      <c r="A46943" s="374"/>
      <c r="C46943" s="374"/>
      <c r="CV46943" s="376"/>
    </row>
    <row r="46944" spans="1:100">
      <c r="A46944" s="374"/>
      <c r="C46944" s="374"/>
      <c r="CV46944" s="376"/>
    </row>
    <row r="46945" spans="1:100">
      <c r="A46945" s="374"/>
      <c r="C46945" s="374"/>
      <c r="CV46945" s="376"/>
    </row>
    <row r="46946" spans="1:100">
      <c r="A46946" s="374"/>
      <c r="C46946" s="374"/>
      <c r="CV46946" s="376"/>
    </row>
    <row r="46947" spans="1:100">
      <c r="A46947" s="374"/>
      <c r="C46947" s="374"/>
      <c r="CV46947" s="376"/>
    </row>
    <row r="46948" spans="1:100">
      <c r="A46948" s="374"/>
      <c r="C46948" s="374"/>
      <c r="CV46948" s="376"/>
    </row>
    <row r="46949" spans="1:100">
      <c r="A46949" s="374"/>
      <c r="C46949" s="374"/>
      <c r="CV46949" s="376"/>
    </row>
    <row r="46950" spans="1:100">
      <c r="A46950" s="374"/>
      <c r="C46950" s="374"/>
      <c r="CV46950" s="376"/>
    </row>
    <row r="46951" spans="1:100">
      <c r="A46951" s="374"/>
      <c r="C46951" s="374"/>
      <c r="CV46951" s="376"/>
    </row>
    <row r="46952" spans="1:100">
      <c r="A46952" s="374"/>
      <c r="C46952" s="374"/>
      <c r="CV46952" s="376"/>
    </row>
    <row r="46953" spans="1:100">
      <c r="A46953" s="374"/>
      <c r="C46953" s="374"/>
      <c r="CV46953" s="376"/>
    </row>
    <row r="46954" spans="1:100">
      <c r="A46954" s="374"/>
      <c r="C46954" s="374"/>
      <c r="CV46954" s="376"/>
    </row>
    <row r="46955" spans="1:100">
      <c r="A46955" s="374"/>
      <c r="C46955" s="374"/>
      <c r="CV46955" s="376"/>
    </row>
    <row r="46956" spans="1:100">
      <c r="A46956" s="374"/>
      <c r="C46956" s="374"/>
      <c r="CV46956" s="376"/>
    </row>
    <row r="46957" spans="1:100">
      <c r="A46957" s="374"/>
      <c r="C46957" s="374"/>
      <c r="CV46957" s="376"/>
    </row>
    <row r="46958" spans="1:100">
      <c r="A46958" s="374"/>
      <c r="C46958" s="374"/>
      <c r="CV46958" s="376"/>
    </row>
    <row r="46959" spans="1:100">
      <c r="A46959" s="374"/>
      <c r="C46959" s="374"/>
      <c r="CV46959" s="376"/>
    </row>
    <row r="46960" spans="1:100">
      <c r="A46960" s="374"/>
      <c r="C46960" s="374"/>
      <c r="CV46960" s="376"/>
    </row>
    <row r="46961" spans="1:100">
      <c r="A46961" s="374"/>
      <c r="C46961" s="374"/>
      <c r="CV46961" s="376"/>
    </row>
    <row r="46962" spans="1:100">
      <c r="A46962" s="374"/>
      <c r="C46962" s="374"/>
      <c r="CV46962" s="376"/>
    </row>
    <row r="46963" spans="1:100">
      <c r="A46963" s="374"/>
      <c r="C46963" s="374"/>
      <c r="CV46963" s="376"/>
    </row>
    <row r="46964" spans="1:100">
      <c r="A46964" s="374"/>
      <c r="C46964" s="374"/>
      <c r="CV46964" s="376"/>
    </row>
    <row r="46965" spans="1:100">
      <c r="A46965" s="374"/>
      <c r="C46965" s="374"/>
      <c r="CV46965" s="376"/>
    </row>
    <row r="46966" spans="1:100">
      <c r="A46966" s="374"/>
      <c r="C46966" s="374"/>
      <c r="CV46966" s="376"/>
    </row>
    <row r="46967" spans="1:100">
      <c r="A46967" s="374"/>
      <c r="C46967" s="374"/>
      <c r="CV46967" s="376"/>
    </row>
    <row r="46968" spans="1:100">
      <c r="A46968" s="374"/>
      <c r="C46968" s="374"/>
      <c r="CV46968" s="376"/>
    </row>
    <row r="46969" spans="1:100">
      <c r="A46969" s="374"/>
      <c r="C46969" s="374"/>
      <c r="CV46969" s="376"/>
    </row>
    <row r="46970" spans="1:100">
      <c r="A46970" s="374"/>
      <c r="C46970" s="374"/>
      <c r="CV46970" s="376"/>
    </row>
    <row r="46971" spans="1:100">
      <c r="A46971" s="374"/>
      <c r="C46971" s="374"/>
      <c r="CV46971" s="376"/>
    </row>
    <row r="46972" spans="1:100">
      <c r="A46972" s="374"/>
      <c r="C46972" s="374"/>
      <c r="CV46972" s="376"/>
    </row>
    <row r="46973" spans="1:100">
      <c r="A46973" s="374"/>
      <c r="C46973" s="374"/>
      <c r="CV46973" s="376"/>
    </row>
    <row r="46974" spans="1:100">
      <c r="A46974" s="374"/>
      <c r="C46974" s="374"/>
      <c r="CV46974" s="376"/>
    </row>
    <row r="46975" spans="1:100">
      <c r="A46975" s="374"/>
      <c r="C46975" s="374"/>
      <c r="CV46975" s="376"/>
    </row>
    <row r="46976" spans="1:100">
      <c r="A46976" s="374"/>
      <c r="C46976" s="374"/>
      <c r="CV46976" s="376"/>
    </row>
    <row r="46977" spans="1:100">
      <c r="A46977" s="374"/>
      <c r="C46977" s="374"/>
      <c r="CV46977" s="376"/>
    </row>
    <row r="46978" spans="1:100">
      <c r="A46978" s="374"/>
      <c r="C46978" s="374"/>
      <c r="CV46978" s="376"/>
    </row>
    <row r="46979" spans="1:100">
      <c r="A46979" s="374"/>
      <c r="C46979" s="374"/>
      <c r="CV46979" s="376"/>
    </row>
    <row r="46980" spans="1:100">
      <c r="A46980" s="374"/>
      <c r="C46980" s="374"/>
      <c r="CV46980" s="376"/>
    </row>
    <row r="46981" spans="1:100">
      <c r="A46981" s="374"/>
      <c r="C46981" s="374"/>
      <c r="CV46981" s="376"/>
    </row>
    <row r="46982" spans="1:100">
      <c r="A46982" s="374"/>
      <c r="C46982" s="374"/>
      <c r="CV46982" s="376"/>
    </row>
    <row r="46983" spans="1:100">
      <c r="A46983" s="374"/>
      <c r="C46983" s="374"/>
      <c r="CV46983" s="376"/>
    </row>
    <row r="46984" spans="1:100">
      <c r="A46984" s="374"/>
      <c r="C46984" s="374"/>
      <c r="CV46984" s="376"/>
    </row>
    <row r="46985" spans="1:100">
      <c r="A46985" s="374"/>
      <c r="C46985" s="374"/>
      <c r="CV46985" s="376"/>
    </row>
    <row r="46986" spans="1:100">
      <c r="A46986" s="374"/>
      <c r="C46986" s="374"/>
      <c r="CV46986" s="376"/>
    </row>
    <row r="46987" spans="1:100">
      <c r="A46987" s="374"/>
      <c r="C46987" s="374"/>
      <c r="CV46987" s="376"/>
    </row>
    <row r="46988" spans="1:100">
      <c r="A46988" s="374"/>
      <c r="C46988" s="374"/>
      <c r="CV46988" s="376"/>
    </row>
    <row r="46989" spans="1:100">
      <c r="A46989" s="374"/>
      <c r="C46989" s="374"/>
      <c r="CV46989" s="376"/>
    </row>
    <row r="46990" spans="1:100">
      <c r="A46990" s="374"/>
      <c r="C46990" s="374"/>
      <c r="CV46990" s="376"/>
    </row>
    <row r="46991" spans="1:100">
      <c r="A46991" s="374"/>
      <c r="C46991" s="374"/>
      <c r="CV46991" s="376"/>
    </row>
    <row r="46992" spans="1:100">
      <c r="A46992" s="374"/>
      <c r="C46992" s="374"/>
      <c r="CV46992" s="376"/>
    </row>
    <row r="46993" spans="1:100">
      <c r="A46993" s="374"/>
      <c r="C46993" s="374"/>
      <c r="CV46993" s="376"/>
    </row>
    <row r="46994" spans="1:100">
      <c r="A46994" s="374"/>
      <c r="C46994" s="374"/>
      <c r="CV46994" s="376"/>
    </row>
    <row r="46995" spans="1:100">
      <c r="A46995" s="374"/>
      <c r="C46995" s="374"/>
      <c r="CV46995" s="376"/>
    </row>
    <row r="46996" spans="1:100">
      <c r="A46996" s="374"/>
      <c r="C46996" s="374"/>
      <c r="CV46996" s="376"/>
    </row>
    <row r="46997" spans="1:100">
      <c r="A46997" s="374"/>
      <c r="C46997" s="374"/>
      <c r="CV46997" s="376"/>
    </row>
    <row r="46998" spans="1:100">
      <c r="A46998" s="374"/>
      <c r="C46998" s="374"/>
      <c r="CV46998" s="376"/>
    </row>
    <row r="46999" spans="1:100">
      <c r="A46999" s="374"/>
      <c r="C46999" s="374"/>
      <c r="CV46999" s="376"/>
    </row>
    <row r="47000" spans="1:100">
      <c r="A47000" s="374"/>
      <c r="C47000" s="374"/>
      <c r="CV47000" s="376"/>
    </row>
    <row r="47001" spans="1:100">
      <c r="A47001" s="374"/>
      <c r="C47001" s="374"/>
      <c r="CV47001" s="376"/>
    </row>
    <row r="47002" spans="1:100">
      <c r="A47002" s="374"/>
      <c r="C47002" s="374"/>
      <c r="CV47002" s="376"/>
    </row>
    <row r="47003" spans="1:100">
      <c r="A47003" s="374"/>
      <c r="C47003" s="374"/>
      <c r="CV47003" s="376"/>
    </row>
    <row r="47004" spans="1:100">
      <c r="A47004" s="374"/>
      <c r="C47004" s="374"/>
      <c r="CV47004" s="376"/>
    </row>
    <row r="47005" spans="1:100">
      <c r="A47005" s="374"/>
      <c r="C47005" s="374"/>
      <c r="CV47005" s="376"/>
    </row>
    <row r="47006" spans="1:100">
      <c r="A47006" s="374"/>
      <c r="C47006" s="374"/>
      <c r="CV47006" s="376"/>
    </row>
    <row r="47007" spans="1:100">
      <c r="A47007" s="374"/>
      <c r="C47007" s="374"/>
      <c r="CV47007" s="376"/>
    </row>
    <row r="47008" spans="1:100">
      <c r="A47008" s="374"/>
      <c r="C47008" s="374"/>
      <c r="CV47008" s="376"/>
    </row>
    <row r="47009" spans="1:100">
      <c r="A47009" s="374"/>
      <c r="C47009" s="374"/>
      <c r="CV47009" s="376"/>
    </row>
    <row r="47010" spans="1:100">
      <c r="A47010" s="374"/>
      <c r="C47010" s="374"/>
      <c r="CV47010" s="376"/>
    </row>
    <row r="47011" spans="1:100">
      <c r="A47011" s="374"/>
      <c r="C47011" s="374"/>
      <c r="CV47011" s="376"/>
    </row>
    <row r="47012" spans="1:100">
      <c r="A47012" s="374"/>
      <c r="C47012" s="374"/>
      <c r="CV47012" s="376"/>
    </row>
    <row r="47013" spans="1:100">
      <c r="A47013" s="374"/>
      <c r="C47013" s="374"/>
      <c r="CV47013" s="376"/>
    </row>
    <row r="47014" spans="1:100">
      <c r="A47014" s="374"/>
      <c r="C47014" s="374"/>
      <c r="CV47014" s="376"/>
    </row>
    <row r="47015" spans="1:100">
      <c r="A47015" s="374"/>
      <c r="C47015" s="374"/>
      <c r="CV47015" s="376"/>
    </row>
    <row r="47016" spans="1:100">
      <c r="A47016" s="374"/>
      <c r="C47016" s="374"/>
      <c r="CV47016" s="376"/>
    </row>
    <row r="47017" spans="1:100">
      <c r="A47017" s="374"/>
      <c r="C47017" s="374"/>
      <c r="CV47017" s="376"/>
    </row>
    <row r="47018" spans="1:100">
      <c r="A47018" s="374"/>
      <c r="C47018" s="374"/>
      <c r="CV47018" s="376"/>
    </row>
    <row r="47019" spans="1:100">
      <c r="A47019" s="374"/>
      <c r="C47019" s="374"/>
      <c r="CV47019" s="376"/>
    </row>
    <row r="47020" spans="1:100">
      <c r="A47020" s="374"/>
      <c r="C47020" s="374"/>
      <c r="CV47020" s="376"/>
    </row>
    <row r="47021" spans="1:100">
      <c r="A47021" s="374"/>
      <c r="C47021" s="374"/>
      <c r="CV47021" s="376"/>
    </row>
    <row r="47022" spans="1:100">
      <c r="A47022" s="374"/>
      <c r="C47022" s="374"/>
      <c r="CV47022" s="376"/>
    </row>
    <row r="47023" spans="1:100">
      <c r="A47023" s="374"/>
      <c r="C47023" s="374"/>
      <c r="CV47023" s="376"/>
    </row>
    <row r="47024" spans="1:100">
      <c r="A47024" s="374"/>
      <c r="C47024" s="374"/>
      <c r="CV47024" s="376"/>
    </row>
    <row r="47025" spans="1:100">
      <c r="A47025" s="374"/>
      <c r="C47025" s="374"/>
      <c r="CV47025" s="376"/>
    </row>
    <row r="47026" spans="1:100">
      <c r="A47026" s="374"/>
      <c r="C47026" s="374"/>
      <c r="CV47026" s="376"/>
    </row>
    <row r="47027" spans="1:100">
      <c r="A47027" s="374"/>
      <c r="C47027" s="374"/>
      <c r="CV47027" s="376"/>
    </row>
    <row r="47028" spans="1:100">
      <c r="A47028" s="374"/>
      <c r="C47028" s="374"/>
      <c r="CV47028" s="376"/>
    </row>
    <row r="47029" spans="1:100">
      <c r="A47029" s="374"/>
      <c r="C47029" s="374"/>
      <c r="CV47029" s="376"/>
    </row>
    <row r="47030" spans="1:100">
      <c r="A47030" s="374"/>
      <c r="C47030" s="374"/>
      <c r="CV47030" s="376"/>
    </row>
    <row r="47031" spans="1:100">
      <c r="A47031" s="374"/>
      <c r="C47031" s="374"/>
      <c r="CV47031" s="376"/>
    </row>
    <row r="47032" spans="1:100">
      <c r="A47032" s="374"/>
      <c r="C47032" s="374"/>
      <c r="CV47032" s="376"/>
    </row>
    <row r="47033" spans="1:100">
      <c r="A47033" s="374"/>
      <c r="C47033" s="374"/>
      <c r="CV47033" s="376"/>
    </row>
    <row r="47034" spans="1:100">
      <c r="A47034" s="374"/>
      <c r="C47034" s="374"/>
      <c r="CV47034" s="376"/>
    </row>
    <row r="47035" spans="1:100">
      <c r="A47035" s="374"/>
      <c r="C47035" s="374"/>
      <c r="CV47035" s="376"/>
    </row>
    <row r="47036" spans="1:100">
      <c r="A47036" s="374"/>
      <c r="C47036" s="374"/>
      <c r="CV47036" s="376"/>
    </row>
    <row r="47037" spans="1:100">
      <c r="A47037" s="374"/>
      <c r="C47037" s="374"/>
      <c r="CV47037" s="376"/>
    </row>
    <row r="47038" spans="1:100">
      <c r="A47038" s="374"/>
      <c r="C47038" s="374"/>
      <c r="CV47038" s="376"/>
    </row>
    <row r="47039" spans="1:100">
      <c r="A47039" s="374"/>
      <c r="C47039" s="374"/>
      <c r="CV47039" s="376"/>
    </row>
    <row r="47040" spans="1:100">
      <c r="A47040" s="374"/>
      <c r="C47040" s="374"/>
      <c r="CV47040" s="376"/>
    </row>
    <row r="47041" spans="1:100">
      <c r="A47041" s="374"/>
      <c r="C47041" s="374"/>
      <c r="CV47041" s="376"/>
    </row>
    <row r="47042" spans="1:100">
      <c r="A47042" s="374"/>
      <c r="C47042" s="374"/>
      <c r="CV47042" s="376"/>
    </row>
    <row r="47043" spans="1:100">
      <c r="A47043" s="374"/>
      <c r="C47043" s="374"/>
      <c r="CV47043" s="376"/>
    </row>
    <row r="47044" spans="1:100">
      <c r="A47044" s="374"/>
      <c r="C47044" s="374"/>
      <c r="CV47044" s="376"/>
    </row>
    <row r="47045" spans="1:100">
      <c r="A47045" s="374"/>
      <c r="C47045" s="374"/>
      <c r="CV47045" s="376"/>
    </row>
    <row r="47046" spans="1:100">
      <c r="A47046" s="374"/>
      <c r="C47046" s="374"/>
      <c r="CV47046" s="376"/>
    </row>
    <row r="47047" spans="1:100">
      <c r="A47047" s="374"/>
      <c r="C47047" s="374"/>
      <c r="CV47047" s="376"/>
    </row>
    <row r="47048" spans="1:100">
      <c r="A47048" s="374"/>
      <c r="C47048" s="374"/>
      <c r="CV47048" s="376"/>
    </row>
    <row r="47049" spans="1:100">
      <c r="A47049" s="374"/>
      <c r="C47049" s="374"/>
      <c r="CV47049" s="376"/>
    </row>
    <row r="47050" spans="1:100">
      <c r="A47050" s="374"/>
      <c r="C47050" s="374"/>
      <c r="CV47050" s="376"/>
    </row>
    <row r="47051" spans="1:100">
      <c r="A47051" s="374"/>
      <c r="C47051" s="374"/>
      <c r="CV47051" s="376"/>
    </row>
    <row r="47052" spans="1:100">
      <c r="A47052" s="374"/>
      <c r="C47052" s="374"/>
      <c r="CV47052" s="376"/>
    </row>
    <row r="47053" spans="1:100">
      <c r="A47053" s="374"/>
      <c r="C47053" s="374"/>
      <c r="CV47053" s="376"/>
    </row>
    <row r="47054" spans="1:100">
      <c r="A47054" s="374"/>
      <c r="C47054" s="374"/>
      <c r="CV47054" s="376"/>
    </row>
    <row r="47055" spans="1:100">
      <c r="A47055" s="374"/>
      <c r="C47055" s="374"/>
      <c r="CV47055" s="376"/>
    </row>
    <row r="47056" spans="1:100">
      <c r="A47056" s="374"/>
      <c r="C47056" s="374"/>
      <c r="CV47056" s="376"/>
    </row>
    <row r="47057" spans="1:100">
      <c r="A47057" s="374"/>
      <c r="C47057" s="374"/>
      <c r="CV47057" s="376"/>
    </row>
    <row r="47058" spans="1:100">
      <c r="A47058" s="374"/>
      <c r="C47058" s="374"/>
      <c r="CV47058" s="376"/>
    </row>
    <row r="47059" spans="1:100">
      <c r="A47059" s="374"/>
      <c r="C47059" s="374"/>
      <c r="CV47059" s="376"/>
    </row>
    <row r="47060" spans="1:100">
      <c r="A47060" s="374"/>
      <c r="C47060" s="374"/>
      <c r="CV47060" s="376"/>
    </row>
    <row r="47061" spans="1:100">
      <c r="A47061" s="374"/>
      <c r="C47061" s="374"/>
      <c r="CV47061" s="376"/>
    </row>
    <row r="47062" spans="1:100">
      <c r="A47062" s="374"/>
      <c r="C47062" s="374"/>
      <c r="CV47062" s="376"/>
    </row>
    <row r="47063" spans="1:100">
      <c r="A47063" s="374"/>
      <c r="C47063" s="374"/>
      <c r="CV47063" s="376"/>
    </row>
    <row r="47064" spans="1:100">
      <c r="A47064" s="374"/>
      <c r="C47064" s="374"/>
      <c r="CV47064" s="376"/>
    </row>
    <row r="47065" spans="1:100">
      <c r="A47065" s="374"/>
      <c r="C47065" s="374"/>
      <c r="CV47065" s="376"/>
    </row>
    <row r="47066" spans="1:100">
      <c r="A47066" s="374"/>
      <c r="C47066" s="374"/>
      <c r="CV47066" s="376"/>
    </row>
    <row r="47067" spans="1:100">
      <c r="A47067" s="374"/>
      <c r="C47067" s="374"/>
      <c r="CV47067" s="376"/>
    </row>
    <row r="47068" spans="1:100">
      <c r="A47068" s="374"/>
      <c r="C47068" s="374"/>
      <c r="CV47068" s="376"/>
    </row>
    <row r="47069" spans="1:100">
      <c r="A47069" s="374"/>
      <c r="C47069" s="374"/>
      <c r="CV47069" s="376"/>
    </row>
    <row r="47070" spans="1:100">
      <c r="A47070" s="374"/>
      <c r="C47070" s="374"/>
      <c r="CV47070" s="376"/>
    </row>
    <row r="47071" spans="1:100">
      <c r="A47071" s="374"/>
      <c r="C47071" s="374"/>
      <c r="CV47071" s="376"/>
    </row>
    <row r="47072" spans="1:100">
      <c r="A47072" s="374"/>
      <c r="C47072" s="374"/>
      <c r="CV47072" s="376"/>
    </row>
    <row r="47073" spans="1:100">
      <c r="A47073" s="374"/>
      <c r="C47073" s="374"/>
      <c r="CV47073" s="376"/>
    </row>
    <row r="47074" spans="1:100">
      <c r="A47074" s="374"/>
      <c r="C47074" s="374"/>
      <c r="CV47074" s="376"/>
    </row>
    <row r="47075" spans="1:100">
      <c r="A47075" s="374"/>
      <c r="C47075" s="374"/>
      <c r="CV47075" s="376"/>
    </row>
    <row r="47076" spans="1:100">
      <c r="A47076" s="374"/>
      <c r="C47076" s="374"/>
      <c r="CV47076" s="376"/>
    </row>
    <row r="47077" spans="1:100">
      <c r="A47077" s="374"/>
      <c r="C47077" s="374"/>
      <c r="CV47077" s="376"/>
    </row>
    <row r="47078" spans="1:100">
      <c r="A47078" s="374"/>
      <c r="C47078" s="374"/>
      <c r="CV47078" s="376"/>
    </row>
    <row r="47079" spans="1:100">
      <c r="A47079" s="374"/>
      <c r="C47079" s="374"/>
      <c r="CV47079" s="376"/>
    </row>
    <row r="47080" spans="1:100">
      <c r="A47080" s="374"/>
      <c r="C47080" s="374"/>
      <c r="CV47080" s="376"/>
    </row>
    <row r="47081" spans="1:100">
      <c r="A47081" s="374"/>
      <c r="C47081" s="374"/>
      <c r="CV47081" s="376"/>
    </row>
    <row r="47082" spans="1:100">
      <c r="A47082" s="374"/>
      <c r="C47082" s="374"/>
      <c r="CV47082" s="376"/>
    </row>
    <row r="47083" spans="1:100">
      <c r="A47083" s="374"/>
      <c r="C47083" s="374"/>
      <c r="CV47083" s="376"/>
    </row>
    <row r="47084" spans="1:100">
      <c r="A47084" s="374"/>
      <c r="C47084" s="374"/>
      <c r="CV47084" s="376"/>
    </row>
    <row r="47085" spans="1:100">
      <c r="A47085" s="374"/>
      <c r="C47085" s="374"/>
      <c r="CV47085" s="376"/>
    </row>
    <row r="47086" spans="1:100">
      <c r="A47086" s="374"/>
      <c r="C47086" s="374"/>
      <c r="CV47086" s="376"/>
    </row>
    <row r="47087" spans="1:100">
      <c r="A47087" s="374"/>
      <c r="C47087" s="374"/>
      <c r="CV47087" s="376"/>
    </row>
    <row r="47088" spans="1:100">
      <c r="A47088" s="374"/>
      <c r="C47088" s="374"/>
      <c r="CV47088" s="376"/>
    </row>
    <row r="47089" spans="1:100">
      <c r="A47089" s="374"/>
      <c r="C47089" s="374"/>
      <c r="CV47089" s="376"/>
    </row>
    <row r="47090" spans="1:100">
      <c r="A47090" s="374"/>
      <c r="C47090" s="374"/>
      <c r="CV47090" s="376"/>
    </row>
    <row r="47091" spans="1:100">
      <c r="A47091" s="374"/>
      <c r="C47091" s="374"/>
      <c r="CV47091" s="376"/>
    </row>
    <row r="47092" spans="1:100">
      <c r="A47092" s="374"/>
      <c r="C47092" s="374"/>
      <c r="CV47092" s="376"/>
    </row>
    <row r="47093" spans="1:100">
      <c r="A47093" s="374"/>
      <c r="C47093" s="374"/>
      <c r="CV47093" s="376"/>
    </row>
    <row r="47094" spans="1:100">
      <c r="A47094" s="374"/>
      <c r="C47094" s="374"/>
      <c r="CV47094" s="376"/>
    </row>
    <row r="47095" spans="1:100">
      <c r="A47095" s="374"/>
      <c r="C47095" s="374"/>
      <c r="CV47095" s="376"/>
    </row>
    <row r="47096" spans="1:100">
      <c r="A47096" s="374"/>
      <c r="C47096" s="374"/>
      <c r="CV47096" s="376"/>
    </row>
    <row r="47097" spans="1:100">
      <c r="A47097" s="374"/>
      <c r="C47097" s="374"/>
      <c r="CV47097" s="376"/>
    </row>
    <row r="47098" spans="1:100">
      <c r="A47098" s="374"/>
      <c r="C47098" s="374"/>
      <c r="CV47098" s="376"/>
    </row>
    <row r="47099" spans="1:100">
      <c r="A47099" s="374"/>
      <c r="C47099" s="374"/>
      <c r="CV47099" s="376"/>
    </row>
    <row r="47100" spans="1:100">
      <c r="A47100" s="374"/>
      <c r="C47100" s="374"/>
      <c r="CV47100" s="376"/>
    </row>
    <row r="47101" spans="1:100">
      <c r="A47101" s="374"/>
      <c r="C47101" s="374"/>
      <c r="CV47101" s="376"/>
    </row>
    <row r="47102" spans="1:100">
      <c r="A47102" s="374"/>
      <c r="C47102" s="374"/>
      <c r="CV47102" s="376"/>
    </row>
    <row r="47103" spans="1:100">
      <c r="A47103" s="374"/>
      <c r="C47103" s="374"/>
      <c r="CV47103" s="376"/>
    </row>
    <row r="47104" spans="1:100">
      <c r="A47104" s="374"/>
      <c r="C47104" s="374"/>
      <c r="CV47104" s="376"/>
    </row>
    <row r="47105" spans="1:100">
      <c r="A47105" s="374"/>
      <c r="C47105" s="374"/>
      <c r="CV47105" s="376"/>
    </row>
    <row r="47106" spans="1:100">
      <c r="A47106" s="374"/>
      <c r="C47106" s="374"/>
      <c r="CV47106" s="376"/>
    </row>
    <row r="47107" spans="1:100">
      <c r="A47107" s="374"/>
      <c r="C47107" s="374"/>
      <c r="CV47107" s="376"/>
    </row>
    <row r="47108" spans="1:100">
      <c r="A47108" s="374"/>
      <c r="C47108" s="374"/>
      <c r="CV47108" s="376"/>
    </row>
    <row r="47109" spans="1:100">
      <c r="A47109" s="374"/>
      <c r="C47109" s="374"/>
      <c r="CV47109" s="376"/>
    </row>
    <row r="47110" spans="1:100">
      <c r="A47110" s="374"/>
      <c r="C47110" s="374"/>
      <c r="CV47110" s="376"/>
    </row>
    <row r="47111" spans="1:100">
      <c r="A47111" s="374"/>
      <c r="C47111" s="374"/>
      <c r="CV47111" s="376"/>
    </row>
    <row r="47112" spans="1:100">
      <c r="A47112" s="374"/>
      <c r="C47112" s="374"/>
      <c r="CV47112" s="376"/>
    </row>
    <row r="47113" spans="1:100">
      <c r="A47113" s="374"/>
      <c r="C47113" s="374"/>
      <c r="CV47113" s="376"/>
    </row>
    <row r="47114" spans="1:100">
      <c r="A47114" s="374"/>
      <c r="C47114" s="374"/>
      <c r="CV47114" s="376"/>
    </row>
    <row r="47115" spans="1:100">
      <c r="A47115" s="374"/>
      <c r="C47115" s="374"/>
      <c r="CV47115" s="376"/>
    </row>
    <row r="47116" spans="1:100">
      <c r="A47116" s="374"/>
      <c r="C47116" s="374"/>
      <c r="CV47116" s="376"/>
    </row>
    <row r="47117" spans="1:100">
      <c r="A47117" s="374"/>
      <c r="C47117" s="374"/>
      <c r="CV47117" s="376"/>
    </row>
    <row r="47118" spans="1:100">
      <c r="A47118" s="374"/>
      <c r="C47118" s="374"/>
      <c r="CV47118" s="376"/>
    </row>
    <row r="47119" spans="1:100">
      <c r="A47119" s="374"/>
      <c r="C47119" s="374"/>
      <c r="CV47119" s="376"/>
    </row>
    <row r="47120" spans="1:100">
      <c r="A47120" s="374"/>
      <c r="C47120" s="374"/>
      <c r="CV47120" s="376"/>
    </row>
    <row r="47121" spans="1:100">
      <c r="A47121" s="374"/>
      <c r="C47121" s="374"/>
      <c r="CV47121" s="376"/>
    </row>
    <row r="47122" spans="1:100">
      <c r="A47122" s="374"/>
      <c r="C47122" s="374"/>
      <c r="CV47122" s="376"/>
    </row>
    <row r="47123" spans="1:100">
      <c r="A47123" s="374"/>
      <c r="C47123" s="374"/>
      <c r="CV47123" s="376"/>
    </row>
    <row r="47124" spans="1:100">
      <c r="A47124" s="374"/>
      <c r="C47124" s="374"/>
      <c r="CV47124" s="376"/>
    </row>
    <row r="47125" spans="1:100">
      <c r="A47125" s="374"/>
      <c r="C47125" s="374"/>
      <c r="CV47125" s="376"/>
    </row>
    <row r="47126" spans="1:100">
      <c r="A47126" s="374"/>
      <c r="C47126" s="374"/>
      <c r="CV47126" s="376"/>
    </row>
    <row r="47127" spans="1:100">
      <c r="A47127" s="374"/>
      <c r="C47127" s="374"/>
      <c r="CV47127" s="376"/>
    </row>
    <row r="47128" spans="1:100">
      <c r="A47128" s="374"/>
      <c r="C47128" s="374"/>
      <c r="CV47128" s="376"/>
    </row>
    <row r="47129" spans="1:100">
      <c r="A47129" s="374"/>
      <c r="C47129" s="374"/>
      <c r="CV47129" s="376"/>
    </row>
    <row r="47130" spans="1:100">
      <c r="A47130" s="374"/>
      <c r="C47130" s="374"/>
      <c r="CV47130" s="376"/>
    </row>
    <row r="47131" spans="1:100">
      <c r="A47131" s="374"/>
      <c r="C47131" s="374"/>
      <c r="CV47131" s="376"/>
    </row>
    <row r="47132" spans="1:100">
      <c r="A47132" s="374"/>
      <c r="C47132" s="374"/>
      <c r="CV47132" s="376"/>
    </row>
    <row r="47133" spans="1:100">
      <c r="A47133" s="374"/>
      <c r="C47133" s="374"/>
      <c r="CV47133" s="376"/>
    </row>
    <row r="47134" spans="1:100">
      <c r="A47134" s="374"/>
      <c r="C47134" s="374"/>
      <c r="CV47134" s="376"/>
    </row>
    <row r="47135" spans="1:100">
      <c r="A47135" s="374"/>
      <c r="C47135" s="374"/>
      <c r="CV47135" s="376"/>
    </row>
    <row r="47136" spans="1:100">
      <c r="A47136" s="374"/>
      <c r="C47136" s="374"/>
      <c r="CV47136" s="376"/>
    </row>
    <row r="47137" spans="1:100">
      <c r="A47137" s="374"/>
      <c r="C47137" s="374"/>
      <c r="CV47137" s="376"/>
    </row>
    <row r="47138" spans="1:100">
      <c r="A47138" s="374"/>
      <c r="C47138" s="374"/>
      <c r="CV47138" s="376"/>
    </row>
    <row r="47139" spans="1:100">
      <c r="A47139" s="374"/>
      <c r="C47139" s="374"/>
      <c r="CV47139" s="376"/>
    </row>
    <row r="47140" spans="1:100">
      <c r="A47140" s="374"/>
      <c r="C47140" s="374"/>
      <c r="CV47140" s="376"/>
    </row>
    <row r="47141" spans="1:100">
      <c r="A47141" s="374"/>
      <c r="C47141" s="374"/>
      <c r="CV47141" s="376"/>
    </row>
    <row r="47142" spans="1:100">
      <c r="A47142" s="374"/>
      <c r="C47142" s="374"/>
      <c r="CV47142" s="376"/>
    </row>
    <row r="47143" spans="1:100">
      <c r="A47143" s="374"/>
      <c r="C47143" s="374"/>
      <c r="CV47143" s="376"/>
    </row>
    <row r="47144" spans="1:100">
      <c r="A47144" s="374"/>
      <c r="C47144" s="374"/>
      <c r="CV47144" s="376"/>
    </row>
    <row r="47145" spans="1:100">
      <c r="A47145" s="374"/>
      <c r="C47145" s="374"/>
      <c r="CV47145" s="376"/>
    </row>
    <row r="47146" spans="1:100">
      <c r="A47146" s="374"/>
      <c r="C47146" s="374"/>
      <c r="CV47146" s="376"/>
    </row>
    <row r="47147" spans="1:100">
      <c r="A47147" s="374"/>
      <c r="C47147" s="374"/>
      <c r="CV47147" s="376"/>
    </row>
    <row r="47148" spans="1:100">
      <c r="A47148" s="374"/>
      <c r="C47148" s="374"/>
      <c r="CV47148" s="376"/>
    </row>
    <row r="47149" spans="1:100">
      <c r="A47149" s="374"/>
      <c r="C47149" s="374"/>
      <c r="CV47149" s="376"/>
    </row>
    <row r="47150" spans="1:100">
      <c r="A47150" s="374"/>
      <c r="C47150" s="374"/>
      <c r="CV47150" s="376"/>
    </row>
    <row r="47151" spans="1:100">
      <c r="A47151" s="374"/>
      <c r="C47151" s="374"/>
      <c r="CV47151" s="376"/>
    </row>
    <row r="47152" spans="1:100">
      <c r="A47152" s="374"/>
      <c r="C47152" s="374"/>
      <c r="CV47152" s="376"/>
    </row>
    <row r="47153" spans="1:100">
      <c r="A47153" s="374"/>
      <c r="C47153" s="374"/>
      <c r="CV47153" s="376"/>
    </row>
    <row r="47154" spans="1:100">
      <c r="A47154" s="374"/>
      <c r="C47154" s="374"/>
      <c r="CV47154" s="376"/>
    </row>
    <row r="47155" spans="1:100">
      <c r="A47155" s="374"/>
      <c r="C47155" s="374"/>
      <c r="CV47155" s="376"/>
    </row>
    <row r="47156" spans="1:100">
      <c r="A47156" s="374"/>
      <c r="C47156" s="374"/>
      <c r="CV47156" s="376"/>
    </row>
    <row r="47157" spans="1:100">
      <c r="A47157" s="374"/>
      <c r="C47157" s="374"/>
      <c r="CV47157" s="376"/>
    </row>
    <row r="47158" spans="1:100">
      <c r="A47158" s="374"/>
      <c r="C47158" s="374"/>
      <c r="CV47158" s="376"/>
    </row>
    <row r="47159" spans="1:100">
      <c r="A47159" s="374"/>
      <c r="C47159" s="374"/>
      <c r="CV47159" s="376"/>
    </row>
    <row r="47160" spans="1:100">
      <c r="A47160" s="374"/>
      <c r="C47160" s="374"/>
      <c r="CV47160" s="376"/>
    </row>
    <row r="47161" spans="1:100">
      <c r="A47161" s="374"/>
      <c r="C47161" s="374"/>
      <c r="CV47161" s="376"/>
    </row>
    <row r="47162" spans="1:100">
      <c r="A47162" s="374"/>
      <c r="C47162" s="374"/>
      <c r="CV47162" s="376"/>
    </row>
    <row r="47163" spans="1:100">
      <c r="A47163" s="374"/>
      <c r="C47163" s="374"/>
      <c r="CV47163" s="376"/>
    </row>
    <row r="47164" spans="1:100">
      <c r="A47164" s="374"/>
      <c r="C47164" s="374"/>
      <c r="CV47164" s="376"/>
    </row>
    <row r="47165" spans="1:100">
      <c r="A47165" s="374"/>
      <c r="C47165" s="374"/>
      <c r="CV47165" s="376"/>
    </row>
    <row r="47166" spans="1:100">
      <c r="A47166" s="374"/>
      <c r="C47166" s="374"/>
      <c r="CV47166" s="376"/>
    </row>
    <row r="47167" spans="1:100">
      <c r="A47167" s="374"/>
      <c r="C47167" s="374"/>
      <c r="CV47167" s="376"/>
    </row>
    <row r="47168" spans="1:100">
      <c r="A47168" s="374"/>
      <c r="C47168" s="374"/>
      <c r="CV47168" s="376"/>
    </row>
    <row r="47169" spans="1:100">
      <c r="A47169" s="374"/>
      <c r="C47169" s="374"/>
      <c r="CV47169" s="376"/>
    </row>
    <row r="47170" spans="1:100">
      <c r="A47170" s="374"/>
      <c r="C47170" s="374"/>
      <c r="CV47170" s="376"/>
    </row>
    <row r="47171" spans="1:100">
      <c r="A47171" s="374"/>
      <c r="C47171" s="374"/>
      <c r="CV47171" s="376"/>
    </row>
    <row r="47172" spans="1:100">
      <c r="A47172" s="374"/>
      <c r="C47172" s="374"/>
      <c r="CV47172" s="376"/>
    </row>
    <row r="47173" spans="1:100">
      <c r="A47173" s="374"/>
      <c r="C47173" s="374"/>
      <c r="CV47173" s="376"/>
    </row>
    <row r="47174" spans="1:100">
      <c r="A47174" s="374"/>
      <c r="C47174" s="374"/>
      <c r="CV47174" s="376"/>
    </row>
    <row r="47175" spans="1:100">
      <c r="A47175" s="374"/>
      <c r="C47175" s="374"/>
      <c r="CV47175" s="376"/>
    </row>
    <row r="47176" spans="1:100">
      <c r="A47176" s="374"/>
      <c r="C47176" s="374"/>
      <c r="CV47176" s="376"/>
    </row>
    <row r="47177" spans="1:100">
      <c r="A47177" s="374"/>
      <c r="C47177" s="374"/>
      <c r="CV47177" s="376"/>
    </row>
    <row r="47178" spans="1:100">
      <c r="A47178" s="374"/>
      <c r="C47178" s="374"/>
      <c r="CV47178" s="376"/>
    </row>
    <row r="47179" spans="1:100">
      <c r="A47179" s="374"/>
      <c r="C47179" s="374"/>
      <c r="CV47179" s="376"/>
    </row>
    <row r="47180" spans="1:100">
      <c r="A47180" s="374"/>
      <c r="C47180" s="374"/>
      <c r="CV47180" s="376"/>
    </row>
    <row r="47181" spans="1:100">
      <c r="A47181" s="374"/>
      <c r="C47181" s="374"/>
      <c r="CV47181" s="376"/>
    </row>
    <row r="47182" spans="1:100">
      <c r="A47182" s="374"/>
      <c r="C47182" s="374"/>
      <c r="CV47182" s="376"/>
    </row>
    <row r="47183" spans="1:100">
      <c r="A47183" s="374"/>
      <c r="C47183" s="374"/>
      <c r="CV47183" s="376"/>
    </row>
    <row r="47184" spans="1:100">
      <c r="A47184" s="374"/>
      <c r="C47184" s="374"/>
      <c r="CV47184" s="376"/>
    </row>
    <row r="47185" spans="1:100">
      <c r="A47185" s="374"/>
      <c r="C47185" s="374"/>
      <c r="CV47185" s="376"/>
    </row>
    <row r="47186" spans="1:100">
      <c r="A47186" s="374"/>
      <c r="C47186" s="374"/>
      <c r="CV47186" s="376"/>
    </row>
    <row r="47187" spans="1:100">
      <c r="A47187" s="374"/>
      <c r="C47187" s="374"/>
      <c r="CV47187" s="376"/>
    </row>
    <row r="47188" spans="1:100">
      <c r="A47188" s="374"/>
      <c r="C47188" s="374"/>
      <c r="CV47188" s="376"/>
    </row>
    <row r="47189" spans="1:100">
      <c r="A47189" s="374"/>
      <c r="C47189" s="374"/>
      <c r="CV47189" s="376"/>
    </row>
    <row r="47190" spans="1:100">
      <c r="A47190" s="374"/>
      <c r="C47190" s="374"/>
      <c r="CV47190" s="376"/>
    </row>
    <row r="47191" spans="1:100">
      <c r="A47191" s="374"/>
      <c r="C47191" s="374"/>
      <c r="CV47191" s="376"/>
    </row>
    <row r="47192" spans="1:100">
      <c r="A47192" s="374"/>
      <c r="C47192" s="374"/>
      <c r="CV47192" s="376"/>
    </row>
    <row r="47193" spans="1:100">
      <c r="A47193" s="374"/>
      <c r="C47193" s="374"/>
      <c r="CV47193" s="376"/>
    </row>
    <row r="47194" spans="1:100">
      <c r="A47194" s="374"/>
      <c r="C47194" s="374"/>
      <c r="CV47194" s="376"/>
    </row>
    <row r="47195" spans="1:100">
      <c r="A47195" s="374"/>
      <c r="C47195" s="374"/>
      <c r="CV47195" s="376"/>
    </row>
    <row r="47196" spans="1:100">
      <c r="A47196" s="374"/>
      <c r="C47196" s="374"/>
      <c r="CV47196" s="376"/>
    </row>
    <row r="47197" spans="1:100">
      <c r="A47197" s="374"/>
      <c r="C47197" s="374"/>
      <c r="CV47197" s="376"/>
    </row>
    <row r="47198" spans="1:100">
      <c r="A47198" s="374"/>
      <c r="C47198" s="374"/>
      <c r="CV47198" s="376"/>
    </row>
    <row r="47199" spans="1:100">
      <c r="A47199" s="374"/>
      <c r="C47199" s="374"/>
      <c r="CV47199" s="376"/>
    </row>
    <row r="47200" spans="1:100">
      <c r="A47200" s="374"/>
      <c r="C47200" s="374"/>
      <c r="CV47200" s="376"/>
    </row>
    <row r="47201" spans="1:100">
      <c r="A47201" s="374"/>
      <c r="C47201" s="374"/>
      <c r="CV47201" s="376"/>
    </row>
    <row r="47202" spans="1:100">
      <c r="A47202" s="374"/>
      <c r="C47202" s="374"/>
      <c r="CV47202" s="376"/>
    </row>
    <row r="47203" spans="1:100">
      <c r="A47203" s="374"/>
      <c r="C47203" s="374"/>
      <c r="CV47203" s="376"/>
    </row>
    <row r="47204" spans="1:100">
      <c r="A47204" s="374"/>
      <c r="C47204" s="374"/>
      <c r="CV47204" s="376"/>
    </row>
    <row r="47205" spans="1:100">
      <c r="A47205" s="374"/>
      <c r="C47205" s="374"/>
      <c r="CV47205" s="376"/>
    </row>
    <row r="47206" spans="1:100">
      <c r="A47206" s="374"/>
      <c r="C47206" s="374"/>
      <c r="CV47206" s="376"/>
    </row>
    <row r="47207" spans="1:100">
      <c r="A47207" s="374"/>
      <c r="C47207" s="374"/>
      <c r="CV47207" s="376"/>
    </row>
    <row r="47208" spans="1:100">
      <c r="A47208" s="374"/>
      <c r="C47208" s="374"/>
      <c r="CV47208" s="376"/>
    </row>
    <row r="47209" spans="1:100">
      <c r="A47209" s="374"/>
      <c r="C47209" s="374"/>
      <c r="CV47209" s="376"/>
    </row>
    <row r="47210" spans="1:100">
      <c r="A47210" s="374"/>
      <c r="C47210" s="374"/>
      <c r="CV47210" s="376"/>
    </row>
    <row r="47211" spans="1:100">
      <c r="A47211" s="374"/>
      <c r="C47211" s="374"/>
      <c r="CV47211" s="376"/>
    </row>
    <row r="47212" spans="1:100">
      <c r="A47212" s="374"/>
      <c r="C47212" s="374"/>
      <c r="CV47212" s="376"/>
    </row>
    <row r="47213" spans="1:100">
      <c r="A47213" s="374"/>
      <c r="C47213" s="374"/>
      <c r="CV47213" s="376"/>
    </row>
    <row r="47214" spans="1:100">
      <c r="A47214" s="374"/>
      <c r="C47214" s="374"/>
      <c r="CV47214" s="376"/>
    </row>
    <row r="47215" spans="1:100">
      <c r="A47215" s="374"/>
      <c r="C47215" s="374"/>
      <c r="CV47215" s="376"/>
    </row>
    <row r="47216" spans="1:100">
      <c r="A47216" s="374"/>
      <c r="C47216" s="374"/>
      <c r="CV47216" s="376"/>
    </row>
    <row r="47217" spans="1:100">
      <c r="A47217" s="374"/>
      <c r="C47217" s="374"/>
      <c r="CV47217" s="376"/>
    </row>
    <row r="47218" spans="1:100">
      <c r="A47218" s="374"/>
      <c r="C47218" s="374"/>
      <c r="CV47218" s="376"/>
    </row>
    <row r="47219" spans="1:100">
      <c r="A47219" s="374"/>
      <c r="C47219" s="374"/>
      <c r="CV47219" s="376"/>
    </row>
    <row r="47220" spans="1:100">
      <c r="A47220" s="374"/>
      <c r="C47220" s="374"/>
      <c r="CV47220" s="376"/>
    </row>
    <row r="47221" spans="1:100">
      <c r="A47221" s="374"/>
      <c r="C47221" s="374"/>
      <c r="CV47221" s="376"/>
    </row>
    <row r="47222" spans="1:100">
      <c r="A47222" s="374"/>
      <c r="C47222" s="374"/>
      <c r="CV47222" s="376"/>
    </row>
    <row r="47223" spans="1:100">
      <c r="A47223" s="374"/>
      <c r="C47223" s="374"/>
      <c r="CV47223" s="376"/>
    </row>
    <row r="47224" spans="1:100">
      <c r="A47224" s="374"/>
      <c r="C47224" s="374"/>
      <c r="CV47224" s="376"/>
    </row>
    <row r="47225" spans="1:100">
      <c r="A47225" s="374"/>
      <c r="C47225" s="374"/>
      <c r="CV47225" s="376"/>
    </row>
    <row r="47226" spans="1:100">
      <c r="A47226" s="374"/>
      <c r="C47226" s="374"/>
      <c r="CV47226" s="376"/>
    </row>
    <row r="47227" spans="1:100">
      <c r="A47227" s="374"/>
      <c r="C47227" s="374"/>
      <c r="CV47227" s="376"/>
    </row>
    <row r="47228" spans="1:100">
      <c r="A47228" s="374"/>
      <c r="C47228" s="374"/>
      <c r="CV47228" s="376"/>
    </row>
    <row r="47229" spans="1:100">
      <c r="A47229" s="374"/>
      <c r="C47229" s="374"/>
      <c r="CV47229" s="376"/>
    </row>
    <row r="47230" spans="1:100">
      <c r="A47230" s="374"/>
      <c r="C47230" s="374"/>
      <c r="CV47230" s="376"/>
    </row>
    <row r="47231" spans="1:100">
      <c r="A47231" s="374"/>
      <c r="C47231" s="374"/>
      <c r="CV47231" s="376"/>
    </row>
    <row r="47232" spans="1:100">
      <c r="A47232" s="374"/>
      <c r="C47232" s="374"/>
      <c r="CV47232" s="376"/>
    </row>
    <row r="47233" spans="1:100">
      <c r="A47233" s="374"/>
      <c r="C47233" s="374"/>
      <c r="CV47233" s="376"/>
    </row>
    <row r="47234" spans="1:100">
      <c r="A47234" s="374"/>
      <c r="C47234" s="374"/>
      <c r="CV47234" s="376"/>
    </row>
    <row r="47235" spans="1:100">
      <c r="A47235" s="374"/>
      <c r="C47235" s="374"/>
      <c r="CV47235" s="376"/>
    </row>
    <row r="47236" spans="1:100">
      <c r="A47236" s="374"/>
      <c r="C47236" s="374"/>
      <c r="CV47236" s="376"/>
    </row>
    <row r="47237" spans="1:100">
      <c r="A47237" s="374"/>
      <c r="C47237" s="374"/>
      <c r="CV47237" s="376"/>
    </row>
    <row r="47238" spans="1:100">
      <c r="A47238" s="374"/>
      <c r="C47238" s="374"/>
      <c r="CV47238" s="376"/>
    </row>
    <row r="47239" spans="1:100">
      <c r="A47239" s="374"/>
      <c r="C47239" s="374"/>
      <c r="CV47239" s="376"/>
    </row>
    <row r="47240" spans="1:100">
      <c r="A47240" s="374"/>
      <c r="C47240" s="374"/>
      <c r="CV47240" s="376"/>
    </row>
    <row r="47241" spans="1:100">
      <c r="A47241" s="374"/>
      <c r="C47241" s="374"/>
      <c r="CV47241" s="376"/>
    </row>
    <row r="47242" spans="1:100">
      <c r="A47242" s="374"/>
      <c r="C47242" s="374"/>
      <c r="CV47242" s="376"/>
    </row>
    <row r="47243" spans="1:100">
      <c r="A47243" s="374"/>
      <c r="C47243" s="374"/>
      <c r="CV47243" s="376"/>
    </row>
    <row r="47244" spans="1:100">
      <c r="A47244" s="374"/>
      <c r="C47244" s="374"/>
      <c r="CV47244" s="376"/>
    </row>
    <row r="47245" spans="1:100">
      <c r="A47245" s="374"/>
      <c r="C47245" s="374"/>
      <c r="CV47245" s="376"/>
    </row>
    <row r="47246" spans="1:100">
      <c r="A47246" s="374"/>
      <c r="C47246" s="374"/>
      <c r="CV47246" s="376"/>
    </row>
    <row r="47247" spans="1:100">
      <c r="A47247" s="374"/>
      <c r="C47247" s="374"/>
      <c r="CV47247" s="376"/>
    </row>
    <row r="47248" spans="1:100">
      <c r="A47248" s="374"/>
      <c r="C47248" s="374"/>
      <c r="CV47248" s="376"/>
    </row>
    <row r="47249" spans="1:100">
      <c r="A47249" s="374"/>
      <c r="C47249" s="374"/>
      <c r="CV47249" s="376"/>
    </row>
    <row r="47250" spans="1:100">
      <c r="A47250" s="374"/>
      <c r="C47250" s="374"/>
      <c r="CV47250" s="376"/>
    </row>
    <row r="47251" spans="1:100">
      <c r="A47251" s="374"/>
      <c r="C47251" s="374"/>
      <c r="CV47251" s="376"/>
    </row>
    <row r="47252" spans="1:100">
      <c r="A47252" s="374"/>
      <c r="C47252" s="374"/>
      <c r="CV47252" s="376"/>
    </row>
    <row r="47253" spans="1:100">
      <c r="A47253" s="374"/>
      <c r="C47253" s="374"/>
      <c r="CV47253" s="376"/>
    </row>
    <row r="47254" spans="1:100">
      <c r="A47254" s="374"/>
      <c r="C47254" s="374"/>
      <c r="CV47254" s="376"/>
    </row>
    <row r="47255" spans="1:100">
      <c r="A47255" s="374"/>
      <c r="C47255" s="374"/>
      <c r="CV47255" s="376"/>
    </row>
    <row r="47256" spans="1:100">
      <c r="A47256" s="374"/>
      <c r="C47256" s="374"/>
      <c r="CV47256" s="376"/>
    </row>
    <row r="47257" spans="1:100">
      <c r="A47257" s="374"/>
      <c r="C47257" s="374"/>
      <c r="CV47257" s="376"/>
    </row>
    <row r="47258" spans="1:100">
      <c r="A47258" s="374"/>
      <c r="C47258" s="374"/>
      <c r="CV47258" s="376"/>
    </row>
    <row r="47259" spans="1:100">
      <c r="A47259" s="374"/>
      <c r="C47259" s="374"/>
      <c r="CV47259" s="376"/>
    </row>
    <row r="47260" spans="1:100">
      <c r="A47260" s="374"/>
      <c r="C47260" s="374"/>
      <c r="CV47260" s="376"/>
    </row>
    <row r="47261" spans="1:100">
      <c r="A47261" s="374"/>
      <c r="C47261" s="374"/>
      <c r="CV47261" s="376"/>
    </row>
    <row r="47262" spans="1:100">
      <c r="A47262" s="374"/>
      <c r="C47262" s="374"/>
      <c r="CV47262" s="376"/>
    </row>
    <row r="47263" spans="1:100">
      <c r="A47263" s="374"/>
      <c r="C47263" s="374"/>
      <c r="CV47263" s="376"/>
    </row>
    <row r="47264" spans="1:100">
      <c r="A47264" s="374"/>
      <c r="C47264" s="374"/>
      <c r="CV47264" s="376"/>
    </row>
    <row r="47265" spans="1:100">
      <c r="A47265" s="374"/>
      <c r="C47265" s="374"/>
      <c r="CV47265" s="376"/>
    </row>
    <row r="47266" spans="1:100">
      <c r="A47266" s="374"/>
      <c r="C47266" s="374"/>
      <c r="CV47266" s="376"/>
    </row>
    <row r="47267" spans="1:100">
      <c r="A47267" s="374"/>
      <c r="C47267" s="374"/>
      <c r="CV47267" s="376"/>
    </row>
    <row r="47268" spans="1:100">
      <c r="A47268" s="374"/>
      <c r="C47268" s="374"/>
      <c r="CV47268" s="376"/>
    </row>
    <row r="47269" spans="1:100">
      <c r="A47269" s="374"/>
      <c r="C47269" s="374"/>
      <c r="CV47269" s="376"/>
    </row>
    <row r="47270" spans="1:100">
      <c r="A47270" s="374"/>
      <c r="C47270" s="374"/>
      <c r="CV47270" s="376"/>
    </row>
    <row r="47271" spans="1:100">
      <c r="A47271" s="374"/>
      <c r="C47271" s="374"/>
      <c r="CV47271" s="376"/>
    </row>
    <row r="47272" spans="1:100">
      <c r="A47272" s="374"/>
      <c r="C47272" s="374"/>
      <c r="CV47272" s="376"/>
    </row>
    <row r="47273" spans="1:100">
      <c r="A47273" s="374"/>
      <c r="C47273" s="374"/>
      <c r="CV47273" s="376"/>
    </row>
    <row r="47274" spans="1:100">
      <c r="A47274" s="374"/>
      <c r="C47274" s="374"/>
      <c r="CV47274" s="376"/>
    </row>
    <row r="47275" spans="1:100">
      <c r="A47275" s="374"/>
      <c r="C47275" s="374"/>
      <c r="CV47275" s="376"/>
    </row>
    <row r="47276" spans="1:100">
      <c r="A47276" s="374"/>
      <c r="C47276" s="374"/>
      <c r="CV47276" s="376"/>
    </row>
    <row r="47277" spans="1:100">
      <c r="A47277" s="374"/>
      <c r="C47277" s="374"/>
      <c r="CV47277" s="376"/>
    </row>
    <row r="47278" spans="1:100">
      <c r="A47278" s="374"/>
      <c r="C47278" s="374"/>
      <c r="CV47278" s="376"/>
    </row>
    <row r="47279" spans="1:100">
      <c r="A47279" s="374"/>
      <c r="C47279" s="374"/>
      <c r="CV47279" s="376"/>
    </row>
    <row r="47280" spans="1:100">
      <c r="A47280" s="374"/>
      <c r="C47280" s="374"/>
      <c r="CV47280" s="376"/>
    </row>
    <row r="47281" spans="1:100">
      <c r="A47281" s="374"/>
      <c r="C47281" s="374"/>
      <c r="CV47281" s="376"/>
    </row>
    <row r="47282" spans="1:100">
      <c r="A47282" s="374"/>
      <c r="C47282" s="374"/>
      <c r="CV47282" s="376"/>
    </row>
    <row r="47283" spans="1:100">
      <c r="A47283" s="374"/>
      <c r="C47283" s="374"/>
      <c r="CV47283" s="376"/>
    </row>
    <row r="47284" spans="1:100">
      <c r="A47284" s="374"/>
      <c r="C47284" s="374"/>
      <c r="CV47284" s="376"/>
    </row>
    <row r="47285" spans="1:100">
      <c r="A47285" s="374"/>
      <c r="C47285" s="374"/>
      <c r="CV47285" s="376"/>
    </row>
    <row r="47286" spans="1:100">
      <c r="A47286" s="374"/>
      <c r="C47286" s="374"/>
      <c r="CV47286" s="376"/>
    </row>
    <row r="47287" spans="1:100">
      <c r="A47287" s="374"/>
      <c r="C47287" s="374"/>
      <c r="CV47287" s="376"/>
    </row>
    <row r="47288" spans="1:100">
      <c r="A47288" s="374"/>
      <c r="C47288" s="374"/>
      <c r="CV47288" s="376"/>
    </row>
    <row r="47289" spans="1:100">
      <c r="A47289" s="374"/>
      <c r="C47289" s="374"/>
      <c r="CV47289" s="376"/>
    </row>
    <row r="47290" spans="1:100">
      <c r="A47290" s="374"/>
      <c r="C47290" s="374"/>
      <c r="CV47290" s="376"/>
    </row>
    <row r="47291" spans="1:100">
      <c r="A47291" s="374"/>
      <c r="C47291" s="374"/>
      <c r="CV47291" s="376"/>
    </row>
    <row r="47292" spans="1:100">
      <c r="A47292" s="374"/>
      <c r="C47292" s="374"/>
      <c r="CV47292" s="376"/>
    </row>
    <row r="47293" spans="1:100">
      <c r="A47293" s="374"/>
      <c r="C47293" s="374"/>
      <c r="CV47293" s="376"/>
    </row>
    <row r="47294" spans="1:100">
      <c r="A47294" s="374"/>
      <c r="C47294" s="374"/>
      <c r="CV47294" s="376"/>
    </row>
    <row r="47295" spans="1:100">
      <c r="A47295" s="374"/>
      <c r="C47295" s="374"/>
      <c r="CV47295" s="376"/>
    </row>
    <row r="47296" spans="1:100">
      <c r="A47296" s="374"/>
      <c r="C47296" s="374"/>
      <c r="CV47296" s="376"/>
    </row>
    <row r="47297" spans="1:100">
      <c r="A47297" s="374"/>
      <c r="C47297" s="374"/>
      <c r="CV47297" s="376"/>
    </row>
    <row r="47298" spans="1:100">
      <c r="A47298" s="374"/>
      <c r="C47298" s="374"/>
      <c r="CV47298" s="376"/>
    </row>
    <row r="47299" spans="1:100">
      <c r="A47299" s="374"/>
      <c r="C47299" s="374"/>
      <c r="CV47299" s="376"/>
    </row>
    <row r="47300" spans="1:100">
      <c r="A47300" s="374"/>
      <c r="C47300" s="374"/>
      <c r="CV47300" s="376"/>
    </row>
    <row r="47301" spans="1:100">
      <c r="A47301" s="374"/>
      <c r="C47301" s="374"/>
      <c r="CV47301" s="376"/>
    </row>
    <row r="47302" spans="1:100">
      <c r="A47302" s="374"/>
      <c r="C47302" s="374"/>
      <c r="CV47302" s="376"/>
    </row>
    <row r="47303" spans="1:100">
      <c r="A47303" s="374"/>
      <c r="C47303" s="374"/>
      <c r="CV47303" s="376"/>
    </row>
    <row r="47304" spans="1:100">
      <c r="A47304" s="374"/>
      <c r="C47304" s="374"/>
      <c r="CV47304" s="376"/>
    </row>
    <row r="47305" spans="1:100">
      <c r="A47305" s="374"/>
      <c r="C47305" s="374"/>
      <c r="CV47305" s="376"/>
    </row>
    <row r="47306" spans="1:100">
      <c r="A47306" s="374"/>
      <c r="C47306" s="374"/>
      <c r="CV47306" s="376"/>
    </row>
    <row r="47307" spans="1:100">
      <c r="A47307" s="374"/>
      <c r="C47307" s="374"/>
      <c r="CV47307" s="376"/>
    </row>
    <row r="47308" spans="1:100">
      <c r="A47308" s="374"/>
      <c r="C47308" s="374"/>
      <c r="CV47308" s="376"/>
    </row>
    <row r="47309" spans="1:100">
      <c r="A47309" s="374"/>
      <c r="C47309" s="374"/>
      <c r="CV47309" s="376"/>
    </row>
    <row r="47310" spans="1:100">
      <c r="A47310" s="374"/>
      <c r="C47310" s="374"/>
      <c r="CV47310" s="376"/>
    </row>
    <row r="47311" spans="1:100">
      <c r="A47311" s="374"/>
      <c r="C47311" s="374"/>
      <c r="CV47311" s="376"/>
    </row>
    <row r="47312" spans="1:100">
      <c r="A47312" s="374"/>
      <c r="C47312" s="374"/>
      <c r="CV47312" s="376"/>
    </row>
    <row r="47313" spans="1:100">
      <c r="A47313" s="374"/>
      <c r="C47313" s="374"/>
      <c r="CV47313" s="376"/>
    </row>
    <row r="47314" spans="1:100">
      <c r="A47314" s="374"/>
      <c r="C47314" s="374"/>
      <c r="CV47314" s="376"/>
    </row>
    <row r="47315" spans="1:100">
      <c r="A47315" s="374"/>
      <c r="C47315" s="374"/>
      <c r="CV47315" s="376"/>
    </row>
    <row r="47316" spans="1:100">
      <c r="A47316" s="374"/>
      <c r="C47316" s="374"/>
      <c r="CV47316" s="376"/>
    </row>
    <row r="47317" spans="1:100">
      <c r="A47317" s="374"/>
      <c r="C47317" s="374"/>
      <c r="CV47317" s="376"/>
    </row>
    <row r="47318" spans="1:100">
      <c r="A47318" s="374"/>
      <c r="C47318" s="374"/>
      <c r="CV47318" s="376"/>
    </row>
    <row r="47319" spans="1:100">
      <c r="A47319" s="374"/>
      <c r="C47319" s="374"/>
      <c r="CV47319" s="376"/>
    </row>
    <row r="47320" spans="1:100">
      <c r="A47320" s="374"/>
      <c r="C47320" s="374"/>
      <c r="CV47320" s="376"/>
    </row>
    <row r="47321" spans="1:100">
      <c r="A47321" s="374"/>
      <c r="C47321" s="374"/>
      <c r="CV47321" s="376"/>
    </row>
    <row r="47322" spans="1:100">
      <c r="A47322" s="374"/>
      <c r="C47322" s="374"/>
      <c r="CV47322" s="376"/>
    </row>
    <row r="47323" spans="1:100">
      <c r="A47323" s="374"/>
      <c r="C47323" s="374"/>
      <c r="CV47323" s="376"/>
    </row>
    <row r="47324" spans="1:100">
      <c r="A47324" s="374"/>
      <c r="C47324" s="374"/>
      <c r="CV47324" s="376"/>
    </row>
    <row r="47325" spans="1:100">
      <c r="A47325" s="374"/>
      <c r="C47325" s="374"/>
      <c r="CV47325" s="376"/>
    </row>
    <row r="47326" spans="1:100">
      <c r="A47326" s="374"/>
      <c r="C47326" s="374"/>
      <c r="CV47326" s="376"/>
    </row>
    <row r="47327" spans="1:100">
      <c r="A47327" s="374"/>
      <c r="C47327" s="374"/>
      <c r="CV47327" s="376"/>
    </row>
    <row r="47328" spans="1:100">
      <c r="A47328" s="374"/>
      <c r="C47328" s="374"/>
      <c r="CV47328" s="376"/>
    </row>
    <row r="47329" spans="1:100">
      <c r="A47329" s="374"/>
      <c r="C47329" s="374"/>
      <c r="CV47329" s="376"/>
    </row>
    <row r="47330" spans="1:100">
      <c r="A47330" s="374"/>
      <c r="C47330" s="374"/>
      <c r="CV47330" s="376"/>
    </row>
    <row r="47331" spans="1:100">
      <c r="A47331" s="374"/>
      <c r="C47331" s="374"/>
      <c r="CV47331" s="376"/>
    </row>
    <row r="47332" spans="1:100">
      <c r="A47332" s="374"/>
      <c r="C47332" s="374"/>
      <c r="CV47332" s="376"/>
    </row>
    <row r="47333" spans="1:100">
      <c r="A47333" s="374"/>
      <c r="C47333" s="374"/>
      <c r="CV47333" s="376"/>
    </row>
    <row r="47334" spans="1:100">
      <c r="A47334" s="374"/>
      <c r="C47334" s="374"/>
      <c r="CV47334" s="376"/>
    </row>
    <row r="47335" spans="1:100">
      <c r="A47335" s="374"/>
      <c r="C47335" s="374"/>
      <c r="CV47335" s="376"/>
    </row>
    <row r="47336" spans="1:100">
      <c r="A47336" s="374"/>
      <c r="C47336" s="374"/>
      <c r="CV47336" s="376"/>
    </row>
    <row r="47337" spans="1:100">
      <c r="A47337" s="374"/>
      <c r="C47337" s="374"/>
      <c r="CV47337" s="376"/>
    </row>
    <row r="47338" spans="1:100">
      <c r="A47338" s="374"/>
      <c r="C47338" s="374"/>
      <c r="CV47338" s="376"/>
    </row>
    <row r="47339" spans="1:100">
      <c r="A47339" s="374"/>
      <c r="C47339" s="374"/>
      <c r="CV47339" s="376"/>
    </row>
    <row r="47340" spans="1:100">
      <c r="A47340" s="374"/>
      <c r="C47340" s="374"/>
      <c r="CV47340" s="376"/>
    </row>
    <row r="47341" spans="1:100">
      <c r="A47341" s="374"/>
      <c r="C47341" s="374"/>
      <c r="CV47341" s="376"/>
    </row>
    <row r="47342" spans="1:100">
      <c r="A47342" s="374"/>
      <c r="C47342" s="374"/>
      <c r="CV47342" s="376"/>
    </row>
    <row r="47343" spans="1:100">
      <c r="A47343" s="374"/>
      <c r="C47343" s="374"/>
      <c r="CV47343" s="376"/>
    </row>
    <row r="47344" spans="1:100">
      <c r="A47344" s="374"/>
      <c r="C47344" s="374"/>
      <c r="CV47344" s="376"/>
    </row>
    <row r="47345" spans="1:100">
      <c r="A47345" s="374"/>
      <c r="C47345" s="374"/>
      <c r="CV47345" s="376"/>
    </row>
    <row r="47346" spans="1:100">
      <c r="A47346" s="374"/>
      <c r="C47346" s="374"/>
      <c r="CV47346" s="376"/>
    </row>
    <row r="47347" spans="1:100">
      <c r="A47347" s="374"/>
      <c r="C47347" s="374"/>
      <c r="CV47347" s="376"/>
    </row>
    <row r="47348" spans="1:100">
      <c r="A47348" s="374"/>
      <c r="C47348" s="374"/>
      <c r="CV47348" s="376"/>
    </row>
    <row r="47349" spans="1:100">
      <c r="A47349" s="374"/>
      <c r="C47349" s="374"/>
      <c r="CV47349" s="376"/>
    </row>
    <row r="47350" spans="1:100">
      <c r="A47350" s="374"/>
      <c r="C47350" s="374"/>
      <c r="CV47350" s="376"/>
    </row>
    <row r="47351" spans="1:100">
      <c r="A47351" s="374"/>
      <c r="C47351" s="374"/>
      <c r="CV47351" s="376"/>
    </row>
    <row r="47352" spans="1:100">
      <c r="A47352" s="374"/>
      <c r="C47352" s="374"/>
      <c r="CV47352" s="376"/>
    </row>
    <row r="47353" spans="1:100">
      <c r="A47353" s="374"/>
      <c r="C47353" s="374"/>
      <c r="CV47353" s="376"/>
    </row>
    <row r="47354" spans="1:100">
      <c r="A47354" s="374"/>
      <c r="C47354" s="374"/>
      <c r="CV47354" s="376"/>
    </row>
    <row r="47355" spans="1:100">
      <c r="A47355" s="374"/>
      <c r="C47355" s="374"/>
      <c r="CV47355" s="376"/>
    </row>
    <row r="47356" spans="1:100">
      <c r="A47356" s="374"/>
      <c r="C47356" s="374"/>
      <c r="CV47356" s="376"/>
    </row>
    <row r="47357" spans="1:100">
      <c r="A47357" s="374"/>
      <c r="C47357" s="374"/>
      <c r="CV47357" s="376"/>
    </row>
    <row r="47358" spans="1:100">
      <c r="A47358" s="374"/>
      <c r="C47358" s="374"/>
      <c r="CV47358" s="376"/>
    </row>
    <row r="47359" spans="1:100">
      <c r="A47359" s="374"/>
      <c r="C47359" s="374"/>
      <c r="CV47359" s="376"/>
    </row>
    <row r="47360" spans="1:100">
      <c r="A47360" s="374"/>
      <c r="C47360" s="374"/>
      <c r="CV47360" s="376"/>
    </row>
    <row r="47361" spans="1:100">
      <c r="A47361" s="374"/>
      <c r="C47361" s="374"/>
      <c r="CV47361" s="376"/>
    </row>
    <row r="47362" spans="1:100">
      <c r="A47362" s="374"/>
      <c r="C47362" s="374"/>
      <c r="CV47362" s="376"/>
    </row>
    <row r="47363" spans="1:100">
      <c r="A47363" s="374"/>
      <c r="C47363" s="374"/>
      <c r="CV47363" s="376"/>
    </row>
    <row r="47364" spans="1:100">
      <c r="A47364" s="374"/>
      <c r="C47364" s="374"/>
      <c r="CV47364" s="376"/>
    </row>
    <row r="47365" spans="1:100">
      <c r="A47365" s="374"/>
      <c r="C47365" s="374"/>
      <c r="CV47365" s="376"/>
    </row>
    <row r="47366" spans="1:100">
      <c r="A47366" s="374"/>
      <c r="C47366" s="374"/>
      <c r="CV47366" s="376"/>
    </row>
    <row r="47367" spans="1:100">
      <c r="A47367" s="374"/>
      <c r="C47367" s="374"/>
      <c r="CV47367" s="376"/>
    </row>
    <row r="47368" spans="1:100">
      <c r="A47368" s="374"/>
      <c r="C47368" s="374"/>
      <c r="CV47368" s="376"/>
    </row>
    <row r="47369" spans="1:100">
      <c r="A47369" s="374"/>
      <c r="C47369" s="374"/>
      <c r="CV47369" s="376"/>
    </row>
    <row r="47370" spans="1:100">
      <c r="A47370" s="374"/>
      <c r="C47370" s="374"/>
      <c r="CV47370" s="376"/>
    </row>
    <row r="47371" spans="1:100">
      <c r="A47371" s="374"/>
      <c r="C47371" s="374"/>
      <c r="CV47371" s="376"/>
    </row>
    <row r="47372" spans="1:100">
      <c r="A47372" s="374"/>
      <c r="C47372" s="374"/>
      <c r="CV47372" s="376"/>
    </row>
    <row r="47373" spans="1:100">
      <c r="A47373" s="374"/>
      <c r="C47373" s="374"/>
      <c r="CV47373" s="376"/>
    </row>
    <row r="47374" spans="1:100">
      <c r="A47374" s="374"/>
      <c r="C47374" s="374"/>
      <c r="CV47374" s="376"/>
    </row>
    <row r="47375" spans="1:100">
      <c r="A47375" s="374"/>
      <c r="C47375" s="374"/>
      <c r="CV47375" s="376"/>
    </row>
    <row r="47376" spans="1:100">
      <c r="A47376" s="374"/>
      <c r="C47376" s="374"/>
      <c r="CV47376" s="376"/>
    </row>
    <row r="47377" spans="1:100">
      <c r="A47377" s="374"/>
      <c r="C47377" s="374"/>
      <c r="CV47377" s="376"/>
    </row>
    <row r="47378" spans="1:100">
      <c r="A47378" s="374"/>
      <c r="C47378" s="374"/>
      <c r="CV47378" s="376"/>
    </row>
    <row r="47379" spans="1:100">
      <c r="A47379" s="374"/>
      <c r="C47379" s="374"/>
      <c r="CV47379" s="376"/>
    </row>
    <row r="47380" spans="1:100">
      <c r="A47380" s="374"/>
      <c r="C47380" s="374"/>
      <c r="CV47380" s="376"/>
    </row>
    <row r="47381" spans="1:100">
      <c r="A47381" s="374"/>
      <c r="C47381" s="374"/>
      <c r="CV47381" s="376"/>
    </row>
    <row r="47382" spans="1:100">
      <c r="A47382" s="374"/>
      <c r="C47382" s="374"/>
      <c r="CV47382" s="376"/>
    </row>
    <row r="47383" spans="1:100">
      <c r="A47383" s="374"/>
      <c r="C47383" s="374"/>
      <c r="CV47383" s="376"/>
    </row>
    <row r="47384" spans="1:100">
      <c r="A47384" s="374"/>
      <c r="C47384" s="374"/>
      <c r="CV47384" s="376"/>
    </row>
    <row r="47385" spans="1:100">
      <c r="A47385" s="374"/>
      <c r="C47385" s="374"/>
      <c r="CV47385" s="376"/>
    </row>
    <row r="47386" spans="1:100">
      <c r="A47386" s="374"/>
      <c r="C47386" s="374"/>
      <c r="CV47386" s="376"/>
    </row>
    <row r="47387" spans="1:100">
      <c r="A47387" s="374"/>
      <c r="C47387" s="374"/>
      <c r="CV47387" s="376"/>
    </row>
    <row r="47388" spans="1:100">
      <c r="A47388" s="374"/>
      <c r="C47388" s="374"/>
      <c r="CV47388" s="376"/>
    </row>
    <row r="47389" spans="1:100">
      <c r="A47389" s="374"/>
      <c r="C47389" s="374"/>
      <c r="CV47389" s="376"/>
    </row>
    <row r="47390" spans="1:100">
      <c r="A47390" s="374"/>
      <c r="C47390" s="374"/>
      <c r="CV47390" s="376"/>
    </row>
    <row r="47391" spans="1:100">
      <c r="A47391" s="374"/>
      <c r="C47391" s="374"/>
      <c r="CV47391" s="376"/>
    </row>
    <row r="47392" spans="1:100">
      <c r="A47392" s="374"/>
      <c r="C47392" s="374"/>
      <c r="CV47392" s="376"/>
    </row>
    <row r="47393" spans="1:100">
      <c r="A47393" s="374"/>
      <c r="C47393" s="374"/>
      <c r="CV47393" s="376"/>
    </row>
    <row r="47394" spans="1:100">
      <c r="A47394" s="374"/>
      <c r="C47394" s="374"/>
      <c r="CV47394" s="376"/>
    </row>
    <row r="47395" spans="1:100">
      <c r="A47395" s="374"/>
      <c r="C47395" s="374"/>
      <c r="CV47395" s="376"/>
    </row>
    <row r="47396" spans="1:100">
      <c r="A47396" s="374"/>
      <c r="C47396" s="374"/>
      <c r="CV47396" s="376"/>
    </row>
    <row r="47397" spans="1:100">
      <c r="A47397" s="374"/>
      <c r="C47397" s="374"/>
      <c r="CV47397" s="376"/>
    </row>
    <row r="47398" spans="1:100">
      <c r="A47398" s="374"/>
      <c r="C47398" s="374"/>
      <c r="CV47398" s="376"/>
    </row>
    <row r="47399" spans="1:100">
      <c r="A47399" s="374"/>
      <c r="C47399" s="374"/>
      <c r="CV47399" s="376"/>
    </row>
    <row r="47400" spans="1:100">
      <c r="A47400" s="374"/>
      <c r="C47400" s="374"/>
      <c r="CV47400" s="376"/>
    </row>
    <row r="47401" spans="1:100">
      <c r="A47401" s="374"/>
      <c r="C47401" s="374"/>
      <c r="CV47401" s="376"/>
    </row>
    <row r="47402" spans="1:100">
      <c r="A47402" s="374"/>
      <c r="C47402" s="374"/>
      <c r="CV47402" s="376"/>
    </row>
    <row r="47403" spans="1:100">
      <c r="A47403" s="374"/>
      <c r="C47403" s="374"/>
      <c r="CV47403" s="376"/>
    </row>
    <row r="47404" spans="1:100">
      <c r="A47404" s="374"/>
      <c r="C47404" s="374"/>
      <c r="CV47404" s="376"/>
    </row>
    <row r="47405" spans="1:100">
      <c r="A47405" s="374"/>
      <c r="C47405" s="374"/>
      <c r="CV47405" s="376"/>
    </row>
    <row r="47406" spans="1:100">
      <c r="A47406" s="374"/>
      <c r="C47406" s="374"/>
      <c r="CV47406" s="376"/>
    </row>
    <row r="47407" spans="1:100">
      <c r="A47407" s="374"/>
      <c r="C47407" s="374"/>
      <c r="CV47407" s="376"/>
    </row>
    <row r="47408" spans="1:100">
      <c r="A47408" s="374"/>
      <c r="C47408" s="374"/>
      <c r="CV47408" s="376"/>
    </row>
    <row r="47409" spans="1:100">
      <c r="A47409" s="374"/>
      <c r="C47409" s="374"/>
      <c r="CV47409" s="376"/>
    </row>
    <row r="47410" spans="1:100">
      <c r="A47410" s="374"/>
      <c r="C47410" s="374"/>
      <c r="CV47410" s="376"/>
    </row>
    <row r="47411" spans="1:100">
      <c r="A47411" s="374"/>
      <c r="C47411" s="374"/>
      <c r="CV47411" s="376"/>
    </row>
    <row r="47412" spans="1:100">
      <c r="A47412" s="374"/>
      <c r="C47412" s="374"/>
      <c r="CV47412" s="376"/>
    </row>
    <row r="47413" spans="1:100">
      <c r="A47413" s="374"/>
      <c r="C47413" s="374"/>
      <c r="CV47413" s="376"/>
    </row>
    <row r="47414" spans="1:100">
      <c r="A47414" s="374"/>
      <c r="C47414" s="374"/>
      <c r="CV47414" s="376"/>
    </row>
    <row r="47415" spans="1:100">
      <c r="A47415" s="374"/>
      <c r="C47415" s="374"/>
      <c r="CV47415" s="376"/>
    </row>
    <row r="47416" spans="1:100">
      <c r="A47416" s="374"/>
      <c r="C47416" s="374"/>
      <c r="CV47416" s="376"/>
    </row>
    <row r="47417" spans="1:100">
      <c r="A47417" s="374"/>
      <c r="C47417" s="374"/>
      <c r="CV47417" s="376"/>
    </row>
    <row r="47418" spans="1:100">
      <c r="A47418" s="374"/>
      <c r="C47418" s="374"/>
      <c r="CV47418" s="376"/>
    </row>
    <row r="47419" spans="1:100">
      <c r="A47419" s="374"/>
      <c r="C47419" s="374"/>
      <c r="CV47419" s="376"/>
    </row>
    <row r="47420" spans="1:100">
      <c r="A47420" s="374"/>
      <c r="C47420" s="374"/>
      <c r="CV47420" s="376"/>
    </row>
    <row r="47421" spans="1:100">
      <c r="A47421" s="374"/>
      <c r="C47421" s="374"/>
      <c r="CV47421" s="376"/>
    </row>
    <row r="47422" spans="1:100">
      <c r="A47422" s="374"/>
      <c r="C47422" s="374"/>
      <c r="CV47422" s="376"/>
    </row>
    <row r="47423" spans="1:100">
      <c r="A47423" s="374"/>
      <c r="C47423" s="374"/>
      <c r="CV47423" s="376"/>
    </row>
    <row r="47424" spans="1:100">
      <c r="A47424" s="374"/>
      <c r="C47424" s="374"/>
      <c r="CV47424" s="376"/>
    </row>
    <row r="47425" spans="1:100">
      <c r="A47425" s="374"/>
      <c r="C47425" s="374"/>
      <c r="CV47425" s="376"/>
    </row>
    <row r="47426" spans="1:100">
      <c r="A47426" s="374"/>
      <c r="C47426" s="374"/>
      <c r="CV47426" s="376"/>
    </row>
    <row r="47427" spans="1:100">
      <c r="A47427" s="374"/>
      <c r="C47427" s="374"/>
      <c r="CV47427" s="376"/>
    </row>
    <row r="47428" spans="1:100">
      <c r="A47428" s="374"/>
      <c r="C47428" s="374"/>
      <c r="CV47428" s="376"/>
    </row>
    <row r="47429" spans="1:100">
      <c r="A47429" s="374"/>
      <c r="C47429" s="374"/>
      <c r="CV47429" s="376"/>
    </row>
    <row r="47430" spans="1:100">
      <c r="A47430" s="374"/>
      <c r="C47430" s="374"/>
      <c r="CV47430" s="376"/>
    </row>
    <row r="47431" spans="1:100">
      <c r="A47431" s="374"/>
      <c r="C47431" s="374"/>
      <c r="CV47431" s="376"/>
    </row>
    <row r="47432" spans="1:100">
      <c r="A47432" s="374"/>
      <c r="C47432" s="374"/>
      <c r="CV47432" s="376"/>
    </row>
    <row r="47433" spans="1:100">
      <c r="A47433" s="374"/>
      <c r="C47433" s="374"/>
      <c r="CV47433" s="376"/>
    </row>
    <row r="47434" spans="1:100">
      <c r="A47434" s="374"/>
      <c r="C47434" s="374"/>
      <c r="CV47434" s="376"/>
    </row>
    <row r="47435" spans="1:100">
      <c r="A47435" s="374"/>
      <c r="C47435" s="374"/>
      <c r="CV47435" s="376"/>
    </row>
    <row r="47436" spans="1:100">
      <c r="A47436" s="374"/>
      <c r="C47436" s="374"/>
      <c r="CV47436" s="376"/>
    </row>
    <row r="47437" spans="1:100">
      <c r="A47437" s="374"/>
      <c r="C47437" s="374"/>
      <c r="CV47437" s="376"/>
    </row>
    <row r="47438" spans="1:100">
      <c r="A47438" s="374"/>
      <c r="C47438" s="374"/>
      <c r="CV47438" s="376"/>
    </row>
    <row r="47439" spans="1:100">
      <c r="A47439" s="374"/>
      <c r="C47439" s="374"/>
      <c r="CV47439" s="376"/>
    </row>
    <row r="47440" spans="1:100">
      <c r="A47440" s="374"/>
      <c r="C47440" s="374"/>
      <c r="CV47440" s="376"/>
    </row>
    <row r="47441" spans="1:100">
      <c r="A47441" s="374"/>
      <c r="C47441" s="374"/>
      <c r="CV47441" s="376"/>
    </row>
    <row r="47442" spans="1:100">
      <c r="A47442" s="374"/>
      <c r="C47442" s="374"/>
      <c r="CV47442" s="376"/>
    </row>
    <row r="47443" spans="1:100">
      <c r="A47443" s="374"/>
      <c r="C47443" s="374"/>
      <c r="CV47443" s="376"/>
    </row>
    <row r="47444" spans="1:100">
      <c r="A47444" s="374"/>
      <c r="C47444" s="374"/>
      <c r="CV47444" s="376"/>
    </row>
    <row r="47445" spans="1:100">
      <c r="A47445" s="374"/>
      <c r="C47445" s="374"/>
      <c r="CV47445" s="376"/>
    </row>
    <row r="47446" spans="1:100">
      <c r="A47446" s="374"/>
      <c r="C47446" s="374"/>
      <c r="CV47446" s="376"/>
    </row>
    <row r="47447" spans="1:100">
      <c r="A47447" s="374"/>
      <c r="C47447" s="374"/>
      <c r="CV47447" s="376"/>
    </row>
    <row r="47448" spans="1:100">
      <c r="A47448" s="374"/>
      <c r="C47448" s="374"/>
      <c r="CV47448" s="376"/>
    </row>
    <row r="47449" spans="1:100">
      <c r="A47449" s="374"/>
      <c r="C47449" s="374"/>
      <c r="CV47449" s="376"/>
    </row>
    <row r="47450" spans="1:100">
      <c r="A47450" s="374"/>
      <c r="C47450" s="374"/>
      <c r="CV47450" s="376"/>
    </row>
    <row r="47451" spans="1:100">
      <c r="A47451" s="374"/>
      <c r="C47451" s="374"/>
      <c r="CV47451" s="376"/>
    </row>
    <row r="47452" spans="1:100">
      <c r="A47452" s="374"/>
      <c r="C47452" s="374"/>
      <c r="CV47452" s="376"/>
    </row>
    <row r="47453" spans="1:100">
      <c r="A47453" s="374"/>
      <c r="C47453" s="374"/>
      <c r="CV47453" s="376"/>
    </row>
    <row r="47454" spans="1:100">
      <c r="A47454" s="374"/>
      <c r="C47454" s="374"/>
      <c r="CV47454" s="376"/>
    </row>
    <row r="47455" spans="1:100">
      <c r="A47455" s="374"/>
      <c r="C47455" s="374"/>
      <c r="CV47455" s="376"/>
    </row>
    <row r="47456" spans="1:100">
      <c r="A47456" s="374"/>
      <c r="C47456" s="374"/>
      <c r="CV47456" s="376"/>
    </row>
    <row r="47457" spans="1:100">
      <c r="A47457" s="374"/>
      <c r="C47457" s="374"/>
      <c r="CV47457" s="376"/>
    </row>
    <row r="47458" spans="1:100">
      <c r="A47458" s="374"/>
      <c r="C47458" s="374"/>
      <c r="CV47458" s="376"/>
    </row>
    <row r="47459" spans="1:100">
      <c r="A47459" s="374"/>
      <c r="C47459" s="374"/>
      <c r="CV47459" s="376"/>
    </row>
    <row r="47460" spans="1:100">
      <c r="A47460" s="374"/>
      <c r="C47460" s="374"/>
      <c r="CV47460" s="376"/>
    </row>
    <row r="47461" spans="1:100">
      <c r="A47461" s="374"/>
      <c r="C47461" s="374"/>
      <c r="CV47461" s="376"/>
    </row>
    <row r="47462" spans="1:100">
      <c r="A47462" s="374"/>
      <c r="C47462" s="374"/>
      <c r="CV47462" s="376"/>
    </row>
    <row r="47463" spans="1:100">
      <c r="A47463" s="374"/>
      <c r="C47463" s="374"/>
      <c r="CV47463" s="376"/>
    </row>
    <row r="47464" spans="1:100">
      <c r="A47464" s="374"/>
      <c r="C47464" s="374"/>
      <c r="CV47464" s="376"/>
    </row>
    <row r="47465" spans="1:100">
      <c r="A47465" s="374"/>
      <c r="C47465" s="374"/>
      <c r="CV47465" s="376"/>
    </row>
    <row r="47466" spans="1:100">
      <c r="A47466" s="374"/>
      <c r="C47466" s="374"/>
      <c r="CV47466" s="376"/>
    </row>
    <row r="47467" spans="1:100">
      <c r="A47467" s="374"/>
      <c r="C47467" s="374"/>
      <c r="CV47467" s="376"/>
    </row>
    <row r="47468" spans="1:100">
      <c r="A47468" s="374"/>
      <c r="C47468" s="374"/>
      <c r="CV47468" s="376"/>
    </row>
    <row r="47469" spans="1:100">
      <c r="A47469" s="374"/>
      <c r="C47469" s="374"/>
      <c r="CV47469" s="376"/>
    </row>
    <row r="47470" spans="1:100">
      <c r="A47470" s="374"/>
      <c r="C47470" s="374"/>
      <c r="CV47470" s="376"/>
    </row>
    <row r="47471" spans="1:100">
      <c r="A47471" s="374"/>
      <c r="C47471" s="374"/>
      <c r="CV47471" s="376"/>
    </row>
    <row r="47472" spans="1:100">
      <c r="A47472" s="374"/>
      <c r="C47472" s="374"/>
      <c r="CV47472" s="376"/>
    </row>
    <row r="47473" spans="1:100">
      <c r="A47473" s="374"/>
      <c r="C47473" s="374"/>
      <c r="CV47473" s="376"/>
    </row>
    <row r="47474" spans="1:100">
      <c r="A47474" s="374"/>
      <c r="C47474" s="374"/>
      <c r="CV47474" s="376"/>
    </row>
    <row r="47475" spans="1:100">
      <c r="A47475" s="374"/>
      <c r="C47475" s="374"/>
      <c r="CV47475" s="376"/>
    </row>
    <row r="47476" spans="1:100">
      <c r="A47476" s="374"/>
      <c r="C47476" s="374"/>
      <c r="CV47476" s="376"/>
    </row>
    <row r="47477" spans="1:100">
      <c r="A47477" s="374"/>
      <c r="C47477" s="374"/>
      <c r="CV47477" s="376"/>
    </row>
    <row r="47478" spans="1:100">
      <c r="A47478" s="374"/>
      <c r="C47478" s="374"/>
      <c r="CV47478" s="376"/>
    </row>
    <row r="47479" spans="1:100">
      <c r="A47479" s="374"/>
      <c r="C47479" s="374"/>
      <c r="CV47479" s="376"/>
    </row>
    <row r="47480" spans="1:100">
      <c r="A47480" s="374"/>
      <c r="C47480" s="374"/>
      <c r="CV47480" s="376"/>
    </row>
    <row r="47481" spans="1:100">
      <c r="A47481" s="374"/>
      <c r="C47481" s="374"/>
      <c r="CV47481" s="376"/>
    </row>
    <row r="47482" spans="1:100">
      <c r="A47482" s="374"/>
      <c r="C47482" s="374"/>
      <c r="CV47482" s="376"/>
    </row>
    <row r="47483" spans="1:100">
      <c r="A47483" s="374"/>
      <c r="C47483" s="374"/>
      <c r="CV47483" s="376"/>
    </row>
    <row r="47484" spans="1:100">
      <c r="A47484" s="374"/>
      <c r="C47484" s="374"/>
      <c r="CV47484" s="376"/>
    </row>
    <row r="47485" spans="1:100">
      <c r="A47485" s="374"/>
      <c r="C47485" s="374"/>
      <c r="CV47485" s="376"/>
    </row>
    <row r="47486" spans="1:100">
      <c r="A47486" s="374"/>
      <c r="C47486" s="374"/>
      <c r="CV47486" s="376"/>
    </row>
    <row r="47487" spans="1:100">
      <c r="A47487" s="374"/>
      <c r="C47487" s="374"/>
      <c r="CV47487" s="376"/>
    </row>
    <row r="47488" spans="1:100">
      <c r="A47488" s="374"/>
      <c r="C47488" s="374"/>
      <c r="CV47488" s="376"/>
    </row>
    <row r="47489" spans="1:100">
      <c r="A47489" s="374"/>
      <c r="C47489" s="374"/>
      <c r="CV47489" s="376"/>
    </row>
    <row r="47490" spans="1:100">
      <c r="A47490" s="374"/>
      <c r="C47490" s="374"/>
      <c r="CV47490" s="376"/>
    </row>
    <row r="47491" spans="1:100">
      <c r="A47491" s="374"/>
      <c r="C47491" s="374"/>
      <c r="CV47491" s="376"/>
    </row>
    <row r="47492" spans="1:100">
      <c r="A47492" s="374"/>
      <c r="C47492" s="374"/>
      <c r="CV47492" s="376"/>
    </row>
    <row r="47493" spans="1:100">
      <c r="A47493" s="374"/>
      <c r="C47493" s="374"/>
      <c r="CV47493" s="376"/>
    </row>
    <row r="47494" spans="1:100">
      <c r="A47494" s="374"/>
      <c r="C47494" s="374"/>
      <c r="CV47494" s="376"/>
    </row>
    <row r="47495" spans="1:100">
      <c r="A47495" s="374"/>
      <c r="C47495" s="374"/>
      <c r="CV47495" s="376"/>
    </row>
    <row r="47496" spans="1:100">
      <c r="A47496" s="374"/>
      <c r="C47496" s="374"/>
      <c r="CV47496" s="376"/>
    </row>
    <row r="47497" spans="1:100">
      <c r="A47497" s="374"/>
      <c r="C47497" s="374"/>
      <c r="CV47497" s="376"/>
    </row>
    <row r="47498" spans="1:100">
      <c r="A47498" s="374"/>
      <c r="C47498" s="374"/>
      <c r="CV47498" s="376"/>
    </row>
    <row r="47499" spans="1:100">
      <c r="A47499" s="374"/>
      <c r="C47499" s="374"/>
      <c r="CV47499" s="376"/>
    </row>
    <row r="47500" spans="1:100">
      <c r="A47500" s="374"/>
      <c r="C47500" s="374"/>
      <c r="CV47500" s="376"/>
    </row>
    <row r="47501" spans="1:100">
      <c r="A47501" s="374"/>
      <c r="C47501" s="374"/>
      <c r="CV47501" s="376"/>
    </row>
    <row r="47502" spans="1:100">
      <c r="A47502" s="374"/>
      <c r="C47502" s="374"/>
      <c r="CV47502" s="376"/>
    </row>
    <row r="47503" spans="1:100">
      <c r="A47503" s="374"/>
      <c r="C47503" s="374"/>
      <c r="CV47503" s="376"/>
    </row>
    <row r="47504" spans="1:100">
      <c r="A47504" s="374"/>
      <c r="C47504" s="374"/>
      <c r="CV47504" s="376"/>
    </row>
    <row r="47505" spans="1:100">
      <c r="A47505" s="374"/>
      <c r="C47505" s="374"/>
      <c r="CV47505" s="376"/>
    </row>
    <row r="47506" spans="1:100">
      <c r="A47506" s="374"/>
      <c r="C47506" s="374"/>
      <c r="CV47506" s="376"/>
    </row>
    <row r="47507" spans="1:100">
      <c r="A47507" s="374"/>
      <c r="C47507" s="374"/>
      <c r="CV47507" s="376"/>
    </row>
    <row r="47508" spans="1:100">
      <c r="A47508" s="374"/>
      <c r="C47508" s="374"/>
      <c r="CV47508" s="376"/>
    </row>
    <row r="47509" spans="1:100">
      <c r="A47509" s="374"/>
      <c r="C47509" s="374"/>
      <c r="CV47509" s="376"/>
    </row>
    <row r="47510" spans="1:100">
      <c r="A47510" s="374"/>
      <c r="C47510" s="374"/>
      <c r="CV47510" s="376"/>
    </row>
    <row r="47511" spans="1:100">
      <c r="A47511" s="374"/>
      <c r="C47511" s="374"/>
      <c r="CV47511" s="376"/>
    </row>
    <row r="47512" spans="1:100">
      <c r="A47512" s="374"/>
      <c r="C47512" s="374"/>
      <c r="CV47512" s="376"/>
    </row>
    <row r="47513" spans="1:100">
      <c r="A47513" s="374"/>
      <c r="C47513" s="374"/>
      <c r="CV47513" s="376"/>
    </row>
    <row r="47514" spans="1:100">
      <c r="A47514" s="374"/>
      <c r="C47514" s="374"/>
      <c r="CV47514" s="376"/>
    </row>
    <row r="47515" spans="1:100">
      <c r="A47515" s="374"/>
      <c r="C47515" s="374"/>
      <c r="CV47515" s="376"/>
    </row>
    <row r="47516" spans="1:100">
      <c r="A47516" s="374"/>
      <c r="C47516" s="374"/>
      <c r="CV47516" s="376"/>
    </row>
    <row r="47517" spans="1:100">
      <c r="A47517" s="374"/>
      <c r="C47517" s="374"/>
      <c r="CV47517" s="376"/>
    </row>
    <row r="47518" spans="1:100">
      <c r="A47518" s="374"/>
      <c r="C47518" s="374"/>
      <c r="CV47518" s="376"/>
    </row>
    <row r="47519" spans="1:100">
      <c r="A47519" s="374"/>
      <c r="C47519" s="374"/>
      <c r="CV47519" s="376"/>
    </row>
    <row r="47520" spans="1:100">
      <c r="A47520" s="374"/>
      <c r="C47520" s="374"/>
      <c r="CV47520" s="376"/>
    </row>
    <row r="47521" spans="1:100">
      <c r="A47521" s="374"/>
      <c r="C47521" s="374"/>
      <c r="CV47521" s="376"/>
    </row>
    <row r="47522" spans="1:100">
      <c r="A47522" s="374"/>
      <c r="C47522" s="374"/>
      <c r="CV47522" s="376"/>
    </row>
    <row r="47523" spans="1:100">
      <c r="A47523" s="374"/>
      <c r="C47523" s="374"/>
      <c r="CV47523" s="376"/>
    </row>
    <row r="47524" spans="1:100">
      <c r="A47524" s="374"/>
      <c r="C47524" s="374"/>
      <c r="CV47524" s="376"/>
    </row>
    <row r="47525" spans="1:100">
      <c r="A47525" s="374"/>
      <c r="C47525" s="374"/>
      <c r="CV47525" s="376"/>
    </row>
    <row r="47526" spans="1:100">
      <c r="A47526" s="374"/>
      <c r="C47526" s="374"/>
      <c r="CV47526" s="376"/>
    </row>
    <row r="47527" spans="1:100">
      <c r="A47527" s="374"/>
      <c r="C47527" s="374"/>
      <c r="CV47527" s="376"/>
    </row>
    <row r="47528" spans="1:100">
      <c r="A47528" s="374"/>
      <c r="C47528" s="374"/>
      <c r="CV47528" s="376"/>
    </row>
    <row r="47529" spans="1:100">
      <c r="A47529" s="374"/>
      <c r="C47529" s="374"/>
      <c r="CV47529" s="376"/>
    </row>
    <row r="47530" spans="1:100">
      <c r="A47530" s="374"/>
      <c r="C47530" s="374"/>
      <c r="CV47530" s="376"/>
    </row>
    <row r="47531" spans="1:100">
      <c r="A47531" s="374"/>
      <c r="C47531" s="374"/>
      <c r="CV47531" s="376"/>
    </row>
    <row r="47532" spans="1:100">
      <c r="A47532" s="374"/>
      <c r="C47532" s="374"/>
      <c r="CV47532" s="376"/>
    </row>
    <row r="47533" spans="1:100">
      <c r="A47533" s="374"/>
      <c r="C47533" s="374"/>
      <c r="CV47533" s="376"/>
    </row>
    <row r="47534" spans="1:100">
      <c r="A47534" s="374"/>
      <c r="C47534" s="374"/>
      <c r="CV47534" s="376"/>
    </row>
    <row r="47535" spans="1:100">
      <c r="A47535" s="374"/>
      <c r="C47535" s="374"/>
      <c r="CV47535" s="376"/>
    </row>
    <row r="47536" spans="1:100">
      <c r="A47536" s="374"/>
      <c r="C47536" s="374"/>
      <c r="CV47536" s="376"/>
    </row>
    <row r="47537" spans="1:100">
      <c r="A47537" s="374"/>
      <c r="C47537" s="374"/>
      <c r="CV47537" s="376"/>
    </row>
    <row r="47538" spans="1:100">
      <c r="A47538" s="374"/>
      <c r="C47538" s="374"/>
      <c r="CV47538" s="376"/>
    </row>
    <row r="47539" spans="1:100">
      <c r="A47539" s="374"/>
      <c r="C47539" s="374"/>
      <c r="CV47539" s="376"/>
    </row>
    <row r="47540" spans="1:100">
      <c r="A47540" s="374"/>
      <c r="C47540" s="374"/>
      <c r="CV47540" s="376"/>
    </row>
    <row r="47541" spans="1:100">
      <c r="A47541" s="374"/>
      <c r="C47541" s="374"/>
      <c r="CV47541" s="376"/>
    </row>
    <row r="47542" spans="1:100">
      <c r="A47542" s="374"/>
      <c r="C47542" s="374"/>
      <c r="CV47542" s="376"/>
    </row>
    <row r="47543" spans="1:100">
      <c r="A47543" s="374"/>
      <c r="C47543" s="374"/>
      <c r="CV47543" s="376"/>
    </row>
    <row r="47544" spans="1:100">
      <c r="A47544" s="374"/>
      <c r="C47544" s="374"/>
      <c r="CV47544" s="376"/>
    </row>
    <row r="47545" spans="1:100">
      <c r="A47545" s="374"/>
      <c r="C47545" s="374"/>
      <c r="CV47545" s="376"/>
    </row>
    <row r="47546" spans="1:100">
      <c r="A47546" s="374"/>
      <c r="C47546" s="374"/>
      <c r="CV47546" s="376"/>
    </row>
    <row r="47547" spans="1:100">
      <c r="A47547" s="374"/>
      <c r="C47547" s="374"/>
      <c r="CV47547" s="376"/>
    </row>
    <row r="47548" spans="1:100">
      <c r="A47548" s="374"/>
      <c r="C47548" s="374"/>
      <c r="CV47548" s="376"/>
    </row>
    <row r="47549" spans="1:100">
      <c r="A47549" s="374"/>
      <c r="C47549" s="374"/>
      <c r="CV47549" s="376"/>
    </row>
    <row r="47550" spans="1:100">
      <c r="A47550" s="374"/>
      <c r="C47550" s="374"/>
      <c r="CV47550" s="376"/>
    </row>
    <row r="47551" spans="1:100">
      <c r="A47551" s="374"/>
      <c r="C47551" s="374"/>
      <c r="CV47551" s="376"/>
    </row>
    <row r="47552" spans="1:100">
      <c r="A47552" s="374"/>
      <c r="C47552" s="374"/>
      <c r="CV47552" s="376"/>
    </row>
    <row r="47553" spans="1:100">
      <c r="A47553" s="374"/>
      <c r="C47553" s="374"/>
      <c r="CV47553" s="376"/>
    </row>
    <row r="47554" spans="1:100">
      <c r="A47554" s="374"/>
      <c r="C47554" s="374"/>
      <c r="CV47554" s="376"/>
    </row>
    <row r="47555" spans="1:100">
      <c r="A47555" s="374"/>
      <c r="C47555" s="374"/>
      <c r="CV47555" s="376"/>
    </row>
    <row r="47556" spans="1:100">
      <c r="A47556" s="374"/>
      <c r="C47556" s="374"/>
      <c r="CV47556" s="376"/>
    </row>
    <row r="47557" spans="1:100">
      <c r="A47557" s="374"/>
      <c r="C47557" s="374"/>
      <c r="CV47557" s="376"/>
    </row>
    <row r="47558" spans="1:100">
      <c r="A47558" s="374"/>
      <c r="C47558" s="374"/>
      <c r="CV47558" s="376"/>
    </row>
    <row r="47559" spans="1:100">
      <c r="A47559" s="374"/>
      <c r="C47559" s="374"/>
      <c r="CV47559" s="376"/>
    </row>
    <row r="47560" spans="1:100">
      <c r="A47560" s="374"/>
      <c r="C47560" s="374"/>
      <c r="CV47560" s="376"/>
    </row>
    <row r="47561" spans="1:100">
      <c r="A47561" s="374"/>
      <c r="C47561" s="374"/>
      <c r="CV47561" s="376"/>
    </row>
    <row r="47562" spans="1:100">
      <c r="A47562" s="374"/>
      <c r="C47562" s="374"/>
      <c r="CV47562" s="376"/>
    </row>
    <row r="47563" spans="1:100">
      <c r="A47563" s="374"/>
      <c r="C47563" s="374"/>
      <c r="CV47563" s="376"/>
    </row>
    <row r="47564" spans="1:100">
      <c r="A47564" s="374"/>
      <c r="C47564" s="374"/>
      <c r="CV47564" s="376"/>
    </row>
    <row r="47565" spans="1:100">
      <c r="A47565" s="374"/>
      <c r="C47565" s="374"/>
      <c r="CV47565" s="376"/>
    </row>
    <row r="47566" spans="1:100">
      <c r="A47566" s="374"/>
      <c r="C47566" s="374"/>
      <c r="CV47566" s="376"/>
    </row>
    <row r="47567" spans="1:100">
      <c r="A47567" s="374"/>
      <c r="C47567" s="374"/>
      <c r="CV47567" s="376"/>
    </row>
    <row r="47568" spans="1:100">
      <c r="A47568" s="374"/>
      <c r="C47568" s="374"/>
      <c r="CV47568" s="376"/>
    </row>
    <row r="47569" spans="1:100">
      <c r="A47569" s="374"/>
      <c r="C47569" s="374"/>
      <c r="CV47569" s="376"/>
    </row>
    <row r="47570" spans="1:100">
      <c r="A47570" s="374"/>
      <c r="C47570" s="374"/>
      <c r="CV47570" s="376"/>
    </row>
    <row r="47571" spans="1:100">
      <c r="A47571" s="374"/>
      <c r="C47571" s="374"/>
      <c r="CV47571" s="376"/>
    </row>
    <row r="47572" spans="1:100">
      <c r="A47572" s="374"/>
      <c r="C47572" s="374"/>
      <c r="CV47572" s="376"/>
    </row>
    <row r="47573" spans="1:100">
      <c r="A47573" s="374"/>
      <c r="C47573" s="374"/>
      <c r="CV47573" s="376"/>
    </row>
    <row r="47574" spans="1:100">
      <c r="A47574" s="374"/>
      <c r="C47574" s="374"/>
      <c r="CV47574" s="376"/>
    </row>
    <row r="47575" spans="1:100">
      <c r="A47575" s="374"/>
      <c r="C47575" s="374"/>
      <c r="CV47575" s="376"/>
    </row>
    <row r="47576" spans="1:100">
      <c r="A47576" s="374"/>
      <c r="C47576" s="374"/>
      <c r="CV47576" s="376"/>
    </row>
    <row r="47577" spans="1:100">
      <c r="A47577" s="374"/>
      <c r="C47577" s="374"/>
      <c r="CV47577" s="376"/>
    </row>
    <row r="47578" spans="1:100">
      <c r="A47578" s="374"/>
      <c r="C47578" s="374"/>
      <c r="CV47578" s="376"/>
    </row>
    <row r="47579" spans="1:100">
      <c r="A47579" s="374"/>
      <c r="C47579" s="374"/>
      <c r="CV47579" s="376"/>
    </row>
    <row r="47580" spans="1:100">
      <c r="A47580" s="374"/>
      <c r="C47580" s="374"/>
      <c r="CV47580" s="376"/>
    </row>
    <row r="47581" spans="1:100">
      <c r="A47581" s="374"/>
      <c r="C47581" s="374"/>
      <c r="CV47581" s="376"/>
    </row>
    <row r="47582" spans="1:100">
      <c r="A47582" s="374"/>
      <c r="C47582" s="374"/>
      <c r="CV47582" s="376"/>
    </row>
    <row r="47583" spans="1:100">
      <c r="A47583" s="374"/>
      <c r="C47583" s="374"/>
      <c r="CV47583" s="376"/>
    </row>
    <row r="47584" spans="1:100">
      <c r="A47584" s="374"/>
      <c r="C47584" s="374"/>
      <c r="CV47584" s="376"/>
    </row>
    <row r="47585" spans="1:100">
      <c r="A47585" s="374"/>
      <c r="C47585" s="374"/>
      <c r="CV47585" s="376"/>
    </row>
    <row r="47586" spans="1:100">
      <c r="A47586" s="374"/>
      <c r="C47586" s="374"/>
      <c r="CV47586" s="376"/>
    </row>
    <row r="47587" spans="1:100">
      <c r="A47587" s="374"/>
      <c r="C47587" s="374"/>
      <c r="CV47587" s="376"/>
    </row>
    <row r="47588" spans="1:100">
      <c r="A47588" s="374"/>
      <c r="C47588" s="374"/>
      <c r="CV47588" s="376"/>
    </row>
    <row r="47589" spans="1:100">
      <c r="A47589" s="374"/>
      <c r="C47589" s="374"/>
      <c r="CV47589" s="376"/>
    </row>
    <row r="47590" spans="1:100">
      <c r="A47590" s="374"/>
      <c r="C47590" s="374"/>
      <c r="CV47590" s="376"/>
    </row>
    <row r="47591" spans="1:100">
      <c r="A47591" s="374"/>
      <c r="C47591" s="374"/>
      <c r="CV47591" s="376"/>
    </row>
    <row r="47592" spans="1:100">
      <c r="A47592" s="374"/>
      <c r="C47592" s="374"/>
      <c r="CV47592" s="376"/>
    </row>
    <row r="47593" spans="1:100">
      <c r="A47593" s="374"/>
      <c r="C47593" s="374"/>
      <c r="CV47593" s="376"/>
    </row>
    <row r="47594" spans="1:100">
      <c r="A47594" s="374"/>
      <c r="C47594" s="374"/>
      <c r="CV47594" s="376"/>
    </row>
    <row r="47595" spans="1:100">
      <c r="A47595" s="374"/>
      <c r="C47595" s="374"/>
      <c r="CV47595" s="376"/>
    </row>
    <row r="47596" spans="1:100">
      <c r="A47596" s="374"/>
      <c r="C47596" s="374"/>
      <c r="CV47596" s="376"/>
    </row>
    <row r="47597" spans="1:100">
      <c r="A47597" s="374"/>
      <c r="C47597" s="374"/>
      <c r="CV47597" s="376"/>
    </row>
    <row r="47598" spans="1:100">
      <c r="A47598" s="374"/>
      <c r="C47598" s="374"/>
      <c r="CV47598" s="376"/>
    </row>
    <row r="47599" spans="1:100">
      <c r="A47599" s="374"/>
      <c r="C47599" s="374"/>
      <c r="CV47599" s="376"/>
    </row>
    <row r="47600" spans="1:100">
      <c r="A47600" s="374"/>
      <c r="C47600" s="374"/>
      <c r="CV47600" s="376"/>
    </row>
    <row r="47601" spans="1:100">
      <c r="A47601" s="374"/>
      <c r="C47601" s="374"/>
      <c r="CV47601" s="376"/>
    </row>
    <row r="47602" spans="1:100">
      <c r="A47602" s="374"/>
      <c r="C47602" s="374"/>
      <c r="CV47602" s="376"/>
    </row>
    <row r="47603" spans="1:100">
      <c r="A47603" s="374"/>
      <c r="C47603" s="374"/>
      <c r="CV47603" s="376"/>
    </row>
    <row r="47604" spans="1:100">
      <c r="A47604" s="374"/>
      <c r="C47604" s="374"/>
      <c r="CV47604" s="376"/>
    </row>
    <row r="47605" spans="1:100">
      <c r="A47605" s="374"/>
      <c r="C47605" s="374"/>
      <c r="CV47605" s="376"/>
    </row>
    <row r="47606" spans="1:100">
      <c r="A47606" s="374"/>
      <c r="C47606" s="374"/>
      <c r="CV47606" s="376"/>
    </row>
    <row r="47607" spans="1:100">
      <c r="A47607" s="374"/>
      <c r="C47607" s="374"/>
      <c r="CV47607" s="376"/>
    </row>
    <row r="47608" spans="1:100">
      <c r="A47608" s="374"/>
      <c r="C47608" s="374"/>
      <c r="CV47608" s="376"/>
    </row>
    <row r="47609" spans="1:100">
      <c r="A47609" s="374"/>
      <c r="C47609" s="374"/>
      <c r="CV47609" s="376"/>
    </row>
    <row r="47610" spans="1:100">
      <c r="A47610" s="374"/>
      <c r="C47610" s="374"/>
      <c r="CV47610" s="376"/>
    </row>
    <row r="47611" spans="1:100">
      <c r="A47611" s="374"/>
      <c r="C47611" s="374"/>
      <c r="CV47611" s="376"/>
    </row>
    <row r="47612" spans="1:100">
      <c r="A47612" s="374"/>
      <c r="C47612" s="374"/>
      <c r="CV47612" s="376"/>
    </row>
    <row r="47613" spans="1:100">
      <c r="A47613" s="374"/>
      <c r="C47613" s="374"/>
      <c r="CV47613" s="376"/>
    </row>
    <row r="47614" spans="1:100">
      <c r="A47614" s="374"/>
      <c r="C47614" s="374"/>
      <c r="CV47614" s="376"/>
    </row>
    <row r="47615" spans="1:100">
      <c r="A47615" s="374"/>
      <c r="C47615" s="374"/>
      <c r="CV47615" s="376"/>
    </row>
    <row r="47616" spans="1:100">
      <c r="A47616" s="374"/>
      <c r="C47616" s="374"/>
      <c r="CV47616" s="376"/>
    </row>
    <row r="47617" spans="1:100">
      <c r="A47617" s="374"/>
      <c r="C47617" s="374"/>
      <c r="CV47617" s="376"/>
    </row>
    <row r="47618" spans="1:100">
      <c r="A47618" s="374"/>
      <c r="C47618" s="374"/>
      <c r="CV47618" s="376"/>
    </row>
    <row r="47619" spans="1:100">
      <c r="A47619" s="374"/>
      <c r="C47619" s="374"/>
      <c r="CV47619" s="376"/>
    </row>
    <row r="47620" spans="1:100">
      <c r="A47620" s="374"/>
      <c r="C47620" s="374"/>
      <c r="CV47620" s="376"/>
    </row>
    <row r="47621" spans="1:100">
      <c r="A47621" s="374"/>
      <c r="C47621" s="374"/>
      <c r="CV47621" s="376"/>
    </row>
    <row r="47622" spans="1:100">
      <c r="A47622" s="374"/>
      <c r="C47622" s="374"/>
      <c r="CV47622" s="376"/>
    </row>
    <row r="47623" spans="1:100">
      <c r="A47623" s="374"/>
      <c r="C47623" s="374"/>
      <c r="CV47623" s="376"/>
    </row>
    <row r="47624" spans="1:100">
      <c r="A47624" s="374"/>
      <c r="C47624" s="374"/>
      <c r="CV47624" s="376"/>
    </row>
    <row r="47625" spans="1:100">
      <c r="A47625" s="374"/>
      <c r="C47625" s="374"/>
      <c r="CV47625" s="376"/>
    </row>
    <row r="47626" spans="1:100">
      <c r="A47626" s="374"/>
      <c r="C47626" s="374"/>
      <c r="CV47626" s="376"/>
    </row>
    <row r="47627" spans="1:100">
      <c r="A47627" s="374"/>
      <c r="C47627" s="374"/>
      <c r="CV47627" s="376"/>
    </row>
    <row r="47628" spans="1:100">
      <c r="A47628" s="374"/>
      <c r="C47628" s="374"/>
      <c r="CV47628" s="376"/>
    </row>
    <row r="47629" spans="1:100">
      <c r="A47629" s="374"/>
      <c r="C47629" s="374"/>
      <c r="CV47629" s="376"/>
    </row>
    <row r="47630" spans="1:100">
      <c r="A47630" s="374"/>
      <c r="C47630" s="374"/>
      <c r="CV47630" s="376"/>
    </row>
    <row r="47631" spans="1:100">
      <c r="A47631" s="374"/>
      <c r="C47631" s="374"/>
      <c r="CV47631" s="376"/>
    </row>
    <row r="47632" spans="1:100">
      <c r="A47632" s="374"/>
      <c r="C47632" s="374"/>
      <c r="CV47632" s="376"/>
    </row>
    <row r="47633" spans="1:100">
      <c r="A47633" s="374"/>
      <c r="C47633" s="374"/>
      <c r="CV47633" s="376"/>
    </row>
    <row r="47634" spans="1:100">
      <c r="A47634" s="374"/>
      <c r="C47634" s="374"/>
      <c r="CV47634" s="376"/>
    </row>
    <row r="47635" spans="1:100">
      <c r="A47635" s="374"/>
      <c r="C47635" s="374"/>
      <c r="CV47635" s="376"/>
    </row>
    <row r="47636" spans="1:100">
      <c r="A47636" s="374"/>
      <c r="C47636" s="374"/>
      <c r="CV47636" s="376"/>
    </row>
    <row r="47637" spans="1:100">
      <c r="A47637" s="374"/>
      <c r="C47637" s="374"/>
      <c r="CV47637" s="376"/>
    </row>
    <row r="47638" spans="1:100">
      <c r="A47638" s="374"/>
      <c r="C47638" s="374"/>
      <c r="CV47638" s="376"/>
    </row>
    <row r="47639" spans="1:100">
      <c r="A47639" s="374"/>
      <c r="C47639" s="374"/>
      <c r="CV47639" s="376"/>
    </row>
    <row r="47640" spans="1:100">
      <c r="A47640" s="374"/>
      <c r="C47640" s="374"/>
      <c r="CV47640" s="376"/>
    </row>
    <row r="47641" spans="1:100">
      <c r="A47641" s="374"/>
      <c r="C47641" s="374"/>
      <c r="CV47641" s="376"/>
    </row>
    <row r="47642" spans="1:100">
      <c r="A47642" s="374"/>
      <c r="C47642" s="374"/>
      <c r="CV47642" s="376"/>
    </row>
    <row r="47643" spans="1:100">
      <c r="A47643" s="374"/>
      <c r="C47643" s="374"/>
      <c r="CV47643" s="376"/>
    </row>
    <row r="47644" spans="1:100">
      <c r="A47644" s="374"/>
      <c r="C47644" s="374"/>
      <c r="CV47644" s="376"/>
    </row>
    <row r="47645" spans="1:100">
      <c r="A47645" s="374"/>
      <c r="C47645" s="374"/>
      <c r="CV47645" s="376"/>
    </row>
    <row r="47646" spans="1:100">
      <c r="A47646" s="374"/>
      <c r="C47646" s="374"/>
      <c r="CV47646" s="376"/>
    </row>
    <row r="47647" spans="1:100">
      <c r="A47647" s="374"/>
      <c r="C47647" s="374"/>
      <c r="CV47647" s="376"/>
    </row>
    <row r="47648" spans="1:100">
      <c r="A47648" s="374"/>
      <c r="C47648" s="374"/>
      <c r="CV47648" s="376"/>
    </row>
    <row r="47649" spans="1:100">
      <c r="A47649" s="374"/>
      <c r="C47649" s="374"/>
      <c r="CV47649" s="376"/>
    </row>
    <row r="47650" spans="1:100">
      <c r="A47650" s="374"/>
      <c r="C47650" s="374"/>
      <c r="CV47650" s="376"/>
    </row>
    <row r="47651" spans="1:100">
      <c r="A47651" s="374"/>
      <c r="C47651" s="374"/>
      <c r="CV47651" s="376"/>
    </row>
    <row r="47652" spans="1:100">
      <c r="A47652" s="374"/>
      <c r="C47652" s="374"/>
      <c r="CV47652" s="376"/>
    </row>
    <row r="47653" spans="1:100">
      <c r="A47653" s="374"/>
      <c r="C47653" s="374"/>
      <c r="CV47653" s="376"/>
    </row>
    <row r="47654" spans="1:100">
      <c r="A47654" s="374"/>
      <c r="C47654" s="374"/>
      <c r="CV47654" s="376"/>
    </row>
    <row r="47655" spans="1:100">
      <c r="A47655" s="374"/>
      <c r="C47655" s="374"/>
      <c r="CV47655" s="376"/>
    </row>
    <row r="47656" spans="1:100">
      <c r="A47656" s="374"/>
      <c r="C47656" s="374"/>
      <c r="CV47656" s="376"/>
    </row>
    <row r="47657" spans="1:100">
      <c r="A47657" s="374"/>
      <c r="C47657" s="374"/>
      <c r="CV47657" s="376"/>
    </row>
    <row r="47658" spans="1:100">
      <c r="A47658" s="374"/>
      <c r="C47658" s="374"/>
      <c r="CV47658" s="376"/>
    </row>
    <row r="47659" spans="1:100">
      <c r="A47659" s="374"/>
      <c r="C47659" s="374"/>
      <c r="CV47659" s="376"/>
    </row>
    <row r="47660" spans="1:100">
      <c r="A47660" s="374"/>
      <c r="C47660" s="374"/>
      <c r="CV47660" s="376"/>
    </row>
    <row r="47661" spans="1:100">
      <c r="A47661" s="374"/>
      <c r="C47661" s="374"/>
      <c r="CV47661" s="376"/>
    </row>
    <row r="47662" spans="1:100">
      <c r="A47662" s="374"/>
      <c r="C47662" s="374"/>
      <c r="CV47662" s="376"/>
    </row>
    <row r="47663" spans="1:100">
      <c r="A47663" s="374"/>
      <c r="C47663" s="374"/>
      <c r="CV47663" s="376"/>
    </row>
    <row r="47664" spans="1:100">
      <c r="A47664" s="374"/>
      <c r="C47664" s="374"/>
      <c r="CV47664" s="376"/>
    </row>
    <row r="47665" spans="1:100">
      <c r="A47665" s="374"/>
      <c r="C47665" s="374"/>
      <c r="CV47665" s="376"/>
    </row>
    <row r="47666" spans="1:100">
      <c r="A47666" s="374"/>
      <c r="C47666" s="374"/>
      <c r="CV47666" s="376"/>
    </row>
    <row r="47667" spans="1:100">
      <c r="A47667" s="374"/>
      <c r="C47667" s="374"/>
      <c r="CV47667" s="376"/>
    </row>
    <row r="47668" spans="1:100">
      <c r="A47668" s="374"/>
      <c r="C47668" s="374"/>
      <c r="CV47668" s="376"/>
    </row>
    <row r="47669" spans="1:100">
      <c r="A47669" s="374"/>
      <c r="C47669" s="374"/>
      <c r="CV47669" s="376"/>
    </row>
    <row r="47670" spans="1:100">
      <c r="A47670" s="374"/>
      <c r="C47670" s="374"/>
      <c r="CV47670" s="376"/>
    </row>
    <row r="47671" spans="1:100">
      <c r="A47671" s="374"/>
      <c r="C47671" s="374"/>
      <c r="CV47671" s="376"/>
    </row>
    <row r="47672" spans="1:100">
      <c r="A47672" s="374"/>
      <c r="C47672" s="374"/>
      <c r="CV47672" s="376"/>
    </row>
    <row r="47673" spans="1:100">
      <c r="A47673" s="374"/>
      <c r="C47673" s="374"/>
      <c r="CV47673" s="376"/>
    </row>
    <row r="47674" spans="1:100">
      <c r="A47674" s="374"/>
      <c r="C47674" s="374"/>
      <c r="CV47674" s="376"/>
    </row>
    <row r="47675" spans="1:100">
      <c r="A47675" s="374"/>
      <c r="C47675" s="374"/>
      <c r="CV47675" s="376"/>
    </row>
    <row r="47676" spans="1:100">
      <c r="A47676" s="374"/>
      <c r="C47676" s="374"/>
      <c r="CV47676" s="376"/>
    </row>
    <row r="47677" spans="1:100">
      <c r="A47677" s="374"/>
      <c r="C47677" s="374"/>
      <c r="CV47677" s="376"/>
    </row>
    <row r="47678" spans="1:100">
      <c r="A47678" s="374"/>
      <c r="C47678" s="374"/>
      <c r="CV47678" s="376"/>
    </row>
    <row r="47679" spans="1:100">
      <c r="A47679" s="374"/>
      <c r="C47679" s="374"/>
      <c r="CV47679" s="376"/>
    </row>
    <row r="47680" spans="1:100">
      <c r="A47680" s="374"/>
      <c r="C47680" s="374"/>
      <c r="CV47680" s="376"/>
    </row>
    <row r="47681" spans="1:100">
      <c r="A47681" s="374"/>
      <c r="C47681" s="374"/>
      <c r="CV47681" s="376"/>
    </row>
    <row r="47682" spans="1:100">
      <c r="A47682" s="374"/>
      <c r="C47682" s="374"/>
      <c r="CV47682" s="376"/>
    </row>
    <row r="47683" spans="1:100">
      <c r="A47683" s="374"/>
      <c r="C47683" s="374"/>
      <c r="CV47683" s="376"/>
    </row>
    <row r="47684" spans="1:100">
      <c r="A47684" s="374"/>
      <c r="C47684" s="374"/>
      <c r="CV47684" s="376"/>
    </row>
    <row r="47685" spans="1:100">
      <c r="A47685" s="374"/>
      <c r="C47685" s="374"/>
      <c r="CV47685" s="376"/>
    </row>
    <row r="47686" spans="1:100">
      <c r="A47686" s="374"/>
      <c r="C47686" s="374"/>
      <c r="CV47686" s="376"/>
    </row>
    <row r="47687" spans="1:100">
      <c r="A47687" s="374"/>
      <c r="C47687" s="374"/>
      <c r="CV47687" s="376"/>
    </row>
    <row r="47688" spans="1:100">
      <c r="A47688" s="374"/>
      <c r="C47688" s="374"/>
      <c r="CV47688" s="376"/>
    </row>
    <row r="47689" spans="1:100">
      <c r="A47689" s="374"/>
      <c r="C47689" s="374"/>
      <c r="CV47689" s="376"/>
    </row>
    <row r="47690" spans="1:100">
      <c r="A47690" s="374"/>
      <c r="C47690" s="374"/>
      <c r="CV47690" s="376"/>
    </row>
    <row r="47691" spans="1:100">
      <c r="A47691" s="374"/>
      <c r="C47691" s="374"/>
      <c r="CV47691" s="376"/>
    </row>
    <row r="47692" spans="1:100">
      <c r="A47692" s="374"/>
      <c r="C47692" s="374"/>
      <c r="CV47692" s="376"/>
    </row>
    <row r="47693" spans="1:100">
      <c r="A47693" s="374"/>
      <c r="C47693" s="374"/>
      <c r="CV47693" s="376"/>
    </row>
    <row r="47694" spans="1:100">
      <c r="A47694" s="374"/>
      <c r="C47694" s="374"/>
      <c r="CV47694" s="376"/>
    </row>
    <row r="47695" spans="1:100">
      <c r="A47695" s="374"/>
      <c r="C47695" s="374"/>
      <c r="CV47695" s="376"/>
    </row>
    <row r="47696" spans="1:100">
      <c r="A47696" s="374"/>
      <c r="C47696" s="374"/>
      <c r="CV47696" s="376"/>
    </row>
    <row r="47697" spans="1:100">
      <c r="A47697" s="374"/>
      <c r="C47697" s="374"/>
      <c r="CV47697" s="376"/>
    </row>
    <row r="47698" spans="1:100">
      <c r="A47698" s="374"/>
      <c r="C47698" s="374"/>
      <c r="CV47698" s="376"/>
    </row>
    <row r="47699" spans="1:100">
      <c r="A47699" s="374"/>
      <c r="C47699" s="374"/>
      <c r="CV47699" s="376"/>
    </row>
    <row r="47700" spans="1:100">
      <c r="A47700" s="374"/>
      <c r="C47700" s="374"/>
      <c r="CV47700" s="376"/>
    </row>
    <row r="47701" spans="1:100">
      <c r="A47701" s="374"/>
      <c r="C47701" s="374"/>
      <c r="CV47701" s="376"/>
    </row>
    <row r="47702" spans="1:100">
      <c r="A47702" s="374"/>
      <c r="C47702" s="374"/>
      <c r="CV47702" s="376"/>
    </row>
    <row r="47703" spans="1:100">
      <c r="A47703" s="374"/>
      <c r="C47703" s="374"/>
      <c r="CV47703" s="376"/>
    </row>
    <row r="47704" spans="1:100">
      <c r="A47704" s="374"/>
      <c r="C47704" s="374"/>
      <c r="CV47704" s="376"/>
    </row>
    <row r="47705" spans="1:100">
      <c r="A47705" s="374"/>
      <c r="C47705" s="374"/>
      <c r="CV47705" s="376"/>
    </row>
    <row r="47706" spans="1:100">
      <c r="A47706" s="374"/>
      <c r="C47706" s="374"/>
      <c r="CV47706" s="376"/>
    </row>
    <row r="47707" spans="1:100">
      <c r="A47707" s="374"/>
      <c r="C47707" s="374"/>
      <c r="CV47707" s="376"/>
    </row>
    <row r="47708" spans="1:100">
      <c r="A47708" s="374"/>
      <c r="C47708" s="374"/>
      <c r="CV47708" s="376"/>
    </row>
    <row r="47709" spans="1:100">
      <c r="A47709" s="374"/>
      <c r="C47709" s="374"/>
      <c r="CV47709" s="376"/>
    </row>
    <row r="47710" spans="1:100">
      <c r="A47710" s="374"/>
      <c r="C47710" s="374"/>
      <c r="CV47710" s="376"/>
    </row>
    <row r="47711" spans="1:100">
      <c r="A47711" s="374"/>
      <c r="C47711" s="374"/>
      <c r="CV47711" s="376"/>
    </row>
    <row r="47712" spans="1:100">
      <c r="A47712" s="374"/>
      <c r="C47712" s="374"/>
      <c r="CV47712" s="376"/>
    </row>
    <row r="47713" spans="1:100">
      <c r="A47713" s="374"/>
      <c r="C47713" s="374"/>
      <c r="CV47713" s="376"/>
    </row>
    <row r="47714" spans="1:100">
      <c r="A47714" s="374"/>
      <c r="C47714" s="374"/>
      <c r="CV47714" s="376"/>
    </row>
    <row r="47715" spans="1:100">
      <c r="A47715" s="374"/>
      <c r="C47715" s="374"/>
      <c r="CV47715" s="376"/>
    </row>
    <row r="47716" spans="1:100">
      <c r="A47716" s="374"/>
      <c r="C47716" s="374"/>
      <c r="CV47716" s="376"/>
    </row>
    <row r="47717" spans="1:100">
      <c r="A47717" s="374"/>
      <c r="C47717" s="374"/>
      <c r="CV47717" s="376"/>
    </row>
    <row r="47718" spans="1:100">
      <c r="A47718" s="374"/>
      <c r="C47718" s="374"/>
      <c r="CV47718" s="376"/>
    </row>
    <row r="47719" spans="1:100">
      <c r="A47719" s="374"/>
      <c r="C47719" s="374"/>
      <c r="CV47719" s="376"/>
    </row>
    <row r="47720" spans="1:100">
      <c r="A47720" s="374"/>
      <c r="C47720" s="374"/>
      <c r="CV47720" s="376"/>
    </row>
    <row r="47721" spans="1:100">
      <c r="A47721" s="374"/>
      <c r="C47721" s="374"/>
      <c r="CV47721" s="376"/>
    </row>
    <row r="47722" spans="1:100">
      <c r="A47722" s="374"/>
      <c r="C47722" s="374"/>
      <c r="CV47722" s="376"/>
    </row>
    <row r="47723" spans="1:100">
      <c r="A47723" s="374"/>
      <c r="C47723" s="374"/>
      <c r="CV47723" s="376"/>
    </row>
    <row r="47724" spans="1:100">
      <c r="A47724" s="374"/>
      <c r="C47724" s="374"/>
      <c r="CV47724" s="376"/>
    </row>
    <row r="47725" spans="1:100">
      <c r="A47725" s="374"/>
      <c r="C47725" s="374"/>
      <c r="CV47725" s="376"/>
    </row>
    <row r="47726" spans="1:100">
      <c r="A47726" s="374"/>
      <c r="C47726" s="374"/>
      <c r="CV47726" s="376"/>
    </row>
    <row r="47727" spans="1:100">
      <c r="A47727" s="374"/>
      <c r="C47727" s="374"/>
      <c r="CV47727" s="376"/>
    </row>
    <row r="47728" spans="1:100">
      <c r="A47728" s="374"/>
      <c r="C47728" s="374"/>
      <c r="CV47728" s="376"/>
    </row>
    <row r="47729" spans="1:100">
      <c r="A47729" s="374"/>
      <c r="C47729" s="374"/>
      <c r="CV47729" s="376"/>
    </row>
    <row r="47730" spans="1:100">
      <c r="A47730" s="374"/>
      <c r="C47730" s="374"/>
      <c r="CV47730" s="376"/>
    </row>
    <row r="47731" spans="1:100">
      <c r="A47731" s="374"/>
      <c r="C47731" s="374"/>
      <c r="CV47731" s="376"/>
    </row>
    <row r="47732" spans="1:100">
      <c r="A47732" s="374"/>
      <c r="C47732" s="374"/>
      <c r="CV47732" s="376"/>
    </row>
    <row r="47733" spans="1:100">
      <c r="A47733" s="374"/>
      <c r="C47733" s="374"/>
      <c r="CV47733" s="376"/>
    </row>
    <row r="47734" spans="1:100">
      <c r="A47734" s="374"/>
      <c r="C47734" s="374"/>
      <c r="CV47734" s="376"/>
    </row>
    <row r="47735" spans="1:100">
      <c r="A47735" s="374"/>
      <c r="C47735" s="374"/>
      <c r="CV47735" s="376"/>
    </row>
    <row r="47736" spans="1:100">
      <c r="A47736" s="374"/>
      <c r="C47736" s="374"/>
      <c r="CV47736" s="376"/>
    </row>
    <row r="47737" spans="1:100">
      <c r="A47737" s="374"/>
      <c r="C47737" s="374"/>
      <c r="CV47737" s="376"/>
    </row>
    <row r="47738" spans="1:100">
      <c r="A47738" s="374"/>
      <c r="C47738" s="374"/>
      <c r="CV47738" s="376"/>
    </row>
    <row r="47739" spans="1:100">
      <c r="A47739" s="374"/>
      <c r="C47739" s="374"/>
      <c r="CV47739" s="376"/>
    </row>
    <row r="47740" spans="1:100">
      <c r="A47740" s="374"/>
      <c r="C47740" s="374"/>
      <c r="CV47740" s="376"/>
    </row>
    <row r="47741" spans="1:100">
      <c r="A47741" s="374"/>
      <c r="C47741" s="374"/>
      <c r="CV47741" s="376"/>
    </row>
    <row r="47742" spans="1:100">
      <c r="A47742" s="374"/>
      <c r="C47742" s="374"/>
      <c r="CV47742" s="376"/>
    </row>
    <row r="47743" spans="1:100">
      <c r="A47743" s="374"/>
      <c r="C47743" s="374"/>
      <c r="CV47743" s="376"/>
    </row>
    <row r="47744" spans="1:100">
      <c r="A47744" s="374"/>
      <c r="C47744" s="374"/>
      <c r="CV47744" s="376"/>
    </row>
    <row r="47745" spans="1:100">
      <c r="A47745" s="374"/>
      <c r="C47745" s="374"/>
      <c r="CV47745" s="376"/>
    </row>
    <row r="47746" spans="1:100">
      <c r="A47746" s="374"/>
      <c r="C47746" s="374"/>
      <c r="CV47746" s="376"/>
    </row>
    <row r="47747" spans="1:100">
      <c r="A47747" s="374"/>
      <c r="C47747" s="374"/>
      <c r="CV47747" s="376"/>
    </row>
    <row r="47748" spans="1:100">
      <c r="A47748" s="374"/>
      <c r="C47748" s="374"/>
      <c r="CV47748" s="376"/>
    </row>
    <row r="47749" spans="1:100">
      <c r="A47749" s="374"/>
      <c r="C47749" s="374"/>
      <c r="CV47749" s="376"/>
    </row>
    <row r="47750" spans="1:100">
      <c r="A47750" s="374"/>
      <c r="C47750" s="374"/>
      <c r="CV47750" s="376"/>
    </row>
    <row r="47751" spans="1:100">
      <c r="A47751" s="374"/>
      <c r="C47751" s="374"/>
      <c r="CV47751" s="376"/>
    </row>
    <row r="47752" spans="1:100">
      <c r="A47752" s="374"/>
      <c r="C47752" s="374"/>
      <c r="CV47752" s="376"/>
    </row>
    <row r="47753" spans="1:100">
      <c r="A47753" s="374"/>
      <c r="C47753" s="374"/>
      <c r="CV47753" s="376"/>
    </row>
    <row r="47754" spans="1:100">
      <c r="A47754" s="374"/>
      <c r="C47754" s="374"/>
      <c r="CV47754" s="376"/>
    </row>
    <row r="47755" spans="1:100">
      <c r="A47755" s="374"/>
      <c r="C47755" s="374"/>
      <c r="CV47755" s="376"/>
    </row>
    <row r="47756" spans="1:100">
      <c r="A47756" s="374"/>
      <c r="C47756" s="374"/>
      <c r="CV47756" s="376"/>
    </row>
    <row r="47757" spans="1:100">
      <c r="A47757" s="374"/>
      <c r="C47757" s="374"/>
      <c r="CV47757" s="376"/>
    </row>
    <row r="47758" spans="1:100">
      <c r="A47758" s="374"/>
      <c r="C47758" s="374"/>
      <c r="CV47758" s="376"/>
    </row>
    <row r="47759" spans="1:100">
      <c r="A47759" s="374"/>
      <c r="C47759" s="374"/>
      <c r="CV47759" s="376"/>
    </row>
    <row r="47760" spans="1:100">
      <c r="A47760" s="374"/>
      <c r="C47760" s="374"/>
      <c r="CV47760" s="376"/>
    </row>
    <row r="47761" spans="1:100">
      <c r="A47761" s="374"/>
      <c r="C47761" s="374"/>
      <c r="CV47761" s="376"/>
    </row>
    <row r="47762" spans="1:100">
      <c r="A47762" s="374"/>
      <c r="C47762" s="374"/>
      <c r="CV47762" s="376"/>
    </row>
    <row r="47763" spans="1:100">
      <c r="A47763" s="374"/>
      <c r="C47763" s="374"/>
      <c r="CV47763" s="376"/>
    </row>
    <row r="47764" spans="1:100">
      <c r="A47764" s="374"/>
      <c r="C47764" s="374"/>
      <c r="CV47764" s="376"/>
    </row>
    <row r="47765" spans="1:100">
      <c r="A47765" s="374"/>
      <c r="C47765" s="374"/>
      <c r="CV47765" s="376"/>
    </row>
    <row r="47766" spans="1:100">
      <c r="A47766" s="374"/>
      <c r="C47766" s="374"/>
      <c r="CV47766" s="376"/>
    </row>
    <row r="47767" spans="1:100">
      <c r="A47767" s="374"/>
      <c r="C47767" s="374"/>
      <c r="CV47767" s="376"/>
    </row>
    <row r="47768" spans="1:100">
      <c r="A47768" s="374"/>
      <c r="C47768" s="374"/>
      <c r="CV47768" s="376"/>
    </row>
    <row r="47769" spans="1:100">
      <c r="A47769" s="374"/>
      <c r="C47769" s="374"/>
      <c r="CV47769" s="376"/>
    </row>
    <row r="47770" spans="1:100">
      <c r="A47770" s="374"/>
      <c r="C47770" s="374"/>
      <c r="CV47770" s="376"/>
    </row>
    <row r="47771" spans="1:100">
      <c r="A47771" s="374"/>
      <c r="C47771" s="374"/>
      <c r="CV47771" s="376"/>
    </row>
    <row r="47772" spans="1:100">
      <c r="A47772" s="374"/>
      <c r="C47772" s="374"/>
      <c r="CV47772" s="376"/>
    </row>
    <row r="47773" spans="1:100">
      <c r="A47773" s="374"/>
      <c r="C47773" s="374"/>
      <c r="CV47773" s="376"/>
    </row>
    <row r="47774" spans="1:100">
      <c r="A47774" s="374"/>
      <c r="C47774" s="374"/>
      <c r="CV47774" s="376"/>
    </row>
    <row r="47775" spans="1:100">
      <c r="A47775" s="374"/>
      <c r="C47775" s="374"/>
      <c r="CV47775" s="376"/>
    </row>
    <row r="47776" spans="1:100">
      <c r="A47776" s="374"/>
      <c r="C47776" s="374"/>
      <c r="CV47776" s="376"/>
    </row>
    <row r="47777" spans="1:100">
      <c r="A47777" s="374"/>
      <c r="C47777" s="374"/>
      <c r="CV47777" s="376"/>
    </row>
    <row r="47778" spans="1:100">
      <c r="A47778" s="374"/>
      <c r="C47778" s="374"/>
      <c r="CV47778" s="376"/>
    </row>
    <row r="47779" spans="1:100">
      <c r="A47779" s="374"/>
      <c r="C47779" s="374"/>
      <c r="CV47779" s="376"/>
    </row>
    <row r="47780" spans="1:100">
      <c r="A47780" s="374"/>
      <c r="C47780" s="374"/>
      <c r="CV47780" s="376"/>
    </row>
    <row r="47781" spans="1:100">
      <c r="A47781" s="374"/>
      <c r="C47781" s="374"/>
      <c r="CV47781" s="376"/>
    </row>
    <row r="47782" spans="1:100">
      <c r="A47782" s="374"/>
      <c r="C47782" s="374"/>
      <c r="CV47782" s="376"/>
    </row>
    <row r="47783" spans="1:100">
      <c r="A47783" s="374"/>
      <c r="C47783" s="374"/>
      <c r="CV47783" s="376"/>
    </row>
    <row r="47784" spans="1:100">
      <c r="A47784" s="374"/>
      <c r="C47784" s="374"/>
      <c r="CV47784" s="376"/>
    </row>
    <row r="47785" spans="1:100">
      <c r="A47785" s="374"/>
      <c r="C47785" s="374"/>
      <c r="CV47785" s="376"/>
    </row>
    <row r="47786" spans="1:100">
      <c r="A47786" s="374"/>
      <c r="C47786" s="374"/>
      <c r="CV47786" s="376"/>
    </row>
    <row r="47787" spans="1:100">
      <c r="A47787" s="374"/>
      <c r="C47787" s="374"/>
      <c r="CV47787" s="376"/>
    </row>
    <row r="47788" spans="1:100">
      <c r="A47788" s="374"/>
      <c r="C47788" s="374"/>
      <c r="CV47788" s="376"/>
    </row>
    <row r="47789" spans="1:100">
      <c r="A47789" s="374"/>
      <c r="C47789" s="374"/>
      <c r="CV47789" s="376"/>
    </row>
    <row r="47790" spans="1:100">
      <c r="A47790" s="374"/>
      <c r="C47790" s="374"/>
      <c r="CV47790" s="376"/>
    </row>
    <row r="47791" spans="1:100">
      <c r="A47791" s="374"/>
      <c r="C47791" s="374"/>
      <c r="CV47791" s="376"/>
    </row>
    <row r="47792" spans="1:100">
      <c r="A47792" s="374"/>
      <c r="C47792" s="374"/>
      <c r="CV47792" s="376"/>
    </row>
    <row r="47793" spans="1:100">
      <c r="A47793" s="374"/>
      <c r="C47793" s="374"/>
      <c r="CV47793" s="376"/>
    </row>
    <row r="47794" spans="1:100">
      <c r="A47794" s="374"/>
      <c r="C47794" s="374"/>
      <c r="CV47794" s="376"/>
    </row>
    <row r="47795" spans="1:100">
      <c r="A47795" s="374"/>
      <c r="C47795" s="374"/>
      <c r="CV47795" s="376"/>
    </row>
    <row r="47796" spans="1:100">
      <c r="A47796" s="374"/>
      <c r="C47796" s="374"/>
      <c r="CV47796" s="376"/>
    </row>
    <row r="47797" spans="1:100">
      <c r="A47797" s="374"/>
      <c r="C47797" s="374"/>
      <c r="CV47797" s="376"/>
    </row>
    <row r="47798" spans="1:100">
      <c r="A47798" s="374"/>
      <c r="C47798" s="374"/>
      <c r="CV47798" s="376"/>
    </row>
    <row r="47799" spans="1:100">
      <c r="A47799" s="374"/>
      <c r="C47799" s="374"/>
      <c r="CV47799" s="376"/>
    </row>
    <row r="47800" spans="1:100">
      <c r="A47800" s="374"/>
      <c r="C47800" s="374"/>
      <c r="CV47800" s="376"/>
    </row>
    <row r="47801" spans="1:100">
      <c r="A47801" s="374"/>
      <c r="C47801" s="374"/>
      <c r="CV47801" s="376"/>
    </row>
    <row r="47802" spans="1:100">
      <c r="A47802" s="374"/>
      <c r="C47802" s="374"/>
      <c r="CV47802" s="376"/>
    </row>
    <row r="47803" spans="1:100">
      <c r="A47803" s="374"/>
      <c r="C47803" s="374"/>
      <c r="CV47803" s="376"/>
    </row>
    <row r="47804" spans="1:100">
      <c r="A47804" s="374"/>
      <c r="C47804" s="374"/>
      <c r="CV47804" s="376"/>
    </row>
    <row r="47805" spans="1:100">
      <c r="A47805" s="374"/>
      <c r="C47805" s="374"/>
      <c r="CV47805" s="376"/>
    </row>
    <row r="47806" spans="1:100">
      <c r="A47806" s="374"/>
      <c r="C47806" s="374"/>
      <c r="CV47806" s="376"/>
    </row>
    <row r="47807" spans="1:100">
      <c r="A47807" s="374"/>
      <c r="C47807" s="374"/>
      <c r="CV47807" s="376"/>
    </row>
    <row r="47808" spans="1:100">
      <c r="A47808" s="374"/>
      <c r="C47808" s="374"/>
      <c r="CV47808" s="376"/>
    </row>
    <row r="47809" spans="1:100">
      <c r="A47809" s="374"/>
      <c r="C47809" s="374"/>
      <c r="CV47809" s="376"/>
    </row>
    <row r="47810" spans="1:100">
      <c r="A47810" s="374"/>
      <c r="C47810" s="374"/>
      <c r="CV47810" s="376"/>
    </row>
    <row r="47811" spans="1:100">
      <c r="A47811" s="374"/>
      <c r="C47811" s="374"/>
      <c r="CV47811" s="376"/>
    </row>
    <row r="47812" spans="1:100">
      <c r="A47812" s="374"/>
      <c r="C47812" s="374"/>
      <c r="CV47812" s="376"/>
    </row>
    <row r="47813" spans="1:100">
      <c r="A47813" s="374"/>
      <c r="C47813" s="374"/>
      <c r="CV47813" s="376"/>
    </row>
    <row r="47814" spans="1:100">
      <c r="A47814" s="374"/>
      <c r="C47814" s="374"/>
      <c r="CV47814" s="376"/>
    </row>
    <row r="47815" spans="1:100">
      <c r="A47815" s="374"/>
      <c r="C47815" s="374"/>
      <c r="CV47815" s="376"/>
    </row>
    <row r="47816" spans="1:100">
      <c r="A47816" s="374"/>
      <c r="C47816" s="374"/>
      <c r="CV47816" s="376"/>
    </row>
    <row r="47817" spans="1:100">
      <c r="A47817" s="374"/>
      <c r="C47817" s="374"/>
      <c r="CV47817" s="376"/>
    </row>
    <row r="47818" spans="1:100">
      <c r="A47818" s="374"/>
      <c r="C47818" s="374"/>
      <c r="CV47818" s="376"/>
    </row>
    <row r="47819" spans="1:100">
      <c r="A47819" s="374"/>
      <c r="C47819" s="374"/>
      <c r="CV47819" s="376"/>
    </row>
    <row r="47820" spans="1:100">
      <c r="A47820" s="374"/>
      <c r="C47820" s="374"/>
      <c r="CV47820" s="376"/>
    </row>
    <row r="47821" spans="1:100">
      <c r="A47821" s="374"/>
      <c r="C47821" s="374"/>
      <c r="CV47821" s="376"/>
    </row>
    <row r="47822" spans="1:100">
      <c r="A47822" s="374"/>
      <c r="C47822" s="374"/>
      <c r="CV47822" s="376"/>
    </row>
    <row r="47823" spans="1:100">
      <c r="A47823" s="374"/>
      <c r="C47823" s="374"/>
      <c r="CV47823" s="376"/>
    </row>
    <row r="47824" spans="1:100">
      <c r="A47824" s="374"/>
      <c r="C47824" s="374"/>
      <c r="CV47824" s="376"/>
    </row>
    <row r="47825" spans="1:100">
      <c r="A47825" s="374"/>
      <c r="C47825" s="374"/>
      <c r="CV47825" s="376"/>
    </row>
    <row r="47826" spans="1:100">
      <c r="A47826" s="374"/>
      <c r="C47826" s="374"/>
      <c r="CV47826" s="376"/>
    </row>
    <row r="47827" spans="1:100">
      <c r="A47827" s="374"/>
      <c r="C47827" s="374"/>
      <c r="CV47827" s="376"/>
    </row>
    <row r="47828" spans="1:100">
      <c r="A47828" s="374"/>
      <c r="C47828" s="374"/>
      <c r="CV47828" s="376"/>
    </row>
    <row r="47829" spans="1:100">
      <c r="A47829" s="374"/>
      <c r="C47829" s="374"/>
      <c r="CV47829" s="376"/>
    </row>
    <row r="47830" spans="1:100">
      <c r="A47830" s="374"/>
      <c r="C47830" s="374"/>
      <c r="CV47830" s="376"/>
    </row>
    <row r="47831" spans="1:100">
      <c r="A47831" s="374"/>
      <c r="C47831" s="374"/>
      <c r="CV47831" s="376"/>
    </row>
    <row r="47832" spans="1:100">
      <c r="A47832" s="374"/>
      <c r="C47832" s="374"/>
      <c r="CV47832" s="376"/>
    </row>
    <row r="47833" spans="1:100">
      <c r="A47833" s="374"/>
      <c r="C47833" s="374"/>
      <c r="CV47833" s="376"/>
    </row>
    <row r="47834" spans="1:100">
      <c r="A47834" s="374"/>
      <c r="C47834" s="374"/>
      <c r="CV47834" s="376"/>
    </row>
    <row r="47835" spans="1:100">
      <c r="A47835" s="374"/>
      <c r="C47835" s="374"/>
      <c r="CV47835" s="376"/>
    </row>
    <row r="47836" spans="1:100">
      <c r="A47836" s="374"/>
      <c r="C47836" s="374"/>
      <c r="CV47836" s="376"/>
    </row>
    <row r="47837" spans="1:100">
      <c r="A47837" s="374"/>
      <c r="C47837" s="374"/>
      <c r="CV47837" s="376"/>
    </row>
    <row r="47838" spans="1:100">
      <c r="A47838" s="374"/>
      <c r="C47838" s="374"/>
      <c r="CV47838" s="376"/>
    </row>
    <row r="47839" spans="1:100">
      <c r="A47839" s="374"/>
      <c r="C47839" s="374"/>
      <c r="CV47839" s="376"/>
    </row>
    <row r="47840" spans="1:100">
      <c r="A47840" s="374"/>
      <c r="C47840" s="374"/>
      <c r="CV47840" s="376"/>
    </row>
    <row r="47841" spans="1:100">
      <c r="A47841" s="374"/>
      <c r="C47841" s="374"/>
      <c r="CV47841" s="376"/>
    </row>
    <row r="47842" spans="1:100">
      <c r="A47842" s="374"/>
      <c r="C47842" s="374"/>
      <c r="CV47842" s="376"/>
    </row>
    <row r="47843" spans="1:100">
      <c r="A47843" s="374"/>
      <c r="C47843" s="374"/>
      <c r="CV47843" s="376"/>
    </row>
    <row r="47844" spans="1:100">
      <c r="A47844" s="374"/>
      <c r="C47844" s="374"/>
      <c r="CV47844" s="376"/>
    </row>
    <row r="47845" spans="1:100">
      <c r="A47845" s="374"/>
      <c r="C47845" s="374"/>
      <c r="CV47845" s="376"/>
    </row>
    <row r="47846" spans="1:100">
      <c r="A47846" s="374"/>
      <c r="C47846" s="374"/>
      <c r="CV47846" s="376"/>
    </row>
    <row r="47847" spans="1:100">
      <c r="A47847" s="374"/>
      <c r="C47847" s="374"/>
      <c r="CV47847" s="376"/>
    </row>
    <row r="47848" spans="1:100">
      <c r="A47848" s="374"/>
      <c r="C47848" s="374"/>
      <c r="CV47848" s="376"/>
    </row>
    <row r="47849" spans="1:100">
      <c r="A47849" s="374"/>
      <c r="C47849" s="374"/>
      <c r="CV47849" s="376"/>
    </row>
    <row r="47850" spans="1:100">
      <c r="A47850" s="374"/>
      <c r="C47850" s="374"/>
      <c r="CV47850" s="376"/>
    </row>
    <row r="47851" spans="1:100">
      <c r="A47851" s="374"/>
      <c r="C47851" s="374"/>
      <c r="CV47851" s="376"/>
    </row>
    <row r="47852" spans="1:100">
      <c r="A47852" s="374"/>
      <c r="C47852" s="374"/>
      <c r="CV47852" s="376"/>
    </row>
    <row r="47853" spans="1:100">
      <c r="A47853" s="374"/>
      <c r="C47853" s="374"/>
      <c r="CV47853" s="376"/>
    </row>
    <row r="47854" spans="1:100">
      <c r="A47854" s="374"/>
      <c r="C47854" s="374"/>
      <c r="CV47854" s="376"/>
    </row>
    <row r="47855" spans="1:100">
      <c r="A47855" s="374"/>
      <c r="C47855" s="374"/>
      <c r="CV47855" s="376"/>
    </row>
    <row r="47856" spans="1:100">
      <c r="A47856" s="374"/>
      <c r="C47856" s="374"/>
      <c r="CV47856" s="376"/>
    </row>
    <row r="47857" spans="1:100">
      <c r="A47857" s="374"/>
      <c r="C47857" s="374"/>
      <c r="CV47857" s="376"/>
    </row>
    <row r="47858" spans="1:100">
      <c r="A47858" s="374"/>
      <c r="C47858" s="374"/>
      <c r="CV47858" s="376"/>
    </row>
    <row r="47859" spans="1:100">
      <c r="A47859" s="374"/>
      <c r="C47859" s="374"/>
      <c r="CV47859" s="376"/>
    </row>
    <row r="47860" spans="1:100">
      <c r="A47860" s="374"/>
      <c r="C47860" s="374"/>
      <c r="CV47860" s="376"/>
    </row>
    <row r="47861" spans="1:100">
      <c r="A47861" s="374"/>
      <c r="C47861" s="374"/>
      <c r="CV47861" s="376"/>
    </row>
    <row r="47862" spans="1:100">
      <c r="A47862" s="374"/>
      <c r="C47862" s="374"/>
      <c r="CV47862" s="376"/>
    </row>
    <row r="47863" spans="1:100">
      <c r="A47863" s="374"/>
      <c r="C47863" s="374"/>
      <c r="CV47863" s="376"/>
    </row>
    <row r="47864" spans="1:100">
      <c r="A47864" s="374"/>
      <c r="C47864" s="374"/>
      <c r="CV47864" s="376"/>
    </row>
    <row r="47865" spans="1:100">
      <c r="A47865" s="374"/>
      <c r="C47865" s="374"/>
      <c r="CV47865" s="376"/>
    </row>
    <row r="47866" spans="1:100">
      <c r="A47866" s="374"/>
      <c r="C47866" s="374"/>
      <c r="CV47866" s="376"/>
    </row>
    <row r="47867" spans="1:100">
      <c r="A47867" s="374"/>
      <c r="C47867" s="374"/>
      <c r="CV47867" s="376"/>
    </row>
    <row r="47868" spans="1:100">
      <c r="A47868" s="374"/>
      <c r="C47868" s="374"/>
      <c r="CV47868" s="376"/>
    </row>
    <row r="47869" spans="1:100">
      <c r="A47869" s="374"/>
      <c r="C47869" s="374"/>
      <c r="CV47869" s="376"/>
    </row>
    <row r="47870" spans="1:100">
      <c r="A47870" s="374"/>
      <c r="C47870" s="374"/>
      <c r="CV47870" s="376"/>
    </row>
    <row r="47871" spans="1:100">
      <c r="A47871" s="374"/>
      <c r="C47871" s="374"/>
      <c r="CV47871" s="376"/>
    </row>
    <row r="47872" spans="1:100">
      <c r="A47872" s="374"/>
      <c r="C47872" s="374"/>
      <c r="CV47872" s="376"/>
    </row>
    <row r="47873" spans="1:100">
      <c r="A47873" s="374"/>
      <c r="C47873" s="374"/>
      <c r="CV47873" s="376"/>
    </row>
    <row r="47874" spans="1:100">
      <c r="A47874" s="374"/>
      <c r="C47874" s="374"/>
      <c r="CV47874" s="376"/>
    </row>
    <row r="47875" spans="1:100">
      <c r="A47875" s="374"/>
      <c r="C47875" s="374"/>
      <c r="CV47875" s="376"/>
    </row>
    <row r="47876" spans="1:100">
      <c r="A47876" s="374"/>
      <c r="C47876" s="374"/>
      <c r="CV47876" s="376"/>
    </row>
    <row r="47877" spans="1:100">
      <c r="A47877" s="374"/>
      <c r="C47877" s="374"/>
      <c r="CV47877" s="376"/>
    </row>
    <row r="47878" spans="1:100">
      <c r="A47878" s="374"/>
      <c r="C47878" s="374"/>
      <c r="CV47878" s="376"/>
    </row>
    <row r="47879" spans="1:100">
      <c r="A47879" s="374"/>
      <c r="C47879" s="374"/>
      <c r="CV47879" s="376"/>
    </row>
    <row r="47880" spans="1:100">
      <c r="A47880" s="374"/>
      <c r="C47880" s="374"/>
      <c r="CV47880" s="376"/>
    </row>
    <row r="47881" spans="1:100">
      <c r="A47881" s="374"/>
      <c r="C47881" s="374"/>
      <c r="CV47881" s="376"/>
    </row>
    <row r="47882" spans="1:100">
      <c r="A47882" s="374"/>
      <c r="C47882" s="374"/>
      <c r="CV47882" s="376"/>
    </row>
    <row r="47883" spans="1:100">
      <c r="A47883" s="374"/>
      <c r="C47883" s="374"/>
      <c r="CV47883" s="376"/>
    </row>
    <row r="47884" spans="1:100">
      <c r="A47884" s="374"/>
      <c r="C47884" s="374"/>
      <c r="CV47884" s="376"/>
    </row>
    <row r="47885" spans="1:100">
      <c r="A47885" s="374"/>
      <c r="C47885" s="374"/>
      <c r="CV47885" s="376"/>
    </row>
    <row r="47886" spans="1:100">
      <c r="A47886" s="374"/>
      <c r="C47886" s="374"/>
      <c r="CV47886" s="376"/>
    </row>
    <row r="47887" spans="1:100">
      <c r="A47887" s="374"/>
      <c r="C47887" s="374"/>
      <c r="CV47887" s="376"/>
    </row>
    <row r="47888" spans="1:100">
      <c r="A47888" s="374"/>
      <c r="C47888" s="374"/>
      <c r="CV47888" s="376"/>
    </row>
    <row r="47889" spans="1:100">
      <c r="A47889" s="374"/>
      <c r="C47889" s="374"/>
      <c r="CV47889" s="376"/>
    </row>
    <row r="47890" spans="1:100">
      <c r="A47890" s="374"/>
      <c r="C47890" s="374"/>
      <c r="CV47890" s="376"/>
    </row>
    <row r="47891" spans="1:100">
      <c r="A47891" s="374"/>
      <c r="C47891" s="374"/>
      <c r="CV47891" s="376"/>
    </row>
    <row r="47892" spans="1:100">
      <c r="A47892" s="374"/>
      <c r="C47892" s="374"/>
      <c r="CV47892" s="376"/>
    </row>
    <row r="47893" spans="1:100">
      <c r="A47893" s="374"/>
      <c r="C47893" s="374"/>
      <c r="CV47893" s="376"/>
    </row>
    <row r="47894" spans="1:100">
      <c r="A47894" s="374"/>
      <c r="C47894" s="374"/>
      <c r="CV47894" s="376"/>
    </row>
    <row r="47895" spans="1:100">
      <c r="A47895" s="374"/>
      <c r="C47895" s="374"/>
      <c r="CV47895" s="376"/>
    </row>
    <row r="47896" spans="1:100">
      <c r="A47896" s="374"/>
      <c r="C47896" s="374"/>
      <c r="CV47896" s="376"/>
    </row>
    <row r="47897" spans="1:100">
      <c r="A47897" s="374"/>
      <c r="C47897" s="374"/>
      <c r="CV47897" s="376"/>
    </row>
    <row r="47898" spans="1:100">
      <c r="A47898" s="374"/>
      <c r="C47898" s="374"/>
      <c r="CV47898" s="376"/>
    </row>
    <row r="47899" spans="1:100">
      <c r="A47899" s="374"/>
      <c r="C47899" s="374"/>
      <c r="CV47899" s="376"/>
    </row>
    <row r="47900" spans="1:100">
      <c r="A47900" s="374"/>
      <c r="C47900" s="374"/>
      <c r="CV47900" s="376"/>
    </row>
    <row r="47901" spans="1:100">
      <c r="A47901" s="374"/>
      <c r="C47901" s="374"/>
      <c r="CV47901" s="376"/>
    </row>
    <row r="47902" spans="1:100">
      <c r="A47902" s="374"/>
      <c r="C47902" s="374"/>
      <c r="CV47902" s="376"/>
    </row>
    <row r="47903" spans="1:100">
      <c r="A47903" s="374"/>
      <c r="C47903" s="374"/>
      <c r="CV47903" s="376"/>
    </row>
    <row r="47904" spans="1:100">
      <c r="A47904" s="374"/>
      <c r="C47904" s="374"/>
      <c r="CV47904" s="376"/>
    </row>
    <row r="47905" spans="1:100">
      <c r="A47905" s="374"/>
      <c r="C47905" s="374"/>
      <c r="CV47905" s="376"/>
    </row>
    <row r="47906" spans="1:100">
      <c r="A47906" s="374"/>
      <c r="C47906" s="374"/>
      <c r="CV47906" s="376"/>
    </row>
    <row r="47907" spans="1:100">
      <c r="A47907" s="374"/>
      <c r="C47907" s="374"/>
      <c r="CV47907" s="376"/>
    </row>
    <row r="47908" spans="1:100">
      <c r="A47908" s="374"/>
      <c r="C47908" s="374"/>
      <c r="CV47908" s="376"/>
    </row>
    <row r="47909" spans="1:100">
      <c r="A47909" s="374"/>
      <c r="C47909" s="374"/>
      <c r="CV47909" s="376"/>
    </row>
    <row r="47910" spans="1:100">
      <c r="A47910" s="374"/>
      <c r="C47910" s="374"/>
      <c r="CV47910" s="376"/>
    </row>
    <row r="47911" spans="1:100">
      <c r="A47911" s="374"/>
      <c r="C47911" s="374"/>
      <c r="CV47911" s="376"/>
    </row>
    <row r="47912" spans="1:100">
      <c r="A47912" s="374"/>
      <c r="C47912" s="374"/>
      <c r="CV47912" s="376"/>
    </row>
    <row r="47913" spans="1:100">
      <c r="A47913" s="374"/>
      <c r="C47913" s="374"/>
      <c r="CV47913" s="376"/>
    </row>
    <row r="47914" spans="1:100">
      <c r="A47914" s="374"/>
      <c r="C47914" s="374"/>
      <c r="CV47914" s="376"/>
    </row>
    <row r="47915" spans="1:100">
      <c r="A47915" s="374"/>
      <c r="C47915" s="374"/>
      <c r="CV47915" s="376"/>
    </row>
    <row r="47916" spans="1:100">
      <c r="A47916" s="374"/>
      <c r="C47916" s="374"/>
      <c r="CV47916" s="376"/>
    </row>
    <row r="47917" spans="1:100">
      <c r="A47917" s="374"/>
      <c r="C47917" s="374"/>
      <c r="CV47917" s="376"/>
    </row>
    <row r="47918" spans="1:100">
      <c r="A47918" s="374"/>
      <c r="C47918" s="374"/>
      <c r="CV47918" s="376"/>
    </row>
    <row r="47919" spans="1:100">
      <c r="A47919" s="374"/>
      <c r="C47919" s="374"/>
      <c r="CV47919" s="376"/>
    </row>
    <row r="47920" spans="1:100">
      <c r="A47920" s="374"/>
      <c r="C47920" s="374"/>
      <c r="CV47920" s="376"/>
    </row>
    <row r="47921" spans="1:100">
      <c r="A47921" s="374"/>
      <c r="C47921" s="374"/>
      <c r="CV47921" s="376"/>
    </row>
    <row r="47922" spans="1:100">
      <c r="A47922" s="374"/>
      <c r="C47922" s="374"/>
      <c r="CV47922" s="376"/>
    </row>
    <row r="47923" spans="1:100">
      <c r="A47923" s="374"/>
      <c r="C47923" s="374"/>
      <c r="CV47923" s="376"/>
    </row>
    <row r="47924" spans="1:100">
      <c r="A47924" s="374"/>
      <c r="C47924" s="374"/>
      <c r="CV47924" s="376"/>
    </row>
    <row r="47925" spans="1:100">
      <c r="A47925" s="374"/>
      <c r="C47925" s="374"/>
      <c r="CV47925" s="376"/>
    </row>
    <row r="47926" spans="1:100">
      <c r="A47926" s="374"/>
      <c r="C47926" s="374"/>
      <c r="CV47926" s="376"/>
    </row>
    <row r="47927" spans="1:100">
      <c r="A47927" s="374"/>
      <c r="C47927" s="374"/>
      <c r="CV47927" s="376"/>
    </row>
    <row r="47928" spans="1:100">
      <c r="A47928" s="374"/>
      <c r="C47928" s="374"/>
      <c r="CV47928" s="376"/>
    </row>
    <row r="47929" spans="1:100">
      <c r="A47929" s="374"/>
      <c r="C47929" s="374"/>
      <c r="CV47929" s="376"/>
    </row>
    <row r="47930" spans="1:100">
      <c r="A47930" s="374"/>
      <c r="C47930" s="374"/>
      <c r="CV47930" s="376"/>
    </row>
    <row r="47931" spans="1:100">
      <c r="A47931" s="374"/>
      <c r="C47931" s="374"/>
      <c r="CV47931" s="376"/>
    </row>
    <row r="47932" spans="1:100">
      <c r="A47932" s="374"/>
      <c r="C47932" s="374"/>
      <c r="CV47932" s="376"/>
    </row>
    <row r="47933" spans="1:100">
      <c r="A47933" s="374"/>
      <c r="C47933" s="374"/>
      <c r="CV47933" s="376"/>
    </row>
    <row r="47934" spans="1:100">
      <c r="A47934" s="374"/>
      <c r="C47934" s="374"/>
      <c r="CV47934" s="376"/>
    </row>
    <row r="47935" spans="1:100">
      <c r="A47935" s="374"/>
      <c r="C47935" s="374"/>
      <c r="CV47935" s="376"/>
    </row>
    <row r="47936" spans="1:100">
      <c r="A47936" s="374"/>
      <c r="C47936" s="374"/>
      <c r="CV47936" s="376"/>
    </row>
    <row r="47937" spans="1:100">
      <c r="A47937" s="374"/>
      <c r="C47937" s="374"/>
      <c r="CV47937" s="376"/>
    </row>
    <row r="47938" spans="1:100">
      <c r="A47938" s="374"/>
      <c r="C47938" s="374"/>
      <c r="CV47938" s="376"/>
    </row>
    <row r="47939" spans="1:100">
      <c r="A47939" s="374"/>
      <c r="C47939" s="374"/>
      <c r="CV47939" s="376"/>
    </row>
    <row r="47940" spans="1:100">
      <c r="A47940" s="374"/>
      <c r="C47940" s="374"/>
      <c r="CV47940" s="376"/>
    </row>
    <row r="47941" spans="1:100">
      <c r="A47941" s="374"/>
      <c r="C47941" s="374"/>
      <c r="CV47941" s="376"/>
    </row>
    <row r="47942" spans="1:100">
      <c r="A47942" s="374"/>
      <c r="C47942" s="374"/>
      <c r="CV47942" s="376"/>
    </row>
    <row r="47943" spans="1:100">
      <c r="A47943" s="374"/>
      <c r="C47943" s="374"/>
      <c r="CV47943" s="376"/>
    </row>
    <row r="47944" spans="1:100">
      <c r="A47944" s="374"/>
      <c r="C47944" s="374"/>
      <c r="CV47944" s="376"/>
    </row>
    <row r="47945" spans="1:100">
      <c r="A47945" s="374"/>
      <c r="C47945" s="374"/>
      <c r="CV47945" s="376"/>
    </row>
    <row r="47946" spans="1:100">
      <c r="A47946" s="374"/>
      <c r="C47946" s="374"/>
      <c r="CV47946" s="376"/>
    </row>
    <row r="47947" spans="1:100">
      <c r="A47947" s="374"/>
      <c r="C47947" s="374"/>
      <c r="CV47947" s="376"/>
    </row>
    <row r="47948" spans="1:100">
      <c r="A47948" s="374"/>
      <c r="C47948" s="374"/>
      <c r="CV47948" s="376"/>
    </row>
    <row r="47949" spans="1:100">
      <c r="A47949" s="374"/>
      <c r="C47949" s="374"/>
      <c r="CV47949" s="376"/>
    </row>
    <row r="47950" spans="1:100">
      <c r="A47950" s="374"/>
      <c r="C47950" s="374"/>
      <c r="CV47950" s="376"/>
    </row>
    <row r="47951" spans="1:100">
      <c r="A47951" s="374"/>
      <c r="C47951" s="374"/>
      <c r="CV47951" s="376"/>
    </row>
    <row r="47952" spans="1:100">
      <c r="A47952" s="374"/>
      <c r="C47952" s="374"/>
      <c r="CV47952" s="376"/>
    </row>
    <row r="47953" spans="1:100">
      <c r="A47953" s="374"/>
      <c r="C47953" s="374"/>
      <c r="CV47953" s="376"/>
    </row>
    <row r="47954" spans="1:100">
      <c r="A47954" s="374"/>
      <c r="C47954" s="374"/>
      <c r="CV47954" s="376"/>
    </row>
    <row r="47955" spans="1:100">
      <c r="A47955" s="374"/>
      <c r="C47955" s="374"/>
      <c r="CV47955" s="376"/>
    </row>
    <row r="47956" spans="1:100">
      <c r="A47956" s="374"/>
      <c r="C47956" s="374"/>
      <c r="CV47956" s="376"/>
    </row>
    <row r="47957" spans="1:100">
      <c r="A47957" s="374"/>
      <c r="C47957" s="374"/>
      <c r="CV47957" s="376"/>
    </row>
    <row r="47958" spans="1:100">
      <c r="A47958" s="374"/>
      <c r="C47958" s="374"/>
      <c r="CV47958" s="376"/>
    </row>
    <row r="47959" spans="1:100">
      <c r="A47959" s="374"/>
      <c r="C47959" s="374"/>
      <c r="CV47959" s="376"/>
    </row>
    <row r="47960" spans="1:100">
      <c r="A47960" s="374"/>
      <c r="C47960" s="374"/>
      <c r="CV47960" s="376"/>
    </row>
    <row r="47961" spans="1:100">
      <c r="A47961" s="374"/>
      <c r="C47961" s="374"/>
      <c r="CV47961" s="376"/>
    </row>
    <row r="47962" spans="1:100">
      <c r="A47962" s="374"/>
      <c r="C47962" s="374"/>
      <c r="CV47962" s="376"/>
    </row>
    <row r="47963" spans="1:100">
      <c r="A47963" s="374"/>
      <c r="C47963" s="374"/>
      <c r="CV47963" s="376"/>
    </row>
    <row r="47964" spans="1:100">
      <c r="A47964" s="374"/>
      <c r="C47964" s="374"/>
      <c r="CV47964" s="376"/>
    </row>
    <row r="47965" spans="1:100">
      <c r="A47965" s="374"/>
      <c r="C47965" s="374"/>
      <c r="CV47965" s="376"/>
    </row>
    <row r="47966" spans="1:100">
      <c r="A47966" s="374"/>
      <c r="C47966" s="374"/>
      <c r="CV47966" s="376"/>
    </row>
    <row r="47967" spans="1:100">
      <c r="A47967" s="374"/>
      <c r="C47967" s="374"/>
      <c r="CV47967" s="376"/>
    </row>
    <row r="47968" spans="1:100">
      <c r="A47968" s="374"/>
      <c r="C47968" s="374"/>
      <c r="CV47968" s="376"/>
    </row>
    <row r="47969" spans="1:100">
      <c r="A47969" s="374"/>
      <c r="C47969" s="374"/>
      <c r="CV47969" s="376"/>
    </row>
    <row r="47970" spans="1:100">
      <c r="A47970" s="374"/>
      <c r="C47970" s="374"/>
      <c r="CV47970" s="376"/>
    </row>
    <row r="47971" spans="1:100">
      <c r="A47971" s="374"/>
      <c r="C47971" s="374"/>
      <c r="CV47971" s="376"/>
    </row>
    <row r="47972" spans="1:100">
      <c r="A47972" s="374"/>
      <c r="C47972" s="374"/>
      <c r="CV47972" s="376"/>
    </row>
    <row r="47973" spans="1:100">
      <c r="A47973" s="374"/>
      <c r="C47973" s="374"/>
      <c r="CV47973" s="376"/>
    </row>
    <row r="47974" spans="1:100">
      <c r="A47974" s="374"/>
      <c r="C47974" s="374"/>
      <c r="CV47974" s="376"/>
    </row>
    <row r="47975" spans="1:100">
      <c r="A47975" s="374"/>
      <c r="C47975" s="374"/>
      <c r="CV47975" s="376"/>
    </row>
    <row r="47976" spans="1:100">
      <c r="A47976" s="374"/>
      <c r="C47976" s="374"/>
      <c r="CV47976" s="376"/>
    </row>
    <row r="47977" spans="1:100">
      <c r="A47977" s="374"/>
      <c r="C47977" s="374"/>
      <c r="CV47977" s="376"/>
    </row>
    <row r="47978" spans="1:100">
      <c r="A47978" s="374"/>
      <c r="C47978" s="374"/>
      <c r="CV47978" s="376"/>
    </row>
    <row r="47979" spans="1:100">
      <c r="A47979" s="374"/>
      <c r="C47979" s="374"/>
      <c r="CV47979" s="376"/>
    </row>
    <row r="47980" spans="1:100">
      <c r="A47980" s="374"/>
      <c r="C47980" s="374"/>
      <c r="CV47980" s="376"/>
    </row>
    <row r="47981" spans="1:100">
      <c r="A47981" s="374"/>
      <c r="C47981" s="374"/>
      <c r="CV47981" s="376"/>
    </row>
    <row r="47982" spans="1:100">
      <c r="A47982" s="374"/>
      <c r="C47982" s="374"/>
      <c r="CV47982" s="376"/>
    </row>
    <row r="47983" spans="1:100">
      <c r="A47983" s="374"/>
      <c r="C47983" s="374"/>
      <c r="CV47983" s="376"/>
    </row>
    <row r="47984" spans="1:100">
      <c r="A47984" s="374"/>
      <c r="C47984" s="374"/>
      <c r="CV47984" s="376"/>
    </row>
    <row r="47985" spans="1:100">
      <c r="A47985" s="374"/>
      <c r="C47985" s="374"/>
      <c r="CV47985" s="376"/>
    </row>
    <row r="47986" spans="1:100">
      <c r="A47986" s="374"/>
      <c r="C47986" s="374"/>
      <c r="CV47986" s="376"/>
    </row>
    <row r="47987" spans="1:100">
      <c r="A47987" s="374"/>
      <c r="C47987" s="374"/>
      <c r="CV47987" s="376"/>
    </row>
    <row r="47988" spans="1:100">
      <c r="A47988" s="374"/>
      <c r="C47988" s="374"/>
      <c r="CV47988" s="376"/>
    </row>
    <row r="47989" spans="1:100">
      <c r="A47989" s="374"/>
      <c r="C47989" s="374"/>
      <c r="CV47989" s="376"/>
    </row>
    <row r="47990" spans="1:100">
      <c r="A47990" s="374"/>
      <c r="C47990" s="374"/>
      <c r="CV47990" s="376"/>
    </row>
    <row r="47991" spans="1:100">
      <c r="A47991" s="374"/>
      <c r="C47991" s="374"/>
      <c r="CV47991" s="376"/>
    </row>
    <row r="47992" spans="1:100">
      <c r="A47992" s="374"/>
      <c r="C47992" s="374"/>
      <c r="CV47992" s="376"/>
    </row>
    <row r="47993" spans="1:100">
      <c r="A47993" s="374"/>
      <c r="C47993" s="374"/>
      <c r="CV47993" s="376"/>
    </row>
    <row r="47994" spans="1:100">
      <c r="A47994" s="374"/>
      <c r="C47994" s="374"/>
      <c r="CV47994" s="376"/>
    </row>
    <row r="47995" spans="1:100">
      <c r="A47995" s="374"/>
      <c r="C47995" s="374"/>
      <c r="CV47995" s="376"/>
    </row>
    <row r="47996" spans="1:100">
      <c r="A47996" s="374"/>
      <c r="C47996" s="374"/>
      <c r="CV47996" s="376"/>
    </row>
    <row r="47997" spans="1:100">
      <c r="A47997" s="374"/>
      <c r="C47997" s="374"/>
      <c r="CV47997" s="376"/>
    </row>
    <row r="47998" spans="1:100">
      <c r="A47998" s="374"/>
      <c r="C47998" s="374"/>
      <c r="CV47998" s="376"/>
    </row>
    <row r="47999" spans="1:100">
      <c r="A47999" s="374"/>
      <c r="C47999" s="374"/>
      <c r="CV47999" s="376"/>
    </row>
    <row r="48000" spans="1:100">
      <c r="A48000" s="374"/>
      <c r="C48000" s="374"/>
      <c r="CV48000" s="376"/>
    </row>
    <row r="48001" spans="1:100">
      <c r="A48001" s="374"/>
      <c r="C48001" s="374"/>
      <c r="CV48001" s="376"/>
    </row>
    <row r="48002" spans="1:100">
      <c r="A48002" s="374"/>
      <c r="C48002" s="374"/>
      <c r="CV48002" s="376"/>
    </row>
    <row r="48003" spans="1:100">
      <c r="A48003" s="374"/>
      <c r="C48003" s="374"/>
      <c r="CV48003" s="376"/>
    </row>
    <row r="48004" spans="1:100">
      <c r="A48004" s="374"/>
      <c r="C48004" s="374"/>
      <c r="CV48004" s="376"/>
    </row>
    <row r="48005" spans="1:100">
      <c r="A48005" s="374"/>
      <c r="C48005" s="374"/>
      <c r="CV48005" s="376"/>
    </row>
    <row r="48006" spans="1:100">
      <c r="A48006" s="374"/>
      <c r="C48006" s="374"/>
      <c r="CV48006" s="376"/>
    </row>
    <row r="48007" spans="1:100">
      <c r="A48007" s="374"/>
      <c r="C48007" s="374"/>
      <c r="CV48007" s="376"/>
    </row>
    <row r="48008" spans="1:100">
      <c r="A48008" s="374"/>
      <c r="C48008" s="374"/>
      <c r="CV48008" s="376"/>
    </row>
    <row r="48009" spans="1:100">
      <c r="A48009" s="374"/>
      <c r="C48009" s="374"/>
      <c r="CV48009" s="376"/>
    </row>
    <row r="48010" spans="1:100">
      <c r="A48010" s="374"/>
      <c r="C48010" s="374"/>
      <c r="CV48010" s="376"/>
    </row>
    <row r="48011" spans="1:100">
      <c r="A48011" s="374"/>
      <c r="C48011" s="374"/>
      <c r="CV48011" s="376"/>
    </row>
    <row r="48012" spans="1:100">
      <c r="A48012" s="374"/>
      <c r="C48012" s="374"/>
      <c r="CV48012" s="376"/>
    </row>
    <row r="48013" spans="1:100">
      <c r="A48013" s="374"/>
      <c r="C48013" s="374"/>
      <c r="CV48013" s="376"/>
    </row>
    <row r="48014" spans="1:100">
      <c r="A48014" s="374"/>
      <c r="C48014" s="374"/>
      <c r="CV48014" s="376"/>
    </row>
    <row r="48015" spans="1:100">
      <c r="A48015" s="374"/>
      <c r="C48015" s="374"/>
      <c r="CV48015" s="376"/>
    </row>
    <row r="48016" spans="1:100">
      <c r="A48016" s="374"/>
      <c r="C48016" s="374"/>
      <c r="CV48016" s="376"/>
    </row>
    <row r="48017" spans="1:100">
      <c r="A48017" s="374"/>
      <c r="C48017" s="374"/>
      <c r="CV48017" s="376"/>
    </row>
    <row r="48018" spans="1:100">
      <c r="A48018" s="374"/>
      <c r="C48018" s="374"/>
      <c r="CV48018" s="376"/>
    </row>
    <row r="48019" spans="1:100">
      <c r="A48019" s="374"/>
      <c r="C48019" s="374"/>
      <c r="CV48019" s="376"/>
    </row>
    <row r="48020" spans="1:100">
      <c r="A48020" s="374"/>
      <c r="C48020" s="374"/>
      <c r="CV48020" s="376"/>
    </row>
    <row r="48021" spans="1:100">
      <c r="A48021" s="374"/>
      <c r="C48021" s="374"/>
      <c r="CV48021" s="376"/>
    </row>
    <row r="48022" spans="1:100">
      <c r="A48022" s="374"/>
      <c r="C48022" s="374"/>
      <c r="CV48022" s="376"/>
    </row>
    <row r="48023" spans="1:100">
      <c r="A48023" s="374"/>
      <c r="C48023" s="374"/>
      <c r="CV48023" s="376"/>
    </row>
    <row r="48024" spans="1:100">
      <c r="A48024" s="374"/>
      <c r="C48024" s="374"/>
      <c r="CV48024" s="376"/>
    </row>
    <row r="48025" spans="1:100">
      <c r="A48025" s="374"/>
      <c r="C48025" s="374"/>
      <c r="CV48025" s="376"/>
    </row>
    <row r="48026" spans="1:100">
      <c r="A48026" s="374"/>
      <c r="C48026" s="374"/>
      <c r="CV48026" s="376"/>
    </row>
    <row r="48027" spans="1:100">
      <c r="A48027" s="374"/>
      <c r="C48027" s="374"/>
      <c r="CV48027" s="376"/>
    </row>
    <row r="48028" spans="1:100">
      <c r="A48028" s="374"/>
      <c r="C48028" s="374"/>
      <c r="CV48028" s="376"/>
    </row>
    <row r="48029" spans="1:100">
      <c r="A48029" s="374"/>
      <c r="C48029" s="374"/>
      <c r="CV48029" s="376"/>
    </row>
    <row r="48030" spans="1:100">
      <c r="A48030" s="374"/>
      <c r="C48030" s="374"/>
      <c r="CV48030" s="376"/>
    </row>
    <row r="48031" spans="1:100">
      <c r="A48031" s="374"/>
      <c r="C48031" s="374"/>
      <c r="CV48031" s="376"/>
    </row>
    <row r="48032" spans="1:100">
      <c r="A48032" s="374"/>
      <c r="C48032" s="374"/>
      <c r="CV48032" s="376"/>
    </row>
    <row r="48033" spans="1:100">
      <c r="A48033" s="374"/>
      <c r="C48033" s="374"/>
      <c r="CV48033" s="376"/>
    </row>
    <row r="48034" spans="1:100">
      <c r="A48034" s="374"/>
      <c r="C48034" s="374"/>
      <c r="CV48034" s="376"/>
    </row>
    <row r="48035" spans="1:100">
      <c r="A48035" s="374"/>
      <c r="C48035" s="374"/>
      <c r="CV48035" s="376"/>
    </row>
    <row r="48036" spans="1:100">
      <c r="A48036" s="374"/>
      <c r="C48036" s="374"/>
      <c r="CV48036" s="376"/>
    </row>
    <row r="48037" spans="1:100">
      <c r="A48037" s="374"/>
      <c r="C48037" s="374"/>
      <c r="CV48037" s="376"/>
    </row>
    <row r="48038" spans="1:100">
      <c r="A48038" s="374"/>
      <c r="C48038" s="374"/>
      <c r="CV48038" s="376"/>
    </row>
    <row r="48039" spans="1:100">
      <c r="A48039" s="374"/>
      <c r="C48039" s="374"/>
      <c r="CV48039" s="376"/>
    </row>
    <row r="48040" spans="1:100">
      <c r="A48040" s="374"/>
      <c r="C48040" s="374"/>
      <c r="CV48040" s="376"/>
    </row>
    <row r="48041" spans="1:100">
      <c r="A48041" s="374"/>
      <c r="C48041" s="374"/>
      <c r="CV48041" s="376"/>
    </row>
    <row r="48042" spans="1:100">
      <c r="A48042" s="374"/>
      <c r="C48042" s="374"/>
      <c r="CV48042" s="376"/>
    </row>
    <row r="48043" spans="1:100">
      <c r="A48043" s="374"/>
      <c r="C48043" s="374"/>
      <c r="CV48043" s="376"/>
    </row>
    <row r="48044" spans="1:100">
      <c r="A48044" s="374"/>
      <c r="C48044" s="374"/>
      <c r="CV48044" s="376"/>
    </row>
    <row r="48045" spans="1:100">
      <c r="A48045" s="374"/>
      <c r="C48045" s="374"/>
      <c r="CV48045" s="376"/>
    </row>
    <row r="48046" spans="1:100">
      <c r="A48046" s="374"/>
      <c r="C48046" s="374"/>
      <c r="CV48046" s="376"/>
    </row>
    <row r="48047" spans="1:100">
      <c r="A48047" s="374"/>
      <c r="C48047" s="374"/>
      <c r="CV48047" s="376"/>
    </row>
    <row r="48048" spans="1:100">
      <c r="A48048" s="374"/>
      <c r="C48048" s="374"/>
      <c r="CV48048" s="376"/>
    </row>
    <row r="48049" spans="1:100">
      <c r="A48049" s="374"/>
      <c r="C48049" s="374"/>
      <c r="CV48049" s="376"/>
    </row>
    <row r="48050" spans="1:100">
      <c r="A48050" s="374"/>
      <c r="C48050" s="374"/>
      <c r="CV48050" s="376"/>
    </row>
    <row r="48051" spans="1:100">
      <c r="A48051" s="374"/>
      <c r="C48051" s="374"/>
      <c r="CV48051" s="376"/>
    </row>
    <row r="48052" spans="1:100">
      <c r="A48052" s="374"/>
      <c r="C48052" s="374"/>
      <c r="CV48052" s="376"/>
    </row>
    <row r="48053" spans="1:100">
      <c r="A48053" s="374"/>
      <c r="C48053" s="374"/>
      <c r="CV48053" s="376"/>
    </row>
    <row r="48054" spans="1:100">
      <c r="A48054" s="374"/>
      <c r="C48054" s="374"/>
      <c r="CV48054" s="376"/>
    </row>
    <row r="48055" spans="1:100">
      <c r="A48055" s="374"/>
      <c r="C48055" s="374"/>
      <c r="CV48055" s="376"/>
    </row>
    <row r="48056" spans="1:100">
      <c r="A48056" s="374"/>
      <c r="C48056" s="374"/>
      <c r="CV48056" s="376"/>
    </row>
    <row r="48057" spans="1:100">
      <c r="A48057" s="374"/>
      <c r="C48057" s="374"/>
      <c r="CV48057" s="376"/>
    </row>
    <row r="48058" spans="1:100">
      <c r="A48058" s="374"/>
      <c r="C48058" s="374"/>
      <c r="CV48058" s="376"/>
    </row>
    <row r="48059" spans="1:100">
      <c r="A48059" s="374"/>
      <c r="C48059" s="374"/>
      <c r="CV48059" s="376"/>
    </row>
    <row r="48060" spans="1:100">
      <c r="A48060" s="374"/>
      <c r="C48060" s="374"/>
      <c r="CV48060" s="376"/>
    </row>
    <row r="48061" spans="1:100">
      <c r="A48061" s="374"/>
      <c r="C48061" s="374"/>
      <c r="CV48061" s="376"/>
    </row>
    <row r="48062" spans="1:100">
      <c r="A48062" s="374"/>
      <c r="C48062" s="374"/>
      <c r="CV48062" s="376"/>
    </row>
    <row r="48063" spans="1:100">
      <c r="A48063" s="374"/>
      <c r="C48063" s="374"/>
      <c r="CV48063" s="376"/>
    </row>
    <row r="48064" spans="1:100">
      <c r="A48064" s="374"/>
      <c r="C48064" s="374"/>
      <c r="CV48064" s="376"/>
    </row>
    <row r="48065" spans="1:100">
      <c r="A48065" s="374"/>
      <c r="C48065" s="374"/>
      <c r="CV48065" s="376"/>
    </row>
    <row r="48066" spans="1:100">
      <c r="A48066" s="374"/>
      <c r="C48066" s="374"/>
      <c r="CV48066" s="376"/>
    </row>
    <row r="48067" spans="1:100">
      <c r="A48067" s="374"/>
      <c r="C48067" s="374"/>
      <c r="CV48067" s="376"/>
    </row>
    <row r="48068" spans="1:100">
      <c r="A48068" s="374"/>
      <c r="C48068" s="374"/>
      <c r="CV48068" s="376"/>
    </row>
    <row r="48069" spans="1:100">
      <c r="A48069" s="374"/>
      <c r="C48069" s="374"/>
      <c r="CV48069" s="376"/>
    </row>
    <row r="48070" spans="1:100">
      <c r="A48070" s="374"/>
      <c r="C48070" s="374"/>
      <c r="CV48070" s="376"/>
    </row>
    <row r="48071" spans="1:100">
      <c r="A48071" s="374"/>
      <c r="C48071" s="374"/>
      <c r="CV48071" s="376"/>
    </row>
    <row r="48072" spans="1:100">
      <c r="A48072" s="374"/>
      <c r="C48072" s="374"/>
      <c r="CV48072" s="376"/>
    </row>
    <row r="48073" spans="1:100">
      <c r="A48073" s="374"/>
      <c r="C48073" s="374"/>
      <c r="CV48073" s="376"/>
    </row>
    <row r="48074" spans="1:100">
      <c r="A48074" s="374"/>
      <c r="C48074" s="374"/>
      <c r="CV48074" s="376"/>
    </row>
    <row r="48075" spans="1:100">
      <c r="A48075" s="374"/>
      <c r="C48075" s="374"/>
      <c r="CV48075" s="376"/>
    </row>
    <row r="48076" spans="1:100">
      <c r="A48076" s="374"/>
      <c r="C48076" s="374"/>
      <c r="CV48076" s="376"/>
    </row>
    <row r="48077" spans="1:100">
      <c r="A48077" s="374"/>
      <c r="C48077" s="374"/>
      <c r="CV48077" s="376"/>
    </row>
    <row r="48078" spans="1:100">
      <c r="A48078" s="374"/>
      <c r="C48078" s="374"/>
      <c r="CV48078" s="376"/>
    </row>
    <row r="48079" spans="1:100">
      <c r="A48079" s="374"/>
      <c r="C48079" s="374"/>
      <c r="CV48079" s="376"/>
    </row>
    <row r="48080" spans="1:100">
      <c r="A48080" s="374"/>
      <c r="C48080" s="374"/>
      <c r="CV48080" s="376"/>
    </row>
    <row r="48081" spans="1:100">
      <c r="A48081" s="374"/>
      <c r="C48081" s="374"/>
      <c r="CV48081" s="376"/>
    </row>
    <row r="48082" spans="1:100">
      <c r="A48082" s="374"/>
      <c r="C48082" s="374"/>
      <c r="CV48082" s="376"/>
    </row>
    <row r="48083" spans="1:100">
      <c r="A48083" s="374"/>
      <c r="C48083" s="374"/>
      <c r="CV48083" s="376"/>
    </row>
    <row r="48084" spans="1:100">
      <c r="A48084" s="374"/>
      <c r="C48084" s="374"/>
      <c r="CV48084" s="376"/>
    </row>
    <row r="48085" spans="1:100">
      <c r="A48085" s="374"/>
      <c r="C48085" s="374"/>
      <c r="CV48085" s="376"/>
    </row>
    <row r="48086" spans="1:100">
      <c r="A48086" s="374"/>
      <c r="C48086" s="374"/>
      <c r="CV48086" s="376"/>
    </row>
    <row r="48087" spans="1:100">
      <c r="A48087" s="374"/>
      <c r="C48087" s="374"/>
      <c r="CV48087" s="376"/>
    </row>
    <row r="48088" spans="1:100">
      <c r="A48088" s="374"/>
      <c r="C48088" s="374"/>
      <c r="CV48088" s="376"/>
    </row>
    <row r="48089" spans="1:100">
      <c r="A48089" s="374"/>
      <c r="C48089" s="374"/>
      <c r="CV48089" s="376"/>
    </row>
    <row r="48090" spans="1:100">
      <c r="A48090" s="374"/>
      <c r="C48090" s="374"/>
      <c r="CV48090" s="376"/>
    </row>
    <row r="48091" spans="1:100">
      <c r="A48091" s="374"/>
      <c r="C48091" s="374"/>
      <c r="CV48091" s="376"/>
    </row>
    <row r="48092" spans="1:100">
      <c r="A48092" s="374"/>
      <c r="C48092" s="374"/>
      <c r="CV48092" s="376"/>
    </row>
    <row r="48093" spans="1:100">
      <c r="A48093" s="374"/>
      <c r="C48093" s="374"/>
      <c r="CV48093" s="376"/>
    </row>
    <row r="48094" spans="1:100">
      <c r="A48094" s="374"/>
      <c r="C48094" s="374"/>
      <c r="CV48094" s="376"/>
    </row>
    <row r="48095" spans="1:100">
      <c r="A48095" s="374"/>
      <c r="C48095" s="374"/>
      <c r="CV48095" s="376"/>
    </row>
    <row r="48096" spans="1:100">
      <c r="A48096" s="374"/>
      <c r="C48096" s="374"/>
      <c r="CV48096" s="376"/>
    </row>
    <row r="48097" spans="1:100">
      <c r="A48097" s="374"/>
      <c r="C48097" s="374"/>
      <c r="CV48097" s="376"/>
    </row>
    <row r="48098" spans="1:100">
      <c r="A48098" s="374"/>
      <c r="C48098" s="374"/>
      <c r="CV48098" s="376"/>
    </row>
    <row r="48099" spans="1:100">
      <c r="A48099" s="374"/>
      <c r="C48099" s="374"/>
      <c r="CV48099" s="376"/>
    </row>
    <row r="48100" spans="1:100">
      <c r="A48100" s="374"/>
      <c r="C48100" s="374"/>
      <c r="CV48100" s="376"/>
    </row>
    <row r="48101" spans="1:100">
      <c r="A48101" s="374"/>
      <c r="C48101" s="374"/>
      <c r="CV48101" s="376"/>
    </row>
    <row r="48102" spans="1:100">
      <c r="A48102" s="374"/>
      <c r="C48102" s="374"/>
      <c r="CV48102" s="376"/>
    </row>
    <row r="48103" spans="1:100">
      <c r="A48103" s="374"/>
      <c r="C48103" s="374"/>
      <c r="CV48103" s="376"/>
    </row>
    <row r="48104" spans="1:100">
      <c r="A48104" s="374"/>
      <c r="C48104" s="374"/>
      <c r="CV48104" s="376"/>
    </row>
    <row r="48105" spans="1:100">
      <c r="A48105" s="374"/>
      <c r="C48105" s="374"/>
      <c r="CV48105" s="376"/>
    </row>
    <row r="48106" spans="1:100">
      <c r="A48106" s="374"/>
      <c r="C48106" s="374"/>
      <c r="CV48106" s="376"/>
    </row>
    <row r="48107" spans="1:100">
      <c r="A48107" s="374"/>
      <c r="C48107" s="374"/>
      <c r="CV48107" s="376"/>
    </row>
    <row r="48108" spans="1:100">
      <c r="A48108" s="374"/>
      <c r="C48108" s="374"/>
      <c r="CV48108" s="376"/>
    </row>
    <row r="48109" spans="1:100">
      <c r="A48109" s="374"/>
      <c r="C48109" s="374"/>
      <c r="CV48109" s="376"/>
    </row>
    <row r="48110" spans="1:100">
      <c r="A48110" s="374"/>
      <c r="C48110" s="374"/>
      <c r="CV48110" s="376"/>
    </row>
    <row r="48111" spans="1:100">
      <c r="A48111" s="374"/>
      <c r="C48111" s="374"/>
      <c r="CV48111" s="376"/>
    </row>
    <row r="48112" spans="1:100">
      <c r="A48112" s="374"/>
      <c r="C48112" s="374"/>
      <c r="CV48112" s="376"/>
    </row>
    <row r="48113" spans="1:100">
      <c r="A48113" s="374"/>
      <c r="C48113" s="374"/>
      <c r="CV48113" s="376"/>
    </row>
    <row r="48114" spans="1:100">
      <c r="A48114" s="374"/>
      <c r="C48114" s="374"/>
      <c r="CV48114" s="376"/>
    </row>
    <row r="48115" spans="1:100">
      <c r="A48115" s="374"/>
      <c r="C48115" s="374"/>
      <c r="CV48115" s="376"/>
    </row>
    <row r="48116" spans="1:100">
      <c r="A48116" s="374"/>
      <c r="C48116" s="374"/>
      <c r="CV48116" s="376"/>
    </row>
    <row r="48117" spans="1:100">
      <c r="A48117" s="374"/>
      <c r="C48117" s="374"/>
      <c r="CV48117" s="376"/>
    </row>
    <row r="48118" spans="1:100">
      <c r="A48118" s="374"/>
      <c r="C48118" s="374"/>
      <c r="CV48118" s="376"/>
    </row>
    <row r="48119" spans="1:100">
      <c r="A48119" s="374"/>
      <c r="C48119" s="374"/>
      <c r="CV48119" s="376"/>
    </row>
    <row r="48120" spans="1:100">
      <c r="A48120" s="374"/>
      <c r="C48120" s="374"/>
      <c r="CV48120" s="376"/>
    </row>
    <row r="48121" spans="1:100">
      <c r="A48121" s="374"/>
      <c r="C48121" s="374"/>
      <c r="CV48121" s="376"/>
    </row>
    <row r="48122" spans="1:100">
      <c r="A48122" s="374"/>
      <c r="C48122" s="374"/>
      <c r="CV48122" s="376"/>
    </row>
    <row r="48123" spans="1:100">
      <c r="A48123" s="374"/>
      <c r="C48123" s="374"/>
      <c r="CV48123" s="376"/>
    </row>
    <row r="48124" spans="1:100">
      <c r="A48124" s="374"/>
      <c r="C48124" s="374"/>
      <c r="CV48124" s="376"/>
    </row>
    <row r="48125" spans="1:100">
      <c r="A48125" s="374"/>
      <c r="C48125" s="374"/>
      <c r="CV48125" s="376"/>
    </row>
    <row r="48126" spans="1:100">
      <c r="A48126" s="374"/>
      <c r="C48126" s="374"/>
      <c r="CV48126" s="376"/>
    </row>
    <row r="48127" spans="1:100">
      <c r="A48127" s="374"/>
      <c r="C48127" s="374"/>
      <c r="CV48127" s="376"/>
    </row>
    <row r="48128" spans="1:100">
      <c r="A48128" s="374"/>
      <c r="C48128" s="374"/>
      <c r="CV48128" s="376"/>
    </row>
    <row r="48129" spans="1:100">
      <c r="A48129" s="374"/>
      <c r="C48129" s="374"/>
      <c r="CV48129" s="376"/>
    </row>
    <row r="48130" spans="1:100">
      <c r="A48130" s="374"/>
      <c r="C48130" s="374"/>
      <c r="CV48130" s="376"/>
    </row>
    <row r="48131" spans="1:100">
      <c r="A48131" s="374"/>
      <c r="C48131" s="374"/>
      <c r="CV48131" s="376"/>
    </row>
    <row r="48132" spans="1:100">
      <c r="A48132" s="374"/>
      <c r="C48132" s="374"/>
      <c r="CV48132" s="376"/>
    </row>
    <row r="48133" spans="1:100">
      <c r="A48133" s="374"/>
      <c r="C48133" s="374"/>
      <c r="CV48133" s="376"/>
    </row>
    <row r="48134" spans="1:100">
      <c r="A48134" s="374"/>
      <c r="C48134" s="374"/>
      <c r="CV48134" s="376"/>
    </row>
    <row r="48135" spans="1:100">
      <c r="A48135" s="374"/>
      <c r="C48135" s="374"/>
      <c r="CV48135" s="376"/>
    </row>
    <row r="48136" spans="1:100">
      <c r="A48136" s="374"/>
      <c r="C48136" s="374"/>
      <c r="CV48136" s="376"/>
    </row>
    <row r="48137" spans="1:100">
      <c r="A48137" s="374"/>
      <c r="C48137" s="374"/>
      <c r="CV48137" s="376"/>
    </row>
    <row r="48138" spans="1:100">
      <c r="A48138" s="374"/>
      <c r="C48138" s="374"/>
      <c r="CV48138" s="376"/>
    </row>
    <row r="48139" spans="1:100">
      <c r="A48139" s="374"/>
      <c r="C48139" s="374"/>
      <c r="CV48139" s="376"/>
    </row>
    <row r="48140" spans="1:100">
      <c r="A48140" s="374"/>
      <c r="C48140" s="374"/>
      <c r="CV48140" s="376"/>
    </row>
    <row r="48141" spans="1:100">
      <c r="A48141" s="374"/>
      <c r="C48141" s="374"/>
      <c r="CV48141" s="376"/>
    </row>
    <row r="48142" spans="1:100">
      <c r="A48142" s="374"/>
      <c r="C48142" s="374"/>
      <c r="CV48142" s="376"/>
    </row>
    <row r="48143" spans="1:100">
      <c r="A48143" s="374"/>
      <c r="C48143" s="374"/>
      <c r="CV48143" s="376"/>
    </row>
    <row r="48144" spans="1:100">
      <c r="A48144" s="374"/>
      <c r="C48144" s="374"/>
      <c r="CV48144" s="376"/>
    </row>
    <row r="48145" spans="1:100">
      <c r="A48145" s="374"/>
      <c r="C48145" s="374"/>
      <c r="CV48145" s="376"/>
    </row>
    <row r="48146" spans="1:100">
      <c r="A48146" s="374"/>
      <c r="C48146" s="374"/>
      <c r="CV48146" s="376"/>
    </row>
    <row r="48147" spans="1:100">
      <c r="A48147" s="374"/>
      <c r="C48147" s="374"/>
      <c r="CV48147" s="376"/>
    </row>
    <row r="48148" spans="1:100">
      <c r="A48148" s="374"/>
      <c r="C48148" s="374"/>
      <c r="CV48148" s="376"/>
    </row>
    <row r="48149" spans="1:100">
      <c r="A48149" s="374"/>
      <c r="C48149" s="374"/>
      <c r="CV48149" s="376"/>
    </row>
    <row r="48150" spans="1:100">
      <c r="A48150" s="374"/>
      <c r="C48150" s="374"/>
      <c r="CV48150" s="376"/>
    </row>
    <row r="48151" spans="1:100">
      <c r="A48151" s="374"/>
      <c r="C48151" s="374"/>
      <c r="CV48151" s="376"/>
    </row>
    <row r="48152" spans="1:100">
      <c r="A48152" s="374"/>
      <c r="C48152" s="374"/>
      <c r="CV48152" s="376"/>
    </row>
    <row r="48153" spans="1:100">
      <c r="A48153" s="374"/>
      <c r="C48153" s="374"/>
      <c r="CV48153" s="376"/>
    </row>
    <row r="48154" spans="1:100">
      <c r="A48154" s="374"/>
      <c r="C48154" s="374"/>
      <c r="CV48154" s="376"/>
    </row>
    <row r="48155" spans="1:100">
      <c r="A48155" s="374"/>
      <c r="C48155" s="374"/>
      <c r="CV48155" s="376"/>
    </row>
    <row r="48156" spans="1:100">
      <c r="A48156" s="374"/>
      <c r="C48156" s="374"/>
      <c r="CV48156" s="376"/>
    </row>
    <row r="48157" spans="1:100">
      <c r="A48157" s="374"/>
      <c r="C48157" s="374"/>
      <c r="CV48157" s="376"/>
    </row>
    <row r="48158" spans="1:100">
      <c r="A48158" s="374"/>
      <c r="C48158" s="374"/>
      <c r="CV48158" s="376"/>
    </row>
    <row r="48159" spans="1:100">
      <c r="A48159" s="374"/>
      <c r="C48159" s="374"/>
      <c r="CV48159" s="376"/>
    </row>
    <row r="48160" spans="1:100">
      <c r="A48160" s="374"/>
      <c r="C48160" s="374"/>
      <c r="CV48160" s="376"/>
    </row>
    <row r="48161" spans="1:100">
      <c r="A48161" s="374"/>
      <c r="C48161" s="374"/>
      <c r="CV48161" s="376"/>
    </row>
    <row r="48162" spans="1:100">
      <c r="A48162" s="374"/>
      <c r="C48162" s="374"/>
      <c r="CV48162" s="376"/>
    </row>
    <row r="48163" spans="1:100">
      <c r="A48163" s="374"/>
      <c r="C48163" s="374"/>
      <c r="CV48163" s="376"/>
    </row>
    <row r="48164" spans="1:100">
      <c r="A48164" s="374"/>
      <c r="C48164" s="374"/>
      <c r="CV48164" s="376"/>
    </row>
    <row r="48165" spans="1:100">
      <c r="A48165" s="374"/>
      <c r="C48165" s="374"/>
      <c r="CV48165" s="376"/>
    </row>
    <row r="48166" spans="1:100">
      <c r="A48166" s="374"/>
      <c r="C48166" s="374"/>
      <c r="CV48166" s="376"/>
    </row>
    <row r="48167" spans="1:100">
      <c r="A48167" s="374"/>
      <c r="C48167" s="374"/>
      <c r="CV48167" s="376"/>
    </row>
    <row r="48168" spans="1:100">
      <c r="A48168" s="374"/>
      <c r="C48168" s="374"/>
      <c r="CV48168" s="376"/>
    </row>
    <row r="48169" spans="1:100">
      <c r="A48169" s="374"/>
      <c r="C48169" s="374"/>
      <c r="CV48169" s="376"/>
    </row>
    <row r="48170" spans="1:100">
      <c r="A48170" s="374"/>
      <c r="C48170" s="374"/>
      <c r="CV48170" s="376"/>
    </row>
    <row r="48171" spans="1:100">
      <c r="A48171" s="374"/>
      <c r="C48171" s="374"/>
      <c r="CV48171" s="376"/>
    </row>
    <row r="48172" spans="1:100">
      <c r="A48172" s="374"/>
      <c r="C48172" s="374"/>
      <c r="CV48172" s="376"/>
    </row>
    <row r="48173" spans="1:100">
      <c r="A48173" s="374"/>
      <c r="C48173" s="374"/>
      <c r="CV48173" s="376"/>
    </row>
    <row r="48174" spans="1:100">
      <c r="A48174" s="374"/>
      <c r="C48174" s="374"/>
      <c r="CV48174" s="376"/>
    </row>
    <row r="48175" spans="1:100">
      <c r="A48175" s="374"/>
      <c r="C48175" s="374"/>
      <c r="CV48175" s="376"/>
    </row>
    <row r="48176" spans="1:100">
      <c r="A48176" s="374"/>
      <c r="C48176" s="374"/>
      <c r="CV48176" s="376"/>
    </row>
    <row r="48177" spans="1:100">
      <c r="A48177" s="374"/>
      <c r="C48177" s="374"/>
      <c r="CV48177" s="376"/>
    </row>
    <row r="48178" spans="1:100">
      <c r="A48178" s="374"/>
      <c r="C48178" s="374"/>
      <c r="CV48178" s="376"/>
    </row>
    <row r="48179" spans="1:100">
      <c r="A48179" s="374"/>
      <c r="C48179" s="374"/>
      <c r="CV48179" s="376"/>
    </row>
    <row r="48180" spans="1:100">
      <c r="A48180" s="374"/>
      <c r="C48180" s="374"/>
      <c r="CV48180" s="376"/>
    </row>
    <row r="48181" spans="1:100">
      <c r="A48181" s="374"/>
      <c r="C48181" s="374"/>
      <c r="CV48181" s="376"/>
    </row>
    <row r="48182" spans="1:100">
      <c r="A48182" s="374"/>
      <c r="C48182" s="374"/>
      <c r="CV48182" s="376"/>
    </row>
    <row r="48183" spans="1:100">
      <c r="A48183" s="374"/>
      <c r="C48183" s="374"/>
      <c r="CV48183" s="376"/>
    </row>
    <row r="48184" spans="1:100">
      <c r="A48184" s="374"/>
      <c r="C48184" s="374"/>
      <c r="CV48184" s="376"/>
    </row>
    <row r="48185" spans="1:100">
      <c r="A48185" s="374"/>
      <c r="C48185" s="374"/>
      <c r="CV48185" s="376"/>
    </row>
    <row r="48186" spans="1:100">
      <c r="A48186" s="374"/>
      <c r="C48186" s="374"/>
      <c r="CV48186" s="376"/>
    </row>
    <row r="48187" spans="1:100">
      <c r="A48187" s="374"/>
      <c r="C48187" s="374"/>
      <c r="CV48187" s="376"/>
    </row>
    <row r="48188" spans="1:100">
      <c r="A48188" s="374"/>
      <c r="C48188" s="374"/>
      <c r="CV48188" s="376"/>
    </row>
    <row r="48189" spans="1:100">
      <c r="A48189" s="374"/>
      <c r="C48189" s="374"/>
      <c r="CV48189" s="376"/>
    </row>
    <row r="48190" spans="1:100">
      <c r="A48190" s="374"/>
      <c r="C48190" s="374"/>
      <c r="CV48190" s="376"/>
    </row>
    <row r="48191" spans="1:100">
      <c r="A48191" s="374"/>
      <c r="C48191" s="374"/>
      <c r="CV48191" s="376"/>
    </row>
    <row r="48192" spans="1:100">
      <c r="A48192" s="374"/>
      <c r="C48192" s="374"/>
      <c r="CV48192" s="376"/>
    </row>
    <row r="48193" spans="1:100">
      <c r="A48193" s="374"/>
      <c r="C48193" s="374"/>
      <c r="CV48193" s="376"/>
    </row>
    <row r="48194" spans="1:100">
      <c r="A48194" s="374"/>
      <c r="C48194" s="374"/>
      <c r="CV48194" s="376"/>
    </row>
    <row r="48195" spans="1:100">
      <c r="A48195" s="374"/>
      <c r="C48195" s="374"/>
      <c r="CV48195" s="376"/>
    </row>
    <row r="48196" spans="1:100">
      <c r="A48196" s="374"/>
      <c r="C48196" s="374"/>
      <c r="CV48196" s="376"/>
    </row>
    <row r="48197" spans="1:100">
      <c r="A48197" s="374"/>
      <c r="C48197" s="374"/>
      <c r="CV48197" s="376"/>
    </row>
    <row r="48198" spans="1:100">
      <c r="A48198" s="374"/>
      <c r="C48198" s="374"/>
      <c r="CV48198" s="376"/>
    </row>
    <row r="48199" spans="1:100">
      <c r="A48199" s="374"/>
      <c r="C48199" s="374"/>
      <c r="CV48199" s="376"/>
    </row>
    <row r="48200" spans="1:100">
      <c r="A48200" s="374"/>
      <c r="C48200" s="374"/>
      <c r="CV48200" s="376"/>
    </row>
    <row r="48201" spans="1:100">
      <c r="A48201" s="374"/>
      <c r="C48201" s="374"/>
      <c r="CV48201" s="376"/>
    </row>
    <row r="48202" spans="1:100">
      <c r="A48202" s="374"/>
      <c r="C48202" s="374"/>
      <c r="CV48202" s="376"/>
    </row>
    <row r="48203" spans="1:100">
      <c r="A48203" s="374"/>
      <c r="C48203" s="374"/>
      <c r="CV48203" s="376"/>
    </row>
    <row r="48204" spans="1:100">
      <c r="A48204" s="374"/>
      <c r="C48204" s="374"/>
      <c r="CV48204" s="376"/>
    </row>
    <row r="48205" spans="1:100">
      <c r="A48205" s="374"/>
      <c r="C48205" s="374"/>
      <c r="CV48205" s="376"/>
    </row>
    <row r="48206" spans="1:100">
      <c r="A48206" s="374"/>
      <c r="C48206" s="374"/>
      <c r="CV48206" s="376"/>
    </row>
    <row r="48207" spans="1:100">
      <c r="A48207" s="374"/>
      <c r="C48207" s="374"/>
      <c r="CV48207" s="376"/>
    </row>
    <row r="48208" spans="1:100">
      <c r="A48208" s="374"/>
      <c r="C48208" s="374"/>
      <c r="CV48208" s="376"/>
    </row>
    <row r="48209" spans="1:100">
      <c r="A48209" s="374"/>
      <c r="C48209" s="374"/>
      <c r="CV48209" s="376"/>
    </row>
    <row r="48210" spans="1:100">
      <c r="A48210" s="374"/>
      <c r="C48210" s="374"/>
      <c r="CV48210" s="376"/>
    </row>
    <row r="48211" spans="1:100">
      <c r="A48211" s="374"/>
      <c r="C48211" s="374"/>
      <c r="CV48211" s="376"/>
    </row>
    <row r="48212" spans="1:100">
      <c r="A48212" s="374"/>
      <c r="C48212" s="374"/>
      <c r="CV48212" s="376"/>
    </row>
    <row r="48213" spans="1:100">
      <c r="A48213" s="374"/>
      <c r="C48213" s="374"/>
      <c r="CV48213" s="376"/>
    </row>
    <row r="48214" spans="1:100">
      <c r="A48214" s="374"/>
      <c r="C48214" s="374"/>
      <c r="CV48214" s="376"/>
    </row>
    <row r="48215" spans="1:100">
      <c r="A48215" s="374"/>
      <c r="C48215" s="374"/>
      <c r="CV48215" s="376"/>
    </row>
    <row r="48216" spans="1:100">
      <c r="A48216" s="374"/>
      <c r="C48216" s="374"/>
      <c r="CV48216" s="376"/>
    </row>
    <row r="48217" spans="1:100">
      <c r="A48217" s="374"/>
      <c r="C48217" s="374"/>
      <c r="CV48217" s="376"/>
    </row>
    <row r="48218" spans="1:100">
      <c r="A48218" s="374"/>
      <c r="C48218" s="374"/>
      <c r="CV48218" s="376"/>
    </row>
    <row r="48219" spans="1:100">
      <c r="A48219" s="374"/>
      <c r="C48219" s="374"/>
      <c r="CV48219" s="376"/>
    </row>
    <row r="48220" spans="1:100">
      <c r="A48220" s="374"/>
      <c r="C48220" s="374"/>
      <c r="CV48220" s="376"/>
    </row>
    <row r="48221" spans="1:100">
      <c r="A48221" s="374"/>
      <c r="C48221" s="374"/>
      <c r="CV48221" s="376"/>
    </row>
    <row r="48222" spans="1:100">
      <c r="A48222" s="374"/>
      <c r="C48222" s="374"/>
      <c r="CV48222" s="376"/>
    </row>
    <row r="48223" spans="1:100">
      <c r="A48223" s="374"/>
      <c r="C48223" s="374"/>
      <c r="CV48223" s="376"/>
    </row>
    <row r="48224" spans="1:100">
      <c r="A48224" s="374"/>
      <c r="C48224" s="374"/>
      <c r="CV48224" s="376"/>
    </row>
    <row r="48225" spans="1:100">
      <c r="A48225" s="374"/>
      <c r="C48225" s="374"/>
      <c r="CV48225" s="376"/>
    </row>
    <row r="48226" spans="1:100">
      <c r="A48226" s="374"/>
      <c r="C48226" s="374"/>
      <c r="CV48226" s="376"/>
    </row>
    <row r="48227" spans="1:100">
      <c r="A48227" s="374"/>
      <c r="C48227" s="374"/>
      <c r="CV48227" s="376"/>
    </row>
    <row r="48228" spans="1:100">
      <c r="A48228" s="374"/>
      <c r="C48228" s="374"/>
      <c r="CV48228" s="376"/>
    </row>
    <row r="48229" spans="1:100">
      <c r="A48229" s="374"/>
      <c r="C48229" s="374"/>
      <c r="CV48229" s="376"/>
    </row>
    <row r="48230" spans="1:100">
      <c r="A48230" s="374"/>
      <c r="C48230" s="374"/>
      <c r="CV48230" s="376"/>
    </row>
    <row r="48231" spans="1:100">
      <c r="A48231" s="374"/>
      <c r="C48231" s="374"/>
      <c r="CV48231" s="376"/>
    </row>
    <row r="48232" spans="1:100">
      <c r="A48232" s="374"/>
      <c r="C48232" s="374"/>
      <c r="CV48232" s="376"/>
    </row>
    <row r="48233" spans="1:100">
      <c r="A48233" s="374"/>
      <c r="C48233" s="374"/>
      <c r="CV48233" s="376"/>
    </row>
    <row r="48234" spans="1:100">
      <c r="A48234" s="374"/>
      <c r="C48234" s="374"/>
      <c r="CV48234" s="376"/>
    </row>
    <row r="48235" spans="1:100">
      <c r="A48235" s="374"/>
      <c r="C48235" s="374"/>
      <c r="CV48235" s="376"/>
    </row>
    <row r="48236" spans="1:100">
      <c r="A48236" s="374"/>
      <c r="C48236" s="374"/>
      <c r="CV48236" s="376"/>
    </row>
    <row r="48237" spans="1:100">
      <c r="A48237" s="374"/>
      <c r="C48237" s="374"/>
      <c r="CV48237" s="376"/>
    </row>
    <row r="48238" spans="1:100">
      <c r="A48238" s="374"/>
      <c r="C48238" s="374"/>
      <c r="CV48238" s="376"/>
    </row>
    <row r="48239" spans="1:100">
      <c r="A48239" s="374"/>
      <c r="C48239" s="374"/>
      <c r="CV48239" s="376"/>
    </row>
    <row r="48240" spans="1:100">
      <c r="A48240" s="374"/>
      <c r="C48240" s="374"/>
      <c r="CV48240" s="376"/>
    </row>
    <row r="48241" spans="1:100">
      <c r="A48241" s="374"/>
      <c r="C48241" s="374"/>
      <c r="CV48241" s="376"/>
    </row>
    <row r="48242" spans="1:100">
      <c r="A48242" s="374"/>
      <c r="C48242" s="374"/>
      <c r="CV48242" s="376"/>
    </row>
    <row r="48243" spans="1:100">
      <c r="A48243" s="374"/>
      <c r="C48243" s="374"/>
      <c r="CV48243" s="376"/>
    </row>
    <row r="48244" spans="1:100">
      <c r="A48244" s="374"/>
      <c r="C48244" s="374"/>
      <c r="CV48244" s="376"/>
    </row>
    <row r="48245" spans="1:100">
      <c r="A48245" s="374"/>
      <c r="C48245" s="374"/>
      <c r="CV48245" s="376"/>
    </row>
    <row r="48246" spans="1:100">
      <c r="A48246" s="374"/>
      <c r="C48246" s="374"/>
      <c r="CV48246" s="376"/>
    </row>
    <row r="48247" spans="1:100">
      <c r="A48247" s="374"/>
      <c r="C48247" s="374"/>
      <c r="CV48247" s="376"/>
    </row>
    <row r="48248" spans="1:100">
      <c r="A48248" s="374"/>
      <c r="C48248" s="374"/>
      <c r="CV48248" s="376"/>
    </row>
    <row r="48249" spans="1:100">
      <c r="A48249" s="374"/>
      <c r="C48249" s="374"/>
      <c r="CV48249" s="376"/>
    </row>
    <row r="48250" spans="1:100">
      <c r="A48250" s="374"/>
      <c r="C48250" s="374"/>
      <c r="CV48250" s="376"/>
    </row>
    <row r="48251" spans="1:100">
      <c r="A48251" s="374"/>
      <c r="C48251" s="374"/>
      <c r="CV48251" s="376"/>
    </row>
    <row r="48252" spans="1:100">
      <c r="A48252" s="374"/>
      <c r="C48252" s="374"/>
      <c r="CV48252" s="376"/>
    </row>
    <row r="48253" spans="1:100">
      <c r="A48253" s="374"/>
      <c r="C48253" s="374"/>
      <c r="CV48253" s="376"/>
    </row>
    <row r="48254" spans="1:100">
      <c r="A48254" s="374"/>
      <c r="C48254" s="374"/>
      <c r="CV48254" s="376"/>
    </row>
    <row r="48255" spans="1:100">
      <c r="A48255" s="374"/>
      <c r="C48255" s="374"/>
      <c r="CV48255" s="376"/>
    </row>
    <row r="48256" spans="1:100">
      <c r="A48256" s="374"/>
      <c r="C48256" s="374"/>
      <c r="CV48256" s="376"/>
    </row>
    <row r="48257" spans="1:100">
      <c r="A48257" s="374"/>
      <c r="C48257" s="374"/>
      <c r="CV48257" s="376"/>
    </row>
    <row r="48258" spans="1:100">
      <c r="A48258" s="374"/>
      <c r="C48258" s="374"/>
      <c r="CV48258" s="376"/>
    </row>
    <row r="48259" spans="1:100">
      <c r="A48259" s="374"/>
      <c r="C48259" s="374"/>
      <c r="CV48259" s="376"/>
    </row>
    <row r="48260" spans="1:100">
      <c r="A48260" s="374"/>
      <c r="C48260" s="374"/>
      <c r="CV48260" s="376"/>
    </row>
    <row r="48261" spans="1:100">
      <c r="A48261" s="374"/>
      <c r="C48261" s="374"/>
      <c r="CV48261" s="376"/>
    </row>
    <row r="48262" spans="1:100">
      <c r="A48262" s="374"/>
      <c r="C48262" s="374"/>
      <c r="CV48262" s="376"/>
    </row>
    <row r="48263" spans="1:100">
      <c r="A48263" s="374"/>
      <c r="C48263" s="374"/>
      <c r="CV48263" s="376"/>
    </row>
    <row r="48264" spans="1:100">
      <c r="A48264" s="374"/>
      <c r="C48264" s="374"/>
      <c r="CV48264" s="376"/>
    </row>
    <row r="48265" spans="1:100">
      <c r="A48265" s="374"/>
      <c r="C48265" s="374"/>
      <c r="CV48265" s="376"/>
    </row>
    <row r="48266" spans="1:100">
      <c r="A48266" s="374"/>
      <c r="C48266" s="374"/>
      <c r="CV48266" s="376"/>
    </row>
    <row r="48267" spans="1:100">
      <c r="A48267" s="374"/>
      <c r="C48267" s="374"/>
      <c r="CV48267" s="376"/>
    </row>
    <row r="48268" spans="1:100">
      <c r="A48268" s="374"/>
      <c r="C48268" s="374"/>
      <c r="CV48268" s="376"/>
    </row>
    <row r="48269" spans="1:100">
      <c r="A48269" s="374"/>
      <c r="C48269" s="374"/>
      <c r="CV48269" s="376"/>
    </row>
    <row r="48270" spans="1:100">
      <c r="A48270" s="374"/>
      <c r="C48270" s="374"/>
      <c r="CV48270" s="376"/>
    </row>
    <row r="48271" spans="1:100">
      <c r="A48271" s="374"/>
      <c r="C48271" s="374"/>
      <c r="CV48271" s="376"/>
    </row>
    <row r="48272" spans="1:100">
      <c r="A48272" s="374"/>
      <c r="C48272" s="374"/>
      <c r="CV48272" s="376"/>
    </row>
    <row r="48273" spans="1:100">
      <c r="A48273" s="374"/>
      <c r="C48273" s="374"/>
      <c r="CV48273" s="376"/>
    </row>
    <row r="48274" spans="1:100">
      <c r="A48274" s="374"/>
      <c r="C48274" s="374"/>
      <c r="CV48274" s="376"/>
    </row>
    <row r="48275" spans="1:100">
      <c r="A48275" s="374"/>
      <c r="C48275" s="374"/>
      <c r="CV48275" s="376"/>
    </row>
    <row r="48276" spans="1:100">
      <c r="A48276" s="374"/>
      <c r="C48276" s="374"/>
      <c r="CV48276" s="376"/>
    </row>
    <row r="48277" spans="1:100">
      <c r="A48277" s="374"/>
      <c r="C48277" s="374"/>
      <c r="CV48277" s="376"/>
    </row>
    <row r="48278" spans="1:100">
      <c r="A48278" s="374"/>
      <c r="C48278" s="374"/>
      <c r="CV48278" s="376"/>
    </row>
    <row r="48279" spans="1:100">
      <c r="A48279" s="374"/>
      <c r="C48279" s="374"/>
      <c r="CV48279" s="376"/>
    </row>
    <row r="48280" spans="1:100">
      <c r="A48280" s="374"/>
      <c r="C48280" s="374"/>
      <c r="CV48280" s="376"/>
    </row>
    <row r="48281" spans="1:100">
      <c r="A48281" s="374"/>
      <c r="C48281" s="374"/>
      <c r="CV48281" s="376"/>
    </row>
    <row r="48282" spans="1:100">
      <c r="A48282" s="374"/>
      <c r="C48282" s="374"/>
      <c r="CV48282" s="376"/>
    </row>
    <row r="48283" spans="1:100">
      <c r="A48283" s="374"/>
      <c r="C48283" s="374"/>
      <c r="CV48283" s="376"/>
    </row>
    <row r="48284" spans="1:100">
      <c r="A48284" s="374"/>
      <c r="C48284" s="374"/>
      <c r="CV48284" s="376"/>
    </row>
    <row r="48285" spans="1:100">
      <c r="A48285" s="374"/>
      <c r="C48285" s="374"/>
      <c r="CV48285" s="376"/>
    </row>
    <row r="48286" spans="1:100">
      <c r="A48286" s="374"/>
      <c r="C48286" s="374"/>
      <c r="CV48286" s="376"/>
    </row>
    <row r="48287" spans="1:100">
      <c r="A48287" s="374"/>
      <c r="C48287" s="374"/>
      <c r="CV48287" s="376"/>
    </row>
    <row r="48288" spans="1:100">
      <c r="A48288" s="374"/>
      <c r="C48288" s="374"/>
      <c r="CV48288" s="376"/>
    </row>
    <row r="48289" spans="1:100">
      <c r="A48289" s="374"/>
      <c r="C48289" s="374"/>
      <c r="CV48289" s="376"/>
    </row>
    <row r="48290" spans="1:100">
      <c r="A48290" s="374"/>
      <c r="C48290" s="374"/>
      <c r="CV48290" s="376"/>
    </row>
    <row r="48291" spans="1:100">
      <c r="A48291" s="374"/>
      <c r="C48291" s="374"/>
      <c r="CV48291" s="376"/>
    </row>
    <row r="48292" spans="1:100">
      <c r="A48292" s="374"/>
      <c r="C48292" s="374"/>
      <c r="CV48292" s="376"/>
    </row>
    <row r="48293" spans="1:100">
      <c r="A48293" s="374"/>
      <c r="C48293" s="374"/>
      <c r="CV48293" s="376"/>
    </row>
    <row r="48294" spans="1:100">
      <c r="A48294" s="374"/>
      <c r="C48294" s="374"/>
      <c r="CV48294" s="376"/>
    </row>
    <row r="48295" spans="1:100">
      <c r="A48295" s="374"/>
      <c r="C48295" s="374"/>
      <c r="CV48295" s="376"/>
    </row>
    <row r="48296" spans="1:100">
      <c r="A48296" s="374"/>
      <c r="C48296" s="374"/>
      <c r="CV48296" s="376"/>
    </row>
    <row r="48297" spans="1:100">
      <c r="A48297" s="374"/>
      <c r="C48297" s="374"/>
      <c r="CV48297" s="376"/>
    </row>
    <row r="48298" spans="1:100">
      <c r="A48298" s="374"/>
      <c r="C48298" s="374"/>
      <c r="CV48298" s="376"/>
    </row>
    <row r="48299" spans="1:100">
      <c r="A48299" s="374"/>
      <c r="C48299" s="374"/>
      <c r="CV48299" s="376"/>
    </row>
    <row r="48300" spans="1:100">
      <c r="A48300" s="374"/>
      <c r="C48300" s="374"/>
      <c r="CV48300" s="376"/>
    </row>
    <row r="48301" spans="1:100">
      <c r="A48301" s="374"/>
      <c r="C48301" s="374"/>
      <c r="CV48301" s="376"/>
    </row>
    <row r="48302" spans="1:100">
      <c r="A48302" s="374"/>
      <c r="C48302" s="374"/>
      <c r="CV48302" s="376"/>
    </row>
    <row r="48303" spans="1:100">
      <c r="A48303" s="374"/>
      <c r="C48303" s="374"/>
      <c r="CV48303" s="376"/>
    </row>
    <row r="48304" spans="1:100">
      <c r="A48304" s="374"/>
      <c r="C48304" s="374"/>
      <c r="CV48304" s="376"/>
    </row>
    <row r="48305" spans="1:100">
      <c r="A48305" s="374"/>
      <c r="C48305" s="374"/>
      <c r="CV48305" s="376"/>
    </row>
    <row r="48306" spans="1:100">
      <c r="A48306" s="374"/>
      <c r="C48306" s="374"/>
      <c r="CV48306" s="376"/>
    </row>
    <row r="48307" spans="1:100">
      <c r="A48307" s="374"/>
      <c r="C48307" s="374"/>
      <c r="CV48307" s="376"/>
    </row>
    <row r="48308" spans="1:100">
      <c r="A48308" s="374"/>
      <c r="C48308" s="374"/>
      <c r="CV48308" s="376"/>
    </row>
    <row r="48309" spans="1:100">
      <c r="A48309" s="374"/>
      <c r="C48309" s="374"/>
      <c r="CV48309" s="376"/>
    </row>
    <row r="48310" spans="1:100">
      <c r="A48310" s="374"/>
      <c r="C48310" s="374"/>
      <c r="CV48310" s="376"/>
    </row>
    <row r="48311" spans="1:100">
      <c r="A48311" s="374"/>
      <c r="C48311" s="374"/>
      <c r="CV48311" s="376"/>
    </row>
    <row r="48312" spans="1:100">
      <c r="A48312" s="374"/>
      <c r="C48312" s="374"/>
      <c r="CV48312" s="376"/>
    </row>
    <row r="48313" spans="1:100">
      <c r="A48313" s="374"/>
      <c r="C48313" s="374"/>
      <c r="CV48313" s="376"/>
    </row>
    <row r="48314" spans="1:100">
      <c r="A48314" s="374"/>
      <c r="C48314" s="374"/>
      <c r="CV48314" s="376"/>
    </row>
    <row r="48315" spans="1:100">
      <c r="A48315" s="374"/>
      <c r="C48315" s="374"/>
      <c r="CV48315" s="376"/>
    </row>
    <row r="48316" spans="1:100">
      <c r="A48316" s="374"/>
      <c r="C48316" s="374"/>
      <c r="CV48316" s="376"/>
    </row>
    <row r="48317" spans="1:100">
      <c r="A48317" s="374"/>
      <c r="C48317" s="374"/>
      <c r="CV48317" s="376"/>
    </row>
    <row r="48318" spans="1:100">
      <c r="A48318" s="374"/>
      <c r="C48318" s="374"/>
      <c r="CV48318" s="376"/>
    </row>
    <row r="48319" spans="1:100">
      <c r="A48319" s="374"/>
      <c r="C48319" s="374"/>
      <c r="CV48319" s="376"/>
    </row>
    <row r="48320" spans="1:100">
      <c r="A48320" s="374"/>
      <c r="C48320" s="374"/>
      <c r="CV48320" s="376"/>
    </row>
    <row r="48321" spans="1:100">
      <c r="A48321" s="374"/>
      <c r="C48321" s="374"/>
      <c r="CV48321" s="376"/>
    </row>
    <row r="48322" spans="1:100">
      <c r="A48322" s="374"/>
      <c r="C48322" s="374"/>
      <c r="CV48322" s="376"/>
    </row>
    <row r="48323" spans="1:100">
      <c r="A48323" s="374"/>
      <c r="C48323" s="374"/>
      <c r="CV48323" s="376"/>
    </row>
    <row r="48324" spans="1:100">
      <c r="A48324" s="374"/>
      <c r="C48324" s="374"/>
      <c r="CV48324" s="376"/>
    </row>
    <row r="48325" spans="1:100">
      <c r="A48325" s="374"/>
      <c r="C48325" s="374"/>
      <c r="CV48325" s="376"/>
    </row>
    <row r="48326" spans="1:100">
      <c r="A48326" s="374"/>
      <c r="C48326" s="374"/>
      <c r="CV48326" s="376"/>
    </row>
    <row r="48327" spans="1:100">
      <c r="A48327" s="374"/>
      <c r="C48327" s="374"/>
      <c r="CV48327" s="376"/>
    </row>
    <row r="48328" spans="1:100">
      <c r="A48328" s="374"/>
      <c r="C48328" s="374"/>
      <c r="CV48328" s="376"/>
    </row>
    <row r="48329" spans="1:100">
      <c r="A48329" s="374"/>
      <c r="C48329" s="374"/>
      <c r="CV48329" s="376"/>
    </row>
    <row r="48330" spans="1:100">
      <c r="A48330" s="374"/>
      <c r="C48330" s="374"/>
      <c r="CV48330" s="376"/>
    </row>
    <row r="48331" spans="1:100">
      <c r="A48331" s="374"/>
      <c r="C48331" s="374"/>
      <c r="CV48331" s="376"/>
    </row>
    <row r="48332" spans="1:100">
      <c r="A48332" s="374"/>
      <c r="C48332" s="374"/>
      <c r="CV48332" s="376"/>
    </row>
    <row r="48333" spans="1:100">
      <c r="A48333" s="374"/>
      <c r="C48333" s="374"/>
      <c r="CV48333" s="376"/>
    </row>
    <row r="48334" spans="1:100">
      <c r="A48334" s="374"/>
      <c r="C48334" s="374"/>
      <c r="CV48334" s="376"/>
    </row>
    <row r="48335" spans="1:100">
      <c r="A48335" s="374"/>
      <c r="C48335" s="374"/>
      <c r="CV48335" s="376"/>
    </row>
    <row r="48336" spans="1:100">
      <c r="A48336" s="374"/>
      <c r="C48336" s="374"/>
      <c r="CV48336" s="376"/>
    </row>
    <row r="48337" spans="1:100">
      <c r="A48337" s="374"/>
      <c r="C48337" s="374"/>
      <c r="CV48337" s="376"/>
    </row>
    <row r="48338" spans="1:100">
      <c r="A48338" s="374"/>
      <c r="C48338" s="374"/>
      <c r="CV48338" s="376"/>
    </row>
    <row r="48339" spans="1:100">
      <c r="A48339" s="374"/>
      <c r="C48339" s="374"/>
      <c r="CV48339" s="376"/>
    </row>
    <row r="48340" spans="1:100">
      <c r="A48340" s="374"/>
      <c r="C48340" s="374"/>
      <c r="CV48340" s="376"/>
    </row>
    <row r="48341" spans="1:100">
      <c r="A48341" s="374"/>
      <c r="C48341" s="374"/>
      <c r="CV48341" s="376"/>
    </row>
    <row r="48342" spans="1:100">
      <c r="A48342" s="374"/>
      <c r="C48342" s="374"/>
      <c r="CV48342" s="376"/>
    </row>
    <row r="48343" spans="1:100">
      <c r="A48343" s="374"/>
      <c r="C48343" s="374"/>
      <c r="CV48343" s="376"/>
    </row>
    <row r="48344" spans="1:100">
      <c r="A48344" s="374"/>
      <c r="C48344" s="374"/>
      <c r="CV48344" s="376"/>
    </row>
    <row r="48345" spans="1:100">
      <c r="A48345" s="374"/>
      <c r="C48345" s="374"/>
      <c r="CV48345" s="376"/>
    </row>
    <row r="48346" spans="1:100">
      <c r="A48346" s="374"/>
      <c r="C48346" s="374"/>
      <c r="CV48346" s="376"/>
    </row>
    <row r="48347" spans="1:100">
      <c r="A48347" s="374"/>
      <c r="C48347" s="374"/>
      <c r="CV48347" s="376"/>
    </row>
    <row r="48348" spans="1:100">
      <c r="A48348" s="374"/>
      <c r="C48348" s="374"/>
      <c r="CV48348" s="376"/>
    </row>
    <row r="48349" spans="1:100">
      <c r="A48349" s="374"/>
      <c r="C48349" s="374"/>
      <c r="CV48349" s="376"/>
    </row>
    <row r="48350" spans="1:100">
      <c r="A48350" s="374"/>
      <c r="C48350" s="374"/>
      <c r="CV48350" s="376"/>
    </row>
    <row r="48351" spans="1:100">
      <c r="A48351" s="374"/>
      <c r="C48351" s="374"/>
      <c r="CV48351" s="376"/>
    </row>
    <row r="48352" spans="1:100">
      <c r="A48352" s="374"/>
      <c r="C48352" s="374"/>
      <c r="CV48352" s="376"/>
    </row>
    <row r="48353" spans="1:100">
      <c r="A48353" s="374"/>
      <c r="C48353" s="374"/>
      <c r="CV48353" s="376"/>
    </row>
    <row r="48354" spans="1:100">
      <c r="A48354" s="374"/>
      <c r="C48354" s="374"/>
      <c r="CV48354" s="376"/>
    </row>
    <row r="48355" spans="1:100">
      <c r="A48355" s="374"/>
      <c r="C48355" s="374"/>
      <c r="CV48355" s="376"/>
    </row>
    <row r="48356" spans="1:100">
      <c r="A48356" s="374"/>
      <c r="C48356" s="374"/>
      <c r="CV48356" s="376"/>
    </row>
    <row r="48357" spans="1:100">
      <c r="A48357" s="374"/>
      <c r="C48357" s="374"/>
      <c r="CV48357" s="376"/>
    </row>
    <row r="48358" spans="1:100">
      <c r="A48358" s="374"/>
      <c r="C48358" s="374"/>
      <c r="CV48358" s="376"/>
    </row>
    <row r="48359" spans="1:100">
      <c r="A48359" s="374"/>
      <c r="C48359" s="374"/>
      <c r="CV48359" s="376"/>
    </row>
    <row r="48360" spans="1:100">
      <c r="A48360" s="374"/>
      <c r="C48360" s="374"/>
      <c r="CV48360" s="376"/>
    </row>
    <row r="48361" spans="1:100">
      <c r="A48361" s="374"/>
      <c r="C48361" s="374"/>
      <c r="CV48361" s="376"/>
    </row>
    <row r="48362" spans="1:100">
      <c r="A48362" s="374"/>
      <c r="C48362" s="374"/>
      <c r="CV48362" s="376"/>
    </row>
    <row r="48363" spans="1:100">
      <c r="A48363" s="374"/>
      <c r="C48363" s="374"/>
      <c r="CV48363" s="376"/>
    </row>
    <row r="48364" spans="1:100">
      <c r="A48364" s="374"/>
      <c r="C48364" s="374"/>
      <c r="CV48364" s="376"/>
    </row>
    <row r="48365" spans="1:100">
      <c r="A48365" s="374"/>
      <c r="C48365" s="374"/>
      <c r="CV48365" s="376"/>
    </row>
    <row r="48366" spans="1:100">
      <c r="A48366" s="374"/>
      <c r="C48366" s="374"/>
      <c r="CV48366" s="376"/>
    </row>
    <row r="48367" spans="1:100">
      <c r="A48367" s="374"/>
      <c r="C48367" s="374"/>
      <c r="CV48367" s="376"/>
    </row>
    <row r="48368" spans="1:100">
      <c r="A48368" s="374"/>
      <c r="C48368" s="374"/>
      <c r="CV48368" s="376"/>
    </row>
    <row r="48369" spans="1:100">
      <c r="A48369" s="374"/>
      <c r="C48369" s="374"/>
      <c r="CV48369" s="376"/>
    </row>
    <row r="48370" spans="1:100">
      <c r="A48370" s="374"/>
      <c r="C48370" s="374"/>
      <c r="CV48370" s="376"/>
    </row>
    <row r="48371" spans="1:100">
      <c r="A48371" s="374"/>
      <c r="C48371" s="374"/>
      <c r="CV48371" s="376"/>
    </row>
    <row r="48372" spans="1:100">
      <c r="A48372" s="374"/>
      <c r="C48372" s="374"/>
      <c r="CV48372" s="376"/>
    </row>
    <row r="48373" spans="1:100">
      <c r="A48373" s="374"/>
      <c r="C48373" s="374"/>
      <c r="CV48373" s="376"/>
    </row>
    <row r="48374" spans="1:100">
      <c r="A48374" s="374"/>
      <c r="C48374" s="374"/>
      <c r="CV48374" s="376"/>
    </row>
    <row r="48375" spans="1:100">
      <c r="A48375" s="374"/>
      <c r="C48375" s="374"/>
      <c r="CV48375" s="376"/>
    </row>
    <row r="48376" spans="1:100">
      <c r="A48376" s="374"/>
      <c r="C48376" s="374"/>
      <c r="CV48376" s="376"/>
    </row>
    <row r="48377" spans="1:100">
      <c r="A48377" s="374"/>
      <c r="C48377" s="374"/>
      <c r="CV48377" s="376"/>
    </row>
    <row r="48378" spans="1:100">
      <c r="A48378" s="374"/>
      <c r="C48378" s="374"/>
      <c r="CV48378" s="376"/>
    </row>
    <row r="48379" spans="1:100">
      <c r="A48379" s="374"/>
      <c r="C48379" s="374"/>
      <c r="CV48379" s="376"/>
    </row>
    <row r="48380" spans="1:100">
      <c r="A48380" s="374"/>
      <c r="C48380" s="374"/>
      <c r="CV48380" s="376"/>
    </row>
    <row r="48381" spans="1:100">
      <c r="A48381" s="374"/>
      <c r="C48381" s="374"/>
      <c r="CV48381" s="376"/>
    </row>
    <row r="48382" spans="1:100">
      <c r="A48382" s="374"/>
      <c r="C48382" s="374"/>
      <c r="CV48382" s="376"/>
    </row>
    <row r="48383" spans="1:100">
      <c r="A48383" s="374"/>
      <c r="C48383" s="374"/>
      <c r="CV48383" s="376"/>
    </row>
    <row r="48384" spans="1:100">
      <c r="A48384" s="374"/>
      <c r="C48384" s="374"/>
      <c r="CV48384" s="376"/>
    </row>
    <row r="48385" spans="1:100">
      <c r="A48385" s="374"/>
      <c r="C48385" s="374"/>
      <c r="CV48385" s="376"/>
    </row>
    <row r="48386" spans="1:100">
      <c r="A48386" s="374"/>
      <c r="C48386" s="374"/>
      <c r="CV48386" s="376"/>
    </row>
    <row r="48387" spans="1:100">
      <c r="A48387" s="374"/>
      <c r="C48387" s="374"/>
      <c r="CV48387" s="376"/>
    </row>
    <row r="48388" spans="1:100">
      <c r="A48388" s="374"/>
      <c r="C48388" s="374"/>
      <c r="CV48388" s="376"/>
    </row>
    <row r="48389" spans="1:100">
      <c r="A48389" s="374"/>
      <c r="C48389" s="374"/>
      <c r="CV48389" s="376"/>
    </row>
    <row r="48390" spans="1:100">
      <c r="A48390" s="374"/>
      <c r="C48390" s="374"/>
      <c r="CV48390" s="376"/>
    </row>
    <row r="48391" spans="1:100">
      <c r="A48391" s="374"/>
      <c r="C48391" s="374"/>
      <c r="CV48391" s="376"/>
    </row>
    <row r="48392" spans="1:100">
      <c r="A48392" s="374"/>
      <c r="C48392" s="374"/>
      <c r="CV48392" s="376"/>
    </row>
    <row r="48393" spans="1:100">
      <c r="A48393" s="374"/>
      <c r="C48393" s="374"/>
      <c r="CV48393" s="376"/>
    </row>
    <row r="48394" spans="1:100">
      <c r="A48394" s="374"/>
      <c r="C48394" s="374"/>
      <c r="CV48394" s="376"/>
    </row>
    <row r="48395" spans="1:100">
      <c r="A48395" s="374"/>
      <c r="C48395" s="374"/>
      <c r="CV48395" s="376"/>
    </row>
    <row r="48396" spans="1:100">
      <c r="A48396" s="374"/>
      <c r="C48396" s="374"/>
      <c r="CV48396" s="376"/>
    </row>
    <row r="48397" spans="1:100">
      <c r="A48397" s="374"/>
      <c r="C48397" s="374"/>
      <c r="CV48397" s="376"/>
    </row>
    <row r="48398" spans="1:100">
      <c r="A48398" s="374"/>
      <c r="C48398" s="374"/>
      <c r="CV48398" s="376"/>
    </row>
    <row r="48399" spans="1:100">
      <c r="A48399" s="374"/>
      <c r="C48399" s="374"/>
      <c r="CV48399" s="376"/>
    </row>
    <row r="48400" spans="1:100">
      <c r="A48400" s="374"/>
      <c r="C48400" s="374"/>
      <c r="CV48400" s="376"/>
    </row>
    <row r="48401" spans="1:100">
      <c r="A48401" s="374"/>
      <c r="C48401" s="374"/>
      <c r="CV48401" s="376"/>
    </row>
    <row r="48402" spans="1:100">
      <c r="A48402" s="374"/>
      <c r="C48402" s="374"/>
      <c r="CV48402" s="376"/>
    </row>
    <row r="48403" spans="1:100">
      <c r="A48403" s="374"/>
      <c r="C48403" s="374"/>
      <c r="CV48403" s="376"/>
    </row>
    <row r="48404" spans="1:100">
      <c r="A48404" s="374"/>
      <c r="C48404" s="374"/>
      <c r="CV48404" s="376"/>
    </row>
    <row r="48405" spans="1:100">
      <c r="A48405" s="374"/>
      <c r="C48405" s="374"/>
      <c r="CV48405" s="376"/>
    </row>
    <row r="48406" spans="1:100">
      <c r="A48406" s="374"/>
      <c r="C48406" s="374"/>
      <c r="CV48406" s="376"/>
    </row>
    <row r="48407" spans="1:100">
      <c r="A48407" s="374"/>
      <c r="C48407" s="374"/>
      <c r="CV48407" s="376"/>
    </row>
    <row r="48408" spans="1:100">
      <c r="A48408" s="374"/>
      <c r="C48408" s="374"/>
      <c r="CV48408" s="376"/>
    </row>
    <row r="48409" spans="1:100">
      <c r="A48409" s="374"/>
      <c r="C48409" s="374"/>
      <c r="CV48409" s="376"/>
    </row>
    <row r="48410" spans="1:100">
      <c r="A48410" s="374"/>
      <c r="C48410" s="374"/>
      <c r="CV48410" s="376"/>
    </row>
    <row r="48411" spans="1:100">
      <c r="A48411" s="374"/>
      <c r="C48411" s="374"/>
      <c r="CV48411" s="376"/>
    </row>
    <row r="48412" spans="1:100">
      <c r="A48412" s="374"/>
      <c r="C48412" s="374"/>
      <c r="CV48412" s="376"/>
    </row>
    <row r="48413" spans="1:100">
      <c r="A48413" s="374"/>
      <c r="C48413" s="374"/>
      <c r="CV48413" s="376"/>
    </row>
    <row r="48414" spans="1:100">
      <c r="A48414" s="374"/>
      <c r="C48414" s="374"/>
      <c r="CV48414" s="376"/>
    </row>
    <row r="48415" spans="1:100">
      <c r="A48415" s="374"/>
      <c r="C48415" s="374"/>
      <c r="CV48415" s="376"/>
    </row>
    <row r="48416" spans="1:100">
      <c r="A48416" s="374"/>
      <c r="C48416" s="374"/>
      <c r="CV48416" s="376"/>
    </row>
    <row r="48417" spans="1:100">
      <c r="A48417" s="374"/>
      <c r="C48417" s="374"/>
      <c r="CV48417" s="376"/>
    </row>
    <row r="48418" spans="1:100">
      <c r="A48418" s="374"/>
      <c r="C48418" s="374"/>
      <c r="CV48418" s="376"/>
    </row>
    <row r="48419" spans="1:100">
      <c r="A48419" s="374"/>
      <c r="C48419" s="374"/>
      <c r="CV48419" s="376"/>
    </row>
    <row r="48420" spans="1:100">
      <c r="A48420" s="374"/>
      <c r="C48420" s="374"/>
      <c r="CV48420" s="376"/>
    </row>
    <row r="48421" spans="1:100">
      <c r="A48421" s="374"/>
      <c r="C48421" s="374"/>
      <c r="CV48421" s="376"/>
    </row>
    <row r="48422" spans="1:100">
      <c r="A48422" s="374"/>
      <c r="C48422" s="374"/>
      <c r="CV48422" s="376"/>
    </row>
    <row r="48423" spans="1:100">
      <c r="A48423" s="374"/>
      <c r="C48423" s="374"/>
      <c r="CV48423" s="376"/>
    </row>
    <row r="48424" spans="1:100">
      <c r="A48424" s="374"/>
      <c r="C48424" s="374"/>
      <c r="CV48424" s="376"/>
    </row>
    <row r="48425" spans="1:100">
      <c r="A48425" s="374"/>
      <c r="C48425" s="374"/>
      <c r="CV48425" s="376"/>
    </row>
    <row r="48426" spans="1:100">
      <c r="A48426" s="374"/>
      <c r="C48426" s="374"/>
      <c r="CV48426" s="376"/>
    </row>
    <row r="48427" spans="1:100">
      <c r="A48427" s="374"/>
      <c r="C48427" s="374"/>
      <c r="CV48427" s="376"/>
    </row>
    <row r="48428" spans="1:100">
      <c r="A48428" s="374"/>
      <c r="C48428" s="374"/>
      <c r="CV48428" s="376"/>
    </row>
    <row r="48429" spans="1:100">
      <c r="A48429" s="374"/>
      <c r="C48429" s="374"/>
      <c r="CV48429" s="376"/>
    </row>
    <row r="48430" spans="1:100">
      <c r="A48430" s="374"/>
      <c r="C48430" s="374"/>
      <c r="CV48430" s="376"/>
    </row>
    <row r="48431" spans="1:100">
      <c r="A48431" s="374"/>
      <c r="C48431" s="374"/>
      <c r="CV48431" s="376"/>
    </row>
    <row r="48432" spans="1:100">
      <c r="A48432" s="374"/>
      <c r="C48432" s="374"/>
      <c r="CV48432" s="376"/>
    </row>
    <row r="48433" spans="1:100">
      <c r="A48433" s="374"/>
      <c r="C48433" s="374"/>
      <c r="CV48433" s="376"/>
    </row>
    <row r="48434" spans="1:100">
      <c r="A48434" s="374"/>
      <c r="C48434" s="374"/>
      <c r="CV48434" s="376"/>
    </row>
    <row r="48435" spans="1:100">
      <c r="A48435" s="374"/>
      <c r="C48435" s="374"/>
      <c r="CV48435" s="376"/>
    </row>
    <row r="48436" spans="1:100">
      <c r="A48436" s="374"/>
      <c r="C48436" s="374"/>
      <c r="CV48436" s="376"/>
    </row>
    <row r="48437" spans="1:100">
      <c r="A48437" s="374"/>
      <c r="C48437" s="374"/>
      <c r="CV48437" s="376"/>
    </row>
    <row r="48438" spans="1:100">
      <c r="A48438" s="374"/>
      <c r="C48438" s="374"/>
      <c r="CV48438" s="376"/>
    </row>
    <row r="48439" spans="1:100">
      <c r="A48439" s="374"/>
      <c r="C48439" s="374"/>
      <c r="CV48439" s="376"/>
    </row>
    <row r="48440" spans="1:100">
      <c r="A48440" s="374"/>
      <c r="C48440" s="374"/>
      <c r="CV48440" s="376"/>
    </row>
    <row r="48441" spans="1:100">
      <c r="A48441" s="374"/>
      <c r="C48441" s="374"/>
      <c r="CV48441" s="376"/>
    </row>
    <row r="48442" spans="1:100">
      <c r="A48442" s="374"/>
      <c r="C48442" s="374"/>
      <c r="CV48442" s="376"/>
    </row>
    <row r="48443" spans="1:100">
      <c r="A48443" s="374"/>
      <c r="C48443" s="374"/>
      <c r="CV48443" s="376"/>
    </row>
    <row r="48444" spans="1:100">
      <c r="A48444" s="374"/>
      <c r="C48444" s="374"/>
      <c r="CV48444" s="376"/>
    </row>
    <row r="48445" spans="1:100">
      <c r="A48445" s="374"/>
      <c r="C48445" s="374"/>
      <c r="CV48445" s="376"/>
    </row>
    <row r="48446" spans="1:100">
      <c r="A48446" s="374"/>
      <c r="C48446" s="374"/>
      <c r="CV48446" s="376"/>
    </row>
    <row r="48447" spans="1:100">
      <c r="A48447" s="374"/>
      <c r="C48447" s="374"/>
      <c r="CV48447" s="376"/>
    </row>
    <row r="48448" spans="1:100">
      <c r="A48448" s="374"/>
      <c r="C48448" s="374"/>
      <c r="CV48448" s="376"/>
    </row>
    <row r="48449" spans="1:100">
      <c r="A48449" s="374"/>
      <c r="C48449" s="374"/>
      <c r="CV48449" s="376"/>
    </row>
    <row r="48450" spans="1:100">
      <c r="A48450" s="374"/>
      <c r="C48450" s="374"/>
      <c r="CV48450" s="376"/>
    </row>
    <row r="48451" spans="1:100">
      <c r="A48451" s="374"/>
      <c r="C48451" s="374"/>
      <c r="CV48451" s="376"/>
    </row>
    <row r="48452" spans="1:100">
      <c r="A48452" s="374"/>
      <c r="C48452" s="374"/>
      <c r="CV48452" s="376"/>
    </row>
    <row r="48453" spans="1:100">
      <c r="A48453" s="374"/>
      <c r="C48453" s="374"/>
      <c r="CV48453" s="376"/>
    </row>
    <row r="48454" spans="1:100">
      <c r="A48454" s="374"/>
      <c r="C48454" s="374"/>
      <c r="CV48454" s="376"/>
    </row>
    <row r="48455" spans="1:100">
      <c r="A48455" s="374"/>
      <c r="C48455" s="374"/>
      <c r="CV48455" s="376"/>
    </row>
    <row r="48456" spans="1:100">
      <c r="A48456" s="374"/>
      <c r="C48456" s="374"/>
      <c r="CV48456" s="376"/>
    </row>
    <row r="48457" spans="1:100">
      <c r="A48457" s="374"/>
      <c r="C48457" s="374"/>
      <c r="CV48457" s="376"/>
    </row>
    <row r="48458" spans="1:100">
      <c r="A48458" s="374"/>
      <c r="C48458" s="374"/>
      <c r="CV48458" s="376"/>
    </row>
    <row r="48459" spans="1:100">
      <c r="A48459" s="374"/>
      <c r="C48459" s="374"/>
      <c r="CV48459" s="376"/>
    </row>
    <row r="48460" spans="1:100">
      <c r="A48460" s="374"/>
      <c r="C48460" s="374"/>
      <c r="CV48460" s="376"/>
    </row>
    <row r="48461" spans="1:100">
      <c r="A48461" s="374"/>
      <c r="C48461" s="374"/>
      <c r="CV48461" s="376"/>
    </row>
    <row r="48462" spans="1:100">
      <c r="A48462" s="374"/>
      <c r="C48462" s="374"/>
      <c r="CV48462" s="376"/>
    </row>
    <row r="48463" spans="1:100">
      <c r="A48463" s="374"/>
      <c r="C48463" s="374"/>
      <c r="CV48463" s="376"/>
    </row>
    <row r="48464" spans="1:100">
      <c r="A48464" s="374"/>
      <c r="C48464" s="374"/>
      <c r="CV48464" s="376"/>
    </row>
    <row r="48465" spans="1:100">
      <c r="A48465" s="374"/>
      <c r="C48465" s="374"/>
      <c r="CV48465" s="376"/>
    </row>
    <row r="48466" spans="1:100">
      <c r="A48466" s="374"/>
      <c r="C48466" s="374"/>
      <c r="CV48466" s="376"/>
    </row>
    <row r="48467" spans="1:100">
      <c r="A48467" s="374"/>
      <c r="C48467" s="374"/>
      <c r="CV48467" s="376"/>
    </row>
    <row r="48468" spans="1:100">
      <c r="A48468" s="374"/>
      <c r="C48468" s="374"/>
      <c r="CV48468" s="376"/>
    </row>
    <row r="48469" spans="1:100">
      <c r="A48469" s="374"/>
      <c r="C48469" s="374"/>
      <c r="CV48469" s="376"/>
    </row>
    <row r="48470" spans="1:100">
      <c r="A48470" s="374"/>
      <c r="C48470" s="374"/>
      <c r="CV48470" s="376"/>
    </row>
    <row r="48471" spans="1:100">
      <c r="A48471" s="374"/>
      <c r="C48471" s="374"/>
      <c r="CV48471" s="376"/>
    </row>
    <row r="48472" spans="1:100">
      <c r="A48472" s="374"/>
      <c r="C48472" s="374"/>
      <c r="CV48472" s="376"/>
    </row>
    <row r="48473" spans="1:100">
      <c r="A48473" s="374"/>
      <c r="C48473" s="374"/>
      <c r="CV48473" s="376"/>
    </row>
    <row r="48474" spans="1:100">
      <c r="A48474" s="374"/>
      <c r="C48474" s="374"/>
      <c r="CV48474" s="376"/>
    </row>
    <row r="48475" spans="1:100">
      <c r="A48475" s="374"/>
      <c r="C48475" s="374"/>
      <c r="CV48475" s="376"/>
    </row>
    <row r="48476" spans="1:100">
      <c r="A48476" s="374"/>
      <c r="C48476" s="374"/>
      <c r="CV48476" s="376"/>
    </row>
    <row r="48477" spans="1:100">
      <c r="A48477" s="374"/>
      <c r="C48477" s="374"/>
      <c r="CV48477" s="376"/>
    </row>
    <row r="48478" spans="1:100">
      <c r="A48478" s="374"/>
      <c r="C48478" s="374"/>
      <c r="CV48478" s="376"/>
    </row>
    <row r="48479" spans="1:100">
      <c r="A48479" s="374"/>
      <c r="C48479" s="374"/>
      <c r="CV48479" s="376"/>
    </row>
    <row r="48480" spans="1:100">
      <c r="A48480" s="374"/>
      <c r="C48480" s="374"/>
      <c r="CV48480" s="376"/>
    </row>
    <row r="48481" spans="1:100">
      <c r="A48481" s="374"/>
      <c r="C48481" s="374"/>
      <c r="CV48481" s="376"/>
    </row>
    <row r="48482" spans="1:100">
      <c r="A48482" s="374"/>
      <c r="C48482" s="374"/>
      <c r="CV48482" s="376"/>
    </row>
    <row r="48483" spans="1:100">
      <c r="A48483" s="374"/>
      <c r="C48483" s="374"/>
      <c r="CV48483" s="376"/>
    </row>
    <row r="48484" spans="1:100">
      <c r="A48484" s="374"/>
      <c r="C48484" s="374"/>
      <c r="CV48484" s="376"/>
    </row>
    <row r="48485" spans="1:100">
      <c r="A48485" s="374"/>
      <c r="C48485" s="374"/>
      <c r="CV48485" s="376"/>
    </row>
    <row r="48486" spans="1:100">
      <c r="A48486" s="374"/>
      <c r="C48486" s="374"/>
      <c r="CV48486" s="376"/>
    </row>
    <row r="48487" spans="1:100">
      <c r="A48487" s="374"/>
      <c r="C48487" s="374"/>
      <c r="CV48487" s="376"/>
    </row>
    <row r="48488" spans="1:100">
      <c r="A48488" s="374"/>
      <c r="C48488" s="374"/>
      <c r="CV48488" s="376"/>
    </row>
    <row r="48489" spans="1:100">
      <c r="A48489" s="374"/>
      <c r="C48489" s="374"/>
      <c r="CV48489" s="376"/>
    </row>
    <row r="48490" spans="1:100">
      <c r="A48490" s="374"/>
      <c r="C48490" s="374"/>
      <c r="CV48490" s="376"/>
    </row>
    <row r="48491" spans="1:100">
      <c r="A48491" s="374"/>
      <c r="C48491" s="374"/>
      <c r="CV48491" s="376"/>
    </row>
    <row r="48492" spans="1:100">
      <c r="A48492" s="374"/>
      <c r="C48492" s="374"/>
      <c r="CV48492" s="376"/>
    </row>
    <row r="48493" spans="1:100">
      <c r="A48493" s="374"/>
      <c r="C48493" s="374"/>
      <c r="CV48493" s="376"/>
    </row>
    <row r="48494" spans="1:100">
      <c r="A48494" s="374"/>
      <c r="C48494" s="374"/>
      <c r="CV48494" s="376"/>
    </row>
    <row r="48495" spans="1:100">
      <c r="A48495" s="374"/>
      <c r="C48495" s="374"/>
      <c r="CV48495" s="376"/>
    </row>
    <row r="48496" spans="1:100">
      <c r="A48496" s="374"/>
      <c r="C48496" s="374"/>
      <c r="CV48496" s="376"/>
    </row>
    <row r="48497" spans="1:100">
      <c r="A48497" s="374"/>
      <c r="C48497" s="374"/>
      <c r="CV48497" s="376"/>
    </row>
    <row r="48498" spans="1:100">
      <c r="A48498" s="374"/>
      <c r="C48498" s="374"/>
      <c r="CV48498" s="376"/>
    </row>
    <row r="48499" spans="1:100">
      <c r="A48499" s="374"/>
      <c r="C48499" s="374"/>
      <c r="CV48499" s="376"/>
    </row>
    <row r="48500" spans="1:100">
      <c r="A48500" s="374"/>
      <c r="C48500" s="374"/>
      <c r="CV48500" s="376"/>
    </row>
    <row r="48501" spans="1:100">
      <c r="A48501" s="374"/>
      <c r="C48501" s="374"/>
      <c r="CV48501" s="376"/>
    </row>
    <row r="48502" spans="1:100">
      <c r="A48502" s="374"/>
      <c r="C48502" s="374"/>
      <c r="CV48502" s="376"/>
    </row>
    <row r="48503" spans="1:100">
      <c r="A48503" s="374"/>
      <c r="C48503" s="374"/>
      <c r="CV48503" s="376"/>
    </row>
    <row r="48504" spans="1:100">
      <c r="A48504" s="374"/>
      <c r="C48504" s="374"/>
      <c r="CV48504" s="376"/>
    </row>
    <row r="48505" spans="1:100">
      <c r="A48505" s="374"/>
      <c r="C48505" s="374"/>
      <c r="CV48505" s="376"/>
    </row>
    <row r="48506" spans="1:100">
      <c r="A48506" s="374"/>
      <c r="C48506" s="374"/>
      <c r="CV48506" s="376"/>
    </row>
    <row r="48507" spans="1:100">
      <c r="A48507" s="374"/>
      <c r="C48507" s="374"/>
      <c r="CV48507" s="376"/>
    </row>
    <row r="48508" spans="1:100">
      <c r="A48508" s="374"/>
      <c r="C48508" s="374"/>
      <c r="CV48508" s="376"/>
    </row>
    <row r="48509" spans="1:100">
      <c r="A48509" s="374"/>
      <c r="C48509" s="374"/>
      <c r="CV48509" s="376"/>
    </row>
    <row r="48510" spans="1:100">
      <c r="A48510" s="374"/>
      <c r="C48510" s="374"/>
      <c r="CV48510" s="376"/>
    </row>
    <row r="48511" spans="1:100">
      <c r="A48511" s="374"/>
      <c r="C48511" s="374"/>
      <c r="CV48511" s="376"/>
    </row>
    <row r="48512" spans="1:100">
      <c r="A48512" s="374"/>
      <c r="C48512" s="374"/>
      <c r="CV48512" s="376"/>
    </row>
    <row r="48513" spans="1:100">
      <c r="A48513" s="374"/>
      <c r="C48513" s="374"/>
      <c r="CV48513" s="376"/>
    </row>
    <row r="48514" spans="1:100">
      <c r="A48514" s="374"/>
      <c r="C48514" s="374"/>
      <c r="CV48514" s="376"/>
    </row>
    <row r="48515" spans="1:100">
      <c r="A48515" s="374"/>
      <c r="C48515" s="374"/>
      <c r="CV48515" s="376"/>
    </row>
    <row r="48516" spans="1:100">
      <c r="A48516" s="374"/>
      <c r="C48516" s="374"/>
      <c r="CV48516" s="376"/>
    </row>
    <row r="48517" spans="1:100">
      <c r="A48517" s="374"/>
      <c r="C48517" s="374"/>
      <c r="CV48517" s="376"/>
    </row>
    <row r="48518" spans="1:100">
      <c r="A48518" s="374"/>
      <c r="C48518" s="374"/>
      <c r="CV48518" s="376"/>
    </row>
    <row r="48519" spans="1:100">
      <c r="A48519" s="374"/>
      <c r="C48519" s="374"/>
      <c r="CV48519" s="376"/>
    </row>
    <row r="48520" spans="1:100">
      <c r="A48520" s="374"/>
      <c r="C48520" s="374"/>
      <c r="CV48520" s="376"/>
    </row>
    <row r="48521" spans="1:100">
      <c r="A48521" s="374"/>
      <c r="C48521" s="374"/>
      <c r="CV48521" s="376"/>
    </row>
    <row r="48522" spans="1:100">
      <c r="A48522" s="374"/>
      <c r="C48522" s="374"/>
      <c r="CV48522" s="376"/>
    </row>
    <row r="48523" spans="1:100">
      <c r="A48523" s="374"/>
      <c r="C48523" s="374"/>
      <c r="CV48523" s="376"/>
    </row>
    <row r="48524" spans="1:100">
      <c r="A48524" s="374"/>
      <c r="C48524" s="374"/>
      <c r="CV48524" s="376"/>
    </row>
    <row r="48525" spans="1:100">
      <c r="A48525" s="374"/>
      <c r="C48525" s="374"/>
      <c r="CV48525" s="376"/>
    </row>
    <row r="48526" spans="1:100">
      <c r="A48526" s="374"/>
      <c r="C48526" s="374"/>
      <c r="CV48526" s="376"/>
    </row>
    <row r="48527" spans="1:100">
      <c r="A48527" s="374"/>
      <c r="C48527" s="374"/>
      <c r="CV48527" s="376"/>
    </row>
    <row r="48528" spans="1:100">
      <c r="A48528" s="374"/>
      <c r="C48528" s="374"/>
      <c r="CV48528" s="376"/>
    </row>
    <row r="48529" spans="1:100">
      <c r="A48529" s="374"/>
      <c r="C48529" s="374"/>
      <c r="CV48529" s="376"/>
    </row>
    <row r="48530" spans="1:100">
      <c r="A48530" s="374"/>
      <c r="C48530" s="374"/>
      <c r="CV48530" s="376"/>
    </row>
    <row r="48531" spans="1:100">
      <c r="A48531" s="374"/>
      <c r="C48531" s="374"/>
      <c r="CV48531" s="376"/>
    </row>
    <row r="48532" spans="1:100">
      <c r="A48532" s="374"/>
      <c r="C48532" s="374"/>
      <c r="CV48532" s="376"/>
    </row>
    <row r="48533" spans="1:100">
      <c r="A48533" s="374"/>
      <c r="C48533" s="374"/>
      <c r="CV48533" s="376"/>
    </row>
    <row r="48534" spans="1:100">
      <c r="A48534" s="374"/>
      <c r="C48534" s="374"/>
      <c r="CV48534" s="376"/>
    </row>
    <row r="48535" spans="1:100">
      <c r="A48535" s="374"/>
      <c r="C48535" s="374"/>
      <c r="CV48535" s="376"/>
    </row>
    <row r="48536" spans="1:100">
      <c r="A48536" s="374"/>
      <c r="C48536" s="374"/>
      <c r="CV48536" s="376"/>
    </row>
    <row r="48537" spans="1:100">
      <c r="A48537" s="374"/>
      <c r="C48537" s="374"/>
      <c r="CV48537" s="376"/>
    </row>
    <row r="48538" spans="1:100">
      <c r="A48538" s="374"/>
      <c r="C48538" s="374"/>
      <c r="CV48538" s="376"/>
    </row>
    <row r="48539" spans="1:100">
      <c r="A48539" s="374"/>
      <c r="C48539" s="374"/>
      <c r="CV48539" s="376"/>
    </row>
    <row r="48540" spans="1:100">
      <c r="A48540" s="374"/>
      <c r="C48540" s="374"/>
      <c r="CV48540" s="376"/>
    </row>
    <row r="48541" spans="1:100">
      <c r="A48541" s="374"/>
      <c r="C48541" s="374"/>
      <c r="CV48541" s="376"/>
    </row>
    <row r="48542" spans="1:100">
      <c r="A48542" s="374"/>
      <c r="C48542" s="374"/>
      <c r="CV48542" s="376"/>
    </row>
    <row r="48543" spans="1:100">
      <c r="A48543" s="374"/>
      <c r="C48543" s="374"/>
      <c r="CV48543" s="376"/>
    </row>
    <row r="48544" spans="1:100">
      <c r="A48544" s="374"/>
      <c r="C48544" s="374"/>
      <c r="CV48544" s="376"/>
    </row>
    <row r="48545" spans="1:100">
      <c r="A48545" s="374"/>
      <c r="C48545" s="374"/>
      <c r="CV48545" s="376"/>
    </row>
    <row r="48546" spans="1:100">
      <c r="A48546" s="374"/>
      <c r="C48546" s="374"/>
      <c r="CV48546" s="376"/>
    </row>
    <row r="48547" spans="1:100">
      <c r="A48547" s="374"/>
      <c r="C48547" s="374"/>
      <c r="CV48547" s="376"/>
    </row>
    <row r="48548" spans="1:100">
      <c r="A48548" s="374"/>
      <c r="C48548" s="374"/>
      <c r="CV48548" s="376"/>
    </row>
    <row r="48549" spans="1:100">
      <c r="A48549" s="374"/>
      <c r="C48549" s="374"/>
      <c r="CV48549" s="376"/>
    </row>
    <row r="48550" spans="1:100">
      <c r="A48550" s="374"/>
      <c r="C48550" s="374"/>
      <c r="CV48550" s="376"/>
    </row>
    <row r="48551" spans="1:100">
      <c r="A48551" s="374"/>
      <c r="C48551" s="374"/>
      <c r="CV48551" s="376"/>
    </row>
    <row r="48552" spans="1:100">
      <c r="A48552" s="374"/>
      <c r="C48552" s="374"/>
      <c r="CV48552" s="376"/>
    </row>
    <row r="48553" spans="1:100">
      <c r="A48553" s="374"/>
      <c r="C48553" s="374"/>
      <c r="CV48553" s="376"/>
    </row>
    <row r="48554" spans="1:100">
      <c r="A48554" s="374"/>
      <c r="C48554" s="374"/>
      <c r="CV48554" s="376"/>
    </row>
    <row r="48555" spans="1:100">
      <c r="A48555" s="374"/>
      <c r="C48555" s="374"/>
      <c r="CV48555" s="376"/>
    </row>
    <row r="48556" spans="1:100">
      <c r="A48556" s="374"/>
      <c r="C48556" s="374"/>
      <c r="CV48556" s="376"/>
    </row>
    <row r="48557" spans="1:100">
      <c r="A48557" s="374"/>
      <c r="C48557" s="374"/>
      <c r="CV48557" s="376"/>
    </row>
    <row r="48558" spans="1:100">
      <c r="A48558" s="374"/>
      <c r="C48558" s="374"/>
      <c r="CV48558" s="376"/>
    </row>
    <row r="48559" spans="1:100">
      <c r="A48559" s="374"/>
      <c r="C48559" s="374"/>
      <c r="CV48559" s="376"/>
    </row>
    <row r="48560" spans="1:100">
      <c r="A48560" s="374"/>
      <c r="C48560" s="374"/>
      <c r="CV48560" s="376"/>
    </row>
    <row r="48561" spans="1:100">
      <c r="A48561" s="374"/>
      <c r="C48561" s="374"/>
      <c r="CV48561" s="376"/>
    </row>
    <row r="48562" spans="1:100">
      <c r="A48562" s="374"/>
      <c r="C48562" s="374"/>
      <c r="CV48562" s="376"/>
    </row>
    <row r="48563" spans="1:100">
      <c r="A48563" s="374"/>
      <c r="C48563" s="374"/>
      <c r="CV48563" s="376"/>
    </row>
    <row r="48564" spans="1:100">
      <c r="A48564" s="374"/>
      <c r="C48564" s="374"/>
      <c r="CV48564" s="376"/>
    </row>
    <row r="48565" spans="1:100">
      <c r="A48565" s="374"/>
      <c r="C48565" s="374"/>
      <c r="CV48565" s="376"/>
    </row>
    <row r="48566" spans="1:100">
      <c r="A48566" s="374"/>
      <c r="C48566" s="374"/>
      <c r="CV48566" s="376"/>
    </row>
    <row r="48567" spans="1:100">
      <c r="A48567" s="374"/>
      <c r="C48567" s="374"/>
      <c r="CV48567" s="376"/>
    </row>
    <row r="48568" spans="1:100">
      <c r="A48568" s="374"/>
      <c r="C48568" s="374"/>
      <c r="CV48568" s="376"/>
    </row>
    <row r="48569" spans="1:100">
      <c r="A48569" s="374"/>
      <c r="C48569" s="374"/>
      <c r="CV48569" s="376"/>
    </row>
    <row r="48570" spans="1:100">
      <c r="A48570" s="374"/>
      <c r="C48570" s="374"/>
      <c r="CV48570" s="376"/>
    </row>
    <row r="48571" spans="1:100">
      <c r="A48571" s="374"/>
      <c r="C48571" s="374"/>
      <c r="CV48571" s="376"/>
    </row>
    <row r="48572" spans="1:100">
      <c r="A48572" s="374"/>
      <c r="C48572" s="374"/>
      <c r="CV48572" s="376"/>
    </row>
    <row r="48573" spans="1:100">
      <c r="A48573" s="374"/>
      <c r="C48573" s="374"/>
      <c r="CV48573" s="376"/>
    </row>
    <row r="48574" spans="1:100">
      <c r="A48574" s="374"/>
      <c r="C48574" s="374"/>
      <c r="CV48574" s="376"/>
    </row>
    <row r="48575" spans="1:100">
      <c r="A48575" s="374"/>
      <c r="C48575" s="374"/>
      <c r="CV48575" s="376"/>
    </row>
    <row r="48576" spans="1:100">
      <c r="A48576" s="374"/>
      <c r="C48576" s="374"/>
      <c r="CV48576" s="376"/>
    </row>
    <row r="48577" spans="1:100">
      <c r="A48577" s="374"/>
      <c r="C48577" s="374"/>
      <c r="CV48577" s="376"/>
    </row>
    <row r="48578" spans="1:100">
      <c r="A48578" s="374"/>
      <c r="C48578" s="374"/>
      <c r="CV48578" s="376"/>
    </row>
    <row r="48579" spans="1:100">
      <c r="A48579" s="374"/>
      <c r="C48579" s="374"/>
      <c r="CV48579" s="376"/>
    </row>
    <row r="48580" spans="1:100">
      <c r="A48580" s="374"/>
      <c r="C48580" s="374"/>
      <c r="CV48580" s="376"/>
    </row>
    <row r="48581" spans="1:100">
      <c r="A48581" s="374"/>
      <c r="C48581" s="374"/>
      <c r="CV48581" s="376"/>
    </row>
    <row r="48582" spans="1:100">
      <c r="A48582" s="374"/>
      <c r="C48582" s="374"/>
      <c r="CV48582" s="376"/>
    </row>
    <row r="48583" spans="1:100">
      <c r="A48583" s="374"/>
      <c r="C48583" s="374"/>
      <c r="CV48583" s="376"/>
    </row>
    <row r="48584" spans="1:100">
      <c r="A48584" s="374"/>
      <c r="C48584" s="374"/>
      <c r="CV48584" s="376"/>
    </row>
    <row r="48585" spans="1:100">
      <c r="A48585" s="374"/>
      <c r="C48585" s="374"/>
      <c r="CV48585" s="376"/>
    </row>
    <row r="48586" spans="1:100">
      <c r="A48586" s="374"/>
      <c r="C48586" s="374"/>
      <c r="CV48586" s="376"/>
    </row>
    <row r="48587" spans="1:100">
      <c r="A48587" s="374"/>
      <c r="C48587" s="374"/>
      <c r="CV48587" s="376"/>
    </row>
    <row r="48588" spans="1:100">
      <c r="A48588" s="374"/>
      <c r="C48588" s="374"/>
      <c r="CV48588" s="376"/>
    </row>
    <row r="48589" spans="1:100">
      <c r="A48589" s="374"/>
      <c r="C48589" s="374"/>
      <c r="CV48589" s="376"/>
    </row>
    <row r="48590" spans="1:100">
      <c r="A48590" s="374"/>
      <c r="C48590" s="374"/>
      <c r="CV48590" s="376"/>
    </row>
    <row r="48591" spans="1:100">
      <c r="A48591" s="374"/>
      <c r="C48591" s="374"/>
      <c r="CV48591" s="376"/>
    </row>
    <row r="48592" spans="1:100">
      <c r="A48592" s="374"/>
      <c r="C48592" s="374"/>
      <c r="CV48592" s="376"/>
    </row>
    <row r="48593" spans="1:100">
      <c r="A48593" s="374"/>
      <c r="C48593" s="374"/>
      <c r="CV48593" s="376"/>
    </row>
    <row r="48594" spans="1:100">
      <c r="A48594" s="374"/>
      <c r="C48594" s="374"/>
      <c r="CV48594" s="376"/>
    </row>
    <row r="48595" spans="1:100">
      <c r="A48595" s="374"/>
      <c r="C48595" s="374"/>
      <c r="CV48595" s="376"/>
    </row>
    <row r="48596" spans="1:100">
      <c r="A48596" s="374"/>
      <c r="C48596" s="374"/>
      <c r="CV48596" s="376"/>
    </row>
    <row r="48597" spans="1:100">
      <c r="A48597" s="374"/>
      <c r="C48597" s="374"/>
      <c r="CV48597" s="376"/>
    </row>
    <row r="48598" spans="1:100">
      <c r="A48598" s="374"/>
      <c r="C48598" s="374"/>
      <c r="CV48598" s="376"/>
    </row>
    <row r="48599" spans="1:100">
      <c r="A48599" s="374"/>
      <c r="C48599" s="374"/>
      <c r="CV48599" s="376"/>
    </row>
    <row r="48600" spans="1:100">
      <c r="A48600" s="374"/>
      <c r="C48600" s="374"/>
      <c r="CV48600" s="376"/>
    </row>
    <row r="48601" spans="1:100">
      <c r="A48601" s="374"/>
      <c r="C48601" s="374"/>
      <c r="CV48601" s="376"/>
    </row>
    <row r="48602" spans="1:100">
      <c r="A48602" s="374"/>
      <c r="C48602" s="374"/>
      <c r="CV48602" s="376"/>
    </row>
    <row r="48603" spans="1:100">
      <c r="A48603" s="374"/>
      <c r="C48603" s="374"/>
      <c r="CV48603" s="376"/>
    </row>
    <row r="48604" spans="1:100">
      <c r="A48604" s="374"/>
      <c r="C48604" s="374"/>
      <c r="CV48604" s="376"/>
    </row>
    <row r="48605" spans="1:100">
      <c r="A48605" s="374"/>
      <c r="C48605" s="374"/>
      <c r="CV48605" s="376"/>
    </row>
    <row r="48606" spans="1:100">
      <c r="A48606" s="374"/>
      <c r="C48606" s="374"/>
      <c r="CV48606" s="376"/>
    </row>
    <row r="48607" spans="1:100">
      <c r="A48607" s="374"/>
      <c r="C48607" s="374"/>
      <c r="CV48607" s="376"/>
    </row>
    <row r="48608" spans="1:100">
      <c r="A48608" s="374"/>
      <c r="C48608" s="374"/>
      <c r="CV48608" s="376"/>
    </row>
    <row r="48609" spans="1:100">
      <c r="A48609" s="374"/>
      <c r="C48609" s="374"/>
      <c r="CV48609" s="376"/>
    </row>
    <row r="48610" spans="1:100">
      <c r="A48610" s="374"/>
      <c r="C48610" s="374"/>
      <c r="CV48610" s="376"/>
    </row>
    <row r="48611" spans="1:100">
      <c r="A48611" s="374"/>
      <c r="C48611" s="374"/>
      <c r="CV48611" s="376"/>
    </row>
    <row r="48612" spans="1:100">
      <c r="A48612" s="374"/>
      <c r="C48612" s="374"/>
      <c r="CV48612" s="376"/>
    </row>
    <row r="48613" spans="1:100">
      <c r="A48613" s="374"/>
      <c r="C48613" s="374"/>
      <c r="CV48613" s="376"/>
    </row>
    <row r="48614" spans="1:100">
      <c r="A48614" s="374"/>
      <c r="C48614" s="374"/>
      <c r="CV48614" s="376"/>
    </row>
    <row r="48615" spans="1:100">
      <c r="A48615" s="374"/>
      <c r="C48615" s="374"/>
      <c r="CV48615" s="376"/>
    </row>
    <row r="48616" spans="1:100">
      <c r="A48616" s="374"/>
      <c r="C48616" s="374"/>
      <c r="CV48616" s="376"/>
    </row>
    <row r="48617" spans="1:100">
      <c r="A48617" s="374"/>
      <c r="C48617" s="374"/>
      <c r="CV48617" s="376"/>
    </row>
    <row r="48618" spans="1:100">
      <c r="A48618" s="374"/>
      <c r="C48618" s="374"/>
      <c r="CV48618" s="376"/>
    </row>
    <row r="48619" spans="1:100">
      <c r="A48619" s="374"/>
      <c r="C48619" s="374"/>
      <c r="CV48619" s="376"/>
    </row>
    <row r="48620" spans="1:100">
      <c r="A48620" s="374"/>
      <c r="C48620" s="374"/>
      <c r="CV48620" s="376"/>
    </row>
    <row r="48621" spans="1:100">
      <c r="A48621" s="374"/>
      <c r="C48621" s="374"/>
      <c r="CV48621" s="376"/>
    </row>
    <row r="48622" spans="1:100">
      <c r="A48622" s="374"/>
      <c r="C48622" s="374"/>
      <c r="CV48622" s="376"/>
    </row>
    <row r="48623" spans="1:100">
      <c r="A48623" s="374"/>
      <c r="C48623" s="374"/>
      <c r="CV48623" s="376"/>
    </row>
    <row r="48624" spans="1:100">
      <c r="A48624" s="374"/>
      <c r="C48624" s="374"/>
      <c r="CV48624" s="376"/>
    </row>
    <row r="48625" spans="1:100">
      <c r="A48625" s="374"/>
      <c r="C48625" s="374"/>
      <c r="CV48625" s="376"/>
    </row>
    <row r="48626" spans="1:100">
      <c r="A48626" s="374"/>
      <c r="C48626" s="374"/>
      <c r="CV48626" s="376"/>
    </row>
    <row r="48627" spans="1:100">
      <c r="A48627" s="374"/>
      <c r="C48627" s="374"/>
      <c r="CV48627" s="376"/>
    </row>
    <row r="48628" spans="1:100">
      <c r="A48628" s="374"/>
      <c r="C48628" s="374"/>
      <c r="CV48628" s="376"/>
    </row>
    <row r="48629" spans="1:100">
      <c r="A48629" s="374"/>
      <c r="C48629" s="374"/>
      <c r="CV48629" s="376"/>
    </row>
    <row r="48630" spans="1:100">
      <c r="A48630" s="374"/>
      <c r="C48630" s="374"/>
      <c r="CV48630" s="376"/>
    </row>
    <row r="48631" spans="1:100">
      <c r="A48631" s="374"/>
      <c r="C48631" s="374"/>
      <c r="CV48631" s="376"/>
    </row>
    <row r="48632" spans="1:100">
      <c r="A48632" s="374"/>
      <c r="C48632" s="374"/>
      <c r="CV48632" s="376"/>
    </row>
    <row r="48633" spans="1:100">
      <c r="A48633" s="374"/>
      <c r="C48633" s="374"/>
      <c r="CV48633" s="376"/>
    </row>
    <row r="48634" spans="1:100">
      <c r="A48634" s="374"/>
      <c r="C48634" s="374"/>
      <c r="CV48634" s="376"/>
    </row>
    <row r="48635" spans="1:100">
      <c r="A48635" s="374"/>
      <c r="C48635" s="374"/>
      <c r="CV48635" s="376"/>
    </row>
    <row r="48636" spans="1:100">
      <c r="A48636" s="374"/>
      <c r="C48636" s="374"/>
      <c r="CV48636" s="376"/>
    </row>
    <row r="48637" spans="1:100">
      <c r="A48637" s="374"/>
      <c r="C48637" s="374"/>
      <c r="CV48637" s="376"/>
    </row>
    <row r="48638" spans="1:100">
      <c r="A48638" s="374"/>
      <c r="C48638" s="374"/>
      <c r="CV48638" s="376"/>
    </row>
    <row r="48639" spans="1:100">
      <c r="A48639" s="374"/>
      <c r="C48639" s="374"/>
      <c r="CV48639" s="376"/>
    </row>
    <row r="48640" spans="1:100">
      <c r="A48640" s="374"/>
      <c r="C48640" s="374"/>
      <c r="CV48640" s="376"/>
    </row>
    <row r="48641" spans="1:100">
      <c r="A48641" s="374"/>
      <c r="C48641" s="374"/>
      <c r="CV48641" s="376"/>
    </row>
    <row r="48642" spans="1:100">
      <c r="A48642" s="374"/>
      <c r="C48642" s="374"/>
      <c r="CV48642" s="376"/>
    </row>
    <row r="48643" spans="1:100">
      <c r="A48643" s="374"/>
      <c r="C48643" s="374"/>
      <c r="CV48643" s="376"/>
    </row>
    <row r="48644" spans="1:100">
      <c r="A48644" s="374"/>
      <c r="C48644" s="374"/>
      <c r="CV48644" s="376"/>
    </row>
    <row r="48645" spans="1:100">
      <c r="A48645" s="374"/>
      <c r="C48645" s="374"/>
      <c r="CV48645" s="376"/>
    </row>
    <row r="48646" spans="1:100">
      <c r="A48646" s="374"/>
      <c r="C48646" s="374"/>
      <c r="CV48646" s="376"/>
    </row>
    <row r="48647" spans="1:100">
      <c r="A48647" s="374"/>
      <c r="C48647" s="374"/>
      <c r="CV48647" s="376"/>
    </row>
    <row r="48648" spans="1:100">
      <c r="A48648" s="374"/>
      <c r="C48648" s="374"/>
      <c r="CV48648" s="376"/>
    </row>
    <row r="48649" spans="1:100">
      <c r="A48649" s="374"/>
      <c r="C48649" s="374"/>
      <c r="CV48649" s="376"/>
    </row>
    <row r="48650" spans="1:100">
      <c r="A48650" s="374"/>
      <c r="C48650" s="374"/>
      <c r="CV48650" s="376"/>
    </row>
    <row r="48651" spans="1:100">
      <c r="A48651" s="374"/>
      <c r="C48651" s="374"/>
      <c r="CV48651" s="376"/>
    </row>
    <row r="48652" spans="1:100">
      <c r="A48652" s="374"/>
      <c r="C48652" s="374"/>
      <c r="CV48652" s="376"/>
    </row>
    <row r="48653" spans="1:100">
      <c r="A48653" s="374"/>
      <c r="C48653" s="374"/>
      <c r="CV48653" s="376"/>
    </row>
    <row r="48654" spans="1:100">
      <c r="A48654" s="374"/>
      <c r="C48654" s="374"/>
      <c r="CV48654" s="376"/>
    </row>
    <row r="48655" spans="1:100">
      <c r="A48655" s="374"/>
      <c r="C48655" s="374"/>
      <c r="CV48655" s="376"/>
    </row>
    <row r="48656" spans="1:100">
      <c r="A48656" s="374"/>
      <c r="C48656" s="374"/>
      <c r="CV48656" s="376"/>
    </row>
    <row r="48657" spans="1:100">
      <c r="A48657" s="374"/>
      <c r="C48657" s="374"/>
      <c r="CV48657" s="376"/>
    </row>
    <row r="48658" spans="1:100">
      <c r="A48658" s="374"/>
      <c r="C48658" s="374"/>
      <c r="CV48658" s="376"/>
    </row>
    <row r="48659" spans="1:100">
      <c r="A48659" s="374"/>
      <c r="C48659" s="374"/>
      <c r="CV48659" s="376"/>
    </row>
    <row r="48660" spans="1:100">
      <c r="A48660" s="374"/>
      <c r="C48660" s="374"/>
      <c r="CV48660" s="376"/>
    </row>
    <row r="48661" spans="1:100">
      <c r="A48661" s="374"/>
      <c r="C48661" s="374"/>
      <c r="CV48661" s="376"/>
    </row>
    <row r="48662" spans="1:100">
      <c r="A48662" s="374"/>
      <c r="C48662" s="374"/>
      <c r="CV48662" s="376"/>
    </row>
    <row r="48663" spans="1:100">
      <c r="A48663" s="374"/>
      <c r="C48663" s="374"/>
      <c r="CV48663" s="376"/>
    </row>
    <row r="48664" spans="1:100">
      <c r="A48664" s="374"/>
      <c r="C48664" s="374"/>
      <c r="CV48664" s="376"/>
    </row>
    <row r="48665" spans="1:100">
      <c r="A48665" s="374"/>
      <c r="C48665" s="374"/>
      <c r="CV48665" s="376"/>
    </row>
    <row r="48666" spans="1:100">
      <c r="A48666" s="374"/>
      <c r="C48666" s="374"/>
      <c r="CV48666" s="376"/>
    </row>
    <row r="48667" spans="1:100">
      <c r="A48667" s="374"/>
      <c r="C48667" s="374"/>
      <c r="CV48667" s="376"/>
    </row>
    <row r="48668" spans="1:100">
      <c r="A48668" s="374"/>
      <c r="C48668" s="374"/>
      <c r="CV48668" s="376"/>
    </row>
    <row r="48669" spans="1:100">
      <c r="A48669" s="374"/>
      <c r="C48669" s="374"/>
      <c r="CV48669" s="376"/>
    </row>
    <row r="48670" spans="1:100">
      <c r="A48670" s="374"/>
      <c r="C48670" s="374"/>
      <c r="CV48670" s="376"/>
    </row>
    <row r="48671" spans="1:100">
      <c r="A48671" s="374"/>
      <c r="C48671" s="374"/>
      <c r="CV48671" s="376"/>
    </row>
    <row r="48672" spans="1:100">
      <c r="A48672" s="374"/>
      <c r="C48672" s="374"/>
      <c r="CV48672" s="376"/>
    </row>
    <row r="48673" spans="1:100">
      <c r="A48673" s="374"/>
      <c r="C48673" s="374"/>
      <c r="CV48673" s="376"/>
    </row>
    <row r="48674" spans="1:100">
      <c r="A48674" s="374"/>
      <c r="C48674" s="374"/>
      <c r="CV48674" s="376"/>
    </row>
    <row r="48675" spans="1:100">
      <c r="A48675" s="374"/>
      <c r="C48675" s="374"/>
      <c r="CV48675" s="376"/>
    </row>
    <row r="48676" spans="1:100">
      <c r="A48676" s="374"/>
      <c r="C48676" s="374"/>
      <c r="CV48676" s="376"/>
    </row>
    <row r="48677" spans="1:100">
      <c r="A48677" s="374"/>
      <c r="C48677" s="374"/>
      <c r="CV48677" s="376"/>
    </row>
    <row r="48678" spans="1:100">
      <c r="A48678" s="374"/>
      <c r="C48678" s="374"/>
      <c r="CV48678" s="376"/>
    </row>
    <row r="48679" spans="1:100">
      <c r="A48679" s="374"/>
      <c r="C48679" s="374"/>
      <c r="CV48679" s="376"/>
    </row>
    <row r="48680" spans="1:100">
      <c r="A48680" s="374"/>
      <c r="C48680" s="374"/>
      <c r="CV48680" s="376"/>
    </row>
    <row r="48681" spans="1:100">
      <c r="A48681" s="374"/>
      <c r="C48681" s="374"/>
      <c r="CV48681" s="376"/>
    </row>
    <row r="48682" spans="1:100">
      <c r="A48682" s="374"/>
      <c r="C48682" s="374"/>
      <c r="CV48682" s="376"/>
    </row>
    <row r="48683" spans="1:100">
      <c r="A48683" s="374"/>
      <c r="C48683" s="374"/>
      <c r="CV48683" s="376"/>
    </row>
    <row r="48684" spans="1:100">
      <c r="A48684" s="374"/>
      <c r="C48684" s="374"/>
      <c r="CV48684" s="376"/>
    </row>
    <row r="48685" spans="1:100">
      <c r="A48685" s="374"/>
      <c r="C48685" s="374"/>
      <c r="CV48685" s="376"/>
    </row>
    <row r="48686" spans="1:100">
      <c r="A48686" s="374"/>
      <c r="C48686" s="374"/>
      <c r="CV48686" s="376"/>
    </row>
    <row r="48687" spans="1:100">
      <c r="A48687" s="374"/>
      <c r="C48687" s="374"/>
      <c r="CV48687" s="376"/>
    </row>
    <row r="48688" spans="1:100">
      <c r="A48688" s="374"/>
      <c r="C48688" s="374"/>
      <c r="CV48688" s="376"/>
    </row>
    <row r="48689" spans="1:100">
      <c r="A48689" s="374"/>
      <c r="C48689" s="374"/>
      <c r="CV48689" s="376"/>
    </row>
    <row r="48690" spans="1:100">
      <c r="A48690" s="374"/>
      <c r="C48690" s="374"/>
      <c r="CV48690" s="376"/>
    </row>
    <row r="48691" spans="1:100">
      <c r="A48691" s="374"/>
      <c r="C48691" s="374"/>
      <c r="CV48691" s="376"/>
    </row>
    <row r="48692" spans="1:100">
      <c r="A48692" s="374"/>
      <c r="C48692" s="374"/>
      <c r="CV48692" s="376"/>
    </row>
    <row r="48693" spans="1:100">
      <c r="A48693" s="374"/>
      <c r="C48693" s="374"/>
      <c r="CV48693" s="376"/>
    </row>
    <row r="48694" spans="1:100">
      <c r="A48694" s="374"/>
      <c r="C48694" s="374"/>
      <c r="CV48694" s="376"/>
    </row>
    <row r="48695" spans="1:100">
      <c r="A48695" s="374"/>
      <c r="C48695" s="374"/>
      <c r="CV48695" s="376"/>
    </row>
    <row r="48696" spans="1:100">
      <c r="A48696" s="374"/>
      <c r="C48696" s="374"/>
      <c r="CV48696" s="376"/>
    </row>
    <row r="48697" spans="1:100">
      <c r="A48697" s="374"/>
      <c r="C48697" s="374"/>
      <c r="CV48697" s="376"/>
    </row>
    <row r="48698" spans="1:100">
      <c r="A48698" s="374"/>
      <c r="C48698" s="374"/>
      <c r="CV48698" s="376"/>
    </row>
    <row r="48699" spans="1:100">
      <c r="A48699" s="374"/>
      <c r="C48699" s="374"/>
      <c r="CV48699" s="376"/>
    </row>
    <row r="48700" spans="1:100">
      <c r="A48700" s="374"/>
      <c r="C48700" s="374"/>
      <c r="CV48700" s="376"/>
    </row>
    <row r="48701" spans="1:100">
      <c r="A48701" s="374"/>
      <c r="C48701" s="374"/>
      <c r="CV48701" s="376"/>
    </row>
    <row r="48702" spans="1:100">
      <c r="A48702" s="374"/>
      <c r="C48702" s="374"/>
      <c r="CV48702" s="376"/>
    </row>
    <row r="48703" spans="1:100">
      <c r="A48703" s="374"/>
      <c r="C48703" s="374"/>
      <c r="CV48703" s="376"/>
    </row>
    <row r="48704" spans="1:100">
      <c r="A48704" s="374"/>
      <c r="C48704" s="374"/>
      <c r="CV48704" s="376"/>
    </row>
    <row r="48705" spans="1:100">
      <c r="A48705" s="374"/>
      <c r="C48705" s="374"/>
      <c r="CV48705" s="376"/>
    </row>
    <row r="48706" spans="1:100">
      <c r="A48706" s="374"/>
      <c r="C48706" s="374"/>
      <c r="CV48706" s="376"/>
    </row>
    <row r="48707" spans="1:100">
      <c r="A48707" s="374"/>
      <c r="C48707" s="374"/>
      <c r="CV48707" s="376"/>
    </row>
    <row r="48708" spans="1:100">
      <c r="A48708" s="374"/>
      <c r="C48708" s="374"/>
      <c r="CV48708" s="376"/>
    </row>
    <row r="48709" spans="1:100">
      <c r="A48709" s="374"/>
      <c r="C48709" s="374"/>
      <c r="CV48709" s="376"/>
    </row>
    <row r="48710" spans="1:100">
      <c r="A48710" s="374"/>
      <c r="C48710" s="374"/>
      <c r="CV48710" s="376"/>
    </row>
    <row r="48711" spans="1:100">
      <c r="A48711" s="374"/>
      <c r="C48711" s="374"/>
      <c r="CV48711" s="376"/>
    </row>
    <row r="48712" spans="1:100">
      <c r="A48712" s="374"/>
      <c r="C48712" s="374"/>
      <c r="CV48712" s="376"/>
    </row>
    <row r="48713" spans="1:100">
      <c r="A48713" s="374"/>
      <c r="C48713" s="374"/>
      <c r="CV48713" s="376"/>
    </row>
    <row r="48714" spans="1:100">
      <c r="A48714" s="374"/>
      <c r="C48714" s="374"/>
      <c r="CV48714" s="376"/>
    </row>
    <row r="48715" spans="1:100">
      <c r="A48715" s="374"/>
      <c r="C48715" s="374"/>
      <c r="CV48715" s="376"/>
    </row>
    <row r="48716" spans="1:100">
      <c r="A48716" s="374"/>
      <c r="C48716" s="374"/>
      <c r="CV48716" s="376"/>
    </row>
    <row r="48717" spans="1:100">
      <c r="A48717" s="374"/>
      <c r="C48717" s="374"/>
      <c r="CV48717" s="376"/>
    </row>
    <row r="48718" spans="1:100">
      <c r="A48718" s="374"/>
      <c r="C48718" s="374"/>
      <c r="CV48718" s="376"/>
    </row>
    <row r="48719" spans="1:100">
      <c r="A48719" s="374"/>
      <c r="C48719" s="374"/>
      <c r="CV48719" s="376"/>
    </row>
    <row r="48720" spans="1:100">
      <c r="A48720" s="374"/>
      <c r="C48720" s="374"/>
      <c r="CV48720" s="376"/>
    </row>
    <row r="48721" spans="1:100">
      <c r="A48721" s="374"/>
      <c r="C48721" s="374"/>
      <c r="CV48721" s="376"/>
    </row>
    <row r="48722" spans="1:100">
      <c r="A48722" s="374"/>
      <c r="C48722" s="374"/>
      <c r="CV48722" s="376"/>
    </row>
    <row r="48723" spans="1:100">
      <c r="A48723" s="374"/>
      <c r="C48723" s="374"/>
      <c r="CV48723" s="376"/>
    </row>
    <row r="48724" spans="1:100">
      <c r="A48724" s="374"/>
      <c r="C48724" s="374"/>
      <c r="CV48724" s="376"/>
    </row>
    <row r="48725" spans="1:100">
      <c r="A48725" s="374"/>
      <c r="C48725" s="374"/>
      <c r="CV48725" s="376"/>
    </row>
    <row r="48726" spans="1:100">
      <c r="A48726" s="374"/>
      <c r="C48726" s="374"/>
      <c r="CV48726" s="376"/>
    </row>
    <row r="48727" spans="1:100">
      <c r="A48727" s="374"/>
      <c r="C48727" s="374"/>
      <c r="CV48727" s="376"/>
    </row>
    <row r="48728" spans="1:100">
      <c r="A48728" s="374"/>
      <c r="C48728" s="374"/>
      <c r="CV48728" s="376"/>
    </row>
    <row r="48729" spans="1:100">
      <c r="A48729" s="374"/>
      <c r="C48729" s="374"/>
      <c r="CV48729" s="376"/>
    </row>
    <row r="48730" spans="1:100">
      <c r="A48730" s="374"/>
      <c r="C48730" s="374"/>
      <c r="CV48730" s="376"/>
    </row>
    <row r="48731" spans="1:100">
      <c r="A48731" s="374"/>
      <c r="C48731" s="374"/>
      <c r="CV48731" s="376"/>
    </row>
    <row r="48732" spans="1:100">
      <c r="A48732" s="374"/>
      <c r="C48732" s="374"/>
      <c r="CV48732" s="376"/>
    </row>
    <row r="48733" spans="1:100">
      <c r="A48733" s="374"/>
      <c r="C48733" s="374"/>
      <c r="CV48733" s="376"/>
    </row>
    <row r="48734" spans="1:100">
      <c r="A48734" s="374"/>
      <c r="C48734" s="374"/>
      <c r="CV48734" s="376"/>
    </row>
    <row r="48735" spans="1:100">
      <c r="A48735" s="374"/>
      <c r="C48735" s="374"/>
      <c r="CV48735" s="376"/>
    </row>
    <row r="48736" spans="1:100">
      <c r="A48736" s="374"/>
      <c r="C48736" s="374"/>
      <c r="CV48736" s="376"/>
    </row>
    <row r="48737" spans="1:100">
      <c r="A48737" s="374"/>
      <c r="C48737" s="374"/>
      <c r="CV48737" s="376"/>
    </row>
    <row r="48738" spans="1:100">
      <c r="A48738" s="374"/>
      <c r="C48738" s="374"/>
      <c r="CV48738" s="376"/>
    </row>
    <row r="48739" spans="1:100">
      <c r="A48739" s="374"/>
      <c r="C48739" s="374"/>
      <c r="CV48739" s="376"/>
    </row>
    <row r="48740" spans="1:100">
      <c r="A48740" s="374"/>
      <c r="C48740" s="374"/>
      <c r="CV48740" s="376"/>
    </row>
    <row r="48741" spans="1:100">
      <c r="A48741" s="374"/>
      <c r="C48741" s="374"/>
      <c r="CV48741" s="376"/>
    </row>
    <row r="48742" spans="1:100">
      <c r="A48742" s="374"/>
      <c r="C48742" s="374"/>
      <c r="CV48742" s="376"/>
    </row>
    <row r="48743" spans="1:100">
      <c r="A48743" s="374"/>
      <c r="C48743" s="374"/>
      <c r="CV48743" s="376"/>
    </row>
    <row r="48744" spans="1:100">
      <c r="A48744" s="374"/>
      <c r="C48744" s="374"/>
      <c r="CV48744" s="376"/>
    </row>
    <row r="48745" spans="1:100">
      <c r="A48745" s="374"/>
      <c r="C48745" s="374"/>
      <c r="CV48745" s="376"/>
    </row>
    <row r="48746" spans="1:100">
      <c r="A48746" s="374"/>
      <c r="C48746" s="374"/>
      <c r="CV48746" s="376"/>
    </row>
    <row r="48747" spans="1:100">
      <c r="A48747" s="374"/>
      <c r="C48747" s="374"/>
      <c r="CV48747" s="376"/>
    </row>
    <row r="48748" spans="1:100">
      <c r="A48748" s="374"/>
      <c r="C48748" s="374"/>
      <c r="CV48748" s="376"/>
    </row>
    <row r="48749" spans="1:100">
      <c r="A48749" s="374"/>
      <c r="C48749" s="374"/>
      <c r="CV48749" s="376"/>
    </row>
    <row r="48750" spans="1:100">
      <c r="A48750" s="374"/>
      <c r="C48750" s="374"/>
      <c r="CV48750" s="376"/>
    </row>
    <row r="48751" spans="1:100">
      <c r="A48751" s="374"/>
      <c r="C48751" s="374"/>
      <c r="CV48751" s="376"/>
    </row>
    <row r="48752" spans="1:100">
      <c r="A48752" s="374"/>
      <c r="C48752" s="374"/>
      <c r="CV48752" s="376"/>
    </row>
    <row r="48753" spans="1:100">
      <c r="A48753" s="374"/>
      <c r="C48753" s="374"/>
      <c r="CV48753" s="376"/>
    </row>
    <row r="48754" spans="1:100">
      <c r="A48754" s="374"/>
      <c r="C48754" s="374"/>
      <c r="CV48754" s="376"/>
    </row>
    <row r="48755" spans="1:100">
      <c r="A48755" s="374"/>
      <c r="C48755" s="374"/>
      <c r="CV48755" s="376"/>
    </row>
    <row r="48756" spans="1:100">
      <c r="A48756" s="374"/>
      <c r="C48756" s="374"/>
      <c r="CV48756" s="376"/>
    </row>
    <row r="48757" spans="1:100">
      <c r="A48757" s="374"/>
      <c r="C48757" s="374"/>
      <c r="CV48757" s="376"/>
    </row>
    <row r="48758" spans="1:100">
      <c r="A48758" s="374"/>
      <c r="C48758" s="374"/>
      <c r="CV48758" s="376"/>
    </row>
    <row r="48759" spans="1:100">
      <c r="A48759" s="374"/>
      <c r="C48759" s="374"/>
      <c r="CV48759" s="376"/>
    </row>
    <row r="48760" spans="1:100">
      <c r="A48760" s="374"/>
      <c r="C48760" s="374"/>
      <c r="CV48760" s="376"/>
    </row>
    <row r="48761" spans="1:100">
      <c r="A48761" s="374"/>
      <c r="C48761" s="374"/>
      <c r="CV48761" s="376"/>
    </row>
    <row r="48762" spans="1:100">
      <c r="A48762" s="374"/>
      <c r="C48762" s="374"/>
      <c r="CV48762" s="376"/>
    </row>
    <row r="48763" spans="1:100">
      <c r="A48763" s="374"/>
      <c r="C48763" s="374"/>
      <c r="CV48763" s="376"/>
    </row>
    <row r="48764" spans="1:100">
      <c r="A48764" s="374"/>
      <c r="C48764" s="374"/>
      <c r="CV48764" s="376"/>
    </row>
    <row r="48765" spans="1:100">
      <c r="A48765" s="374"/>
      <c r="C48765" s="374"/>
      <c r="CV48765" s="376"/>
    </row>
    <row r="48766" spans="1:100">
      <c r="A48766" s="374"/>
      <c r="C48766" s="374"/>
      <c r="CV48766" s="376"/>
    </row>
    <row r="48767" spans="1:100">
      <c r="A48767" s="374"/>
      <c r="C48767" s="374"/>
      <c r="CV48767" s="376"/>
    </row>
    <row r="48768" spans="1:100">
      <c r="A48768" s="374"/>
      <c r="C48768" s="374"/>
      <c r="CV48768" s="376"/>
    </row>
    <row r="48769" spans="1:100">
      <c r="A48769" s="374"/>
      <c r="C48769" s="374"/>
      <c r="CV48769" s="376"/>
    </row>
    <row r="48770" spans="1:100">
      <c r="A48770" s="374"/>
      <c r="C48770" s="374"/>
      <c r="CV48770" s="376"/>
    </row>
    <row r="48771" spans="1:100">
      <c r="A48771" s="374"/>
      <c r="C48771" s="374"/>
      <c r="CV48771" s="376"/>
    </row>
    <row r="48772" spans="1:100">
      <c r="A48772" s="374"/>
      <c r="C48772" s="374"/>
      <c r="CV48772" s="376"/>
    </row>
    <row r="48773" spans="1:100">
      <c r="A48773" s="374"/>
      <c r="C48773" s="374"/>
      <c r="CV48773" s="376"/>
    </row>
    <row r="48774" spans="1:100">
      <c r="A48774" s="374"/>
      <c r="C48774" s="374"/>
      <c r="CV48774" s="376"/>
    </row>
    <row r="48775" spans="1:100">
      <c r="A48775" s="374"/>
      <c r="C48775" s="374"/>
      <c r="CV48775" s="376"/>
    </row>
    <row r="48776" spans="1:100">
      <c r="A48776" s="374"/>
      <c r="C48776" s="374"/>
      <c r="CV48776" s="376"/>
    </row>
    <row r="48777" spans="1:100">
      <c r="A48777" s="374"/>
      <c r="C48777" s="374"/>
      <c r="CV48777" s="376"/>
    </row>
    <row r="48778" spans="1:100">
      <c r="A48778" s="374"/>
      <c r="C48778" s="374"/>
      <c r="CV48778" s="376"/>
    </row>
    <row r="48779" spans="1:100">
      <c r="A48779" s="374"/>
      <c r="C48779" s="374"/>
      <c r="CV48779" s="376"/>
    </row>
    <row r="48780" spans="1:100">
      <c r="A48780" s="374"/>
      <c r="C48780" s="374"/>
      <c r="CV48780" s="376"/>
    </row>
    <row r="48781" spans="1:100">
      <c r="A48781" s="374"/>
      <c r="C48781" s="374"/>
      <c r="CV48781" s="376"/>
    </row>
    <row r="48782" spans="1:100">
      <c r="A48782" s="374"/>
      <c r="C48782" s="374"/>
      <c r="CV48782" s="376"/>
    </row>
    <row r="48783" spans="1:100">
      <c r="A48783" s="374"/>
      <c r="C48783" s="374"/>
      <c r="CV48783" s="376"/>
    </row>
    <row r="48784" spans="1:100">
      <c r="A48784" s="374"/>
      <c r="C48784" s="374"/>
      <c r="CV48784" s="376"/>
    </row>
    <row r="48785" spans="1:100">
      <c r="A48785" s="374"/>
      <c r="C48785" s="374"/>
      <c r="CV48785" s="376"/>
    </row>
    <row r="48786" spans="1:100">
      <c r="A48786" s="374"/>
      <c r="C48786" s="374"/>
      <c r="CV48786" s="376"/>
    </row>
    <row r="48787" spans="1:100">
      <c r="A48787" s="374"/>
      <c r="C48787" s="374"/>
      <c r="CV48787" s="376"/>
    </row>
    <row r="48788" spans="1:100">
      <c r="A48788" s="374"/>
      <c r="C48788" s="374"/>
      <c r="CV48788" s="376"/>
    </row>
    <row r="48789" spans="1:100">
      <c r="A48789" s="374"/>
      <c r="C48789" s="374"/>
      <c r="CV48789" s="376"/>
    </row>
    <row r="48790" spans="1:100">
      <c r="A48790" s="374"/>
      <c r="C48790" s="374"/>
      <c r="CV48790" s="376"/>
    </row>
    <row r="48791" spans="1:100">
      <c r="A48791" s="374"/>
      <c r="C48791" s="374"/>
      <c r="CV48791" s="376"/>
    </row>
    <row r="48792" spans="1:100">
      <c r="A48792" s="374"/>
      <c r="C48792" s="374"/>
      <c r="CV48792" s="376"/>
    </row>
    <row r="48793" spans="1:100">
      <c r="A48793" s="374"/>
      <c r="C48793" s="374"/>
      <c r="CV48793" s="376"/>
    </row>
    <row r="48794" spans="1:100">
      <c r="A48794" s="374"/>
      <c r="C48794" s="374"/>
      <c r="CV48794" s="376"/>
    </row>
    <row r="48795" spans="1:100">
      <c r="A48795" s="374"/>
      <c r="C48795" s="374"/>
      <c r="CV48795" s="376"/>
    </row>
    <row r="48796" spans="1:100">
      <c r="A48796" s="374"/>
      <c r="C48796" s="374"/>
      <c r="CV48796" s="376"/>
    </row>
    <row r="48797" spans="1:100">
      <c r="A48797" s="374"/>
      <c r="C48797" s="374"/>
      <c r="CV48797" s="376"/>
    </row>
    <row r="48798" spans="1:100">
      <c r="A48798" s="374"/>
      <c r="C48798" s="374"/>
      <c r="CV48798" s="376"/>
    </row>
    <row r="48799" spans="1:100">
      <c r="A48799" s="374"/>
      <c r="C48799" s="374"/>
      <c r="CV48799" s="376"/>
    </row>
    <row r="48800" spans="1:100">
      <c r="A48800" s="374"/>
      <c r="C48800" s="374"/>
      <c r="CV48800" s="376"/>
    </row>
    <row r="48801" spans="1:100">
      <c r="A48801" s="374"/>
      <c r="C48801" s="374"/>
      <c r="CV48801" s="376"/>
    </row>
    <row r="48802" spans="1:100">
      <c r="A48802" s="374"/>
      <c r="C48802" s="374"/>
      <c r="CV48802" s="376"/>
    </row>
    <row r="48803" spans="1:100">
      <c r="A48803" s="374"/>
      <c r="C48803" s="374"/>
      <c r="CV48803" s="376"/>
    </row>
    <row r="48804" spans="1:100">
      <c r="A48804" s="374"/>
      <c r="C48804" s="374"/>
      <c r="CV48804" s="376"/>
    </row>
    <row r="48805" spans="1:100">
      <c r="A48805" s="374"/>
      <c r="C48805" s="374"/>
      <c r="CV48805" s="376"/>
    </row>
    <row r="48806" spans="1:100">
      <c r="A48806" s="374"/>
      <c r="C48806" s="374"/>
      <c r="CV48806" s="376"/>
    </row>
    <row r="48807" spans="1:100">
      <c r="A48807" s="374"/>
      <c r="C48807" s="374"/>
      <c r="CV48807" s="376"/>
    </row>
    <row r="48808" spans="1:100">
      <c r="A48808" s="374"/>
      <c r="C48808" s="374"/>
      <c r="CV48808" s="376"/>
    </row>
    <row r="48809" spans="1:100">
      <c r="A48809" s="374"/>
      <c r="C48809" s="374"/>
      <c r="CV48809" s="376"/>
    </row>
    <row r="48810" spans="1:100">
      <c r="A48810" s="374"/>
      <c r="C48810" s="374"/>
      <c r="CV48810" s="376"/>
    </row>
    <row r="48811" spans="1:100">
      <c r="A48811" s="374"/>
      <c r="C48811" s="374"/>
      <c r="CV48811" s="376"/>
    </row>
    <row r="48812" spans="1:100">
      <c r="A48812" s="374"/>
      <c r="C48812" s="374"/>
      <c r="CV48812" s="376"/>
    </row>
    <row r="48813" spans="1:100">
      <c r="A48813" s="374"/>
      <c r="C48813" s="374"/>
      <c r="CV48813" s="376"/>
    </row>
    <row r="48814" spans="1:100">
      <c r="A48814" s="374"/>
      <c r="C48814" s="374"/>
      <c r="CV48814" s="376"/>
    </row>
    <row r="48815" spans="1:100">
      <c r="A48815" s="374"/>
      <c r="C48815" s="374"/>
      <c r="CV48815" s="376"/>
    </row>
    <row r="48816" spans="1:100">
      <c r="A48816" s="374"/>
      <c r="C48816" s="374"/>
      <c r="CV48816" s="376"/>
    </row>
    <row r="48817" spans="1:100">
      <c r="A48817" s="374"/>
      <c r="C48817" s="374"/>
      <c r="CV48817" s="376"/>
    </row>
    <row r="48818" spans="1:100">
      <c r="A48818" s="374"/>
      <c r="C48818" s="374"/>
      <c r="CV48818" s="376"/>
    </row>
    <row r="48819" spans="1:100">
      <c r="A48819" s="374"/>
      <c r="C48819" s="374"/>
      <c r="CV48819" s="376"/>
    </row>
    <row r="48820" spans="1:100">
      <c r="A48820" s="374"/>
      <c r="C48820" s="374"/>
      <c r="CV48820" s="376"/>
    </row>
    <row r="48821" spans="1:100">
      <c r="A48821" s="374"/>
      <c r="C48821" s="374"/>
      <c r="CV48821" s="376"/>
    </row>
    <row r="48822" spans="1:100">
      <c r="A48822" s="374"/>
      <c r="C48822" s="374"/>
      <c r="CV48822" s="376"/>
    </row>
    <row r="48823" spans="1:100">
      <c r="A48823" s="374"/>
      <c r="C48823" s="374"/>
      <c r="CV48823" s="376"/>
    </row>
    <row r="48824" spans="1:100">
      <c r="A48824" s="374"/>
      <c r="C48824" s="374"/>
      <c r="CV48824" s="376"/>
    </row>
    <row r="48825" spans="1:100">
      <c r="A48825" s="374"/>
      <c r="C48825" s="374"/>
      <c r="CV48825" s="376"/>
    </row>
    <row r="48826" spans="1:100">
      <c r="A48826" s="374"/>
      <c r="C48826" s="374"/>
      <c r="CV48826" s="376"/>
    </row>
    <row r="48827" spans="1:100">
      <c r="A48827" s="374"/>
      <c r="C48827" s="374"/>
      <c r="CV48827" s="376"/>
    </row>
    <row r="48828" spans="1:100">
      <c r="A48828" s="374"/>
      <c r="C48828" s="374"/>
      <c r="CV48828" s="376"/>
    </row>
    <row r="48829" spans="1:100">
      <c r="A48829" s="374"/>
      <c r="C48829" s="374"/>
      <c r="CV48829" s="376"/>
    </row>
    <row r="48830" spans="1:100">
      <c r="A48830" s="374"/>
      <c r="C48830" s="374"/>
      <c r="CV48830" s="376"/>
    </row>
    <row r="48831" spans="1:100">
      <c r="A48831" s="374"/>
      <c r="C48831" s="374"/>
      <c r="CV48831" s="376"/>
    </row>
    <row r="48832" spans="1:100">
      <c r="A48832" s="374"/>
      <c r="C48832" s="374"/>
      <c r="CV48832" s="376"/>
    </row>
    <row r="48833" spans="1:100">
      <c r="A48833" s="374"/>
      <c r="C48833" s="374"/>
      <c r="CV48833" s="376"/>
    </row>
    <row r="48834" spans="1:100">
      <c r="A48834" s="374"/>
      <c r="C48834" s="374"/>
      <c r="CV48834" s="376"/>
    </row>
    <row r="48835" spans="1:100">
      <c r="A48835" s="374"/>
      <c r="C48835" s="374"/>
      <c r="CV48835" s="376"/>
    </row>
    <row r="48836" spans="1:100">
      <c r="A48836" s="374"/>
      <c r="C48836" s="374"/>
      <c r="CV48836" s="376"/>
    </row>
    <row r="48837" spans="1:100">
      <c r="A48837" s="374"/>
      <c r="C48837" s="374"/>
      <c r="CV48837" s="376"/>
    </row>
    <row r="48838" spans="1:100">
      <c r="A48838" s="374"/>
      <c r="C48838" s="374"/>
      <c r="CV48838" s="376"/>
    </row>
    <row r="48839" spans="1:100">
      <c r="A48839" s="374"/>
      <c r="C48839" s="374"/>
      <c r="CV48839" s="376"/>
    </row>
    <row r="48840" spans="1:100">
      <c r="A48840" s="374"/>
      <c r="C48840" s="374"/>
      <c r="CV48840" s="376"/>
    </row>
    <row r="48841" spans="1:100">
      <c r="A48841" s="374"/>
      <c r="C48841" s="374"/>
      <c r="CV48841" s="376"/>
    </row>
    <row r="48842" spans="1:100">
      <c r="A48842" s="374"/>
      <c r="C48842" s="374"/>
      <c r="CV48842" s="376"/>
    </row>
    <row r="48843" spans="1:100">
      <c r="A48843" s="374"/>
      <c r="C48843" s="374"/>
      <c r="CV48843" s="376"/>
    </row>
    <row r="48844" spans="1:100">
      <c r="A48844" s="374"/>
      <c r="C48844" s="374"/>
      <c r="CV48844" s="376"/>
    </row>
    <row r="48845" spans="1:100">
      <c r="A48845" s="374"/>
      <c r="C48845" s="374"/>
      <c r="CV48845" s="376"/>
    </row>
    <row r="48846" spans="1:100">
      <c r="A48846" s="374"/>
      <c r="C48846" s="374"/>
      <c r="CV48846" s="376"/>
    </row>
    <row r="48847" spans="1:100">
      <c r="A48847" s="374"/>
      <c r="C48847" s="374"/>
      <c r="CV48847" s="376"/>
    </row>
    <row r="48848" spans="1:100">
      <c r="A48848" s="374"/>
      <c r="C48848" s="374"/>
      <c r="CV48848" s="376"/>
    </row>
    <row r="48849" spans="1:100">
      <c r="A48849" s="374"/>
      <c r="C48849" s="374"/>
      <c r="CV48849" s="376"/>
    </row>
    <row r="48850" spans="1:100">
      <c r="A48850" s="374"/>
      <c r="C48850" s="374"/>
      <c r="CV48850" s="376"/>
    </row>
    <row r="48851" spans="1:100">
      <c r="A48851" s="374"/>
      <c r="C48851" s="374"/>
      <c r="CV48851" s="376"/>
    </row>
    <row r="48852" spans="1:100">
      <c r="A48852" s="374"/>
      <c r="C48852" s="374"/>
      <c r="CV48852" s="376"/>
    </row>
    <row r="48853" spans="1:100">
      <c r="A48853" s="374"/>
      <c r="C48853" s="374"/>
      <c r="CV48853" s="376"/>
    </row>
    <row r="48854" spans="1:100">
      <c r="A48854" s="374"/>
      <c r="C48854" s="374"/>
      <c r="CV48854" s="376"/>
    </row>
    <row r="48855" spans="1:100">
      <c r="A48855" s="374"/>
      <c r="C48855" s="374"/>
      <c r="CV48855" s="376"/>
    </row>
    <row r="48856" spans="1:100">
      <c r="A48856" s="374"/>
      <c r="C48856" s="374"/>
      <c r="CV48856" s="376"/>
    </row>
    <row r="48857" spans="1:100">
      <c r="A48857" s="374"/>
      <c r="C48857" s="374"/>
      <c r="CV48857" s="376"/>
    </row>
    <row r="48858" spans="1:100">
      <c r="A48858" s="374"/>
      <c r="C48858" s="374"/>
      <c r="CV48858" s="376"/>
    </row>
    <row r="48859" spans="1:100">
      <c r="A48859" s="374"/>
      <c r="C48859" s="374"/>
      <c r="CV48859" s="376"/>
    </row>
    <row r="48860" spans="1:100">
      <c r="A48860" s="374"/>
      <c r="C48860" s="374"/>
      <c r="CV48860" s="376"/>
    </row>
    <row r="48861" spans="1:100">
      <c r="A48861" s="374"/>
      <c r="C48861" s="374"/>
      <c r="CV48861" s="376"/>
    </row>
    <row r="48862" spans="1:100">
      <c r="A48862" s="374"/>
      <c r="C48862" s="374"/>
      <c r="CV48862" s="376"/>
    </row>
    <row r="48863" spans="1:100">
      <c r="A48863" s="374"/>
      <c r="C48863" s="374"/>
      <c r="CV48863" s="376"/>
    </row>
    <row r="48864" spans="1:100">
      <c r="A48864" s="374"/>
      <c r="C48864" s="374"/>
      <c r="CV48864" s="376"/>
    </row>
    <row r="48865" spans="1:100">
      <c r="A48865" s="374"/>
      <c r="C48865" s="374"/>
      <c r="CV48865" s="376"/>
    </row>
    <row r="48866" spans="1:100">
      <c r="A48866" s="374"/>
      <c r="C48866" s="374"/>
      <c r="CV48866" s="376"/>
    </row>
    <row r="48867" spans="1:100">
      <c r="A48867" s="374"/>
      <c r="C48867" s="374"/>
      <c r="CV48867" s="376"/>
    </row>
    <row r="48868" spans="1:100">
      <c r="A48868" s="374"/>
      <c r="C48868" s="374"/>
      <c r="CV48868" s="376"/>
    </row>
    <row r="48869" spans="1:100">
      <c r="A48869" s="374"/>
      <c r="C48869" s="374"/>
      <c r="CV48869" s="376"/>
    </row>
    <row r="48870" spans="1:100">
      <c r="A48870" s="374"/>
      <c r="C48870" s="374"/>
      <c r="CV48870" s="376"/>
    </row>
    <row r="48871" spans="1:100">
      <c r="A48871" s="374"/>
      <c r="C48871" s="374"/>
      <c r="CV48871" s="376"/>
    </row>
    <row r="48872" spans="1:100">
      <c r="A48872" s="374"/>
      <c r="C48872" s="374"/>
      <c r="CV48872" s="376"/>
    </row>
    <row r="48873" spans="1:100">
      <c r="A48873" s="374"/>
      <c r="C48873" s="374"/>
      <c r="CV48873" s="376"/>
    </row>
    <row r="48874" spans="1:100">
      <c r="A48874" s="374"/>
      <c r="C48874" s="374"/>
      <c r="CV48874" s="376"/>
    </row>
    <row r="48875" spans="1:100">
      <c r="A48875" s="374"/>
      <c r="C48875" s="374"/>
      <c r="CV48875" s="376"/>
    </row>
    <row r="48876" spans="1:100">
      <c r="A48876" s="374"/>
      <c r="C48876" s="374"/>
      <c r="CV48876" s="376"/>
    </row>
    <row r="48877" spans="1:100">
      <c r="A48877" s="374"/>
      <c r="C48877" s="374"/>
      <c r="CV48877" s="376"/>
    </row>
    <row r="48878" spans="1:100">
      <c r="A48878" s="374"/>
      <c r="C48878" s="374"/>
      <c r="CV48878" s="376"/>
    </row>
    <row r="48879" spans="1:100">
      <c r="A48879" s="374"/>
      <c r="C48879" s="374"/>
      <c r="CV48879" s="376"/>
    </row>
    <row r="48880" spans="1:100">
      <c r="A48880" s="374"/>
      <c r="C48880" s="374"/>
      <c r="CV48880" s="376"/>
    </row>
    <row r="48881" spans="1:100">
      <c r="A48881" s="374"/>
      <c r="C48881" s="374"/>
      <c r="CV48881" s="376"/>
    </row>
    <row r="48882" spans="1:100">
      <c r="A48882" s="374"/>
      <c r="C48882" s="374"/>
      <c r="CV48882" s="376"/>
    </row>
    <row r="48883" spans="1:100">
      <c r="A48883" s="374"/>
      <c r="C48883" s="374"/>
      <c r="CV48883" s="376"/>
    </row>
    <row r="48884" spans="1:100">
      <c r="A48884" s="374"/>
      <c r="C48884" s="374"/>
      <c r="CV48884" s="376"/>
    </row>
    <row r="48885" spans="1:100">
      <c r="A48885" s="374"/>
      <c r="C48885" s="374"/>
      <c r="CV48885" s="376"/>
    </row>
    <row r="48886" spans="1:100">
      <c r="A48886" s="374"/>
      <c r="C48886" s="374"/>
      <c r="CV48886" s="376"/>
    </row>
    <row r="48887" spans="1:100">
      <c r="A48887" s="374"/>
      <c r="C48887" s="374"/>
      <c r="CV48887" s="376"/>
    </row>
    <row r="48888" spans="1:100">
      <c r="A48888" s="374"/>
      <c r="C48888" s="374"/>
      <c r="CV48888" s="376"/>
    </row>
    <row r="48889" spans="1:100">
      <c r="A48889" s="374"/>
      <c r="C48889" s="374"/>
      <c r="CV48889" s="376"/>
    </row>
    <row r="48890" spans="1:100">
      <c r="A48890" s="374"/>
      <c r="C48890" s="374"/>
      <c r="CV48890" s="376"/>
    </row>
    <row r="48891" spans="1:100">
      <c r="A48891" s="374"/>
      <c r="C48891" s="374"/>
      <c r="CV48891" s="376"/>
    </row>
    <row r="48892" spans="1:100">
      <c r="A48892" s="374"/>
      <c r="C48892" s="374"/>
      <c r="CV48892" s="376"/>
    </row>
    <row r="48893" spans="1:100">
      <c r="A48893" s="374"/>
      <c r="C48893" s="374"/>
      <c r="CV48893" s="376"/>
    </row>
    <row r="48894" spans="1:100">
      <c r="A48894" s="374"/>
      <c r="C48894" s="374"/>
      <c r="CV48894" s="376"/>
    </row>
    <row r="48895" spans="1:100">
      <c r="A48895" s="374"/>
      <c r="C48895" s="374"/>
      <c r="CV48895" s="376"/>
    </row>
    <row r="48896" spans="1:100">
      <c r="A48896" s="374"/>
      <c r="C48896" s="374"/>
      <c r="CV48896" s="376"/>
    </row>
    <row r="48897" spans="1:100">
      <c r="A48897" s="374"/>
      <c r="C48897" s="374"/>
      <c r="CV48897" s="376"/>
    </row>
    <row r="48898" spans="1:100">
      <c r="A48898" s="374"/>
      <c r="C48898" s="374"/>
      <c r="CV48898" s="376"/>
    </row>
    <row r="48899" spans="1:100">
      <c r="A48899" s="374"/>
      <c r="C48899" s="374"/>
      <c r="CV48899" s="376"/>
    </row>
    <row r="48900" spans="1:100">
      <c r="A48900" s="374"/>
      <c r="C48900" s="374"/>
      <c r="CV48900" s="376"/>
    </row>
    <row r="48901" spans="1:100">
      <c r="A48901" s="374"/>
      <c r="C48901" s="374"/>
      <c r="CV48901" s="376"/>
    </row>
    <row r="48902" spans="1:100">
      <c r="A48902" s="374"/>
      <c r="C48902" s="374"/>
      <c r="CV48902" s="376"/>
    </row>
    <row r="48903" spans="1:100">
      <c r="A48903" s="374"/>
      <c r="C48903" s="374"/>
      <c r="CV48903" s="376"/>
    </row>
    <row r="48904" spans="1:100">
      <c r="A48904" s="374"/>
      <c r="C48904" s="374"/>
      <c r="CV48904" s="376"/>
    </row>
    <row r="48905" spans="1:100">
      <c r="A48905" s="374"/>
      <c r="C48905" s="374"/>
      <c r="CV48905" s="376"/>
    </row>
    <row r="48906" spans="1:100">
      <c r="A48906" s="374"/>
      <c r="C48906" s="374"/>
      <c r="CV48906" s="376"/>
    </row>
    <row r="48907" spans="1:100">
      <c r="A48907" s="374"/>
      <c r="C48907" s="374"/>
      <c r="CV48907" s="376"/>
    </row>
    <row r="48908" spans="1:100">
      <c r="A48908" s="374"/>
      <c r="C48908" s="374"/>
      <c r="CV48908" s="376"/>
    </row>
    <row r="48909" spans="1:100">
      <c r="A48909" s="374"/>
      <c r="C48909" s="374"/>
      <c r="CV48909" s="376"/>
    </row>
    <row r="48910" spans="1:100">
      <c r="A48910" s="374"/>
      <c r="C48910" s="374"/>
      <c r="CV48910" s="376"/>
    </row>
    <row r="48911" spans="1:100">
      <c r="A48911" s="374"/>
      <c r="C48911" s="374"/>
      <c r="CV48911" s="376"/>
    </row>
    <row r="48912" spans="1:100">
      <c r="A48912" s="374"/>
      <c r="C48912" s="374"/>
      <c r="CV48912" s="376"/>
    </row>
    <row r="48913" spans="1:100">
      <c r="A48913" s="374"/>
      <c r="C48913" s="374"/>
      <c r="CV48913" s="376"/>
    </row>
    <row r="48914" spans="1:100">
      <c r="A48914" s="374"/>
      <c r="C48914" s="374"/>
      <c r="CV48914" s="376"/>
    </row>
    <row r="48915" spans="1:100">
      <c r="A48915" s="374"/>
      <c r="C48915" s="374"/>
      <c r="CV48915" s="376"/>
    </row>
    <row r="48916" spans="1:100">
      <c r="A48916" s="374"/>
      <c r="C48916" s="374"/>
      <c r="CV48916" s="376"/>
    </row>
    <row r="48917" spans="1:100">
      <c r="A48917" s="374"/>
      <c r="C48917" s="374"/>
      <c r="CV48917" s="376"/>
    </row>
    <row r="48918" spans="1:100">
      <c r="A48918" s="374"/>
      <c r="C48918" s="374"/>
      <c r="CV48918" s="376"/>
    </row>
    <row r="48919" spans="1:100">
      <c r="A48919" s="374"/>
      <c r="C48919" s="374"/>
      <c r="CV48919" s="376"/>
    </row>
    <row r="48920" spans="1:100">
      <c r="A48920" s="374"/>
      <c r="C48920" s="374"/>
      <c r="CV48920" s="376"/>
    </row>
    <row r="48921" spans="1:100">
      <c r="A48921" s="374"/>
      <c r="C48921" s="374"/>
      <c r="CV48921" s="376"/>
    </row>
    <row r="48922" spans="1:100">
      <c r="A48922" s="374"/>
      <c r="C48922" s="374"/>
      <c r="CV48922" s="376"/>
    </row>
    <row r="48923" spans="1:100">
      <c r="A48923" s="374"/>
      <c r="C48923" s="374"/>
      <c r="CV48923" s="376"/>
    </row>
    <row r="48924" spans="1:100">
      <c r="A48924" s="374"/>
      <c r="C48924" s="374"/>
      <c r="CV48924" s="376"/>
    </row>
    <row r="48925" spans="1:100">
      <c r="A48925" s="374"/>
      <c r="C48925" s="374"/>
      <c r="CV48925" s="376"/>
    </row>
    <row r="48926" spans="1:100">
      <c r="A48926" s="374"/>
      <c r="C48926" s="374"/>
      <c r="CV48926" s="376"/>
    </row>
    <row r="48927" spans="1:100">
      <c r="A48927" s="374"/>
      <c r="C48927" s="374"/>
      <c r="CV48927" s="376"/>
    </row>
    <row r="48928" spans="1:100">
      <c r="A48928" s="374"/>
      <c r="C48928" s="374"/>
      <c r="CV48928" s="376"/>
    </row>
    <row r="48929" spans="1:100">
      <c r="A48929" s="374"/>
      <c r="C48929" s="374"/>
      <c r="CV48929" s="376"/>
    </row>
    <row r="48930" spans="1:100">
      <c r="A48930" s="374"/>
      <c r="C48930" s="374"/>
      <c r="CV48930" s="376"/>
    </row>
    <row r="48931" spans="1:100">
      <c r="A48931" s="374"/>
      <c r="C48931" s="374"/>
      <c r="CV48931" s="376"/>
    </row>
    <row r="48932" spans="1:100">
      <c r="A48932" s="374"/>
      <c r="C48932" s="374"/>
      <c r="CV48932" s="376"/>
    </row>
    <row r="48933" spans="1:100">
      <c r="A48933" s="374"/>
      <c r="C48933" s="374"/>
      <c r="CV48933" s="376"/>
    </row>
    <row r="48934" spans="1:100">
      <c r="A48934" s="374"/>
      <c r="C48934" s="374"/>
      <c r="CV48934" s="376"/>
    </row>
    <row r="48935" spans="1:100">
      <c r="A48935" s="374"/>
      <c r="C48935" s="374"/>
      <c r="CV48935" s="376"/>
    </row>
    <row r="48936" spans="1:100">
      <c r="A48936" s="374"/>
      <c r="C48936" s="374"/>
      <c r="CV48936" s="376"/>
    </row>
    <row r="48937" spans="1:100">
      <c r="A48937" s="374"/>
      <c r="C48937" s="374"/>
      <c r="CV48937" s="376"/>
    </row>
    <row r="48938" spans="1:100">
      <c r="A48938" s="374"/>
      <c r="C48938" s="374"/>
      <c r="CV48938" s="376"/>
    </row>
    <row r="48939" spans="1:100">
      <c r="A48939" s="374"/>
      <c r="C48939" s="374"/>
      <c r="CV48939" s="376"/>
    </row>
    <row r="48940" spans="1:100">
      <c r="A48940" s="374"/>
      <c r="C48940" s="374"/>
      <c r="CV48940" s="376"/>
    </row>
    <row r="48941" spans="1:100">
      <c r="A48941" s="374"/>
      <c r="C48941" s="374"/>
      <c r="CV48941" s="376"/>
    </row>
    <row r="48942" spans="1:100">
      <c r="A48942" s="374"/>
      <c r="C48942" s="374"/>
      <c r="CV48942" s="376"/>
    </row>
    <row r="48943" spans="1:100">
      <c r="A48943" s="374"/>
      <c r="C48943" s="374"/>
      <c r="CV48943" s="376"/>
    </row>
    <row r="48944" spans="1:100">
      <c r="A48944" s="374"/>
      <c r="C48944" s="374"/>
      <c r="CV48944" s="376"/>
    </row>
    <row r="48945" spans="1:100">
      <c r="A48945" s="374"/>
      <c r="C48945" s="374"/>
      <c r="CV48945" s="376"/>
    </row>
    <row r="48946" spans="1:100">
      <c r="A48946" s="374"/>
      <c r="C48946" s="374"/>
      <c r="CV48946" s="376"/>
    </row>
    <row r="48947" spans="1:100">
      <c r="A48947" s="374"/>
      <c r="C48947" s="374"/>
      <c r="CV48947" s="376"/>
    </row>
    <row r="48948" spans="1:100">
      <c r="A48948" s="374"/>
      <c r="C48948" s="374"/>
      <c r="CV48948" s="376"/>
    </row>
    <row r="48949" spans="1:100">
      <c r="A48949" s="374"/>
      <c r="C48949" s="374"/>
      <c r="CV48949" s="376"/>
    </row>
    <row r="48950" spans="1:100">
      <c r="A48950" s="374"/>
      <c r="C48950" s="374"/>
      <c r="CV48950" s="376"/>
    </row>
    <row r="48951" spans="1:100">
      <c r="A48951" s="374"/>
      <c r="C48951" s="374"/>
      <c r="CV48951" s="376"/>
    </row>
    <row r="48952" spans="1:100">
      <c r="A48952" s="374"/>
      <c r="C48952" s="374"/>
      <c r="CV48952" s="376"/>
    </row>
    <row r="48953" spans="1:100">
      <c r="A48953" s="374"/>
      <c r="C48953" s="374"/>
      <c r="CV48953" s="376"/>
    </row>
    <row r="48954" spans="1:100">
      <c r="A48954" s="374"/>
      <c r="C48954" s="374"/>
      <c r="CV48954" s="376"/>
    </row>
    <row r="48955" spans="1:100">
      <c r="A48955" s="374"/>
      <c r="C48955" s="374"/>
      <c r="CV48955" s="376"/>
    </row>
    <row r="48956" spans="1:100">
      <c r="A48956" s="374"/>
      <c r="C48956" s="374"/>
      <c r="CV48956" s="376"/>
    </row>
    <row r="48957" spans="1:100">
      <c r="A48957" s="374"/>
      <c r="C48957" s="374"/>
      <c r="CV48957" s="376"/>
    </row>
    <row r="48958" spans="1:100">
      <c r="A48958" s="374"/>
      <c r="C48958" s="374"/>
      <c r="CV48958" s="376"/>
    </row>
    <row r="48959" spans="1:100">
      <c r="A48959" s="374"/>
      <c r="C48959" s="374"/>
      <c r="CV48959" s="376"/>
    </row>
    <row r="48960" spans="1:100">
      <c r="A48960" s="374"/>
      <c r="C48960" s="374"/>
      <c r="CV48960" s="376"/>
    </row>
    <row r="48961" spans="1:100">
      <c r="A48961" s="374"/>
      <c r="C48961" s="374"/>
      <c r="CV48961" s="376"/>
    </row>
    <row r="48962" spans="1:100">
      <c r="A48962" s="374"/>
      <c r="C48962" s="374"/>
      <c r="CV48962" s="376"/>
    </row>
    <row r="48963" spans="1:100">
      <c r="A48963" s="374"/>
      <c r="C48963" s="374"/>
      <c r="CV48963" s="376"/>
    </row>
    <row r="48964" spans="1:100">
      <c r="A48964" s="374"/>
      <c r="C48964" s="374"/>
      <c r="CV48964" s="376"/>
    </row>
    <row r="48965" spans="1:100">
      <c r="A48965" s="374"/>
      <c r="C48965" s="374"/>
      <c r="CV48965" s="376"/>
    </row>
    <row r="48966" spans="1:100">
      <c r="A48966" s="374"/>
      <c r="C48966" s="374"/>
      <c r="CV48966" s="376"/>
    </row>
    <row r="48967" spans="1:100">
      <c r="A48967" s="374"/>
      <c r="C48967" s="374"/>
      <c r="CV48967" s="376"/>
    </row>
    <row r="48968" spans="1:100">
      <c r="A48968" s="374"/>
      <c r="C48968" s="374"/>
      <c r="CV48968" s="376"/>
    </row>
    <row r="48969" spans="1:100">
      <c r="A48969" s="374"/>
      <c r="C48969" s="374"/>
      <c r="CV48969" s="376"/>
    </row>
    <row r="48970" spans="1:100">
      <c r="A48970" s="374"/>
      <c r="C48970" s="374"/>
      <c r="CV48970" s="376"/>
    </row>
    <row r="48971" spans="1:100">
      <c r="A48971" s="374"/>
      <c r="C48971" s="374"/>
      <c r="CV48971" s="376"/>
    </row>
    <row r="48972" spans="1:100">
      <c r="A48972" s="374"/>
      <c r="C48972" s="374"/>
      <c r="CV48972" s="376"/>
    </row>
    <row r="48973" spans="1:100">
      <c r="A48973" s="374"/>
      <c r="C48973" s="374"/>
      <c r="CV48973" s="376"/>
    </row>
    <row r="48974" spans="1:100">
      <c r="A48974" s="374"/>
      <c r="C48974" s="374"/>
      <c r="CV48974" s="376"/>
    </row>
    <row r="48975" spans="1:100">
      <c r="A48975" s="374"/>
      <c r="C48975" s="374"/>
      <c r="CV48975" s="376"/>
    </row>
    <row r="48976" spans="1:100">
      <c r="A48976" s="374"/>
      <c r="C48976" s="374"/>
      <c r="CV48976" s="376"/>
    </row>
    <row r="48977" spans="1:100">
      <c r="A48977" s="374"/>
      <c r="C48977" s="374"/>
      <c r="CV48977" s="376"/>
    </row>
    <row r="48978" spans="1:100">
      <c r="A48978" s="374"/>
      <c r="C48978" s="374"/>
      <c r="CV48978" s="376"/>
    </row>
    <row r="48979" spans="1:100">
      <c r="A48979" s="374"/>
      <c r="C48979" s="374"/>
      <c r="CV48979" s="376"/>
    </row>
    <row r="48980" spans="1:100">
      <c r="A48980" s="374"/>
      <c r="C48980" s="374"/>
      <c r="CV48980" s="376"/>
    </row>
    <row r="48981" spans="1:100">
      <c r="A48981" s="374"/>
      <c r="C48981" s="374"/>
      <c r="CV48981" s="376"/>
    </row>
    <row r="48982" spans="1:100">
      <c r="A48982" s="374"/>
      <c r="C48982" s="374"/>
      <c r="CV48982" s="376"/>
    </row>
    <row r="48983" spans="1:100">
      <c r="A48983" s="374"/>
      <c r="C48983" s="374"/>
      <c r="CV48983" s="376"/>
    </row>
    <row r="48984" spans="1:100">
      <c r="A48984" s="374"/>
      <c r="C48984" s="374"/>
      <c r="CV48984" s="376"/>
    </row>
    <row r="48985" spans="1:100">
      <c r="A48985" s="374"/>
      <c r="C48985" s="374"/>
      <c r="CV48985" s="376"/>
    </row>
    <row r="48986" spans="1:100">
      <c r="A48986" s="374"/>
      <c r="C48986" s="374"/>
      <c r="CV48986" s="376"/>
    </row>
    <row r="48987" spans="1:100">
      <c r="A48987" s="374"/>
      <c r="C48987" s="374"/>
      <c r="CV48987" s="376"/>
    </row>
    <row r="48988" spans="1:100">
      <c r="A48988" s="374"/>
      <c r="C48988" s="374"/>
      <c r="CV48988" s="376"/>
    </row>
    <row r="48989" spans="1:100">
      <c r="A48989" s="374"/>
      <c r="C48989" s="374"/>
      <c r="CV48989" s="376"/>
    </row>
    <row r="48990" spans="1:100">
      <c r="A48990" s="374"/>
      <c r="C48990" s="374"/>
      <c r="CV48990" s="376"/>
    </row>
    <row r="48991" spans="1:100">
      <c r="A48991" s="374"/>
      <c r="C48991" s="374"/>
      <c r="CV48991" s="376"/>
    </row>
    <row r="48992" spans="1:100">
      <c r="A48992" s="374"/>
      <c r="C48992" s="374"/>
      <c r="CV48992" s="376"/>
    </row>
    <row r="48993" spans="1:100">
      <c r="A48993" s="374"/>
      <c r="C48993" s="374"/>
      <c r="CV48993" s="376"/>
    </row>
    <row r="48994" spans="1:100">
      <c r="A48994" s="374"/>
      <c r="C48994" s="374"/>
      <c r="CV48994" s="376"/>
    </row>
    <row r="48995" spans="1:100">
      <c r="A48995" s="374"/>
      <c r="C48995" s="374"/>
      <c r="CV48995" s="376"/>
    </row>
    <row r="48996" spans="1:100">
      <c r="A48996" s="374"/>
      <c r="C48996" s="374"/>
      <c r="CV48996" s="376"/>
    </row>
    <row r="48997" spans="1:100">
      <c r="A48997" s="374"/>
      <c r="C48997" s="374"/>
      <c r="CV48997" s="376"/>
    </row>
    <row r="48998" spans="1:100">
      <c r="A48998" s="374"/>
      <c r="C48998" s="374"/>
      <c r="CV48998" s="376"/>
    </row>
    <row r="48999" spans="1:100">
      <c r="A48999" s="374"/>
      <c r="C48999" s="374"/>
      <c r="CV48999" s="376"/>
    </row>
    <row r="49000" spans="1:100">
      <c r="A49000" s="374"/>
      <c r="C49000" s="374"/>
      <c r="CV49000" s="376"/>
    </row>
    <row r="49001" spans="1:100">
      <c r="A49001" s="374"/>
      <c r="C49001" s="374"/>
      <c r="CV49001" s="376"/>
    </row>
    <row r="49002" spans="1:100">
      <c r="A49002" s="374"/>
      <c r="C49002" s="374"/>
      <c r="CV49002" s="376"/>
    </row>
    <row r="49003" spans="1:100">
      <c r="A49003" s="374"/>
      <c r="C49003" s="374"/>
      <c r="CV49003" s="376"/>
    </row>
    <row r="49004" spans="1:100">
      <c r="A49004" s="374"/>
      <c r="C49004" s="374"/>
      <c r="CV49004" s="376"/>
    </row>
    <row r="49005" spans="1:100">
      <c r="A49005" s="374"/>
      <c r="C49005" s="374"/>
      <c r="CV49005" s="376"/>
    </row>
    <row r="49006" spans="1:100">
      <c r="A49006" s="374"/>
      <c r="C49006" s="374"/>
      <c r="CV49006" s="376"/>
    </row>
    <row r="49007" spans="1:100">
      <c r="A49007" s="374"/>
      <c r="C49007" s="374"/>
      <c r="CV49007" s="376"/>
    </row>
    <row r="49008" spans="1:100">
      <c r="A49008" s="374"/>
      <c r="C49008" s="374"/>
      <c r="CV49008" s="376"/>
    </row>
    <row r="49009" spans="1:100">
      <c r="A49009" s="374"/>
      <c r="C49009" s="374"/>
      <c r="CV49009" s="376"/>
    </row>
    <row r="49010" spans="1:100">
      <c r="A49010" s="374"/>
      <c r="C49010" s="374"/>
      <c r="CV49010" s="376"/>
    </row>
    <row r="49011" spans="1:100">
      <c r="A49011" s="374"/>
      <c r="C49011" s="374"/>
      <c r="CV49011" s="376"/>
    </row>
    <row r="49012" spans="1:100">
      <c r="A49012" s="374"/>
      <c r="C49012" s="374"/>
      <c r="CV49012" s="376"/>
    </row>
    <row r="49013" spans="1:100">
      <c r="A49013" s="374"/>
      <c r="C49013" s="374"/>
      <c r="CV49013" s="376"/>
    </row>
    <row r="49014" spans="1:100">
      <c r="A49014" s="374"/>
      <c r="C49014" s="374"/>
      <c r="CV49014" s="376"/>
    </row>
    <row r="49015" spans="1:100">
      <c r="A49015" s="374"/>
      <c r="C49015" s="374"/>
      <c r="CV49015" s="376"/>
    </row>
    <row r="49016" spans="1:100">
      <c r="A49016" s="374"/>
      <c r="C49016" s="374"/>
      <c r="CV49016" s="376"/>
    </row>
    <row r="49017" spans="1:100">
      <c r="A49017" s="374"/>
      <c r="C49017" s="374"/>
      <c r="CV49017" s="376"/>
    </row>
    <row r="49018" spans="1:100">
      <c r="A49018" s="374"/>
      <c r="C49018" s="374"/>
      <c r="CV49018" s="376"/>
    </row>
    <row r="49019" spans="1:100">
      <c r="A49019" s="374"/>
      <c r="C49019" s="374"/>
      <c r="CV49019" s="376"/>
    </row>
    <row r="49020" spans="1:100">
      <c r="A49020" s="374"/>
      <c r="C49020" s="374"/>
      <c r="CV49020" s="376"/>
    </row>
    <row r="49021" spans="1:100">
      <c r="A49021" s="374"/>
      <c r="C49021" s="374"/>
      <c r="CV49021" s="376"/>
    </row>
    <row r="49022" spans="1:100">
      <c r="A49022" s="374"/>
      <c r="C49022" s="374"/>
      <c r="CV49022" s="376"/>
    </row>
    <row r="49023" spans="1:100">
      <c r="A49023" s="374"/>
      <c r="C49023" s="374"/>
      <c r="CV49023" s="376"/>
    </row>
    <row r="49024" spans="1:100">
      <c r="A49024" s="374"/>
      <c r="C49024" s="374"/>
      <c r="CV49024" s="376"/>
    </row>
    <row r="49025" spans="1:100">
      <c r="A49025" s="374"/>
      <c r="C49025" s="374"/>
      <c r="CV49025" s="376"/>
    </row>
    <row r="49026" spans="1:100">
      <c r="A49026" s="374"/>
      <c r="C49026" s="374"/>
      <c r="CV49026" s="376"/>
    </row>
    <row r="49027" spans="1:100">
      <c r="A49027" s="374"/>
      <c r="C49027" s="374"/>
      <c r="CV49027" s="376"/>
    </row>
    <row r="49028" spans="1:100">
      <c r="A49028" s="374"/>
      <c r="C49028" s="374"/>
      <c r="CV49028" s="376"/>
    </row>
    <row r="49029" spans="1:100">
      <c r="A49029" s="374"/>
      <c r="C49029" s="374"/>
      <c r="CV49029" s="376"/>
    </row>
    <row r="49030" spans="1:100">
      <c r="A49030" s="374"/>
      <c r="C49030" s="374"/>
      <c r="CV49030" s="376"/>
    </row>
    <row r="49031" spans="1:100">
      <c r="A49031" s="374"/>
      <c r="C49031" s="374"/>
      <c r="CV49031" s="376"/>
    </row>
    <row r="49032" spans="1:100">
      <c r="A49032" s="374"/>
      <c r="C49032" s="374"/>
      <c r="CV49032" s="376"/>
    </row>
    <row r="49033" spans="1:100">
      <c r="A49033" s="374"/>
      <c r="C49033" s="374"/>
      <c r="CV49033" s="376"/>
    </row>
    <row r="49034" spans="1:100">
      <c r="A49034" s="374"/>
      <c r="C49034" s="374"/>
      <c r="CV49034" s="376"/>
    </row>
    <row r="49035" spans="1:100">
      <c r="A49035" s="374"/>
      <c r="C49035" s="374"/>
      <c r="CV49035" s="376"/>
    </row>
    <row r="49036" spans="1:100">
      <c r="A49036" s="374"/>
      <c r="C49036" s="374"/>
      <c r="CV49036" s="376"/>
    </row>
    <row r="49037" spans="1:100">
      <c r="A49037" s="374"/>
      <c r="C49037" s="374"/>
      <c r="CV49037" s="376"/>
    </row>
    <row r="49038" spans="1:100">
      <c r="A49038" s="374"/>
      <c r="C49038" s="374"/>
      <c r="CV49038" s="376"/>
    </row>
    <row r="49039" spans="1:100">
      <c r="A49039" s="374"/>
      <c r="C49039" s="374"/>
      <c r="CV49039" s="376"/>
    </row>
    <row r="49040" spans="1:100">
      <c r="A49040" s="374"/>
      <c r="C49040" s="374"/>
      <c r="CV49040" s="376"/>
    </row>
    <row r="49041" spans="1:100">
      <c r="A49041" s="374"/>
      <c r="C49041" s="374"/>
      <c r="CV49041" s="376"/>
    </row>
    <row r="49042" spans="1:100">
      <c r="A49042" s="374"/>
      <c r="C49042" s="374"/>
      <c r="CV49042" s="376"/>
    </row>
    <row r="49043" spans="1:100">
      <c r="A49043" s="374"/>
      <c r="C49043" s="374"/>
      <c r="CV49043" s="376"/>
    </row>
    <row r="49044" spans="1:100">
      <c r="A49044" s="374"/>
      <c r="C49044" s="374"/>
      <c r="CV49044" s="376"/>
    </row>
    <row r="49045" spans="1:100">
      <c r="A49045" s="374"/>
      <c r="C49045" s="374"/>
      <c r="CV49045" s="376"/>
    </row>
    <row r="49046" spans="1:100">
      <c r="A49046" s="374"/>
      <c r="C49046" s="374"/>
      <c r="CV49046" s="376"/>
    </row>
    <row r="49047" spans="1:100">
      <c r="A49047" s="374"/>
      <c r="C49047" s="374"/>
      <c r="CV49047" s="376"/>
    </row>
    <row r="49048" spans="1:100">
      <c r="A49048" s="374"/>
      <c r="C49048" s="374"/>
      <c r="CV49048" s="376"/>
    </row>
    <row r="49049" spans="1:100">
      <c r="A49049" s="374"/>
      <c r="C49049" s="374"/>
      <c r="CV49049" s="376"/>
    </row>
    <row r="49050" spans="1:100">
      <c r="A49050" s="374"/>
      <c r="C49050" s="374"/>
      <c r="CV49050" s="376"/>
    </row>
    <row r="49051" spans="1:100">
      <c r="A49051" s="374"/>
      <c r="C49051" s="374"/>
      <c r="CV49051" s="376"/>
    </row>
    <row r="49052" spans="1:100">
      <c r="A49052" s="374"/>
      <c r="C49052" s="374"/>
      <c r="CV49052" s="376"/>
    </row>
    <row r="49053" spans="1:100">
      <c r="A49053" s="374"/>
      <c r="C49053" s="374"/>
      <c r="CV49053" s="376"/>
    </row>
    <row r="49054" spans="1:100">
      <c r="A49054" s="374"/>
      <c r="C49054" s="374"/>
      <c r="CV49054" s="376"/>
    </row>
    <row r="49055" spans="1:100">
      <c r="A49055" s="374"/>
      <c r="C49055" s="374"/>
      <c r="CV49055" s="376"/>
    </row>
    <row r="49056" spans="1:100">
      <c r="A49056" s="374"/>
      <c r="C49056" s="374"/>
      <c r="CV49056" s="376"/>
    </row>
    <row r="49057" spans="1:100">
      <c r="A49057" s="374"/>
      <c r="C49057" s="374"/>
      <c r="CV49057" s="376"/>
    </row>
    <row r="49058" spans="1:100">
      <c r="A49058" s="374"/>
      <c r="C49058" s="374"/>
      <c r="CV49058" s="376"/>
    </row>
    <row r="49059" spans="1:100">
      <c r="A49059" s="374"/>
      <c r="C49059" s="374"/>
      <c r="CV49059" s="376"/>
    </row>
    <row r="49060" spans="1:100">
      <c r="A49060" s="374"/>
      <c r="C49060" s="374"/>
      <c r="CV49060" s="376"/>
    </row>
    <row r="49061" spans="1:100">
      <c r="A49061" s="374"/>
      <c r="C49061" s="374"/>
      <c r="CV49061" s="376"/>
    </row>
    <row r="49062" spans="1:100">
      <c r="A49062" s="374"/>
      <c r="C49062" s="374"/>
      <c r="CV49062" s="376"/>
    </row>
    <row r="49063" spans="1:100">
      <c r="A49063" s="374"/>
      <c r="C49063" s="374"/>
      <c r="CV49063" s="376"/>
    </row>
    <row r="49064" spans="1:100">
      <c r="A49064" s="374"/>
      <c r="C49064" s="374"/>
      <c r="CV49064" s="376"/>
    </row>
    <row r="49065" spans="1:100">
      <c r="A49065" s="374"/>
      <c r="C49065" s="374"/>
      <c r="CV49065" s="376"/>
    </row>
    <row r="49066" spans="1:100">
      <c r="A49066" s="374"/>
      <c r="C49066" s="374"/>
      <c r="CV49066" s="376"/>
    </row>
    <row r="49067" spans="1:100">
      <c r="A49067" s="374"/>
      <c r="C49067" s="374"/>
      <c r="CV49067" s="376"/>
    </row>
    <row r="49068" spans="1:100">
      <c r="A49068" s="374"/>
      <c r="C49068" s="374"/>
      <c r="CV49068" s="376"/>
    </row>
    <row r="49069" spans="1:100">
      <c r="A49069" s="374"/>
      <c r="C49069" s="374"/>
      <c r="CV49069" s="376"/>
    </row>
    <row r="49070" spans="1:100">
      <c r="A49070" s="374"/>
      <c r="C49070" s="374"/>
      <c r="CV49070" s="376"/>
    </row>
    <row r="49071" spans="1:100">
      <c r="A49071" s="374"/>
      <c r="C49071" s="374"/>
      <c r="CV49071" s="376"/>
    </row>
    <row r="49072" spans="1:100">
      <c r="A49072" s="374"/>
      <c r="C49072" s="374"/>
      <c r="CV49072" s="376"/>
    </row>
    <row r="49073" spans="1:100">
      <c r="A49073" s="374"/>
      <c r="C49073" s="374"/>
      <c r="CV49073" s="376"/>
    </row>
    <row r="49074" spans="1:100">
      <c r="A49074" s="374"/>
      <c r="C49074" s="374"/>
      <c r="CV49074" s="376"/>
    </row>
    <row r="49075" spans="1:100">
      <c r="A49075" s="374"/>
      <c r="C49075" s="374"/>
      <c r="CV49075" s="376"/>
    </row>
    <row r="49076" spans="1:100">
      <c r="A49076" s="374"/>
      <c r="C49076" s="374"/>
      <c r="CV49076" s="376"/>
    </row>
    <row r="49077" spans="1:100">
      <c r="A49077" s="374"/>
      <c r="C49077" s="374"/>
      <c r="CV49077" s="376"/>
    </row>
    <row r="49078" spans="1:100">
      <c r="A49078" s="374"/>
      <c r="C49078" s="374"/>
      <c r="CV49078" s="376"/>
    </row>
    <row r="49079" spans="1:100">
      <c r="A49079" s="374"/>
      <c r="C49079" s="374"/>
      <c r="CV49079" s="376"/>
    </row>
    <row r="49080" spans="1:100">
      <c r="A49080" s="374"/>
      <c r="C49080" s="374"/>
      <c r="CV49080" s="376"/>
    </row>
    <row r="49081" spans="1:100">
      <c r="A49081" s="374"/>
      <c r="C49081" s="374"/>
      <c r="CV49081" s="376"/>
    </row>
    <row r="49082" spans="1:100">
      <c r="A49082" s="374"/>
      <c r="C49082" s="374"/>
      <c r="CV49082" s="376"/>
    </row>
    <row r="49083" spans="1:100">
      <c r="A49083" s="374"/>
      <c r="C49083" s="374"/>
      <c r="CV49083" s="376"/>
    </row>
    <row r="49084" spans="1:100">
      <c r="A49084" s="374"/>
      <c r="C49084" s="374"/>
      <c r="CV49084" s="376"/>
    </row>
    <row r="49085" spans="1:100">
      <c r="A49085" s="374"/>
      <c r="C49085" s="374"/>
      <c r="CV49085" s="376"/>
    </row>
    <row r="49086" spans="1:100">
      <c r="A49086" s="374"/>
      <c r="C49086" s="374"/>
      <c r="CV49086" s="376"/>
    </row>
    <row r="49087" spans="1:100">
      <c r="A49087" s="374"/>
      <c r="C49087" s="374"/>
      <c r="CV49087" s="376"/>
    </row>
    <row r="49088" spans="1:100">
      <c r="A49088" s="374"/>
      <c r="C49088" s="374"/>
      <c r="CV49088" s="376"/>
    </row>
    <row r="49089" spans="1:100">
      <c r="A49089" s="374"/>
      <c r="C49089" s="374"/>
      <c r="CV49089" s="376"/>
    </row>
    <row r="49090" spans="1:100">
      <c r="A49090" s="374"/>
      <c r="C49090" s="374"/>
      <c r="CV49090" s="376"/>
    </row>
    <row r="49091" spans="1:100">
      <c r="A49091" s="374"/>
      <c r="C49091" s="374"/>
      <c r="CV49091" s="376"/>
    </row>
    <row r="49092" spans="1:100">
      <c r="A49092" s="374"/>
      <c r="C49092" s="374"/>
      <c r="CV49092" s="376"/>
    </row>
    <row r="49093" spans="1:100">
      <c r="A49093" s="374"/>
      <c r="C49093" s="374"/>
      <c r="CV49093" s="376"/>
    </row>
    <row r="49094" spans="1:100">
      <c r="A49094" s="374"/>
      <c r="C49094" s="374"/>
      <c r="CV49094" s="376"/>
    </row>
    <row r="49095" spans="1:100">
      <c r="A49095" s="374"/>
      <c r="C49095" s="374"/>
      <c r="CV49095" s="376"/>
    </row>
    <row r="49096" spans="1:100">
      <c r="A49096" s="374"/>
      <c r="C49096" s="374"/>
      <c r="CV49096" s="376"/>
    </row>
    <row r="49097" spans="1:100">
      <c r="A49097" s="374"/>
      <c r="C49097" s="374"/>
      <c r="CV49097" s="376"/>
    </row>
    <row r="49098" spans="1:100">
      <c r="A49098" s="374"/>
      <c r="C49098" s="374"/>
      <c r="CV49098" s="376"/>
    </row>
    <row r="49099" spans="1:100">
      <c r="A49099" s="374"/>
      <c r="C49099" s="374"/>
      <c r="CV49099" s="376"/>
    </row>
    <row r="49100" spans="1:100">
      <c r="A49100" s="374"/>
      <c r="C49100" s="374"/>
      <c r="CV49100" s="376"/>
    </row>
    <row r="49101" spans="1:100">
      <c r="A49101" s="374"/>
      <c r="C49101" s="374"/>
      <c r="CV49101" s="376"/>
    </row>
    <row r="49102" spans="1:100">
      <c r="A49102" s="374"/>
      <c r="C49102" s="374"/>
      <c r="CV49102" s="376"/>
    </row>
    <row r="49103" spans="1:100">
      <c r="A49103" s="374"/>
      <c r="C49103" s="374"/>
      <c r="CV49103" s="376"/>
    </row>
    <row r="49104" spans="1:100">
      <c r="A49104" s="374"/>
      <c r="C49104" s="374"/>
      <c r="CV49104" s="376"/>
    </row>
    <row r="49105" spans="1:100">
      <c r="A49105" s="374"/>
      <c r="C49105" s="374"/>
      <c r="CV49105" s="376"/>
    </row>
    <row r="49106" spans="1:100">
      <c r="A49106" s="374"/>
      <c r="C49106" s="374"/>
      <c r="CV49106" s="376"/>
    </row>
    <row r="49107" spans="1:100">
      <c r="A49107" s="374"/>
      <c r="C49107" s="374"/>
      <c r="CV49107" s="376"/>
    </row>
    <row r="49108" spans="1:100">
      <c r="A49108" s="374"/>
      <c r="C49108" s="374"/>
      <c r="CV49108" s="376"/>
    </row>
    <row r="49109" spans="1:100">
      <c r="A49109" s="374"/>
      <c r="C49109" s="374"/>
      <c r="CV49109" s="376"/>
    </row>
    <row r="49110" spans="1:100">
      <c r="A49110" s="374"/>
      <c r="C49110" s="374"/>
      <c r="CV49110" s="376"/>
    </row>
    <row r="49111" spans="1:100">
      <c r="A49111" s="374"/>
      <c r="C49111" s="374"/>
      <c r="CV49111" s="376"/>
    </row>
    <row r="49112" spans="1:100">
      <c r="A49112" s="374"/>
      <c r="C49112" s="374"/>
      <c r="CV49112" s="376"/>
    </row>
    <row r="49113" spans="1:100">
      <c r="A49113" s="374"/>
      <c r="C49113" s="374"/>
      <c r="CV49113" s="376"/>
    </row>
    <row r="49114" spans="1:100">
      <c r="A49114" s="374"/>
      <c r="C49114" s="374"/>
      <c r="CV49114" s="376"/>
    </row>
    <row r="49115" spans="1:100">
      <c r="A49115" s="374"/>
      <c r="C49115" s="374"/>
      <c r="CV49115" s="376"/>
    </row>
    <row r="49116" spans="1:100">
      <c r="A49116" s="374"/>
      <c r="C49116" s="374"/>
      <c r="CV49116" s="376"/>
    </row>
    <row r="49117" spans="1:100">
      <c r="A49117" s="374"/>
      <c r="C49117" s="374"/>
      <c r="CV49117" s="376"/>
    </row>
    <row r="49118" spans="1:100">
      <c r="A49118" s="374"/>
      <c r="C49118" s="374"/>
      <c r="CV49118" s="376"/>
    </row>
    <row r="49119" spans="1:100">
      <c r="A49119" s="374"/>
      <c r="C49119" s="374"/>
      <c r="CV49119" s="376"/>
    </row>
    <row r="49120" spans="1:100">
      <c r="A49120" s="374"/>
      <c r="C49120" s="374"/>
      <c r="CV49120" s="376"/>
    </row>
    <row r="49121" spans="1:100">
      <c r="A49121" s="374"/>
      <c r="C49121" s="374"/>
      <c r="CV49121" s="376"/>
    </row>
    <row r="49122" spans="1:100">
      <c r="A49122" s="374"/>
      <c r="C49122" s="374"/>
      <c r="CV49122" s="376"/>
    </row>
    <row r="49123" spans="1:100">
      <c r="A49123" s="374"/>
      <c r="C49123" s="374"/>
      <c r="CV49123" s="376"/>
    </row>
    <row r="49124" spans="1:100">
      <c r="A49124" s="374"/>
      <c r="C49124" s="374"/>
      <c r="CV49124" s="376"/>
    </row>
    <row r="49125" spans="1:100">
      <c r="A49125" s="374"/>
      <c r="C49125" s="374"/>
      <c r="CV49125" s="376"/>
    </row>
    <row r="49126" spans="1:100">
      <c r="A49126" s="374"/>
      <c r="C49126" s="374"/>
      <c r="CV49126" s="376"/>
    </row>
    <row r="49127" spans="1:100">
      <c r="A49127" s="374"/>
      <c r="C49127" s="374"/>
      <c r="CV49127" s="376"/>
    </row>
    <row r="49128" spans="1:100">
      <c r="A49128" s="374"/>
      <c r="C49128" s="374"/>
      <c r="CV49128" s="376"/>
    </row>
    <row r="49129" spans="1:100">
      <c r="A49129" s="374"/>
      <c r="C49129" s="374"/>
      <c r="CV49129" s="376"/>
    </row>
    <row r="49130" spans="1:100">
      <c r="A49130" s="374"/>
      <c r="C49130" s="374"/>
      <c r="CV49130" s="376"/>
    </row>
    <row r="49131" spans="1:100">
      <c r="A49131" s="374"/>
      <c r="C49131" s="374"/>
      <c r="CV49131" s="376"/>
    </row>
    <row r="49132" spans="1:100">
      <c r="A49132" s="374"/>
      <c r="C49132" s="374"/>
      <c r="CV49132" s="376"/>
    </row>
    <row r="49133" spans="1:100">
      <c r="A49133" s="374"/>
      <c r="C49133" s="374"/>
      <c r="CV49133" s="376"/>
    </row>
    <row r="49134" spans="1:100">
      <c r="A49134" s="374"/>
      <c r="C49134" s="374"/>
      <c r="CV49134" s="376"/>
    </row>
    <row r="49135" spans="1:100">
      <c r="A49135" s="374"/>
      <c r="C49135" s="374"/>
      <c r="CV49135" s="376"/>
    </row>
    <row r="49136" spans="1:100">
      <c r="A49136" s="374"/>
      <c r="C49136" s="374"/>
      <c r="CV49136" s="376"/>
    </row>
    <row r="49137" spans="1:100">
      <c r="A49137" s="374"/>
      <c r="C49137" s="374"/>
      <c r="CV49137" s="376"/>
    </row>
    <row r="49138" spans="1:100">
      <c r="A49138" s="374"/>
      <c r="C49138" s="374"/>
      <c r="CV49138" s="376"/>
    </row>
    <row r="49139" spans="1:100">
      <c r="A49139" s="374"/>
      <c r="C49139" s="374"/>
      <c r="CV49139" s="376"/>
    </row>
    <row r="49140" spans="1:100">
      <c r="A49140" s="374"/>
      <c r="C49140" s="374"/>
      <c r="CV49140" s="376"/>
    </row>
    <row r="49141" spans="1:100">
      <c r="A49141" s="374"/>
      <c r="C49141" s="374"/>
      <c r="CV49141" s="376"/>
    </row>
    <row r="49142" spans="1:100">
      <c r="A49142" s="374"/>
      <c r="C49142" s="374"/>
      <c r="CV49142" s="376"/>
    </row>
    <row r="49143" spans="1:100">
      <c r="A49143" s="374"/>
      <c r="C49143" s="374"/>
      <c r="CV49143" s="376"/>
    </row>
    <row r="49144" spans="1:100">
      <c r="A49144" s="374"/>
      <c r="C49144" s="374"/>
      <c r="CV49144" s="376"/>
    </row>
    <row r="49145" spans="1:100">
      <c r="A49145" s="374"/>
      <c r="C49145" s="374"/>
      <c r="CV49145" s="376"/>
    </row>
    <row r="49146" spans="1:100">
      <c r="A49146" s="374"/>
      <c r="C49146" s="374"/>
      <c r="CV49146" s="376"/>
    </row>
    <row r="49147" spans="1:100">
      <c r="A49147" s="374"/>
      <c r="C49147" s="374"/>
      <c r="CV49147" s="376"/>
    </row>
    <row r="49148" spans="1:100">
      <c r="A49148" s="374"/>
      <c r="C49148" s="374"/>
      <c r="CV49148" s="376"/>
    </row>
    <row r="49149" spans="1:100">
      <c r="A49149" s="374"/>
      <c r="C49149" s="374"/>
      <c r="CV49149" s="376"/>
    </row>
    <row r="49150" spans="1:100">
      <c r="A49150" s="374"/>
      <c r="C49150" s="374"/>
      <c r="CV49150" s="376"/>
    </row>
    <row r="49151" spans="1:100">
      <c r="A49151" s="374"/>
      <c r="C49151" s="374"/>
      <c r="CV49151" s="376"/>
    </row>
    <row r="49152" spans="1:100">
      <c r="A49152" s="374"/>
      <c r="C49152" s="374"/>
      <c r="CV49152" s="376"/>
    </row>
    <row r="49153" spans="1:100">
      <c r="A49153" s="374"/>
      <c r="C49153" s="374"/>
      <c r="CV49153" s="376"/>
    </row>
    <row r="49154" spans="1:100">
      <c r="A49154" s="374"/>
      <c r="C49154" s="374"/>
      <c r="CV49154" s="376"/>
    </row>
    <row r="49155" spans="1:100">
      <c r="A49155" s="374"/>
      <c r="C49155" s="374"/>
      <c r="CV49155" s="376"/>
    </row>
    <row r="49156" spans="1:100">
      <c r="A49156" s="374"/>
      <c r="C49156" s="374"/>
      <c r="CV49156" s="376"/>
    </row>
    <row r="49157" spans="1:100">
      <c r="A49157" s="374"/>
      <c r="C49157" s="374"/>
      <c r="CV49157" s="376"/>
    </row>
    <row r="49158" spans="1:100">
      <c r="A49158" s="374"/>
      <c r="C49158" s="374"/>
      <c r="CV49158" s="376"/>
    </row>
    <row r="49159" spans="1:100">
      <c r="A49159" s="374"/>
      <c r="C49159" s="374"/>
      <c r="CV49159" s="376"/>
    </row>
    <row r="49160" spans="1:100">
      <c r="A49160" s="374"/>
      <c r="C49160" s="374"/>
      <c r="CV49160" s="376"/>
    </row>
    <row r="49161" spans="1:100">
      <c r="A49161" s="374"/>
      <c r="C49161" s="374"/>
      <c r="CV49161" s="376"/>
    </row>
    <row r="49162" spans="1:100">
      <c r="A49162" s="374"/>
      <c r="C49162" s="374"/>
      <c r="CV49162" s="376"/>
    </row>
    <row r="49163" spans="1:100">
      <c r="A49163" s="374"/>
      <c r="C49163" s="374"/>
      <c r="CV49163" s="376"/>
    </row>
    <row r="49164" spans="1:100">
      <c r="A49164" s="374"/>
      <c r="C49164" s="374"/>
      <c r="CV49164" s="376"/>
    </row>
    <row r="49165" spans="1:100">
      <c r="A49165" s="374"/>
      <c r="C49165" s="374"/>
      <c r="CV49165" s="376"/>
    </row>
    <row r="49166" spans="1:100">
      <c r="A49166" s="374"/>
      <c r="C49166" s="374"/>
      <c r="CV49166" s="376"/>
    </row>
    <row r="49167" spans="1:100">
      <c r="A49167" s="374"/>
      <c r="C49167" s="374"/>
      <c r="CV49167" s="376"/>
    </row>
    <row r="49168" spans="1:100">
      <c r="A49168" s="374"/>
      <c r="C49168" s="374"/>
      <c r="CV49168" s="376"/>
    </row>
    <row r="49169" spans="1:100">
      <c r="A49169" s="374"/>
      <c r="C49169" s="374"/>
      <c r="CV49169" s="376"/>
    </row>
    <row r="49170" spans="1:100">
      <c r="A49170" s="374"/>
      <c r="C49170" s="374"/>
      <c r="CV49170" s="376"/>
    </row>
    <row r="49171" spans="1:100">
      <c r="A49171" s="374"/>
      <c r="C49171" s="374"/>
      <c r="CV49171" s="376"/>
    </row>
    <row r="49172" spans="1:100">
      <c r="A49172" s="374"/>
      <c r="C49172" s="374"/>
      <c r="CV49172" s="376"/>
    </row>
    <row r="49173" spans="1:100">
      <c r="A49173" s="374"/>
      <c r="C49173" s="374"/>
      <c r="CV49173" s="376"/>
    </row>
    <row r="49174" spans="1:100">
      <c r="A49174" s="374"/>
      <c r="C49174" s="374"/>
      <c r="CV49174" s="376"/>
    </row>
    <row r="49175" spans="1:100">
      <c r="A49175" s="374"/>
      <c r="C49175" s="374"/>
      <c r="CV49175" s="376"/>
    </row>
    <row r="49176" spans="1:100">
      <c r="A49176" s="374"/>
      <c r="C49176" s="374"/>
      <c r="CV49176" s="376"/>
    </row>
    <row r="49177" spans="1:100">
      <c r="A49177" s="374"/>
      <c r="C49177" s="374"/>
      <c r="CV49177" s="376"/>
    </row>
    <row r="49178" spans="1:100">
      <c r="A49178" s="374"/>
      <c r="C49178" s="374"/>
      <c r="CV49178" s="376"/>
    </row>
    <row r="49179" spans="1:100">
      <c r="A49179" s="374"/>
      <c r="C49179" s="374"/>
      <c r="CV49179" s="376"/>
    </row>
    <row r="49180" spans="1:100">
      <c r="A49180" s="374"/>
      <c r="C49180" s="374"/>
      <c r="CV49180" s="376"/>
    </row>
    <row r="49181" spans="1:100">
      <c r="A49181" s="374"/>
      <c r="C49181" s="374"/>
      <c r="CV49181" s="376"/>
    </row>
    <row r="49182" spans="1:100">
      <c r="A49182" s="374"/>
      <c r="C49182" s="374"/>
      <c r="CV49182" s="376"/>
    </row>
    <row r="49183" spans="1:100">
      <c r="A49183" s="374"/>
      <c r="C49183" s="374"/>
      <c r="CV49183" s="376"/>
    </row>
    <row r="49184" spans="1:100">
      <c r="A49184" s="374"/>
      <c r="C49184" s="374"/>
      <c r="CV49184" s="376"/>
    </row>
    <row r="49185" spans="1:100">
      <c r="A49185" s="374"/>
      <c r="C49185" s="374"/>
      <c r="CV49185" s="376"/>
    </row>
    <row r="49186" spans="1:100">
      <c r="A49186" s="374"/>
      <c r="C49186" s="374"/>
      <c r="CV49186" s="376"/>
    </row>
    <row r="49187" spans="1:100">
      <c r="A49187" s="374"/>
      <c r="C49187" s="374"/>
      <c r="CV49187" s="376"/>
    </row>
    <row r="49188" spans="1:100">
      <c r="A49188" s="374"/>
      <c r="C49188" s="374"/>
      <c r="CV49188" s="376"/>
    </row>
    <row r="49189" spans="1:100">
      <c r="A49189" s="374"/>
      <c r="C49189" s="374"/>
      <c r="CV49189" s="376"/>
    </row>
    <row r="49190" spans="1:100">
      <c r="A49190" s="374"/>
      <c r="C49190" s="374"/>
      <c r="CV49190" s="376"/>
    </row>
    <row r="49191" spans="1:100">
      <c r="A49191" s="374"/>
      <c r="C49191" s="374"/>
      <c r="CV49191" s="376"/>
    </row>
    <row r="49192" spans="1:100">
      <c r="A49192" s="374"/>
      <c r="C49192" s="374"/>
      <c r="CV49192" s="376"/>
    </row>
    <row r="49193" spans="1:100">
      <c r="A49193" s="374"/>
      <c r="C49193" s="374"/>
      <c r="CV49193" s="376"/>
    </row>
    <row r="49194" spans="1:100">
      <c r="A49194" s="374"/>
      <c r="C49194" s="374"/>
      <c r="CV49194" s="376"/>
    </row>
    <row r="49195" spans="1:100">
      <c r="A49195" s="374"/>
      <c r="C49195" s="374"/>
      <c r="CV49195" s="376"/>
    </row>
    <row r="49196" spans="1:100">
      <c r="A49196" s="374"/>
      <c r="C49196" s="374"/>
      <c r="CV49196" s="376"/>
    </row>
    <row r="49197" spans="1:100">
      <c r="A49197" s="374"/>
      <c r="C49197" s="374"/>
      <c r="CV49197" s="376"/>
    </row>
    <row r="49198" spans="1:100">
      <c r="A49198" s="374"/>
      <c r="C49198" s="374"/>
      <c r="CV49198" s="376"/>
    </row>
    <row r="49199" spans="1:100">
      <c r="A49199" s="374"/>
      <c r="C49199" s="374"/>
      <c r="CV49199" s="376"/>
    </row>
    <row r="49200" spans="1:100">
      <c r="A49200" s="374"/>
      <c r="C49200" s="374"/>
      <c r="CV49200" s="376"/>
    </row>
    <row r="49201" spans="1:100">
      <c r="A49201" s="374"/>
      <c r="C49201" s="374"/>
      <c r="CV49201" s="376"/>
    </row>
    <row r="49202" spans="1:100">
      <c r="A49202" s="374"/>
      <c r="C49202" s="374"/>
      <c r="CV49202" s="376"/>
    </row>
    <row r="49203" spans="1:100">
      <c r="A49203" s="374"/>
      <c r="C49203" s="374"/>
      <c r="CV49203" s="376"/>
    </row>
    <row r="49204" spans="1:100">
      <c r="A49204" s="374"/>
      <c r="C49204" s="374"/>
      <c r="CV49204" s="376"/>
    </row>
    <row r="49205" spans="1:100">
      <c r="A49205" s="374"/>
      <c r="C49205" s="374"/>
      <c r="CV49205" s="376"/>
    </row>
    <row r="49206" spans="1:100">
      <c r="A49206" s="374"/>
      <c r="C49206" s="374"/>
      <c r="CV49206" s="376"/>
    </row>
    <row r="49207" spans="1:100">
      <c r="A49207" s="374"/>
      <c r="C49207" s="374"/>
      <c r="CV49207" s="376"/>
    </row>
    <row r="49208" spans="1:100">
      <c r="A49208" s="374"/>
      <c r="C49208" s="374"/>
      <c r="CV49208" s="376"/>
    </row>
    <row r="49209" spans="1:100">
      <c r="A49209" s="374"/>
      <c r="C49209" s="374"/>
      <c r="CV49209" s="376"/>
    </row>
    <row r="49210" spans="1:100">
      <c r="A49210" s="374"/>
      <c r="C49210" s="374"/>
      <c r="CV49210" s="376"/>
    </row>
    <row r="49211" spans="1:100">
      <c r="A49211" s="374"/>
      <c r="C49211" s="374"/>
      <c r="CV49211" s="376"/>
    </row>
    <row r="49212" spans="1:100">
      <c r="A49212" s="374"/>
      <c r="C49212" s="374"/>
      <c r="CV49212" s="376"/>
    </row>
    <row r="49213" spans="1:100">
      <c r="A49213" s="374"/>
      <c r="C49213" s="374"/>
      <c r="CV49213" s="376"/>
    </row>
    <row r="49214" spans="1:100">
      <c r="A49214" s="374"/>
      <c r="C49214" s="374"/>
      <c r="CV49214" s="376"/>
    </row>
    <row r="49215" spans="1:100">
      <c r="A49215" s="374"/>
      <c r="C49215" s="374"/>
      <c r="CV49215" s="376"/>
    </row>
    <row r="49216" spans="1:100">
      <c r="A49216" s="374"/>
      <c r="C49216" s="374"/>
      <c r="CV49216" s="376"/>
    </row>
    <row r="49217" spans="1:100">
      <c r="A49217" s="374"/>
      <c r="C49217" s="374"/>
      <c r="CV49217" s="376"/>
    </row>
    <row r="49218" spans="1:100">
      <c r="A49218" s="374"/>
      <c r="C49218" s="374"/>
      <c r="CV49218" s="376"/>
    </row>
    <row r="49219" spans="1:100">
      <c r="A49219" s="374"/>
      <c r="C49219" s="374"/>
      <c r="CV49219" s="376"/>
    </row>
    <row r="49220" spans="1:100">
      <c r="A49220" s="374"/>
      <c r="C49220" s="374"/>
      <c r="CV49220" s="376"/>
    </row>
    <row r="49221" spans="1:100">
      <c r="A49221" s="374"/>
      <c r="C49221" s="374"/>
      <c r="CV49221" s="376"/>
    </row>
    <row r="49222" spans="1:100">
      <c r="A49222" s="374"/>
      <c r="C49222" s="374"/>
      <c r="CV49222" s="376"/>
    </row>
    <row r="49223" spans="1:100">
      <c r="A49223" s="374"/>
      <c r="C49223" s="374"/>
      <c r="CV49223" s="376"/>
    </row>
    <row r="49224" spans="1:100">
      <c r="A49224" s="374"/>
      <c r="C49224" s="374"/>
      <c r="CV49224" s="376"/>
    </row>
    <row r="49225" spans="1:100">
      <c r="A49225" s="374"/>
      <c r="C49225" s="374"/>
      <c r="CV49225" s="376"/>
    </row>
    <row r="49226" spans="1:100">
      <c r="A49226" s="374"/>
      <c r="C49226" s="374"/>
      <c r="CV49226" s="376"/>
    </row>
    <row r="49227" spans="1:100">
      <c r="A49227" s="374"/>
      <c r="C49227" s="374"/>
      <c r="CV49227" s="376"/>
    </row>
    <row r="49228" spans="1:100">
      <c r="A49228" s="374"/>
      <c r="C49228" s="374"/>
      <c r="CV49228" s="376"/>
    </row>
    <row r="49229" spans="1:100">
      <c r="A49229" s="374"/>
      <c r="C49229" s="374"/>
      <c r="CV49229" s="376"/>
    </row>
    <row r="49230" spans="1:100">
      <c r="A49230" s="374"/>
      <c r="C49230" s="374"/>
      <c r="CV49230" s="376"/>
    </row>
    <row r="49231" spans="1:100">
      <c r="A49231" s="374"/>
      <c r="C49231" s="374"/>
      <c r="CV49231" s="376"/>
    </row>
    <row r="49232" spans="1:100">
      <c r="A49232" s="374"/>
      <c r="C49232" s="374"/>
      <c r="CV49232" s="376"/>
    </row>
    <row r="49233" spans="1:100">
      <c r="A49233" s="374"/>
      <c r="C49233" s="374"/>
      <c r="CV49233" s="376"/>
    </row>
    <row r="49234" spans="1:100">
      <c r="A49234" s="374"/>
      <c r="C49234" s="374"/>
      <c r="CV49234" s="376"/>
    </row>
    <row r="49235" spans="1:100">
      <c r="A49235" s="374"/>
      <c r="C49235" s="374"/>
      <c r="CV49235" s="376"/>
    </row>
    <row r="49236" spans="1:100">
      <c r="A49236" s="374"/>
      <c r="C49236" s="374"/>
      <c r="CV49236" s="376"/>
    </row>
    <row r="49237" spans="1:100">
      <c r="A49237" s="374"/>
      <c r="C49237" s="374"/>
      <c r="CV49237" s="376"/>
    </row>
    <row r="49238" spans="1:100">
      <c r="A49238" s="374"/>
      <c r="C49238" s="374"/>
      <c r="CV49238" s="376"/>
    </row>
    <row r="49239" spans="1:100">
      <c r="A49239" s="374"/>
      <c r="C49239" s="374"/>
      <c r="CV49239" s="376"/>
    </row>
    <row r="49240" spans="1:100">
      <c r="A49240" s="374"/>
      <c r="C49240" s="374"/>
      <c r="CV49240" s="376"/>
    </row>
    <row r="49241" spans="1:100">
      <c r="A49241" s="374"/>
      <c r="C49241" s="374"/>
      <c r="CV49241" s="376"/>
    </row>
    <row r="49242" spans="1:100">
      <c r="A49242" s="374"/>
      <c r="C49242" s="374"/>
      <c r="CV49242" s="376"/>
    </row>
    <row r="49243" spans="1:100">
      <c r="A49243" s="374"/>
      <c r="C49243" s="374"/>
      <c r="CV49243" s="376"/>
    </row>
    <row r="49244" spans="1:100">
      <c r="A49244" s="374"/>
      <c r="C49244" s="374"/>
      <c r="CV49244" s="376"/>
    </row>
    <row r="49245" spans="1:100">
      <c r="A49245" s="374"/>
      <c r="C49245" s="374"/>
      <c r="CV49245" s="376"/>
    </row>
    <row r="49246" spans="1:100">
      <c r="A49246" s="374"/>
      <c r="C49246" s="374"/>
      <c r="CV49246" s="376"/>
    </row>
    <row r="49247" spans="1:100">
      <c r="A49247" s="374"/>
      <c r="C49247" s="374"/>
      <c r="CV49247" s="376"/>
    </row>
    <row r="49248" spans="1:100">
      <c r="A49248" s="374"/>
      <c r="C49248" s="374"/>
      <c r="CV49248" s="376"/>
    </row>
    <row r="49249" spans="1:100">
      <c r="A49249" s="374"/>
      <c r="C49249" s="374"/>
      <c r="CV49249" s="376"/>
    </row>
    <row r="49250" spans="1:100">
      <c r="A49250" s="374"/>
      <c r="C49250" s="374"/>
      <c r="CV49250" s="376"/>
    </row>
    <row r="49251" spans="1:100">
      <c r="A49251" s="374"/>
      <c r="C49251" s="374"/>
      <c r="CV49251" s="376"/>
    </row>
    <row r="49252" spans="1:100">
      <c r="A49252" s="374"/>
      <c r="C49252" s="374"/>
      <c r="CV49252" s="376"/>
    </row>
    <row r="49253" spans="1:100">
      <c r="A49253" s="374"/>
      <c r="C49253" s="374"/>
      <c r="CV49253" s="376"/>
    </row>
    <row r="49254" spans="1:100">
      <c r="A49254" s="374"/>
      <c r="C49254" s="374"/>
      <c r="CV49254" s="376"/>
    </row>
    <row r="49255" spans="1:100">
      <c r="A49255" s="374"/>
      <c r="C49255" s="374"/>
      <c r="CV49255" s="376"/>
    </row>
    <row r="49256" spans="1:100">
      <c r="A49256" s="374"/>
      <c r="C49256" s="374"/>
      <c r="CV49256" s="376"/>
    </row>
    <row r="49257" spans="1:100">
      <c r="A49257" s="374"/>
      <c r="C49257" s="374"/>
      <c r="CV49257" s="376"/>
    </row>
    <row r="49258" spans="1:100">
      <c r="A49258" s="374"/>
      <c r="C49258" s="374"/>
      <c r="CV49258" s="376"/>
    </row>
    <row r="49259" spans="1:100">
      <c r="A49259" s="374"/>
      <c r="C49259" s="374"/>
      <c r="CV49259" s="376"/>
    </row>
    <row r="49260" spans="1:100">
      <c r="A49260" s="374"/>
      <c r="C49260" s="374"/>
      <c r="CV49260" s="376"/>
    </row>
    <row r="49261" spans="1:100">
      <c r="A49261" s="374"/>
      <c r="C49261" s="374"/>
      <c r="CV49261" s="376"/>
    </row>
    <row r="49262" spans="1:100">
      <c r="A49262" s="374"/>
      <c r="C49262" s="374"/>
      <c r="CV49262" s="376"/>
    </row>
    <row r="49263" spans="1:100">
      <c r="A49263" s="374"/>
      <c r="C49263" s="374"/>
      <c r="CV49263" s="376"/>
    </row>
    <row r="49264" spans="1:100">
      <c r="A49264" s="374"/>
      <c r="C49264" s="374"/>
      <c r="CV49264" s="376"/>
    </row>
    <row r="49265" spans="1:100">
      <c r="A49265" s="374"/>
      <c r="C49265" s="374"/>
      <c r="CV49265" s="376"/>
    </row>
    <row r="49266" spans="1:100">
      <c r="A49266" s="374"/>
      <c r="C49266" s="374"/>
      <c r="CV49266" s="376"/>
    </row>
    <row r="49267" spans="1:100">
      <c r="A49267" s="374"/>
      <c r="C49267" s="374"/>
      <c r="CV49267" s="376"/>
    </row>
    <row r="49268" spans="1:100">
      <c r="A49268" s="374"/>
      <c r="C49268" s="374"/>
      <c r="CV49268" s="376"/>
    </row>
    <row r="49269" spans="1:100">
      <c r="A49269" s="374"/>
      <c r="C49269" s="374"/>
      <c r="CV49269" s="376"/>
    </row>
    <row r="49270" spans="1:100">
      <c r="A49270" s="374"/>
      <c r="C49270" s="374"/>
      <c r="CV49270" s="376"/>
    </row>
    <row r="49271" spans="1:100">
      <c r="A49271" s="374"/>
      <c r="C49271" s="374"/>
      <c r="CV49271" s="376"/>
    </row>
    <row r="49272" spans="1:100">
      <c r="A49272" s="374"/>
      <c r="C49272" s="374"/>
      <c r="CV49272" s="376"/>
    </row>
    <row r="49273" spans="1:100">
      <c r="A49273" s="374"/>
      <c r="C49273" s="374"/>
      <c r="CV49273" s="376"/>
    </row>
    <row r="49274" spans="1:100">
      <c r="A49274" s="374"/>
      <c r="C49274" s="374"/>
      <c r="CV49274" s="376"/>
    </row>
    <row r="49275" spans="1:100">
      <c r="A49275" s="374"/>
      <c r="C49275" s="374"/>
      <c r="CV49275" s="376"/>
    </row>
    <row r="49276" spans="1:100">
      <c r="A49276" s="374"/>
      <c r="C49276" s="374"/>
      <c r="CV49276" s="376"/>
    </row>
    <row r="49277" spans="1:100">
      <c r="A49277" s="374"/>
      <c r="C49277" s="374"/>
      <c r="CV49277" s="376"/>
    </row>
    <row r="49278" spans="1:100">
      <c r="A49278" s="374"/>
      <c r="C49278" s="374"/>
      <c r="CV49278" s="376"/>
    </row>
    <row r="49279" spans="1:100">
      <c r="A49279" s="374"/>
      <c r="C49279" s="374"/>
      <c r="CV49279" s="376"/>
    </row>
    <row r="49280" spans="1:100">
      <c r="A49280" s="374"/>
      <c r="C49280" s="374"/>
      <c r="CV49280" s="376"/>
    </row>
    <row r="49281" spans="1:100">
      <c r="A49281" s="374"/>
      <c r="C49281" s="374"/>
      <c r="CV49281" s="376"/>
    </row>
    <row r="49282" spans="1:100">
      <c r="A49282" s="374"/>
      <c r="C49282" s="374"/>
      <c r="CV49282" s="376"/>
    </row>
    <row r="49283" spans="1:100">
      <c r="A49283" s="374"/>
      <c r="C49283" s="374"/>
      <c r="CV49283" s="376"/>
    </row>
    <row r="49284" spans="1:100">
      <c r="A49284" s="374"/>
      <c r="C49284" s="374"/>
      <c r="CV49284" s="376"/>
    </row>
    <row r="49285" spans="1:100">
      <c r="A49285" s="374"/>
      <c r="C49285" s="374"/>
      <c r="CV49285" s="376"/>
    </row>
    <row r="49286" spans="1:100">
      <c r="A49286" s="374"/>
      <c r="C49286" s="374"/>
      <c r="CV49286" s="376"/>
    </row>
    <row r="49287" spans="1:100">
      <c r="A49287" s="374"/>
      <c r="C49287" s="374"/>
      <c r="CV49287" s="376"/>
    </row>
    <row r="49288" spans="1:100">
      <c r="A49288" s="374"/>
      <c r="C49288" s="374"/>
      <c r="CV49288" s="376"/>
    </row>
    <row r="49289" spans="1:100">
      <c r="A49289" s="374"/>
      <c r="C49289" s="374"/>
      <c r="CV49289" s="376"/>
    </row>
    <row r="49290" spans="1:100">
      <c r="A49290" s="374"/>
      <c r="C49290" s="374"/>
      <c r="CV49290" s="376"/>
    </row>
    <row r="49291" spans="1:100">
      <c r="A49291" s="374"/>
      <c r="C49291" s="374"/>
      <c r="CV49291" s="376"/>
    </row>
    <row r="49292" spans="1:100">
      <c r="A49292" s="374"/>
      <c r="C49292" s="374"/>
      <c r="CV49292" s="376"/>
    </row>
    <row r="49293" spans="1:100">
      <c r="A49293" s="374"/>
      <c r="C49293" s="374"/>
      <c r="CV49293" s="376"/>
    </row>
    <row r="49294" spans="1:100">
      <c r="A49294" s="374"/>
      <c r="C49294" s="374"/>
      <c r="CV49294" s="376"/>
    </row>
    <row r="49295" spans="1:100">
      <c r="A49295" s="374"/>
      <c r="C49295" s="374"/>
      <c r="CV49295" s="376"/>
    </row>
    <row r="49296" spans="1:100">
      <c r="A49296" s="374"/>
      <c r="C49296" s="374"/>
      <c r="CV49296" s="376"/>
    </row>
    <row r="49297" spans="1:100">
      <c r="A49297" s="374"/>
      <c r="C49297" s="374"/>
      <c r="CV49297" s="376"/>
    </row>
    <row r="49298" spans="1:100">
      <c r="A49298" s="374"/>
      <c r="C49298" s="374"/>
      <c r="CV49298" s="376"/>
    </row>
    <row r="49299" spans="1:100">
      <c r="A49299" s="374"/>
      <c r="C49299" s="374"/>
      <c r="CV49299" s="376"/>
    </row>
    <row r="49300" spans="1:100">
      <c r="A49300" s="374"/>
      <c r="C49300" s="374"/>
      <c r="CV49300" s="376"/>
    </row>
    <row r="49301" spans="1:100">
      <c r="A49301" s="374"/>
      <c r="C49301" s="374"/>
      <c r="CV49301" s="376"/>
    </row>
    <row r="49302" spans="1:100">
      <c r="A49302" s="374"/>
      <c r="C49302" s="374"/>
      <c r="CV49302" s="376"/>
    </row>
    <row r="49303" spans="1:100">
      <c r="A49303" s="374"/>
      <c r="C49303" s="374"/>
      <c r="CV49303" s="376"/>
    </row>
    <row r="49304" spans="1:100">
      <c r="A49304" s="374"/>
      <c r="C49304" s="374"/>
      <c r="CV49304" s="376"/>
    </row>
    <row r="49305" spans="1:100">
      <c r="A49305" s="374"/>
      <c r="C49305" s="374"/>
      <c r="CV49305" s="376"/>
    </row>
    <row r="49306" spans="1:100">
      <c r="A49306" s="374"/>
      <c r="C49306" s="374"/>
      <c r="CV49306" s="376"/>
    </row>
    <row r="49307" spans="1:100">
      <c r="A49307" s="374"/>
      <c r="C49307" s="374"/>
      <c r="CV49307" s="376"/>
    </row>
    <row r="49308" spans="1:100">
      <c r="A49308" s="374"/>
      <c r="C49308" s="374"/>
      <c r="CV49308" s="376"/>
    </row>
    <row r="49309" spans="1:100">
      <c r="A49309" s="374"/>
      <c r="C49309" s="374"/>
      <c r="CV49309" s="376"/>
    </row>
    <row r="49310" spans="1:100">
      <c r="A49310" s="374"/>
      <c r="C49310" s="374"/>
      <c r="CV49310" s="376"/>
    </row>
    <row r="49311" spans="1:100">
      <c r="A49311" s="374"/>
      <c r="C49311" s="374"/>
      <c r="CV49311" s="376"/>
    </row>
    <row r="49312" spans="1:100">
      <c r="A49312" s="374"/>
      <c r="C49312" s="374"/>
      <c r="CV49312" s="376"/>
    </row>
    <row r="49313" spans="1:100">
      <c r="A49313" s="374"/>
      <c r="C49313" s="374"/>
      <c r="CV49313" s="376"/>
    </row>
    <row r="49314" spans="1:100">
      <c r="A49314" s="374"/>
      <c r="C49314" s="374"/>
      <c r="CV49314" s="376"/>
    </row>
    <row r="49315" spans="1:100">
      <c r="A49315" s="374"/>
      <c r="C49315" s="374"/>
      <c r="CV49315" s="376"/>
    </row>
    <row r="49316" spans="1:100">
      <c r="A49316" s="374"/>
      <c r="C49316" s="374"/>
      <c r="CV49316" s="376"/>
    </row>
    <row r="49317" spans="1:100">
      <c r="A49317" s="374"/>
      <c r="C49317" s="374"/>
      <c r="CV49317" s="376"/>
    </row>
    <row r="49318" spans="1:100">
      <c r="A49318" s="374"/>
      <c r="C49318" s="374"/>
      <c r="CV49318" s="376"/>
    </row>
    <row r="49319" spans="1:100">
      <c r="A49319" s="374"/>
      <c r="C49319" s="374"/>
      <c r="CV49319" s="376"/>
    </row>
    <row r="49320" spans="1:100">
      <c r="A49320" s="374"/>
      <c r="C49320" s="374"/>
      <c r="CV49320" s="376"/>
    </row>
    <row r="49321" spans="1:100">
      <c r="A49321" s="374"/>
      <c r="C49321" s="374"/>
      <c r="CV49321" s="376"/>
    </row>
    <row r="49322" spans="1:100">
      <c r="A49322" s="374"/>
      <c r="C49322" s="374"/>
      <c r="CV49322" s="376"/>
    </row>
    <row r="49323" spans="1:100">
      <c r="A49323" s="374"/>
      <c r="C49323" s="374"/>
      <c r="CV49323" s="376"/>
    </row>
    <row r="49324" spans="1:100">
      <c r="A49324" s="374"/>
      <c r="C49324" s="374"/>
      <c r="CV49324" s="376"/>
    </row>
    <row r="49325" spans="1:100">
      <c r="A49325" s="374"/>
      <c r="C49325" s="374"/>
      <c r="CV49325" s="376"/>
    </row>
    <row r="49326" spans="1:100">
      <c r="A49326" s="374"/>
      <c r="C49326" s="374"/>
      <c r="CV49326" s="376"/>
    </row>
    <row r="49327" spans="1:100">
      <c r="A49327" s="374"/>
      <c r="C49327" s="374"/>
      <c r="CV49327" s="376"/>
    </row>
    <row r="49328" spans="1:100">
      <c r="A49328" s="374"/>
      <c r="C49328" s="374"/>
      <c r="CV49328" s="376"/>
    </row>
    <row r="49329" spans="1:100">
      <c r="A49329" s="374"/>
      <c r="C49329" s="374"/>
      <c r="CV49329" s="376"/>
    </row>
    <row r="49330" spans="1:100">
      <c r="A49330" s="374"/>
      <c r="C49330" s="374"/>
      <c r="CV49330" s="376"/>
    </row>
    <row r="49331" spans="1:100">
      <c r="A49331" s="374"/>
      <c r="C49331" s="374"/>
      <c r="CV49331" s="376"/>
    </row>
    <row r="49332" spans="1:100">
      <c r="A49332" s="374"/>
      <c r="C49332" s="374"/>
      <c r="CV49332" s="376"/>
    </row>
    <row r="49333" spans="1:100">
      <c r="A49333" s="374"/>
      <c r="C49333" s="374"/>
      <c r="CV49333" s="376"/>
    </row>
    <row r="49334" spans="1:100">
      <c r="A49334" s="374"/>
      <c r="C49334" s="374"/>
      <c r="CV49334" s="376"/>
    </row>
    <row r="49335" spans="1:100">
      <c r="A49335" s="374"/>
      <c r="C49335" s="374"/>
      <c r="CV49335" s="376"/>
    </row>
    <row r="49336" spans="1:100">
      <c r="A49336" s="374"/>
      <c r="C49336" s="374"/>
      <c r="CV49336" s="376"/>
    </row>
    <row r="49337" spans="1:100">
      <c r="A49337" s="374"/>
      <c r="C49337" s="374"/>
      <c r="CV49337" s="376"/>
    </row>
    <row r="49338" spans="1:100">
      <c r="A49338" s="374"/>
      <c r="C49338" s="374"/>
      <c r="CV49338" s="376"/>
    </row>
    <row r="49339" spans="1:100">
      <c r="A49339" s="374"/>
      <c r="C49339" s="374"/>
      <c r="CV49339" s="376"/>
    </row>
    <row r="49340" spans="1:100">
      <c r="A49340" s="374"/>
      <c r="C49340" s="374"/>
      <c r="CV49340" s="376"/>
    </row>
    <row r="49341" spans="1:100">
      <c r="A49341" s="374"/>
      <c r="C49341" s="374"/>
      <c r="CV49341" s="376"/>
    </row>
    <row r="49342" spans="1:100">
      <c r="A49342" s="374"/>
      <c r="C49342" s="374"/>
      <c r="CV49342" s="376"/>
    </row>
    <row r="49343" spans="1:100">
      <c r="A49343" s="374"/>
      <c r="C49343" s="374"/>
      <c r="CV49343" s="376"/>
    </row>
    <row r="49344" spans="1:100">
      <c r="A49344" s="374"/>
      <c r="C49344" s="374"/>
      <c r="CV49344" s="376"/>
    </row>
    <row r="49345" spans="1:100">
      <c r="A49345" s="374"/>
      <c r="C49345" s="374"/>
      <c r="CV49345" s="376"/>
    </row>
    <row r="49346" spans="1:100">
      <c r="A49346" s="374"/>
      <c r="C49346" s="374"/>
      <c r="CV49346" s="376"/>
    </row>
    <row r="49347" spans="1:100">
      <c r="A49347" s="374"/>
      <c r="C49347" s="374"/>
      <c r="CV49347" s="376"/>
    </row>
    <row r="49348" spans="1:100">
      <c r="A49348" s="374"/>
      <c r="C49348" s="374"/>
      <c r="CV49348" s="376"/>
    </row>
    <row r="49349" spans="1:100">
      <c r="A49349" s="374"/>
      <c r="C49349" s="374"/>
      <c r="CV49349" s="376"/>
    </row>
    <row r="49350" spans="1:100">
      <c r="A49350" s="374"/>
      <c r="C49350" s="374"/>
      <c r="CV49350" s="376"/>
    </row>
    <row r="49351" spans="1:100">
      <c r="A49351" s="374"/>
      <c r="C49351" s="374"/>
      <c r="CV49351" s="376"/>
    </row>
    <row r="49352" spans="1:100">
      <c r="A49352" s="374"/>
      <c r="C49352" s="374"/>
      <c r="CV49352" s="376"/>
    </row>
    <row r="49353" spans="1:100">
      <c r="A49353" s="374"/>
      <c r="C49353" s="374"/>
      <c r="CV49353" s="376"/>
    </row>
    <row r="49354" spans="1:100">
      <c r="A49354" s="374"/>
      <c r="C49354" s="374"/>
      <c r="CV49354" s="376"/>
    </row>
    <row r="49355" spans="1:100">
      <c r="A49355" s="374"/>
      <c r="C49355" s="374"/>
      <c r="CV49355" s="376"/>
    </row>
    <row r="49356" spans="1:100">
      <c r="A49356" s="374"/>
      <c r="C49356" s="374"/>
      <c r="CV49356" s="376"/>
    </row>
    <row r="49357" spans="1:100">
      <c r="A49357" s="374"/>
      <c r="C49357" s="374"/>
      <c r="CV49357" s="376"/>
    </row>
    <row r="49358" spans="1:100">
      <c r="A49358" s="374"/>
      <c r="C49358" s="374"/>
      <c r="CV49358" s="376"/>
    </row>
    <row r="49359" spans="1:100">
      <c r="A49359" s="374"/>
      <c r="C49359" s="374"/>
      <c r="CV49359" s="376"/>
    </row>
    <row r="49360" spans="1:100">
      <c r="A49360" s="374"/>
      <c r="C49360" s="374"/>
      <c r="CV49360" s="376"/>
    </row>
    <row r="49361" spans="1:100">
      <c r="A49361" s="374"/>
      <c r="C49361" s="374"/>
      <c r="CV49361" s="376"/>
    </row>
    <row r="49362" spans="1:100">
      <c r="A49362" s="374"/>
      <c r="C49362" s="374"/>
      <c r="CV49362" s="376"/>
    </row>
    <row r="49363" spans="1:100">
      <c r="A49363" s="374"/>
      <c r="C49363" s="374"/>
      <c r="CV49363" s="376"/>
    </row>
    <row r="49364" spans="1:100">
      <c r="A49364" s="374"/>
      <c r="C49364" s="374"/>
      <c r="CV49364" s="376"/>
    </row>
    <row r="49365" spans="1:100">
      <c r="A49365" s="374"/>
      <c r="C49365" s="374"/>
      <c r="CV49365" s="376"/>
    </row>
    <row r="49366" spans="1:100">
      <c r="A49366" s="374"/>
      <c r="C49366" s="374"/>
      <c r="CV49366" s="376"/>
    </row>
    <row r="49367" spans="1:100">
      <c r="A49367" s="374"/>
      <c r="C49367" s="374"/>
      <c r="CV49367" s="376"/>
    </row>
    <row r="49368" spans="1:100">
      <c r="A49368" s="374"/>
      <c r="C49368" s="374"/>
      <c r="CV49368" s="376"/>
    </row>
    <row r="49369" spans="1:100">
      <c r="A49369" s="374"/>
      <c r="C49369" s="374"/>
      <c r="CV49369" s="376"/>
    </row>
    <row r="49370" spans="1:100">
      <c r="A49370" s="374"/>
      <c r="C49370" s="374"/>
      <c r="CV49370" s="376"/>
    </row>
    <row r="49371" spans="1:100">
      <c r="A49371" s="374"/>
      <c r="C49371" s="374"/>
      <c r="CV49371" s="376"/>
    </row>
    <row r="49372" spans="1:100">
      <c r="A49372" s="374"/>
      <c r="C49372" s="374"/>
      <c r="CV49372" s="376"/>
    </row>
    <row r="49373" spans="1:100">
      <c r="A49373" s="374"/>
      <c r="C49373" s="374"/>
      <c r="CV49373" s="376"/>
    </row>
    <row r="49374" spans="1:100">
      <c r="A49374" s="374"/>
      <c r="C49374" s="374"/>
      <c r="CV49374" s="376"/>
    </row>
    <row r="49375" spans="1:100">
      <c r="A49375" s="374"/>
      <c r="C49375" s="374"/>
      <c r="CV49375" s="376"/>
    </row>
    <row r="49376" spans="1:100">
      <c r="A49376" s="374"/>
      <c r="C49376" s="374"/>
      <c r="CV49376" s="376"/>
    </row>
    <row r="49377" spans="1:100">
      <c r="A49377" s="374"/>
      <c r="C49377" s="374"/>
      <c r="CV49377" s="376"/>
    </row>
    <row r="49378" spans="1:100">
      <c r="A49378" s="374"/>
      <c r="C49378" s="374"/>
      <c r="CV49378" s="376"/>
    </row>
    <row r="49379" spans="1:100">
      <c r="A49379" s="374"/>
      <c r="C49379" s="374"/>
      <c r="CV49379" s="376"/>
    </row>
    <row r="49380" spans="1:100">
      <c r="A49380" s="374"/>
      <c r="C49380" s="374"/>
      <c r="CV49380" s="376"/>
    </row>
    <row r="49381" spans="1:100">
      <c r="A49381" s="374"/>
      <c r="C49381" s="374"/>
      <c r="CV49381" s="376"/>
    </row>
    <row r="49382" spans="1:100">
      <c r="A49382" s="374"/>
      <c r="C49382" s="374"/>
      <c r="CV49382" s="376"/>
    </row>
    <row r="49383" spans="1:100">
      <c r="A49383" s="374"/>
      <c r="C49383" s="374"/>
      <c r="CV49383" s="376"/>
    </row>
    <row r="49384" spans="1:100">
      <c r="A49384" s="374"/>
      <c r="C49384" s="374"/>
      <c r="CV49384" s="376"/>
    </row>
    <row r="49385" spans="1:100">
      <c r="A49385" s="374"/>
      <c r="C49385" s="374"/>
      <c r="CV49385" s="376"/>
    </row>
    <row r="49386" spans="1:100">
      <c r="A49386" s="374"/>
      <c r="C49386" s="374"/>
      <c r="CV49386" s="376"/>
    </row>
    <row r="49387" spans="1:100">
      <c r="A49387" s="374"/>
      <c r="C49387" s="374"/>
      <c r="CV49387" s="376"/>
    </row>
    <row r="49388" spans="1:100">
      <c r="A49388" s="374"/>
      <c r="C49388" s="374"/>
      <c r="CV49388" s="376"/>
    </row>
    <row r="49389" spans="1:100">
      <c r="A49389" s="374"/>
      <c r="C49389" s="374"/>
      <c r="CV49389" s="376"/>
    </row>
    <row r="49390" spans="1:100">
      <c r="A49390" s="374"/>
      <c r="C49390" s="374"/>
      <c r="CV49390" s="376"/>
    </row>
    <row r="49391" spans="1:100">
      <c r="A49391" s="374"/>
      <c r="C49391" s="374"/>
      <c r="CV49391" s="376"/>
    </row>
    <row r="49392" spans="1:100">
      <c r="A49392" s="374"/>
      <c r="C49392" s="374"/>
      <c r="CV49392" s="376"/>
    </row>
    <row r="49393" spans="1:100">
      <c r="A49393" s="374"/>
      <c r="C49393" s="374"/>
      <c r="CV49393" s="376"/>
    </row>
    <row r="49394" spans="1:100">
      <c r="A49394" s="374"/>
      <c r="C49394" s="374"/>
      <c r="CV49394" s="376"/>
    </row>
    <row r="49395" spans="1:100">
      <c r="A49395" s="374"/>
      <c r="C49395" s="374"/>
      <c r="CV49395" s="376"/>
    </row>
    <row r="49396" spans="1:100">
      <c r="A49396" s="374"/>
      <c r="C49396" s="374"/>
      <c r="CV49396" s="376"/>
    </row>
    <row r="49397" spans="1:100">
      <c r="A49397" s="374"/>
      <c r="C49397" s="374"/>
      <c r="CV49397" s="376"/>
    </row>
    <row r="49398" spans="1:100">
      <c r="A49398" s="374"/>
      <c r="C49398" s="374"/>
      <c r="CV49398" s="376"/>
    </row>
    <row r="49399" spans="1:100">
      <c r="A49399" s="374"/>
      <c r="C49399" s="374"/>
      <c r="CV49399" s="376"/>
    </row>
    <row r="49400" spans="1:100">
      <c r="A49400" s="374"/>
      <c r="C49400" s="374"/>
      <c r="CV49400" s="376"/>
    </row>
    <row r="49401" spans="1:100">
      <c r="A49401" s="374"/>
      <c r="C49401" s="374"/>
      <c r="CV49401" s="376"/>
    </row>
    <row r="49402" spans="1:100">
      <c r="A49402" s="374"/>
      <c r="C49402" s="374"/>
      <c r="CV49402" s="376"/>
    </row>
    <row r="49403" spans="1:100">
      <c r="A49403" s="374"/>
      <c r="C49403" s="374"/>
      <c r="CV49403" s="376"/>
    </row>
    <row r="49404" spans="1:100">
      <c r="A49404" s="374"/>
      <c r="C49404" s="374"/>
      <c r="CV49404" s="376"/>
    </row>
    <row r="49405" spans="1:100">
      <c r="A49405" s="374"/>
      <c r="C49405" s="374"/>
      <c r="CV49405" s="376"/>
    </row>
    <row r="49406" spans="1:100">
      <c r="A49406" s="374"/>
      <c r="C49406" s="374"/>
      <c r="CV49406" s="376"/>
    </row>
    <row r="49407" spans="1:100">
      <c r="A49407" s="374"/>
      <c r="C49407" s="374"/>
      <c r="CV49407" s="376"/>
    </row>
    <row r="49408" spans="1:100">
      <c r="A49408" s="374"/>
      <c r="C49408" s="374"/>
      <c r="CV49408" s="376"/>
    </row>
    <row r="49409" spans="1:100">
      <c r="A49409" s="374"/>
      <c r="C49409" s="374"/>
      <c r="CV49409" s="376"/>
    </row>
    <row r="49410" spans="1:100">
      <c r="A49410" s="374"/>
      <c r="C49410" s="374"/>
      <c r="CV49410" s="376"/>
    </row>
    <row r="49411" spans="1:100">
      <c r="A49411" s="374"/>
      <c r="C49411" s="374"/>
      <c r="CV49411" s="376"/>
    </row>
    <row r="49412" spans="1:100">
      <c r="A49412" s="374"/>
      <c r="C49412" s="374"/>
      <c r="CV49412" s="376"/>
    </row>
    <row r="49413" spans="1:100">
      <c r="A49413" s="374"/>
      <c r="C49413" s="374"/>
      <c r="CV49413" s="376"/>
    </row>
    <row r="49414" spans="1:100">
      <c r="A49414" s="374"/>
      <c r="C49414" s="374"/>
      <c r="CV49414" s="376"/>
    </row>
    <row r="49415" spans="1:100">
      <c r="A49415" s="374"/>
      <c r="C49415" s="374"/>
      <c r="CV49415" s="376"/>
    </row>
    <row r="49416" spans="1:100">
      <c r="A49416" s="374"/>
      <c r="C49416" s="374"/>
      <c r="CV49416" s="376"/>
    </row>
    <row r="49417" spans="1:100">
      <c r="A49417" s="374"/>
      <c r="C49417" s="374"/>
      <c r="CV49417" s="376"/>
    </row>
    <row r="49418" spans="1:100">
      <c r="A49418" s="374"/>
      <c r="C49418" s="374"/>
      <c r="CV49418" s="376"/>
    </row>
    <row r="49419" spans="1:100">
      <c r="A49419" s="374"/>
      <c r="C49419" s="374"/>
      <c r="CV49419" s="376"/>
    </row>
    <row r="49420" spans="1:100">
      <c r="A49420" s="374"/>
      <c r="C49420" s="374"/>
      <c r="CV49420" s="376"/>
    </row>
    <row r="49421" spans="1:100">
      <c r="A49421" s="374"/>
      <c r="C49421" s="374"/>
      <c r="CV49421" s="376"/>
    </row>
    <row r="49422" spans="1:100">
      <c r="A49422" s="374"/>
      <c r="C49422" s="374"/>
      <c r="CV49422" s="376"/>
    </row>
    <row r="49423" spans="1:100">
      <c r="A49423" s="374"/>
      <c r="C49423" s="374"/>
      <c r="CV49423" s="376"/>
    </row>
    <row r="49424" spans="1:100">
      <c r="A49424" s="374"/>
      <c r="C49424" s="374"/>
      <c r="CV49424" s="376"/>
    </row>
    <row r="49425" spans="1:100">
      <c r="A49425" s="374"/>
      <c r="C49425" s="374"/>
      <c r="CV49425" s="376"/>
    </row>
    <row r="49426" spans="1:100">
      <c r="A49426" s="374"/>
      <c r="C49426" s="374"/>
      <c r="CV49426" s="376"/>
    </row>
    <row r="49427" spans="1:100">
      <c r="A49427" s="374"/>
      <c r="C49427" s="374"/>
      <c r="CV49427" s="376"/>
    </row>
    <row r="49428" spans="1:100">
      <c r="A49428" s="374"/>
      <c r="C49428" s="374"/>
      <c r="CV49428" s="376"/>
    </row>
    <row r="49429" spans="1:100">
      <c r="A49429" s="374"/>
      <c r="C49429" s="374"/>
      <c r="CV49429" s="376"/>
    </row>
    <row r="49430" spans="1:100">
      <c r="A49430" s="374"/>
      <c r="C49430" s="374"/>
      <c r="CV49430" s="376"/>
    </row>
    <row r="49431" spans="1:100">
      <c r="A49431" s="374"/>
      <c r="C49431" s="374"/>
      <c r="CV49431" s="376"/>
    </row>
    <row r="49432" spans="1:100">
      <c r="A49432" s="374"/>
      <c r="C49432" s="374"/>
      <c r="CV49432" s="376"/>
    </row>
    <row r="49433" spans="1:100">
      <c r="A49433" s="374"/>
      <c r="C49433" s="374"/>
      <c r="CV49433" s="376"/>
    </row>
    <row r="49434" spans="1:100">
      <c r="A49434" s="374"/>
      <c r="C49434" s="374"/>
      <c r="CV49434" s="376"/>
    </row>
    <row r="49435" spans="1:100">
      <c r="A49435" s="374"/>
      <c r="C49435" s="374"/>
      <c r="CV49435" s="376"/>
    </row>
    <row r="49436" spans="1:100">
      <c r="A49436" s="374"/>
      <c r="C49436" s="374"/>
      <c r="CV49436" s="376"/>
    </row>
    <row r="49437" spans="1:100">
      <c r="A49437" s="374"/>
      <c r="C49437" s="374"/>
      <c r="CV49437" s="376"/>
    </row>
    <row r="49438" spans="1:100">
      <c r="A49438" s="374"/>
      <c r="C49438" s="374"/>
      <c r="CV49438" s="376"/>
    </row>
    <row r="49439" spans="1:100">
      <c r="A49439" s="374"/>
      <c r="C49439" s="374"/>
      <c r="CV49439" s="376"/>
    </row>
    <row r="49440" spans="1:100">
      <c r="A49440" s="374"/>
      <c r="C49440" s="374"/>
      <c r="CV49440" s="376"/>
    </row>
    <row r="49441" spans="1:100">
      <c r="A49441" s="374"/>
      <c r="C49441" s="374"/>
      <c r="CV49441" s="376"/>
    </row>
    <row r="49442" spans="1:100">
      <c r="A49442" s="374"/>
      <c r="C49442" s="374"/>
      <c r="CV49442" s="376"/>
    </row>
    <row r="49443" spans="1:100">
      <c r="A49443" s="374"/>
      <c r="C49443" s="374"/>
      <c r="CV49443" s="376"/>
    </row>
    <row r="49444" spans="1:100">
      <c r="A49444" s="374"/>
      <c r="C49444" s="374"/>
      <c r="CV49444" s="376"/>
    </row>
    <row r="49445" spans="1:100">
      <c r="A49445" s="374"/>
      <c r="C49445" s="374"/>
      <c r="CV49445" s="376"/>
    </row>
    <row r="49446" spans="1:100">
      <c r="A49446" s="374"/>
      <c r="C49446" s="374"/>
      <c r="CV49446" s="376"/>
    </row>
    <row r="49447" spans="1:100">
      <c r="A49447" s="374"/>
      <c r="C49447" s="374"/>
      <c r="CV49447" s="376"/>
    </row>
    <row r="49448" spans="1:100">
      <c r="A49448" s="374"/>
      <c r="C49448" s="374"/>
      <c r="CV49448" s="376"/>
    </row>
    <row r="49449" spans="1:100">
      <c r="A49449" s="374"/>
      <c r="C49449" s="374"/>
      <c r="CV49449" s="376"/>
    </row>
    <row r="49450" spans="1:100">
      <c r="A49450" s="374"/>
      <c r="C49450" s="374"/>
      <c r="CV49450" s="376"/>
    </row>
    <row r="49451" spans="1:100">
      <c r="A49451" s="374"/>
      <c r="C49451" s="374"/>
      <c r="CV49451" s="376"/>
    </row>
    <row r="49452" spans="1:100">
      <c r="A49452" s="374"/>
      <c r="C49452" s="374"/>
      <c r="CV49452" s="376"/>
    </row>
    <row r="49453" spans="1:100">
      <c r="A49453" s="374"/>
      <c r="C49453" s="374"/>
      <c r="CV49453" s="376"/>
    </row>
    <row r="49454" spans="1:100">
      <c r="A49454" s="374"/>
      <c r="C49454" s="374"/>
      <c r="CV49454" s="376"/>
    </row>
    <row r="49455" spans="1:100">
      <c r="A49455" s="374"/>
      <c r="C49455" s="374"/>
      <c r="CV49455" s="376"/>
    </row>
    <row r="49456" spans="1:100">
      <c r="A49456" s="374"/>
      <c r="C49456" s="374"/>
      <c r="CV49456" s="376"/>
    </row>
    <row r="49457" spans="1:100">
      <c r="A49457" s="374"/>
      <c r="C49457" s="374"/>
      <c r="CV49457" s="376"/>
    </row>
    <row r="49458" spans="1:100">
      <c r="A49458" s="374"/>
      <c r="C49458" s="374"/>
      <c r="CV49458" s="376"/>
    </row>
    <row r="49459" spans="1:100">
      <c r="A49459" s="374"/>
      <c r="C49459" s="374"/>
      <c r="CV49459" s="376"/>
    </row>
    <row r="49460" spans="1:100">
      <c r="A49460" s="374"/>
      <c r="C49460" s="374"/>
      <c r="CV49460" s="376"/>
    </row>
    <row r="49461" spans="1:100">
      <c r="A49461" s="374"/>
      <c r="C49461" s="374"/>
      <c r="CV49461" s="376"/>
    </row>
    <row r="49462" spans="1:100">
      <c r="A49462" s="374"/>
      <c r="C49462" s="374"/>
      <c r="CV49462" s="376"/>
    </row>
    <row r="49463" spans="1:100">
      <c r="A49463" s="374"/>
      <c r="C49463" s="374"/>
      <c r="CV49463" s="376"/>
    </row>
    <row r="49464" spans="1:100">
      <c r="A49464" s="374"/>
      <c r="C49464" s="374"/>
      <c r="CV49464" s="376"/>
    </row>
    <row r="49465" spans="1:100">
      <c r="A49465" s="374"/>
      <c r="C49465" s="374"/>
      <c r="CV49465" s="376"/>
    </row>
    <row r="49466" spans="1:100">
      <c r="A49466" s="374"/>
      <c r="C49466" s="374"/>
      <c r="CV49466" s="376"/>
    </row>
    <row r="49467" spans="1:100">
      <c r="A49467" s="374"/>
      <c r="C49467" s="374"/>
      <c r="CV49467" s="376"/>
    </row>
    <row r="49468" spans="1:100">
      <c r="A49468" s="374"/>
      <c r="C49468" s="374"/>
      <c r="CV49468" s="376"/>
    </row>
    <row r="49469" spans="1:100">
      <c r="A49469" s="374"/>
      <c r="C49469" s="374"/>
      <c r="CV49469" s="376"/>
    </row>
    <row r="49470" spans="1:100">
      <c r="A49470" s="374"/>
      <c r="C49470" s="374"/>
      <c r="CV49470" s="376"/>
    </row>
    <row r="49471" spans="1:100">
      <c r="A49471" s="374"/>
      <c r="C49471" s="374"/>
      <c r="CV49471" s="376"/>
    </row>
    <row r="49472" spans="1:100">
      <c r="A49472" s="374"/>
      <c r="C49472" s="374"/>
      <c r="CV49472" s="376"/>
    </row>
    <row r="49473" spans="1:100">
      <c r="A49473" s="374"/>
      <c r="C49473" s="374"/>
      <c r="CV49473" s="376"/>
    </row>
    <row r="49474" spans="1:100">
      <c r="A49474" s="374"/>
      <c r="C49474" s="374"/>
      <c r="CV49474" s="376"/>
    </row>
    <row r="49475" spans="1:100">
      <c r="A49475" s="374"/>
      <c r="C49475" s="374"/>
      <c r="CV49475" s="376"/>
    </row>
    <row r="49476" spans="1:100">
      <c r="A49476" s="374"/>
      <c r="C49476" s="374"/>
      <c r="CV49476" s="376"/>
    </row>
    <row r="49477" spans="1:100">
      <c r="A49477" s="374"/>
      <c r="C49477" s="374"/>
      <c r="CV49477" s="376"/>
    </row>
    <row r="49478" spans="1:100">
      <c r="A49478" s="374"/>
      <c r="C49478" s="374"/>
      <c r="CV49478" s="376"/>
    </row>
    <row r="49479" spans="1:100">
      <c r="A49479" s="374"/>
      <c r="C49479" s="374"/>
      <c r="CV49479" s="376"/>
    </row>
    <row r="49480" spans="1:100">
      <c r="A49480" s="374"/>
      <c r="C49480" s="374"/>
      <c r="CV49480" s="376"/>
    </row>
    <row r="49481" spans="1:100">
      <c r="A49481" s="374"/>
      <c r="C49481" s="374"/>
      <c r="CV49481" s="376"/>
    </row>
    <row r="49482" spans="1:100">
      <c r="A49482" s="374"/>
      <c r="C49482" s="374"/>
      <c r="CV49482" s="376"/>
    </row>
    <row r="49483" spans="1:100">
      <c r="A49483" s="374"/>
      <c r="C49483" s="374"/>
      <c r="CV49483" s="376"/>
    </row>
    <row r="49484" spans="1:100">
      <c r="A49484" s="374"/>
      <c r="C49484" s="374"/>
      <c r="CV49484" s="376"/>
    </row>
    <row r="49485" spans="1:100">
      <c r="A49485" s="374"/>
      <c r="C49485" s="374"/>
      <c r="CV49485" s="376"/>
    </row>
    <row r="49486" spans="1:100">
      <c r="A49486" s="374"/>
      <c r="C49486" s="374"/>
      <c r="CV49486" s="376"/>
    </row>
    <row r="49487" spans="1:100">
      <c r="A49487" s="374"/>
      <c r="C49487" s="374"/>
      <c r="CV49487" s="376"/>
    </row>
    <row r="49488" spans="1:100">
      <c r="A49488" s="374"/>
      <c r="C49488" s="374"/>
      <c r="CV49488" s="376"/>
    </row>
    <row r="49489" spans="1:100">
      <c r="A49489" s="374"/>
      <c r="C49489" s="374"/>
      <c r="CV49489" s="376"/>
    </row>
    <row r="49490" spans="1:100">
      <c r="A49490" s="374"/>
      <c r="C49490" s="374"/>
      <c r="CV49490" s="376"/>
    </row>
    <row r="49491" spans="1:100">
      <c r="A49491" s="374"/>
      <c r="C49491" s="374"/>
      <c r="CV49491" s="376"/>
    </row>
    <row r="49492" spans="1:100">
      <c r="A49492" s="374"/>
      <c r="C49492" s="374"/>
      <c r="CV49492" s="376"/>
    </row>
    <row r="49493" spans="1:100">
      <c r="A49493" s="374"/>
      <c r="C49493" s="374"/>
      <c r="CV49493" s="376"/>
    </row>
    <row r="49494" spans="1:100">
      <c r="A49494" s="374"/>
      <c r="C49494" s="374"/>
      <c r="CV49494" s="376"/>
    </row>
    <row r="49495" spans="1:100">
      <c r="A49495" s="374"/>
      <c r="C49495" s="374"/>
      <c r="CV49495" s="376"/>
    </row>
    <row r="49496" spans="1:100">
      <c r="A49496" s="374"/>
      <c r="C49496" s="374"/>
      <c r="CV49496" s="376"/>
    </row>
    <row r="49497" spans="1:100">
      <c r="A49497" s="374"/>
      <c r="C49497" s="374"/>
      <c r="CV49497" s="376"/>
    </row>
    <row r="49498" spans="1:100">
      <c r="A49498" s="374"/>
      <c r="C49498" s="374"/>
      <c r="CV49498" s="376"/>
    </row>
    <row r="49499" spans="1:100">
      <c r="A49499" s="374"/>
      <c r="C49499" s="374"/>
      <c r="CV49499" s="376"/>
    </row>
    <row r="49500" spans="1:100">
      <c r="A49500" s="374"/>
      <c r="C49500" s="374"/>
      <c r="CV49500" s="376"/>
    </row>
    <row r="49501" spans="1:100">
      <c r="A49501" s="374"/>
      <c r="C49501" s="374"/>
      <c r="CV49501" s="376"/>
    </row>
    <row r="49502" spans="1:100">
      <c r="A49502" s="374"/>
      <c r="C49502" s="374"/>
      <c r="CV49502" s="376"/>
    </row>
    <row r="49503" spans="1:100">
      <c r="A49503" s="374"/>
      <c r="C49503" s="374"/>
      <c r="CV49503" s="376"/>
    </row>
    <row r="49504" spans="1:100">
      <c r="A49504" s="374"/>
      <c r="C49504" s="374"/>
      <c r="CV49504" s="376"/>
    </row>
    <row r="49505" spans="1:100">
      <c r="A49505" s="374"/>
      <c r="C49505" s="374"/>
      <c r="CV49505" s="376"/>
    </row>
    <row r="49506" spans="1:100">
      <c r="A49506" s="374"/>
      <c r="C49506" s="374"/>
      <c r="CV49506" s="376"/>
    </row>
    <row r="49507" spans="1:100">
      <c r="A49507" s="374"/>
      <c r="C49507" s="374"/>
      <c r="CV49507" s="376"/>
    </row>
    <row r="49508" spans="1:100">
      <c r="A49508" s="374"/>
      <c r="C49508" s="374"/>
      <c r="CV49508" s="376"/>
    </row>
    <row r="49509" spans="1:100">
      <c r="A49509" s="374"/>
      <c r="C49509" s="374"/>
      <c r="CV49509" s="376"/>
    </row>
    <row r="49510" spans="1:100">
      <c r="A49510" s="374"/>
      <c r="C49510" s="374"/>
      <c r="CV49510" s="376"/>
    </row>
    <row r="49511" spans="1:100">
      <c r="A49511" s="374"/>
      <c r="C49511" s="374"/>
      <c r="CV49511" s="376"/>
    </row>
    <row r="49512" spans="1:100">
      <c r="A49512" s="374"/>
      <c r="C49512" s="374"/>
      <c r="CV49512" s="376"/>
    </row>
    <row r="49513" spans="1:100">
      <c r="A49513" s="374"/>
      <c r="C49513" s="374"/>
      <c r="CV49513" s="376"/>
    </row>
    <row r="49514" spans="1:100">
      <c r="A49514" s="374"/>
      <c r="C49514" s="374"/>
      <c r="CV49514" s="376"/>
    </row>
    <row r="49515" spans="1:100">
      <c r="A49515" s="374"/>
      <c r="C49515" s="374"/>
      <c r="CV49515" s="376"/>
    </row>
    <row r="49516" spans="1:100">
      <c r="A49516" s="374"/>
      <c r="C49516" s="374"/>
      <c r="CV49516" s="376"/>
    </row>
    <row r="49517" spans="1:100">
      <c r="A49517" s="374"/>
      <c r="C49517" s="374"/>
      <c r="CV49517" s="376"/>
    </row>
    <row r="49518" spans="1:100">
      <c r="A49518" s="374"/>
      <c r="C49518" s="374"/>
      <c r="CV49518" s="376"/>
    </row>
    <row r="49519" spans="1:100">
      <c r="A49519" s="374"/>
      <c r="C49519" s="374"/>
      <c r="CV49519" s="376"/>
    </row>
    <row r="49520" spans="1:100">
      <c r="A49520" s="374"/>
      <c r="C49520" s="374"/>
      <c r="CV49520" s="376"/>
    </row>
    <row r="49521" spans="1:100">
      <c r="A49521" s="374"/>
      <c r="C49521" s="374"/>
      <c r="CV49521" s="376"/>
    </row>
    <row r="49522" spans="1:100">
      <c r="A49522" s="374"/>
      <c r="C49522" s="374"/>
      <c r="CV49522" s="376"/>
    </row>
    <row r="49523" spans="1:100">
      <c r="A49523" s="374"/>
      <c r="C49523" s="374"/>
      <c r="CV49523" s="376"/>
    </row>
    <row r="49524" spans="1:100">
      <c r="A49524" s="374"/>
      <c r="C49524" s="374"/>
      <c r="CV49524" s="376"/>
    </row>
    <row r="49525" spans="1:100">
      <c r="A49525" s="374"/>
      <c r="C49525" s="374"/>
      <c r="CV49525" s="376"/>
    </row>
    <row r="49526" spans="1:100">
      <c r="A49526" s="374"/>
      <c r="C49526" s="374"/>
      <c r="CV49526" s="376"/>
    </row>
    <row r="49527" spans="1:100">
      <c r="A49527" s="374"/>
      <c r="C49527" s="374"/>
      <c r="CV49527" s="376"/>
    </row>
    <row r="49528" spans="1:100">
      <c r="A49528" s="374"/>
      <c r="C49528" s="374"/>
      <c r="CV49528" s="376"/>
    </row>
    <row r="49529" spans="1:100">
      <c r="A49529" s="374"/>
      <c r="C49529" s="374"/>
      <c r="CV49529" s="376"/>
    </row>
    <row r="49530" spans="1:100">
      <c r="A49530" s="374"/>
      <c r="C49530" s="374"/>
      <c r="CV49530" s="376"/>
    </row>
    <row r="49531" spans="1:100">
      <c r="A49531" s="374"/>
      <c r="C49531" s="374"/>
      <c r="CV49531" s="376"/>
    </row>
    <row r="49532" spans="1:100">
      <c r="A49532" s="374"/>
      <c r="C49532" s="374"/>
      <c r="CV49532" s="376"/>
    </row>
    <row r="49533" spans="1:100">
      <c r="A49533" s="374"/>
      <c r="C49533" s="374"/>
      <c r="CV49533" s="376"/>
    </row>
    <row r="49534" spans="1:100">
      <c r="A49534" s="374"/>
      <c r="C49534" s="374"/>
      <c r="CV49534" s="376"/>
    </row>
    <row r="49535" spans="1:100">
      <c r="A49535" s="374"/>
      <c r="C49535" s="374"/>
      <c r="CV49535" s="376"/>
    </row>
    <row r="49536" spans="1:100">
      <c r="A49536" s="374"/>
      <c r="C49536" s="374"/>
      <c r="CV49536" s="376"/>
    </row>
    <row r="49537" spans="1:100">
      <c r="A49537" s="374"/>
      <c r="C49537" s="374"/>
      <c r="CV49537" s="376"/>
    </row>
    <row r="49538" spans="1:100">
      <c r="A49538" s="374"/>
      <c r="C49538" s="374"/>
      <c r="CV49538" s="376"/>
    </row>
    <row r="49539" spans="1:100">
      <c r="A49539" s="374"/>
      <c r="C49539" s="374"/>
      <c r="CV49539" s="376"/>
    </row>
    <row r="49540" spans="1:100">
      <c r="A49540" s="374"/>
      <c r="C49540" s="374"/>
      <c r="CV49540" s="376"/>
    </row>
    <row r="49541" spans="1:100">
      <c r="A49541" s="374"/>
      <c r="C49541" s="374"/>
      <c r="CV49541" s="376"/>
    </row>
    <row r="49542" spans="1:100">
      <c r="A49542" s="374"/>
      <c r="C49542" s="374"/>
      <c r="CV49542" s="376"/>
    </row>
    <row r="49543" spans="1:100">
      <c r="A49543" s="374"/>
      <c r="C49543" s="374"/>
      <c r="CV49543" s="376"/>
    </row>
    <row r="49544" spans="1:100">
      <c r="A49544" s="374"/>
      <c r="C49544" s="374"/>
      <c r="CV49544" s="376"/>
    </row>
    <row r="49545" spans="1:100">
      <c r="A49545" s="374"/>
      <c r="C49545" s="374"/>
      <c r="CV49545" s="376"/>
    </row>
    <row r="49546" spans="1:100">
      <c r="A49546" s="374"/>
      <c r="C49546" s="374"/>
      <c r="CV49546" s="376"/>
    </row>
    <row r="49547" spans="1:100">
      <c r="A49547" s="374"/>
      <c r="C49547" s="374"/>
      <c r="CV49547" s="376"/>
    </row>
    <row r="49548" spans="1:100">
      <c r="A49548" s="374"/>
      <c r="C49548" s="374"/>
      <c r="CV49548" s="376"/>
    </row>
    <row r="49549" spans="1:100">
      <c r="A49549" s="374"/>
      <c r="C49549" s="374"/>
      <c r="CV49549" s="376"/>
    </row>
    <row r="49550" spans="1:100">
      <c r="A49550" s="374"/>
      <c r="C49550" s="374"/>
      <c r="CV49550" s="376"/>
    </row>
    <row r="49551" spans="1:100">
      <c r="A49551" s="374"/>
      <c r="C49551" s="374"/>
      <c r="CV49551" s="376"/>
    </row>
    <row r="49552" spans="1:100">
      <c r="A49552" s="374"/>
      <c r="C49552" s="374"/>
      <c r="CV49552" s="376"/>
    </row>
    <row r="49553" spans="1:100">
      <c r="A49553" s="374"/>
      <c r="C49553" s="374"/>
      <c r="CV49553" s="376"/>
    </row>
    <row r="49554" spans="1:100">
      <c r="A49554" s="374"/>
      <c r="C49554" s="374"/>
      <c r="CV49554" s="376"/>
    </row>
    <row r="49555" spans="1:100">
      <c r="A49555" s="374"/>
      <c r="C49555" s="374"/>
      <c r="CV49555" s="376"/>
    </row>
    <row r="49556" spans="1:100">
      <c r="A49556" s="374"/>
      <c r="C49556" s="374"/>
      <c r="CV49556" s="376"/>
    </row>
    <row r="49557" spans="1:100">
      <c r="A49557" s="374"/>
      <c r="C49557" s="374"/>
      <c r="CV49557" s="376"/>
    </row>
    <row r="49558" spans="1:100">
      <c r="A49558" s="374"/>
      <c r="C49558" s="374"/>
      <c r="CV49558" s="376"/>
    </row>
    <row r="49559" spans="1:100">
      <c r="A49559" s="374"/>
      <c r="C49559" s="374"/>
      <c r="CV49559" s="376"/>
    </row>
    <row r="49560" spans="1:100">
      <c r="A49560" s="374"/>
      <c r="C49560" s="374"/>
      <c r="CV49560" s="376"/>
    </row>
    <row r="49561" spans="1:100">
      <c r="A49561" s="374"/>
      <c r="C49561" s="374"/>
      <c r="CV49561" s="376"/>
    </row>
    <row r="49562" spans="1:100">
      <c r="A49562" s="374"/>
      <c r="C49562" s="374"/>
      <c r="CV49562" s="376"/>
    </row>
    <row r="49563" spans="1:100">
      <c r="A49563" s="374"/>
      <c r="C49563" s="374"/>
      <c r="CV49563" s="376"/>
    </row>
    <row r="49564" spans="1:100">
      <c r="A49564" s="374"/>
      <c r="C49564" s="374"/>
      <c r="CV49564" s="376"/>
    </row>
    <row r="49565" spans="1:100">
      <c r="A49565" s="374"/>
      <c r="C49565" s="374"/>
      <c r="CV49565" s="376"/>
    </row>
    <row r="49566" spans="1:100">
      <c r="A49566" s="374"/>
      <c r="C49566" s="374"/>
      <c r="CV49566" s="376"/>
    </row>
    <row r="49567" spans="1:100">
      <c r="A49567" s="374"/>
      <c r="C49567" s="374"/>
      <c r="CV49567" s="376"/>
    </row>
    <row r="49568" spans="1:100">
      <c r="A49568" s="374"/>
      <c r="C49568" s="374"/>
      <c r="CV49568" s="376"/>
    </row>
    <row r="49569" spans="1:100">
      <c r="A49569" s="374"/>
      <c r="C49569" s="374"/>
      <c r="CV49569" s="376"/>
    </row>
    <row r="49570" spans="1:100">
      <c r="A49570" s="374"/>
      <c r="C49570" s="374"/>
      <c r="CV49570" s="376"/>
    </row>
    <row r="49571" spans="1:100">
      <c r="A49571" s="374"/>
      <c r="C49571" s="374"/>
      <c r="CV49571" s="376"/>
    </row>
    <row r="49572" spans="1:100">
      <c r="A49572" s="374"/>
      <c r="C49572" s="374"/>
      <c r="CV49572" s="376"/>
    </row>
    <row r="49573" spans="1:100">
      <c r="A49573" s="374"/>
      <c r="C49573" s="374"/>
      <c r="CV49573" s="376"/>
    </row>
    <row r="49574" spans="1:100">
      <c r="A49574" s="374"/>
      <c r="C49574" s="374"/>
      <c r="CV49574" s="376"/>
    </row>
    <row r="49575" spans="1:100">
      <c r="A49575" s="374"/>
      <c r="C49575" s="374"/>
      <c r="CV49575" s="376"/>
    </row>
    <row r="49576" spans="1:100">
      <c r="A49576" s="374"/>
      <c r="C49576" s="374"/>
      <c r="CV49576" s="376"/>
    </row>
    <row r="49577" spans="1:100">
      <c r="A49577" s="374"/>
      <c r="C49577" s="374"/>
      <c r="CV49577" s="376"/>
    </row>
    <row r="49578" spans="1:100">
      <c r="A49578" s="374"/>
      <c r="C49578" s="374"/>
      <c r="CV49578" s="376"/>
    </row>
    <row r="49579" spans="1:100">
      <c r="A49579" s="374"/>
      <c r="C49579" s="374"/>
      <c r="CV49579" s="376"/>
    </row>
    <row r="49580" spans="1:100">
      <c r="A49580" s="374"/>
      <c r="C49580" s="374"/>
      <c r="CV49580" s="376"/>
    </row>
    <row r="49581" spans="1:100">
      <c r="A49581" s="374"/>
      <c r="C49581" s="374"/>
      <c r="CV49581" s="376"/>
    </row>
    <row r="49582" spans="1:100">
      <c r="A49582" s="374"/>
      <c r="C49582" s="374"/>
      <c r="CV49582" s="376"/>
    </row>
    <row r="49583" spans="1:100">
      <c r="A49583" s="374"/>
      <c r="C49583" s="374"/>
      <c r="CV49583" s="376"/>
    </row>
    <row r="49584" spans="1:100">
      <c r="A49584" s="374"/>
      <c r="C49584" s="374"/>
      <c r="CV49584" s="376"/>
    </row>
    <row r="49585" spans="1:100">
      <c r="A49585" s="374"/>
      <c r="C49585" s="374"/>
      <c r="CV49585" s="376"/>
    </row>
    <row r="49586" spans="1:100">
      <c r="A49586" s="374"/>
      <c r="C49586" s="374"/>
      <c r="CV49586" s="376"/>
    </row>
    <row r="49587" spans="1:100">
      <c r="A49587" s="374"/>
      <c r="C49587" s="374"/>
      <c r="CV49587" s="376"/>
    </row>
    <row r="49588" spans="1:100">
      <c r="A49588" s="374"/>
      <c r="C49588" s="374"/>
      <c r="CV49588" s="376"/>
    </row>
    <row r="49589" spans="1:100">
      <c r="A49589" s="374"/>
      <c r="C49589" s="374"/>
      <c r="CV49589" s="376"/>
    </row>
    <row r="49590" spans="1:100">
      <c r="A49590" s="374"/>
      <c r="C49590" s="374"/>
      <c r="CV49590" s="376"/>
    </row>
    <row r="49591" spans="1:100">
      <c r="A49591" s="374"/>
      <c r="C49591" s="374"/>
      <c r="CV49591" s="376"/>
    </row>
    <row r="49592" spans="1:100">
      <c r="A49592" s="374"/>
      <c r="C49592" s="374"/>
      <c r="CV49592" s="376"/>
    </row>
    <row r="49593" spans="1:100">
      <c r="A49593" s="374"/>
      <c r="C49593" s="374"/>
      <c r="CV49593" s="376"/>
    </row>
    <row r="49594" spans="1:100">
      <c r="A49594" s="374"/>
      <c r="C49594" s="374"/>
      <c r="CV49594" s="376"/>
    </row>
    <row r="49595" spans="1:100">
      <c r="A49595" s="374"/>
      <c r="C49595" s="374"/>
      <c r="CV49595" s="376"/>
    </row>
    <row r="49596" spans="1:100">
      <c r="A49596" s="374"/>
      <c r="C49596" s="374"/>
      <c r="CV49596" s="376"/>
    </row>
    <row r="49597" spans="1:100">
      <c r="A49597" s="374"/>
      <c r="C49597" s="374"/>
      <c r="CV49597" s="376"/>
    </row>
    <row r="49598" spans="1:100">
      <c r="A49598" s="374"/>
      <c r="C49598" s="374"/>
      <c r="CV49598" s="376"/>
    </row>
    <row r="49599" spans="1:100">
      <c r="A49599" s="374"/>
      <c r="C49599" s="374"/>
      <c r="CV49599" s="376"/>
    </row>
    <row r="49600" spans="1:100">
      <c r="A49600" s="374"/>
      <c r="C49600" s="374"/>
      <c r="CV49600" s="376"/>
    </row>
    <row r="49601" spans="1:100">
      <c r="A49601" s="374"/>
      <c r="C49601" s="374"/>
      <c r="CV49601" s="376"/>
    </row>
    <row r="49602" spans="1:100">
      <c r="A49602" s="374"/>
      <c r="C49602" s="374"/>
      <c r="CV49602" s="376"/>
    </row>
    <row r="49603" spans="1:100">
      <c r="A49603" s="374"/>
      <c r="C49603" s="374"/>
      <c r="CV49603" s="376"/>
    </row>
    <row r="49604" spans="1:100">
      <c r="A49604" s="374"/>
      <c r="C49604" s="374"/>
      <c r="CV49604" s="376"/>
    </row>
    <row r="49605" spans="1:100">
      <c r="A49605" s="374"/>
      <c r="C49605" s="374"/>
      <c r="CV49605" s="376"/>
    </row>
    <row r="49606" spans="1:100">
      <c r="A49606" s="374"/>
      <c r="C49606" s="374"/>
      <c r="CV49606" s="376"/>
    </row>
    <row r="49607" spans="1:100">
      <c r="A49607" s="374"/>
      <c r="C49607" s="374"/>
      <c r="CV49607" s="376"/>
    </row>
    <row r="49608" spans="1:100">
      <c r="A49608" s="374"/>
      <c r="C49608" s="374"/>
      <c r="CV49608" s="376"/>
    </row>
    <row r="49609" spans="1:100">
      <c r="A49609" s="374"/>
      <c r="C49609" s="374"/>
      <c r="CV49609" s="376"/>
    </row>
    <row r="49610" spans="1:100">
      <c r="A49610" s="374"/>
      <c r="C49610" s="374"/>
      <c r="CV49610" s="376"/>
    </row>
    <row r="49611" spans="1:100">
      <c r="A49611" s="374"/>
      <c r="C49611" s="374"/>
      <c r="CV49611" s="376"/>
    </row>
    <row r="49612" spans="1:100">
      <c r="A49612" s="374"/>
      <c r="C49612" s="374"/>
      <c r="CV49612" s="376"/>
    </row>
    <row r="49613" spans="1:100">
      <c r="A49613" s="374"/>
      <c r="C49613" s="374"/>
      <c r="CV49613" s="376"/>
    </row>
    <row r="49614" spans="1:100">
      <c r="A49614" s="374"/>
      <c r="C49614" s="374"/>
      <c r="CV49614" s="376"/>
    </row>
    <row r="49615" spans="1:100">
      <c r="A49615" s="374"/>
      <c r="C49615" s="374"/>
      <c r="CV49615" s="376"/>
    </row>
    <row r="49616" spans="1:100">
      <c r="A49616" s="374"/>
      <c r="C49616" s="374"/>
      <c r="CV49616" s="376"/>
    </row>
    <row r="49617" spans="1:100">
      <c r="A49617" s="374"/>
      <c r="C49617" s="374"/>
      <c r="CV49617" s="376"/>
    </row>
    <row r="49618" spans="1:100">
      <c r="A49618" s="374"/>
      <c r="C49618" s="374"/>
      <c r="CV49618" s="376"/>
    </row>
    <row r="49619" spans="1:100">
      <c r="A49619" s="374"/>
      <c r="C49619" s="374"/>
      <c r="CV49619" s="376"/>
    </row>
    <row r="49620" spans="1:100">
      <c r="A49620" s="374"/>
      <c r="C49620" s="374"/>
      <c r="CV49620" s="376"/>
    </row>
    <row r="49621" spans="1:100">
      <c r="A49621" s="374"/>
      <c r="C49621" s="374"/>
      <c r="CV49621" s="376"/>
    </row>
    <row r="49622" spans="1:100">
      <c r="A49622" s="374"/>
      <c r="C49622" s="374"/>
      <c r="CV49622" s="376"/>
    </row>
    <row r="49623" spans="1:100">
      <c r="A49623" s="374"/>
      <c r="C49623" s="374"/>
      <c r="CV49623" s="376"/>
    </row>
    <row r="49624" spans="1:100">
      <c r="A49624" s="374"/>
      <c r="C49624" s="374"/>
      <c r="CV49624" s="376"/>
    </row>
    <row r="49625" spans="1:100">
      <c r="A49625" s="374"/>
      <c r="C49625" s="374"/>
      <c r="CV49625" s="376"/>
    </row>
    <row r="49626" spans="1:100">
      <c r="A49626" s="374"/>
      <c r="C49626" s="374"/>
      <c r="CV49626" s="376"/>
    </row>
    <row r="49627" spans="1:100">
      <c r="A49627" s="374"/>
      <c r="C49627" s="374"/>
      <c r="CV49627" s="376"/>
    </row>
    <row r="49628" spans="1:100">
      <c r="A49628" s="374"/>
      <c r="C49628" s="374"/>
      <c r="CV49628" s="376"/>
    </row>
    <row r="49629" spans="1:100">
      <c r="A49629" s="374"/>
      <c r="C49629" s="374"/>
      <c r="CV49629" s="376"/>
    </row>
    <row r="49630" spans="1:100">
      <c r="A49630" s="374"/>
      <c r="C49630" s="374"/>
      <c r="CV49630" s="376"/>
    </row>
    <row r="49631" spans="1:100">
      <c r="A49631" s="374"/>
      <c r="C49631" s="374"/>
      <c r="CV49631" s="376"/>
    </row>
    <row r="49632" spans="1:100">
      <c r="A49632" s="374"/>
      <c r="C49632" s="374"/>
      <c r="CV49632" s="376"/>
    </row>
    <row r="49633" spans="1:100">
      <c r="A49633" s="374"/>
      <c r="C49633" s="374"/>
      <c r="CV49633" s="376"/>
    </row>
    <row r="49634" spans="1:100">
      <c r="A49634" s="374"/>
      <c r="C49634" s="374"/>
      <c r="CV49634" s="376"/>
    </row>
    <row r="49635" spans="1:100">
      <c r="A49635" s="374"/>
      <c r="C49635" s="374"/>
      <c r="CV49635" s="376"/>
    </row>
    <row r="49636" spans="1:100">
      <c r="A49636" s="374"/>
      <c r="C49636" s="374"/>
      <c r="CV49636" s="376"/>
    </row>
    <row r="49637" spans="1:100">
      <c r="A49637" s="374"/>
      <c r="C49637" s="374"/>
      <c r="CV49637" s="376"/>
    </row>
    <row r="49638" spans="1:100">
      <c r="A49638" s="374"/>
      <c r="C49638" s="374"/>
      <c r="CV49638" s="376"/>
    </row>
    <row r="49639" spans="1:100">
      <c r="A49639" s="374"/>
      <c r="C49639" s="374"/>
      <c r="CV49639" s="376"/>
    </row>
    <row r="49640" spans="1:100">
      <c r="A49640" s="374"/>
      <c r="C49640" s="374"/>
      <c r="CV49640" s="376"/>
    </row>
    <row r="49641" spans="1:100">
      <c r="A49641" s="374"/>
      <c r="C49641" s="374"/>
      <c r="CV49641" s="376"/>
    </row>
    <row r="49642" spans="1:100">
      <c r="A49642" s="374"/>
      <c r="C49642" s="374"/>
      <c r="CV49642" s="376"/>
    </row>
    <row r="49643" spans="1:100">
      <c r="A49643" s="374"/>
      <c r="C49643" s="374"/>
      <c r="CV49643" s="376"/>
    </row>
    <row r="49644" spans="1:100">
      <c r="A49644" s="374"/>
      <c r="C49644" s="374"/>
      <c r="CV49644" s="376"/>
    </row>
    <row r="49645" spans="1:100">
      <c r="A49645" s="374"/>
      <c r="C49645" s="374"/>
      <c r="CV49645" s="376"/>
    </row>
    <row r="49646" spans="1:100">
      <c r="A49646" s="374"/>
      <c r="C49646" s="374"/>
      <c r="CV49646" s="376"/>
    </row>
    <row r="49647" spans="1:100">
      <c r="A49647" s="374"/>
      <c r="C49647" s="374"/>
      <c r="CV49647" s="376"/>
    </row>
    <row r="49648" spans="1:100">
      <c r="A49648" s="374"/>
      <c r="C49648" s="374"/>
      <c r="CV49648" s="376"/>
    </row>
    <row r="49649" spans="1:100">
      <c r="A49649" s="374"/>
      <c r="C49649" s="374"/>
      <c r="CV49649" s="376"/>
    </row>
    <row r="49650" spans="1:100">
      <c r="A49650" s="374"/>
      <c r="C49650" s="374"/>
      <c r="CV49650" s="376"/>
    </row>
    <row r="49651" spans="1:100">
      <c r="A49651" s="374"/>
      <c r="C49651" s="374"/>
      <c r="CV49651" s="376"/>
    </row>
    <row r="49652" spans="1:100">
      <c r="A49652" s="374"/>
      <c r="C49652" s="374"/>
      <c r="CV49652" s="376"/>
    </row>
    <row r="49653" spans="1:100">
      <c r="A49653" s="374"/>
      <c r="C49653" s="374"/>
      <c r="CV49653" s="376"/>
    </row>
    <row r="49654" spans="1:100">
      <c r="A49654" s="374"/>
      <c r="C49654" s="374"/>
      <c r="CV49654" s="376"/>
    </row>
    <row r="49655" spans="1:100">
      <c r="A49655" s="374"/>
      <c r="C49655" s="374"/>
      <c r="CV49655" s="376"/>
    </row>
    <row r="49656" spans="1:100">
      <c r="A49656" s="374"/>
      <c r="C49656" s="374"/>
      <c r="CV49656" s="376"/>
    </row>
    <row r="49657" spans="1:100">
      <c r="A49657" s="374"/>
      <c r="C49657" s="374"/>
      <c r="CV49657" s="376"/>
    </row>
    <row r="49658" spans="1:100">
      <c r="A49658" s="374"/>
      <c r="C49658" s="374"/>
      <c r="CV49658" s="376"/>
    </row>
    <row r="49659" spans="1:100">
      <c r="A49659" s="374"/>
      <c r="C49659" s="374"/>
      <c r="CV49659" s="376"/>
    </row>
    <row r="49660" spans="1:100">
      <c r="A49660" s="374"/>
      <c r="C49660" s="374"/>
      <c r="CV49660" s="376"/>
    </row>
    <row r="49661" spans="1:100">
      <c r="A49661" s="374"/>
      <c r="C49661" s="374"/>
      <c r="CV49661" s="376"/>
    </row>
    <row r="49662" spans="1:100">
      <c r="A49662" s="374"/>
      <c r="C49662" s="374"/>
      <c r="CV49662" s="376"/>
    </row>
    <row r="49663" spans="1:100">
      <c r="A49663" s="374"/>
      <c r="C49663" s="374"/>
      <c r="CV49663" s="376"/>
    </row>
    <row r="49664" spans="1:100">
      <c r="A49664" s="374"/>
      <c r="C49664" s="374"/>
      <c r="CV49664" s="376"/>
    </row>
    <row r="49665" spans="1:100">
      <c r="A49665" s="374"/>
      <c r="C49665" s="374"/>
      <c r="CV49665" s="376"/>
    </row>
    <row r="49666" spans="1:100">
      <c r="A49666" s="374"/>
      <c r="C49666" s="374"/>
      <c r="CV49666" s="376"/>
    </row>
    <row r="49667" spans="1:100">
      <c r="A49667" s="374"/>
      <c r="C49667" s="374"/>
      <c r="CV49667" s="376"/>
    </row>
    <row r="49668" spans="1:100">
      <c r="A49668" s="374"/>
      <c r="C49668" s="374"/>
      <c r="CV49668" s="376"/>
    </row>
    <row r="49669" spans="1:100">
      <c r="A49669" s="374"/>
      <c r="C49669" s="374"/>
      <c r="CV49669" s="376"/>
    </row>
    <row r="49670" spans="1:100">
      <c r="A49670" s="374"/>
      <c r="C49670" s="374"/>
      <c r="CV49670" s="376"/>
    </row>
    <row r="49671" spans="1:100">
      <c r="A49671" s="374"/>
      <c r="C49671" s="374"/>
      <c r="CV49671" s="376"/>
    </row>
    <row r="49672" spans="1:100">
      <c r="A49672" s="374"/>
      <c r="C49672" s="374"/>
      <c r="CV49672" s="376"/>
    </row>
    <row r="49673" spans="1:100">
      <c r="A49673" s="374"/>
      <c r="C49673" s="374"/>
      <c r="CV49673" s="376"/>
    </row>
    <row r="49674" spans="1:100">
      <c r="A49674" s="374"/>
      <c r="C49674" s="374"/>
      <c r="CV49674" s="376"/>
    </row>
    <row r="49675" spans="1:100">
      <c r="A49675" s="374"/>
      <c r="C49675" s="374"/>
      <c r="CV49675" s="376"/>
    </row>
    <row r="49676" spans="1:100">
      <c r="A49676" s="374"/>
      <c r="C49676" s="374"/>
      <c r="CV49676" s="376"/>
    </row>
    <row r="49677" spans="1:100">
      <c r="A49677" s="374"/>
      <c r="C49677" s="374"/>
      <c r="CV49677" s="376"/>
    </row>
    <row r="49678" spans="1:100">
      <c r="A49678" s="374"/>
      <c r="C49678" s="374"/>
      <c r="CV49678" s="376"/>
    </row>
    <row r="49679" spans="1:100">
      <c r="A49679" s="374"/>
      <c r="C49679" s="374"/>
      <c r="CV49679" s="376"/>
    </row>
    <row r="49680" spans="1:100">
      <c r="A49680" s="374"/>
      <c r="C49680" s="374"/>
      <c r="CV49680" s="376"/>
    </row>
    <row r="49681" spans="1:100">
      <c r="A49681" s="374"/>
      <c r="C49681" s="374"/>
      <c r="CV49681" s="376"/>
    </row>
    <row r="49682" spans="1:100">
      <c r="A49682" s="374"/>
      <c r="C49682" s="374"/>
      <c r="CV49682" s="376"/>
    </row>
    <row r="49683" spans="1:100">
      <c r="A49683" s="374"/>
      <c r="C49683" s="374"/>
      <c r="CV49683" s="376"/>
    </row>
    <row r="49684" spans="1:100">
      <c r="A49684" s="374"/>
      <c r="C49684" s="374"/>
      <c r="CV49684" s="376"/>
    </row>
    <row r="49685" spans="1:100">
      <c r="A49685" s="374"/>
      <c r="C49685" s="374"/>
      <c r="CV49685" s="376"/>
    </row>
    <row r="49686" spans="1:100">
      <c r="A49686" s="374"/>
      <c r="C49686" s="374"/>
      <c r="CV49686" s="376"/>
    </row>
    <row r="49687" spans="1:100">
      <c r="A49687" s="374"/>
      <c r="C49687" s="374"/>
      <c r="CV49687" s="376"/>
    </row>
    <row r="49688" spans="1:100">
      <c r="A49688" s="374"/>
      <c r="C49688" s="374"/>
      <c r="CV49688" s="376"/>
    </row>
    <row r="49689" spans="1:100">
      <c r="A49689" s="374"/>
      <c r="C49689" s="374"/>
      <c r="CV49689" s="376"/>
    </row>
    <row r="49690" spans="1:100">
      <c r="A49690" s="374"/>
      <c r="C49690" s="374"/>
      <c r="CV49690" s="376"/>
    </row>
    <row r="49691" spans="1:100">
      <c r="A49691" s="374"/>
      <c r="C49691" s="374"/>
      <c r="CV49691" s="376"/>
    </row>
    <row r="49692" spans="1:100">
      <c r="A49692" s="374"/>
      <c r="C49692" s="374"/>
      <c r="CV49692" s="376"/>
    </row>
    <row r="49693" spans="1:100">
      <c r="A49693" s="374"/>
      <c r="C49693" s="374"/>
      <c r="CV49693" s="376"/>
    </row>
    <row r="49694" spans="1:100">
      <c r="A49694" s="374"/>
      <c r="C49694" s="374"/>
      <c r="CV49694" s="376"/>
    </row>
    <row r="49695" spans="1:100">
      <c r="A49695" s="374"/>
      <c r="C49695" s="374"/>
      <c r="CV49695" s="376"/>
    </row>
    <row r="49696" spans="1:100">
      <c r="A49696" s="374"/>
      <c r="C49696" s="374"/>
      <c r="CV49696" s="376"/>
    </row>
    <row r="49697" spans="1:100">
      <c r="A49697" s="374"/>
      <c r="C49697" s="374"/>
      <c r="CV49697" s="376"/>
    </row>
    <row r="49698" spans="1:100">
      <c r="A49698" s="374"/>
      <c r="C49698" s="374"/>
      <c r="CV49698" s="376"/>
    </row>
    <row r="49699" spans="1:100">
      <c r="A49699" s="374"/>
      <c r="C49699" s="374"/>
      <c r="CV49699" s="376"/>
    </row>
    <row r="49700" spans="1:100">
      <c r="A49700" s="374"/>
      <c r="C49700" s="374"/>
      <c r="CV49700" s="376"/>
    </row>
    <row r="49701" spans="1:100">
      <c r="A49701" s="374"/>
      <c r="C49701" s="374"/>
      <c r="CV49701" s="376"/>
    </row>
    <row r="49702" spans="1:100">
      <c r="A49702" s="374"/>
      <c r="C49702" s="374"/>
      <c r="CV49702" s="376"/>
    </row>
    <row r="49703" spans="1:100">
      <c r="A49703" s="374"/>
      <c r="C49703" s="374"/>
      <c r="CV49703" s="376"/>
    </row>
    <row r="49704" spans="1:100">
      <c r="A49704" s="374"/>
      <c r="C49704" s="374"/>
      <c r="CV49704" s="376"/>
    </row>
    <row r="49705" spans="1:100">
      <c r="A49705" s="374"/>
      <c r="C49705" s="374"/>
      <c r="CV49705" s="376"/>
    </row>
    <row r="49706" spans="1:100">
      <c r="A49706" s="374"/>
      <c r="C49706" s="374"/>
      <c r="CV49706" s="376"/>
    </row>
    <row r="49707" spans="1:100">
      <c r="A49707" s="374"/>
      <c r="C49707" s="374"/>
      <c r="CV49707" s="376"/>
    </row>
    <row r="49708" spans="1:100">
      <c r="A49708" s="374"/>
      <c r="C49708" s="374"/>
      <c r="CV49708" s="376"/>
    </row>
    <row r="49709" spans="1:100">
      <c r="A49709" s="374"/>
      <c r="C49709" s="374"/>
      <c r="CV49709" s="376"/>
    </row>
    <row r="49710" spans="1:100">
      <c r="A49710" s="374"/>
      <c r="C49710" s="374"/>
      <c r="CV49710" s="376"/>
    </row>
    <row r="49711" spans="1:100">
      <c r="A49711" s="374"/>
      <c r="C49711" s="374"/>
      <c r="CV49711" s="376"/>
    </row>
    <row r="49712" spans="1:100">
      <c r="A49712" s="374"/>
      <c r="C49712" s="374"/>
      <c r="CV49712" s="376"/>
    </row>
    <row r="49713" spans="1:100">
      <c r="A49713" s="374"/>
      <c r="C49713" s="374"/>
      <c r="CV49713" s="376"/>
    </row>
    <row r="49714" spans="1:100">
      <c r="A49714" s="374"/>
      <c r="C49714" s="374"/>
      <c r="CV49714" s="376"/>
    </row>
    <row r="49715" spans="1:100">
      <c r="A49715" s="374"/>
      <c r="C49715" s="374"/>
      <c r="CV49715" s="376"/>
    </row>
    <row r="49716" spans="1:100">
      <c r="A49716" s="374"/>
      <c r="C49716" s="374"/>
      <c r="CV49716" s="376"/>
    </row>
    <row r="49717" spans="1:100">
      <c r="A49717" s="374"/>
      <c r="C49717" s="374"/>
      <c r="CV49717" s="376"/>
    </row>
    <row r="49718" spans="1:100">
      <c r="A49718" s="374"/>
      <c r="C49718" s="374"/>
      <c r="CV49718" s="376"/>
    </row>
    <row r="49719" spans="1:100">
      <c r="A49719" s="374"/>
      <c r="C49719" s="374"/>
      <c r="CV49719" s="376"/>
    </row>
    <row r="49720" spans="1:100">
      <c r="A49720" s="374"/>
      <c r="C49720" s="374"/>
      <c r="CV49720" s="376"/>
    </row>
    <row r="49721" spans="1:100">
      <c r="A49721" s="374"/>
      <c r="C49721" s="374"/>
      <c r="CV49721" s="376"/>
    </row>
    <row r="49722" spans="1:100">
      <c r="A49722" s="374"/>
      <c r="C49722" s="374"/>
      <c r="CV49722" s="376"/>
    </row>
    <row r="49723" spans="1:100">
      <c r="A49723" s="374"/>
      <c r="C49723" s="374"/>
      <c r="CV49723" s="376"/>
    </row>
    <row r="49724" spans="1:100">
      <c r="A49724" s="374"/>
      <c r="C49724" s="374"/>
      <c r="CV49724" s="376"/>
    </row>
    <row r="49725" spans="1:100">
      <c r="A49725" s="374"/>
      <c r="C49725" s="374"/>
      <c r="CV49725" s="376"/>
    </row>
    <row r="49726" spans="1:100">
      <c r="A49726" s="374"/>
      <c r="C49726" s="374"/>
      <c r="CV49726" s="376"/>
    </row>
    <row r="49727" spans="1:100">
      <c r="A49727" s="374"/>
      <c r="C49727" s="374"/>
      <c r="CV49727" s="376"/>
    </row>
    <row r="49728" spans="1:100">
      <c r="A49728" s="374"/>
      <c r="C49728" s="374"/>
      <c r="CV49728" s="376"/>
    </row>
    <row r="49729" spans="1:100">
      <c r="A49729" s="374"/>
      <c r="C49729" s="374"/>
      <c r="CV49729" s="376"/>
    </row>
    <row r="49730" spans="1:100">
      <c r="A49730" s="374"/>
      <c r="C49730" s="374"/>
      <c r="CV49730" s="376"/>
    </row>
    <row r="49731" spans="1:100">
      <c r="A49731" s="374"/>
      <c r="C49731" s="374"/>
      <c r="CV49731" s="376"/>
    </row>
    <row r="49732" spans="1:100">
      <c r="A49732" s="374"/>
      <c r="C49732" s="374"/>
      <c r="CV49732" s="376"/>
    </row>
    <row r="49733" spans="1:100">
      <c r="A49733" s="374"/>
      <c r="C49733" s="374"/>
      <c r="CV49733" s="376"/>
    </row>
    <row r="49734" spans="1:100">
      <c r="A49734" s="374"/>
      <c r="C49734" s="374"/>
      <c r="CV49734" s="376"/>
    </row>
    <row r="49735" spans="1:100">
      <c r="A49735" s="374"/>
      <c r="C49735" s="374"/>
      <c r="CV49735" s="376"/>
    </row>
    <row r="49736" spans="1:100">
      <c r="A49736" s="374"/>
      <c r="C49736" s="374"/>
      <c r="CV49736" s="376"/>
    </row>
    <row r="49737" spans="1:100">
      <c r="A49737" s="374"/>
      <c r="C49737" s="374"/>
      <c r="CV49737" s="376"/>
    </row>
    <row r="49738" spans="1:100">
      <c r="A49738" s="374"/>
      <c r="C49738" s="374"/>
      <c r="CV49738" s="376"/>
    </row>
    <row r="49739" spans="1:100">
      <c r="A49739" s="374"/>
      <c r="C49739" s="374"/>
      <c r="CV49739" s="376"/>
    </row>
    <row r="49740" spans="1:100">
      <c r="A49740" s="374"/>
      <c r="C49740" s="374"/>
      <c r="CV49740" s="376"/>
    </row>
    <row r="49741" spans="1:100">
      <c r="A49741" s="374"/>
      <c r="C49741" s="374"/>
      <c r="CV49741" s="376"/>
    </row>
    <row r="49742" spans="1:100">
      <c r="A49742" s="374"/>
      <c r="C49742" s="374"/>
      <c r="CV49742" s="376"/>
    </row>
    <row r="49743" spans="1:100">
      <c r="A49743" s="374"/>
      <c r="C49743" s="374"/>
      <c r="CV49743" s="376"/>
    </row>
    <row r="49744" spans="1:100">
      <c r="A49744" s="374"/>
      <c r="C49744" s="374"/>
      <c r="CV49744" s="376"/>
    </row>
    <row r="49745" spans="1:100">
      <c r="A49745" s="374"/>
      <c r="C49745" s="374"/>
      <c r="CV49745" s="376"/>
    </row>
    <row r="49746" spans="1:100">
      <c r="A49746" s="374"/>
      <c r="C49746" s="374"/>
      <c r="CV49746" s="376"/>
    </row>
    <row r="49747" spans="1:100">
      <c r="A49747" s="374"/>
      <c r="C49747" s="374"/>
      <c r="CV49747" s="376"/>
    </row>
    <row r="49748" spans="1:100">
      <c r="A49748" s="374"/>
      <c r="C49748" s="374"/>
      <c r="CV49748" s="376"/>
    </row>
    <row r="49749" spans="1:100">
      <c r="A49749" s="374"/>
      <c r="C49749" s="374"/>
      <c r="CV49749" s="376"/>
    </row>
    <row r="49750" spans="1:100">
      <c r="A49750" s="374"/>
      <c r="C49750" s="374"/>
      <c r="CV49750" s="376"/>
    </row>
    <row r="49751" spans="1:100">
      <c r="A49751" s="374"/>
      <c r="C49751" s="374"/>
      <c r="CV49751" s="376"/>
    </row>
    <row r="49752" spans="1:100">
      <c r="A49752" s="374"/>
      <c r="C49752" s="374"/>
      <c r="CV49752" s="376"/>
    </row>
    <row r="49753" spans="1:100">
      <c r="A49753" s="374"/>
      <c r="C49753" s="374"/>
      <c r="CV49753" s="376"/>
    </row>
    <row r="49754" spans="1:100">
      <c r="A49754" s="374"/>
      <c r="C49754" s="374"/>
      <c r="CV49754" s="376"/>
    </row>
    <row r="49755" spans="1:100">
      <c r="A49755" s="374"/>
      <c r="C49755" s="374"/>
      <c r="CV49755" s="376"/>
    </row>
    <row r="49756" spans="1:100">
      <c r="A49756" s="374"/>
      <c r="C49756" s="374"/>
      <c r="CV49756" s="376"/>
    </row>
    <row r="49757" spans="1:100">
      <c r="A49757" s="374"/>
      <c r="C49757" s="374"/>
      <c r="CV49757" s="376"/>
    </row>
    <row r="49758" spans="1:100">
      <c r="A49758" s="374"/>
      <c r="C49758" s="374"/>
      <c r="CV49758" s="376"/>
    </row>
    <row r="49759" spans="1:100">
      <c r="A49759" s="374"/>
      <c r="C49759" s="374"/>
      <c r="CV49759" s="376"/>
    </row>
    <row r="49760" spans="1:100">
      <c r="A49760" s="374"/>
      <c r="C49760" s="374"/>
      <c r="CV49760" s="376"/>
    </row>
    <row r="49761" spans="1:100">
      <c r="A49761" s="374"/>
      <c r="C49761" s="374"/>
      <c r="CV49761" s="376"/>
    </row>
    <row r="49762" spans="1:100">
      <c r="A49762" s="374"/>
      <c r="C49762" s="374"/>
      <c r="CV49762" s="376"/>
    </row>
    <row r="49763" spans="1:100">
      <c r="A49763" s="374"/>
      <c r="C49763" s="374"/>
      <c r="CV49763" s="376"/>
    </row>
    <row r="49764" spans="1:100">
      <c r="A49764" s="374"/>
      <c r="C49764" s="374"/>
      <c r="CV49764" s="376"/>
    </row>
    <row r="49765" spans="1:100">
      <c r="A49765" s="374"/>
      <c r="C49765" s="374"/>
      <c r="CV49765" s="376"/>
    </row>
    <row r="49766" spans="1:100">
      <c r="A49766" s="374"/>
      <c r="C49766" s="374"/>
      <c r="CV49766" s="376"/>
    </row>
    <row r="49767" spans="1:100">
      <c r="A49767" s="374"/>
      <c r="C49767" s="374"/>
      <c r="CV49767" s="376"/>
    </row>
    <row r="49768" spans="1:100">
      <c r="A49768" s="374"/>
      <c r="C49768" s="374"/>
      <c r="CV49768" s="376"/>
    </row>
    <row r="49769" spans="1:100">
      <c r="A49769" s="374"/>
      <c r="C49769" s="374"/>
      <c r="CV49769" s="376"/>
    </row>
    <row r="49770" spans="1:100">
      <c r="A49770" s="374"/>
      <c r="C49770" s="374"/>
      <c r="CV49770" s="376"/>
    </row>
    <row r="49771" spans="1:100">
      <c r="A49771" s="374"/>
      <c r="C49771" s="374"/>
      <c r="CV49771" s="376"/>
    </row>
    <row r="49772" spans="1:100">
      <c r="A49772" s="374"/>
      <c r="C49772" s="374"/>
      <c r="CV49772" s="376"/>
    </row>
    <row r="49773" spans="1:100">
      <c r="A49773" s="374"/>
      <c r="C49773" s="374"/>
      <c r="CV49773" s="376"/>
    </row>
    <row r="49774" spans="1:100">
      <c r="A49774" s="374"/>
      <c r="C49774" s="374"/>
      <c r="CV49774" s="376"/>
    </row>
    <row r="49775" spans="1:100">
      <c r="A49775" s="374"/>
      <c r="C49775" s="374"/>
      <c r="CV49775" s="376"/>
    </row>
    <row r="49776" spans="1:100">
      <c r="A49776" s="374"/>
      <c r="C49776" s="374"/>
      <c r="CV49776" s="376"/>
    </row>
    <row r="49777" spans="1:100">
      <c r="A49777" s="374"/>
      <c r="C49777" s="374"/>
      <c r="CV49777" s="376"/>
    </row>
    <row r="49778" spans="1:100">
      <c r="A49778" s="374"/>
      <c r="C49778" s="374"/>
      <c r="CV49778" s="376"/>
    </row>
    <row r="49779" spans="1:100">
      <c r="A49779" s="374"/>
      <c r="C49779" s="374"/>
      <c r="CV49779" s="376"/>
    </row>
    <row r="49780" spans="1:100">
      <c r="A49780" s="374"/>
      <c r="C49780" s="374"/>
      <c r="CV49780" s="376"/>
    </row>
    <row r="49781" spans="1:100">
      <c r="A49781" s="374"/>
      <c r="C49781" s="374"/>
      <c r="CV49781" s="376"/>
    </row>
    <row r="49782" spans="1:100">
      <c r="A49782" s="374"/>
      <c r="C49782" s="374"/>
      <c r="CV49782" s="376"/>
    </row>
    <row r="49783" spans="1:100">
      <c r="A49783" s="374"/>
      <c r="C49783" s="374"/>
      <c r="CV49783" s="376"/>
    </row>
    <row r="49784" spans="1:100">
      <c r="A49784" s="374"/>
      <c r="C49784" s="374"/>
      <c r="CV49784" s="376"/>
    </row>
    <row r="49785" spans="1:100">
      <c r="A49785" s="374"/>
      <c r="C49785" s="374"/>
      <c r="CV49785" s="376"/>
    </row>
    <row r="49786" spans="1:100">
      <c r="A49786" s="374"/>
      <c r="C49786" s="374"/>
      <c r="CV49786" s="376"/>
    </row>
    <row r="49787" spans="1:100">
      <c r="A49787" s="374"/>
      <c r="C49787" s="374"/>
      <c r="CV49787" s="376"/>
    </row>
    <row r="49788" spans="1:100">
      <c r="A49788" s="374"/>
      <c r="C49788" s="374"/>
      <c r="CV49788" s="376"/>
    </row>
    <row r="49789" spans="1:100">
      <c r="A49789" s="374"/>
      <c r="C49789" s="374"/>
      <c r="CV49789" s="376"/>
    </row>
    <row r="49790" spans="1:100">
      <c r="A49790" s="374"/>
      <c r="C49790" s="374"/>
      <c r="CV49790" s="376"/>
    </row>
    <row r="49791" spans="1:100">
      <c r="A49791" s="374"/>
      <c r="C49791" s="374"/>
      <c r="CV49791" s="376"/>
    </row>
    <row r="49792" spans="1:100">
      <c r="A49792" s="374"/>
      <c r="C49792" s="374"/>
      <c r="CV49792" s="376"/>
    </row>
    <row r="49793" spans="1:100">
      <c r="A49793" s="374"/>
      <c r="C49793" s="374"/>
      <c r="CV49793" s="376"/>
    </row>
    <row r="49794" spans="1:100">
      <c r="A49794" s="374"/>
      <c r="C49794" s="374"/>
      <c r="CV49794" s="376"/>
    </row>
    <row r="49795" spans="1:100">
      <c r="A49795" s="374"/>
      <c r="C49795" s="374"/>
      <c r="CV49795" s="376"/>
    </row>
    <row r="49796" spans="1:100">
      <c r="A49796" s="374"/>
      <c r="C49796" s="374"/>
      <c r="CV49796" s="376"/>
    </row>
    <row r="49797" spans="1:100">
      <c r="A49797" s="374"/>
      <c r="C49797" s="374"/>
      <c r="CV49797" s="376"/>
    </row>
    <row r="49798" spans="1:100">
      <c r="A49798" s="374"/>
      <c r="C49798" s="374"/>
      <c r="CV49798" s="376"/>
    </row>
    <row r="49799" spans="1:100">
      <c r="A49799" s="374"/>
      <c r="C49799" s="374"/>
      <c r="CV49799" s="376"/>
    </row>
    <row r="49800" spans="1:100">
      <c r="A49800" s="374"/>
      <c r="C49800" s="374"/>
      <c r="CV49800" s="376"/>
    </row>
    <row r="49801" spans="1:100">
      <c r="A49801" s="374"/>
      <c r="C49801" s="374"/>
      <c r="CV49801" s="376"/>
    </row>
    <row r="49802" spans="1:100">
      <c r="A49802" s="374"/>
      <c r="C49802" s="374"/>
      <c r="CV49802" s="376"/>
    </row>
    <row r="49803" spans="1:100">
      <c r="A49803" s="374"/>
      <c r="C49803" s="374"/>
      <c r="CV49803" s="376"/>
    </row>
    <row r="49804" spans="1:100">
      <c r="A49804" s="374"/>
      <c r="C49804" s="374"/>
      <c r="CV49804" s="376"/>
    </row>
    <row r="49805" spans="1:100">
      <c r="A49805" s="374"/>
      <c r="C49805" s="374"/>
      <c r="CV49805" s="376"/>
    </row>
    <row r="49806" spans="1:100">
      <c r="A49806" s="374"/>
      <c r="C49806" s="374"/>
      <c r="CV49806" s="376"/>
    </row>
    <row r="49807" spans="1:100">
      <c r="A49807" s="374"/>
      <c r="C49807" s="374"/>
      <c r="CV49807" s="376"/>
    </row>
    <row r="49808" spans="1:100">
      <c r="A49808" s="374"/>
      <c r="C49808" s="374"/>
      <c r="CV49808" s="376"/>
    </row>
    <row r="49809" spans="1:100">
      <c r="A49809" s="374"/>
      <c r="C49809" s="374"/>
      <c r="CV49809" s="376"/>
    </row>
    <row r="49810" spans="1:100">
      <c r="A49810" s="374"/>
      <c r="C49810" s="374"/>
      <c r="CV49810" s="376"/>
    </row>
    <row r="49811" spans="1:100">
      <c r="A49811" s="374"/>
      <c r="C49811" s="374"/>
      <c r="CV49811" s="376"/>
    </row>
    <row r="49812" spans="1:100">
      <c r="A49812" s="374"/>
      <c r="C49812" s="374"/>
      <c r="CV49812" s="376"/>
    </row>
    <row r="49813" spans="1:100">
      <c r="A49813" s="374"/>
      <c r="C49813" s="374"/>
      <c r="CV49813" s="376"/>
    </row>
    <row r="49814" spans="1:100">
      <c r="A49814" s="374"/>
      <c r="C49814" s="374"/>
      <c r="CV49814" s="376"/>
    </row>
    <row r="49815" spans="1:100">
      <c r="A49815" s="374"/>
      <c r="C49815" s="374"/>
      <c r="CV49815" s="376"/>
    </row>
    <row r="49816" spans="1:100">
      <c r="A49816" s="374"/>
      <c r="C49816" s="374"/>
      <c r="CV49816" s="376"/>
    </row>
    <row r="49817" spans="1:100">
      <c r="A49817" s="374"/>
      <c r="C49817" s="374"/>
      <c r="CV49817" s="376"/>
    </row>
    <row r="49818" spans="1:100">
      <c r="A49818" s="374"/>
      <c r="C49818" s="374"/>
      <c r="CV49818" s="376"/>
    </row>
    <row r="49819" spans="1:100">
      <c r="A49819" s="374"/>
      <c r="C49819" s="374"/>
      <c r="CV49819" s="376"/>
    </row>
    <row r="49820" spans="1:100">
      <c r="A49820" s="374"/>
      <c r="C49820" s="374"/>
      <c r="CV49820" s="376"/>
    </row>
    <row r="49821" spans="1:100">
      <c r="A49821" s="374"/>
      <c r="C49821" s="374"/>
      <c r="CV49821" s="376"/>
    </row>
    <row r="49822" spans="1:100">
      <c r="A49822" s="374"/>
      <c r="C49822" s="374"/>
      <c r="CV49822" s="376"/>
    </row>
    <row r="49823" spans="1:100">
      <c r="A49823" s="374"/>
      <c r="C49823" s="374"/>
      <c r="CV49823" s="376"/>
    </row>
    <row r="49824" spans="1:100">
      <c r="A49824" s="374"/>
      <c r="C49824" s="374"/>
      <c r="CV49824" s="376"/>
    </row>
    <row r="49825" spans="1:100">
      <c r="A49825" s="374"/>
      <c r="C49825" s="374"/>
      <c r="CV49825" s="376"/>
    </row>
    <row r="49826" spans="1:100">
      <c r="A49826" s="374"/>
      <c r="C49826" s="374"/>
      <c r="CV49826" s="376"/>
    </row>
    <row r="49827" spans="1:100">
      <c r="A49827" s="374"/>
      <c r="C49827" s="374"/>
      <c r="CV49827" s="376"/>
    </row>
    <row r="49828" spans="1:100">
      <c r="A49828" s="374"/>
      <c r="C49828" s="374"/>
      <c r="CV49828" s="376"/>
    </row>
    <row r="49829" spans="1:100">
      <c r="A49829" s="374"/>
      <c r="C49829" s="374"/>
      <c r="CV49829" s="376"/>
    </row>
    <row r="49830" spans="1:100">
      <c r="A49830" s="374"/>
      <c r="C49830" s="374"/>
      <c r="CV49830" s="376"/>
    </row>
    <row r="49831" spans="1:100">
      <c r="A49831" s="374"/>
      <c r="C49831" s="374"/>
      <c r="CV49831" s="376"/>
    </row>
    <row r="49832" spans="1:100">
      <c r="A49832" s="374"/>
      <c r="C49832" s="374"/>
      <c r="CV49832" s="376"/>
    </row>
    <row r="49833" spans="1:100">
      <c r="A49833" s="374"/>
      <c r="C49833" s="374"/>
      <c r="CV49833" s="376"/>
    </row>
    <row r="49834" spans="1:100">
      <c r="A49834" s="374"/>
      <c r="C49834" s="374"/>
      <c r="CV49834" s="376"/>
    </row>
    <row r="49835" spans="1:100">
      <c r="A49835" s="374"/>
      <c r="C49835" s="374"/>
      <c r="CV49835" s="376"/>
    </row>
    <row r="49836" spans="1:100">
      <c r="A49836" s="374"/>
      <c r="C49836" s="374"/>
      <c r="CV49836" s="376"/>
    </row>
    <row r="49837" spans="1:100">
      <c r="A49837" s="374"/>
      <c r="C49837" s="374"/>
      <c r="CV49837" s="376"/>
    </row>
    <row r="49838" spans="1:100">
      <c r="A49838" s="374"/>
      <c r="C49838" s="374"/>
      <c r="CV49838" s="376"/>
    </row>
    <row r="49839" spans="1:100">
      <c r="A49839" s="374"/>
      <c r="C49839" s="374"/>
      <c r="CV49839" s="376"/>
    </row>
    <row r="49840" spans="1:100">
      <c r="A49840" s="374"/>
      <c r="C49840" s="374"/>
      <c r="CV49840" s="376"/>
    </row>
    <row r="49841" spans="1:100">
      <c r="A49841" s="374"/>
      <c r="C49841" s="374"/>
      <c r="CV49841" s="376"/>
    </row>
    <row r="49842" spans="1:100">
      <c r="A49842" s="374"/>
      <c r="C49842" s="374"/>
      <c r="CV49842" s="376"/>
    </row>
    <row r="49843" spans="1:100">
      <c r="A49843" s="374"/>
      <c r="C49843" s="374"/>
      <c r="CV49843" s="376"/>
    </row>
    <row r="49844" spans="1:100">
      <c r="A49844" s="374"/>
      <c r="C49844" s="374"/>
      <c r="CV49844" s="376"/>
    </row>
    <row r="49845" spans="1:100">
      <c r="A49845" s="374"/>
      <c r="C49845" s="374"/>
      <c r="CV49845" s="376"/>
    </row>
    <row r="49846" spans="1:100">
      <c r="A49846" s="374"/>
      <c r="C49846" s="374"/>
      <c r="CV49846" s="376"/>
    </row>
    <row r="49847" spans="1:100">
      <c r="A49847" s="374"/>
      <c r="C49847" s="374"/>
      <c r="CV49847" s="376"/>
    </row>
    <row r="49848" spans="1:100">
      <c r="A49848" s="374"/>
      <c r="C49848" s="374"/>
      <c r="CV49848" s="376"/>
    </row>
    <row r="49849" spans="1:100">
      <c r="A49849" s="374"/>
      <c r="C49849" s="374"/>
      <c r="CV49849" s="376"/>
    </row>
    <row r="49850" spans="1:100">
      <c r="A49850" s="374"/>
      <c r="C49850" s="374"/>
      <c r="CV49850" s="376"/>
    </row>
    <row r="49851" spans="1:100">
      <c r="A49851" s="374"/>
      <c r="C49851" s="374"/>
      <c r="CV49851" s="376"/>
    </row>
    <row r="49852" spans="1:100">
      <c r="A49852" s="374"/>
      <c r="C49852" s="374"/>
      <c r="CV49852" s="376"/>
    </row>
    <row r="49853" spans="1:100">
      <c r="A49853" s="374"/>
      <c r="C49853" s="374"/>
      <c r="CV49853" s="376"/>
    </row>
    <row r="49854" spans="1:100">
      <c r="A49854" s="374"/>
      <c r="C49854" s="374"/>
      <c r="CV49854" s="376"/>
    </row>
    <row r="49855" spans="1:100">
      <c r="A49855" s="374"/>
      <c r="C49855" s="374"/>
      <c r="CV49855" s="376"/>
    </row>
    <row r="49856" spans="1:100">
      <c r="A49856" s="374"/>
      <c r="C49856" s="374"/>
      <c r="CV49856" s="376"/>
    </row>
    <row r="49857" spans="1:100">
      <c r="A49857" s="374"/>
      <c r="C49857" s="374"/>
      <c r="CV49857" s="376"/>
    </row>
    <row r="49858" spans="1:100">
      <c r="A49858" s="374"/>
      <c r="C49858" s="374"/>
      <c r="CV49858" s="376"/>
    </row>
    <row r="49859" spans="1:100">
      <c r="A49859" s="374"/>
      <c r="C49859" s="374"/>
      <c r="CV49859" s="376"/>
    </row>
    <row r="49860" spans="1:100">
      <c r="A49860" s="374"/>
      <c r="C49860" s="374"/>
      <c r="CV49860" s="376"/>
    </row>
    <row r="49861" spans="1:100">
      <c r="A49861" s="374"/>
      <c r="C49861" s="374"/>
      <c r="CV49861" s="376"/>
    </row>
    <row r="49862" spans="1:100">
      <c r="A49862" s="374"/>
      <c r="C49862" s="374"/>
      <c r="CV49862" s="376"/>
    </row>
    <row r="49863" spans="1:100">
      <c r="A49863" s="374"/>
      <c r="C49863" s="374"/>
      <c r="CV49863" s="376"/>
    </row>
    <row r="49864" spans="1:100">
      <c r="A49864" s="374"/>
      <c r="C49864" s="374"/>
      <c r="CV49864" s="376"/>
    </row>
    <row r="49865" spans="1:100">
      <c r="A49865" s="374"/>
      <c r="C49865" s="374"/>
      <c r="CV49865" s="376"/>
    </row>
    <row r="49866" spans="1:100">
      <c r="A49866" s="374"/>
      <c r="C49866" s="374"/>
      <c r="CV49866" s="376"/>
    </row>
    <row r="49867" spans="1:100">
      <c r="A49867" s="374"/>
      <c r="C49867" s="374"/>
      <c r="CV49867" s="376"/>
    </row>
    <row r="49868" spans="1:100">
      <c r="A49868" s="374"/>
      <c r="C49868" s="374"/>
      <c r="CV49868" s="376"/>
    </row>
    <row r="49869" spans="1:100">
      <c r="A49869" s="374"/>
      <c r="C49869" s="374"/>
      <c r="CV49869" s="376"/>
    </row>
    <row r="49870" spans="1:100">
      <c r="A49870" s="374"/>
      <c r="C49870" s="374"/>
      <c r="CV49870" s="376"/>
    </row>
    <row r="49871" spans="1:100">
      <c r="A49871" s="374"/>
      <c r="C49871" s="374"/>
      <c r="CV49871" s="376"/>
    </row>
    <row r="49872" spans="1:100">
      <c r="A49872" s="374"/>
      <c r="C49872" s="374"/>
      <c r="CV49872" s="376"/>
    </row>
    <row r="49873" spans="1:100">
      <c r="A49873" s="374"/>
      <c r="C49873" s="374"/>
      <c r="CV49873" s="376"/>
    </row>
    <row r="49874" spans="1:100">
      <c r="A49874" s="374"/>
      <c r="C49874" s="374"/>
      <c r="CV49874" s="376"/>
    </row>
    <row r="49875" spans="1:100">
      <c r="A49875" s="374"/>
      <c r="C49875" s="374"/>
      <c r="CV49875" s="376"/>
    </row>
    <row r="49876" spans="1:100">
      <c r="A49876" s="374"/>
      <c r="C49876" s="374"/>
      <c r="CV49876" s="376"/>
    </row>
    <row r="49877" spans="1:100">
      <c r="A49877" s="374"/>
      <c r="C49877" s="374"/>
      <c r="CV49877" s="376"/>
    </row>
    <row r="49878" spans="1:100">
      <c r="A49878" s="374"/>
      <c r="C49878" s="374"/>
      <c r="CV49878" s="376"/>
    </row>
    <row r="49879" spans="1:100">
      <c r="A49879" s="374"/>
      <c r="C49879" s="374"/>
      <c r="CV49879" s="376"/>
    </row>
    <row r="49880" spans="1:100">
      <c r="A49880" s="374"/>
      <c r="C49880" s="374"/>
      <c r="CV49880" s="376"/>
    </row>
    <row r="49881" spans="1:100">
      <c r="A49881" s="374"/>
      <c r="C49881" s="374"/>
      <c r="CV49881" s="376"/>
    </row>
    <row r="49882" spans="1:100">
      <c r="A49882" s="374"/>
      <c r="C49882" s="374"/>
      <c r="CV49882" s="376"/>
    </row>
    <row r="49883" spans="1:100">
      <c r="A49883" s="374"/>
      <c r="C49883" s="374"/>
      <c r="CV49883" s="376"/>
    </row>
    <row r="49884" spans="1:100">
      <c r="A49884" s="374"/>
      <c r="C49884" s="374"/>
      <c r="CV49884" s="376"/>
    </row>
    <row r="49885" spans="1:100">
      <c r="A49885" s="374"/>
      <c r="C49885" s="374"/>
      <c r="CV49885" s="376"/>
    </row>
    <row r="49886" spans="1:100">
      <c r="A49886" s="374"/>
      <c r="C49886" s="374"/>
      <c r="CV49886" s="376"/>
    </row>
    <row r="49887" spans="1:100">
      <c r="A49887" s="374"/>
      <c r="C49887" s="374"/>
      <c r="CV49887" s="376"/>
    </row>
    <row r="49888" spans="1:100">
      <c r="A49888" s="374"/>
      <c r="C49888" s="374"/>
      <c r="CV49888" s="376"/>
    </row>
    <row r="49889" spans="1:100">
      <c r="A49889" s="374"/>
      <c r="C49889" s="374"/>
      <c r="CV49889" s="376"/>
    </row>
    <row r="49890" spans="1:100">
      <c r="A49890" s="374"/>
      <c r="C49890" s="374"/>
      <c r="CV49890" s="376"/>
    </row>
    <row r="49891" spans="1:100">
      <c r="A49891" s="374"/>
      <c r="C49891" s="374"/>
      <c r="CV49891" s="376"/>
    </row>
    <row r="49892" spans="1:100">
      <c r="A49892" s="374"/>
      <c r="C49892" s="374"/>
      <c r="CV49892" s="376"/>
    </row>
    <row r="49893" spans="1:100">
      <c r="A49893" s="374"/>
      <c r="C49893" s="374"/>
      <c r="CV49893" s="376"/>
    </row>
    <row r="49894" spans="1:100">
      <c r="A49894" s="374"/>
      <c r="C49894" s="374"/>
      <c r="CV49894" s="376"/>
    </row>
    <row r="49895" spans="1:100">
      <c r="A49895" s="374"/>
      <c r="C49895" s="374"/>
      <c r="CV49895" s="376"/>
    </row>
    <row r="49896" spans="1:100">
      <c r="A49896" s="374"/>
      <c r="C49896" s="374"/>
      <c r="CV49896" s="376"/>
    </row>
    <row r="49897" spans="1:100">
      <c r="A49897" s="374"/>
      <c r="C49897" s="374"/>
      <c r="CV49897" s="376"/>
    </row>
    <row r="49898" spans="1:100">
      <c r="A49898" s="374"/>
      <c r="C49898" s="374"/>
      <c r="CV49898" s="376"/>
    </row>
    <row r="49899" spans="1:100">
      <c r="A49899" s="374"/>
      <c r="C49899" s="374"/>
      <c r="CV49899" s="376"/>
    </row>
    <row r="49900" spans="1:100">
      <c r="A49900" s="374"/>
      <c r="C49900" s="374"/>
      <c r="CV49900" s="376"/>
    </row>
    <row r="49901" spans="1:100">
      <c r="A49901" s="374"/>
      <c r="C49901" s="374"/>
      <c r="CV49901" s="376"/>
    </row>
    <row r="49902" spans="1:100">
      <c r="A49902" s="374"/>
      <c r="C49902" s="374"/>
      <c r="CV49902" s="376"/>
    </row>
    <row r="49903" spans="1:100">
      <c r="A49903" s="374"/>
      <c r="C49903" s="374"/>
      <c r="CV49903" s="376"/>
    </row>
    <row r="49904" spans="1:100">
      <c r="A49904" s="374"/>
      <c r="C49904" s="374"/>
      <c r="CV49904" s="376"/>
    </row>
    <row r="49905" spans="1:100">
      <c r="A49905" s="374"/>
      <c r="C49905" s="374"/>
      <c r="CV49905" s="376"/>
    </row>
    <row r="49906" spans="1:100">
      <c r="A49906" s="374"/>
      <c r="C49906" s="374"/>
      <c r="CV49906" s="376"/>
    </row>
    <row r="49907" spans="1:100">
      <c r="A49907" s="374"/>
      <c r="C49907" s="374"/>
      <c r="CV49907" s="376"/>
    </row>
    <row r="49908" spans="1:100">
      <c r="A49908" s="374"/>
      <c r="C49908" s="374"/>
      <c r="CV49908" s="376"/>
    </row>
    <row r="49909" spans="1:100">
      <c r="A49909" s="374"/>
      <c r="C49909" s="374"/>
      <c r="CV49909" s="376"/>
    </row>
    <row r="49910" spans="1:100">
      <c r="A49910" s="374"/>
      <c r="C49910" s="374"/>
      <c r="CV49910" s="376"/>
    </row>
    <row r="49911" spans="1:100">
      <c r="A49911" s="374"/>
      <c r="C49911" s="374"/>
      <c r="CV49911" s="376"/>
    </row>
    <row r="49912" spans="1:100">
      <c r="A49912" s="374"/>
      <c r="C49912" s="374"/>
      <c r="CV49912" s="376"/>
    </row>
    <row r="49913" spans="1:100">
      <c r="A49913" s="374"/>
      <c r="C49913" s="374"/>
      <c r="CV49913" s="376"/>
    </row>
    <row r="49914" spans="1:100">
      <c r="A49914" s="374"/>
      <c r="C49914" s="374"/>
      <c r="CV49914" s="376"/>
    </row>
    <row r="49915" spans="1:100">
      <c r="A49915" s="374"/>
      <c r="C49915" s="374"/>
      <c r="CV49915" s="376"/>
    </row>
    <row r="49916" spans="1:100">
      <c r="A49916" s="374"/>
      <c r="C49916" s="374"/>
      <c r="CV49916" s="376"/>
    </row>
    <row r="49917" spans="1:100">
      <c r="A49917" s="374"/>
      <c r="C49917" s="374"/>
      <c r="CV49917" s="376"/>
    </row>
    <row r="49918" spans="1:100">
      <c r="A49918" s="374"/>
      <c r="C49918" s="374"/>
      <c r="CV49918" s="376"/>
    </row>
    <row r="49919" spans="1:100">
      <c r="A49919" s="374"/>
      <c r="C49919" s="374"/>
      <c r="CV49919" s="376"/>
    </row>
    <row r="49920" spans="1:100">
      <c r="A49920" s="374"/>
      <c r="C49920" s="374"/>
      <c r="CV49920" s="376"/>
    </row>
    <row r="49921" spans="1:100">
      <c r="A49921" s="374"/>
      <c r="C49921" s="374"/>
      <c r="CV49921" s="376"/>
    </row>
    <row r="49922" spans="1:100">
      <c r="A49922" s="374"/>
      <c r="C49922" s="374"/>
      <c r="CV49922" s="376"/>
    </row>
    <row r="49923" spans="1:100">
      <c r="A49923" s="374"/>
      <c r="C49923" s="374"/>
      <c r="CV49923" s="376"/>
    </row>
    <row r="49924" spans="1:100">
      <c r="A49924" s="374"/>
      <c r="C49924" s="374"/>
      <c r="CV49924" s="376"/>
    </row>
    <row r="49925" spans="1:100">
      <c r="A49925" s="374"/>
      <c r="C49925" s="374"/>
      <c r="CV49925" s="376"/>
    </row>
    <row r="49926" spans="1:100">
      <c r="A49926" s="374"/>
      <c r="C49926" s="374"/>
      <c r="CV49926" s="376"/>
    </row>
    <row r="49927" spans="1:100">
      <c r="A49927" s="374"/>
      <c r="C49927" s="374"/>
      <c r="CV49927" s="376"/>
    </row>
    <row r="49928" spans="1:100">
      <c r="A49928" s="374"/>
      <c r="C49928" s="374"/>
      <c r="CV49928" s="376"/>
    </row>
    <row r="49929" spans="1:100">
      <c r="A49929" s="374"/>
      <c r="C49929" s="374"/>
      <c r="CV49929" s="376"/>
    </row>
    <row r="49930" spans="1:100">
      <c r="A49930" s="374"/>
      <c r="C49930" s="374"/>
      <c r="CV49930" s="376"/>
    </row>
    <row r="49931" spans="1:100">
      <c r="A49931" s="374"/>
      <c r="C49931" s="374"/>
      <c r="CV49931" s="376"/>
    </row>
    <row r="49932" spans="1:100">
      <c r="A49932" s="374"/>
      <c r="C49932" s="374"/>
      <c r="CV49932" s="376"/>
    </row>
    <row r="49933" spans="1:100">
      <c r="A49933" s="374"/>
      <c r="C49933" s="374"/>
      <c r="CV49933" s="376"/>
    </row>
    <row r="49934" spans="1:100">
      <c r="A49934" s="374"/>
      <c r="C49934" s="374"/>
      <c r="CV49934" s="376"/>
    </row>
    <row r="49935" spans="1:100">
      <c r="A49935" s="374"/>
      <c r="C49935" s="374"/>
      <c r="CV49935" s="376"/>
    </row>
    <row r="49936" spans="1:100">
      <c r="A49936" s="374"/>
      <c r="C49936" s="374"/>
      <c r="CV49936" s="376"/>
    </row>
    <row r="49937" spans="1:100">
      <c r="A49937" s="374"/>
      <c r="C49937" s="374"/>
      <c r="CV49937" s="376"/>
    </row>
    <row r="49938" spans="1:100">
      <c r="A49938" s="374"/>
      <c r="C49938" s="374"/>
      <c r="CV49938" s="376"/>
    </row>
    <row r="49939" spans="1:100">
      <c r="A49939" s="374"/>
      <c r="C49939" s="374"/>
      <c r="CV49939" s="376"/>
    </row>
    <row r="49940" spans="1:100">
      <c r="A49940" s="374"/>
      <c r="C49940" s="374"/>
      <c r="CV49940" s="376"/>
    </row>
    <row r="49941" spans="1:100">
      <c r="A49941" s="374"/>
      <c r="C49941" s="374"/>
      <c r="CV49941" s="376"/>
    </row>
    <row r="49942" spans="1:100">
      <c r="A49942" s="374"/>
      <c r="C49942" s="374"/>
      <c r="CV49942" s="376"/>
    </row>
    <row r="49943" spans="1:100">
      <c r="A49943" s="374"/>
      <c r="C49943" s="374"/>
      <c r="CV49943" s="376"/>
    </row>
    <row r="49944" spans="1:100">
      <c r="A49944" s="374"/>
      <c r="C49944" s="374"/>
      <c r="CV49944" s="376"/>
    </row>
    <row r="49945" spans="1:100">
      <c r="A49945" s="374"/>
      <c r="C49945" s="374"/>
      <c r="CV49945" s="376"/>
    </row>
    <row r="49946" spans="1:100">
      <c r="A49946" s="374"/>
      <c r="C49946" s="374"/>
      <c r="CV49946" s="376"/>
    </row>
    <row r="49947" spans="1:100">
      <c r="A49947" s="374"/>
      <c r="C49947" s="374"/>
      <c r="CV49947" s="376"/>
    </row>
    <row r="49948" spans="1:100">
      <c r="A49948" s="374"/>
      <c r="C49948" s="374"/>
      <c r="CV49948" s="376"/>
    </row>
    <row r="49949" spans="1:100">
      <c r="A49949" s="374"/>
      <c r="C49949" s="374"/>
      <c r="CV49949" s="376"/>
    </row>
    <row r="49950" spans="1:100">
      <c r="A49950" s="374"/>
      <c r="C49950" s="374"/>
      <c r="CV49950" s="376"/>
    </row>
    <row r="49951" spans="1:100">
      <c r="A49951" s="374"/>
      <c r="C49951" s="374"/>
      <c r="CV49951" s="376"/>
    </row>
    <row r="49952" spans="1:100">
      <c r="A49952" s="374"/>
      <c r="C49952" s="374"/>
      <c r="CV49952" s="376"/>
    </row>
    <row r="49953" spans="1:100">
      <c r="A49953" s="374"/>
      <c r="C49953" s="374"/>
      <c r="CV49953" s="376"/>
    </row>
    <row r="49954" spans="1:100">
      <c r="A49954" s="374"/>
      <c r="C49954" s="374"/>
      <c r="CV49954" s="376"/>
    </row>
    <row r="49955" spans="1:100">
      <c r="A49955" s="374"/>
      <c r="C49955" s="374"/>
      <c r="CV49955" s="376"/>
    </row>
    <row r="49956" spans="1:100">
      <c r="A49956" s="374"/>
      <c r="C49956" s="374"/>
      <c r="CV49956" s="376"/>
    </row>
    <row r="49957" spans="1:100">
      <c r="A49957" s="374"/>
      <c r="C49957" s="374"/>
      <c r="CV49957" s="376"/>
    </row>
    <row r="49958" spans="1:100">
      <c r="A49958" s="374"/>
      <c r="C49958" s="374"/>
      <c r="CV49958" s="376"/>
    </row>
    <row r="49959" spans="1:100">
      <c r="A49959" s="374"/>
      <c r="C49959" s="374"/>
      <c r="CV49959" s="376"/>
    </row>
    <row r="49960" spans="1:100">
      <c r="A49960" s="374"/>
      <c r="C49960" s="374"/>
      <c r="CV49960" s="376"/>
    </row>
    <row r="49961" spans="1:100">
      <c r="A49961" s="374"/>
      <c r="C49961" s="374"/>
      <c r="CV49961" s="376"/>
    </row>
    <row r="49962" spans="1:100">
      <c r="A49962" s="374"/>
      <c r="C49962" s="374"/>
      <c r="CV49962" s="376"/>
    </row>
    <row r="49963" spans="1:100">
      <c r="A49963" s="374"/>
      <c r="C49963" s="374"/>
      <c r="CV49963" s="376"/>
    </row>
    <row r="49964" spans="1:100">
      <c r="A49964" s="374"/>
      <c r="C49964" s="374"/>
      <c r="CV49964" s="376"/>
    </row>
    <row r="49965" spans="1:100">
      <c r="A49965" s="374"/>
      <c r="C49965" s="374"/>
      <c r="CV49965" s="376"/>
    </row>
    <row r="49966" spans="1:100">
      <c r="A49966" s="374"/>
      <c r="C49966" s="374"/>
      <c r="CV49966" s="376"/>
    </row>
    <row r="49967" spans="1:100">
      <c r="A49967" s="374"/>
      <c r="C49967" s="374"/>
      <c r="CV49967" s="376"/>
    </row>
    <row r="49968" spans="1:100">
      <c r="A49968" s="374"/>
      <c r="C49968" s="374"/>
      <c r="CV49968" s="376"/>
    </row>
    <row r="49969" spans="1:100">
      <c r="A49969" s="374"/>
      <c r="C49969" s="374"/>
      <c r="CV49969" s="376"/>
    </row>
    <row r="49970" spans="1:100">
      <c r="A49970" s="374"/>
      <c r="C49970" s="374"/>
      <c r="CV49970" s="376"/>
    </row>
    <row r="49971" spans="1:100">
      <c r="A49971" s="374"/>
      <c r="C49971" s="374"/>
      <c r="CV49971" s="376"/>
    </row>
    <row r="49972" spans="1:100">
      <c r="A49972" s="374"/>
      <c r="C49972" s="374"/>
      <c r="CV49972" s="376"/>
    </row>
    <row r="49973" spans="1:100">
      <c r="A49973" s="374"/>
      <c r="C49973" s="374"/>
      <c r="CV49973" s="376"/>
    </row>
    <row r="49974" spans="1:100">
      <c r="A49974" s="374"/>
      <c r="C49974" s="374"/>
      <c r="CV49974" s="376"/>
    </row>
    <row r="49975" spans="1:100">
      <c r="A49975" s="374"/>
      <c r="C49975" s="374"/>
      <c r="CV49975" s="376"/>
    </row>
    <row r="49976" spans="1:100">
      <c r="A49976" s="374"/>
      <c r="C49976" s="374"/>
      <c r="CV49976" s="376"/>
    </row>
    <row r="49977" spans="1:100">
      <c r="A49977" s="374"/>
      <c r="C49977" s="374"/>
      <c r="CV49977" s="376"/>
    </row>
    <row r="49978" spans="1:100">
      <c r="A49978" s="374"/>
      <c r="C49978" s="374"/>
      <c r="CV49978" s="376"/>
    </row>
    <row r="49979" spans="1:100">
      <c r="A49979" s="374"/>
      <c r="C49979" s="374"/>
      <c r="CV49979" s="376"/>
    </row>
    <row r="49980" spans="1:100">
      <c r="A49980" s="374"/>
      <c r="C49980" s="374"/>
      <c r="CV49980" s="376"/>
    </row>
    <row r="49981" spans="1:100">
      <c r="A49981" s="374"/>
      <c r="C49981" s="374"/>
      <c r="CV49981" s="376"/>
    </row>
    <row r="49982" spans="1:100">
      <c r="A49982" s="374"/>
      <c r="C49982" s="374"/>
      <c r="CV49982" s="376"/>
    </row>
    <row r="49983" spans="1:100">
      <c r="A49983" s="374"/>
      <c r="C49983" s="374"/>
      <c r="CV49983" s="376"/>
    </row>
    <row r="49984" spans="1:100">
      <c r="A49984" s="374"/>
      <c r="C49984" s="374"/>
      <c r="CV49984" s="376"/>
    </row>
    <row r="49985" spans="1:100">
      <c r="A49985" s="374"/>
      <c r="C49985" s="374"/>
      <c r="CV49985" s="376"/>
    </row>
    <row r="49986" spans="1:100">
      <c r="A49986" s="374"/>
      <c r="C49986" s="374"/>
      <c r="CV49986" s="376"/>
    </row>
    <row r="49987" spans="1:100">
      <c r="A49987" s="374"/>
      <c r="C49987" s="374"/>
      <c r="CV49987" s="376"/>
    </row>
    <row r="49988" spans="1:100">
      <c r="A49988" s="374"/>
      <c r="C49988" s="374"/>
      <c r="CV49988" s="376"/>
    </row>
    <row r="49989" spans="1:100">
      <c r="A49989" s="374"/>
      <c r="C49989" s="374"/>
      <c r="CV49989" s="376"/>
    </row>
    <row r="49990" spans="1:100">
      <c r="A49990" s="374"/>
      <c r="C49990" s="374"/>
      <c r="CV49990" s="376"/>
    </row>
    <row r="49991" spans="1:100">
      <c r="A49991" s="374"/>
      <c r="C49991" s="374"/>
      <c r="CV49991" s="376"/>
    </row>
    <row r="49992" spans="1:100">
      <c r="A49992" s="374"/>
      <c r="C49992" s="374"/>
      <c r="CV49992" s="376"/>
    </row>
    <row r="49993" spans="1:100">
      <c r="A49993" s="374"/>
      <c r="C49993" s="374"/>
      <c r="CV49993" s="376"/>
    </row>
    <row r="49994" spans="1:100">
      <c r="A49994" s="374"/>
      <c r="C49994" s="374"/>
      <c r="CV49994" s="376"/>
    </row>
    <row r="49995" spans="1:100">
      <c r="A49995" s="374"/>
      <c r="C49995" s="374"/>
      <c r="CV49995" s="376"/>
    </row>
    <row r="49996" spans="1:100">
      <c r="A49996" s="374"/>
      <c r="C49996" s="374"/>
      <c r="CV49996" s="376"/>
    </row>
    <row r="49997" spans="1:100">
      <c r="A49997" s="374"/>
      <c r="C49997" s="374"/>
      <c r="CV49997" s="376"/>
    </row>
    <row r="49998" spans="1:100">
      <c r="A49998" s="374"/>
      <c r="C49998" s="374"/>
      <c r="CV49998" s="376"/>
    </row>
    <row r="49999" spans="1:100">
      <c r="A49999" s="374"/>
      <c r="C49999" s="374"/>
      <c r="CV49999" s="376"/>
    </row>
    <row r="50000" spans="1:100">
      <c r="A50000" s="374"/>
      <c r="C50000" s="374"/>
      <c r="CV50000" s="376"/>
    </row>
    <row r="50001" spans="1:100">
      <c r="A50001" s="374"/>
      <c r="C50001" s="374"/>
      <c r="CV50001" s="376"/>
    </row>
    <row r="50002" spans="1:100">
      <c r="A50002" s="374"/>
      <c r="C50002" s="374"/>
      <c r="CV50002" s="376"/>
    </row>
    <row r="50003" spans="1:100">
      <c r="A50003" s="374"/>
      <c r="C50003" s="374"/>
      <c r="CV50003" s="376"/>
    </row>
    <row r="50004" spans="1:100">
      <c r="A50004" s="374"/>
      <c r="C50004" s="374"/>
      <c r="CV50004" s="376"/>
    </row>
    <row r="50005" spans="1:100">
      <c r="A50005" s="374"/>
      <c r="C50005" s="374"/>
      <c r="CV50005" s="376"/>
    </row>
    <row r="50006" spans="1:100">
      <c r="A50006" s="374"/>
      <c r="C50006" s="374"/>
      <c r="CV50006" s="376"/>
    </row>
    <row r="50007" spans="1:100">
      <c r="A50007" s="374"/>
      <c r="C50007" s="374"/>
      <c r="CV50007" s="376"/>
    </row>
    <row r="50008" spans="1:100">
      <c r="A50008" s="374"/>
      <c r="C50008" s="374"/>
      <c r="CV50008" s="376"/>
    </row>
    <row r="50009" spans="1:100">
      <c r="A50009" s="374"/>
      <c r="C50009" s="374"/>
      <c r="CV50009" s="376"/>
    </row>
    <row r="50010" spans="1:100">
      <c r="A50010" s="374"/>
      <c r="C50010" s="374"/>
      <c r="CV50010" s="376"/>
    </row>
    <row r="50011" spans="1:100">
      <c r="A50011" s="374"/>
      <c r="C50011" s="374"/>
      <c r="CV50011" s="376"/>
    </row>
    <row r="50012" spans="1:100">
      <c r="A50012" s="374"/>
      <c r="C50012" s="374"/>
      <c r="CV50012" s="376"/>
    </row>
    <row r="50013" spans="1:100">
      <c r="A50013" s="374"/>
      <c r="C50013" s="374"/>
      <c r="CV50013" s="376"/>
    </row>
    <row r="50014" spans="1:100">
      <c r="A50014" s="374"/>
      <c r="C50014" s="374"/>
      <c r="CV50014" s="376"/>
    </row>
    <row r="50015" spans="1:100">
      <c r="A50015" s="374"/>
      <c r="C50015" s="374"/>
      <c r="CV50015" s="376"/>
    </row>
    <row r="50016" spans="1:100">
      <c r="A50016" s="374"/>
      <c r="C50016" s="374"/>
      <c r="CV50016" s="376"/>
    </row>
    <row r="50017" spans="1:100">
      <c r="A50017" s="374"/>
      <c r="C50017" s="374"/>
      <c r="CV50017" s="376"/>
    </row>
    <row r="50018" spans="1:100">
      <c r="A50018" s="374"/>
      <c r="C50018" s="374"/>
      <c r="CV50018" s="376"/>
    </row>
    <row r="50019" spans="1:100">
      <c r="A50019" s="374"/>
      <c r="C50019" s="374"/>
      <c r="CV50019" s="376"/>
    </row>
    <row r="50020" spans="1:100">
      <c r="A50020" s="374"/>
      <c r="C50020" s="374"/>
      <c r="CV50020" s="376"/>
    </row>
    <row r="50021" spans="1:100">
      <c r="A50021" s="374"/>
      <c r="C50021" s="374"/>
      <c r="CV50021" s="376"/>
    </row>
    <row r="50022" spans="1:100">
      <c r="A50022" s="374"/>
      <c r="C50022" s="374"/>
      <c r="CV50022" s="376"/>
    </row>
    <row r="50023" spans="1:100">
      <c r="A50023" s="374"/>
      <c r="C50023" s="374"/>
      <c r="CV50023" s="376"/>
    </row>
    <row r="50024" spans="1:100">
      <c r="A50024" s="374"/>
      <c r="C50024" s="374"/>
      <c r="CV50024" s="376"/>
    </row>
    <row r="50025" spans="1:100">
      <c r="A50025" s="374"/>
      <c r="C50025" s="374"/>
      <c r="CV50025" s="376"/>
    </row>
    <row r="50026" spans="1:100">
      <c r="A50026" s="374"/>
      <c r="C50026" s="374"/>
      <c r="CV50026" s="376"/>
    </row>
    <row r="50027" spans="1:100">
      <c r="A50027" s="374"/>
      <c r="C50027" s="374"/>
      <c r="CV50027" s="376"/>
    </row>
    <row r="50028" spans="1:100">
      <c r="A50028" s="374"/>
      <c r="C50028" s="374"/>
      <c r="CV50028" s="376"/>
    </row>
    <row r="50029" spans="1:100">
      <c r="A50029" s="374"/>
      <c r="C50029" s="374"/>
      <c r="CV50029" s="376"/>
    </row>
    <row r="50030" spans="1:100">
      <c r="A50030" s="374"/>
      <c r="C50030" s="374"/>
      <c r="CV50030" s="376"/>
    </row>
    <row r="50031" spans="1:100">
      <c r="A50031" s="374"/>
      <c r="C50031" s="374"/>
      <c r="CV50031" s="376"/>
    </row>
    <row r="50032" spans="1:100">
      <c r="A50032" s="374"/>
      <c r="C50032" s="374"/>
      <c r="CV50032" s="376"/>
    </row>
    <row r="50033" spans="1:100">
      <c r="A50033" s="374"/>
      <c r="C50033" s="374"/>
      <c r="CV50033" s="376"/>
    </row>
    <row r="50034" spans="1:100">
      <c r="A50034" s="374"/>
      <c r="C50034" s="374"/>
      <c r="CV50034" s="376"/>
    </row>
    <row r="50035" spans="1:100">
      <c r="A50035" s="374"/>
      <c r="C50035" s="374"/>
      <c r="CV50035" s="376"/>
    </row>
    <row r="50036" spans="1:100">
      <c r="A50036" s="374"/>
      <c r="C50036" s="374"/>
      <c r="CV50036" s="376"/>
    </row>
    <row r="50037" spans="1:100">
      <c r="A50037" s="374"/>
      <c r="C50037" s="374"/>
      <c r="CV50037" s="376"/>
    </row>
    <row r="50038" spans="1:100">
      <c r="A50038" s="374"/>
      <c r="C50038" s="374"/>
      <c r="CV50038" s="376"/>
    </row>
    <row r="50039" spans="1:100">
      <c r="A50039" s="374"/>
      <c r="C50039" s="374"/>
      <c r="CV50039" s="376"/>
    </row>
    <row r="50040" spans="1:100">
      <c r="A50040" s="374"/>
      <c r="C50040" s="374"/>
      <c r="CV50040" s="376"/>
    </row>
    <row r="50041" spans="1:100">
      <c r="A50041" s="374"/>
      <c r="C50041" s="374"/>
      <c r="CV50041" s="376"/>
    </row>
    <row r="50042" spans="1:100">
      <c r="A50042" s="374"/>
      <c r="C50042" s="374"/>
      <c r="CV50042" s="376"/>
    </row>
    <row r="50043" spans="1:100">
      <c r="A50043" s="374"/>
      <c r="C50043" s="374"/>
      <c r="CV50043" s="376"/>
    </row>
    <row r="50044" spans="1:100">
      <c r="A50044" s="374"/>
      <c r="C50044" s="374"/>
      <c r="CV50044" s="376"/>
    </row>
    <row r="50045" spans="1:100">
      <c r="A50045" s="374"/>
      <c r="C50045" s="374"/>
      <c r="CV50045" s="376"/>
    </row>
    <row r="50046" spans="1:100">
      <c r="A50046" s="374"/>
      <c r="C50046" s="374"/>
      <c r="CV50046" s="376"/>
    </row>
    <row r="50047" spans="1:100">
      <c r="A50047" s="374"/>
      <c r="C50047" s="374"/>
      <c r="CV50047" s="376"/>
    </row>
    <row r="50048" spans="1:100">
      <c r="A50048" s="374"/>
      <c r="C50048" s="374"/>
      <c r="CV50048" s="376"/>
    </row>
    <row r="50049" spans="1:100">
      <c r="A50049" s="374"/>
      <c r="C50049" s="374"/>
      <c r="CV50049" s="376"/>
    </row>
    <row r="50050" spans="1:100">
      <c r="A50050" s="374"/>
      <c r="C50050" s="374"/>
      <c r="CV50050" s="376"/>
    </row>
    <row r="50051" spans="1:100">
      <c r="A50051" s="374"/>
      <c r="C50051" s="374"/>
      <c r="CV50051" s="376"/>
    </row>
    <row r="50052" spans="1:100">
      <c r="A50052" s="374"/>
      <c r="C50052" s="374"/>
      <c r="CV50052" s="376"/>
    </row>
    <row r="50053" spans="1:100">
      <c r="A50053" s="374"/>
      <c r="C50053" s="374"/>
      <c r="CV50053" s="376"/>
    </row>
    <row r="50054" spans="1:100">
      <c r="A50054" s="374"/>
      <c r="C50054" s="374"/>
      <c r="CV50054" s="376"/>
    </row>
    <row r="50055" spans="1:100">
      <c r="A50055" s="374"/>
      <c r="C50055" s="374"/>
      <c r="CV50055" s="376"/>
    </row>
    <row r="50056" spans="1:100">
      <c r="A50056" s="374"/>
      <c r="C50056" s="374"/>
      <c r="CV50056" s="376"/>
    </row>
    <row r="50057" spans="1:100">
      <c r="A50057" s="374"/>
      <c r="C50057" s="374"/>
      <c r="CV50057" s="376"/>
    </row>
    <row r="50058" spans="1:100">
      <c r="A50058" s="374"/>
      <c r="C50058" s="374"/>
      <c r="CV50058" s="376"/>
    </row>
    <row r="50059" spans="1:100">
      <c r="A50059" s="374"/>
      <c r="C50059" s="374"/>
      <c r="CV50059" s="376"/>
    </row>
    <row r="50060" spans="1:100">
      <c r="A50060" s="374"/>
      <c r="C50060" s="374"/>
      <c r="CV50060" s="376"/>
    </row>
    <row r="50061" spans="1:100">
      <c r="A50061" s="374"/>
      <c r="C50061" s="374"/>
      <c r="CV50061" s="376"/>
    </row>
    <row r="50062" spans="1:100">
      <c r="A50062" s="374"/>
      <c r="C50062" s="374"/>
      <c r="CV50062" s="376"/>
    </row>
    <row r="50063" spans="1:100">
      <c r="A50063" s="374"/>
      <c r="C50063" s="374"/>
      <c r="CV50063" s="376"/>
    </row>
    <row r="50064" spans="1:100">
      <c r="A50064" s="374"/>
      <c r="C50064" s="374"/>
      <c r="CV50064" s="376"/>
    </row>
    <row r="50065" spans="1:100">
      <c r="A50065" s="374"/>
      <c r="C50065" s="374"/>
      <c r="CV50065" s="376"/>
    </row>
    <row r="50066" spans="1:100">
      <c r="A50066" s="374"/>
      <c r="C50066" s="374"/>
      <c r="CV50066" s="376"/>
    </row>
    <row r="50067" spans="1:100">
      <c r="A50067" s="374"/>
      <c r="C50067" s="374"/>
      <c r="CV50067" s="376"/>
    </row>
    <row r="50068" spans="1:100">
      <c r="A50068" s="374"/>
      <c r="C50068" s="374"/>
      <c r="CV50068" s="376"/>
    </row>
    <row r="50069" spans="1:100">
      <c r="A50069" s="374"/>
      <c r="C50069" s="374"/>
      <c r="CV50069" s="376"/>
    </row>
    <row r="50070" spans="1:100">
      <c r="A50070" s="374"/>
      <c r="C50070" s="374"/>
      <c r="CV50070" s="376"/>
    </row>
    <row r="50071" spans="1:100">
      <c r="A50071" s="374"/>
      <c r="C50071" s="374"/>
      <c r="CV50071" s="376"/>
    </row>
    <row r="50072" spans="1:100">
      <c r="A50072" s="374"/>
      <c r="C50072" s="374"/>
      <c r="CV50072" s="376"/>
    </row>
    <row r="50073" spans="1:100">
      <c r="A50073" s="374"/>
      <c r="C50073" s="374"/>
      <c r="CV50073" s="376"/>
    </row>
    <row r="50074" spans="1:100">
      <c r="A50074" s="374"/>
      <c r="C50074" s="374"/>
      <c r="CV50074" s="376"/>
    </row>
    <row r="50075" spans="1:100">
      <c r="A50075" s="374"/>
      <c r="C50075" s="374"/>
      <c r="CV50075" s="376"/>
    </row>
    <row r="50076" spans="1:100">
      <c r="A50076" s="374"/>
      <c r="C50076" s="374"/>
      <c r="CV50076" s="376"/>
    </row>
    <row r="50077" spans="1:100">
      <c r="A50077" s="374"/>
      <c r="C50077" s="374"/>
      <c r="CV50077" s="376"/>
    </row>
    <row r="50078" spans="1:100">
      <c r="A50078" s="374"/>
      <c r="C50078" s="374"/>
      <c r="CV50078" s="376"/>
    </row>
    <row r="50079" spans="1:100">
      <c r="A50079" s="374"/>
      <c r="C50079" s="374"/>
      <c r="CV50079" s="376"/>
    </row>
    <row r="50080" spans="1:100">
      <c r="A50080" s="374"/>
      <c r="C50080" s="374"/>
      <c r="CV50080" s="376"/>
    </row>
    <row r="50081" spans="1:100">
      <c r="A50081" s="374"/>
      <c r="C50081" s="374"/>
      <c r="CV50081" s="376"/>
    </row>
    <row r="50082" spans="1:100">
      <c r="A50082" s="374"/>
      <c r="C50082" s="374"/>
      <c r="CV50082" s="376"/>
    </row>
    <row r="50083" spans="1:100">
      <c r="A50083" s="374"/>
      <c r="C50083" s="374"/>
      <c r="CV50083" s="376"/>
    </row>
    <row r="50084" spans="1:100">
      <c r="A50084" s="374"/>
      <c r="C50084" s="374"/>
      <c r="CV50084" s="376"/>
    </row>
    <row r="50085" spans="1:100">
      <c r="A50085" s="374"/>
      <c r="C50085" s="374"/>
      <c r="CV50085" s="376"/>
    </row>
    <row r="50086" spans="1:100">
      <c r="A50086" s="374"/>
      <c r="C50086" s="374"/>
      <c r="CV50086" s="376"/>
    </row>
    <row r="50087" spans="1:100">
      <c r="A50087" s="374"/>
      <c r="C50087" s="374"/>
      <c r="CV50087" s="376"/>
    </row>
    <row r="50088" spans="1:100">
      <c r="A50088" s="374"/>
      <c r="C50088" s="374"/>
      <c r="CV50088" s="376"/>
    </row>
    <row r="50089" spans="1:100">
      <c r="A50089" s="374"/>
      <c r="C50089" s="374"/>
      <c r="CV50089" s="376"/>
    </row>
    <row r="50090" spans="1:100">
      <c r="A50090" s="374"/>
      <c r="C50090" s="374"/>
      <c r="CV50090" s="376"/>
    </row>
    <row r="50091" spans="1:100">
      <c r="A50091" s="374"/>
      <c r="C50091" s="374"/>
      <c r="CV50091" s="376"/>
    </row>
    <row r="50092" spans="1:100">
      <c r="A50092" s="374"/>
      <c r="C50092" s="374"/>
      <c r="CV50092" s="376"/>
    </row>
    <row r="50093" spans="1:100">
      <c r="A50093" s="374"/>
      <c r="C50093" s="374"/>
      <c r="CV50093" s="376"/>
    </row>
    <row r="50094" spans="1:100">
      <c r="A50094" s="374"/>
      <c r="C50094" s="374"/>
      <c r="CV50094" s="376"/>
    </row>
    <row r="50095" spans="1:100">
      <c r="A50095" s="374"/>
      <c r="C50095" s="374"/>
      <c r="CV50095" s="376"/>
    </row>
    <row r="50096" spans="1:100">
      <c r="A50096" s="374"/>
      <c r="C50096" s="374"/>
      <c r="CV50096" s="376"/>
    </row>
    <row r="50097" spans="1:100">
      <c r="A50097" s="374"/>
      <c r="C50097" s="374"/>
      <c r="CV50097" s="376"/>
    </row>
    <row r="50098" spans="1:100">
      <c r="A50098" s="374"/>
      <c r="C50098" s="374"/>
      <c r="CV50098" s="376"/>
    </row>
    <row r="50099" spans="1:100">
      <c r="A50099" s="374"/>
      <c r="C50099" s="374"/>
      <c r="CV50099" s="376"/>
    </row>
    <row r="50100" spans="1:100">
      <c r="A50100" s="374"/>
      <c r="C50100" s="374"/>
      <c r="CV50100" s="376"/>
    </row>
    <row r="50101" spans="1:100">
      <c r="A50101" s="374"/>
      <c r="C50101" s="374"/>
      <c r="CV50101" s="376"/>
    </row>
    <row r="50102" spans="1:100">
      <c r="A50102" s="374"/>
      <c r="C50102" s="374"/>
      <c r="CV50102" s="376"/>
    </row>
    <row r="50103" spans="1:100">
      <c r="A50103" s="374"/>
      <c r="C50103" s="374"/>
      <c r="CV50103" s="376"/>
    </row>
    <row r="50104" spans="1:100">
      <c r="A50104" s="374"/>
      <c r="C50104" s="374"/>
      <c r="CV50104" s="376"/>
    </row>
    <row r="50105" spans="1:100">
      <c r="A50105" s="374"/>
      <c r="C50105" s="374"/>
      <c r="CV50105" s="376"/>
    </row>
    <row r="50106" spans="1:100">
      <c r="A50106" s="374"/>
      <c r="C50106" s="374"/>
      <c r="CV50106" s="376"/>
    </row>
    <row r="50107" spans="1:100">
      <c r="A50107" s="374"/>
      <c r="C50107" s="374"/>
      <c r="CV50107" s="376"/>
    </row>
    <row r="50108" spans="1:100">
      <c r="A50108" s="374"/>
      <c r="C50108" s="374"/>
      <c r="CV50108" s="376"/>
    </row>
    <row r="50109" spans="1:100">
      <c r="A50109" s="374"/>
      <c r="C50109" s="374"/>
      <c r="CV50109" s="376"/>
    </row>
    <row r="50110" spans="1:100">
      <c r="A50110" s="374"/>
      <c r="C50110" s="374"/>
      <c r="CV50110" s="376"/>
    </row>
    <row r="50111" spans="1:100">
      <c r="A50111" s="374"/>
      <c r="C50111" s="374"/>
      <c r="CV50111" s="376"/>
    </row>
    <row r="50112" spans="1:100">
      <c r="A50112" s="374"/>
      <c r="C50112" s="374"/>
      <c r="CV50112" s="376"/>
    </row>
    <row r="50113" spans="1:100">
      <c r="A50113" s="374"/>
      <c r="C50113" s="374"/>
      <c r="CV50113" s="376"/>
    </row>
    <row r="50114" spans="1:100">
      <c r="A50114" s="374"/>
      <c r="C50114" s="374"/>
      <c r="CV50114" s="376"/>
    </row>
    <row r="50115" spans="1:100">
      <c r="A50115" s="374"/>
      <c r="C50115" s="374"/>
      <c r="CV50115" s="376"/>
    </row>
    <row r="50116" spans="1:100">
      <c r="A50116" s="374"/>
      <c r="C50116" s="374"/>
      <c r="CV50116" s="376"/>
    </row>
    <row r="50117" spans="1:100">
      <c r="A50117" s="374"/>
      <c r="C50117" s="374"/>
      <c r="CV50117" s="376"/>
    </row>
    <row r="50118" spans="1:100">
      <c r="A50118" s="374"/>
      <c r="C50118" s="374"/>
      <c r="CV50118" s="376"/>
    </row>
    <row r="50119" spans="1:100">
      <c r="A50119" s="374"/>
      <c r="C50119" s="374"/>
      <c r="CV50119" s="376"/>
    </row>
    <row r="50120" spans="1:100">
      <c r="A50120" s="374"/>
      <c r="C50120" s="374"/>
      <c r="CV50120" s="376"/>
    </row>
    <row r="50121" spans="1:100">
      <c r="A50121" s="374"/>
      <c r="C50121" s="374"/>
      <c r="CV50121" s="376"/>
    </row>
    <row r="50122" spans="1:100">
      <c r="A50122" s="374"/>
      <c r="C50122" s="374"/>
      <c r="CV50122" s="376"/>
    </row>
    <row r="50123" spans="1:100">
      <c r="A50123" s="374"/>
      <c r="C50123" s="374"/>
      <c r="CV50123" s="376"/>
    </row>
    <row r="50124" spans="1:100">
      <c r="A50124" s="374"/>
      <c r="C50124" s="374"/>
      <c r="CV50124" s="376"/>
    </row>
    <row r="50125" spans="1:100">
      <c r="A50125" s="374"/>
      <c r="C50125" s="374"/>
      <c r="CV50125" s="376"/>
    </row>
    <row r="50126" spans="1:100">
      <c r="A50126" s="374"/>
      <c r="C50126" s="374"/>
      <c r="CV50126" s="376"/>
    </row>
    <row r="50127" spans="1:100">
      <c r="A50127" s="374"/>
      <c r="C50127" s="374"/>
      <c r="CV50127" s="376"/>
    </row>
    <row r="50128" spans="1:100">
      <c r="A50128" s="374"/>
      <c r="C50128" s="374"/>
      <c r="CV50128" s="376"/>
    </row>
    <row r="50129" spans="1:100">
      <c r="A50129" s="374"/>
      <c r="C50129" s="374"/>
      <c r="CV50129" s="376"/>
    </row>
    <row r="50130" spans="1:100">
      <c r="A50130" s="374"/>
      <c r="C50130" s="374"/>
      <c r="CV50130" s="376"/>
    </row>
    <row r="50131" spans="1:100">
      <c r="A50131" s="374"/>
      <c r="C50131" s="374"/>
      <c r="CV50131" s="376"/>
    </row>
    <row r="50132" spans="1:100">
      <c r="A50132" s="374"/>
      <c r="C50132" s="374"/>
      <c r="CV50132" s="376"/>
    </row>
    <row r="50133" spans="1:100">
      <c r="A50133" s="374"/>
      <c r="C50133" s="374"/>
      <c r="CV50133" s="376"/>
    </row>
    <row r="50134" spans="1:100">
      <c r="A50134" s="374"/>
      <c r="C50134" s="374"/>
      <c r="CV50134" s="376"/>
    </row>
    <row r="50135" spans="1:100">
      <c r="A50135" s="374"/>
      <c r="C50135" s="374"/>
      <c r="CV50135" s="376"/>
    </row>
    <row r="50136" spans="1:100">
      <c r="A50136" s="374"/>
      <c r="C50136" s="374"/>
      <c r="CV50136" s="376"/>
    </row>
    <row r="50137" spans="1:100">
      <c r="A50137" s="374"/>
      <c r="C50137" s="374"/>
      <c r="CV50137" s="376"/>
    </row>
    <row r="50138" spans="1:100">
      <c r="A50138" s="374"/>
      <c r="C50138" s="374"/>
      <c r="CV50138" s="376"/>
    </row>
    <row r="50139" spans="1:100">
      <c r="A50139" s="374"/>
      <c r="C50139" s="374"/>
      <c r="CV50139" s="376"/>
    </row>
    <row r="50140" spans="1:100">
      <c r="A50140" s="374"/>
      <c r="C50140" s="374"/>
      <c r="CV50140" s="376"/>
    </row>
    <row r="50141" spans="1:100">
      <c r="A50141" s="374"/>
      <c r="C50141" s="374"/>
      <c r="CV50141" s="376"/>
    </row>
    <row r="50142" spans="1:100">
      <c r="A50142" s="374"/>
      <c r="C50142" s="374"/>
      <c r="CV50142" s="376"/>
    </row>
    <row r="50143" spans="1:100">
      <c r="A50143" s="374"/>
      <c r="C50143" s="374"/>
      <c r="CV50143" s="376"/>
    </row>
    <row r="50144" spans="1:100">
      <c r="A50144" s="374"/>
      <c r="C50144" s="374"/>
      <c r="CV50144" s="376"/>
    </row>
    <row r="50145" spans="1:100">
      <c r="A50145" s="374"/>
      <c r="C50145" s="374"/>
      <c r="CV50145" s="376"/>
    </row>
    <row r="50146" spans="1:100">
      <c r="A50146" s="374"/>
      <c r="C50146" s="374"/>
      <c r="CV50146" s="376"/>
    </row>
    <row r="50147" spans="1:100">
      <c r="A50147" s="374"/>
      <c r="C50147" s="374"/>
      <c r="CV50147" s="376"/>
    </row>
    <row r="50148" spans="1:100">
      <c r="A50148" s="374"/>
      <c r="C50148" s="374"/>
      <c r="CV50148" s="376"/>
    </row>
    <row r="50149" spans="1:100">
      <c r="A50149" s="374"/>
      <c r="C50149" s="374"/>
      <c r="CV50149" s="376"/>
    </row>
    <row r="50150" spans="1:100">
      <c r="A50150" s="374"/>
      <c r="C50150" s="374"/>
      <c r="CV50150" s="376"/>
    </row>
    <row r="50151" spans="1:100">
      <c r="A50151" s="374"/>
      <c r="C50151" s="374"/>
      <c r="CV50151" s="376"/>
    </row>
    <row r="50152" spans="1:100">
      <c r="A50152" s="374"/>
      <c r="C50152" s="374"/>
      <c r="CV50152" s="376"/>
    </row>
    <row r="50153" spans="1:100">
      <c r="A50153" s="374"/>
      <c r="C50153" s="374"/>
      <c r="CV50153" s="376"/>
    </row>
    <row r="50154" spans="1:100">
      <c r="A50154" s="374"/>
      <c r="C50154" s="374"/>
      <c r="CV50154" s="376"/>
    </row>
    <row r="50155" spans="1:100">
      <c r="A50155" s="374"/>
      <c r="C50155" s="374"/>
      <c r="CV50155" s="376"/>
    </row>
    <row r="50156" spans="1:100">
      <c r="A50156" s="374"/>
      <c r="C50156" s="374"/>
      <c r="CV50156" s="376"/>
    </row>
    <row r="50157" spans="1:100">
      <c r="A50157" s="374"/>
      <c r="C50157" s="374"/>
      <c r="CV50157" s="376"/>
    </row>
    <row r="50158" spans="1:100">
      <c r="A50158" s="374"/>
      <c r="C50158" s="374"/>
      <c r="CV50158" s="376"/>
    </row>
    <row r="50159" spans="1:100">
      <c r="A50159" s="374"/>
      <c r="C50159" s="374"/>
      <c r="CV50159" s="376"/>
    </row>
    <row r="50160" spans="1:100">
      <c r="A50160" s="374"/>
      <c r="C50160" s="374"/>
      <c r="CV50160" s="376"/>
    </row>
    <row r="50161" spans="1:100">
      <c r="A50161" s="374"/>
      <c r="C50161" s="374"/>
      <c r="CV50161" s="376"/>
    </row>
    <row r="50162" spans="1:100">
      <c r="A50162" s="374"/>
      <c r="C50162" s="374"/>
      <c r="CV50162" s="376"/>
    </row>
    <row r="50163" spans="1:100">
      <c r="A50163" s="374"/>
      <c r="C50163" s="374"/>
      <c r="CV50163" s="376"/>
    </row>
    <row r="50164" spans="1:100">
      <c r="A50164" s="374"/>
      <c r="C50164" s="374"/>
      <c r="CV50164" s="376"/>
    </row>
    <row r="50165" spans="1:100">
      <c r="A50165" s="374"/>
      <c r="C50165" s="374"/>
      <c r="CV50165" s="376"/>
    </row>
    <row r="50166" spans="1:100">
      <c r="A50166" s="374"/>
      <c r="C50166" s="374"/>
      <c r="CV50166" s="376"/>
    </row>
    <row r="50167" spans="1:100">
      <c r="A50167" s="374"/>
      <c r="C50167" s="374"/>
      <c r="CV50167" s="376"/>
    </row>
    <row r="50168" spans="1:100">
      <c r="A50168" s="374"/>
      <c r="C50168" s="374"/>
      <c r="CV50168" s="376"/>
    </row>
    <row r="50169" spans="1:100">
      <c r="A50169" s="374"/>
      <c r="C50169" s="374"/>
      <c r="CV50169" s="376"/>
    </row>
    <row r="50170" spans="1:100">
      <c r="A50170" s="374"/>
      <c r="C50170" s="374"/>
      <c r="CV50170" s="376"/>
    </row>
    <row r="50171" spans="1:100">
      <c r="A50171" s="374"/>
      <c r="C50171" s="374"/>
      <c r="CV50171" s="376"/>
    </row>
    <row r="50172" spans="1:100">
      <c r="A50172" s="374"/>
      <c r="C50172" s="374"/>
      <c r="CV50172" s="376"/>
    </row>
    <row r="50173" spans="1:100">
      <c r="A50173" s="374"/>
      <c r="C50173" s="374"/>
      <c r="CV50173" s="376"/>
    </row>
    <row r="50174" spans="1:100">
      <c r="A50174" s="374"/>
      <c r="C50174" s="374"/>
      <c r="CV50174" s="376"/>
    </row>
    <row r="50175" spans="1:100">
      <c r="A50175" s="374"/>
      <c r="C50175" s="374"/>
      <c r="CV50175" s="376"/>
    </row>
    <row r="50176" spans="1:100">
      <c r="A50176" s="374"/>
      <c r="C50176" s="374"/>
      <c r="CV50176" s="376"/>
    </row>
    <row r="50177" spans="1:100">
      <c r="A50177" s="374"/>
      <c r="C50177" s="374"/>
      <c r="CV50177" s="376"/>
    </row>
    <row r="50178" spans="1:100">
      <c r="A50178" s="374"/>
      <c r="C50178" s="374"/>
      <c r="CV50178" s="376"/>
    </row>
    <row r="50179" spans="1:100">
      <c r="A50179" s="374"/>
      <c r="C50179" s="374"/>
      <c r="CV50179" s="376"/>
    </row>
    <row r="50180" spans="1:100">
      <c r="A50180" s="374"/>
      <c r="C50180" s="374"/>
      <c r="CV50180" s="376"/>
    </row>
    <row r="50181" spans="1:100">
      <c r="A50181" s="374"/>
      <c r="C50181" s="374"/>
      <c r="CV50181" s="376"/>
    </row>
    <row r="50182" spans="1:100">
      <c r="A50182" s="374"/>
      <c r="C50182" s="374"/>
      <c r="CV50182" s="376"/>
    </row>
    <row r="50183" spans="1:100">
      <c r="A50183" s="374"/>
      <c r="C50183" s="374"/>
      <c r="CV50183" s="376"/>
    </row>
    <row r="50184" spans="1:100">
      <c r="A50184" s="374"/>
      <c r="C50184" s="374"/>
      <c r="CV50184" s="376"/>
    </row>
    <row r="50185" spans="1:100">
      <c r="A50185" s="374"/>
      <c r="C50185" s="374"/>
      <c r="CV50185" s="376"/>
    </row>
    <row r="50186" spans="1:100">
      <c r="A50186" s="374"/>
      <c r="C50186" s="374"/>
      <c r="CV50186" s="376"/>
    </row>
    <row r="50187" spans="1:100">
      <c r="A50187" s="374"/>
      <c r="C50187" s="374"/>
      <c r="CV50187" s="376"/>
    </row>
    <row r="50188" spans="1:100">
      <c r="A50188" s="374"/>
      <c r="C50188" s="374"/>
      <c r="CV50188" s="376"/>
    </row>
    <row r="50189" spans="1:100">
      <c r="A50189" s="374"/>
      <c r="C50189" s="374"/>
      <c r="CV50189" s="376"/>
    </row>
    <row r="50190" spans="1:100">
      <c r="A50190" s="374"/>
      <c r="C50190" s="374"/>
      <c r="CV50190" s="376"/>
    </row>
    <row r="50191" spans="1:100">
      <c r="A50191" s="374"/>
      <c r="C50191" s="374"/>
      <c r="CV50191" s="376"/>
    </row>
    <row r="50192" spans="1:100">
      <c r="A50192" s="374"/>
      <c r="C50192" s="374"/>
      <c r="CV50192" s="376"/>
    </row>
    <row r="50193" spans="1:100">
      <c r="A50193" s="374"/>
      <c r="C50193" s="374"/>
      <c r="CV50193" s="376"/>
    </row>
    <row r="50194" spans="1:100">
      <c r="A50194" s="374"/>
      <c r="C50194" s="374"/>
      <c r="CV50194" s="376"/>
    </row>
    <row r="50195" spans="1:100">
      <c r="A50195" s="374"/>
      <c r="C50195" s="374"/>
      <c r="CV50195" s="376"/>
    </row>
    <row r="50196" spans="1:100">
      <c r="A50196" s="374"/>
      <c r="C50196" s="374"/>
      <c r="CV50196" s="376"/>
    </row>
    <row r="50197" spans="1:100">
      <c r="A50197" s="374"/>
      <c r="C50197" s="374"/>
      <c r="CV50197" s="376"/>
    </row>
    <row r="50198" spans="1:100">
      <c r="A50198" s="374"/>
      <c r="C50198" s="374"/>
      <c r="CV50198" s="376"/>
    </row>
    <row r="50199" spans="1:100">
      <c r="A50199" s="374"/>
      <c r="C50199" s="374"/>
      <c r="CV50199" s="376"/>
    </row>
    <row r="50200" spans="1:100">
      <c r="A50200" s="374"/>
      <c r="C50200" s="374"/>
      <c r="CV50200" s="376"/>
    </row>
    <row r="50201" spans="1:100">
      <c r="A50201" s="374"/>
      <c r="C50201" s="374"/>
      <c r="CV50201" s="376"/>
    </row>
    <row r="50202" spans="1:100">
      <c r="A50202" s="374"/>
      <c r="C50202" s="374"/>
      <c r="CV50202" s="376"/>
    </row>
    <row r="50203" spans="1:100">
      <c r="A50203" s="374"/>
      <c r="C50203" s="374"/>
      <c r="CV50203" s="376"/>
    </row>
    <row r="50204" spans="1:100">
      <c r="A50204" s="374"/>
      <c r="C50204" s="374"/>
      <c r="CV50204" s="376"/>
    </row>
    <row r="50205" spans="1:100">
      <c r="A50205" s="374"/>
      <c r="C50205" s="374"/>
      <c r="CV50205" s="376"/>
    </row>
    <row r="50206" spans="1:100">
      <c r="A50206" s="374"/>
      <c r="C50206" s="374"/>
      <c r="CV50206" s="376"/>
    </row>
    <row r="50207" spans="1:100">
      <c r="A50207" s="374"/>
      <c r="C50207" s="374"/>
      <c r="CV50207" s="376"/>
    </row>
    <row r="50208" spans="1:100">
      <c r="A50208" s="374"/>
      <c r="C50208" s="374"/>
      <c r="CV50208" s="376"/>
    </row>
    <row r="50209" spans="1:100">
      <c r="A50209" s="374"/>
      <c r="C50209" s="374"/>
      <c r="CV50209" s="376"/>
    </row>
    <row r="50210" spans="1:100">
      <c r="A50210" s="374"/>
      <c r="C50210" s="374"/>
      <c r="CV50210" s="376"/>
    </row>
    <row r="50211" spans="1:100">
      <c r="A50211" s="374"/>
      <c r="C50211" s="374"/>
      <c r="CV50211" s="376"/>
    </row>
    <row r="50212" spans="1:100">
      <c r="A50212" s="374"/>
      <c r="C50212" s="374"/>
      <c r="CV50212" s="376"/>
    </row>
    <row r="50213" spans="1:100">
      <c r="A50213" s="374"/>
      <c r="C50213" s="374"/>
      <c r="CV50213" s="376"/>
    </row>
    <row r="50214" spans="1:100">
      <c r="A50214" s="374"/>
      <c r="C50214" s="374"/>
      <c r="CV50214" s="376"/>
    </row>
    <row r="50215" spans="1:100">
      <c r="A50215" s="374"/>
      <c r="C50215" s="374"/>
      <c r="CV50215" s="376"/>
    </row>
    <row r="50216" spans="1:100">
      <c r="A50216" s="374"/>
      <c r="C50216" s="374"/>
      <c r="CV50216" s="376"/>
    </row>
    <row r="50217" spans="1:100">
      <c r="A50217" s="374"/>
      <c r="C50217" s="374"/>
      <c r="CV50217" s="376"/>
    </row>
    <row r="50218" spans="1:100">
      <c r="A50218" s="374"/>
      <c r="C50218" s="374"/>
      <c r="CV50218" s="376"/>
    </row>
    <row r="50219" spans="1:100">
      <c r="A50219" s="374"/>
      <c r="C50219" s="374"/>
      <c r="CV50219" s="376"/>
    </row>
    <row r="50220" spans="1:100">
      <c r="A50220" s="374"/>
      <c r="C50220" s="374"/>
      <c r="CV50220" s="376"/>
    </row>
    <row r="50221" spans="1:100">
      <c r="A50221" s="374"/>
      <c r="C50221" s="374"/>
      <c r="CV50221" s="376"/>
    </row>
    <row r="50222" spans="1:100">
      <c r="A50222" s="374"/>
      <c r="C50222" s="374"/>
      <c r="CV50222" s="376"/>
    </row>
    <row r="50223" spans="1:100">
      <c r="A50223" s="374"/>
      <c r="C50223" s="374"/>
      <c r="CV50223" s="376"/>
    </row>
    <row r="50224" spans="1:100">
      <c r="A50224" s="374"/>
      <c r="C50224" s="374"/>
      <c r="CV50224" s="376"/>
    </row>
    <row r="50225" spans="1:100">
      <c r="A50225" s="374"/>
      <c r="C50225" s="374"/>
      <c r="CV50225" s="376"/>
    </row>
    <row r="50226" spans="1:100">
      <c r="A50226" s="374"/>
      <c r="C50226" s="374"/>
      <c r="CV50226" s="376"/>
    </row>
    <row r="50227" spans="1:100">
      <c r="A50227" s="374"/>
      <c r="C50227" s="374"/>
      <c r="CV50227" s="376"/>
    </row>
    <row r="50228" spans="1:100">
      <c r="A50228" s="374"/>
      <c r="C50228" s="374"/>
      <c r="CV50228" s="376"/>
    </row>
    <row r="50229" spans="1:100">
      <c r="A50229" s="374"/>
      <c r="C50229" s="374"/>
      <c r="CV50229" s="376"/>
    </row>
    <row r="50230" spans="1:100">
      <c r="A50230" s="374"/>
      <c r="C50230" s="374"/>
      <c r="CV50230" s="376"/>
    </row>
    <row r="50231" spans="1:100">
      <c r="A50231" s="374"/>
      <c r="C50231" s="374"/>
      <c r="CV50231" s="376"/>
    </row>
    <row r="50232" spans="1:100">
      <c r="A50232" s="374"/>
      <c r="C50232" s="374"/>
      <c r="CV50232" s="376"/>
    </row>
    <row r="50233" spans="1:100">
      <c r="A50233" s="374"/>
      <c r="C50233" s="374"/>
      <c r="CV50233" s="376"/>
    </row>
    <row r="50234" spans="1:100">
      <c r="A50234" s="374"/>
      <c r="C50234" s="374"/>
      <c r="CV50234" s="376"/>
    </row>
    <row r="50235" spans="1:100">
      <c r="A50235" s="374"/>
      <c r="C50235" s="374"/>
      <c r="CV50235" s="376"/>
    </row>
    <row r="50236" spans="1:100">
      <c r="A50236" s="374"/>
      <c r="C50236" s="374"/>
      <c r="CV50236" s="376"/>
    </row>
    <row r="50237" spans="1:100">
      <c r="A50237" s="374"/>
      <c r="C50237" s="374"/>
      <c r="CV50237" s="376"/>
    </row>
    <row r="50238" spans="1:100">
      <c r="A50238" s="374"/>
      <c r="C50238" s="374"/>
      <c r="CV50238" s="376"/>
    </row>
    <row r="50239" spans="1:100">
      <c r="A50239" s="374"/>
      <c r="C50239" s="374"/>
      <c r="CV50239" s="376"/>
    </row>
    <row r="50240" spans="1:100">
      <c r="A50240" s="374"/>
      <c r="C50240" s="374"/>
      <c r="CV50240" s="376"/>
    </row>
    <row r="50241" spans="1:100">
      <c r="A50241" s="374"/>
      <c r="C50241" s="374"/>
      <c r="CV50241" s="376"/>
    </row>
    <row r="50242" spans="1:100">
      <c r="A50242" s="374"/>
      <c r="C50242" s="374"/>
      <c r="CV50242" s="376"/>
    </row>
    <row r="50243" spans="1:100">
      <c r="A50243" s="374"/>
      <c r="C50243" s="374"/>
      <c r="CV50243" s="376"/>
    </row>
    <row r="50244" spans="1:100">
      <c r="A50244" s="374"/>
      <c r="C50244" s="374"/>
      <c r="CV50244" s="376"/>
    </row>
    <row r="50245" spans="1:100">
      <c r="A50245" s="374"/>
      <c r="C50245" s="374"/>
      <c r="CV50245" s="376"/>
    </row>
    <row r="50246" spans="1:100">
      <c r="A50246" s="374"/>
      <c r="C50246" s="374"/>
      <c r="CV50246" s="376"/>
    </row>
    <row r="50247" spans="1:100">
      <c r="A50247" s="374"/>
      <c r="C50247" s="374"/>
      <c r="CV50247" s="376"/>
    </row>
    <row r="50248" spans="1:100">
      <c r="A50248" s="374"/>
      <c r="C50248" s="374"/>
      <c r="CV50248" s="376"/>
    </row>
    <row r="50249" spans="1:100">
      <c r="A50249" s="374"/>
      <c r="C50249" s="374"/>
      <c r="CV50249" s="376"/>
    </row>
    <row r="50250" spans="1:100">
      <c r="A50250" s="374"/>
      <c r="C50250" s="374"/>
      <c r="CV50250" s="376"/>
    </row>
    <row r="50251" spans="1:100">
      <c r="A50251" s="374"/>
      <c r="C50251" s="374"/>
      <c r="CV50251" s="376"/>
    </row>
    <row r="50252" spans="1:100">
      <c r="A50252" s="374"/>
      <c r="C50252" s="374"/>
      <c r="CV50252" s="376"/>
    </row>
    <row r="50253" spans="1:100">
      <c r="A50253" s="374"/>
      <c r="C50253" s="374"/>
      <c r="CV50253" s="376"/>
    </row>
    <row r="50254" spans="1:100">
      <c r="A50254" s="374"/>
      <c r="C50254" s="374"/>
      <c r="CV50254" s="376"/>
    </row>
    <row r="50255" spans="1:100">
      <c r="A50255" s="374"/>
      <c r="C50255" s="374"/>
      <c r="CV50255" s="376"/>
    </row>
    <row r="50256" spans="1:100">
      <c r="A50256" s="374"/>
      <c r="C50256" s="374"/>
      <c r="CV50256" s="376"/>
    </row>
    <row r="50257" spans="1:100">
      <c r="A50257" s="374"/>
      <c r="C50257" s="374"/>
      <c r="CV50257" s="376"/>
    </row>
    <row r="50258" spans="1:100">
      <c r="A50258" s="374"/>
      <c r="C50258" s="374"/>
      <c r="CV50258" s="376"/>
    </row>
    <row r="50259" spans="1:100">
      <c r="A50259" s="374"/>
      <c r="C50259" s="374"/>
      <c r="CV50259" s="376"/>
    </row>
    <row r="50260" spans="1:100">
      <c r="A50260" s="374"/>
      <c r="C50260" s="374"/>
      <c r="CV50260" s="376"/>
    </row>
    <row r="50261" spans="1:100">
      <c r="A50261" s="374"/>
      <c r="C50261" s="374"/>
      <c r="CV50261" s="376"/>
    </row>
    <row r="50262" spans="1:100">
      <c r="A50262" s="374"/>
      <c r="C50262" s="374"/>
      <c r="CV50262" s="376"/>
    </row>
    <row r="50263" spans="1:100">
      <c r="A50263" s="374"/>
      <c r="C50263" s="374"/>
      <c r="CV50263" s="376"/>
    </row>
    <row r="50264" spans="1:100">
      <c r="A50264" s="374"/>
      <c r="C50264" s="374"/>
      <c r="CV50264" s="376"/>
    </row>
    <row r="50265" spans="1:100">
      <c r="A50265" s="374"/>
      <c r="C50265" s="374"/>
      <c r="CV50265" s="376"/>
    </row>
    <row r="50266" spans="1:100">
      <c r="A50266" s="374"/>
      <c r="C50266" s="374"/>
      <c r="CV50266" s="376"/>
    </row>
    <row r="50267" spans="1:100">
      <c r="A50267" s="374"/>
      <c r="C50267" s="374"/>
      <c r="CV50267" s="376"/>
    </row>
    <row r="50268" spans="1:100">
      <c r="A50268" s="374"/>
      <c r="C50268" s="374"/>
      <c r="CV50268" s="376"/>
    </row>
    <row r="50269" spans="1:100">
      <c r="A50269" s="374"/>
      <c r="C50269" s="374"/>
      <c r="CV50269" s="376"/>
    </row>
    <row r="50270" spans="1:100">
      <c r="A50270" s="374"/>
      <c r="C50270" s="374"/>
      <c r="CV50270" s="376"/>
    </row>
    <row r="50271" spans="1:100">
      <c r="A50271" s="374"/>
      <c r="C50271" s="374"/>
      <c r="CV50271" s="376"/>
    </row>
    <row r="50272" spans="1:100">
      <c r="A50272" s="374"/>
      <c r="C50272" s="374"/>
      <c r="CV50272" s="376"/>
    </row>
    <row r="50273" spans="1:100">
      <c r="A50273" s="374"/>
      <c r="C50273" s="374"/>
      <c r="CV50273" s="376"/>
    </row>
    <row r="50274" spans="1:100">
      <c r="A50274" s="374"/>
      <c r="C50274" s="374"/>
      <c r="CV50274" s="376"/>
    </row>
    <row r="50275" spans="1:100">
      <c r="A50275" s="374"/>
      <c r="C50275" s="374"/>
      <c r="CV50275" s="376"/>
    </row>
    <row r="50276" spans="1:100">
      <c r="A50276" s="374"/>
      <c r="C50276" s="374"/>
      <c r="CV50276" s="376"/>
    </row>
    <row r="50277" spans="1:100">
      <c r="A50277" s="374"/>
      <c r="C50277" s="374"/>
      <c r="CV50277" s="376"/>
    </row>
    <row r="50278" spans="1:100">
      <c r="A50278" s="374"/>
      <c r="C50278" s="374"/>
      <c r="CV50278" s="376"/>
    </row>
    <row r="50279" spans="1:100">
      <c r="A50279" s="374"/>
      <c r="C50279" s="374"/>
      <c r="CV50279" s="376"/>
    </row>
    <row r="50280" spans="1:100">
      <c r="A50280" s="374"/>
      <c r="C50280" s="374"/>
      <c r="CV50280" s="376"/>
    </row>
    <row r="50281" spans="1:100">
      <c r="A50281" s="374"/>
      <c r="C50281" s="374"/>
      <c r="CV50281" s="376"/>
    </row>
    <row r="50282" spans="1:100">
      <c r="A50282" s="374"/>
      <c r="C50282" s="374"/>
      <c r="CV50282" s="376"/>
    </row>
    <row r="50283" spans="1:100">
      <c r="A50283" s="374"/>
      <c r="C50283" s="374"/>
      <c r="CV50283" s="376"/>
    </row>
    <row r="50284" spans="1:100">
      <c r="A50284" s="374"/>
      <c r="C50284" s="374"/>
      <c r="CV50284" s="376"/>
    </row>
    <row r="50285" spans="1:100">
      <c r="A50285" s="374"/>
      <c r="C50285" s="374"/>
      <c r="CV50285" s="376"/>
    </row>
    <row r="50286" spans="1:100">
      <c r="A50286" s="374"/>
      <c r="C50286" s="374"/>
      <c r="CV50286" s="376"/>
    </row>
    <row r="50287" spans="1:100">
      <c r="A50287" s="374"/>
      <c r="C50287" s="374"/>
      <c r="CV50287" s="376"/>
    </row>
    <row r="50288" spans="1:100">
      <c r="A50288" s="374"/>
      <c r="C50288" s="374"/>
      <c r="CV50288" s="376"/>
    </row>
    <row r="50289" spans="1:100">
      <c r="A50289" s="374"/>
      <c r="C50289" s="374"/>
      <c r="CV50289" s="376"/>
    </row>
    <row r="50290" spans="1:100">
      <c r="A50290" s="374"/>
      <c r="C50290" s="374"/>
      <c r="CV50290" s="376"/>
    </row>
    <row r="50291" spans="1:100">
      <c r="A50291" s="374"/>
      <c r="C50291" s="374"/>
      <c r="CV50291" s="376"/>
    </row>
    <row r="50292" spans="1:100">
      <c r="A50292" s="374"/>
      <c r="C50292" s="374"/>
      <c r="CV50292" s="376"/>
    </row>
    <row r="50293" spans="1:100">
      <c r="A50293" s="374"/>
      <c r="C50293" s="374"/>
      <c r="CV50293" s="376"/>
    </row>
    <row r="50294" spans="1:100">
      <c r="A50294" s="374"/>
      <c r="C50294" s="374"/>
      <c r="CV50294" s="376"/>
    </row>
    <row r="50295" spans="1:100">
      <c r="A50295" s="374"/>
      <c r="C50295" s="374"/>
      <c r="CV50295" s="376"/>
    </row>
    <row r="50296" spans="1:100">
      <c r="A50296" s="374"/>
      <c r="C50296" s="374"/>
      <c r="CV50296" s="376"/>
    </row>
    <row r="50297" spans="1:100">
      <c r="A50297" s="374"/>
      <c r="C50297" s="374"/>
      <c r="CV50297" s="376"/>
    </row>
    <row r="50298" spans="1:100">
      <c r="A50298" s="374"/>
      <c r="C50298" s="374"/>
      <c r="CV50298" s="376"/>
    </row>
    <row r="50299" spans="1:100">
      <c r="A50299" s="374"/>
      <c r="C50299" s="374"/>
      <c r="CV50299" s="376"/>
    </row>
    <row r="50300" spans="1:100">
      <c r="A50300" s="374"/>
      <c r="C50300" s="374"/>
      <c r="CV50300" s="376"/>
    </row>
    <row r="50301" spans="1:100">
      <c r="A50301" s="374"/>
      <c r="C50301" s="374"/>
      <c r="CV50301" s="376"/>
    </row>
    <row r="50302" spans="1:100">
      <c r="A50302" s="374"/>
      <c r="C50302" s="374"/>
      <c r="CV50302" s="376"/>
    </row>
    <row r="50303" spans="1:100">
      <c r="A50303" s="374"/>
      <c r="C50303" s="374"/>
      <c r="CV50303" s="376"/>
    </row>
    <row r="50304" spans="1:100">
      <c r="A50304" s="374"/>
      <c r="C50304" s="374"/>
      <c r="CV50304" s="376"/>
    </row>
    <row r="50305" spans="1:100">
      <c r="A50305" s="374"/>
      <c r="C50305" s="374"/>
      <c r="CV50305" s="376"/>
    </row>
    <row r="50306" spans="1:100">
      <c r="A50306" s="374"/>
      <c r="C50306" s="374"/>
      <c r="CV50306" s="376"/>
    </row>
    <row r="50307" spans="1:100">
      <c r="A50307" s="374"/>
      <c r="C50307" s="374"/>
      <c r="CV50307" s="376"/>
    </row>
    <row r="50308" spans="1:100">
      <c r="A50308" s="374"/>
      <c r="C50308" s="374"/>
      <c r="CV50308" s="376"/>
    </row>
    <row r="50309" spans="1:100">
      <c r="A50309" s="374"/>
      <c r="C50309" s="374"/>
      <c r="CV50309" s="376"/>
    </row>
    <row r="50310" spans="1:100">
      <c r="A50310" s="374"/>
      <c r="C50310" s="374"/>
      <c r="CV50310" s="376"/>
    </row>
    <row r="50311" spans="1:100">
      <c r="A50311" s="374"/>
      <c r="C50311" s="374"/>
      <c r="CV50311" s="376"/>
    </row>
    <row r="50312" spans="1:100">
      <c r="A50312" s="374"/>
      <c r="C50312" s="374"/>
      <c r="CV50312" s="376"/>
    </row>
    <row r="50313" spans="1:100">
      <c r="A50313" s="374"/>
      <c r="C50313" s="374"/>
      <c r="CV50313" s="376"/>
    </row>
    <row r="50314" spans="1:100">
      <c r="A50314" s="374"/>
      <c r="C50314" s="374"/>
      <c r="CV50314" s="376"/>
    </row>
    <row r="50315" spans="1:100">
      <c r="A50315" s="374"/>
      <c r="C50315" s="374"/>
      <c r="CV50315" s="376"/>
    </row>
    <row r="50316" spans="1:100">
      <c r="A50316" s="374"/>
      <c r="C50316" s="374"/>
      <c r="CV50316" s="376"/>
    </row>
    <row r="50317" spans="1:100">
      <c r="A50317" s="374"/>
      <c r="C50317" s="374"/>
      <c r="CV50317" s="376"/>
    </row>
    <row r="50318" spans="1:100">
      <c r="A50318" s="374"/>
      <c r="C50318" s="374"/>
      <c r="CV50318" s="376"/>
    </row>
    <row r="50319" spans="1:100">
      <c r="A50319" s="374"/>
      <c r="C50319" s="374"/>
      <c r="CV50319" s="376"/>
    </row>
    <row r="50320" spans="1:100">
      <c r="A50320" s="374"/>
      <c r="C50320" s="374"/>
      <c r="CV50320" s="376"/>
    </row>
    <row r="50321" spans="1:100">
      <c r="A50321" s="374"/>
      <c r="C50321" s="374"/>
      <c r="CV50321" s="376"/>
    </row>
    <row r="50322" spans="1:100">
      <c r="A50322" s="374"/>
      <c r="C50322" s="374"/>
      <c r="CV50322" s="376"/>
    </row>
    <row r="50323" spans="1:100">
      <c r="A50323" s="374"/>
      <c r="C50323" s="374"/>
      <c r="CV50323" s="376"/>
    </row>
    <row r="50324" spans="1:100">
      <c r="A50324" s="374"/>
      <c r="C50324" s="374"/>
      <c r="CV50324" s="376"/>
    </row>
    <row r="50325" spans="1:100">
      <c r="A50325" s="374"/>
      <c r="C50325" s="374"/>
      <c r="CV50325" s="376"/>
    </row>
    <row r="50326" spans="1:100">
      <c r="A50326" s="374"/>
      <c r="C50326" s="374"/>
      <c r="CV50326" s="376"/>
    </row>
    <row r="50327" spans="1:100">
      <c r="A50327" s="374"/>
      <c r="C50327" s="374"/>
      <c r="CV50327" s="376"/>
    </row>
    <row r="50328" spans="1:100">
      <c r="A50328" s="374"/>
      <c r="C50328" s="374"/>
      <c r="CV50328" s="376"/>
    </row>
    <row r="50329" spans="1:100">
      <c r="A50329" s="374"/>
      <c r="C50329" s="374"/>
      <c r="CV50329" s="376"/>
    </row>
    <row r="50330" spans="1:100">
      <c r="A50330" s="374"/>
      <c r="C50330" s="374"/>
      <c r="CV50330" s="376"/>
    </row>
    <row r="50331" spans="1:100">
      <c r="A50331" s="374"/>
      <c r="C50331" s="374"/>
      <c r="CV50331" s="376"/>
    </row>
    <row r="50332" spans="1:100">
      <c r="A50332" s="374"/>
      <c r="C50332" s="374"/>
      <c r="CV50332" s="376"/>
    </row>
    <row r="50333" spans="1:100">
      <c r="A50333" s="374"/>
      <c r="C50333" s="374"/>
      <c r="CV50333" s="376"/>
    </row>
    <row r="50334" spans="1:100">
      <c r="A50334" s="374"/>
      <c r="C50334" s="374"/>
      <c r="CV50334" s="376"/>
    </row>
    <row r="50335" spans="1:100">
      <c r="A50335" s="374"/>
      <c r="C50335" s="374"/>
      <c r="CV50335" s="376"/>
    </row>
    <row r="50336" spans="1:100">
      <c r="A50336" s="374"/>
      <c r="C50336" s="374"/>
      <c r="CV50336" s="376"/>
    </row>
    <row r="50337" spans="1:100">
      <c r="A50337" s="374"/>
      <c r="C50337" s="374"/>
      <c r="CV50337" s="376"/>
    </row>
    <row r="50338" spans="1:100">
      <c r="A50338" s="374"/>
      <c r="C50338" s="374"/>
      <c r="CV50338" s="376"/>
    </row>
    <row r="50339" spans="1:100">
      <c r="A50339" s="374"/>
      <c r="C50339" s="374"/>
      <c r="CV50339" s="376"/>
    </row>
    <row r="50340" spans="1:100">
      <c r="A50340" s="374"/>
      <c r="C50340" s="374"/>
      <c r="CV50340" s="376"/>
    </row>
    <row r="50341" spans="1:100">
      <c r="A50341" s="374"/>
      <c r="C50341" s="374"/>
      <c r="CV50341" s="376"/>
    </row>
    <row r="50342" spans="1:100">
      <c r="A50342" s="374"/>
      <c r="C50342" s="374"/>
      <c r="CV50342" s="376"/>
    </row>
    <row r="50343" spans="1:100">
      <c r="A50343" s="374"/>
      <c r="C50343" s="374"/>
      <c r="CV50343" s="376"/>
    </row>
    <row r="50344" spans="1:100">
      <c r="A50344" s="374"/>
      <c r="C50344" s="374"/>
      <c r="CV50344" s="376"/>
    </row>
    <row r="50345" spans="1:100">
      <c r="A50345" s="374"/>
      <c r="C50345" s="374"/>
      <c r="CV50345" s="376"/>
    </row>
    <row r="50346" spans="1:100">
      <c r="A50346" s="374"/>
      <c r="C50346" s="374"/>
      <c r="CV50346" s="376"/>
    </row>
    <row r="50347" spans="1:100">
      <c r="A50347" s="374"/>
      <c r="C50347" s="374"/>
      <c r="CV50347" s="376"/>
    </row>
    <row r="50348" spans="1:100">
      <c r="A50348" s="374"/>
      <c r="C50348" s="374"/>
      <c r="CV50348" s="376"/>
    </row>
    <row r="50349" spans="1:100">
      <c r="A50349" s="374"/>
      <c r="C50349" s="374"/>
      <c r="CV50349" s="376"/>
    </row>
    <row r="50350" spans="1:100">
      <c r="A50350" s="374"/>
      <c r="C50350" s="374"/>
      <c r="CV50350" s="376"/>
    </row>
    <row r="50351" spans="1:100">
      <c r="A50351" s="374"/>
      <c r="C50351" s="374"/>
      <c r="CV50351" s="376"/>
    </row>
    <row r="50352" spans="1:100">
      <c r="A50352" s="374"/>
      <c r="C50352" s="374"/>
      <c r="CV50352" s="376"/>
    </row>
    <row r="50353" spans="1:100">
      <c r="A50353" s="374"/>
      <c r="C50353" s="374"/>
      <c r="CV50353" s="376"/>
    </row>
    <row r="50354" spans="1:100">
      <c r="A50354" s="374"/>
      <c r="C50354" s="374"/>
      <c r="CV50354" s="376"/>
    </row>
    <row r="50355" spans="1:100">
      <c r="A50355" s="374"/>
      <c r="C50355" s="374"/>
      <c r="CV50355" s="376"/>
    </row>
    <row r="50356" spans="1:100">
      <c r="A50356" s="374"/>
      <c r="C50356" s="374"/>
      <c r="CV50356" s="376"/>
    </row>
    <row r="50357" spans="1:100">
      <c r="A50357" s="374"/>
      <c r="C50357" s="374"/>
      <c r="CV50357" s="376"/>
    </row>
    <row r="50358" spans="1:100">
      <c r="A50358" s="374"/>
      <c r="C50358" s="374"/>
      <c r="CV50358" s="376"/>
    </row>
    <row r="50359" spans="1:100">
      <c r="A50359" s="374"/>
      <c r="C50359" s="374"/>
      <c r="CV50359" s="376"/>
    </row>
    <row r="50360" spans="1:100">
      <c r="A50360" s="374"/>
      <c r="C50360" s="374"/>
      <c r="CV50360" s="376"/>
    </row>
    <row r="50361" spans="1:100">
      <c r="A50361" s="374"/>
      <c r="C50361" s="374"/>
      <c r="CV50361" s="376"/>
    </row>
    <row r="50362" spans="1:100">
      <c r="A50362" s="374"/>
      <c r="C50362" s="374"/>
      <c r="CV50362" s="376"/>
    </row>
    <row r="50363" spans="1:100">
      <c r="A50363" s="374"/>
      <c r="C50363" s="374"/>
      <c r="CV50363" s="376"/>
    </row>
    <row r="50364" spans="1:100">
      <c r="A50364" s="374"/>
      <c r="C50364" s="374"/>
      <c r="CV50364" s="376"/>
    </row>
    <row r="50365" spans="1:100">
      <c r="A50365" s="374"/>
      <c r="C50365" s="374"/>
      <c r="CV50365" s="376"/>
    </row>
    <row r="50366" spans="1:100">
      <c r="A50366" s="374"/>
      <c r="C50366" s="374"/>
      <c r="CV50366" s="376"/>
    </row>
    <row r="50367" spans="1:100">
      <c r="A50367" s="374"/>
      <c r="C50367" s="374"/>
      <c r="CV50367" s="376"/>
    </row>
    <row r="50368" spans="1:100">
      <c r="A50368" s="374"/>
      <c r="C50368" s="374"/>
      <c r="CV50368" s="376"/>
    </row>
    <row r="50369" spans="1:100">
      <c r="A50369" s="374"/>
      <c r="C50369" s="374"/>
      <c r="CV50369" s="376"/>
    </row>
    <row r="50370" spans="1:100">
      <c r="A50370" s="374"/>
      <c r="C50370" s="374"/>
      <c r="CV50370" s="376"/>
    </row>
    <row r="50371" spans="1:100">
      <c r="A50371" s="374"/>
      <c r="C50371" s="374"/>
      <c r="CV50371" s="376"/>
    </row>
    <row r="50372" spans="1:100">
      <c r="A50372" s="374"/>
      <c r="C50372" s="374"/>
      <c r="CV50372" s="376"/>
    </row>
    <row r="50373" spans="1:100">
      <c r="A50373" s="374"/>
      <c r="C50373" s="374"/>
      <c r="CV50373" s="376"/>
    </row>
    <row r="50374" spans="1:100">
      <c r="A50374" s="374"/>
      <c r="C50374" s="374"/>
      <c r="CV50374" s="376"/>
    </row>
    <row r="50375" spans="1:100">
      <c r="A50375" s="374"/>
      <c r="C50375" s="374"/>
      <c r="CV50375" s="376"/>
    </row>
    <row r="50376" spans="1:100">
      <c r="A50376" s="374"/>
      <c r="C50376" s="374"/>
      <c r="CV50376" s="376"/>
    </row>
    <row r="50377" spans="1:100">
      <c r="A50377" s="374"/>
      <c r="C50377" s="374"/>
      <c r="CV50377" s="376"/>
    </row>
    <row r="50378" spans="1:100">
      <c r="A50378" s="374"/>
      <c r="C50378" s="374"/>
      <c r="CV50378" s="376"/>
    </row>
    <row r="50379" spans="1:100">
      <c r="A50379" s="374"/>
      <c r="C50379" s="374"/>
      <c r="CV50379" s="376"/>
    </row>
    <row r="50380" spans="1:100">
      <c r="A50380" s="374"/>
      <c r="C50380" s="374"/>
      <c r="CV50380" s="376"/>
    </row>
    <row r="50381" spans="1:100">
      <c r="A50381" s="374"/>
      <c r="C50381" s="374"/>
      <c r="CV50381" s="376"/>
    </row>
    <row r="50382" spans="1:100">
      <c r="A50382" s="374"/>
      <c r="C50382" s="374"/>
      <c r="CV50382" s="376"/>
    </row>
    <row r="50383" spans="1:100">
      <c r="A50383" s="374"/>
      <c r="C50383" s="374"/>
      <c r="CV50383" s="376"/>
    </row>
    <row r="50384" spans="1:100">
      <c r="A50384" s="374"/>
      <c r="C50384" s="374"/>
      <c r="CV50384" s="376"/>
    </row>
    <row r="50385" spans="1:100">
      <c r="A50385" s="374"/>
      <c r="C50385" s="374"/>
      <c r="CV50385" s="376"/>
    </row>
    <row r="50386" spans="1:100">
      <c r="A50386" s="374"/>
      <c r="C50386" s="374"/>
      <c r="CV50386" s="376"/>
    </row>
    <row r="50387" spans="1:100">
      <c r="A50387" s="374"/>
      <c r="C50387" s="374"/>
      <c r="CV50387" s="376"/>
    </row>
    <row r="50388" spans="1:100">
      <c r="A50388" s="374"/>
      <c r="C50388" s="374"/>
      <c r="CV50388" s="376"/>
    </row>
    <row r="50389" spans="1:100">
      <c r="A50389" s="374"/>
      <c r="C50389" s="374"/>
      <c r="CV50389" s="376"/>
    </row>
    <row r="50390" spans="1:100">
      <c r="A50390" s="374"/>
      <c r="C50390" s="374"/>
      <c r="CV50390" s="376"/>
    </row>
    <row r="50391" spans="1:100">
      <c r="A50391" s="374"/>
      <c r="C50391" s="374"/>
      <c r="CV50391" s="376"/>
    </row>
    <row r="50392" spans="1:100">
      <c r="A50392" s="374"/>
      <c r="C50392" s="374"/>
      <c r="CV50392" s="376"/>
    </row>
    <row r="50393" spans="1:100">
      <c r="A50393" s="374"/>
      <c r="C50393" s="374"/>
      <c r="CV50393" s="376"/>
    </row>
    <row r="50394" spans="1:100">
      <c r="A50394" s="374"/>
      <c r="C50394" s="374"/>
      <c r="CV50394" s="376"/>
    </row>
    <row r="50395" spans="1:100">
      <c r="A50395" s="374"/>
      <c r="C50395" s="374"/>
      <c r="CV50395" s="376"/>
    </row>
    <row r="50396" spans="1:100">
      <c r="A50396" s="374"/>
      <c r="C50396" s="374"/>
      <c r="CV50396" s="376"/>
    </row>
    <row r="50397" spans="1:100">
      <c r="A50397" s="374"/>
      <c r="C50397" s="374"/>
      <c r="CV50397" s="376"/>
    </row>
    <row r="50398" spans="1:100">
      <c r="A50398" s="374"/>
      <c r="C50398" s="374"/>
      <c r="CV50398" s="376"/>
    </row>
    <row r="50399" spans="1:100">
      <c r="A50399" s="374"/>
      <c r="C50399" s="374"/>
      <c r="CV50399" s="376"/>
    </row>
    <row r="50400" spans="1:100">
      <c r="A50400" s="374"/>
      <c r="C50400" s="374"/>
      <c r="CV50400" s="376"/>
    </row>
    <row r="50401" spans="1:100">
      <c r="A50401" s="374"/>
      <c r="C50401" s="374"/>
      <c r="CV50401" s="376"/>
    </row>
    <row r="50402" spans="1:100">
      <c r="A50402" s="374"/>
      <c r="C50402" s="374"/>
      <c r="CV50402" s="376"/>
    </row>
    <row r="50403" spans="1:100">
      <c r="A50403" s="374"/>
      <c r="C50403" s="374"/>
      <c r="CV50403" s="376"/>
    </row>
    <row r="50404" spans="1:100">
      <c r="A50404" s="374"/>
      <c r="C50404" s="374"/>
      <c r="CV50404" s="376"/>
    </row>
    <row r="50405" spans="1:100">
      <c r="A50405" s="374"/>
      <c r="C50405" s="374"/>
      <c r="CV50405" s="376"/>
    </row>
    <row r="50406" spans="1:100">
      <c r="A50406" s="374"/>
      <c r="C50406" s="374"/>
      <c r="CV50406" s="376"/>
    </row>
    <row r="50407" spans="1:100">
      <c r="A50407" s="374"/>
      <c r="C50407" s="374"/>
      <c r="CV50407" s="376"/>
    </row>
    <row r="50408" spans="1:100">
      <c r="A50408" s="374"/>
      <c r="C50408" s="374"/>
      <c r="CV50408" s="376"/>
    </row>
    <row r="50409" spans="1:100">
      <c r="A50409" s="374"/>
      <c r="C50409" s="374"/>
      <c r="CV50409" s="376"/>
    </row>
    <row r="50410" spans="1:100">
      <c r="A50410" s="374"/>
      <c r="C50410" s="374"/>
      <c r="CV50410" s="376"/>
    </row>
    <row r="50411" spans="1:100">
      <c r="A50411" s="374"/>
      <c r="C50411" s="374"/>
      <c r="CV50411" s="376"/>
    </row>
    <row r="50412" spans="1:100">
      <c r="A50412" s="374"/>
      <c r="C50412" s="374"/>
      <c r="CV50412" s="376"/>
    </row>
    <row r="50413" spans="1:100">
      <c r="A50413" s="374"/>
      <c r="C50413" s="374"/>
      <c r="CV50413" s="376"/>
    </row>
    <row r="50414" spans="1:100">
      <c r="A50414" s="374"/>
      <c r="C50414" s="374"/>
      <c r="CV50414" s="376"/>
    </row>
    <row r="50415" spans="1:100">
      <c r="A50415" s="374"/>
      <c r="C50415" s="374"/>
      <c r="CV50415" s="376"/>
    </row>
    <row r="50416" spans="1:100">
      <c r="A50416" s="374"/>
      <c r="C50416" s="374"/>
      <c r="CV50416" s="376"/>
    </row>
    <row r="50417" spans="1:100">
      <c r="A50417" s="374"/>
      <c r="C50417" s="374"/>
      <c r="CV50417" s="376"/>
    </row>
    <row r="50418" spans="1:100">
      <c r="A50418" s="374"/>
      <c r="C50418" s="374"/>
      <c r="CV50418" s="376"/>
    </row>
    <row r="50419" spans="1:100">
      <c r="A50419" s="374"/>
      <c r="C50419" s="374"/>
      <c r="CV50419" s="376"/>
    </row>
    <row r="50420" spans="1:100">
      <c r="A50420" s="374"/>
      <c r="C50420" s="374"/>
      <c r="CV50420" s="376"/>
    </row>
    <row r="50421" spans="1:100">
      <c r="A50421" s="374"/>
      <c r="C50421" s="374"/>
      <c r="CV50421" s="376"/>
    </row>
    <row r="50422" spans="1:100">
      <c r="A50422" s="374"/>
      <c r="C50422" s="374"/>
      <c r="CV50422" s="376"/>
    </row>
    <row r="50423" spans="1:100">
      <c r="A50423" s="374"/>
      <c r="C50423" s="374"/>
      <c r="CV50423" s="376"/>
    </row>
    <row r="50424" spans="1:100">
      <c r="A50424" s="374"/>
      <c r="C50424" s="374"/>
      <c r="CV50424" s="376"/>
    </row>
    <row r="50425" spans="1:100">
      <c r="A50425" s="374"/>
      <c r="C50425" s="374"/>
      <c r="CV50425" s="376"/>
    </row>
    <row r="50426" spans="1:100">
      <c r="A50426" s="374"/>
      <c r="C50426" s="374"/>
      <c r="CV50426" s="376"/>
    </row>
    <row r="50427" spans="1:100">
      <c r="A50427" s="374"/>
      <c r="C50427" s="374"/>
      <c r="CV50427" s="376"/>
    </row>
    <row r="50428" spans="1:100">
      <c r="A50428" s="374"/>
      <c r="C50428" s="374"/>
      <c r="CV50428" s="376"/>
    </row>
    <row r="50429" spans="1:100">
      <c r="A50429" s="374"/>
      <c r="C50429" s="374"/>
      <c r="CV50429" s="376"/>
    </row>
    <row r="50430" spans="1:100">
      <c r="A50430" s="374"/>
      <c r="C50430" s="374"/>
      <c r="CV50430" s="376"/>
    </row>
    <row r="50431" spans="1:100">
      <c r="A50431" s="374"/>
      <c r="C50431" s="374"/>
      <c r="CV50431" s="376"/>
    </row>
    <row r="50432" spans="1:100">
      <c r="A50432" s="374"/>
      <c r="C50432" s="374"/>
      <c r="CV50432" s="376"/>
    </row>
    <row r="50433" spans="1:100">
      <c r="A50433" s="374"/>
      <c r="C50433" s="374"/>
      <c r="CV50433" s="376"/>
    </row>
    <row r="50434" spans="1:100">
      <c r="A50434" s="374"/>
      <c r="C50434" s="374"/>
      <c r="CV50434" s="376"/>
    </row>
    <row r="50435" spans="1:100">
      <c r="A50435" s="374"/>
      <c r="C50435" s="374"/>
      <c r="CV50435" s="376"/>
    </row>
    <row r="50436" spans="1:100">
      <c r="A50436" s="374"/>
      <c r="C50436" s="374"/>
      <c r="CV50436" s="376"/>
    </row>
    <row r="50437" spans="1:100">
      <c r="A50437" s="374"/>
      <c r="C50437" s="374"/>
      <c r="CV50437" s="376"/>
    </row>
    <row r="50438" spans="1:100">
      <c r="A50438" s="374"/>
      <c r="C50438" s="374"/>
      <c r="CV50438" s="376"/>
    </row>
    <row r="50439" spans="1:100">
      <c r="A50439" s="374"/>
      <c r="C50439" s="374"/>
      <c r="CV50439" s="376"/>
    </row>
    <row r="50440" spans="1:100">
      <c r="A50440" s="374"/>
      <c r="C50440" s="374"/>
      <c r="CV50440" s="376"/>
    </row>
    <row r="50441" spans="1:100">
      <c r="A50441" s="374"/>
      <c r="C50441" s="374"/>
      <c r="CV50441" s="376"/>
    </row>
    <row r="50442" spans="1:100">
      <c r="A50442" s="374"/>
      <c r="C50442" s="374"/>
      <c r="CV50442" s="376"/>
    </row>
    <row r="50443" spans="1:100">
      <c r="A50443" s="374"/>
      <c r="C50443" s="374"/>
      <c r="CV50443" s="376"/>
    </row>
    <row r="50444" spans="1:100">
      <c r="A50444" s="374"/>
      <c r="C50444" s="374"/>
      <c r="CV50444" s="376"/>
    </row>
    <row r="50445" spans="1:100">
      <c r="A50445" s="374"/>
      <c r="C50445" s="374"/>
      <c r="CV50445" s="376"/>
    </row>
    <row r="50446" spans="1:100">
      <c r="A50446" s="374"/>
      <c r="C50446" s="374"/>
      <c r="CV50446" s="376"/>
    </row>
    <row r="50447" spans="1:100">
      <c r="A50447" s="374"/>
      <c r="C50447" s="374"/>
      <c r="CV50447" s="376"/>
    </row>
    <row r="50448" spans="1:100">
      <c r="A50448" s="374"/>
      <c r="C50448" s="374"/>
      <c r="CV50448" s="376"/>
    </row>
    <row r="50449" spans="1:100">
      <c r="A50449" s="374"/>
      <c r="C50449" s="374"/>
      <c r="CV50449" s="376"/>
    </row>
    <row r="50450" spans="1:100">
      <c r="A50450" s="374"/>
      <c r="C50450" s="374"/>
      <c r="CV50450" s="376"/>
    </row>
    <row r="50451" spans="1:100">
      <c r="A50451" s="374"/>
      <c r="C50451" s="374"/>
      <c r="CV50451" s="376"/>
    </row>
    <row r="50452" spans="1:100">
      <c r="A50452" s="374"/>
      <c r="C50452" s="374"/>
      <c r="CV50452" s="376"/>
    </row>
    <row r="50453" spans="1:100">
      <c r="A50453" s="374"/>
      <c r="C50453" s="374"/>
      <c r="CV50453" s="376"/>
    </row>
    <row r="50454" spans="1:100">
      <c r="A50454" s="374"/>
      <c r="C50454" s="374"/>
      <c r="CV50454" s="376"/>
    </row>
    <row r="50455" spans="1:100">
      <c r="A50455" s="374"/>
      <c r="C50455" s="374"/>
      <c r="CV50455" s="376"/>
    </row>
    <row r="50456" spans="1:100">
      <c r="A50456" s="374"/>
      <c r="C50456" s="374"/>
      <c r="CV50456" s="376"/>
    </row>
    <row r="50457" spans="1:100">
      <c r="A50457" s="374"/>
      <c r="C50457" s="374"/>
      <c r="CV50457" s="376"/>
    </row>
    <row r="50458" spans="1:100">
      <c r="A50458" s="374"/>
      <c r="C50458" s="374"/>
      <c r="CV50458" s="376"/>
    </row>
    <row r="50459" spans="1:100">
      <c r="A50459" s="374"/>
      <c r="C50459" s="374"/>
      <c r="CV50459" s="376"/>
    </row>
    <row r="50460" spans="1:100">
      <c r="A50460" s="374"/>
      <c r="C50460" s="374"/>
      <c r="CV50460" s="376"/>
    </row>
    <row r="50461" spans="1:100">
      <c r="A50461" s="374"/>
      <c r="C50461" s="374"/>
      <c r="CV50461" s="376"/>
    </row>
    <row r="50462" spans="1:100">
      <c r="A50462" s="374"/>
      <c r="C50462" s="374"/>
      <c r="CV50462" s="376"/>
    </row>
    <row r="50463" spans="1:100">
      <c r="A50463" s="374"/>
      <c r="C50463" s="374"/>
      <c r="CV50463" s="376"/>
    </row>
    <row r="50464" spans="1:100">
      <c r="A50464" s="374"/>
      <c r="C50464" s="374"/>
      <c r="CV50464" s="376"/>
    </row>
    <row r="50465" spans="1:100">
      <c r="A50465" s="374"/>
      <c r="C50465" s="374"/>
      <c r="CV50465" s="376"/>
    </row>
    <row r="50466" spans="1:100">
      <c r="A50466" s="374"/>
      <c r="C50466" s="374"/>
      <c r="CV50466" s="376"/>
    </row>
    <row r="50467" spans="1:100">
      <c r="A50467" s="374"/>
      <c r="C50467" s="374"/>
      <c r="CV50467" s="376"/>
    </row>
    <row r="50468" spans="1:100">
      <c r="A50468" s="374"/>
      <c r="C50468" s="374"/>
      <c r="CV50468" s="376"/>
    </row>
    <row r="50469" spans="1:100">
      <c r="A50469" s="374"/>
      <c r="C50469" s="374"/>
      <c r="CV50469" s="376"/>
    </row>
    <row r="50470" spans="1:100">
      <c r="A50470" s="374"/>
      <c r="C50470" s="374"/>
      <c r="CV50470" s="376"/>
    </row>
    <row r="50471" spans="1:100">
      <c r="A50471" s="374"/>
      <c r="C50471" s="374"/>
      <c r="CV50471" s="376"/>
    </row>
    <row r="50472" spans="1:100">
      <c r="A50472" s="374"/>
      <c r="C50472" s="374"/>
      <c r="CV50472" s="376"/>
    </row>
    <row r="50473" spans="1:100">
      <c r="A50473" s="374"/>
      <c r="C50473" s="374"/>
      <c r="CV50473" s="376"/>
    </row>
    <row r="50474" spans="1:100">
      <c r="A50474" s="374"/>
      <c r="C50474" s="374"/>
      <c r="CV50474" s="376"/>
    </row>
    <row r="50475" spans="1:100">
      <c r="A50475" s="374"/>
      <c r="C50475" s="374"/>
      <c r="CV50475" s="376"/>
    </row>
    <row r="50476" spans="1:100">
      <c r="A50476" s="374"/>
      <c r="C50476" s="374"/>
      <c r="CV50476" s="376"/>
    </row>
    <row r="50477" spans="1:100">
      <c r="A50477" s="374"/>
      <c r="C50477" s="374"/>
      <c r="CV50477" s="376"/>
    </row>
    <row r="50478" spans="1:100">
      <c r="A50478" s="374"/>
      <c r="C50478" s="374"/>
      <c r="CV50478" s="376"/>
    </row>
    <row r="50479" spans="1:100">
      <c r="A50479" s="374"/>
      <c r="C50479" s="374"/>
      <c r="CV50479" s="376"/>
    </row>
    <row r="50480" spans="1:100">
      <c r="A50480" s="374"/>
      <c r="C50480" s="374"/>
      <c r="CV50480" s="376"/>
    </row>
    <row r="50481" spans="1:100">
      <c r="A50481" s="374"/>
      <c r="C50481" s="374"/>
      <c r="CV50481" s="376"/>
    </row>
    <row r="50482" spans="1:100">
      <c r="A50482" s="374"/>
      <c r="C50482" s="374"/>
      <c r="CV50482" s="376"/>
    </row>
    <row r="50483" spans="1:100">
      <c r="A50483" s="374"/>
      <c r="C50483" s="374"/>
      <c r="CV50483" s="376"/>
    </row>
    <row r="50484" spans="1:100">
      <c r="A50484" s="374"/>
      <c r="C50484" s="374"/>
      <c r="CV50484" s="376"/>
    </row>
    <row r="50485" spans="1:100">
      <c r="A50485" s="374"/>
      <c r="C50485" s="374"/>
      <c r="CV50485" s="376"/>
    </row>
    <row r="50486" spans="1:100">
      <c r="A50486" s="374"/>
      <c r="C50486" s="374"/>
      <c r="CV50486" s="376"/>
    </row>
    <row r="50487" spans="1:100">
      <c r="A50487" s="374"/>
      <c r="C50487" s="374"/>
      <c r="CV50487" s="376"/>
    </row>
    <row r="50488" spans="1:100">
      <c r="A50488" s="374"/>
      <c r="C50488" s="374"/>
      <c r="CV50488" s="376"/>
    </row>
    <row r="50489" spans="1:100">
      <c r="A50489" s="374"/>
      <c r="C50489" s="374"/>
      <c r="CV50489" s="376"/>
    </row>
    <row r="50490" spans="1:100">
      <c r="A50490" s="374"/>
      <c r="C50490" s="374"/>
      <c r="CV50490" s="376"/>
    </row>
    <row r="50491" spans="1:100">
      <c r="A50491" s="374"/>
      <c r="C50491" s="374"/>
      <c r="CV50491" s="376"/>
    </row>
    <row r="50492" spans="1:100">
      <c r="A50492" s="374"/>
      <c r="C50492" s="374"/>
      <c r="CV50492" s="376"/>
    </row>
    <row r="50493" spans="1:100">
      <c r="A50493" s="374"/>
      <c r="C50493" s="374"/>
      <c r="CV50493" s="376"/>
    </row>
    <row r="50494" spans="1:100">
      <c r="A50494" s="374"/>
      <c r="C50494" s="374"/>
      <c r="CV50494" s="376"/>
    </row>
    <row r="50495" spans="1:100">
      <c r="A50495" s="374"/>
      <c r="C50495" s="374"/>
      <c r="CV50495" s="376"/>
    </row>
    <row r="50496" spans="1:100">
      <c r="A50496" s="374"/>
      <c r="C50496" s="374"/>
      <c r="CV50496" s="376"/>
    </row>
    <row r="50497" spans="1:100">
      <c r="A50497" s="374"/>
      <c r="C50497" s="374"/>
      <c r="CV50497" s="376"/>
    </row>
    <row r="50498" spans="1:100">
      <c r="A50498" s="374"/>
      <c r="C50498" s="374"/>
      <c r="CV50498" s="376"/>
    </row>
    <row r="50499" spans="1:100">
      <c r="A50499" s="374"/>
      <c r="C50499" s="374"/>
      <c r="CV50499" s="376"/>
    </row>
    <row r="50500" spans="1:100">
      <c r="A50500" s="374"/>
      <c r="C50500" s="374"/>
      <c r="CV50500" s="376"/>
    </row>
    <row r="50501" spans="1:100">
      <c r="A50501" s="374"/>
      <c r="C50501" s="374"/>
      <c r="CV50501" s="376"/>
    </row>
    <row r="50502" spans="1:100">
      <c r="A50502" s="374"/>
      <c r="C50502" s="374"/>
      <c r="CV50502" s="376"/>
    </row>
    <row r="50503" spans="1:100">
      <c r="A50503" s="374"/>
      <c r="C50503" s="374"/>
      <c r="CV50503" s="376"/>
    </row>
    <row r="50504" spans="1:100">
      <c r="A50504" s="374"/>
      <c r="C50504" s="374"/>
      <c r="CV50504" s="376"/>
    </row>
    <row r="50505" spans="1:100">
      <c r="A50505" s="374"/>
      <c r="C50505" s="374"/>
      <c r="CV50505" s="376"/>
    </row>
    <row r="50506" spans="1:100">
      <c r="A50506" s="374"/>
      <c r="C50506" s="374"/>
      <c r="CV50506" s="376"/>
    </row>
    <row r="50507" spans="1:100">
      <c r="A50507" s="374"/>
      <c r="C50507" s="374"/>
      <c r="CV50507" s="376"/>
    </row>
    <row r="50508" spans="1:100">
      <c r="A50508" s="374"/>
      <c r="C50508" s="374"/>
      <c r="CV50508" s="376"/>
    </row>
    <row r="50509" spans="1:100">
      <c r="A50509" s="374"/>
      <c r="C50509" s="374"/>
      <c r="CV50509" s="376"/>
    </row>
    <row r="50510" spans="1:100">
      <c r="A50510" s="374"/>
      <c r="C50510" s="374"/>
      <c r="CV50510" s="376"/>
    </row>
    <row r="50511" spans="1:100">
      <c r="A50511" s="374"/>
      <c r="C50511" s="374"/>
      <c r="CV50511" s="376"/>
    </row>
    <row r="50512" spans="1:100">
      <c r="A50512" s="374"/>
      <c r="C50512" s="374"/>
      <c r="CV50512" s="376"/>
    </row>
    <row r="50513" spans="1:100">
      <c r="A50513" s="374"/>
      <c r="C50513" s="374"/>
      <c r="CV50513" s="376"/>
    </row>
    <row r="50514" spans="1:100">
      <c r="A50514" s="374"/>
      <c r="C50514" s="374"/>
      <c r="CV50514" s="376"/>
    </row>
    <row r="50515" spans="1:100">
      <c r="A50515" s="374"/>
      <c r="C50515" s="374"/>
      <c r="CV50515" s="376"/>
    </row>
    <row r="50516" spans="1:100">
      <c r="A50516" s="374"/>
      <c r="C50516" s="374"/>
      <c r="CV50516" s="376"/>
    </row>
    <row r="50517" spans="1:100">
      <c r="A50517" s="374"/>
      <c r="C50517" s="374"/>
      <c r="CV50517" s="376"/>
    </row>
    <row r="50518" spans="1:100">
      <c r="A50518" s="374"/>
      <c r="C50518" s="374"/>
      <c r="CV50518" s="376"/>
    </row>
    <row r="50519" spans="1:100">
      <c r="A50519" s="374"/>
      <c r="C50519" s="374"/>
      <c r="CV50519" s="376"/>
    </row>
    <row r="50520" spans="1:100">
      <c r="A50520" s="374"/>
      <c r="C50520" s="374"/>
      <c r="CV50520" s="376"/>
    </row>
    <row r="50521" spans="1:100">
      <c r="A50521" s="374"/>
      <c r="C50521" s="374"/>
      <c r="CV50521" s="376"/>
    </row>
    <row r="50522" spans="1:100">
      <c r="A50522" s="374"/>
      <c r="C50522" s="374"/>
      <c r="CV50522" s="376"/>
    </row>
    <row r="50523" spans="1:100">
      <c r="A50523" s="374"/>
      <c r="C50523" s="374"/>
      <c r="CV50523" s="376"/>
    </row>
    <row r="50524" spans="1:100">
      <c r="A50524" s="374"/>
      <c r="C50524" s="374"/>
      <c r="CV50524" s="376"/>
    </row>
    <row r="50525" spans="1:100">
      <c r="A50525" s="374"/>
      <c r="C50525" s="374"/>
      <c r="CV50525" s="376"/>
    </row>
    <row r="50526" spans="1:100">
      <c r="A50526" s="374"/>
      <c r="C50526" s="374"/>
      <c r="CV50526" s="376"/>
    </row>
    <row r="50527" spans="1:100">
      <c r="A50527" s="374"/>
      <c r="C50527" s="374"/>
      <c r="CV50527" s="376"/>
    </row>
    <row r="50528" spans="1:100">
      <c r="A50528" s="374"/>
      <c r="C50528" s="374"/>
      <c r="CV50528" s="376"/>
    </row>
    <row r="50529" spans="1:100">
      <c r="A50529" s="374"/>
      <c r="C50529" s="374"/>
      <c r="CV50529" s="376"/>
    </row>
    <row r="50530" spans="1:100">
      <c r="A50530" s="374"/>
      <c r="C50530" s="374"/>
      <c r="CV50530" s="376"/>
    </row>
    <row r="50531" spans="1:100">
      <c r="A50531" s="374"/>
      <c r="C50531" s="374"/>
      <c r="CV50531" s="376"/>
    </row>
    <row r="50532" spans="1:100">
      <c r="A50532" s="374"/>
      <c r="C50532" s="374"/>
      <c r="CV50532" s="376"/>
    </row>
    <row r="50533" spans="1:100">
      <c r="A50533" s="374"/>
      <c r="C50533" s="374"/>
      <c r="CV50533" s="376"/>
    </row>
    <row r="50534" spans="1:100">
      <c r="A50534" s="374"/>
      <c r="C50534" s="374"/>
      <c r="CV50534" s="376"/>
    </row>
    <row r="50535" spans="1:100">
      <c r="A50535" s="374"/>
      <c r="C50535" s="374"/>
      <c r="CV50535" s="376"/>
    </row>
    <row r="50536" spans="1:100">
      <c r="A50536" s="374"/>
      <c r="C50536" s="374"/>
      <c r="CV50536" s="376"/>
    </row>
    <row r="50537" spans="1:100">
      <c r="A50537" s="374"/>
      <c r="C50537" s="374"/>
      <c r="CV50537" s="376"/>
    </row>
    <row r="50538" spans="1:100">
      <c r="A50538" s="374"/>
      <c r="C50538" s="374"/>
      <c r="CV50538" s="376"/>
    </row>
    <row r="50539" spans="1:100">
      <c r="A50539" s="374"/>
      <c r="C50539" s="374"/>
      <c r="CV50539" s="376"/>
    </row>
    <row r="50540" spans="1:100">
      <c r="A50540" s="374"/>
      <c r="C50540" s="374"/>
      <c r="CV50540" s="376"/>
    </row>
    <row r="50541" spans="1:100">
      <c r="A50541" s="374"/>
      <c r="C50541" s="374"/>
      <c r="CV50541" s="376"/>
    </row>
    <row r="50542" spans="1:100">
      <c r="A50542" s="374"/>
      <c r="C50542" s="374"/>
      <c r="CV50542" s="376"/>
    </row>
    <row r="50543" spans="1:100">
      <c r="A50543" s="374"/>
      <c r="C50543" s="374"/>
      <c r="CV50543" s="376"/>
    </row>
    <row r="50544" spans="1:100">
      <c r="A50544" s="374"/>
      <c r="C50544" s="374"/>
      <c r="CV50544" s="376"/>
    </row>
    <row r="50545" spans="1:100">
      <c r="A50545" s="374"/>
      <c r="C50545" s="374"/>
      <c r="CV50545" s="376"/>
    </row>
    <row r="50546" spans="1:100">
      <c r="A50546" s="374"/>
      <c r="C50546" s="374"/>
      <c r="CV50546" s="376"/>
    </row>
    <row r="50547" spans="1:100">
      <c r="A50547" s="374"/>
      <c r="C50547" s="374"/>
      <c r="CV50547" s="376"/>
    </row>
    <row r="50548" spans="1:100">
      <c r="A50548" s="374"/>
      <c r="C50548" s="374"/>
      <c r="CV50548" s="376"/>
    </row>
    <row r="50549" spans="1:100">
      <c r="A50549" s="374"/>
      <c r="C50549" s="374"/>
      <c r="CV50549" s="376"/>
    </row>
    <row r="50550" spans="1:100">
      <c r="A50550" s="374"/>
      <c r="C50550" s="374"/>
      <c r="CV50550" s="376"/>
    </row>
    <row r="50551" spans="1:100">
      <c r="A50551" s="374"/>
      <c r="C50551" s="374"/>
      <c r="CV50551" s="376"/>
    </row>
    <row r="50552" spans="1:100">
      <c r="A50552" s="374"/>
      <c r="C50552" s="374"/>
      <c r="CV50552" s="376"/>
    </row>
    <row r="50553" spans="1:100">
      <c r="A50553" s="374"/>
      <c r="C50553" s="374"/>
      <c r="CV50553" s="376"/>
    </row>
    <row r="50554" spans="1:100">
      <c r="A50554" s="374"/>
      <c r="C50554" s="374"/>
      <c r="CV50554" s="376"/>
    </row>
    <row r="50555" spans="1:100">
      <c r="A50555" s="374"/>
      <c r="C50555" s="374"/>
      <c r="CV50555" s="376"/>
    </row>
    <row r="50556" spans="1:100">
      <c r="A50556" s="374"/>
      <c r="C50556" s="374"/>
      <c r="CV50556" s="376"/>
    </row>
    <row r="50557" spans="1:100">
      <c r="A50557" s="374"/>
      <c r="C50557" s="374"/>
      <c r="CV50557" s="376"/>
    </row>
    <row r="50558" spans="1:100">
      <c r="A50558" s="374"/>
      <c r="C50558" s="374"/>
      <c r="CV50558" s="376"/>
    </row>
    <row r="50559" spans="1:100">
      <c r="A50559" s="374"/>
      <c r="C50559" s="374"/>
      <c r="CV50559" s="376"/>
    </row>
    <row r="50560" spans="1:100">
      <c r="A50560" s="374"/>
      <c r="C50560" s="374"/>
      <c r="CV50560" s="376"/>
    </row>
    <row r="50561" spans="1:100">
      <c r="A50561" s="374"/>
      <c r="C50561" s="374"/>
      <c r="CV50561" s="376"/>
    </row>
    <row r="50562" spans="1:100">
      <c r="A50562" s="374"/>
      <c r="C50562" s="374"/>
      <c r="CV50562" s="376"/>
    </row>
    <row r="50563" spans="1:100">
      <c r="A50563" s="374"/>
      <c r="C50563" s="374"/>
      <c r="CV50563" s="376"/>
    </row>
    <row r="50564" spans="1:100">
      <c r="A50564" s="374"/>
      <c r="C50564" s="374"/>
      <c r="CV50564" s="376"/>
    </row>
    <row r="50565" spans="1:100">
      <c r="A50565" s="374"/>
      <c r="C50565" s="374"/>
      <c r="CV50565" s="376"/>
    </row>
    <row r="50566" spans="1:100">
      <c r="A50566" s="374"/>
      <c r="C50566" s="374"/>
      <c r="CV50566" s="376"/>
    </row>
    <row r="50567" spans="1:100">
      <c r="A50567" s="374"/>
      <c r="C50567" s="374"/>
      <c r="CV50567" s="376"/>
    </row>
    <row r="50568" spans="1:100">
      <c r="A50568" s="374"/>
      <c r="C50568" s="374"/>
      <c r="CV50568" s="376"/>
    </row>
    <row r="50569" spans="1:100">
      <c r="A50569" s="374"/>
      <c r="C50569" s="374"/>
      <c r="CV50569" s="376"/>
    </row>
    <row r="50570" spans="1:100">
      <c r="A50570" s="374"/>
      <c r="C50570" s="374"/>
      <c r="CV50570" s="376"/>
    </row>
    <row r="50571" spans="1:100">
      <c r="A50571" s="374"/>
      <c r="C50571" s="374"/>
      <c r="CV50571" s="376"/>
    </row>
    <row r="50572" spans="1:100">
      <c r="A50572" s="374"/>
      <c r="C50572" s="374"/>
      <c r="CV50572" s="376"/>
    </row>
    <row r="50573" spans="1:100">
      <c r="A50573" s="374"/>
      <c r="C50573" s="374"/>
      <c r="CV50573" s="376"/>
    </row>
    <row r="50574" spans="1:100">
      <c r="A50574" s="374"/>
      <c r="C50574" s="374"/>
      <c r="CV50574" s="376"/>
    </row>
    <row r="50575" spans="1:100">
      <c r="A50575" s="374"/>
      <c r="C50575" s="374"/>
      <c r="CV50575" s="376"/>
    </row>
    <row r="50576" spans="1:100">
      <c r="A50576" s="374"/>
      <c r="C50576" s="374"/>
      <c r="CV50576" s="376"/>
    </row>
    <row r="50577" spans="1:100">
      <c r="A50577" s="374"/>
      <c r="C50577" s="374"/>
      <c r="CV50577" s="376"/>
    </row>
    <row r="50578" spans="1:100">
      <c r="A50578" s="374"/>
      <c r="C50578" s="374"/>
      <c r="CV50578" s="376"/>
    </row>
    <row r="50579" spans="1:100">
      <c r="A50579" s="374"/>
      <c r="C50579" s="374"/>
      <c r="CV50579" s="376"/>
    </row>
    <row r="50580" spans="1:100">
      <c r="A50580" s="374"/>
      <c r="C50580" s="374"/>
      <c r="CV50580" s="376"/>
    </row>
    <row r="50581" spans="1:100">
      <c r="A50581" s="374"/>
      <c r="C50581" s="374"/>
      <c r="CV50581" s="376"/>
    </row>
    <row r="50582" spans="1:100">
      <c r="A50582" s="374"/>
      <c r="C50582" s="374"/>
      <c r="CV50582" s="376"/>
    </row>
    <row r="50583" spans="1:100">
      <c r="A50583" s="374"/>
      <c r="C50583" s="374"/>
      <c r="CV50583" s="376"/>
    </row>
    <row r="50584" spans="1:100">
      <c r="A50584" s="374"/>
      <c r="C50584" s="374"/>
      <c r="CV50584" s="376"/>
    </row>
    <row r="50585" spans="1:100">
      <c r="A50585" s="374"/>
      <c r="C50585" s="374"/>
      <c r="CV50585" s="376"/>
    </row>
    <row r="50586" spans="1:100">
      <c r="A50586" s="374"/>
      <c r="C50586" s="374"/>
      <c r="CV50586" s="376"/>
    </row>
    <row r="50587" spans="1:100">
      <c r="A50587" s="374"/>
      <c r="C50587" s="374"/>
      <c r="CV50587" s="376"/>
    </row>
    <row r="50588" spans="1:100">
      <c r="A50588" s="374"/>
      <c r="C50588" s="374"/>
      <c r="CV50588" s="376"/>
    </row>
    <row r="50589" spans="1:100">
      <c r="A50589" s="374"/>
      <c r="C50589" s="374"/>
      <c r="CV50589" s="376"/>
    </row>
    <row r="50590" spans="1:100">
      <c r="A50590" s="374"/>
      <c r="C50590" s="374"/>
      <c r="CV50590" s="376"/>
    </row>
    <row r="50591" spans="1:100">
      <c r="A50591" s="374"/>
      <c r="C50591" s="374"/>
      <c r="CV50591" s="376"/>
    </row>
    <row r="50592" spans="1:100">
      <c r="A50592" s="374"/>
      <c r="C50592" s="374"/>
      <c r="CV50592" s="376"/>
    </row>
    <row r="50593" spans="1:100">
      <c r="A50593" s="374"/>
      <c r="C50593" s="374"/>
      <c r="CV50593" s="376"/>
    </row>
    <row r="50594" spans="1:100">
      <c r="A50594" s="374"/>
      <c r="C50594" s="374"/>
      <c r="CV50594" s="376"/>
    </row>
    <row r="50595" spans="1:100">
      <c r="A50595" s="374"/>
      <c r="C50595" s="374"/>
      <c r="CV50595" s="376"/>
    </row>
    <row r="50596" spans="1:100">
      <c r="A50596" s="374"/>
      <c r="C50596" s="374"/>
      <c r="CV50596" s="376"/>
    </row>
    <row r="50597" spans="1:100">
      <c r="A50597" s="374"/>
      <c r="C50597" s="374"/>
      <c r="CV50597" s="376"/>
    </row>
    <row r="50598" spans="1:100">
      <c r="A50598" s="374"/>
      <c r="C50598" s="374"/>
      <c r="CV50598" s="376"/>
    </row>
    <row r="50599" spans="1:100">
      <c r="A50599" s="374"/>
      <c r="C50599" s="374"/>
      <c r="CV50599" s="376"/>
    </row>
    <row r="50600" spans="1:100">
      <c r="A50600" s="374"/>
      <c r="C50600" s="374"/>
      <c r="CV50600" s="376"/>
    </row>
    <row r="50601" spans="1:100">
      <c r="A50601" s="374"/>
      <c r="C50601" s="374"/>
      <c r="CV50601" s="376"/>
    </row>
    <row r="50602" spans="1:100">
      <c r="A50602" s="374"/>
      <c r="C50602" s="374"/>
      <c r="CV50602" s="376"/>
    </row>
    <row r="50603" spans="1:100">
      <c r="A50603" s="374"/>
      <c r="C50603" s="374"/>
      <c r="CV50603" s="376"/>
    </row>
    <row r="50604" spans="1:100">
      <c r="A50604" s="374"/>
      <c r="C50604" s="374"/>
      <c r="CV50604" s="376"/>
    </row>
    <row r="50605" spans="1:100">
      <c r="A50605" s="374"/>
      <c r="C50605" s="374"/>
      <c r="CV50605" s="376"/>
    </row>
    <row r="50606" spans="1:100">
      <c r="A50606" s="374"/>
      <c r="C50606" s="374"/>
      <c r="CV50606" s="376"/>
    </row>
    <row r="50607" spans="1:100">
      <c r="A50607" s="374"/>
      <c r="C50607" s="374"/>
      <c r="CV50607" s="376"/>
    </row>
    <row r="50608" spans="1:100">
      <c r="A50608" s="374"/>
      <c r="C50608" s="374"/>
      <c r="CV50608" s="376"/>
    </row>
    <row r="50609" spans="1:100">
      <c r="A50609" s="374"/>
      <c r="C50609" s="374"/>
      <c r="CV50609" s="376"/>
    </row>
    <row r="50610" spans="1:100">
      <c r="A50610" s="374"/>
      <c r="C50610" s="374"/>
      <c r="CV50610" s="376"/>
    </row>
    <row r="50611" spans="1:100">
      <c r="A50611" s="374"/>
      <c r="C50611" s="374"/>
      <c r="CV50611" s="376"/>
    </row>
    <row r="50612" spans="1:100">
      <c r="A50612" s="374"/>
      <c r="C50612" s="374"/>
      <c r="CV50612" s="376"/>
    </row>
    <row r="50613" spans="1:100">
      <c r="A50613" s="374"/>
      <c r="C50613" s="374"/>
      <c r="CV50613" s="376"/>
    </row>
    <row r="50614" spans="1:100">
      <c r="A50614" s="374"/>
      <c r="C50614" s="374"/>
      <c r="CV50614" s="376"/>
    </row>
    <row r="50615" spans="1:100">
      <c r="A50615" s="374"/>
      <c r="C50615" s="374"/>
      <c r="CV50615" s="376"/>
    </row>
    <row r="50616" spans="1:100">
      <c r="A50616" s="374"/>
      <c r="C50616" s="374"/>
      <c r="CV50616" s="376"/>
    </row>
    <row r="50617" spans="1:100">
      <c r="A50617" s="374"/>
      <c r="C50617" s="374"/>
      <c r="CV50617" s="376"/>
    </row>
    <row r="50618" spans="1:100">
      <c r="A50618" s="374"/>
      <c r="C50618" s="374"/>
      <c r="CV50618" s="376"/>
    </row>
    <row r="50619" spans="1:100">
      <c r="A50619" s="374"/>
      <c r="C50619" s="374"/>
      <c r="CV50619" s="376"/>
    </row>
    <row r="50620" spans="1:100">
      <c r="A50620" s="374"/>
      <c r="C50620" s="374"/>
      <c r="CV50620" s="376"/>
    </row>
    <row r="50621" spans="1:100">
      <c r="A50621" s="374"/>
      <c r="C50621" s="374"/>
      <c r="CV50621" s="376"/>
    </row>
    <row r="50622" spans="1:100">
      <c r="A50622" s="374"/>
      <c r="C50622" s="374"/>
      <c r="CV50622" s="376"/>
    </row>
    <row r="50623" spans="1:100">
      <c r="A50623" s="374"/>
      <c r="C50623" s="374"/>
      <c r="CV50623" s="376"/>
    </row>
    <row r="50624" spans="1:100">
      <c r="A50624" s="374"/>
      <c r="C50624" s="374"/>
      <c r="CV50624" s="376"/>
    </row>
    <row r="50625" spans="1:100">
      <c r="A50625" s="374"/>
      <c r="C50625" s="374"/>
      <c r="CV50625" s="376"/>
    </row>
    <row r="50626" spans="1:100">
      <c r="A50626" s="374"/>
      <c r="C50626" s="374"/>
      <c r="CV50626" s="376"/>
    </row>
    <row r="50627" spans="1:100">
      <c r="A50627" s="374"/>
      <c r="C50627" s="374"/>
      <c r="CV50627" s="376"/>
    </row>
    <row r="50628" spans="1:100">
      <c r="A50628" s="374"/>
      <c r="C50628" s="374"/>
      <c r="CV50628" s="376"/>
    </row>
    <row r="50629" spans="1:100">
      <c r="A50629" s="374"/>
      <c r="C50629" s="374"/>
      <c r="CV50629" s="376"/>
    </row>
    <row r="50630" spans="1:100">
      <c r="A50630" s="374"/>
      <c r="C50630" s="374"/>
      <c r="CV50630" s="376"/>
    </row>
    <row r="50631" spans="1:100">
      <c r="A50631" s="374"/>
      <c r="C50631" s="374"/>
      <c r="CV50631" s="376"/>
    </row>
    <row r="50632" spans="1:100">
      <c r="A50632" s="374"/>
      <c r="C50632" s="374"/>
      <c r="CV50632" s="376"/>
    </row>
    <row r="50633" spans="1:100">
      <c r="A50633" s="374"/>
      <c r="C50633" s="374"/>
      <c r="CV50633" s="376"/>
    </row>
    <row r="50634" spans="1:100">
      <c r="A50634" s="374"/>
      <c r="C50634" s="374"/>
      <c r="CV50634" s="376"/>
    </row>
    <row r="50635" spans="1:100">
      <c r="A50635" s="374"/>
      <c r="C50635" s="374"/>
      <c r="CV50635" s="376"/>
    </row>
    <row r="50636" spans="1:100">
      <c r="A50636" s="374"/>
      <c r="C50636" s="374"/>
      <c r="CV50636" s="376"/>
    </row>
    <row r="50637" spans="1:100">
      <c r="A50637" s="374"/>
      <c r="C50637" s="374"/>
      <c r="CV50637" s="376"/>
    </row>
    <row r="50638" spans="1:100">
      <c r="A50638" s="374"/>
      <c r="C50638" s="374"/>
      <c r="CV50638" s="376"/>
    </row>
    <row r="50639" spans="1:100">
      <c r="A50639" s="374"/>
      <c r="C50639" s="374"/>
      <c r="CV50639" s="376"/>
    </row>
    <row r="50640" spans="1:100">
      <c r="A50640" s="374"/>
      <c r="C50640" s="374"/>
      <c r="CV50640" s="376"/>
    </row>
    <row r="50641" spans="1:100">
      <c r="A50641" s="374"/>
      <c r="C50641" s="374"/>
      <c r="CV50641" s="376"/>
    </row>
    <row r="50642" spans="1:100">
      <c r="A50642" s="374"/>
      <c r="C50642" s="374"/>
      <c r="CV50642" s="376"/>
    </row>
    <row r="50643" spans="1:100">
      <c r="A50643" s="374"/>
      <c r="C50643" s="374"/>
      <c r="CV50643" s="376"/>
    </row>
    <row r="50644" spans="1:100">
      <c r="A50644" s="374"/>
      <c r="C50644" s="374"/>
      <c r="CV50644" s="376"/>
    </row>
    <row r="50645" spans="1:100">
      <c r="A50645" s="374"/>
      <c r="C50645" s="374"/>
      <c r="CV50645" s="376"/>
    </row>
    <row r="50646" spans="1:100">
      <c r="A50646" s="374"/>
      <c r="C50646" s="374"/>
      <c r="CV50646" s="376"/>
    </row>
    <row r="50647" spans="1:100">
      <c r="A50647" s="374"/>
      <c r="C50647" s="374"/>
      <c r="CV50647" s="376"/>
    </row>
    <row r="50648" spans="1:100">
      <c r="A50648" s="374"/>
      <c r="C50648" s="374"/>
      <c r="CV50648" s="376"/>
    </row>
    <row r="50649" spans="1:100">
      <c r="A50649" s="374"/>
      <c r="C50649" s="374"/>
      <c r="CV50649" s="376"/>
    </row>
    <row r="50650" spans="1:100">
      <c r="A50650" s="374"/>
      <c r="C50650" s="374"/>
      <c r="CV50650" s="376"/>
    </row>
    <row r="50651" spans="1:100">
      <c r="A50651" s="374"/>
      <c r="C50651" s="374"/>
      <c r="CV50651" s="376"/>
    </row>
    <row r="50652" spans="1:100">
      <c r="A50652" s="374"/>
      <c r="C50652" s="374"/>
      <c r="CV50652" s="376"/>
    </row>
    <row r="50653" spans="1:100">
      <c r="A50653" s="374"/>
      <c r="C50653" s="374"/>
      <c r="CV50653" s="376"/>
    </row>
    <row r="50654" spans="1:100">
      <c r="A50654" s="374"/>
      <c r="C50654" s="374"/>
      <c r="CV50654" s="376"/>
    </row>
    <row r="50655" spans="1:100">
      <c r="A50655" s="374"/>
      <c r="C50655" s="374"/>
      <c r="CV50655" s="376"/>
    </row>
    <row r="50656" spans="1:100">
      <c r="A50656" s="374"/>
      <c r="C50656" s="374"/>
      <c r="CV50656" s="376"/>
    </row>
    <row r="50657" spans="1:100">
      <c r="A50657" s="374"/>
      <c r="C50657" s="374"/>
      <c r="CV50657" s="376"/>
    </row>
    <row r="50658" spans="1:100">
      <c r="A50658" s="374"/>
      <c r="C50658" s="374"/>
      <c r="CV50658" s="376"/>
    </row>
    <row r="50659" spans="1:100">
      <c r="A50659" s="374"/>
      <c r="C50659" s="374"/>
      <c r="CV50659" s="376"/>
    </row>
    <row r="50660" spans="1:100">
      <c r="A50660" s="374"/>
      <c r="C50660" s="374"/>
      <c r="CV50660" s="376"/>
    </row>
    <row r="50661" spans="1:100">
      <c r="A50661" s="374"/>
      <c r="C50661" s="374"/>
      <c r="CV50661" s="376"/>
    </row>
    <row r="50662" spans="1:100">
      <c r="A50662" s="374"/>
      <c r="C50662" s="374"/>
      <c r="CV50662" s="376"/>
    </row>
    <row r="50663" spans="1:100">
      <c r="A50663" s="374"/>
      <c r="C50663" s="374"/>
      <c r="CV50663" s="376"/>
    </row>
    <row r="50664" spans="1:100">
      <c r="A50664" s="374"/>
      <c r="C50664" s="374"/>
      <c r="CV50664" s="376"/>
    </row>
    <row r="50665" spans="1:100">
      <c r="A50665" s="374"/>
      <c r="C50665" s="374"/>
      <c r="CV50665" s="376"/>
    </row>
    <row r="50666" spans="1:100">
      <c r="A50666" s="374"/>
      <c r="C50666" s="374"/>
      <c r="CV50666" s="376"/>
    </row>
    <row r="50667" spans="1:100">
      <c r="A50667" s="374"/>
      <c r="C50667" s="374"/>
      <c r="CV50667" s="376"/>
    </row>
    <row r="50668" spans="1:100">
      <c r="A50668" s="374"/>
      <c r="C50668" s="374"/>
      <c r="CV50668" s="376"/>
    </row>
    <row r="50669" spans="1:100">
      <c r="A50669" s="374"/>
      <c r="C50669" s="374"/>
      <c r="CV50669" s="376"/>
    </row>
    <row r="50670" spans="1:100">
      <c r="A50670" s="374"/>
      <c r="C50670" s="374"/>
      <c r="CV50670" s="376"/>
    </row>
    <row r="50671" spans="1:100">
      <c r="A50671" s="374"/>
      <c r="C50671" s="374"/>
      <c r="CV50671" s="376"/>
    </row>
    <row r="50672" spans="1:100">
      <c r="A50672" s="374"/>
      <c r="C50672" s="374"/>
      <c r="CV50672" s="376"/>
    </row>
    <row r="50673" spans="1:100">
      <c r="A50673" s="374"/>
      <c r="C50673" s="374"/>
      <c r="CV50673" s="376"/>
    </row>
    <row r="50674" spans="1:100">
      <c r="A50674" s="374"/>
      <c r="C50674" s="374"/>
      <c r="CV50674" s="376"/>
    </row>
    <row r="50675" spans="1:100">
      <c r="A50675" s="374"/>
      <c r="C50675" s="374"/>
      <c r="CV50675" s="376"/>
    </row>
    <row r="50676" spans="1:100">
      <c r="A50676" s="374"/>
      <c r="C50676" s="374"/>
      <c r="CV50676" s="376"/>
    </row>
    <row r="50677" spans="1:100">
      <c r="A50677" s="374"/>
      <c r="C50677" s="374"/>
      <c r="CV50677" s="376"/>
    </row>
    <row r="50678" spans="1:100">
      <c r="A50678" s="374"/>
      <c r="C50678" s="374"/>
      <c r="CV50678" s="376"/>
    </row>
    <row r="50679" spans="1:100">
      <c r="A50679" s="374"/>
      <c r="C50679" s="374"/>
      <c r="CV50679" s="376"/>
    </row>
    <row r="50680" spans="1:100">
      <c r="A50680" s="374"/>
      <c r="C50680" s="374"/>
      <c r="CV50680" s="376"/>
    </row>
    <row r="50681" spans="1:100">
      <c r="A50681" s="374"/>
      <c r="C50681" s="374"/>
      <c r="CV50681" s="376"/>
    </row>
    <row r="50682" spans="1:100">
      <c r="A50682" s="374"/>
      <c r="C50682" s="374"/>
      <c r="CV50682" s="376"/>
    </row>
    <row r="50683" spans="1:100">
      <c r="A50683" s="374"/>
      <c r="C50683" s="374"/>
      <c r="CV50683" s="376"/>
    </row>
    <row r="50684" spans="1:100">
      <c r="A50684" s="374"/>
      <c r="C50684" s="374"/>
      <c r="CV50684" s="376"/>
    </row>
    <row r="50685" spans="1:100">
      <c r="A50685" s="374"/>
      <c r="C50685" s="374"/>
      <c r="CV50685" s="376"/>
    </row>
    <row r="50686" spans="1:100">
      <c r="A50686" s="374"/>
      <c r="C50686" s="374"/>
      <c r="CV50686" s="376"/>
    </row>
    <row r="50687" spans="1:100">
      <c r="A50687" s="374"/>
      <c r="C50687" s="374"/>
      <c r="CV50687" s="376"/>
    </row>
    <row r="50688" spans="1:100">
      <c r="A50688" s="374"/>
      <c r="C50688" s="374"/>
      <c r="CV50688" s="376"/>
    </row>
    <row r="50689" spans="1:100">
      <c r="A50689" s="374"/>
      <c r="C50689" s="374"/>
      <c r="CV50689" s="376"/>
    </row>
    <row r="50690" spans="1:100">
      <c r="A50690" s="374"/>
      <c r="C50690" s="374"/>
      <c r="CV50690" s="376"/>
    </row>
    <row r="50691" spans="1:100">
      <c r="A50691" s="374"/>
      <c r="C50691" s="374"/>
      <c r="CV50691" s="376"/>
    </row>
    <row r="50692" spans="1:100">
      <c r="A50692" s="374"/>
      <c r="C50692" s="374"/>
      <c r="CV50692" s="376"/>
    </row>
    <row r="50693" spans="1:100">
      <c r="A50693" s="374"/>
      <c r="C50693" s="374"/>
      <c r="CV50693" s="376"/>
    </row>
    <row r="50694" spans="1:100">
      <c r="A50694" s="374"/>
      <c r="C50694" s="374"/>
      <c r="CV50694" s="376"/>
    </row>
    <row r="50695" spans="1:100">
      <c r="A50695" s="374"/>
      <c r="C50695" s="374"/>
      <c r="CV50695" s="376"/>
    </row>
    <row r="50696" spans="1:100">
      <c r="A50696" s="374"/>
      <c r="C50696" s="374"/>
      <c r="CV50696" s="376"/>
    </row>
    <row r="50697" spans="1:100">
      <c r="A50697" s="374"/>
      <c r="C50697" s="374"/>
      <c r="CV50697" s="376"/>
    </row>
    <row r="50698" spans="1:100">
      <c r="A50698" s="374"/>
      <c r="C50698" s="374"/>
      <c r="CV50698" s="376"/>
    </row>
    <row r="50699" spans="1:100">
      <c r="A50699" s="374"/>
      <c r="C50699" s="374"/>
      <c r="CV50699" s="376"/>
    </row>
    <row r="50700" spans="1:100">
      <c r="A50700" s="374"/>
      <c r="C50700" s="374"/>
      <c r="CV50700" s="376"/>
    </row>
    <row r="50701" spans="1:100">
      <c r="A50701" s="374"/>
      <c r="C50701" s="374"/>
      <c r="CV50701" s="376"/>
    </row>
    <row r="50702" spans="1:100">
      <c r="A50702" s="374"/>
      <c r="C50702" s="374"/>
      <c r="CV50702" s="376"/>
    </row>
    <row r="50703" spans="1:100">
      <c r="A50703" s="374"/>
      <c r="C50703" s="374"/>
      <c r="CV50703" s="376"/>
    </row>
    <row r="50704" spans="1:100">
      <c r="A50704" s="374"/>
      <c r="C50704" s="374"/>
      <c r="CV50704" s="376"/>
    </row>
    <row r="50705" spans="1:100">
      <c r="A50705" s="374"/>
      <c r="C50705" s="374"/>
      <c r="CV50705" s="376"/>
    </row>
    <row r="50706" spans="1:100">
      <c r="A50706" s="374"/>
      <c r="C50706" s="374"/>
      <c r="CV50706" s="376"/>
    </row>
    <row r="50707" spans="1:100">
      <c r="A50707" s="374"/>
      <c r="C50707" s="374"/>
      <c r="CV50707" s="376"/>
    </row>
    <row r="50708" spans="1:100">
      <c r="A50708" s="374"/>
      <c r="C50708" s="374"/>
      <c r="CV50708" s="376"/>
    </row>
    <row r="50709" spans="1:100">
      <c r="A50709" s="374"/>
      <c r="C50709" s="374"/>
      <c r="CV50709" s="376"/>
    </row>
    <row r="50710" spans="1:100">
      <c r="A50710" s="374"/>
      <c r="C50710" s="374"/>
      <c r="CV50710" s="376"/>
    </row>
    <row r="50711" spans="1:100">
      <c r="A50711" s="374"/>
      <c r="C50711" s="374"/>
      <c r="CV50711" s="376"/>
    </row>
    <row r="50712" spans="1:100">
      <c r="A50712" s="374"/>
      <c r="C50712" s="374"/>
      <c r="CV50712" s="376"/>
    </row>
    <row r="50713" spans="1:100">
      <c r="A50713" s="374"/>
      <c r="C50713" s="374"/>
      <c r="CV50713" s="376"/>
    </row>
    <row r="50714" spans="1:100">
      <c r="A50714" s="374"/>
      <c r="C50714" s="374"/>
      <c r="CV50714" s="376"/>
    </row>
    <row r="50715" spans="1:100">
      <c r="A50715" s="374"/>
      <c r="C50715" s="374"/>
      <c r="CV50715" s="376"/>
    </row>
    <row r="50716" spans="1:100">
      <c r="A50716" s="374"/>
      <c r="C50716" s="374"/>
      <c r="CV50716" s="376"/>
    </row>
    <row r="50717" spans="1:100">
      <c r="A50717" s="374"/>
      <c r="C50717" s="374"/>
      <c r="CV50717" s="376"/>
    </row>
    <row r="50718" spans="1:100">
      <c r="A50718" s="374"/>
      <c r="C50718" s="374"/>
      <c r="CV50718" s="376"/>
    </row>
    <row r="50719" spans="1:100">
      <c r="A50719" s="374"/>
      <c r="C50719" s="374"/>
      <c r="CV50719" s="376"/>
    </row>
    <row r="50720" spans="1:100">
      <c r="A50720" s="374"/>
      <c r="C50720" s="374"/>
      <c r="CV50720" s="376"/>
    </row>
    <row r="50721" spans="1:100">
      <c r="A50721" s="374"/>
      <c r="C50721" s="374"/>
      <c r="CV50721" s="376"/>
    </row>
    <row r="50722" spans="1:100">
      <c r="A50722" s="374"/>
      <c r="C50722" s="374"/>
      <c r="CV50722" s="376"/>
    </row>
    <row r="50723" spans="1:100">
      <c r="A50723" s="374"/>
      <c r="C50723" s="374"/>
      <c r="CV50723" s="376"/>
    </row>
    <row r="50724" spans="1:100">
      <c r="A50724" s="374"/>
      <c r="C50724" s="374"/>
      <c r="CV50724" s="376"/>
    </row>
    <row r="50725" spans="1:100">
      <c r="A50725" s="374"/>
      <c r="C50725" s="374"/>
      <c r="CV50725" s="376"/>
    </row>
    <row r="50726" spans="1:100">
      <c r="A50726" s="374"/>
      <c r="C50726" s="374"/>
      <c r="CV50726" s="376"/>
    </row>
    <row r="50727" spans="1:100">
      <c r="A50727" s="374"/>
      <c r="C50727" s="374"/>
      <c r="CV50727" s="376"/>
    </row>
    <row r="50728" spans="1:100">
      <c r="A50728" s="374"/>
      <c r="C50728" s="374"/>
      <c r="CV50728" s="376"/>
    </row>
    <row r="50729" spans="1:100">
      <c r="A50729" s="374"/>
      <c r="C50729" s="374"/>
      <c r="CV50729" s="376"/>
    </row>
    <row r="50730" spans="1:100">
      <c r="A50730" s="374"/>
      <c r="C50730" s="374"/>
      <c r="CV50730" s="376"/>
    </row>
    <row r="50731" spans="1:100">
      <c r="A50731" s="374"/>
      <c r="C50731" s="374"/>
      <c r="CV50731" s="376"/>
    </row>
    <row r="50732" spans="1:100">
      <c r="A50732" s="374"/>
      <c r="C50732" s="374"/>
      <c r="CV50732" s="376"/>
    </row>
    <row r="50733" spans="1:100">
      <c r="A50733" s="374"/>
      <c r="C50733" s="374"/>
      <c r="CV50733" s="376"/>
    </row>
    <row r="50734" spans="1:100">
      <c r="A50734" s="374"/>
      <c r="C50734" s="374"/>
      <c r="CV50734" s="376"/>
    </row>
    <row r="50735" spans="1:100">
      <c r="A50735" s="374"/>
      <c r="C50735" s="374"/>
      <c r="CV50735" s="376"/>
    </row>
    <row r="50736" spans="1:100">
      <c r="A50736" s="374"/>
      <c r="C50736" s="374"/>
      <c r="CV50736" s="376"/>
    </row>
    <row r="50737" spans="1:100">
      <c r="A50737" s="374"/>
      <c r="C50737" s="374"/>
      <c r="CV50737" s="376"/>
    </row>
    <row r="50738" spans="1:100">
      <c r="A50738" s="374"/>
      <c r="C50738" s="374"/>
      <c r="CV50738" s="376"/>
    </row>
    <row r="50739" spans="1:100">
      <c r="A50739" s="374"/>
      <c r="C50739" s="374"/>
      <c r="CV50739" s="376"/>
    </row>
    <row r="50740" spans="1:100">
      <c r="A50740" s="374"/>
      <c r="C50740" s="374"/>
      <c r="CV50740" s="376"/>
    </row>
    <row r="50741" spans="1:100">
      <c r="A50741" s="374"/>
      <c r="C50741" s="374"/>
      <c r="CV50741" s="376"/>
    </row>
    <row r="50742" spans="1:100">
      <c r="A50742" s="374"/>
      <c r="C50742" s="374"/>
      <c r="CV50742" s="376"/>
    </row>
    <row r="50743" spans="1:100">
      <c r="A50743" s="374"/>
      <c r="C50743" s="374"/>
      <c r="CV50743" s="376"/>
    </row>
    <row r="50744" spans="1:100">
      <c r="A50744" s="374"/>
      <c r="C50744" s="374"/>
      <c r="CV50744" s="376"/>
    </row>
    <row r="50745" spans="1:100">
      <c r="A50745" s="374"/>
      <c r="C50745" s="374"/>
      <c r="CV50745" s="376"/>
    </row>
    <row r="50746" spans="1:100">
      <c r="A50746" s="374"/>
      <c r="C50746" s="374"/>
      <c r="CV50746" s="376"/>
    </row>
    <row r="50747" spans="1:100">
      <c r="A50747" s="374"/>
      <c r="C50747" s="374"/>
      <c r="CV50747" s="376"/>
    </row>
    <row r="50748" spans="1:100">
      <c r="A50748" s="374"/>
      <c r="C50748" s="374"/>
      <c r="CV50748" s="376"/>
    </row>
    <row r="50749" spans="1:100">
      <c r="A50749" s="374"/>
      <c r="C50749" s="374"/>
      <c r="CV50749" s="376"/>
    </row>
    <row r="50750" spans="1:100">
      <c r="A50750" s="374"/>
      <c r="C50750" s="374"/>
      <c r="CV50750" s="376"/>
    </row>
    <row r="50751" spans="1:100">
      <c r="A50751" s="374"/>
      <c r="C50751" s="374"/>
      <c r="CV50751" s="376"/>
    </row>
    <row r="50752" spans="1:100">
      <c r="A50752" s="374"/>
      <c r="C50752" s="374"/>
      <c r="CV50752" s="376"/>
    </row>
    <row r="50753" spans="1:100">
      <c r="A50753" s="374"/>
      <c r="C50753" s="374"/>
      <c r="CV50753" s="376"/>
    </row>
    <row r="50754" spans="1:100">
      <c r="A50754" s="374"/>
      <c r="C50754" s="374"/>
      <c r="CV50754" s="376"/>
    </row>
    <row r="50755" spans="1:100">
      <c r="A50755" s="374"/>
      <c r="C50755" s="374"/>
      <c r="CV50755" s="376"/>
    </row>
    <row r="50756" spans="1:100">
      <c r="A50756" s="374"/>
      <c r="C50756" s="374"/>
      <c r="CV50756" s="376"/>
    </row>
    <row r="50757" spans="1:100">
      <c r="A50757" s="374"/>
      <c r="C50757" s="374"/>
      <c r="CV50757" s="376"/>
    </row>
    <row r="50758" spans="1:100">
      <c r="A50758" s="374"/>
      <c r="C50758" s="374"/>
      <c r="CV50758" s="376"/>
    </row>
    <row r="50759" spans="1:100">
      <c r="A50759" s="374"/>
      <c r="C50759" s="374"/>
      <c r="CV50759" s="376"/>
    </row>
    <row r="50760" spans="1:100">
      <c r="A50760" s="374"/>
      <c r="C50760" s="374"/>
      <c r="CV50760" s="376"/>
    </row>
    <row r="50761" spans="1:100">
      <c r="A50761" s="374"/>
      <c r="C50761" s="374"/>
      <c r="CV50761" s="376"/>
    </row>
    <row r="50762" spans="1:100">
      <c r="A50762" s="374"/>
      <c r="C50762" s="374"/>
      <c r="CV50762" s="376"/>
    </row>
    <row r="50763" spans="1:100">
      <c r="A50763" s="374"/>
      <c r="C50763" s="374"/>
      <c r="CV50763" s="376"/>
    </row>
    <row r="50764" spans="1:100">
      <c r="A50764" s="374"/>
      <c r="C50764" s="374"/>
      <c r="CV50764" s="376"/>
    </row>
    <row r="50765" spans="1:100">
      <c r="A50765" s="374"/>
      <c r="C50765" s="374"/>
      <c r="CV50765" s="376"/>
    </row>
    <row r="50766" spans="1:100">
      <c r="A50766" s="374"/>
      <c r="C50766" s="374"/>
      <c r="CV50766" s="376"/>
    </row>
    <row r="50767" spans="1:100">
      <c r="A50767" s="374"/>
      <c r="C50767" s="374"/>
      <c r="CV50767" s="376"/>
    </row>
    <row r="50768" spans="1:100">
      <c r="A50768" s="374"/>
      <c r="C50768" s="374"/>
      <c r="CV50768" s="376"/>
    </row>
    <row r="50769" spans="1:100">
      <c r="A50769" s="374"/>
      <c r="C50769" s="374"/>
      <c r="CV50769" s="376"/>
    </row>
    <row r="50770" spans="1:100">
      <c r="A50770" s="374"/>
      <c r="C50770" s="374"/>
      <c r="CV50770" s="376"/>
    </row>
    <row r="50771" spans="1:100">
      <c r="A50771" s="374"/>
      <c r="C50771" s="374"/>
      <c r="CV50771" s="376"/>
    </row>
    <row r="50772" spans="1:100">
      <c r="A50772" s="374"/>
      <c r="C50772" s="374"/>
      <c r="CV50772" s="376"/>
    </row>
    <row r="50773" spans="1:100">
      <c r="A50773" s="374"/>
      <c r="C50773" s="374"/>
      <c r="CV50773" s="376"/>
    </row>
    <row r="50774" spans="1:100">
      <c r="A50774" s="374"/>
      <c r="C50774" s="374"/>
      <c r="CV50774" s="376"/>
    </row>
    <row r="50775" spans="1:100">
      <c r="A50775" s="374"/>
      <c r="C50775" s="374"/>
      <c r="CV50775" s="376"/>
    </row>
    <row r="50776" spans="1:100">
      <c r="A50776" s="374"/>
      <c r="C50776" s="374"/>
      <c r="CV50776" s="376"/>
    </row>
    <row r="50777" spans="1:100">
      <c r="A50777" s="374"/>
      <c r="C50777" s="374"/>
      <c r="CV50777" s="376"/>
    </row>
    <row r="50778" spans="1:100">
      <c r="A50778" s="374"/>
      <c r="C50778" s="374"/>
      <c r="CV50778" s="376"/>
    </row>
    <row r="50779" spans="1:100">
      <c r="A50779" s="374"/>
      <c r="C50779" s="374"/>
      <c r="CV50779" s="376"/>
    </row>
    <row r="50780" spans="1:100">
      <c r="A50780" s="374"/>
      <c r="C50780" s="374"/>
      <c r="CV50780" s="376"/>
    </row>
    <row r="50781" spans="1:100">
      <c r="A50781" s="374"/>
      <c r="C50781" s="374"/>
      <c r="CV50781" s="376"/>
    </row>
    <row r="50782" spans="1:100">
      <c r="A50782" s="374"/>
      <c r="C50782" s="374"/>
      <c r="CV50782" s="376"/>
    </row>
    <row r="50783" spans="1:100">
      <c r="A50783" s="374"/>
      <c r="C50783" s="374"/>
      <c r="CV50783" s="376"/>
    </row>
    <row r="50784" spans="1:100">
      <c r="A50784" s="374"/>
      <c r="C50784" s="374"/>
      <c r="CV50784" s="376"/>
    </row>
    <row r="50785" spans="1:100">
      <c r="A50785" s="374"/>
      <c r="C50785" s="374"/>
      <c r="CV50785" s="376"/>
    </row>
    <row r="50786" spans="1:100">
      <c r="A50786" s="374"/>
      <c r="C50786" s="374"/>
      <c r="CV50786" s="376"/>
    </row>
    <row r="50787" spans="1:100">
      <c r="A50787" s="374"/>
      <c r="C50787" s="374"/>
      <c r="CV50787" s="376"/>
    </row>
    <row r="50788" spans="1:100">
      <c r="A50788" s="374"/>
      <c r="C50788" s="374"/>
      <c r="CV50788" s="376"/>
    </row>
    <row r="50789" spans="1:100">
      <c r="A50789" s="374"/>
      <c r="C50789" s="374"/>
      <c r="CV50789" s="376"/>
    </row>
    <row r="50790" spans="1:100">
      <c r="A50790" s="374"/>
      <c r="C50790" s="374"/>
      <c r="CV50790" s="376"/>
    </row>
    <row r="50791" spans="1:100">
      <c r="A50791" s="374"/>
      <c r="C50791" s="374"/>
      <c r="CV50791" s="376"/>
    </row>
    <row r="50792" spans="1:100">
      <c r="A50792" s="374"/>
      <c r="C50792" s="374"/>
      <c r="CV50792" s="376"/>
    </row>
    <row r="50793" spans="1:100">
      <c r="A50793" s="374"/>
      <c r="C50793" s="374"/>
      <c r="CV50793" s="376"/>
    </row>
    <row r="50794" spans="1:100">
      <c r="A50794" s="374"/>
      <c r="C50794" s="374"/>
      <c r="CV50794" s="376"/>
    </row>
    <row r="50795" spans="1:100">
      <c r="A50795" s="374"/>
      <c r="C50795" s="374"/>
      <c r="CV50795" s="376"/>
    </row>
    <row r="50796" spans="1:100">
      <c r="A50796" s="374"/>
      <c r="C50796" s="374"/>
      <c r="CV50796" s="376"/>
    </row>
    <row r="50797" spans="1:100">
      <c r="A50797" s="374"/>
      <c r="C50797" s="374"/>
      <c r="CV50797" s="376"/>
    </row>
    <row r="50798" spans="1:100">
      <c r="A50798" s="374"/>
      <c r="C50798" s="374"/>
      <c r="CV50798" s="376"/>
    </row>
    <row r="50799" spans="1:100">
      <c r="A50799" s="374"/>
      <c r="C50799" s="374"/>
      <c r="CV50799" s="376"/>
    </row>
    <row r="50800" spans="1:100">
      <c r="A50800" s="374"/>
      <c r="C50800" s="374"/>
      <c r="CV50800" s="376"/>
    </row>
    <row r="50801" spans="1:100">
      <c r="A50801" s="374"/>
      <c r="C50801" s="374"/>
      <c r="CV50801" s="376"/>
    </row>
    <row r="50802" spans="1:100">
      <c r="A50802" s="374"/>
      <c r="C50802" s="374"/>
      <c r="CV50802" s="376"/>
    </row>
    <row r="50803" spans="1:100">
      <c r="A50803" s="374"/>
      <c r="C50803" s="374"/>
      <c r="CV50803" s="376"/>
    </row>
    <row r="50804" spans="1:100">
      <c r="A50804" s="374"/>
      <c r="C50804" s="374"/>
      <c r="CV50804" s="376"/>
    </row>
    <row r="50805" spans="1:100">
      <c r="A50805" s="374"/>
      <c r="C50805" s="374"/>
      <c r="CV50805" s="376"/>
    </row>
    <row r="50806" spans="1:100">
      <c r="A50806" s="374"/>
      <c r="C50806" s="374"/>
      <c r="CV50806" s="376"/>
    </row>
    <row r="50807" spans="1:100">
      <c r="A50807" s="374"/>
      <c r="C50807" s="374"/>
      <c r="CV50807" s="376"/>
    </row>
    <row r="50808" spans="1:100">
      <c r="A50808" s="374"/>
      <c r="C50808" s="374"/>
      <c r="CV50808" s="376"/>
    </row>
    <row r="50809" spans="1:100">
      <c r="A50809" s="374"/>
      <c r="C50809" s="374"/>
      <c r="CV50809" s="376"/>
    </row>
    <row r="50810" spans="1:100">
      <c r="A50810" s="374"/>
      <c r="C50810" s="374"/>
      <c r="CV50810" s="376"/>
    </row>
    <row r="50811" spans="1:100">
      <c r="A50811" s="374"/>
      <c r="C50811" s="374"/>
      <c r="CV50811" s="376"/>
    </row>
    <row r="50812" spans="1:100">
      <c r="A50812" s="374"/>
      <c r="C50812" s="374"/>
      <c r="CV50812" s="376"/>
    </row>
    <row r="50813" spans="1:100">
      <c r="A50813" s="374"/>
      <c r="C50813" s="374"/>
      <c r="CV50813" s="376"/>
    </row>
    <row r="50814" spans="1:100">
      <c r="A50814" s="374"/>
      <c r="C50814" s="374"/>
      <c r="CV50814" s="376"/>
    </row>
    <row r="50815" spans="1:100">
      <c r="A50815" s="374"/>
      <c r="C50815" s="374"/>
      <c r="CV50815" s="376"/>
    </row>
    <row r="50816" spans="1:100">
      <c r="A50816" s="374"/>
      <c r="C50816" s="374"/>
      <c r="CV50816" s="376"/>
    </row>
    <row r="50817" spans="1:100">
      <c r="A50817" s="374"/>
      <c r="C50817" s="374"/>
      <c r="CV50817" s="376"/>
    </row>
    <row r="50818" spans="1:100">
      <c r="A50818" s="374"/>
      <c r="C50818" s="374"/>
      <c r="CV50818" s="376"/>
    </row>
    <row r="50819" spans="1:100">
      <c r="A50819" s="374"/>
      <c r="C50819" s="374"/>
      <c r="CV50819" s="376"/>
    </row>
    <row r="50820" spans="1:100">
      <c r="A50820" s="374"/>
      <c r="C50820" s="374"/>
      <c r="CV50820" s="376"/>
    </row>
    <row r="50821" spans="1:100">
      <c r="A50821" s="374"/>
      <c r="C50821" s="374"/>
      <c r="CV50821" s="376"/>
    </row>
    <row r="50822" spans="1:100">
      <c r="A50822" s="374"/>
      <c r="C50822" s="374"/>
      <c r="CV50822" s="376"/>
    </row>
    <row r="50823" spans="1:100">
      <c r="A50823" s="374"/>
      <c r="C50823" s="374"/>
      <c r="CV50823" s="376"/>
    </row>
    <row r="50824" spans="1:100">
      <c r="A50824" s="374"/>
      <c r="C50824" s="374"/>
      <c r="CV50824" s="376"/>
    </row>
    <row r="50825" spans="1:100">
      <c r="A50825" s="374"/>
      <c r="C50825" s="374"/>
      <c r="CV50825" s="376"/>
    </row>
    <row r="50826" spans="1:100">
      <c r="A50826" s="374"/>
      <c r="C50826" s="374"/>
      <c r="CV50826" s="376"/>
    </row>
    <row r="50827" spans="1:100">
      <c r="A50827" s="374"/>
      <c r="C50827" s="374"/>
      <c r="CV50827" s="376"/>
    </row>
    <row r="50828" spans="1:100">
      <c r="A50828" s="374"/>
      <c r="C50828" s="374"/>
      <c r="CV50828" s="376"/>
    </row>
    <row r="50829" spans="1:100">
      <c r="A50829" s="374"/>
      <c r="C50829" s="374"/>
      <c r="CV50829" s="376"/>
    </row>
    <row r="50830" spans="1:100">
      <c r="A50830" s="374"/>
      <c r="C50830" s="374"/>
      <c r="CV50830" s="376"/>
    </row>
    <row r="50831" spans="1:100">
      <c r="A50831" s="374"/>
      <c r="C50831" s="374"/>
      <c r="CV50831" s="376"/>
    </row>
    <row r="50832" spans="1:100">
      <c r="A50832" s="374"/>
      <c r="C50832" s="374"/>
      <c r="CV50832" s="376"/>
    </row>
    <row r="50833" spans="1:100">
      <c r="A50833" s="374"/>
      <c r="C50833" s="374"/>
      <c r="CV50833" s="376"/>
    </row>
    <row r="50834" spans="1:100">
      <c r="A50834" s="374"/>
      <c r="C50834" s="374"/>
      <c r="CV50834" s="376"/>
    </row>
    <row r="50835" spans="1:100">
      <c r="A50835" s="374"/>
      <c r="C50835" s="374"/>
      <c r="CV50835" s="376"/>
    </row>
    <row r="50836" spans="1:100">
      <c r="A50836" s="374"/>
      <c r="C50836" s="374"/>
      <c r="CV50836" s="376"/>
    </row>
    <row r="50837" spans="1:100">
      <c r="A50837" s="374"/>
      <c r="C50837" s="374"/>
      <c r="CV50837" s="376"/>
    </row>
    <row r="50838" spans="1:100">
      <c r="A50838" s="374"/>
      <c r="C50838" s="374"/>
      <c r="CV50838" s="376"/>
    </row>
    <row r="50839" spans="1:100">
      <c r="A50839" s="374"/>
      <c r="C50839" s="374"/>
      <c r="CV50839" s="376"/>
    </row>
    <row r="50840" spans="1:100">
      <c r="A50840" s="374"/>
      <c r="C50840" s="374"/>
      <c r="CV50840" s="376"/>
    </row>
    <row r="50841" spans="1:100">
      <c r="A50841" s="374"/>
      <c r="C50841" s="374"/>
      <c r="CV50841" s="376"/>
    </row>
    <row r="50842" spans="1:100">
      <c r="A50842" s="374"/>
      <c r="C50842" s="374"/>
      <c r="CV50842" s="376"/>
    </row>
    <row r="50843" spans="1:100">
      <c r="A50843" s="374"/>
      <c r="C50843" s="374"/>
      <c r="CV50843" s="376"/>
    </row>
    <row r="50844" spans="1:100">
      <c r="A50844" s="374"/>
      <c r="C50844" s="374"/>
      <c r="CV50844" s="376"/>
    </row>
    <row r="50845" spans="1:100">
      <c r="A50845" s="374"/>
      <c r="C50845" s="374"/>
      <c r="CV50845" s="376"/>
    </row>
    <row r="50846" spans="1:100">
      <c r="A50846" s="374"/>
      <c r="C50846" s="374"/>
      <c r="CV50846" s="376"/>
    </row>
    <row r="50847" spans="1:100">
      <c r="A50847" s="374"/>
      <c r="C50847" s="374"/>
      <c r="CV50847" s="376"/>
    </row>
    <row r="50848" spans="1:100">
      <c r="A50848" s="374"/>
      <c r="C50848" s="374"/>
      <c r="CV50848" s="376"/>
    </row>
    <row r="50849" spans="1:100">
      <c r="A50849" s="374"/>
      <c r="C50849" s="374"/>
      <c r="CV50849" s="376"/>
    </row>
    <row r="50850" spans="1:100">
      <c r="A50850" s="374"/>
      <c r="C50850" s="374"/>
      <c r="CV50850" s="376"/>
    </row>
    <row r="50851" spans="1:100">
      <c r="A50851" s="374"/>
      <c r="C50851" s="374"/>
      <c r="CV50851" s="376"/>
    </row>
    <row r="50852" spans="1:100">
      <c r="A50852" s="374"/>
      <c r="C50852" s="374"/>
      <c r="CV50852" s="376"/>
    </row>
    <row r="50853" spans="1:100">
      <c r="A50853" s="374"/>
      <c r="C50853" s="374"/>
      <c r="CV50853" s="376"/>
    </row>
    <row r="50854" spans="1:100">
      <c r="A50854" s="374"/>
      <c r="C50854" s="374"/>
      <c r="CV50854" s="376"/>
    </row>
    <row r="50855" spans="1:100">
      <c r="A50855" s="374"/>
      <c r="C50855" s="374"/>
      <c r="CV50855" s="376"/>
    </row>
    <row r="50856" spans="1:100">
      <c r="A50856" s="374"/>
      <c r="C50856" s="374"/>
      <c r="CV50856" s="376"/>
    </row>
    <row r="50857" spans="1:100">
      <c r="A50857" s="374"/>
      <c r="C50857" s="374"/>
      <c r="CV50857" s="376"/>
    </row>
    <row r="50858" spans="1:100">
      <c r="A50858" s="374"/>
      <c r="C50858" s="374"/>
      <c r="CV50858" s="376"/>
    </row>
    <row r="50859" spans="1:100">
      <c r="A50859" s="374"/>
      <c r="C50859" s="374"/>
      <c r="CV50859" s="376"/>
    </row>
    <row r="50860" spans="1:100">
      <c r="A50860" s="374"/>
      <c r="C50860" s="374"/>
      <c r="CV50860" s="376"/>
    </row>
    <row r="50861" spans="1:100">
      <c r="A50861" s="374"/>
      <c r="C50861" s="374"/>
      <c r="CV50861" s="376"/>
    </row>
    <row r="50862" spans="1:100">
      <c r="A50862" s="374"/>
      <c r="C50862" s="374"/>
      <c r="CV50862" s="376"/>
    </row>
    <row r="50863" spans="1:100">
      <c r="A50863" s="374"/>
      <c r="C50863" s="374"/>
      <c r="CV50863" s="376"/>
    </row>
    <row r="50864" spans="1:100">
      <c r="A50864" s="374"/>
      <c r="C50864" s="374"/>
      <c r="CV50864" s="376"/>
    </row>
    <row r="50865" spans="1:100">
      <c r="A50865" s="374"/>
      <c r="C50865" s="374"/>
      <c r="CV50865" s="376"/>
    </row>
    <row r="50866" spans="1:100">
      <c r="A50866" s="374"/>
      <c r="C50866" s="374"/>
      <c r="CV50866" s="376"/>
    </row>
    <row r="50867" spans="1:100">
      <c r="A50867" s="374"/>
      <c r="C50867" s="374"/>
      <c r="CV50867" s="376"/>
    </row>
    <row r="50868" spans="1:100">
      <c r="A50868" s="374"/>
      <c r="C50868" s="374"/>
      <c r="CV50868" s="376"/>
    </row>
    <row r="50869" spans="1:100">
      <c r="A50869" s="374"/>
      <c r="C50869" s="374"/>
      <c r="CV50869" s="376"/>
    </row>
    <row r="50870" spans="1:100">
      <c r="A50870" s="374"/>
      <c r="C50870" s="374"/>
      <c r="CV50870" s="376"/>
    </row>
    <row r="50871" spans="1:100">
      <c r="A50871" s="374"/>
      <c r="C50871" s="374"/>
      <c r="CV50871" s="376"/>
    </row>
    <row r="50872" spans="1:100">
      <c r="A50872" s="374"/>
      <c r="C50872" s="374"/>
      <c r="CV50872" s="376"/>
    </row>
    <row r="50873" spans="1:100">
      <c r="A50873" s="374"/>
      <c r="C50873" s="374"/>
      <c r="CV50873" s="376"/>
    </row>
    <row r="50874" spans="1:100">
      <c r="A50874" s="374"/>
      <c r="C50874" s="374"/>
      <c r="CV50874" s="376"/>
    </row>
    <row r="50875" spans="1:100">
      <c r="A50875" s="374"/>
      <c r="C50875" s="374"/>
      <c r="CV50875" s="376"/>
    </row>
    <row r="50876" spans="1:100">
      <c r="A50876" s="374"/>
      <c r="C50876" s="374"/>
      <c r="CV50876" s="376"/>
    </row>
    <row r="50877" spans="1:100">
      <c r="A50877" s="374"/>
      <c r="C50877" s="374"/>
      <c r="CV50877" s="376"/>
    </row>
    <row r="50878" spans="1:100">
      <c r="A50878" s="374"/>
      <c r="C50878" s="374"/>
      <c r="CV50878" s="376"/>
    </row>
    <row r="50879" spans="1:100">
      <c r="A50879" s="374"/>
      <c r="C50879" s="374"/>
      <c r="CV50879" s="376"/>
    </row>
    <row r="50880" spans="1:100">
      <c r="A50880" s="374"/>
      <c r="C50880" s="374"/>
      <c r="CV50880" s="376"/>
    </row>
    <row r="50881" spans="1:100">
      <c r="A50881" s="374"/>
      <c r="C50881" s="374"/>
      <c r="CV50881" s="376"/>
    </row>
    <row r="50882" spans="1:100">
      <c r="A50882" s="374"/>
      <c r="C50882" s="374"/>
      <c r="CV50882" s="376"/>
    </row>
    <row r="50883" spans="1:100">
      <c r="A50883" s="374"/>
      <c r="C50883" s="374"/>
      <c r="CV50883" s="376"/>
    </row>
    <row r="50884" spans="1:100">
      <c r="A50884" s="374"/>
      <c r="C50884" s="374"/>
      <c r="CV50884" s="376"/>
    </row>
    <row r="50885" spans="1:100">
      <c r="A50885" s="374"/>
      <c r="C50885" s="374"/>
      <c r="CV50885" s="376"/>
    </row>
    <row r="50886" spans="1:100">
      <c r="A50886" s="374"/>
      <c r="C50886" s="374"/>
      <c r="CV50886" s="376"/>
    </row>
    <row r="50887" spans="1:100">
      <c r="A50887" s="374"/>
      <c r="C50887" s="374"/>
      <c r="CV50887" s="376"/>
    </row>
    <row r="50888" spans="1:100">
      <c r="A50888" s="374"/>
      <c r="C50888" s="374"/>
      <c r="CV50888" s="376"/>
    </row>
    <row r="50889" spans="1:100">
      <c r="A50889" s="374"/>
      <c r="C50889" s="374"/>
      <c r="CV50889" s="376"/>
    </row>
    <row r="50890" spans="1:100">
      <c r="A50890" s="374"/>
      <c r="C50890" s="374"/>
      <c r="CV50890" s="376"/>
    </row>
    <row r="50891" spans="1:100">
      <c r="A50891" s="374"/>
      <c r="C50891" s="374"/>
      <c r="CV50891" s="376"/>
    </row>
    <row r="50892" spans="1:100">
      <c r="A50892" s="374"/>
      <c r="C50892" s="374"/>
      <c r="CV50892" s="376"/>
    </row>
    <row r="50893" spans="1:100">
      <c r="A50893" s="374"/>
      <c r="C50893" s="374"/>
      <c r="CV50893" s="376"/>
    </row>
    <row r="50894" spans="1:100">
      <c r="A50894" s="374"/>
      <c r="C50894" s="374"/>
      <c r="CV50894" s="376"/>
    </row>
    <row r="50895" spans="1:100">
      <c r="A50895" s="374"/>
      <c r="C50895" s="374"/>
      <c r="CV50895" s="376"/>
    </row>
    <row r="50896" spans="1:100">
      <c r="A50896" s="374"/>
      <c r="C50896" s="374"/>
      <c r="CV50896" s="376"/>
    </row>
    <row r="50897" spans="1:100">
      <c r="A50897" s="374"/>
      <c r="C50897" s="374"/>
      <c r="CV50897" s="376"/>
    </row>
    <row r="50898" spans="1:100">
      <c r="A50898" s="374"/>
      <c r="C50898" s="374"/>
      <c r="CV50898" s="376"/>
    </row>
    <row r="50899" spans="1:100">
      <c r="A50899" s="374"/>
      <c r="C50899" s="374"/>
      <c r="CV50899" s="376"/>
    </row>
    <row r="50900" spans="1:100">
      <c r="A50900" s="374"/>
      <c r="C50900" s="374"/>
      <c r="CV50900" s="376"/>
    </row>
    <row r="50901" spans="1:100">
      <c r="A50901" s="374"/>
      <c r="C50901" s="374"/>
      <c r="CV50901" s="376"/>
    </row>
    <row r="50902" spans="1:100">
      <c r="A50902" s="374"/>
      <c r="C50902" s="374"/>
      <c r="CV50902" s="376"/>
    </row>
    <row r="50903" spans="1:100">
      <c r="A50903" s="374"/>
      <c r="C50903" s="374"/>
      <c r="CV50903" s="376"/>
    </row>
    <row r="50904" spans="1:100">
      <c r="A50904" s="374"/>
      <c r="C50904" s="374"/>
      <c r="CV50904" s="376"/>
    </row>
    <row r="50905" spans="1:100">
      <c r="A50905" s="374"/>
      <c r="C50905" s="374"/>
      <c r="CV50905" s="376"/>
    </row>
    <row r="50906" spans="1:100">
      <c r="A50906" s="374"/>
      <c r="C50906" s="374"/>
      <c r="CV50906" s="376"/>
    </row>
    <row r="50907" spans="1:100">
      <c r="A50907" s="374"/>
      <c r="C50907" s="374"/>
      <c r="CV50907" s="376"/>
    </row>
    <row r="50908" spans="1:100">
      <c r="A50908" s="374"/>
      <c r="C50908" s="374"/>
      <c r="CV50908" s="376"/>
    </row>
    <row r="50909" spans="1:100">
      <c r="A50909" s="374"/>
      <c r="C50909" s="374"/>
      <c r="CV50909" s="376"/>
    </row>
    <row r="50910" spans="1:100">
      <c r="A50910" s="374"/>
      <c r="C50910" s="374"/>
      <c r="CV50910" s="376"/>
    </row>
    <row r="50911" spans="1:100">
      <c r="A50911" s="374"/>
      <c r="C50911" s="374"/>
      <c r="CV50911" s="376"/>
    </row>
    <row r="50912" spans="1:100">
      <c r="A50912" s="374"/>
      <c r="C50912" s="374"/>
      <c r="CV50912" s="376"/>
    </row>
    <row r="50913" spans="1:100">
      <c r="A50913" s="374"/>
      <c r="C50913" s="374"/>
      <c r="CV50913" s="376"/>
    </row>
    <row r="50914" spans="1:100">
      <c r="A50914" s="374"/>
      <c r="C50914" s="374"/>
      <c r="CV50914" s="376"/>
    </row>
    <row r="50915" spans="1:100">
      <c r="A50915" s="374"/>
      <c r="C50915" s="374"/>
      <c r="CV50915" s="376"/>
    </row>
    <row r="50916" spans="1:100">
      <c r="A50916" s="374"/>
      <c r="C50916" s="374"/>
      <c r="CV50916" s="376"/>
    </row>
    <row r="50917" spans="1:100">
      <c r="A50917" s="374"/>
      <c r="C50917" s="374"/>
      <c r="CV50917" s="376"/>
    </row>
    <row r="50918" spans="1:100">
      <c r="A50918" s="374"/>
      <c r="C50918" s="374"/>
      <c r="CV50918" s="376"/>
    </row>
    <row r="50919" spans="1:100">
      <c r="A50919" s="374"/>
      <c r="C50919" s="374"/>
      <c r="CV50919" s="376"/>
    </row>
    <row r="50920" spans="1:100">
      <c r="A50920" s="374"/>
      <c r="C50920" s="374"/>
      <c r="CV50920" s="376"/>
    </row>
    <row r="50921" spans="1:100">
      <c r="A50921" s="374"/>
      <c r="C50921" s="374"/>
      <c r="CV50921" s="376"/>
    </row>
    <row r="50922" spans="1:100">
      <c r="A50922" s="374"/>
      <c r="C50922" s="374"/>
      <c r="CV50922" s="376"/>
    </row>
    <row r="50923" spans="1:100">
      <c r="A50923" s="374"/>
      <c r="C50923" s="374"/>
      <c r="CV50923" s="376"/>
    </row>
    <row r="50924" spans="1:100">
      <c r="A50924" s="374"/>
      <c r="C50924" s="374"/>
      <c r="CV50924" s="376"/>
    </row>
    <row r="50925" spans="1:100">
      <c r="A50925" s="374"/>
      <c r="C50925" s="374"/>
      <c r="CV50925" s="376"/>
    </row>
    <row r="50926" spans="1:100">
      <c r="A50926" s="374"/>
      <c r="C50926" s="374"/>
      <c r="CV50926" s="376"/>
    </row>
    <row r="50927" spans="1:100">
      <c r="A50927" s="374"/>
      <c r="C50927" s="374"/>
      <c r="CV50927" s="376"/>
    </row>
    <row r="50928" spans="1:100">
      <c r="A50928" s="374"/>
      <c r="C50928" s="374"/>
      <c r="CV50928" s="376"/>
    </row>
    <row r="50929" spans="1:100">
      <c r="A50929" s="374"/>
      <c r="C50929" s="374"/>
      <c r="CV50929" s="376"/>
    </row>
    <row r="50930" spans="1:100">
      <c r="A50930" s="374"/>
      <c r="C50930" s="374"/>
      <c r="CV50930" s="376"/>
    </row>
    <row r="50931" spans="1:100">
      <c r="A50931" s="374"/>
      <c r="C50931" s="374"/>
      <c r="CV50931" s="376"/>
    </row>
    <row r="50932" spans="1:100">
      <c r="A50932" s="374"/>
      <c r="C50932" s="374"/>
      <c r="CV50932" s="376"/>
    </row>
    <row r="50933" spans="1:100">
      <c r="A50933" s="374"/>
      <c r="C50933" s="374"/>
      <c r="CV50933" s="376"/>
    </row>
    <row r="50934" spans="1:100">
      <c r="A50934" s="374"/>
      <c r="C50934" s="374"/>
      <c r="CV50934" s="376"/>
    </row>
    <row r="50935" spans="1:100">
      <c r="A50935" s="374"/>
      <c r="C50935" s="374"/>
      <c r="CV50935" s="376"/>
    </row>
    <row r="50936" spans="1:100">
      <c r="A50936" s="374"/>
      <c r="C50936" s="374"/>
      <c r="CV50936" s="376"/>
    </row>
    <row r="50937" spans="1:100">
      <c r="A50937" s="374"/>
      <c r="C50937" s="374"/>
      <c r="CV50937" s="376"/>
    </row>
    <row r="50938" spans="1:100">
      <c r="A50938" s="374"/>
      <c r="C50938" s="374"/>
      <c r="CV50938" s="376"/>
    </row>
    <row r="50939" spans="1:100">
      <c r="A50939" s="374"/>
      <c r="C50939" s="374"/>
      <c r="CV50939" s="376"/>
    </row>
    <row r="50940" spans="1:100">
      <c r="A50940" s="374"/>
      <c r="C50940" s="374"/>
      <c r="CV50940" s="376"/>
    </row>
    <row r="50941" spans="1:100">
      <c r="A50941" s="374"/>
      <c r="C50941" s="374"/>
      <c r="CV50941" s="376"/>
    </row>
    <row r="50942" spans="1:100">
      <c r="A50942" s="374"/>
      <c r="C50942" s="374"/>
      <c r="CV50942" s="376"/>
    </row>
    <row r="50943" spans="1:100">
      <c r="A50943" s="374"/>
      <c r="C50943" s="374"/>
      <c r="CV50943" s="376"/>
    </row>
    <row r="50944" spans="1:100">
      <c r="A50944" s="374"/>
      <c r="C50944" s="374"/>
      <c r="CV50944" s="376"/>
    </row>
    <row r="50945" spans="1:100">
      <c r="A50945" s="374"/>
      <c r="C50945" s="374"/>
      <c r="CV50945" s="376"/>
    </row>
    <row r="50946" spans="1:100">
      <c r="A50946" s="374"/>
      <c r="C50946" s="374"/>
      <c r="CV50946" s="376"/>
    </row>
    <row r="50947" spans="1:100">
      <c r="A50947" s="374"/>
      <c r="C50947" s="374"/>
      <c r="CV50947" s="376"/>
    </row>
    <row r="50948" spans="1:100">
      <c r="A50948" s="374"/>
      <c r="C50948" s="374"/>
      <c r="CV50948" s="376"/>
    </row>
    <row r="50949" spans="1:100">
      <c r="A50949" s="374"/>
      <c r="C50949" s="374"/>
      <c r="CV50949" s="376"/>
    </row>
    <row r="50950" spans="1:100">
      <c r="A50950" s="374"/>
      <c r="C50950" s="374"/>
      <c r="CV50950" s="376"/>
    </row>
    <row r="50951" spans="1:100">
      <c r="A50951" s="374"/>
      <c r="C50951" s="374"/>
      <c r="CV50951" s="376"/>
    </row>
    <row r="50952" spans="1:100">
      <c r="A50952" s="374"/>
      <c r="C50952" s="374"/>
      <c r="CV50952" s="376"/>
    </row>
    <row r="50953" spans="1:100">
      <c r="A50953" s="374"/>
      <c r="C50953" s="374"/>
      <c r="CV50953" s="376"/>
    </row>
    <row r="50954" spans="1:100">
      <c r="A50954" s="374"/>
      <c r="C50954" s="374"/>
      <c r="CV50954" s="376"/>
    </row>
    <row r="50955" spans="1:100">
      <c r="A50955" s="374"/>
      <c r="C50955" s="374"/>
      <c r="CV50955" s="376"/>
    </row>
    <row r="50956" spans="1:100">
      <c r="A50956" s="374"/>
      <c r="C50956" s="374"/>
      <c r="CV50956" s="376"/>
    </row>
    <row r="50957" spans="1:100">
      <c r="A50957" s="374"/>
      <c r="C50957" s="374"/>
      <c r="CV50957" s="376"/>
    </row>
    <row r="50958" spans="1:100">
      <c r="A50958" s="374"/>
      <c r="C50958" s="374"/>
      <c r="CV50958" s="376"/>
    </row>
    <row r="50959" spans="1:100">
      <c r="A50959" s="374"/>
      <c r="C50959" s="374"/>
      <c r="CV50959" s="376"/>
    </row>
    <row r="50960" spans="1:100">
      <c r="A50960" s="374"/>
      <c r="C50960" s="374"/>
      <c r="CV50960" s="376"/>
    </row>
    <row r="50961" spans="1:100">
      <c r="A50961" s="374"/>
      <c r="C50961" s="374"/>
      <c r="CV50961" s="376"/>
    </row>
    <row r="50962" spans="1:100">
      <c r="A50962" s="374"/>
      <c r="C50962" s="374"/>
      <c r="CV50962" s="376"/>
    </row>
    <row r="50963" spans="1:100">
      <c r="A50963" s="374"/>
      <c r="C50963" s="374"/>
      <c r="CV50963" s="376"/>
    </row>
    <row r="50964" spans="1:100">
      <c r="A50964" s="374"/>
      <c r="C50964" s="374"/>
      <c r="CV50964" s="376"/>
    </row>
    <row r="50965" spans="1:100">
      <c r="A50965" s="374"/>
      <c r="C50965" s="374"/>
      <c r="CV50965" s="376"/>
    </row>
    <row r="50966" spans="1:100">
      <c r="A50966" s="374"/>
      <c r="C50966" s="374"/>
      <c r="CV50966" s="376"/>
    </row>
    <row r="50967" spans="1:100">
      <c r="A50967" s="374"/>
      <c r="C50967" s="374"/>
      <c r="CV50967" s="376"/>
    </row>
    <row r="50968" spans="1:100">
      <c r="A50968" s="374"/>
      <c r="C50968" s="374"/>
      <c r="CV50968" s="376"/>
    </row>
    <row r="50969" spans="1:100">
      <c r="A50969" s="374"/>
      <c r="C50969" s="374"/>
      <c r="CV50969" s="376"/>
    </row>
    <row r="50970" spans="1:100">
      <c r="A50970" s="374"/>
      <c r="C50970" s="374"/>
      <c r="CV50970" s="376"/>
    </row>
    <row r="50971" spans="1:100">
      <c r="A50971" s="374"/>
      <c r="C50971" s="374"/>
      <c r="CV50971" s="376"/>
    </row>
    <row r="50972" spans="1:100">
      <c r="A50972" s="374"/>
      <c r="C50972" s="374"/>
      <c r="CV50972" s="376"/>
    </row>
    <row r="50973" spans="1:100">
      <c r="A50973" s="374"/>
      <c r="C50973" s="374"/>
      <c r="CV50973" s="376"/>
    </row>
    <row r="50974" spans="1:100">
      <c r="A50974" s="374"/>
      <c r="C50974" s="374"/>
      <c r="CV50974" s="376"/>
    </row>
    <row r="50975" spans="1:100">
      <c r="A50975" s="374"/>
      <c r="C50975" s="374"/>
      <c r="CV50975" s="376"/>
    </row>
    <row r="50976" spans="1:100">
      <c r="A50976" s="374"/>
      <c r="C50976" s="374"/>
      <c r="CV50976" s="376"/>
    </row>
    <row r="50977" spans="1:100">
      <c r="A50977" s="374"/>
      <c r="C50977" s="374"/>
      <c r="CV50977" s="376"/>
    </row>
    <row r="50978" spans="1:100">
      <c r="A50978" s="374"/>
      <c r="C50978" s="374"/>
      <c r="CV50978" s="376"/>
    </row>
    <row r="50979" spans="1:100">
      <c r="A50979" s="374"/>
      <c r="C50979" s="374"/>
      <c r="CV50979" s="376"/>
    </row>
    <row r="50980" spans="1:100">
      <c r="A50980" s="374"/>
      <c r="C50980" s="374"/>
      <c r="CV50980" s="376"/>
    </row>
    <row r="50981" spans="1:100">
      <c r="A50981" s="374"/>
      <c r="C50981" s="374"/>
      <c r="CV50981" s="376"/>
    </row>
    <row r="50982" spans="1:100">
      <c r="A50982" s="374"/>
      <c r="C50982" s="374"/>
      <c r="CV50982" s="376"/>
    </row>
    <row r="50983" spans="1:100">
      <c r="A50983" s="374"/>
      <c r="C50983" s="374"/>
      <c r="CV50983" s="376"/>
    </row>
    <row r="50984" spans="1:100">
      <c r="A50984" s="374"/>
      <c r="C50984" s="374"/>
      <c r="CV50984" s="376"/>
    </row>
    <row r="50985" spans="1:100">
      <c r="A50985" s="374"/>
      <c r="C50985" s="374"/>
      <c r="CV50985" s="376"/>
    </row>
    <row r="50986" spans="1:100">
      <c r="A50986" s="374"/>
      <c r="C50986" s="374"/>
      <c r="CV50986" s="376"/>
    </row>
    <row r="50987" spans="1:100">
      <c r="A50987" s="374"/>
      <c r="C50987" s="374"/>
      <c r="CV50987" s="376"/>
    </row>
    <row r="50988" spans="1:100">
      <c r="A50988" s="374"/>
      <c r="C50988" s="374"/>
      <c r="CV50988" s="376"/>
    </row>
    <row r="50989" spans="1:100">
      <c r="A50989" s="374"/>
      <c r="C50989" s="374"/>
      <c r="CV50989" s="376"/>
    </row>
    <row r="50990" spans="1:100">
      <c r="A50990" s="374"/>
      <c r="C50990" s="374"/>
      <c r="CV50990" s="376"/>
    </row>
    <row r="50991" spans="1:100">
      <c r="A50991" s="374"/>
      <c r="C50991" s="374"/>
      <c r="CV50991" s="376"/>
    </row>
    <row r="50992" spans="1:100">
      <c r="A50992" s="374"/>
      <c r="C50992" s="374"/>
      <c r="CV50992" s="376"/>
    </row>
    <row r="50993" spans="1:100">
      <c r="A50993" s="374"/>
      <c r="C50993" s="374"/>
      <c r="CV50993" s="376"/>
    </row>
    <row r="50994" spans="1:100">
      <c r="A50994" s="374"/>
      <c r="C50994" s="374"/>
      <c r="CV50994" s="376"/>
    </row>
    <row r="50995" spans="1:100">
      <c r="A50995" s="374"/>
      <c r="C50995" s="374"/>
      <c r="CV50995" s="376"/>
    </row>
    <row r="50996" spans="1:100">
      <c r="A50996" s="374"/>
      <c r="C50996" s="374"/>
      <c r="CV50996" s="376"/>
    </row>
    <row r="50997" spans="1:100">
      <c r="A50997" s="374"/>
      <c r="C50997" s="374"/>
      <c r="CV50997" s="376"/>
    </row>
    <row r="50998" spans="1:100">
      <c r="A50998" s="374"/>
      <c r="C50998" s="374"/>
      <c r="CV50998" s="376"/>
    </row>
    <row r="50999" spans="1:100">
      <c r="A50999" s="374"/>
      <c r="C50999" s="374"/>
      <c r="CV50999" s="376"/>
    </row>
    <row r="51000" spans="1:100">
      <c r="A51000" s="374"/>
      <c r="C51000" s="374"/>
      <c r="CV51000" s="376"/>
    </row>
    <row r="51001" spans="1:100">
      <c r="A51001" s="374"/>
      <c r="C51001" s="374"/>
      <c r="CV51001" s="376"/>
    </row>
    <row r="51002" spans="1:100">
      <c r="A51002" s="374"/>
      <c r="C51002" s="374"/>
      <c r="CV51002" s="376"/>
    </row>
    <row r="51003" spans="1:100">
      <c r="A51003" s="374"/>
      <c r="C51003" s="374"/>
      <c r="CV51003" s="376"/>
    </row>
    <row r="51004" spans="1:100">
      <c r="A51004" s="374"/>
      <c r="C51004" s="374"/>
      <c r="CV51004" s="376"/>
    </row>
    <row r="51005" spans="1:100">
      <c r="A51005" s="374"/>
      <c r="C51005" s="374"/>
      <c r="CV51005" s="376"/>
    </row>
    <row r="51006" spans="1:100">
      <c r="A51006" s="374"/>
      <c r="C51006" s="374"/>
      <c r="CV51006" s="376"/>
    </row>
    <row r="51007" spans="1:100">
      <c r="A51007" s="374"/>
      <c r="C51007" s="374"/>
      <c r="CV51007" s="376"/>
    </row>
    <row r="51008" spans="1:100">
      <c r="A51008" s="374"/>
      <c r="C51008" s="374"/>
      <c r="CV51008" s="376"/>
    </row>
    <row r="51009" spans="1:100">
      <c r="A51009" s="374"/>
      <c r="C51009" s="374"/>
      <c r="CV51009" s="376"/>
    </row>
    <row r="51010" spans="1:100">
      <c r="A51010" s="374"/>
      <c r="C51010" s="374"/>
      <c r="CV51010" s="376"/>
    </row>
    <row r="51011" spans="1:100">
      <c r="A51011" s="374"/>
      <c r="C51011" s="374"/>
      <c r="CV51011" s="376"/>
    </row>
    <row r="51012" spans="1:100">
      <c r="A51012" s="374"/>
      <c r="C51012" s="374"/>
      <c r="CV51012" s="376"/>
    </row>
    <row r="51013" spans="1:100">
      <c r="A51013" s="374"/>
      <c r="C51013" s="374"/>
      <c r="CV51013" s="376"/>
    </row>
    <row r="51014" spans="1:100">
      <c r="A51014" s="374"/>
      <c r="C51014" s="374"/>
      <c r="CV51014" s="376"/>
    </row>
    <row r="51015" spans="1:100">
      <c r="A51015" s="374"/>
      <c r="C51015" s="374"/>
      <c r="CV51015" s="376"/>
    </row>
    <row r="51016" spans="1:100">
      <c r="A51016" s="374"/>
      <c r="C51016" s="374"/>
      <c r="CV51016" s="376"/>
    </row>
    <row r="51017" spans="1:100">
      <c r="A51017" s="374"/>
      <c r="C51017" s="374"/>
      <c r="CV51017" s="376"/>
    </row>
    <row r="51018" spans="1:100">
      <c r="A51018" s="374"/>
      <c r="C51018" s="374"/>
      <c r="CV51018" s="376"/>
    </row>
    <row r="51019" spans="1:100">
      <c r="A51019" s="374"/>
      <c r="C51019" s="374"/>
      <c r="CV51019" s="376"/>
    </row>
    <row r="51020" spans="1:100">
      <c r="A51020" s="374"/>
      <c r="C51020" s="374"/>
      <c r="CV51020" s="376"/>
    </row>
    <row r="51021" spans="1:100">
      <c r="A51021" s="374"/>
      <c r="C51021" s="374"/>
      <c r="CV51021" s="376"/>
    </row>
    <row r="51022" spans="1:100">
      <c r="A51022" s="374"/>
      <c r="C51022" s="374"/>
      <c r="CV51022" s="376"/>
    </row>
    <row r="51023" spans="1:100">
      <c r="A51023" s="374"/>
      <c r="C51023" s="374"/>
      <c r="CV51023" s="376"/>
    </row>
    <row r="51024" spans="1:100">
      <c r="A51024" s="374"/>
      <c r="C51024" s="374"/>
      <c r="CV51024" s="376"/>
    </row>
    <row r="51025" spans="1:100">
      <c r="A51025" s="374"/>
      <c r="C51025" s="374"/>
      <c r="CV51025" s="376"/>
    </row>
    <row r="51026" spans="1:100">
      <c r="A51026" s="374"/>
      <c r="C51026" s="374"/>
      <c r="CV51026" s="376"/>
    </row>
    <row r="51027" spans="1:100">
      <c r="A51027" s="374"/>
      <c r="C51027" s="374"/>
      <c r="CV51027" s="376"/>
    </row>
    <row r="51028" spans="1:100">
      <c r="A51028" s="374"/>
      <c r="C51028" s="374"/>
      <c r="CV51028" s="376"/>
    </row>
    <row r="51029" spans="1:100">
      <c r="A51029" s="374"/>
      <c r="C51029" s="374"/>
      <c r="CV51029" s="376"/>
    </row>
    <row r="51030" spans="1:100">
      <c r="A51030" s="374"/>
      <c r="C51030" s="374"/>
      <c r="CV51030" s="376"/>
    </row>
    <row r="51031" spans="1:100">
      <c r="A51031" s="374"/>
      <c r="C51031" s="374"/>
      <c r="CV51031" s="376"/>
    </row>
    <row r="51032" spans="1:100">
      <c r="A51032" s="374"/>
      <c r="C51032" s="374"/>
      <c r="CV51032" s="376"/>
    </row>
    <row r="51033" spans="1:100">
      <c r="A51033" s="374"/>
      <c r="C51033" s="374"/>
      <c r="CV51033" s="376"/>
    </row>
    <row r="51034" spans="1:100">
      <c r="A51034" s="374"/>
      <c r="C51034" s="374"/>
      <c r="CV51034" s="376"/>
    </row>
    <row r="51035" spans="1:100">
      <c r="A51035" s="374"/>
      <c r="C51035" s="374"/>
      <c r="CV51035" s="376"/>
    </row>
    <row r="51036" spans="1:100">
      <c r="A51036" s="374"/>
      <c r="C51036" s="374"/>
      <c r="CV51036" s="376"/>
    </row>
    <row r="51037" spans="1:100">
      <c r="A51037" s="374"/>
      <c r="C51037" s="374"/>
      <c r="CV51037" s="376"/>
    </row>
    <row r="51038" spans="1:100">
      <c r="A51038" s="374"/>
      <c r="C51038" s="374"/>
      <c r="CV51038" s="376"/>
    </row>
    <row r="51039" spans="1:100">
      <c r="A51039" s="374"/>
      <c r="C51039" s="374"/>
      <c r="CV51039" s="376"/>
    </row>
    <row r="51040" spans="1:100">
      <c r="A51040" s="374"/>
      <c r="C51040" s="374"/>
      <c r="CV51040" s="376"/>
    </row>
    <row r="51041" spans="1:100">
      <c r="A51041" s="374"/>
      <c r="C51041" s="374"/>
      <c r="CV51041" s="376"/>
    </row>
    <row r="51042" spans="1:100">
      <c r="A51042" s="374"/>
      <c r="C51042" s="374"/>
      <c r="CV51042" s="376"/>
    </row>
    <row r="51043" spans="1:100">
      <c r="A51043" s="374"/>
      <c r="C51043" s="374"/>
      <c r="CV51043" s="376"/>
    </row>
    <row r="51044" spans="1:100">
      <c r="A51044" s="374"/>
      <c r="C51044" s="374"/>
      <c r="CV51044" s="376"/>
    </row>
    <row r="51045" spans="1:100">
      <c r="A51045" s="374"/>
      <c r="C51045" s="374"/>
      <c r="CV51045" s="376"/>
    </row>
    <row r="51046" spans="1:100">
      <c r="A51046" s="374"/>
      <c r="C51046" s="374"/>
      <c r="CV51046" s="376"/>
    </row>
    <row r="51047" spans="1:100">
      <c r="A51047" s="374"/>
      <c r="C51047" s="374"/>
      <c r="CV51047" s="376"/>
    </row>
    <row r="51048" spans="1:100">
      <c r="A51048" s="374"/>
      <c r="C51048" s="374"/>
      <c r="CV51048" s="376"/>
    </row>
    <row r="51049" spans="1:100">
      <c r="A51049" s="374"/>
      <c r="C51049" s="374"/>
      <c r="CV51049" s="376"/>
    </row>
    <row r="51050" spans="1:100">
      <c r="A51050" s="374"/>
      <c r="C51050" s="374"/>
      <c r="CV51050" s="376"/>
    </row>
    <row r="51051" spans="1:100">
      <c r="A51051" s="374"/>
      <c r="C51051" s="374"/>
      <c r="CV51051" s="376"/>
    </row>
    <row r="51052" spans="1:100">
      <c r="A51052" s="374"/>
      <c r="C51052" s="374"/>
      <c r="CV51052" s="376"/>
    </row>
    <row r="51053" spans="1:100">
      <c r="A51053" s="374"/>
      <c r="C51053" s="374"/>
      <c r="CV51053" s="376"/>
    </row>
    <row r="51054" spans="1:100">
      <c r="A51054" s="374"/>
      <c r="C51054" s="374"/>
      <c r="CV51054" s="376"/>
    </row>
    <row r="51055" spans="1:100">
      <c r="A51055" s="374"/>
      <c r="C51055" s="374"/>
      <c r="CV51055" s="376"/>
    </row>
    <row r="51056" spans="1:100">
      <c r="A51056" s="374"/>
      <c r="C51056" s="374"/>
      <c r="CV51056" s="376"/>
    </row>
    <row r="51057" spans="1:100">
      <c r="A51057" s="374"/>
      <c r="C51057" s="374"/>
      <c r="CV51057" s="376"/>
    </row>
    <row r="51058" spans="1:100">
      <c r="A51058" s="374"/>
      <c r="C51058" s="374"/>
      <c r="CV51058" s="376"/>
    </row>
    <row r="51059" spans="1:100">
      <c r="A51059" s="374"/>
      <c r="C51059" s="374"/>
      <c r="CV51059" s="376"/>
    </row>
    <row r="51060" spans="1:100">
      <c r="A51060" s="374"/>
      <c r="C51060" s="374"/>
      <c r="CV51060" s="376"/>
    </row>
    <row r="51061" spans="1:100">
      <c r="A51061" s="374"/>
      <c r="C51061" s="374"/>
      <c r="CV51061" s="376"/>
    </row>
    <row r="51062" spans="1:100">
      <c r="A51062" s="374"/>
      <c r="C51062" s="374"/>
      <c r="CV51062" s="376"/>
    </row>
    <row r="51063" spans="1:100">
      <c r="A51063" s="374"/>
      <c r="C51063" s="374"/>
      <c r="CV51063" s="376"/>
    </row>
    <row r="51064" spans="1:100">
      <c r="A51064" s="374"/>
      <c r="C51064" s="374"/>
      <c r="CV51064" s="376"/>
    </row>
    <row r="51065" spans="1:100">
      <c r="A51065" s="374"/>
      <c r="C51065" s="374"/>
      <c r="CV51065" s="376"/>
    </row>
    <row r="51066" spans="1:100">
      <c r="A51066" s="374"/>
      <c r="C51066" s="374"/>
      <c r="CV51066" s="376"/>
    </row>
    <row r="51067" spans="1:100">
      <c r="A51067" s="374"/>
      <c r="C51067" s="374"/>
      <c r="CV51067" s="376"/>
    </row>
    <row r="51068" spans="1:100">
      <c r="A51068" s="374"/>
      <c r="C51068" s="374"/>
      <c r="CV51068" s="376"/>
    </row>
    <row r="51069" spans="1:100">
      <c r="A51069" s="374"/>
      <c r="C51069" s="374"/>
      <c r="CV51069" s="376"/>
    </row>
    <row r="51070" spans="1:100">
      <c r="A51070" s="374"/>
      <c r="C51070" s="374"/>
      <c r="CV51070" s="376"/>
    </row>
    <row r="51071" spans="1:100">
      <c r="A51071" s="374"/>
      <c r="C51071" s="374"/>
      <c r="CV51071" s="376"/>
    </row>
    <row r="51072" spans="1:100">
      <c r="A51072" s="374"/>
      <c r="C51072" s="374"/>
      <c r="CV51072" s="376"/>
    </row>
    <row r="51073" spans="1:100">
      <c r="A51073" s="374"/>
      <c r="C51073" s="374"/>
      <c r="CV51073" s="376"/>
    </row>
    <row r="51074" spans="1:100">
      <c r="A51074" s="374"/>
      <c r="C51074" s="374"/>
      <c r="CV51074" s="376"/>
    </row>
    <row r="51075" spans="1:100">
      <c r="A51075" s="374"/>
      <c r="C51075" s="374"/>
      <c r="CV51075" s="376"/>
    </row>
    <row r="51076" spans="1:100">
      <c r="A51076" s="374"/>
      <c r="C51076" s="374"/>
      <c r="CV51076" s="376"/>
    </row>
    <row r="51077" spans="1:100">
      <c r="A51077" s="374"/>
      <c r="C51077" s="374"/>
      <c r="CV51077" s="376"/>
    </row>
    <row r="51078" spans="1:100">
      <c r="A51078" s="374"/>
      <c r="C51078" s="374"/>
      <c r="CV51078" s="376"/>
    </row>
    <row r="51079" spans="1:100">
      <c r="A51079" s="374"/>
      <c r="C51079" s="374"/>
      <c r="CV51079" s="376"/>
    </row>
    <row r="51080" spans="1:100">
      <c r="A51080" s="374"/>
      <c r="C51080" s="374"/>
      <c r="CV51080" s="376"/>
    </row>
    <row r="51081" spans="1:100">
      <c r="A51081" s="374"/>
      <c r="C51081" s="374"/>
      <c r="CV51081" s="376"/>
    </row>
    <row r="51082" spans="1:100">
      <c r="A51082" s="374"/>
      <c r="C51082" s="374"/>
      <c r="CV51082" s="376"/>
    </row>
    <row r="51083" spans="1:100">
      <c r="A51083" s="374"/>
      <c r="C51083" s="374"/>
      <c r="CV51083" s="376"/>
    </row>
    <row r="51084" spans="1:100">
      <c r="A51084" s="374"/>
      <c r="C51084" s="374"/>
      <c r="CV51084" s="376"/>
    </row>
    <row r="51085" spans="1:100">
      <c r="A51085" s="374"/>
      <c r="C51085" s="374"/>
      <c r="CV51085" s="376"/>
    </row>
    <row r="51086" spans="1:100">
      <c r="A51086" s="374"/>
      <c r="C51086" s="374"/>
      <c r="CV51086" s="376"/>
    </row>
    <row r="51087" spans="1:100">
      <c r="A51087" s="374"/>
      <c r="C51087" s="374"/>
      <c r="CV51087" s="376"/>
    </row>
    <row r="51088" spans="1:100">
      <c r="A51088" s="374"/>
      <c r="C51088" s="374"/>
      <c r="CV51088" s="376"/>
    </row>
    <row r="51089" spans="1:100">
      <c r="A51089" s="374"/>
      <c r="C51089" s="374"/>
      <c r="CV51089" s="376"/>
    </row>
    <row r="51090" spans="1:100">
      <c r="A51090" s="374"/>
      <c r="C51090" s="374"/>
      <c r="CV51090" s="376"/>
    </row>
    <row r="51091" spans="1:100">
      <c r="A51091" s="374"/>
      <c r="C51091" s="374"/>
      <c r="CV51091" s="376"/>
    </row>
    <row r="51092" spans="1:100">
      <c r="A51092" s="374"/>
      <c r="C51092" s="374"/>
      <c r="CV51092" s="376"/>
    </row>
    <row r="51093" spans="1:100">
      <c r="A51093" s="374"/>
      <c r="C51093" s="374"/>
      <c r="CV51093" s="376"/>
    </row>
    <row r="51094" spans="1:100">
      <c r="A51094" s="374"/>
      <c r="C51094" s="374"/>
      <c r="CV51094" s="376"/>
    </row>
    <row r="51095" spans="1:100">
      <c r="A51095" s="374"/>
      <c r="C51095" s="374"/>
      <c r="CV51095" s="376"/>
    </row>
    <row r="51096" spans="1:100">
      <c r="A51096" s="374"/>
      <c r="C51096" s="374"/>
      <c r="CV51096" s="376"/>
    </row>
    <row r="51097" spans="1:100">
      <c r="A51097" s="374"/>
      <c r="C51097" s="374"/>
      <c r="CV51097" s="376"/>
    </row>
    <row r="51098" spans="1:100">
      <c r="A51098" s="374"/>
      <c r="C51098" s="374"/>
      <c r="CV51098" s="376"/>
    </row>
    <row r="51099" spans="1:100">
      <c r="A51099" s="374"/>
      <c r="C51099" s="374"/>
      <c r="CV51099" s="376"/>
    </row>
    <row r="51100" spans="1:100">
      <c r="A51100" s="374"/>
      <c r="C51100" s="374"/>
      <c r="CV51100" s="376"/>
    </row>
    <row r="51101" spans="1:100">
      <c r="A51101" s="374"/>
      <c r="C51101" s="374"/>
      <c r="CV51101" s="376"/>
    </row>
    <row r="51102" spans="1:100">
      <c r="A51102" s="374"/>
      <c r="C51102" s="374"/>
      <c r="CV51102" s="376"/>
    </row>
    <row r="51103" spans="1:100">
      <c r="A51103" s="374"/>
      <c r="C51103" s="374"/>
      <c r="CV51103" s="376"/>
    </row>
    <row r="51104" spans="1:100">
      <c r="A51104" s="374"/>
      <c r="C51104" s="374"/>
      <c r="CV51104" s="376"/>
    </row>
    <row r="51105" spans="1:100">
      <c r="A51105" s="374"/>
      <c r="C51105" s="374"/>
      <c r="CV51105" s="376"/>
    </row>
    <row r="51106" spans="1:100">
      <c r="A51106" s="374"/>
      <c r="C51106" s="374"/>
      <c r="CV51106" s="376"/>
    </row>
    <row r="51107" spans="1:100">
      <c r="A51107" s="374"/>
      <c r="C51107" s="374"/>
      <c r="CV51107" s="376"/>
    </row>
    <row r="51108" spans="1:100">
      <c r="A51108" s="374"/>
      <c r="C51108" s="374"/>
      <c r="CV51108" s="376"/>
    </row>
    <row r="51109" spans="1:100">
      <c r="A51109" s="374"/>
      <c r="C51109" s="374"/>
      <c r="CV51109" s="376"/>
    </row>
    <row r="51110" spans="1:100">
      <c r="A51110" s="374"/>
      <c r="C51110" s="374"/>
      <c r="CV51110" s="376"/>
    </row>
    <row r="51111" spans="1:100">
      <c r="A51111" s="374"/>
      <c r="C51111" s="374"/>
      <c r="CV51111" s="376"/>
    </row>
    <row r="51112" spans="1:100">
      <c r="A51112" s="374"/>
      <c r="C51112" s="374"/>
      <c r="CV51112" s="376"/>
    </row>
    <row r="51113" spans="1:100">
      <c r="A51113" s="374"/>
      <c r="C51113" s="374"/>
      <c r="CV51113" s="376"/>
    </row>
    <row r="51114" spans="1:100">
      <c r="A51114" s="374"/>
      <c r="C51114" s="374"/>
      <c r="CV51114" s="376"/>
    </row>
    <row r="51115" spans="1:100">
      <c r="A51115" s="374"/>
      <c r="C51115" s="374"/>
      <c r="CV51115" s="376"/>
    </row>
    <row r="51116" spans="1:100">
      <c r="A51116" s="374"/>
      <c r="C51116" s="374"/>
      <c r="CV51116" s="376"/>
    </row>
    <row r="51117" spans="1:100">
      <c r="A51117" s="374"/>
      <c r="C51117" s="374"/>
      <c r="CV51117" s="376"/>
    </row>
    <row r="51118" spans="1:100">
      <c r="A51118" s="374"/>
      <c r="C51118" s="374"/>
      <c r="CV51118" s="376"/>
    </row>
    <row r="51119" spans="1:100">
      <c r="A51119" s="374"/>
      <c r="C51119" s="374"/>
      <c r="CV51119" s="376"/>
    </row>
    <row r="51120" spans="1:100">
      <c r="A51120" s="374"/>
      <c r="C51120" s="374"/>
      <c r="CV51120" s="376"/>
    </row>
    <row r="51121" spans="1:100">
      <c r="A51121" s="374"/>
      <c r="C51121" s="374"/>
      <c r="CV51121" s="376"/>
    </row>
    <row r="51122" spans="1:100">
      <c r="A51122" s="374"/>
      <c r="C51122" s="374"/>
      <c r="CV51122" s="376"/>
    </row>
    <row r="51123" spans="1:100">
      <c r="A51123" s="374"/>
      <c r="C51123" s="374"/>
      <c r="CV51123" s="376"/>
    </row>
    <row r="51124" spans="1:100">
      <c r="A51124" s="374"/>
      <c r="C51124" s="374"/>
      <c r="CV51124" s="376"/>
    </row>
    <row r="51125" spans="1:100">
      <c r="A51125" s="374"/>
      <c r="C51125" s="374"/>
      <c r="CV51125" s="376"/>
    </row>
    <row r="51126" spans="1:100">
      <c r="A51126" s="374"/>
      <c r="C51126" s="374"/>
      <c r="CV51126" s="376"/>
    </row>
    <row r="51127" spans="1:100">
      <c r="A51127" s="374"/>
      <c r="C51127" s="374"/>
      <c r="CV51127" s="376"/>
    </row>
    <row r="51128" spans="1:100">
      <c r="A51128" s="374"/>
      <c r="C51128" s="374"/>
      <c r="CV51128" s="376"/>
    </row>
    <row r="51129" spans="1:100">
      <c r="A51129" s="374"/>
      <c r="C51129" s="374"/>
      <c r="CV51129" s="376"/>
    </row>
    <row r="51130" spans="1:100">
      <c r="A51130" s="374"/>
      <c r="C51130" s="374"/>
      <c r="CV51130" s="376"/>
    </row>
    <row r="51131" spans="1:100">
      <c r="A51131" s="374"/>
      <c r="C51131" s="374"/>
      <c r="CV51131" s="376"/>
    </row>
    <row r="51132" spans="1:100">
      <c r="A51132" s="374"/>
      <c r="C51132" s="374"/>
      <c r="CV51132" s="376"/>
    </row>
    <row r="51133" spans="1:100">
      <c r="A51133" s="374"/>
      <c r="C51133" s="374"/>
      <c r="CV51133" s="376"/>
    </row>
    <row r="51134" spans="1:100">
      <c r="A51134" s="374"/>
      <c r="C51134" s="374"/>
      <c r="CV51134" s="376"/>
    </row>
    <row r="51135" spans="1:100">
      <c r="A51135" s="374"/>
      <c r="C51135" s="374"/>
      <c r="CV51135" s="376"/>
    </row>
    <row r="51136" spans="1:100">
      <c r="A51136" s="374"/>
      <c r="C51136" s="374"/>
      <c r="CV51136" s="376"/>
    </row>
    <row r="51137" spans="1:100">
      <c r="A51137" s="374"/>
      <c r="C51137" s="374"/>
      <c r="CV51137" s="376"/>
    </row>
    <row r="51138" spans="1:100">
      <c r="A51138" s="374"/>
      <c r="C51138" s="374"/>
      <c r="CV51138" s="376"/>
    </row>
    <row r="51139" spans="1:100">
      <c r="A51139" s="374"/>
      <c r="C51139" s="374"/>
      <c r="CV51139" s="376"/>
    </row>
    <row r="51140" spans="1:100">
      <c r="A51140" s="374"/>
      <c r="C51140" s="374"/>
      <c r="CV51140" s="376"/>
    </row>
    <row r="51141" spans="1:100">
      <c r="A51141" s="374"/>
      <c r="C51141" s="374"/>
      <c r="CV51141" s="376"/>
    </row>
    <row r="51142" spans="1:100">
      <c r="A51142" s="374"/>
      <c r="C51142" s="374"/>
      <c r="CV51142" s="376"/>
    </row>
    <row r="51143" spans="1:100">
      <c r="A51143" s="374"/>
      <c r="C51143" s="374"/>
      <c r="CV51143" s="376"/>
    </row>
    <row r="51144" spans="1:100">
      <c r="A51144" s="374"/>
      <c r="C51144" s="374"/>
      <c r="CV51144" s="376"/>
    </row>
    <row r="51145" spans="1:100">
      <c r="A51145" s="374"/>
      <c r="C51145" s="374"/>
      <c r="CV51145" s="376"/>
    </row>
    <row r="51146" spans="1:100">
      <c r="A51146" s="374"/>
      <c r="C51146" s="374"/>
      <c r="CV51146" s="376"/>
    </row>
    <row r="51147" spans="1:100">
      <c r="A51147" s="374"/>
      <c r="C51147" s="374"/>
      <c r="CV51147" s="376"/>
    </row>
    <row r="51148" spans="1:100">
      <c r="A51148" s="374"/>
      <c r="C51148" s="374"/>
      <c r="CV51148" s="376"/>
    </row>
    <row r="51149" spans="1:100">
      <c r="A51149" s="374"/>
      <c r="C51149" s="374"/>
      <c r="CV51149" s="376"/>
    </row>
    <row r="51150" spans="1:100">
      <c r="A51150" s="374"/>
      <c r="C51150" s="374"/>
      <c r="CV51150" s="376"/>
    </row>
    <row r="51151" spans="1:100">
      <c r="A51151" s="374"/>
      <c r="C51151" s="374"/>
      <c r="CV51151" s="376"/>
    </row>
    <row r="51152" spans="1:100">
      <c r="A51152" s="374"/>
      <c r="C51152" s="374"/>
      <c r="CV51152" s="376"/>
    </row>
    <row r="51153" spans="1:100">
      <c r="A51153" s="374"/>
      <c r="C51153" s="374"/>
      <c r="CV51153" s="376"/>
    </row>
    <row r="51154" spans="1:100">
      <c r="A51154" s="374"/>
      <c r="C51154" s="374"/>
      <c r="CV51154" s="376"/>
    </row>
    <row r="51155" spans="1:100">
      <c r="A51155" s="374"/>
      <c r="C51155" s="374"/>
      <c r="CV51155" s="376"/>
    </row>
    <row r="51156" spans="1:100">
      <c r="A51156" s="374"/>
      <c r="C51156" s="374"/>
      <c r="CV51156" s="376"/>
    </row>
    <row r="51157" spans="1:100">
      <c r="A51157" s="374"/>
      <c r="C51157" s="374"/>
      <c r="CV51157" s="376"/>
    </row>
    <row r="51158" spans="1:100">
      <c r="A51158" s="374"/>
      <c r="C51158" s="374"/>
      <c r="CV51158" s="376"/>
    </row>
    <row r="51159" spans="1:100">
      <c r="A51159" s="374"/>
      <c r="C51159" s="374"/>
      <c r="CV51159" s="376"/>
    </row>
    <row r="51160" spans="1:100">
      <c r="A51160" s="374"/>
      <c r="C51160" s="374"/>
      <c r="CV51160" s="376"/>
    </row>
    <row r="51161" spans="1:100">
      <c r="A51161" s="374"/>
      <c r="C51161" s="374"/>
      <c r="CV51161" s="376"/>
    </row>
    <row r="51162" spans="1:100">
      <c r="A51162" s="374"/>
      <c r="C51162" s="374"/>
      <c r="CV51162" s="376"/>
    </row>
    <row r="51163" spans="1:100">
      <c r="A51163" s="374"/>
      <c r="C51163" s="374"/>
      <c r="CV51163" s="376"/>
    </row>
    <row r="51164" spans="1:100">
      <c r="A51164" s="374"/>
      <c r="C51164" s="374"/>
      <c r="CV51164" s="376"/>
    </row>
    <row r="51165" spans="1:100">
      <c r="A51165" s="374"/>
      <c r="C51165" s="374"/>
      <c r="CV51165" s="376"/>
    </row>
    <row r="51166" spans="1:100">
      <c r="A51166" s="374"/>
      <c r="C51166" s="374"/>
      <c r="CV51166" s="376"/>
    </row>
    <row r="51167" spans="1:100">
      <c r="A51167" s="374"/>
      <c r="C51167" s="374"/>
      <c r="CV51167" s="376"/>
    </row>
    <row r="51168" spans="1:100">
      <c r="A51168" s="374"/>
      <c r="C51168" s="374"/>
      <c r="CV51168" s="376"/>
    </row>
    <row r="51169" spans="1:100">
      <c r="A51169" s="374"/>
      <c r="C51169" s="374"/>
      <c r="CV51169" s="376"/>
    </row>
    <row r="51170" spans="1:100">
      <c r="A51170" s="374"/>
      <c r="C51170" s="374"/>
      <c r="CV51170" s="376"/>
    </row>
    <row r="51171" spans="1:100">
      <c r="A51171" s="374"/>
      <c r="C51171" s="374"/>
      <c r="CV51171" s="376"/>
    </row>
    <row r="51172" spans="1:100">
      <c r="A51172" s="374"/>
      <c r="C51172" s="374"/>
      <c r="CV51172" s="376"/>
    </row>
    <row r="51173" spans="1:100">
      <c r="A51173" s="374"/>
      <c r="C51173" s="374"/>
      <c r="CV51173" s="376"/>
    </row>
    <row r="51174" spans="1:100">
      <c r="A51174" s="374"/>
      <c r="C51174" s="374"/>
      <c r="CV51174" s="376"/>
    </row>
    <row r="51175" spans="1:100">
      <c r="A51175" s="374"/>
      <c r="C51175" s="374"/>
      <c r="CV51175" s="376"/>
    </row>
    <row r="51176" spans="1:100">
      <c r="A51176" s="374"/>
      <c r="C51176" s="374"/>
      <c r="CV51176" s="376"/>
    </row>
    <row r="51177" spans="1:100">
      <c r="A51177" s="374"/>
      <c r="C51177" s="374"/>
      <c r="CV51177" s="376"/>
    </row>
    <row r="51178" spans="1:100">
      <c r="A51178" s="374"/>
      <c r="C51178" s="374"/>
      <c r="CV51178" s="376"/>
    </row>
    <row r="51179" spans="1:100">
      <c r="A51179" s="374"/>
      <c r="C51179" s="374"/>
      <c r="CV51179" s="376"/>
    </row>
    <row r="51180" spans="1:100">
      <c r="A51180" s="374"/>
      <c r="C51180" s="374"/>
      <c r="CV51180" s="376"/>
    </row>
    <row r="51181" spans="1:100">
      <c r="A51181" s="374"/>
      <c r="C51181" s="374"/>
      <c r="CV51181" s="376"/>
    </row>
    <row r="51182" spans="1:100">
      <c r="A51182" s="374"/>
      <c r="C51182" s="374"/>
      <c r="CV51182" s="376"/>
    </row>
    <row r="51183" spans="1:100">
      <c r="A51183" s="374"/>
      <c r="C51183" s="374"/>
      <c r="CV51183" s="376"/>
    </row>
    <row r="51184" spans="1:100">
      <c r="A51184" s="374"/>
      <c r="C51184" s="374"/>
      <c r="CV51184" s="376"/>
    </row>
    <row r="51185" spans="1:100">
      <c r="A51185" s="374"/>
      <c r="C51185" s="374"/>
      <c r="CV51185" s="376"/>
    </row>
    <row r="51186" spans="1:100">
      <c r="A51186" s="374"/>
      <c r="C51186" s="374"/>
      <c r="CV51186" s="376"/>
    </row>
    <row r="51187" spans="1:100">
      <c r="A51187" s="374"/>
      <c r="C51187" s="374"/>
      <c r="CV51187" s="376"/>
    </row>
    <row r="51188" spans="1:100">
      <c r="A51188" s="374"/>
      <c r="C51188" s="374"/>
      <c r="CV51188" s="376"/>
    </row>
    <row r="51189" spans="1:100">
      <c r="A51189" s="374"/>
      <c r="C51189" s="374"/>
      <c r="CV51189" s="376"/>
    </row>
    <row r="51190" spans="1:100">
      <c r="A51190" s="374"/>
      <c r="C51190" s="374"/>
      <c r="CV51190" s="376"/>
    </row>
    <row r="51191" spans="1:100">
      <c r="A51191" s="374"/>
      <c r="C51191" s="374"/>
      <c r="CV51191" s="376"/>
    </row>
    <row r="51192" spans="1:100">
      <c r="A51192" s="374"/>
      <c r="C51192" s="374"/>
      <c r="CV51192" s="376"/>
    </row>
    <row r="51193" spans="1:100">
      <c r="A51193" s="374"/>
      <c r="C51193" s="374"/>
      <c r="CV51193" s="376"/>
    </row>
    <row r="51194" spans="1:100">
      <c r="A51194" s="374"/>
      <c r="C51194" s="374"/>
      <c r="CV51194" s="376"/>
    </row>
    <row r="51195" spans="1:100">
      <c r="A51195" s="374"/>
      <c r="C51195" s="374"/>
      <c r="CV51195" s="376"/>
    </row>
    <row r="51196" spans="1:100">
      <c r="A51196" s="374"/>
      <c r="C51196" s="374"/>
      <c r="CV51196" s="376"/>
    </row>
    <row r="51197" spans="1:100">
      <c r="A51197" s="374"/>
      <c r="C51197" s="374"/>
      <c r="CV51197" s="376"/>
    </row>
    <row r="51198" spans="1:100">
      <c r="A51198" s="374"/>
      <c r="C51198" s="374"/>
      <c r="CV51198" s="376"/>
    </row>
    <row r="51199" spans="1:100">
      <c r="A51199" s="374"/>
      <c r="C51199" s="374"/>
      <c r="CV51199" s="376"/>
    </row>
    <row r="51200" spans="1:100">
      <c r="A51200" s="374"/>
      <c r="C51200" s="374"/>
      <c r="CV51200" s="376"/>
    </row>
    <row r="51201" spans="1:100">
      <c r="A51201" s="374"/>
      <c r="C51201" s="374"/>
      <c r="CV51201" s="376"/>
    </row>
    <row r="51202" spans="1:100">
      <c r="A51202" s="374"/>
      <c r="C51202" s="374"/>
      <c r="CV51202" s="376"/>
    </row>
    <row r="51203" spans="1:100">
      <c r="A51203" s="374"/>
      <c r="C51203" s="374"/>
      <c r="CV51203" s="376"/>
    </row>
    <row r="51204" spans="1:100">
      <c r="A51204" s="374"/>
      <c r="C51204" s="374"/>
      <c r="CV51204" s="376"/>
    </row>
    <row r="51205" spans="1:100">
      <c r="A51205" s="374"/>
      <c r="C51205" s="374"/>
      <c r="CV51205" s="376"/>
    </row>
    <row r="51206" spans="1:100">
      <c r="A51206" s="374"/>
      <c r="C51206" s="374"/>
      <c r="CV51206" s="376"/>
    </row>
    <row r="51207" spans="1:100">
      <c r="A51207" s="374"/>
      <c r="C51207" s="374"/>
      <c r="CV51207" s="376"/>
    </row>
    <row r="51208" spans="1:100">
      <c r="A51208" s="374"/>
      <c r="C51208" s="374"/>
      <c r="CV51208" s="376"/>
    </row>
    <row r="51209" spans="1:100">
      <c r="A51209" s="374"/>
      <c r="C51209" s="374"/>
      <c r="CV51209" s="376"/>
    </row>
    <row r="51210" spans="1:100">
      <c r="A51210" s="374"/>
      <c r="C51210" s="374"/>
      <c r="CV51210" s="376"/>
    </row>
    <row r="51211" spans="1:100">
      <c r="A51211" s="374"/>
      <c r="C51211" s="374"/>
      <c r="CV51211" s="376"/>
    </row>
    <row r="51212" spans="1:100">
      <c r="A51212" s="374"/>
      <c r="C51212" s="374"/>
      <c r="CV51212" s="376"/>
    </row>
    <row r="51213" spans="1:100">
      <c r="A51213" s="374"/>
      <c r="C51213" s="374"/>
      <c r="CV51213" s="376"/>
    </row>
    <row r="51214" spans="1:100">
      <c r="A51214" s="374"/>
      <c r="C51214" s="374"/>
      <c r="CV51214" s="376"/>
    </row>
    <row r="51215" spans="1:100">
      <c r="A51215" s="374"/>
      <c r="C51215" s="374"/>
      <c r="CV51215" s="376"/>
    </row>
    <row r="51216" spans="1:100">
      <c r="A51216" s="374"/>
      <c r="C51216" s="374"/>
      <c r="CV51216" s="376"/>
    </row>
    <row r="51217" spans="1:100">
      <c r="A51217" s="374"/>
      <c r="C51217" s="374"/>
      <c r="CV51217" s="376"/>
    </row>
    <row r="51218" spans="1:100">
      <c r="A51218" s="374"/>
      <c r="C51218" s="374"/>
      <c r="CV51218" s="376"/>
    </row>
    <row r="51219" spans="1:100">
      <c r="A51219" s="374"/>
      <c r="C51219" s="374"/>
      <c r="CV51219" s="376"/>
    </row>
    <row r="51220" spans="1:100">
      <c r="A51220" s="374"/>
      <c r="C51220" s="374"/>
      <c r="CV51220" s="376"/>
    </row>
    <row r="51221" spans="1:100">
      <c r="A51221" s="374"/>
      <c r="C51221" s="374"/>
      <c r="CV51221" s="376"/>
    </row>
    <row r="51222" spans="1:100">
      <c r="A51222" s="374"/>
      <c r="C51222" s="374"/>
      <c r="CV51222" s="376"/>
    </row>
    <row r="51223" spans="1:100">
      <c r="A51223" s="374"/>
      <c r="C51223" s="374"/>
      <c r="CV51223" s="376"/>
    </row>
    <row r="51224" spans="1:100">
      <c r="A51224" s="374"/>
      <c r="C51224" s="374"/>
      <c r="CV51224" s="376"/>
    </row>
    <row r="51225" spans="1:100">
      <c r="A51225" s="374"/>
      <c r="C51225" s="374"/>
      <c r="CV51225" s="376"/>
    </row>
    <row r="51226" spans="1:100">
      <c r="A51226" s="374"/>
      <c r="C51226" s="374"/>
      <c r="CV51226" s="376"/>
    </row>
    <row r="51227" spans="1:100">
      <c r="A51227" s="374"/>
      <c r="C51227" s="374"/>
      <c r="CV51227" s="376"/>
    </row>
    <row r="51228" spans="1:100">
      <c r="A51228" s="374"/>
      <c r="C51228" s="374"/>
      <c r="CV51228" s="376"/>
    </row>
    <row r="51229" spans="1:100">
      <c r="A51229" s="374"/>
      <c r="C51229" s="374"/>
      <c r="CV51229" s="376"/>
    </row>
    <row r="51230" spans="1:100">
      <c r="A51230" s="374"/>
      <c r="C51230" s="374"/>
      <c r="CV51230" s="376"/>
    </row>
    <row r="51231" spans="1:100">
      <c r="A51231" s="374"/>
      <c r="C51231" s="374"/>
      <c r="CV51231" s="376"/>
    </row>
    <row r="51232" spans="1:100">
      <c r="A51232" s="374"/>
      <c r="C51232" s="374"/>
      <c r="CV51232" s="376"/>
    </row>
    <row r="51233" spans="1:100">
      <c r="A51233" s="374"/>
      <c r="C51233" s="374"/>
      <c r="CV51233" s="376"/>
    </row>
    <row r="51234" spans="1:100">
      <c r="A51234" s="374"/>
      <c r="C51234" s="374"/>
      <c r="CV51234" s="376"/>
    </row>
    <row r="51235" spans="1:100">
      <c r="A51235" s="374"/>
      <c r="C51235" s="374"/>
      <c r="CV51235" s="376"/>
    </row>
    <row r="51236" spans="1:100">
      <c r="A51236" s="374"/>
      <c r="C51236" s="374"/>
      <c r="CV51236" s="376"/>
    </row>
    <row r="51237" spans="1:100">
      <c r="A51237" s="374"/>
      <c r="C51237" s="374"/>
      <c r="CV51237" s="376"/>
    </row>
    <row r="51238" spans="1:100">
      <c r="A51238" s="374"/>
      <c r="C51238" s="374"/>
      <c r="CV51238" s="376"/>
    </row>
    <row r="51239" spans="1:100">
      <c r="A51239" s="374"/>
      <c r="C51239" s="374"/>
      <c r="CV51239" s="376"/>
    </row>
    <row r="51240" spans="1:100">
      <c r="A51240" s="374"/>
      <c r="C51240" s="374"/>
      <c r="CV51240" s="376"/>
    </row>
    <row r="51241" spans="1:100">
      <c r="A51241" s="374"/>
      <c r="C51241" s="374"/>
      <c r="CV51241" s="376"/>
    </row>
    <row r="51242" spans="1:100">
      <c r="A51242" s="374"/>
      <c r="C51242" s="374"/>
      <c r="CV51242" s="376"/>
    </row>
    <row r="51243" spans="1:100">
      <c r="A51243" s="374"/>
      <c r="C51243" s="374"/>
      <c r="CV51243" s="376"/>
    </row>
    <row r="51244" spans="1:100">
      <c r="A51244" s="374"/>
      <c r="C51244" s="374"/>
      <c r="CV51244" s="376"/>
    </row>
    <row r="51245" spans="1:100">
      <c r="A51245" s="374"/>
      <c r="C51245" s="374"/>
      <c r="CV51245" s="376"/>
    </row>
    <row r="51246" spans="1:100">
      <c r="A51246" s="374"/>
      <c r="C51246" s="374"/>
      <c r="CV51246" s="376"/>
    </row>
    <row r="51247" spans="1:100">
      <c r="A51247" s="374"/>
      <c r="C51247" s="374"/>
      <c r="CV51247" s="376"/>
    </row>
    <row r="51248" spans="1:100">
      <c r="A51248" s="374"/>
      <c r="C51248" s="374"/>
      <c r="CV51248" s="376"/>
    </row>
    <row r="51249" spans="1:100">
      <c r="A51249" s="374"/>
      <c r="C51249" s="374"/>
      <c r="CV51249" s="376"/>
    </row>
    <row r="51250" spans="1:100">
      <c r="A51250" s="374"/>
      <c r="C51250" s="374"/>
      <c r="CV51250" s="376"/>
    </row>
    <row r="51251" spans="1:100">
      <c r="A51251" s="374"/>
      <c r="C51251" s="374"/>
      <c r="CV51251" s="376"/>
    </row>
    <row r="51252" spans="1:100">
      <c r="A51252" s="374"/>
      <c r="C51252" s="374"/>
      <c r="CV51252" s="376"/>
    </row>
    <row r="51253" spans="1:100">
      <c r="A51253" s="374"/>
      <c r="C51253" s="374"/>
      <c r="CV51253" s="376"/>
    </row>
    <row r="51254" spans="1:100">
      <c r="A51254" s="374"/>
      <c r="C51254" s="374"/>
      <c r="CV51254" s="376"/>
    </row>
    <row r="51255" spans="1:100">
      <c r="A51255" s="374"/>
      <c r="C51255" s="374"/>
      <c r="CV51255" s="376"/>
    </row>
    <row r="51256" spans="1:100">
      <c r="A51256" s="374"/>
      <c r="C51256" s="374"/>
      <c r="CV51256" s="376"/>
    </row>
    <row r="51257" spans="1:100">
      <c r="A51257" s="374"/>
      <c r="C51257" s="374"/>
      <c r="CV51257" s="376"/>
    </row>
    <row r="51258" spans="1:100">
      <c r="A51258" s="374"/>
      <c r="C51258" s="374"/>
      <c r="CV51258" s="376"/>
    </row>
    <row r="51259" spans="1:100">
      <c r="A51259" s="374"/>
      <c r="C51259" s="374"/>
      <c r="CV51259" s="376"/>
    </row>
    <row r="51260" spans="1:100">
      <c r="A51260" s="374"/>
      <c r="C51260" s="374"/>
      <c r="CV51260" s="376"/>
    </row>
    <row r="51261" spans="1:100">
      <c r="A51261" s="374"/>
      <c r="C51261" s="374"/>
      <c r="CV51261" s="376"/>
    </row>
    <row r="51262" spans="1:100">
      <c r="A51262" s="374"/>
      <c r="C51262" s="374"/>
      <c r="CV51262" s="376"/>
    </row>
    <row r="51263" spans="1:100">
      <c r="A51263" s="374"/>
      <c r="C51263" s="374"/>
      <c r="CV51263" s="376"/>
    </row>
    <row r="51264" spans="1:100">
      <c r="A51264" s="374"/>
      <c r="C51264" s="374"/>
      <c r="CV51264" s="376"/>
    </row>
    <row r="51265" spans="1:100">
      <c r="A51265" s="374"/>
      <c r="C51265" s="374"/>
      <c r="CV51265" s="376"/>
    </row>
    <row r="51266" spans="1:100">
      <c r="A51266" s="374"/>
      <c r="C51266" s="374"/>
      <c r="CV51266" s="376"/>
    </row>
    <row r="51267" spans="1:100">
      <c r="A51267" s="374"/>
      <c r="C51267" s="374"/>
      <c r="CV51267" s="376"/>
    </row>
    <row r="51268" spans="1:100">
      <c r="A51268" s="374"/>
      <c r="C51268" s="374"/>
      <c r="CV51268" s="376"/>
    </row>
    <row r="51269" spans="1:100">
      <c r="A51269" s="374"/>
      <c r="C51269" s="374"/>
      <c r="CV51269" s="376"/>
    </row>
    <row r="51270" spans="1:100">
      <c r="A51270" s="374"/>
      <c r="C51270" s="374"/>
      <c r="CV51270" s="376"/>
    </row>
    <row r="51271" spans="1:100">
      <c r="A51271" s="374"/>
      <c r="C51271" s="374"/>
      <c r="CV51271" s="376"/>
    </row>
    <row r="51272" spans="1:100">
      <c r="A51272" s="374"/>
      <c r="C51272" s="374"/>
      <c r="CV51272" s="376"/>
    </row>
    <row r="51273" spans="1:100">
      <c r="A51273" s="374"/>
      <c r="C51273" s="374"/>
      <c r="CV51273" s="376"/>
    </row>
    <row r="51274" spans="1:100">
      <c r="A51274" s="374"/>
      <c r="C51274" s="374"/>
      <c r="CV51274" s="376"/>
    </row>
    <row r="51275" spans="1:100">
      <c r="A51275" s="374"/>
      <c r="C51275" s="374"/>
      <c r="CV51275" s="376"/>
    </row>
    <row r="51276" spans="1:100">
      <c r="A51276" s="374"/>
      <c r="C51276" s="374"/>
      <c r="CV51276" s="376"/>
    </row>
    <row r="51277" spans="1:100">
      <c r="A51277" s="374"/>
      <c r="C51277" s="374"/>
      <c r="CV51277" s="376"/>
    </row>
    <row r="51278" spans="1:100">
      <c r="A51278" s="374"/>
      <c r="C51278" s="374"/>
      <c r="CV51278" s="376"/>
    </row>
    <row r="51279" spans="1:100">
      <c r="A51279" s="374"/>
      <c r="C51279" s="374"/>
      <c r="CV51279" s="376"/>
    </row>
    <row r="51280" spans="1:100">
      <c r="A51280" s="374"/>
      <c r="C51280" s="374"/>
      <c r="CV51280" s="376"/>
    </row>
    <row r="51281" spans="1:100">
      <c r="A51281" s="374"/>
      <c r="C51281" s="374"/>
      <c r="CV51281" s="376"/>
    </row>
    <row r="51282" spans="1:100">
      <c r="A51282" s="374"/>
      <c r="C51282" s="374"/>
      <c r="CV51282" s="376"/>
    </row>
    <row r="51283" spans="1:100">
      <c r="A51283" s="374"/>
      <c r="C51283" s="374"/>
      <c r="CV51283" s="376"/>
    </row>
    <row r="51284" spans="1:100">
      <c r="A51284" s="374"/>
      <c r="C51284" s="374"/>
      <c r="CV51284" s="376"/>
    </row>
    <row r="51285" spans="1:100">
      <c r="A51285" s="374"/>
      <c r="C51285" s="374"/>
      <c r="CV51285" s="376"/>
    </row>
    <row r="51286" spans="1:100">
      <c r="A51286" s="374"/>
      <c r="C51286" s="374"/>
      <c r="CV51286" s="376"/>
    </row>
    <row r="51287" spans="1:100">
      <c r="A51287" s="374"/>
      <c r="C51287" s="374"/>
      <c r="CV51287" s="376"/>
    </row>
    <row r="51288" spans="1:100">
      <c r="A51288" s="374"/>
      <c r="C51288" s="374"/>
      <c r="CV51288" s="376"/>
    </row>
    <row r="51289" spans="1:100">
      <c r="A51289" s="374"/>
      <c r="C51289" s="374"/>
      <c r="CV51289" s="376"/>
    </row>
    <row r="51290" spans="1:100">
      <c r="A51290" s="374"/>
      <c r="C51290" s="374"/>
      <c r="CV51290" s="376"/>
    </row>
    <row r="51291" spans="1:100">
      <c r="A51291" s="374"/>
      <c r="C51291" s="374"/>
      <c r="CV51291" s="376"/>
    </row>
    <row r="51292" spans="1:100">
      <c r="A51292" s="374"/>
      <c r="C51292" s="374"/>
      <c r="CV51292" s="376"/>
    </row>
    <row r="51293" spans="1:100">
      <c r="A51293" s="374"/>
      <c r="C51293" s="374"/>
      <c r="CV51293" s="376"/>
    </row>
    <row r="51294" spans="1:100">
      <c r="A51294" s="374"/>
      <c r="C51294" s="374"/>
      <c r="CV51294" s="376"/>
    </row>
    <row r="51295" spans="1:100">
      <c r="A51295" s="374"/>
      <c r="C51295" s="374"/>
      <c r="CV51295" s="376"/>
    </row>
    <row r="51296" spans="1:100">
      <c r="A51296" s="374"/>
      <c r="C51296" s="374"/>
      <c r="CV51296" s="376"/>
    </row>
    <row r="51297" spans="1:100">
      <c r="A51297" s="374"/>
      <c r="C51297" s="374"/>
      <c r="CV51297" s="376"/>
    </row>
    <row r="51298" spans="1:100">
      <c r="A51298" s="374"/>
      <c r="C51298" s="374"/>
      <c r="CV51298" s="376"/>
    </row>
    <row r="51299" spans="1:100">
      <c r="A51299" s="374"/>
      <c r="C51299" s="374"/>
      <c r="CV51299" s="376"/>
    </row>
    <row r="51300" spans="1:100">
      <c r="A51300" s="374"/>
      <c r="C51300" s="374"/>
      <c r="CV51300" s="376"/>
    </row>
    <row r="51301" spans="1:100">
      <c r="A51301" s="374"/>
      <c r="C51301" s="374"/>
      <c r="CV51301" s="376"/>
    </row>
    <row r="51302" spans="1:100">
      <c r="A51302" s="374"/>
      <c r="C51302" s="374"/>
      <c r="CV51302" s="376"/>
    </row>
    <row r="51303" spans="1:100">
      <c r="A51303" s="374"/>
      <c r="C51303" s="374"/>
      <c r="CV51303" s="376"/>
    </row>
    <row r="51304" spans="1:100">
      <c r="A51304" s="374"/>
      <c r="C51304" s="374"/>
      <c r="CV51304" s="376"/>
    </row>
    <row r="51305" spans="1:100">
      <c r="A51305" s="374"/>
      <c r="C51305" s="374"/>
      <c r="CV51305" s="376"/>
    </row>
    <row r="51306" spans="1:100">
      <c r="A51306" s="374"/>
      <c r="C51306" s="374"/>
      <c r="CV51306" s="376"/>
    </row>
    <row r="51307" spans="1:100">
      <c r="A51307" s="374"/>
      <c r="C51307" s="374"/>
      <c r="CV51307" s="376"/>
    </row>
    <row r="51308" spans="1:100">
      <c r="A51308" s="374"/>
      <c r="C51308" s="374"/>
      <c r="CV51308" s="376"/>
    </row>
    <row r="51309" spans="1:100">
      <c r="A51309" s="374"/>
      <c r="C51309" s="374"/>
      <c r="CV51309" s="376"/>
    </row>
    <row r="51310" spans="1:100">
      <c r="A51310" s="374"/>
      <c r="C51310" s="374"/>
      <c r="CV51310" s="376"/>
    </row>
    <row r="51311" spans="1:100">
      <c r="A51311" s="374"/>
      <c r="C51311" s="374"/>
      <c r="CV51311" s="376"/>
    </row>
    <row r="51312" spans="1:100">
      <c r="A51312" s="374"/>
      <c r="C51312" s="374"/>
      <c r="CV51312" s="376"/>
    </row>
    <row r="51313" spans="1:100">
      <c r="A51313" s="374"/>
      <c r="C51313" s="374"/>
      <c r="CV51313" s="376"/>
    </row>
    <row r="51314" spans="1:100">
      <c r="A51314" s="374"/>
      <c r="C51314" s="374"/>
      <c r="CV51314" s="376"/>
    </row>
    <row r="51315" spans="1:100">
      <c r="A51315" s="374"/>
      <c r="C51315" s="374"/>
      <c r="CV51315" s="376"/>
    </row>
    <row r="51316" spans="1:100">
      <c r="A51316" s="374"/>
      <c r="C51316" s="374"/>
      <c r="CV51316" s="376"/>
    </row>
    <row r="51317" spans="1:100">
      <c r="A51317" s="374"/>
      <c r="C51317" s="374"/>
      <c r="CV51317" s="376"/>
    </row>
    <row r="51318" spans="1:100">
      <c r="A51318" s="374"/>
      <c r="C51318" s="374"/>
      <c r="CV51318" s="376"/>
    </row>
    <row r="51319" spans="1:100">
      <c r="A51319" s="374"/>
      <c r="C51319" s="374"/>
      <c r="CV51319" s="376"/>
    </row>
    <row r="51320" spans="1:100">
      <c r="A51320" s="374"/>
      <c r="C51320" s="374"/>
      <c r="CV51320" s="376"/>
    </row>
    <row r="51321" spans="1:100">
      <c r="A51321" s="374"/>
      <c r="C51321" s="374"/>
      <c r="CV51321" s="376"/>
    </row>
    <row r="51322" spans="1:100">
      <c r="A51322" s="374"/>
      <c r="C51322" s="374"/>
      <c r="CV51322" s="376"/>
    </row>
    <row r="51323" spans="1:100">
      <c r="A51323" s="374"/>
      <c r="C51323" s="374"/>
      <c r="CV51323" s="376"/>
    </row>
    <row r="51324" spans="1:100">
      <c r="A51324" s="374"/>
      <c r="C51324" s="374"/>
      <c r="CV51324" s="376"/>
    </row>
    <row r="51325" spans="1:100">
      <c r="A51325" s="374"/>
      <c r="C51325" s="374"/>
      <c r="CV51325" s="376"/>
    </row>
    <row r="51326" spans="1:100">
      <c r="A51326" s="374"/>
      <c r="C51326" s="374"/>
      <c r="CV51326" s="376"/>
    </row>
    <row r="51327" spans="1:100">
      <c r="A51327" s="374"/>
      <c r="C51327" s="374"/>
      <c r="CV51327" s="376"/>
    </row>
    <row r="51328" spans="1:100">
      <c r="A51328" s="374"/>
      <c r="C51328" s="374"/>
      <c r="CV51328" s="376"/>
    </row>
    <row r="51329" spans="1:100">
      <c r="A51329" s="374"/>
      <c r="C51329" s="374"/>
      <c r="CV51329" s="376"/>
    </row>
    <row r="51330" spans="1:100">
      <c r="A51330" s="374"/>
      <c r="C51330" s="374"/>
      <c r="CV51330" s="376"/>
    </row>
    <row r="51331" spans="1:100">
      <c r="A51331" s="374"/>
      <c r="C51331" s="374"/>
      <c r="CV51331" s="376"/>
    </row>
    <row r="51332" spans="1:100">
      <c r="A51332" s="374"/>
      <c r="C51332" s="374"/>
      <c r="CV51332" s="376"/>
    </row>
    <row r="51333" spans="1:100">
      <c r="A51333" s="374"/>
      <c r="C51333" s="374"/>
      <c r="CV51333" s="376"/>
    </row>
    <row r="51334" spans="1:100">
      <c r="A51334" s="374"/>
      <c r="C51334" s="374"/>
      <c r="CV51334" s="376"/>
    </row>
    <row r="51335" spans="1:100">
      <c r="A51335" s="374"/>
      <c r="C51335" s="374"/>
      <c r="CV51335" s="376"/>
    </row>
    <row r="51336" spans="1:100">
      <c r="A51336" s="374"/>
      <c r="C51336" s="374"/>
      <c r="CV51336" s="376"/>
    </row>
    <row r="51337" spans="1:100">
      <c r="A51337" s="374"/>
      <c r="C51337" s="374"/>
      <c r="CV51337" s="376"/>
    </row>
    <row r="51338" spans="1:100">
      <c r="A51338" s="374"/>
      <c r="C51338" s="374"/>
      <c r="CV51338" s="376"/>
    </row>
    <row r="51339" spans="1:100">
      <c r="A51339" s="374"/>
      <c r="C51339" s="374"/>
      <c r="CV51339" s="376"/>
    </row>
    <row r="51340" spans="1:100">
      <c r="A51340" s="374"/>
      <c r="C51340" s="374"/>
      <c r="CV51340" s="376"/>
    </row>
    <row r="51341" spans="1:100">
      <c r="A51341" s="374"/>
      <c r="C51341" s="374"/>
      <c r="CV51341" s="376"/>
    </row>
    <row r="51342" spans="1:100">
      <c r="A51342" s="374"/>
      <c r="C51342" s="374"/>
      <c r="CV51342" s="376"/>
    </row>
    <row r="51343" spans="1:100">
      <c r="A51343" s="374"/>
      <c r="C51343" s="374"/>
      <c r="CV51343" s="376"/>
    </row>
    <row r="51344" spans="1:100">
      <c r="A51344" s="374"/>
      <c r="C51344" s="374"/>
      <c r="CV51344" s="376"/>
    </row>
    <row r="51345" spans="1:100">
      <c r="A51345" s="374"/>
      <c r="C51345" s="374"/>
      <c r="CV51345" s="376"/>
    </row>
    <row r="51346" spans="1:100">
      <c r="A51346" s="374"/>
      <c r="C51346" s="374"/>
      <c r="CV51346" s="376"/>
    </row>
    <row r="51347" spans="1:100">
      <c r="A51347" s="374"/>
      <c r="C51347" s="374"/>
      <c r="CV51347" s="376"/>
    </row>
    <row r="51348" spans="1:100">
      <c r="A51348" s="374"/>
      <c r="C51348" s="374"/>
      <c r="CV51348" s="376"/>
    </row>
    <row r="51349" spans="1:100">
      <c r="A51349" s="374"/>
      <c r="C51349" s="374"/>
      <c r="CV51349" s="376"/>
    </row>
    <row r="51350" spans="1:100">
      <c r="A51350" s="374"/>
      <c r="C51350" s="374"/>
      <c r="CV51350" s="376"/>
    </row>
    <row r="51351" spans="1:100">
      <c r="A51351" s="374"/>
      <c r="C51351" s="374"/>
      <c r="CV51351" s="376"/>
    </row>
    <row r="51352" spans="1:100">
      <c r="A51352" s="374"/>
      <c r="C51352" s="374"/>
      <c r="CV51352" s="376"/>
    </row>
    <row r="51353" spans="1:100">
      <c r="A51353" s="374"/>
      <c r="C51353" s="374"/>
      <c r="CV51353" s="376"/>
    </row>
    <row r="51354" spans="1:100">
      <c r="A51354" s="374"/>
      <c r="C51354" s="374"/>
      <c r="CV51354" s="376"/>
    </row>
    <row r="51355" spans="1:100">
      <c r="A51355" s="374"/>
      <c r="C51355" s="374"/>
      <c r="CV51355" s="376"/>
    </row>
    <row r="51356" spans="1:100">
      <c r="A51356" s="374"/>
      <c r="C51356" s="374"/>
      <c r="CV51356" s="376"/>
    </row>
    <row r="51357" spans="1:100">
      <c r="A51357" s="374"/>
      <c r="C51357" s="374"/>
      <c r="CV51357" s="376"/>
    </row>
    <row r="51358" spans="1:100">
      <c r="A51358" s="374"/>
      <c r="C51358" s="374"/>
      <c r="CV51358" s="376"/>
    </row>
    <row r="51359" spans="1:100">
      <c r="A51359" s="374"/>
      <c r="C51359" s="374"/>
      <c r="CV51359" s="376"/>
    </row>
    <row r="51360" spans="1:100">
      <c r="A51360" s="374"/>
      <c r="C51360" s="374"/>
      <c r="CV51360" s="376"/>
    </row>
    <row r="51361" spans="1:100">
      <c r="A51361" s="374"/>
      <c r="C51361" s="374"/>
      <c r="CV51361" s="376"/>
    </row>
    <row r="51362" spans="1:100">
      <c r="A51362" s="374"/>
      <c r="C51362" s="374"/>
      <c r="CV51362" s="376"/>
    </row>
    <row r="51363" spans="1:100">
      <c r="A51363" s="374"/>
      <c r="C51363" s="374"/>
      <c r="CV51363" s="376"/>
    </row>
    <row r="51364" spans="1:100">
      <c r="A51364" s="374"/>
      <c r="C51364" s="374"/>
      <c r="CV51364" s="376"/>
    </row>
    <row r="51365" spans="1:100">
      <c r="A51365" s="374"/>
      <c r="C51365" s="374"/>
      <c r="CV51365" s="376"/>
    </row>
    <row r="51366" spans="1:100">
      <c r="A51366" s="374"/>
      <c r="C51366" s="374"/>
      <c r="CV51366" s="376"/>
    </row>
    <row r="51367" spans="1:100">
      <c r="A51367" s="374"/>
      <c r="C51367" s="374"/>
      <c r="CV51367" s="376"/>
    </row>
    <row r="51368" spans="1:100">
      <c r="A51368" s="374"/>
      <c r="C51368" s="374"/>
      <c r="CV51368" s="376"/>
    </row>
    <row r="51369" spans="1:100">
      <c r="A51369" s="374"/>
      <c r="C51369" s="374"/>
      <c r="CV51369" s="376"/>
    </row>
    <row r="51370" spans="1:100">
      <c r="A51370" s="374"/>
      <c r="C51370" s="374"/>
      <c r="CV51370" s="376"/>
    </row>
    <row r="51371" spans="1:100">
      <c r="A51371" s="374"/>
      <c r="C51371" s="374"/>
      <c r="CV51371" s="376"/>
    </row>
    <row r="51372" spans="1:100">
      <c r="A51372" s="374"/>
      <c r="C51372" s="374"/>
      <c r="CV51372" s="376"/>
    </row>
    <row r="51373" spans="1:100">
      <c r="A51373" s="374"/>
      <c r="C51373" s="374"/>
      <c r="CV51373" s="376"/>
    </row>
    <row r="51374" spans="1:100">
      <c r="A51374" s="374"/>
      <c r="C51374" s="374"/>
      <c r="CV51374" s="376"/>
    </row>
    <row r="51375" spans="1:100">
      <c r="A51375" s="374"/>
      <c r="C51375" s="374"/>
      <c r="CV51375" s="376"/>
    </row>
    <row r="51376" spans="1:100">
      <c r="A51376" s="374"/>
      <c r="C51376" s="374"/>
      <c r="CV51376" s="376"/>
    </row>
    <row r="51377" spans="1:100">
      <c r="A51377" s="374"/>
      <c r="C51377" s="374"/>
      <c r="CV51377" s="376"/>
    </row>
    <row r="51378" spans="1:100">
      <c r="A51378" s="374"/>
      <c r="C51378" s="374"/>
      <c r="CV51378" s="376"/>
    </row>
    <row r="51379" spans="1:100">
      <c r="A51379" s="374"/>
      <c r="C51379" s="374"/>
      <c r="CV51379" s="376"/>
    </row>
    <row r="51380" spans="1:100">
      <c r="A51380" s="374"/>
      <c r="C51380" s="374"/>
      <c r="CV51380" s="376"/>
    </row>
    <row r="51381" spans="1:100">
      <c r="A51381" s="374"/>
      <c r="C51381" s="374"/>
      <c r="CV51381" s="376"/>
    </row>
    <row r="51382" spans="1:100">
      <c r="A51382" s="374"/>
      <c r="C51382" s="374"/>
      <c r="CV51382" s="376"/>
    </row>
    <row r="51383" spans="1:100">
      <c r="A51383" s="374"/>
      <c r="C51383" s="374"/>
      <c r="CV51383" s="376"/>
    </row>
    <row r="51384" spans="1:100">
      <c r="A51384" s="374"/>
      <c r="C51384" s="374"/>
      <c r="CV51384" s="376"/>
    </row>
    <row r="51385" spans="1:100">
      <c r="A51385" s="374"/>
      <c r="C51385" s="374"/>
      <c r="CV51385" s="376"/>
    </row>
    <row r="51386" spans="1:100">
      <c r="A51386" s="374"/>
      <c r="C51386" s="374"/>
      <c r="CV51386" s="376"/>
    </row>
    <row r="51387" spans="1:100">
      <c r="A51387" s="374"/>
      <c r="C51387" s="374"/>
      <c r="CV51387" s="376"/>
    </row>
    <row r="51388" spans="1:100">
      <c r="A51388" s="374"/>
      <c r="C51388" s="374"/>
      <c r="CV51388" s="376"/>
    </row>
    <row r="51389" spans="1:100">
      <c r="A51389" s="374"/>
      <c r="C51389" s="374"/>
      <c r="CV51389" s="376"/>
    </row>
    <row r="51390" spans="1:100">
      <c r="A51390" s="374"/>
      <c r="C51390" s="374"/>
      <c r="CV51390" s="376"/>
    </row>
    <row r="51391" spans="1:100">
      <c r="A51391" s="374"/>
      <c r="C51391" s="374"/>
      <c r="CV51391" s="376"/>
    </row>
    <row r="51392" spans="1:100">
      <c r="A51392" s="374"/>
      <c r="C51392" s="374"/>
      <c r="CV51392" s="376"/>
    </row>
    <row r="51393" spans="1:100">
      <c r="A51393" s="374"/>
      <c r="C51393" s="374"/>
      <c r="CV51393" s="376"/>
    </row>
    <row r="51394" spans="1:100">
      <c r="A51394" s="374"/>
      <c r="C51394" s="374"/>
      <c r="CV51394" s="376"/>
    </row>
    <row r="51395" spans="1:100">
      <c r="A51395" s="374"/>
      <c r="C51395" s="374"/>
      <c r="CV51395" s="376"/>
    </row>
    <row r="51396" spans="1:100">
      <c r="A51396" s="374"/>
      <c r="C51396" s="374"/>
      <c r="CV51396" s="376"/>
    </row>
    <row r="51397" spans="1:100">
      <c r="A51397" s="374"/>
      <c r="C51397" s="374"/>
      <c r="CV51397" s="376"/>
    </row>
    <row r="51398" spans="1:100">
      <c r="A51398" s="374"/>
      <c r="C51398" s="374"/>
      <c r="CV51398" s="376"/>
    </row>
    <row r="51399" spans="1:100">
      <c r="A51399" s="374"/>
      <c r="C51399" s="374"/>
      <c r="CV51399" s="376"/>
    </row>
    <row r="51400" spans="1:100">
      <c r="A51400" s="374"/>
      <c r="C51400" s="374"/>
      <c r="CV51400" s="376"/>
    </row>
    <row r="51401" spans="1:100">
      <c r="A51401" s="374"/>
      <c r="C51401" s="374"/>
      <c r="CV51401" s="376"/>
    </row>
    <row r="51402" spans="1:100">
      <c r="A51402" s="374"/>
      <c r="C51402" s="374"/>
      <c r="CV51402" s="376"/>
    </row>
    <row r="51403" spans="1:100">
      <c r="A51403" s="374"/>
      <c r="C51403" s="374"/>
      <c r="CV51403" s="376"/>
    </row>
    <row r="51404" spans="1:100">
      <c r="A51404" s="374"/>
      <c r="C51404" s="374"/>
      <c r="CV51404" s="376"/>
    </row>
    <row r="51405" spans="1:100">
      <c r="A51405" s="374"/>
      <c r="C51405" s="374"/>
      <c r="CV51405" s="376"/>
    </row>
    <row r="51406" spans="1:100">
      <c r="A51406" s="374"/>
      <c r="C51406" s="374"/>
      <c r="CV51406" s="376"/>
    </row>
    <row r="51407" spans="1:100">
      <c r="A51407" s="374"/>
      <c r="C51407" s="374"/>
      <c r="CV51407" s="376"/>
    </row>
    <row r="51408" spans="1:100">
      <c r="A51408" s="374"/>
      <c r="C51408" s="374"/>
      <c r="CV51408" s="376"/>
    </row>
    <row r="51409" spans="1:100">
      <c r="A51409" s="374"/>
      <c r="C51409" s="374"/>
      <c r="CV51409" s="376"/>
    </row>
    <row r="51410" spans="1:100">
      <c r="A51410" s="374"/>
      <c r="C51410" s="374"/>
      <c r="CV51410" s="376"/>
    </row>
    <row r="51411" spans="1:100">
      <c r="A51411" s="374"/>
      <c r="C51411" s="374"/>
      <c r="CV51411" s="376"/>
    </row>
    <row r="51412" spans="1:100">
      <c r="A51412" s="374"/>
      <c r="C51412" s="374"/>
      <c r="CV51412" s="376"/>
    </row>
    <row r="51413" spans="1:100">
      <c r="A51413" s="374"/>
      <c r="C51413" s="374"/>
      <c r="CV51413" s="376"/>
    </row>
    <row r="51414" spans="1:100">
      <c r="A51414" s="374"/>
      <c r="C51414" s="374"/>
      <c r="CV51414" s="376"/>
    </row>
    <row r="51415" spans="1:100">
      <c r="A51415" s="374"/>
      <c r="C51415" s="374"/>
      <c r="CV51415" s="376"/>
    </row>
    <row r="51416" spans="1:100">
      <c r="A51416" s="374"/>
      <c r="C51416" s="374"/>
      <c r="CV51416" s="376"/>
    </row>
    <row r="51417" spans="1:100">
      <c r="A51417" s="374"/>
      <c r="C51417" s="374"/>
      <c r="CV51417" s="376"/>
    </row>
    <row r="51418" spans="1:100">
      <c r="A51418" s="374"/>
      <c r="C51418" s="374"/>
      <c r="CV51418" s="376"/>
    </row>
    <row r="51419" spans="1:100">
      <c r="A51419" s="374"/>
      <c r="C51419" s="374"/>
      <c r="CV51419" s="376"/>
    </row>
    <row r="51420" spans="1:100">
      <c r="A51420" s="374"/>
      <c r="C51420" s="374"/>
      <c r="CV51420" s="376"/>
    </row>
    <row r="51421" spans="1:100">
      <c r="A51421" s="374"/>
      <c r="C51421" s="374"/>
      <c r="CV51421" s="376"/>
    </row>
    <row r="51422" spans="1:100">
      <c r="A51422" s="374"/>
      <c r="C51422" s="374"/>
      <c r="CV51422" s="376"/>
    </row>
    <row r="51423" spans="1:100">
      <c r="A51423" s="374"/>
      <c r="C51423" s="374"/>
      <c r="CV51423" s="376"/>
    </row>
    <row r="51424" spans="1:100">
      <c r="A51424" s="374"/>
      <c r="C51424" s="374"/>
      <c r="CV51424" s="376"/>
    </row>
    <row r="51425" spans="1:100">
      <c r="A51425" s="374"/>
      <c r="C51425" s="374"/>
      <c r="CV51425" s="376"/>
    </row>
    <row r="51426" spans="1:100">
      <c r="A51426" s="374"/>
      <c r="C51426" s="374"/>
      <c r="CV51426" s="376"/>
    </row>
    <row r="51427" spans="1:100">
      <c r="A51427" s="374"/>
      <c r="C51427" s="374"/>
      <c r="CV51427" s="376"/>
    </row>
    <row r="51428" spans="1:100">
      <c r="A51428" s="374"/>
      <c r="C51428" s="374"/>
      <c r="CV51428" s="376"/>
    </row>
    <row r="51429" spans="1:100">
      <c r="A51429" s="374"/>
      <c r="C51429" s="374"/>
      <c r="CV51429" s="376"/>
    </row>
    <row r="51430" spans="1:100">
      <c r="A51430" s="374"/>
      <c r="C51430" s="374"/>
      <c r="CV51430" s="376"/>
    </row>
    <row r="51431" spans="1:100">
      <c r="A51431" s="374"/>
      <c r="C51431" s="374"/>
      <c r="CV51431" s="376"/>
    </row>
    <row r="51432" spans="1:100">
      <c r="A51432" s="374"/>
      <c r="C51432" s="374"/>
      <c r="CV51432" s="376"/>
    </row>
    <row r="51433" spans="1:100">
      <c r="A51433" s="374"/>
      <c r="C51433" s="374"/>
      <c r="CV51433" s="376"/>
    </row>
    <row r="51434" spans="1:100">
      <c r="A51434" s="374"/>
      <c r="C51434" s="374"/>
      <c r="CV51434" s="376"/>
    </row>
    <row r="51435" spans="1:100">
      <c r="A51435" s="374"/>
      <c r="C51435" s="374"/>
      <c r="CV51435" s="376"/>
    </row>
    <row r="51436" spans="1:100">
      <c r="A51436" s="374"/>
      <c r="C51436" s="374"/>
      <c r="CV51436" s="376"/>
    </row>
    <row r="51437" spans="1:100">
      <c r="A51437" s="374"/>
      <c r="C51437" s="374"/>
      <c r="CV51437" s="376"/>
    </row>
    <row r="51438" spans="1:100">
      <c r="A51438" s="374"/>
      <c r="C51438" s="374"/>
      <c r="CV51438" s="376"/>
    </row>
    <row r="51439" spans="1:100">
      <c r="A51439" s="374"/>
      <c r="C51439" s="374"/>
      <c r="CV51439" s="376"/>
    </row>
    <row r="51440" spans="1:100">
      <c r="A51440" s="374"/>
      <c r="C51440" s="374"/>
      <c r="CV51440" s="376"/>
    </row>
    <row r="51441" spans="1:100">
      <c r="A51441" s="374"/>
      <c r="C51441" s="374"/>
      <c r="CV51441" s="376"/>
    </row>
    <row r="51442" spans="1:100">
      <c r="A51442" s="374"/>
      <c r="C51442" s="374"/>
      <c r="CV51442" s="376"/>
    </row>
    <row r="51443" spans="1:100">
      <c r="A51443" s="374"/>
      <c r="C51443" s="374"/>
      <c r="CV51443" s="376"/>
    </row>
    <row r="51444" spans="1:100">
      <c r="A51444" s="374"/>
      <c r="C51444" s="374"/>
      <c r="CV51444" s="376"/>
    </row>
    <row r="51445" spans="1:100">
      <c r="A51445" s="374"/>
      <c r="C51445" s="374"/>
      <c r="CV51445" s="376"/>
    </row>
    <row r="51446" spans="1:100">
      <c r="A51446" s="374"/>
      <c r="C51446" s="374"/>
      <c r="CV51446" s="376"/>
    </row>
    <row r="51447" spans="1:100">
      <c r="A51447" s="374"/>
      <c r="C51447" s="374"/>
      <c r="CV51447" s="376"/>
    </row>
    <row r="51448" spans="1:100">
      <c r="A51448" s="374"/>
      <c r="C51448" s="374"/>
      <c r="CV51448" s="376"/>
    </row>
    <row r="51449" spans="1:100">
      <c r="A51449" s="374"/>
      <c r="C51449" s="374"/>
      <c r="CV51449" s="376"/>
    </row>
    <row r="51450" spans="1:100">
      <c r="A51450" s="374"/>
      <c r="C51450" s="374"/>
      <c r="CV51450" s="376"/>
    </row>
    <row r="51451" spans="1:100">
      <c r="A51451" s="374"/>
      <c r="C51451" s="374"/>
      <c r="CV51451" s="376"/>
    </row>
    <row r="51452" spans="1:100">
      <c r="A51452" s="374"/>
      <c r="C51452" s="374"/>
      <c r="CV51452" s="376"/>
    </row>
    <row r="51453" spans="1:100">
      <c r="A51453" s="374"/>
      <c r="C51453" s="374"/>
      <c r="CV51453" s="376"/>
    </row>
    <row r="51454" spans="1:100">
      <c r="A51454" s="374"/>
      <c r="C51454" s="374"/>
      <c r="CV51454" s="376"/>
    </row>
    <row r="51455" spans="1:100">
      <c r="A51455" s="374"/>
      <c r="C51455" s="374"/>
      <c r="CV51455" s="376"/>
    </row>
    <row r="51456" spans="1:100">
      <c r="A51456" s="374"/>
      <c r="C51456" s="374"/>
      <c r="CV51456" s="376"/>
    </row>
    <row r="51457" spans="1:100">
      <c r="A51457" s="374"/>
      <c r="C51457" s="374"/>
      <c r="CV51457" s="376"/>
    </row>
    <row r="51458" spans="1:100">
      <c r="A51458" s="374"/>
      <c r="C51458" s="374"/>
      <c r="CV51458" s="376"/>
    </row>
    <row r="51459" spans="1:100">
      <c r="A51459" s="374"/>
      <c r="C51459" s="374"/>
      <c r="CV51459" s="376"/>
    </row>
    <row r="51460" spans="1:100">
      <c r="A51460" s="374"/>
      <c r="C51460" s="374"/>
      <c r="CV51460" s="376"/>
    </row>
    <row r="51461" spans="1:100">
      <c r="A51461" s="374"/>
      <c r="C51461" s="374"/>
      <c r="CV51461" s="376"/>
    </row>
    <row r="51462" spans="1:100">
      <c r="A51462" s="374"/>
      <c r="C51462" s="374"/>
      <c r="CV51462" s="376"/>
    </row>
    <row r="51463" spans="1:100">
      <c r="A51463" s="374"/>
      <c r="C51463" s="374"/>
      <c r="CV51463" s="376"/>
    </row>
    <row r="51464" spans="1:100">
      <c r="A51464" s="374"/>
      <c r="C51464" s="374"/>
      <c r="CV51464" s="376"/>
    </row>
    <row r="51465" spans="1:100">
      <c r="A51465" s="374"/>
      <c r="C51465" s="374"/>
      <c r="CV51465" s="376"/>
    </row>
    <row r="51466" spans="1:100">
      <c r="A51466" s="374"/>
      <c r="C51466" s="374"/>
      <c r="CV51466" s="376"/>
    </row>
    <row r="51467" spans="1:100">
      <c r="A51467" s="374"/>
      <c r="C51467" s="374"/>
      <c r="CV51467" s="376"/>
    </row>
    <row r="51468" spans="1:100">
      <c r="A51468" s="374"/>
      <c r="C51468" s="374"/>
      <c r="CV51468" s="376"/>
    </row>
    <row r="51469" spans="1:100">
      <c r="A51469" s="374"/>
      <c r="C51469" s="374"/>
      <c r="CV51469" s="376"/>
    </row>
    <row r="51470" spans="1:100">
      <c r="A51470" s="374"/>
      <c r="C51470" s="374"/>
      <c r="CV51470" s="376"/>
    </row>
    <row r="51471" spans="1:100">
      <c r="A51471" s="374"/>
      <c r="C51471" s="374"/>
      <c r="CV51471" s="376"/>
    </row>
    <row r="51472" spans="1:100">
      <c r="A51472" s="374"/>
      <c r="C51472" s="374"/>
      <c r="CV51472" s="376"/>
    </row>
    <row r="51473" spans="1:100">
      <c r="A51473" s="374"/>
      <c r="C51473" s="374"/>
      <c r="CV51473" s="376"/>
    </row>
    <row r="51474" spans="1:100">
      <c r="A51474" s="374"/>
      <c r="C51474" s="374"/>
      <c r="CV51474" s="376"/>
    </row>
    <row r="51475" spans="1:100">
      <c r="A51475" s="374"/>
      <c r="C51475" s="374"/>
      <c r="CV51475" s="376"/>
    </row>
    <row r="51476" spans="1:100">
      <c r="A51476" s="374"/>
      <c r="C51476" s="374"/>
      <c r="CV51476" s="376"/>
    </row>
    <row r="51477" spans="1:100">
      <c r="A51477" s="374"/>
      <c r="C51477" s="374"/>
      <c r="CV51477" s="376"/>
    </row>
    <row r="51478" spans="1:100">
      <c r="A51478" s="374"/>
      <c r="C51478" s="374"/>
      <c r="CV51478" s="376"/>
    </row>
    <row r="51479" spans="1:100">
      <c r="A51479" s="374"/>
      <c r="C51479" s="374"/>
      <c r="CV51479" s="376"/>
    </row>
    <row r="51480" spans="1:100">
      <c r="A51480" s="374"/>
      <c r="C51480" s="374"/>
      <c r="CV51480" s="376"/>
    </row>
    <row r="51481" spans="1:100">
      <c r="A51481" s="374"/>
      <c r="C51481" s="374"/>
      <c r="CV51481" s="376"/>
    </row>
    <row r="51482" spans="1:100">
      <c r="A51482" s="374"/>
      <c r="C51482" s="374"/>
      <c r="CV51482" s="376"/>
    </row>
    <row r="51483" spans="1:100">
      <c r="A51483" s="374"/>
      <c r="C51483" s="374"/>
      <c r="CV51483" s="376"/>
    </row>
    <row r="51484" spans="1:100">
      <c r="A51484" s="374"/>
      <c r="C51484" s="374"/>
      <c r="CV51484" s="376"/>
    </row>
    <row r="51485" spans="1:100">
      <c r="A51485" s="374"/>
      <c r="C51485" s="374"/>
      <c r="CV51485" s="376"/>
    </row>
    <row r="51486" spans="1:100">
      <c r="A51486" s="374"/>
      <c r="C51486" s="374"/>
      <c r="CV51486" s="376"/>
    </row>
    <row r="51487" spans="1:100">
      <c r="A51487" s="374"/>
      <c r="C51487" s="374"/>
      <c r="CV51487" s="376"/>
    </row>
    <row r="51488" spans="1:100">
      <c r="A51488" s="374"/>
      <c r="C51488" s="374"/>
      <c r="CV51488" s="376"/>
    </row>
    <row r="51489" spans="1:100">
      <c r="A51489" s="374"/>
      <c r="C51489" s="374"/>
      <c r="CV51489" s="376"/>
    </row>
    <row r="51490" spans="1:100">
      <c r="A51490" s="374"/>
      <c r="C51490" s="374"/>
      <c r="CV51490" s="376"/>
    </row>
    <row r="51491" spans="1:100">
      <c r="A51491" s="374"/>
      <c r="C51491" s="374"/>
      <c r="CV51491" s="376"/>
    </row>
    <row r="51492" spans="1:100">
      <c r="A51492" s="374"/>
      <c r="C51492" s="374"/>
      <c r="CV51492" s="376"/>
    </row>
    <row r="51493" spans="1:100">
      <c r="A51493" s="374"/>
      <c r="C51493" s="374"/>
      <c r="CV51493" s="376"/>
    </row>
    <row r="51494" spans="1:100">
      <c r="A51494" s="374"/>
      <c r="C51494" s="374"/>
      <c r="CV51494" s="376"/>
    </row>
    <row r="51495" spans="1:100">
      <c r="A51495" s="374"/>
      <c r="C51495" s="374"/>
      <c r="CV51495" s="376"/>
    </row>
    <row r="51496" spans="1:100">
      <c r="A51496" s="374"/>
      <c r="C51496" s="374"/>
      <c r="CV51496" s="376"/>
    </row>
    <row r="51497" spans="1:100">
      <c r="A51497" s="374"/>
      <c r="C51497" s="374"/>
      <c r="CV51497" s="376"/>
    </row>
    <row r="51498" spans="1:100">
      <c r="A51498" s="374"/>
      <c r="C51498" s="374"/>
      <c r="CV51498" s="376"/>
    </row>
    <row r="51499" spans="1:100">
      <c r="A51499" s="374"/>
      <c r="C51499" s="374"/>
      <c r="CV51499" s="376"/>
    </row>
    <row r="51500" spans="1:100">
      <c r="A51500" s="374"/>
      <c r="C51500" s="374"/>
      <c r="CV51500" s="376"/>
    </row>
    <row r="51501" spans="1:100">
      <c r="A51501" s="374"/>
      <c r="C51501" s="374"/>
      <c r="CV51501" s="376"/>
    </row>
    <row r="51502" spans="1:100">
      <c r="A51502" s="374"/>
      <c r="C51502" s="374"/>
      <c r="CV51502" s="376"/>
    </row>
    <row r="51503" spans="1:100">
      <c r="A51503" s="374"/>
      <c r="C51503" s="374"/>
      <c r="CV51503" s="376"/>
    </row>
    <row r="51504" spans="1:100">
      <c r="A51504" s="374"/>
      <c r="C51504" s="374"/>
      <c r="CV51504" s="376"/>
    </row>
    <row r="51505" spans="1:100">
      <c r="A51505" s="374"/>
      <c r="C51505" s="374"/>
      <c r="CV51505" s="376"/>
    </row>
    <row r="51506" spans="1:100">
      <c r="A51506" s="374"/>
      <c r="C51506" s="374"/>
      <c r="CV51506" s="376"/>
    </row>
    <row r="51507" spans="1:100">
      <c r="A51507" s="374"/>
      <c r="C51507" s="374"/>
      <c r="CV51507" s="376"/>
    </row>
    <row r="51508" spans="1:100">
      <c r="A51508" s="374"/>
      <c r="C51508" s="374"/>
      <c r="CV51508" s="376"/>
    </row>
    <row r="51509" spans="1:100">
      <c r="A51509" s="374"/>
      <c r="C51509" s="374"/>
      <c r="CV51509" s="376"/>
    </row>
    <row r="51510" spans="1:100">
      <c r="A51510" s="374"/>
      <c r="C51510" s="374"/>
      <c r="CV51510" s="376"/>
    </row>
    <row r="51511" spans="1:100">
      <c r="A51511" s="374"/>
      <c r="C51511" s="374"/>
      <c r="CV51511" s="376"/>
    </row>
    <row r="51512" spans="1:100">
      <c r="A51512" s="374"/>
      <c r="C51512" s="374"/>
      <c r="CV51512" s="376"/>
    </row>
    <row r="51513" spans="1:100">
      <c r="A51513" s="374"/>
      <c r="C51513" s="374"/>
      <c r="CV51513" s="376"/>
    </row>
    <row r="51514" spans="1:100">
      <c r="A51514" s="374"/>
      <c r="C51514" s="374"/>
      <c r="CV51514" s="376"/>
    </row>
    <row r="51515" spans="1:100">
      <c r="A51515" s="374"/>
      <c r="C51515" s="374"/>
      <c r="CV51515" s="376"/>
    </row>
    <row r="51516" spans="1:100">
      <c r="A51516" s="374"/>
      <c r="C51516" s="374"/>
      <c r="CV51516" s="376"/>
    </row>
    <row r="51517" spans="1:100">
      <c r="A51517" s="374"/>
      <c r="C51517" s="374"/>
      <c r="CV51517" s="376"/>
    </row>
    <row r="51518" spans="1:100">
      <c r="A51518" s="374"/>
      <c r="C51518" s="374"/>
      <c r="CV51518" s="376"/>
    </row>
    <row r="51519" spans="1:100">
      <c r="A51519" s="374"/>
      <c r="C51519" s="374"/>
      <c r="CV51519" s="376"/>
    </row>
    <row r="51520" spans="1:100">
      <c r="A51520" s="374"/>
      <c r="C51520" s="374"/>
      <c r="CV51520" s="376"/>
    </row>
    <row r="51521" spans="1:100">
      <c r="A51521" s="374"/>
      <c r="C51521" s="374"/>
      <c r="CV51521" s="376"/>
    </row>
    <row r="51522" spans="1:100">
      <c r="A51522" s="374"/>
      <c r="C51522" s="374"/>
      <c r="CV51522" s="376"/>
    </row>
    <row r="51523" spans="1:100">
      <c r="A51523" s="374"/>
      <c r="C51523" s="374"/>
      <c r="CV51523" s="376"/>
    </row>
    <row r="51524" spans="1:100">
      <c r="A51524" s="374"/>
      <c r="C51524" s="374"/>
      <c r="CV51524" s="376"/>
    </row>
    <row r="51525" spans="1:100">
      <c r="A51525" s="374"/>
      <c r="C51525" s="374"/>
      <c r="CV51525" s="376"/>
    </row>
    <row r="51526" spans="1:100">
      <c r="A51526" s="374"/>
      <c r="C51526" s="374"/>
      <c r="CV51526" s="376"/>
    </row>
    <row r="51527" spans="1:100">
      <c r="A51527" s="374"/>
      <c r="C51527" s="374"/>
      <c r="CV51527" s="376"/>
    </row>
    <row r="51528" spans="1:100">
      <c r="A51528" s="374"/>
      <c r="C51528" s="374"/>
      <c r="CV51528" s="376"/>
    </row>
    <row r="51529" spans="1:100">
      <c r="A51529" s="374"/>
      <c r="C51529" s="374"/>
      <c r="CV51529" s="376"/>
    </row>
    <row r="51530" spans="1:100">
      <c r="A51530" s="374"/>
      <c r="C51530" s="374"/>
      <c r="CV51530" s="376"/>
    </row>
    <row r="51531" spans="1:100">
      <c r="A51531" s="374"/>
      <c r="C51531" s="374"/>
      <c r="CV51531" s="376"/>
    </row>
    <row r="51532" spans="1:100">
      <c r="A51532" s="374"/>
      <c r="C51532" s="374"/>
      <c r="CV51532" s="376"/>
    </row>
    <row r="51533" spans="1:100">
      <c r="A51533" s="374"/>
      <c r="C51533" s="374"/>
      <c r="CV51533" s="376"/>
    </row>
    <row r="51534" spans="1:100">
      <c r="A51534" s="374"/>
      <c r="C51534" s="374"/>
      <c r="CV51534" s="376"/>
    </row>
    <row r="51535" spans="1:100">
      <c r="A51535" s="374"/>
      <c r="C51535" s="374"/>
      <c r="CV51535" s="376"/>
    </row>
    <row r="51536" spans="1:100">
      <c r="A51536" s="374"/>
      <c r="C51536" s="374"/>
      <c r="CV51536" s="376"/>
    </row>
    <row r="51537" spans="1:100">
      <c r="A51537" s="374"/>
      <c r="C51537" s="374"/>
      <c r="CV51537" s="376"/>
    </row>
    <row r="51538" spans="1:100">
      <c r="A51538" s="374"/>
      <c r="C51538" s="374"/>
      <c r="CV51538" s="376"/>
    </row>
    <row r="51539" spans="1:100">
      <c r="A51539" s="374"/>
      <c r="C51539" s="374"/>
      <c r="CV51539" s="376"/>
    </row>
    <row r="51540" spans="1:100">
      <c r="A51540" s="374"/>
      <c r="C51540" s="374"/>
      <c r="CV51540" s="376"/>
    </row>
    <row r="51541" spans="1:100">
      <c r="A51541" s="374"/>
      <c r="C51541" s="374"/>
      <c r="CV51541" s="376"/>
    </row>
    <row r="51542" spans="1:100">
      <c r="A51542" s="374"/>
      <c r="C51542" s="374"/>
      <c r="CV51542" s="376"/>
    </row>
    <row r="51543" spans="1:100">
      <c r="A51543" s="374"/>
      <c r="C51543" s="374"/>
      <c r="CV51543" s="376"/>
    </row>
    <row r="51544" spans="1:100">
      <c r="A51544" s="374"/>
      <c r="C51544" s="374"/>
      <c r="CV51544" s="376"/>
    </row>
    <row r="51545" spans="1:100">
      <c r="A51545" s="374"/>
      <c r="C51545" s="374"/>
      <c r="CV51545" s="376"/>
    </row>
    <row r="51546" spans="1:100">
      <c r="A51546" s="374"/>
      <c r="C51546" s="374"/>
      <c r="CV51546" s="376"/>
    </row>
    <row r="51547" spans="1:100">
      <c r="A51547" s="374"/>
      <c r="C51547" s="374"/>
      <c r="CV51547" s="376"/>
    </row>
    <row r="51548" spans="1:100">
      <c r="A51548" s="374"/>
      <c r="C51548" s="374"/>
      <c r="CV51548" s="376"/>
    </row>
    <row r="51549" spans="1:100">
      <c r="A51549" s="374"/>
      <c r="C51549" s="374"/>
      <c r="CV51549" s="376"/>
    </row>
    <row r="51550" spans="1:100">
      <c r="A51550" s="374"/>
      <c r="C51550" s="374"/>
      <c r="CV51550" s="376"/>
    </row>
    <row r="51551" spans="1:100">
      <c r="A51551" s="374"/>
      <c r="C51551" s="374"/>
      <c r="CV51551" s="376"/>
    </row>
    <row r="51552" spans="1:100">
      <c r="A51552" s="374"/>
      <c r="C51552" s="374"/>
      <c r="CV51552" s="376"/>
    </row>
    <row r="51553" spans="1:100">
      <c r="A51553" s="374"/>
      <c r="C51553" s="374"/>
      <c r="CV51553" s="376"/>
    </row>
    <row r="51554" spans="1:100">
      <c r="A51554" s="374"/>
      <c r="C51554" s="374"/>
      <c r="CV51554" s="376"/>
    </row>
    <row r="51555" spans="1:100">
      <c r="A51555" s="374"/>
      <c r="C51555" s="374"/>
      <c r="CV51555" s="376"/>
    </row>
    <row r="51556" spans="1:100">
      <c r="A51556" s="374"/>
      <c r="C51556" s="374"/>
      <c r="CV51556" s="376"/>
    </row>
    <row r="51557" spans="1:100">
      <c r="A51557" s="374"/>
      <c r="C51557" s="374"/>
      <c r="CV51557" s="376"/>
    </row>
    <row r="51558" spans="1:100">
      <c r="A51558" s="374"/>
      <c r="C51558" s="374"/>
      <c r="CV51558" s="376"/>
    </row>
    <row r="51559" spans="1:100">
      <c r="A51559" s="374"/>
      <c r="C51559" s="374"/>
      <c r="CV51559" s="376"/>
    </row>
    <row r="51560" spans="1:100">
      <c r="A51560" s="374"/>
      <c r="C51560" s="374"/>
      <c r="CV51560" s="376"/>
    </row>
    <row r="51561" spans="1:100">
      <c r="A51561" s="374"/>
      <c r="C51561" s="374"/>
      <c r="CV51561" s="376"/>
    </row>
    <row r="51562" spans="1:100">
      <c r="A51562" s="374"/>
      <c r="C51562" s="374"/>
      <c r="CV51562" s="376"/>
    </row>
    <row r="51563" spans="1:100">
      <c r="A51563" s="374"/>
      <c r="C51563" s="374"/>
      <c r="CV51563" s="376"/>
    </row>
    <row r="51564" spans="1:100">
      <c r="A51564" s="374"/>
      <c r="C51564" s="374"/>
      <c r="CV51564" s="376"/>
    </row>
    <row r="51565" spans="1:100">
      <c r="A51565" s="374"/>
      <c r="C51565" s="374"/>
      <c r="CV51565" s="376"/>
    </row>
    <row r="51566" spans="1:100">
      <c r="A51566" s="374"/>
      <c r="C51566" s="374"/>
      <c r="CV51566" s="376"/>
    </row>
    <row r="51567" spans="1:100">
      <c r="A51567" s="374"/>
      <c r="C51567" s="374"/>
      <c r="CV51567" s="376"/>
    </row>
    <row r="51568" spans="1:100">
      <c r="A51568" s="374"/>
      <c r="C51568" s="374"/>
      <c r="CV51568" s="376"/>
    </row>
    <row r="51569" spans="1:100">
      <c r="A51569" s="374"/>
      <c r="C51569" s="374"/>
      <c r="CV51569" s="376"/>
    </row>
    <row r="51570" spans="1:100">
      <c r="A51570" s="374"/>
      <c r="C51570" s="374"/>
      <c r="CV51570" s="376"/>
    </row>
    <row r="51571" spans="1:100">
      <c r="A51571" s="374"/>
      <c r="C51571" s="374"/>
      <c r="CV51571" s="376"/>
    </row>
    <row r="51572" spans="1:100">
      <c r="A51572" s="374"/>
      <c r="C51572" s="374"/>
      <c r="CV51572" s="376"/>
    </row>
    <row r="51573" spans="1:100">
      <c r="A51573" s="374"/>
      <c r="C51573" s="374"/>
      <c r="CV51573" s="376"/>
    </row>
    <row r="51574" spans="1:100">
      <c r="A51574" s="374"/>
      <c r="C51574" s="374"/>
      <c r="CV51574" s="376"/>
    </row>
    <row r="51575" spans="1:100">
      <c r="A51575" s="374"/>
      <c r="C51575" s="374"/>
      <c r="CV51575" s="376"/>
    </row>
    <row r="51576" spans="1:100">
      <c r="A51576" s="374"/>
      <c r="C51576" s="374"/>
      <c r="CV51576" s="376"/>
    </row>
    <row r="51577" spans="1:100">
      <c r="A51577" s="374"/>
      <c r="C51577" s="374"/>
      <c r="CV51577" s="376"/>
    </row>
    <row r="51578" spans="1:100">
      <c r="A51578" s="374"/>
      <c r="C51578" s="374"/>
      <c r="CV51578" s="376"/>
    </row>
    <row r="51579" spans="1:100">
      <c r="A51579" s="374"/>
      <c r="C51579" s="374"/>
      <c r="CV51579" s="376"/>
    </row>
    <row r="51580" spans="1:100">
      <c r="A51580" s="374"/>
      <c r="C51580" s="374"/>
      <c r="CV51580" s="376"/>
    </row>
    <row r="51581" spans="1:100">
      <c r="A51581" s="374"/>
      <c r="C51581" s="374"/>
      <c r="CV51581" s="376"/>
    </row>
    <row r="51582" spans="1:100">
      <c r="A51582" s="374"/>
      <c r="C51582" s="374"/>
      <c r="CV51582" s="376"/>
    </row>
    <row r="51583" spans="1:100">
      <c r="A51583" s="374"/>
      <c r="C51583" s="374"/>
      <c r="CV51583" s="376"/>
    </row>
    <row r="51584" spans="1:100">
      <c r="A51584" s="374"/>
      <c r="C51584" s="374"/>
      <c r="CV51584" s="376"/>
    </row>
    <row r="51585" spans="1:100">
      <c r="A51585" s="374"/>
      <c r="C51585" s="374"/>
      <c r="CV51585" s="376"/>
    </row>
    <row r="51586" spans="1:100">
      <c r="A51586" s="374"/>
      <c r="C51586" s="374"/>
      <c r="CV51586" s="376"/>
    </row>
    <row r="51587" spans="1:100">
      <c r="A51587" s="374"/>
      <c r="C51587" s="374"/>
      <c r="CV51587" s="376"/>
    </row>
    <row r="51588" spans="1:100">
      <c r="A51588" s="374"/>
      <c r="C51588" s="374"/>
      <c r="CV51588" s="376"/>
    </row>
    <row r="51589" spans="1:100">
      <c r="A51589" s="374"/>
      <c r="C51589" s="374"/>
      <c r="CV51589" s="376"/>
    </row>
    <row r="51590" spans="1:100">
      <c r="A51590" s="374"/>
      <c r="C51590" s="374"/>
      <c r="CV51590" s="376"/>
    </row>
    <row r="51591" spans="1:100">
      <c r="A51591" s="374"/>
      <c r="C51591" s="374"/>
      <c r="CV51591" s="376"/>
    </row>
    <row r="51592" spans="1:100">
      <c r="A51592" s="374"/>
      <c r="C51592" s="374"/>
      <c r="CV51592" s="376"/>
    </row>
    <row r="51593" spans="1:100">
      <c r="A51593" s="374"/>
      <c r="C51593" s="374"/>
      <c r="CV51593" s="376"/>
    </row>
    <row r="51594" spans="1:100">
      <c r="A51594" s="374"/>
      <c r="C51594" s="374"/>
      <c r="CV51594" s="376"/>
    </row>
    <row r="51595" spans="1:100">
      <c r="A51595" s="374"/>
      <c r="C51595" s="374"/>
      <c r="CV51595" s="376"/>
    </row>
    <row r="51596" spans="1:100">
      <c r="A51596" s="374"/>
      <c r="C51596" s="374"/>
      <c r="CV51596" s="376"/>
    </row>
    <row r="51597" spans="1:100">
      <c r="A51597" s="374"/>
      <c r="C51597" s="374"/>
      <c r="CV51597" s="376"/>
    </row>
    <row r="51598" spans="1:100">
      <c r="A51598" s="374"/>
      <c r="C51598" s="374"/>
      <c r="CV51598" s="376"/>
    </row>
    <row r="51599" spans="1:100">
      <c r="A51599" s="374"/>
      <c r="C51599" s="374"/>
      <c r="CV51599" s="376"/>
    </row>
    <row r="51600" spans="1:100">
      <c r="A51600" s="374"/>
      <c r="C51600" s="374"/>
      <c r="CV51600" s="376"/>
    </row>
    <row r="51601" spans="1:100">
      <c r="A51601" s="374"/>
      <c r="C51601" s="374"/>
      <c r="CV51601" s="376"/>
    </row>
    <row r="51602" spans="1:100">
      <c r="A51602" s="374"/>
      <c r="C51602" s="374"/>
      <c r="CV51602" s="376"/>
    </row>
    <row r="51603" spans="1:100">
      <c r="A51603" s="374"/>
      <c r="C51603" s="374"/>
      <c r="CV51603" s="376"/>
    </row>
    <row r="51604" spans="1:100">
      <c r="A51604" s="374"/>
      <c r="C51604" s="374"/>
      <c r="CV51604" s="376"/>
    </row>
    <row r="51605" spans="1:100">
      <c r="A51605" s="374"/>
      <c r="C51605" s="374"/>
      <c r="CV51605" s="376"/>
    </row>
    <row r="51606" spans="1:100">
      <c r="A51606" s="374"/>
      <c r="C51606" s="374"/>
      <c r="CV51606" s="376"/>
    </row>
    <row r="51607" spans="1:100">
      <c r="A51607" s="374"/>
      <c r="C51607" s="374"/>
      <c r="CV51607" s="376"/>
    </row>
    <row r="51608" spans="1:100">
      <c r="A51608" s="374"/>
      <c r="C51608" s="374"/>
      <c r="CV51608" s="376"/>
    </row>
    <row r="51609" spans="1:100">
      <c r="A51609" s="374"/>
      <c r="C51609" s="374"/>
      <c r="CV51609" s="376"/>
    </row>
    <row r="51610" spans="1:100">
      <c r="A51610" s="374"/>
      <c r="C51610" s="374"/>
      <c r="CV51610" s="376"/>
    </row>
    <row r="51611" spans="1:100">
      <c r="A51611" s="374"/>
      <c r="C51611" s="374"/>
      <c r="CV51611" s="376"/>
    </row>
    <row r="51612" spans="1:100">
      <c r="A51612" s="374"/>
      <c r="C51612" s="374"/>
      <c r="CV51612" s="376"/>
    </row>
    <row r="51613" spans="1:100">
      <c r="A51613" s="374"/>
      <c r="C51613" s="374"/>
      <c r="CV51613" s="376"/>
    </row>
    <row r="51614" spans="1:100">
      <c r="A51614" s="374"/>
      <c r="C51614" s="374"/>
      <c r="CV51614" s="376"/>
    </row>
    <row r="51615" spans="1:100">
      <c r="A51615" s="374"/>
      <c r="C51615" s="374"/>
      <c r="CV51615" s="376"/>
    </row>
    <row r="51616" spans="1:100">
      <c r="A51616" s="374"/>
      <c r="C51616" s="374"/>
      <c r="CV51616" s="376"/>
    </row>
    <row r="51617" spans="1:100">
      <c r="A51617" s="374"/>
      <c r="C51617" s="374"/>
      <c r="CV51617" s="376"/>
    </row>
    <row r="51618" spans="1:100">
      <c r="A51618" s="374"/>
      <c r="C51618" s="374"/>
      <c r="CV51618" s="376"/>
    </row>
    <row r="51619" spans="1:100">
      <c r="A51619" s="374"/>
      <c r="C51619" s="374"/>
      <c r="CV51619" s="376"/>
    </row>
    <row r="51620" spans="1:100">
      <c r="A51620" s="374"/>
      <c r="C51620" s="374"/>
      <c r="CV51620" s="376"/>
    </row>
    <row r="51621" spans="1:100">
      <c r="A51621" s="374"/>
      <c r="C51621" s="374"/>
      <c r="CV51621" s="376"/>
    </row>
    <row r="51622" spans="1:100">
      <c r="A51622" s="374"/>
      <c r="C51622" s="374"/>
      <c r="CV51622" s="376"/>
    </row>
    <row r="51623" spans="1:100">
      <c r="A51623" s="374"/>
      <c r="C51623" s="374"/>
      <c r="CV51623" s="376"/>
    </row>
    <row r="51624" spans="1:100">
      <c r="A51624" s="374"/>
      <c r="C51624" s="374"/>
      <c r="CV51624" s="376"/>
    </row>
    <row r="51625" spans="1:100">
      <c r="A51625" s="374"/>
      <c r="C51625" s="374"/>
      <c r="CV51625" s="376"/>
    </row>
    <row r="51626" spans="1:100">
      <c r="A51626" s="374"/>
      <c r="C51626" s="374"/>
      <c r="CV51626" s="376"/>
    </row>
    <row r="51627" spans="1:100">
      <c r="A51627" s="374"/>
      <c r="C51627" s="374"/>
      <c r="CV51627" s="376"/>
    </row>
    <row r="51628" spans="1:100">
      <c r="A51628" s="374"/>
      <c r="C51628" s="374"/>
      <c r="CV51628" s="376"/>
    </row>
    <row r="51629" spans="1:100">
      <c r="A51629" s="374"/>
      <c r="C51629" s="374"/>
      <c r="CV51629" s="376"/>
    </row>
    <row r="51630" spans="1:100">
      <c r="A51630" s="374"/>
      <c r="C51630" s="374"/>
      <c r="CV51630" s="376"/>
    </row>
    <row r="51631" spans="1:100">
      <c r="A51631" s="374"/>
      <c r="C51631" s="374"/>
      <c r="CV51631" s="376"/>
    </row>
    <row r="51632" spans="1:100">
      <c r="A51632" s="374"/>
      <c r="C51632" s="374"/>
      <c r="CV51632" s="376"/>
    </row>
    <row r="51633" spans="1:100">
      <c r="A51633" s="374"/>
      <c r="C51633" s="374"/>
      <c r="CV51633" s="376"/>
    </row>
    <row r="51634" spans="1:100">
      <c r="A51634" s="374"/>
      <c r="C51634" s="374"/>
      <c r="CV51634" s="376"/>
    </row>
    <row r="51635" spans="1:100">
      <c r="A51635" s="374"/>
      <c r="C51635" s="374"/>
      <c r="CV51635" s="376"/>
    </row>
    <row r="51636" spans="1:100">
      <c r="A51636" s="374"/>
      <c r="C51636" s="374"/>
      <c r="CV51636" s="376"/>
    </row>
    <row r="51637" spans="1:100">
      <c r="A51637" s="374"/>
      <c r="C51637" s="374"/>
      <c r="CV51637" s="376"/>
    </row>
    <row r="51638" spans="1:100">
      <c r="A51638" s="374"/>
      <c r="C51638" s="374"/>
      <c r="CV51638" s="376"/>
    </row>
    <row r="51639" spans="1:100">
      <c r="A51639" s="374"/>
      <c r="C51639" s="374"/>
      <c r="CV51639" s="376"/>
    </row>
    <row r="51640" spans="1:100">
      <c r="A51640" s="374"/>
      <c r="C51640" s="374"/>
      <c r="CV51640" s="376"/>
    </row>
    <row r="51641" spans="1:100">
      <c r="A51641" s="374"/>
      <c r="C51641" s="374"/>
      <c r="CV51641" s="376"/>
    </row>
    <row r="51642" spans="1:100">
      <c r="A51642" s="374"/>
      <c r="C51642" s="374"/>
      <c r="CV51642" s="376"/>
    </row>
    <row r="51643" spans="1:100">
      <c r="A51643" s="374"/>
      <c r="C51643" s="374"/>
      <c r="CV51643" s="376"/>
    </row>
    <row r="51644" spans="1:100">
      <c r="A51644" s="374"/>
      <c r="C51644" s="374"/>
      <c r="CV51644" s="376"/>
    </row>
    <row r="51645" spans="1:100">
      <c r="A51645" s="374"/>
      <c r="C51645" s="374"/>
      <c r="CV51645" s="376"/>
    </row>
    <row r="51646" spans="1:100">
      <c r="A51646" s="374"/>
      <c r="C51646" s="374"/>
      <c r="CV51646" s="376"/>
    </row>
    <row r="51647" spans="1:100">
      <c r="A51647" s="374"/>
      <c r="C51647" s="374"/>
      <c r="CV51647" s="376"/>
    </row>
    <row r="51648" spans="1:100">
      <c r="A51648" s="374"/>
      <c r="C51648" s="374"/>
      <c r="CV51648" s="376"/>
    </row>
    <row r="51649" spans="1:100">
      <c r="A51649" s="374"/>
      <c r="C51649" s="374"/>
      <c r="CV51649" s="376"/>
    </row>
    <row r="51650" spans="1:100">
      <c r="A51650" s="374"/>
      <c r="C51650" s="374"/>
      <c r="CV51650" s="376"/>
    </row>
    <row r="51651" spans="1:100">
      <c r="A51651" s="374"/>
      <c r="C51651" s="374"/>
      <c r="CV51651" s="376"/>
    </row>
    <row r="51652" spans="1:100">
      <c r="A51652" s="374"/>
      <c r="C51652" s="374"/>
      <c r="CV51652" s="376"/>
    </row>
    <row r="51653" spans="1:100">
      <c r="A51653" s="374"/>
      <c r="C51653" s="374"/>
      <c r="CV51653" s="376"/>
    </row>
    <row r="51654" spans="1:100">
      <c r="A51654" s="374"/>
      <c r="C51654" s="374"/>
      <c r="CV51654" s="376"/>
    </row>
    <row r="51655" spans="1:100">
      <c r="A51655" s="374"/>
      <c r="C51655" s="374"/>
      <c r="CV51655" s="376"/>
    </row>
    <row r="51656" spans="1:100">
      <c r="A51656" s="374"/>
      <c r="C51656" s="374"/>
      <c r="CV51656" s="376"/>
    </row>
    <row r="51657" spans="1:100">
      <c r="A51657" s="374"/>
      <c r="C51657" s="374"/>
      <c r="CV51657" s="376"/>
    </row>
    <row r="51658" spans="1:100">
      <c r="A51658" s="374"/>
      <c r="C51658" s="374"/>
      <c r="CV51658" s="376"/>
    </row>
    <row r="51659" spans="1:100">
      <c r="A51659" s="374"/>
      <c r="C51659" s="374"/>
      <c r="CV51659" s="376"/>
    </row>
    <row r="51660" spans="1:100">
      <c r="A51660" s="374"/>
      <c r="C51660" s="374"/>
      <c r="CV51660" s="376"/>
    </row>
    <row r="51661" spans="1:100">
      <c r="A51661" s="374"/>
      <c r="C51661" s="374"/>
      <c r="CV51661" s="376"/>
    </row>
    <row r="51662" spans="1:100">
      <c r="A51662" s="374"/>
      <c r="C51662" s="374"/>
      <c r="CV51662" s="376"/>
    </row>
    <row r="51663" spans="1:100">
      <c r="A51663" s="374"/>
      <c r="C51663" s="374"/>
      <c r="CV51663" s="376"/>
    </row>
    <row r="51664" spans="1:100">
      <c r="A51664" s="374"/>
      <c r="C51664" s="374"/>
      <c r="CV51664" s="376"/>
    </row>
    <row r="51665" spans="1:100">
      <c r="A51665" s="374"/>
      <c r="C51665" s="374"/>
      <c r="CV51665" s="376"/>
    </row>
    <row r="51666" spans="1:100">
      <c r="A51666" s="374"/>
      <c r="C51666" s="374"/>
      <c r="CV51666" s="376"/>
    </row>
    <row r="51667" spans="1:100">
      <c r="A51667" s="374"/>
      <c r="C51667" s="374"/>
      <c r="CV51667" s="376"/>
    </row>
    <row r="51668" spans="1:100">
      <c r="A51668" s="374"/>
      <c r="C51668" s="374"/>
      <c r="CV51668" s="376"/>
    </row>
    <row r="51669" spans="1:100">
      <c r="A51669" s="374"/>
      <c r="C51669" s="374"/>
      <c r="CV51669" s="376"/>
    </row>
    <row r="51670" spans="1:100">
      <c r="A51670" s="374"/>
      <c r="C51670" s="374"/>
      <c r="CV51670" s="376"/>
    </row>
    <row r="51671" spans="1:100">
      <c r="A51671" s="374"/>
      <c r="C51671" s="374"/>
      <c r="CV51671" s="376"/>
    </row>
    <row r="51672" spans="1:100">
      <c r="A51672" s="374"/>
      <c r="C51672" s="374"/>
      <c r="CV51672" s="376"/>
    </row>
    <row r="51673" spans="1:100">
      <c r="A51673" s="374"/>
      <c r="C51673" s="374"/>
      <c r="CV51673" s="376"/>
    </row>
    <row r="51674" spans="1:100">
      <c r="A51674" s="374"/>
      <c r="C51674" s="374"/>
      <c r="CV51674" s="376"/>
    </row>
    <row r="51675" spans="1:100">
      <c r="A51675" s="374"/>
      <c r="C51675" s="374"/>
      <c r="CV51675" s="376"/>
    </row>
    <row r="51676" spans="1:100">
      <c r="A51676" s="374"/>
      <c r="C51676" s="374"/>
      <c r="CV51676" s="376"/>
    </row>
    <row r="51677" spans="1:100">
      <c r="A51677" s="374"/>
      <c r="C51677" s="374"/>
      <c r="CV51677" s="376"/>
    </row>
    <row r="51678" spans="1:100">
      <c r="A51678" s="374"/>
      <c r="C51678" s="374"/>
      <c r="CV51678" s="376"/>
    </row>
    <row r="51679" spans="1:100">
      <c r="A51679" s="374"/>
      <c r="C51679" s="374"/>
      <c r="CV51679" s="376"/>
    </row>
    <row r="51680" spans="1:100">
      <c r="A51680" s="374"/>
      <c r="C51680" s="374"/>
      <c r="CV51680" s="376"/>
    </row>
    <row r="51681" spans="1:100">
      <c r="A51681" s="374"/>
      <c r="C51681" s="374"/>
      <c r="CV51681" s="376"/>
    </row>
    <row r="51682" spans="1:100">
      <c r="A51682" s="374"/>
      <c r="C51682" s="374"/>
      <c r="CV51682" s="376"/>
    </row>
    <row r="51683" spans="1:100">
      <c r="A51683" s="374"/>
      <c r="C51683" s="374"/>
      <c r="CV51683" s="376"/>
    </row>
    <row r="51684" spans="1:100">
      <c r="A51684" s="374"/>
      <c r="C51684" s="374"/>
      <c r="CV51684" s="376"/>
    </row>
    <row r="51685" spans="1:100">
      <c r="A51685" s="374"/>
      <c r="C51685" s="374"/>
      <c r="CV51685" s="376"/>
    </row>
    <row r="51686" spans="1:100">
      <c r="A51686" s="374"/>
      <c r="C51686" s="374"/>
      <c r="CV51686" s="376"/>
    </row>
    <row r="51687" spans="1:100">
      <c r="A51687" s="374"/>
      <c r="C51687" s="374"/>
      <c r="CV51687" s="376"/>
    </row>
    <row r="51688" spans="1:100">
      <c r="A51688" s="374"/>
      <c r="C51688" s="374"/>
      <c r="CV51688" s="376"/>
    </row>
    <row r="51689" spans="1:100">
      <c r="A51689" s="374"/>
      <c r="C51689" s="374"/>
      <c r="CV51689" s="376"/>
    </row>
    <row r="51690" spans="1:100">
      <c r="A51690" s="374"/>
      <c r="C51690" s="374"/>
      <c r="CV51690" s="376"/>
    </row>
    <row r="51691" spans="1:100">
      <c r="A51691" s="374"/>
      <c r="C51691" s="374"/>
      <c r="CV51691" s="376"/>
    </row>
    <row r="51692" spans="1:100">
      <c r="A51692" s="374"/>
      <c r="C51692" s="374"/>
      <c r="CV51692" s="376"/>
    </row>
    <row r="51693" spans="1:100">
      <c r="A51693" s="374"/>
      <c r="C51693" s="374"/>
      <c r="CV51693" s="376"/>
    </row>
    <row r="51694" spans="1:100">
      <c r="A51694" s="374"/>
      <c r="C51694" s="374"/>
      <c r="CV51694" s="376"/>
    </row>
    <row r="51695" spans="1:100">
      <c r="A51695" s="374"/>
      <c r="C51695" s="374"/>
      <c r="CV51695" s="376"/>
    </row>
    <row r="51696" spans="1:100">
      <c r="A51696" s="374"/>
      <c r="C51696" s="374"/>
      <c r="CV51696" s="376"/>
    </row>
    <row r="51697" spans="1:100">
      <c r="A51697" s="374"/>
      <c r="C51697" s="374"/>
      <c r="CV51697" s="376"/>
    </row>
    <row r="51698" spans="1:100">
      <c r="A51698" s="374"/>
      <c r="C51698" s="374"/>
      <c r="CV51698" s="376"/>
    </row>
    <row r="51699" spans="1:100">
      <c r="A51699" s="374"/>
      <c r="C51699" s="374"/>
      <c r="CV51699" s="376"/>
    </row>
    <row r="51700" spans="1:100">
      <c r="A51700" s="374"/>
      <c r="C51700" s="374"/>
      <c r="CV51700" s="376"/>
    </row>
    <row r="51701" spans="1:100">
      <c r="A51701" s="374"/>
      <c r="C51701" s="374"/>
      <c r="CV51701" s="376"/>
    </row>
    <row r="51702" spans="1:100">
      <c r="A51702" s="374"/>
      <c r="C51702" s="374"/>
      <c r="CV51702" s="376"/>
    </row>
    <row r="51703" spans="1:100">
      <c r="A51703" s="374"/>
      <c r="C51703" s="374"/>
      <c r="CV51703" s="376"/>
    </row>
    <row r="51704" spans="1:100">
      <c r="A51704" s="374"/>
      <c r="C51704" s="374"/>
      <c r="CV51704" s="376"/>
    </row>
    <row r="51705" spans="1:100">
      <c r="A51705" s="374"/>
      <c r="C51705" s="374"/>
      <c r="CV51705" s="376"/>
    </row>
    <row r="51706" spans="1:100">
      <c r="A51706" s="374"/>
      <c r="C51706" s="374"/>
      <c r="CV51706" s="376"/>
    </row>
    <row r="51707" spans="1:100">
      <c r="A51707" s="374"/>
      <c r="C51707" s="374"/>
      <c r="CV51707" s="376"/>
    </row>
    <row r="51708" spans="1:100">
      <c r="A51708" s="374"/>
      <c r="C51708" s="374"/>
      <c r="CV51708" s="376"/>
    </row>
    <row r="51709" spans="1:100">
      <c r="A51709" s="374"/>
      <c r="C51709" s="374"/>
      <c r="CV51709" s="376"/>
    </row>
    <row r="51710" spans="1:100">
      <c r="A51710" s="374"/>
      <c r="C51710" s="374"/>
      <c r="CV51710" s="376"/>
    </row>
    <row r="51711" spans="1:100">
      <c r="A51711" s="374"/>
      <c r="C51711" s="374"/>
      <c r="CV51711" s="376"/>
    </row>
    <row r="51712" spans="1:100">
      <c r="A51712" s="374"/>
      <c r="C51712" s="374"/>
      <c r="CV51712" s="376"/>
    </row>
    <row r="51713" spans="1:100">
      <c r="A51713" s="374"/>
      <c r="C51713" s="374"/>
      <c r="CV51713" s="376"/>
    </row>
    <row r="51714" spans="1:100">
      <c r="A51714" s="374"/>
      <c r="C51714" s="374"/>
      <c r="CV51714" s="376"/>
    </row>
    <row r="51715" spans="1:100">
      <c r="A51715" s="374"/>
      <c r="C51715" s="374"/>
      <c r="CV51715" s="376"/>
    </row>
    <row r="51716" spans="1:100">
      <c r="A51716" s="374"/>
      <c r="C51716" s="374"/>
      <c r="CV51716" s="376"/>
    </row>
    <row r="51717" spans="1:100">
      <c r="A51717" s="374"/>
      <c r="C51717" s="374"/>
      <c r="CV51717" s="376"/>
    </row>
    <row r="51718" spans="1:100">
      <c r="A51718" s="374"/>
      <c r="C51718" s="374"/>
      <c r="CV51718" s="376"/>
    </row>
    <row r="51719" spans="1:100">
      <c r="A51719" s="374"/>
      <c r="C51719" s="374"/>
      <c r="CV51719" s="376"/>
    </row>
    <row r="51720" spans="1:100">
      <c r="A51720" s="374"/>
      <c r="C51720" s="374"/>
      <c r="CV51720" s="376"/>
    </row>
    <row r="51721" spans="1:100">
      <c r="A51721" s="374"/>
      <c r="C51721" s="374"/>
      <c r="CV51721" s="376"/>
    </row>
    <row r="51722" spans="1:100">
      <c r="A51722" s="374"/>
      <c r="C51722" s="374"/>
      <c r="CV51722" s="376"/>
    </row>
    <row r="51723" spans="1:100">
      <c r="A51723" s="374"/>
      <c r="C51723" s="374"/>
      <c r="CV51723" s="376"/>
    </row>
    <row r="51724" spans="1:100">
      <c r="A51724" s="374"/>
      <c r="C51724" s="374"/>
      <c r="CV51724" s="376"/>
    </row>
    <row r="51725" spans="1:100">
      <c r="A51725" s="374"/>
      <c r="C51725" s="374"/>
      <c r="CV51725" s="376"/>
    </row>
    <row r="51726" spans="1:100">
      <c r="A51726" s="374"/>
      <c r="C51726" s="374"/>
      <c r="CV51726" s="376"/>
    </row>
    <row r="51727" spans="1:100">
      <c r="A51727" s="374"/>
      <c r="C51727" s="374"/>
      <c r="CV51727" s="376"/>
    </row>
    <row r="51728" spans="1:100">
      <c r="A51728" s="374"/>
      <c r="C51728" s="374"/>
      <c r="CV51728" s="376"/>
    </row>
    <row r="51729" spans="1:100">
      <c r="A51729" s="374"/>
      <c r="C51729" s="374"/>
      <c r="CV51729" s="376"/>
    </row>
    <row r="51730" spans="1:100">
      <c r="A51730" s="374"/>
      <c r="C51730" s="374"/>
      <c r="CV51730" s="376"/>
    </row>
    <row r="51731" spans="1:100">
      <c r="A51731" s="374"/>
      <c r="C51731" s="374"/>
      <c r="CV51731" s="376"/>
    </row>
    <row r="51732" spans="1:100">
      <c r="A51732" s="374"/>
      <c r="C51732" s="374"/>
      <c r="CV51732" s="376"/>
    </row>
    <row r="51733" spans="1:100">
      <c r="A51733" s="374"/>
      <c r="C51733" s="374"/>
      <c r="CV51733" s="376"/>
    </row>
    <row r="51734" spans="1:100">
      <c r="A51734" s="374"/>
      <c r="C51734" s="374"/>
      <c r="CV51734" s="376"/>
    </row>
    <row r="51735" spans="1:100">
      <c r="A51735" s="374"/>
      <c r="C51735" s="374"/>
      <c r="CV51735" s="376"/>
    </row>
    <row r="51736" spans="1:100">
      <c r="A51736" s="374"/>
      <c r="C51736" s="374"/>
      <c r="CV51736" s="376"/>
    </row>
    <row r="51737" spans="1:100">
      <c r="A51737" s="374"/>
      <c r="C51737" s="374"/>
      <c r="CV51737" s="376"/>
    </row>
    <row r="51738" spans="1:100">
      <c r="A51738" s="374"/>
      <c r="C51738" s="374"/>
      <c r="CV51738" s="376"/>
    </row>
    <row r="51739" spans="1:100">
      <c r="A51739" s="374"/>
      <c r="C51739" s="374"/>
      <c r="CV51739" s="376"/>
    </row>
    <row r="51740" spans="1:100">
      <c r="A51740" s="374"/>
      <c r="C51740" s="374"/>
      <c r="CV51740" s="376"/>
    </row>
    <row r="51741" spans="1:100">
      <c r="A51741" s="374"/>
      <c r="C51741" s="374"/>
      <c r="CV51741" s="376"/>
    </row>
    <row r="51742" spans="1:100">
      <c r="A51742" s="374"/>
      <c r="C51742" s="374"/>
      <c r="CV51742" s="376"/>
    </row>
    <row r="51743" spans="1:100">
      <c r="A51743" s="374"/>
      <c r="C51743" s="374"/>
      <c r="CV51743" s="376"/>
    </row>
    <row r="51744" spans="1:100">
      <c r="A51744" s="374"/>
      <c r="C51744" s="374"/>
      <c r="CV51744" s="376"/>
    </row>
    <row r="51745" spans="1:100">
      <c r="A51745" s="374"/>
      <c r="C51745" s="374"/>
      <c r="CV51745" s="376"/>
    </row>
    <row r="51746" spans="1:100">
      <c r="A51746" s="374"/>
      <c r="C51746" s="374"/>
      <c r="CV51746" s="376"/>
    </row>
    <row r="51747" spans="1:100">
      <c r="A51747" s="374"/>
      <c r="C51747" s="374"/>
      <c r="CV51747" s="376"/>
    </row>
    <row r="51748" spans="1:100">
      <c r="A51748" s="374"/>
      <c r="C51748" s="374"/>
      <c r="CV51748" s="376"/>
    </row>
    <row r="51749" spans="1:100">
      <c r="A51749" s="374"/>
      <c r="C51749" s="374"/>
      <c r="CV51749" s="376"/>
    </row>
    <row r="51750" spans="1:100">
      <c r="A51750" s="374"/>
      <c r="C51750" s="374"/>
      <c r="CV51750" s="376"/>
    </row>
    <row r="51751" spans="1:100">
      <c r="A51751" s="374"/>
      <c r="C51751" s="374"/>
      <c r="CV51751" s="376"/>
    </row>
    <row r="51752" spans="1:100">
      <c r="A51752" s="374"/>
      <c r="C51752" s="374"/>
      <c r="CV51752" s="376"/>
    </row>
    <row r="51753" spans="1:100">
      <c r="A51753" s="374"/>
      <c r="C51753" s="374"/>
      <c r="CV51753" s="376"/>
    </row>
    <row r="51754" spans="1:100">
      <c r="A51754" s="374"/>
      <c r="C51754" s="374"/>
      <c r="CV51754" s="376"/>
    </row>
    <row r="51755" spans="1:100">
      <c r="A51755" s="374"/>
      <c r="C51755" s="374"/>
      <c r="CV51755" s="376"/>
    </row>
    <row r="51756" spans="1:100">
      <c r="A51756" s="374"/>
      <c r="C51756" s="374"/>
      <c r="CV51756" s="376"/>
    </row>
    <row r="51757" spans="1:100">
      <c r="A51757" s="374"/>
      <c r="C51757" s="374"/>
      <c r="CV51757" s="376"/>
    </row>
    <row r="51758" spans="1:100">
      <c r="A51758" s="374"/>
      <c r="C51758" s="374"/>
      <c r="CV51758" s="376"/>
    </row>
    <row r="51759" spans="1:100">
      <c r="A51759" s="374"/>
      <c r="C51759" s="374"/>
      <c r="CV51759" s="376"/>
    </row>
    <row r="51760" spans="1:100">
      <c r="A51760" s="374"/>
      <c r="C51760" s="374"/>
      <c r="CV51760" s="376"/>
    </row>
    <row r="51761" spans="1:100">
      <c r="A51761" s="374"/>
      <c r="C51761" s="374"/>
      <c r="CV51761" s="376"/>
    </row>
    <row r="51762" spans="1:100">
      <c r="A51762" s="374"/>
      <c r="C51762" s="374"/>
      <c r="CV51762" s="376"/>
    </row>
    <row r="51763" spans="1:100">
      <c r="A51763" s="374"/>
      <c r="C51763" s="374"/>
      <c r="CV51763" s="376"/>
    </row>
    <row r="51764" spans="1:100">
      <c r="A51764" s="374"/>
      <c r="C51764" s="374"/>
      <c r="CV51764" s="376"/>
    </row>
    <row r="51765" spans="1:100">
      <c r="A51765" s="374"/>
      <c r="C51765" s="374"/>
      <c r="CV51765" s="376"/>
    </row>
    <row r="51766" spans="1:100">
      <c r="A51766" s="374"/>
      <c r="C51766" s="374"/>
      <c r="CV51766" s="376"/>
    </row>
    <row r="51767" spans="1:100">
      <c r="A51767" s="374"/>
      <c r="C51767" s="374"/>
      <c r="CV51767" s="376"/>
    </row>
    <row r="51768" spans="1:100">
      <c r="A51768" s="374"/>
      <c r="C51768" s="374"/>
      <c r="CV51768" s="376"/>
    </row>
    <row r="51769" spans="1:100">
      <c r="A51769" s="374"/>
      <c r="C51769" s="374"/>
      <c r="CV51769" s="376"/>
    </row>
    <row r="51770" spans="1:100">
      <c r="A51770" s="374"/>
      <c r="C51770" s="374"/>
      <c r="CV51770" s="376"/>
    </row>
    <row r="51771" spans="1:100">
      <c r="A51771" s="374"/>
      <c r="C51771" s="374"/>
      <c r="CV51771" s="376"/>
    </row>
    <row r="51772" spans="1:100">
      <c r="A51772" s="374"/>
      <c r="C51772" s="374"/>
      <c r="CV51772" s="376"/>
    </row>
    <row r="51773" spans="1:100">
      <c r="A51773" s="374"/>
      <c r="C51773" s="374"/>
      <c r="CV51773" s="376"/>
    </row>
    <row r="51774" spans="1:100">
      <c r="A51774" s="374"/>
      <c r="C51774" s="374"/>
      <c r="CV51774" s="376"/>
    </row>
    <row r="51775" spans="1:100">
      <c r="A51775" s="374"/>
      <c r="C51775" s="374"/>
      <c r="CV51775" s="376"/>
    </row>
    <row r="51776" spans="1:100">
      <c r="A51776" s="374"/>
      <c r="C51776" s="374"/>
      <c r="CV51776" s="376"/>
    </row>
    <row r="51777" spans="1:100">
      <c r="A51777" s="374"/>
      <c r="C51777" s="374"/>
      <c r="CV51777" s="376"/>
    </row>
    <row r="51778" spans="1:100">
      <c r="A51778" s="374"/>
      <c r="C51778" s="374"/>
      <c r="CV51778" s="376"/>
    </row>
    <row r="51779" spans="1:100">
      <c r="A51779" s="374"/>
      <c r="C51779" s="374"/>
      <c r="CV51779" s="376"/>
    </row>
    <row r="51780" spans="1:100">
      <c r="A51780" s="374"/>
      <c r="C51780" s="374"/>
      <c r="CV51780" s="376"/>
    </row>
    <row r="51781" spans="1:100">
      <c r="A51781" s="374"/>
      <c r="C51781" s="374"/>
      <c r="CV51781" s="376"/>
    </row>
    <row r="51782" spans="1:100">
      <c r="A51782" s="374"/>
      <c r="C51782" s="374"/>
      <c r="CV51782" s="376"/>
    </row>
    <row r="51783" spans="1:100">
      <c r="A51783" s="374"/>
      <c r="C51783" s="374"/>
      <c r="CV51783" s="376"/>
    </row>
    <row r="51784" spans="1:100">
      <c r="A51784" s="374"/>
      <c r="C51784" s="374"/>
      <c r="CV51784" s="376"/>
    </row>
    <row r="51785" spans="1:100">
      <c r="A51785" s="374"/>
      <c r="C51785" s="374"/>
      <c r="CV51785" s="376"/>
    </row>
    <row r="51786" spans="1:100">
      <c r="A51786" s="374"/>
      <c r="C51786" s="374"/>
      <c r="CV51786" s="376"/>
    </row>
    <row r="51787" spans="1:100">
      <c r="A51787" s="374"/>
      <c r="C51787" s="374"/>
      <c r="CV51787" s="376"/>
    </row>
    <row r="51788" spans="1:100">
      <c r="A51788" s="374"/>
      <c r="C51788" s="374"/>
      <c r="CV51788" s="376"/>
    </row>
    <row r="51789" spans="1:100">
      <c r="A51789" s="374"/>
      <c r="C51789" s="374"/>
      <c r="CV51789" s="376"/>
    </row>
    <row r="51790" spans="1:100">
      <c r="A51790" s="374"/>
      <c r="C51790" s="374"/>
      <c r="CV51790" s="376"/>
    </row>
    <row r="51791" spans="1:100">
      <c r="A51791" s="374"/>
      <c r="C51791" s="374"/>
      <c r="CV51791" s="376"/>
    </row>
    <row r="51792" spans="1:100">
      <c r="A51792" s="374"/>
      <c r="C51792" s="374"/>
      <c r="CV51792" s="376"/>
    </row>
    <row r="51793" spans="1:100">
      <c r="A51793" s="374"/>
      <c r="C51793" s="374"/>
      <c r="CV51793" s="376"/>
    </row>
    <row r="51794" spans="1:100">
      <c r="A51794" s="374"/>
      <c r="C51794" s="374"/>
      <c r="CV51794" s="376"/>
    </row>
    <row r="51795" spans="1:100">
      <c r="A51795" s="374"/>
      <c r="C51795" s="374"/>
      <c r="CV51795" s="376"/>
    </row>
    <row r="51796" spans="1:100">
      <c r="A51796" s="374"/>
      <c r="C51796" s="374"/>
      <c r="CV51796" s="376"/>
    </row>
    <row r="51797" spans="1:100">
      <c r="A51797" s="374"/>
      <c r="C51797" s="374"/>
      <c r="CV51797" s="376"/>
    </row>
    <row r="51798" spans="1:100">
      <c r="A51798" s="374"/>
      <c r="C51798" s="374"/>
      <c r="CV51798" s="376"/>
    </row>
    <row r="51799" spans="1:100">
      <c r="A51799" s="374"/>
      <c r="C51799" s="374"/>
      <c r="CV51799" s="376"/>
    </row>
    <row r="51800" spans="1:100">
      <c r="A51800" s="374"/>
      <c r="C51800" s="374"/>
      <c r="CV51800" s="376"/>
    </row>
    <row r="51801" spans="1:100">
      <c r="A51801" s="374"/>
      <c r="C51801" s="374"/>
      <c r="CV51801" s="376"/>
    </row>
    <row r="51802" spans="1:100">
      <c r="A51802" s="374"/>
      <c r="C51802" s="374"/>
      <c r="CV51802" s="376"/>
    </row>
    <row r="51803" spans="1:100">
      <c r="A51803" s="374"/>
      <c r="C51803" s="374"/>
      <c r="CV51803" s="376"/>
    </row>
    <row r="51804" spans="1:100">
      <c r="A51804" s="374"/>
      <c r="C51804" s="374"/>
      <c r="CV51804" s="376"/>
    </row>
    <row r="51805" spans="1:100">
      <c r="A51805" s="374"/>
      <c r="C51805" s="374"/>
      <c r="CV51805" s="376"/>
    </row>
    <row r="51806" spans="1:100">
      <c r="A51806" s="374"/>
      <c r="C51806" s="374"/>
      <c r="CV51806" s="376"/>
    </row>
    <row r="51807" spans="1:100">
      <c r="A51807" s="374"/>
      <c r="C51807" s="374"/>
      <c r="CV51807" s="376"/>
    </row>
    <row r="51808" spans="1:100">
      <c r="A51808" s="374"/>
      <c r="C51808" s="374"/>
      <c r="CV51808" s="376"/>
    </row>
    <row r="51809" spans="1:100">
      <c r="A51809" s="374"/>
      <c r="C51809" s="374"/>
      <c r="CV51809" s="376"/>
    </row>
    <row r="51810" spans="1:100">
      <c r="A51810" s="374"/>
      <c r="C51810" s="374"/>
      <c r="CV51810" s="376"/>
    </row>
    <row r="51811" spans="1:100">
      <c r="A51811" s="374"/>
      <c r="C51811" s="374"/>
      <c r="CV51811" s="376"/>
    </row>
    <row r="51812" spans="1:100">
      <c r="A51812" s="374"/>
      <c r="C51812" s="374"/>
      <c r="CV51812" s="376"/>
    </row>
    <row r="51813" spans="1:100">
      <c r="A51813" s="374"/>
      <c r="C51813" s="374"/>
      <c r="CV51813" s="376"/>
    </row>
    <row r="51814" spans="1:100">
      <c r="A51814" s="374"/>
      <c r="C51814" s="374"/>
      <c r="CV51814" s="376"/>
    </row>
    <row r="51815" spans="1:100">
      <c r="A51815" s="374"/>
      <c r="C51815" s="374"/>
      <c r="CV51815" s="376"/>
    </row>
    <row r="51816" spans="1:100">
      <c r="A51816" s="374"/>
      <c r="C51816" s="374"/>
      <c r="CV51816" s="376"/>
    </row>
    <row r="51817" spans="1:100">
      <c r="A51817" s="374"/>
      <c r="C51817" s="374"/>
      <c r="CV51817" s="376"/>
    </row>
    <row r="51818" spans="1:100">
      <c r="A51818" s="374"/>
      <c r="C51818" s="374"/>
      <c r="CV51818" s="376"/>
    </row>
    <row r="51819" spans="1:100">
      <c r="A51819" s="374"/>
      <c r="C51819" s="374"/>
      <c r="CV51819" s="376"/>
    </row>
    <row r="51820" spans="1:100">
      <c r="A51820" s="374"/>
      <c r="C51820" s="374"/>
      <c r="CV51820" s="376"/>
    </row>
    <row r="51821" spans="1:100">
      <c r="A51821" s="374"/>
      <c r="C51821" s="374"/>
      <c r="CV51821" s="376"/>
    </row>
    <row r="51822" spans="1:100">
      <c r="A51822" s="374"/>
      <c r="C51822" s="374"/>
      <c r="CV51822" s="376"/>
    </row>
    <row r="51823" spans="1:100">
      <c r="A51823" s="374"/>
      <c r="C51823" s="374"/>
      <c r="CV51823" s="376"/>
    </row>
    <row r="51824" spans="1:100">
      <c r="A51824" s="374"/>
      <c r="C51824" s="374"/>
      <c r="CV51824" s="376"/>
    </row>
    <row r="51825" spans="1:100">
      <c r="A51825" s="374"/>
      <c r="C51825" s="374"/>
      <c r="CV51825" s="376"/>
    </row>
    <row r="51826" spans="1:100">
      <c r="A51826" s="374"/>
      <c r="C51826" s="374"/>
      <c r="CV51826" s="376"/>
    </row>
    <row r="51827" spans="1:100">
      <c r="A51827" s="374"/>
      <c r="C51827" s="374"/>
      <c r="CV51827" s="376"/>
    </row>
    <row r="51828" spans="1:100">
      <c r="A51828" s="374"/>
      <c r="C51828" s="374"/>
      <c r="CV51828" s="376"/>
    </row>
    <row r="51829" spans="1:100">
      <c r="A51829" s="374"/>
      <c r="C51829" s="374"/>
      <c r="CV51829" s="376"/>
    </row>
    <row r="51830" spans="1:100">
      <c r="A51830" s="374"/>
      <c r="C51830" s="374"/>
      <c r="CV51830" s="376"/>
    </row>
    <row r="51831" spans="1:100">
      <c r="A51831" s="374"/>
      <c r="C51831" s="374"/>
      <c r="CV51831" s="376"/>
    </row>
    <row r="51832" spans="1:100">
      <c r="A51832" s="374"/>
      <c r="C51832" s="374"/>
      <c r="CV51832" s="376"/>
    </row>
    <row r="51833" spans="1:100">
      <c r="A51833" s="374"/>
      <c r="C51833" s="374"/>
      <c r="CV51833" s="376"/>
    </row>
    <row r="51834" spans="1:100">
      <c r="A51834" s="374"/>
      <c r="C51834" s="374"/>
      <c r="CV51834" s="376"/>
    </row>
    <row r="51835" spans="1:100">
      <c r="A51835" s="374"/>
      <c r="C51835" s="374"/>
      <c r="CV51835" s="376"/>
    </row>
    <row r="51836" spans="1:100">
      <c r="A51836" s="374"/>
      <c r="C51836" s="374"/>
      <c r="CV51836" s="376"/>
    </row>
    <row r="51837" spans="1:100">
      <c r="A51837" s="374"/>
      <c r="C51837" s="374"/>
      <c r="CV51837" s="376"/>
    </row>
    <row r="51838" spans="1:100">
      <c r="A51838" s="374"/>
      <c r="C51838" s="374"/>
      <c r="CV51838" s="376"/>
    </row>
    <row r="51839" spans="1:100">
      <c r="A51839" s="374"/>
      <c r="C51839" s="374"/>
      <c r="CV51839" s="376"/>
    </row>
    <row r="51840" spans="1:100">
      <c r="A51840" s="374"/>
      <c r="C51840" s="374"/>
      <c r="CV51840" s="376"/>
    </row>
    <row r="51841" spans="1:100">
      <c r="A51841" s="374"/>
      <c r="C51841" s="374"/>
      <c r="CV51841" s="376"/>
    </row>
    <row r="51842" spans="1:100">
      <c r="A51842" s="374"/>
      <c r="C51842" s="374"/>
      <c r="CV51842" s="376"/>
    </row>
    <row r="51843" spans="1:100">
      <c r="A51843" s="374"/>
      <c r="C51843" s="374"/>
      <c r="CV51843" s="376"/>
    </row>
    <row r="51844" spans="1:100">
      <c r="A51844" s="374"/>
      <c r="C51844" s="374"/>
      <c r="CV51844" s="376"/>
    </row>
    <row r="51845" spans="1:100">
      <c r="A51845" s="374"/>
      <c r="C51845" s="374"/>
      <c r="CV51845" s="376"/>
    </row>
    <row r="51846" spans="1:100">
      <c r="A51846" s="374"/>
      <c r="C51846" s="374"/>
      <c r="CV51846" s="376"/>
    </row>
    <row r="51847" spans="1:100">
      <c r="A51847" s="374"/>
      <c r="C51847" s="374"/>
      <c r="CV51847" s="376"/>
    </row>
    <row r="51848" spans="1:100">
      <c r="A51848" s="374"/>
      <c r="C51848" s="374"/>
      <c r="CV51848" s="376"/>
    </row>
    <row r="51849" spans="1:100">
      <c r="A51849" s="374"/>
      <c r="C51849" s="374"/>
      <c r="CV51849" s="376"/>
    </row>
    <row r="51850" spans="1:100">
      <c r="A51850" s="374"/>
      <c r="C51850" s="374"/>
      <c r="CV51850" s="376"/>
    </row>
    <row r="51851" spans="1:100">
      <c r="A51851" s="374"/>
      <c r="C51851" s="374"/>
      <c r="CV51851" s="376"/>
    </row>
    <row r="51852" spans="1:100">
      <c r="A51852" s="374"/>
      <c r="C51852" s="374"/>
      <c r="CV51852" s="376"/>
    </row>
    <row r="51853" spans="1:100">
      <c r="A51853" s="374"/>
      <c r="C51853" s="374"/>
      <c r="CV51853" s="376"/>
    </row>
    <row r="51854" spans="1:100">
      <c r="A51854" s="374"/>
      <c r="C51854" s="374"/>
      <c r="CV51854" s="376"/>
    </row>
    <row r="51855" spans="1:100">
      <c r="A51855" s="374"/>
      <c r="C51855" s="374"/>
      <c r="CV51855" s="376"/>
    </row>
    <row r="51856" spans="1:100">
      <c r="A51856" s="374"/>
      <c r="C51856" s="374"/>
      <c r="CV51856" s="376"/>
    </row>
    <row r="51857" spans="1:100">
      <c r="A51857" s="374"/>
      <c r="C51857" s="374"/>
      <c r="CV51857" s="376"/>
    </row>
    <row r="51858" spans="1:100">
      <c r="A51858" s="374"/>
      <c r="C51858" s="374"/>
      <c r="CV51858" s="376"/>
    </row>
    <row r="51859" spans="1:100">
      <c r="A51859" s="374"/>
      <c r="C51859" s="374"/>
      <c r="CV51859" s="376"/>
    </row>
    <row r="51860" spans="1:100">
      <c r="A51860" s="374"/>
      <c r="C51860" s="374"/>
      <c r="CV51860" s="376"/>
    </row>
    <row r="51861" spans="1:100">
      <c r="A51861" s="374"/>
      <c r="C51861" s="374"/>
      <c r="CV51861" s="376"/>
    </row>
    <row r="51862" spans="1:100">
      <c r="A51862" s="374"/>
      <c r="C51862" s="374"/>
      <c r="CV51862" s="376"/>
    </row>
    <row r="51863" spans="1:100">
      <c r="A51863" s="374"/>
      <c r="C51863" s="374"/>
      <c r="CV51863" s="376"/>
    </row>
    <row r="51864" spans="1:100">
      <c r="A51864" s="374"/>
      <c r="C51864" s="374"/>
      <c r="CV51864" s="376"/>
    </row>
    <row r="51865" spans="1:100">
      <c r="A51865" s="374"/>
      <c r="C51865" s="374"/>
      <c r="CV51865" s="376"/>
    </row>
    <row r="51866" spans="1:100">
      <c r="A51866" s="374"/>
      <c r="C51866" s="374"/>
      <c r="CV51866" s="376"/>
    </row>
    <row r="51867" spans="1:100">
      <c r="A51867" s="374"/>
      <c r="C51867" s="374"/>
      <c r="CV51867" s="376"/>
    </row>
    <row r="51868" spans="1:100">
      <c r="A51868" s="374"/>
      <c r="C51868" s="374"/>
      <c r="CV51868" s="376"/>
    </row>
    <row r="51869" spans="1:100">
      <c r="A51869" s="374"/>
      <c r="C51869" s="374"/>
      <c r="CV51869" s="376"/>
    </row>
    <row r="51870" spans="1:100">
      <c r="A51870" s="374"/>
      <c r="C51870" s="374"/>
      <c r="CV51870" s="376"/>
    </row>
    <row r="51871" spans="1:100">
      <c r="A51871" s="374"/>
      <c r="C51871" s="374"/>
      <c r="CV51871" s="376"/>
    </row>
    <row r="51872" spans="1:100">
      <c r="A51872" s="374"/>
      <c r="C51872" s="374"/>
      <c r="CV51872" s="376"/>
    </row>
    <row r="51873" spans="1:100">
      <c r="A51873" s="374"/>
      <c r="C51873" s="374"/>
      <c r="CV51873" s="376"/>
    </row>
    <row r="51874" spans="1:100">
      <c r="A51874" s="374"/>
      <c r="C51874" s="374"/>
      <c r="CV51874" s="376"/>
    </row>
    <row r="51875" spans="1:100">
      <c r="A51875" s="374"/>
      <c r="C51875" s="374"/>
      <c r="CV51875" s="376"/>
    </row>
    <row r="51876" spans="1:100">
      <c r="A51876" s="374"/>
      <c r="C51876" s="374"/>
      <c r="CV51876" s="376"/>
    </row>
    <row r="51877" spans="1:100">
      <c r="A51877" s="374"/>
      <c r="C51877" s="374"/>
      <c r="CV51877" s="376"/>
    </row>
    <row r="51878" spans="1:100">
      <c r="A51878" s="374"/>
      <c r="C51878" s="374"/>
      <c r="CV51878" s="376"/>
    </row>
    <row r="51879" spans="1:100">
      <c r="A51879" s="374"/>
      <c r="C51879" s="374"/>
      <c r="CV51879" s="376"/>
    </row>
    <row r="51880" spans="1:100">
      <c r="A51880" s="374"/>
      <c r="C51880" s="374"/>
      <c r="CV51880" s="376"/>
    </row>
    <row r="51881" spans="1:100">
      <c r="A51881" s="374"/>
      <c r="C51881" s="374"/>
      <c r="CV51881" s="376"/>
    </row>
    <row r="51882" spans="1:100">
      <c r="A51882" s="374"/>
      <c r="C51882" s="374"/>
      <c r="CV51882" s="376"/>
    </row>
    <row r="51883" spans="1:100">
      <c r="A51883" s="374"/>
      <c r="C51883" s="374"/>
      <c r="CV51883" s="376"/>
    </row>
    <row r="51884" spans="1:100">
      <c r="A51884" s="374"/>
      <c r="C51884" s="374"/>
      <c r="CV51884" s="376"/>
    </row>
    <row r="51885" spans="1:100">
      <c r="A51885" s="374"/>
      <c r="C51885" s="374"/>
      <c r="CV51885" s="376"/>
    </row>
    <row r="51886" spans="1:100">
      <c r="A51886" s="374"/>
      <c r="C51886" s="374"/>
      <c r="CV51886" s="376"/>
    </row>
    <row r="51887" spans="1:100">
      <c r="A51887" s="374"/>
      <c r="C51887" s="374"/>
      <c r="CV51887" s="376"/>
    </row>
    <row r="51888" spans="1:100">
      <c r="A51888" s="374"/>
      <c r="C51888" s="374"/>
      <c r="CV51888" s="376"/>
    </row>
    <row r="51889" spans="1:100">
      <c r="A51889" s="374"/>
      <c r="C51889" s="374"/>
      <c r="CV51889" s="376"/>
    </row>
    <row r="51890" spans="1:100">
      <c r="A51890" s="374"/>
      <c r="C51890" s="374"/>
      <c r="CV51890" s="376"/>
    </row>
    <row r="51891" spans="1:100">
      <c r="A51891" s="374"/>
      <c r="C51891" s="374"/>
      <c r="CV51891" s="376"/>
    </row>
    <row r="51892" spans="1:100">
      <c r="A51892" s="374"/>
      <c r="C51892" s="374"/>
      <c r="CV51892" s="376"/>
    </row>
    <row r="51893" spans="1:100">
      <c r="A51893" s="374"/>
      <c r="C51893" s="374"/>
      <c r="CV51893" s="376"/>
    </row>
    <row r="51894" spans="1:100">
      <c r="A51894" s="374"/>
      <c r="C51894" s="374"/>
      <c r="CV51894" s="376"/>
    </row>
    <row r="51895" spans="1:100">
      <c r="A51895" s="374"/>
      <c r="C51895" s="374"/>
      <c r="CV51895" s="376"/>
    </row>
    <row r="51896" spans="1:100">
      <c r="A51896" s="374"/>
      <c r="C51896" s="374"/>
      <c r="CV51896" s="376"/>
    </row>
    <row r="51897" spans="1:100">
      <c r="A51897" s="374"/>
      <c r="C51897" s="374"/>
      <c r="CV51897" s="376"/>
    </row>
    <row r="51898" spans="1:100">
      <c r="A51898" s="374"/>
      <c r="C51898" s="374"/>
      <c r="CV51898" s="376"/>
    </row>
    <row r="51899" spans="1:100">
      <c r="A51899" s="374"/>
      <c r="C51899" s="374"/>
      <c r="CV51899" s="376"/>
    </row>
    <row r="51900" spans="1:100">
      <c r="A51900" s="374"/>
      <c r="C51900" s="374"/>
      <c r="CV51900" s="376"/>
    </row>
    <row r="51901" spans="1:100">
      <c r="A51901" s="374"/>
      <c r="C51901" s="374"/>
      <c r="CV51901" s="376"/>
    </row>
    <row r="51902" spans="1:100">
      <c r="A51902" s="374"/>
      <c r="C51902" s="374"/>
      <c r="CV51902" s="376"/>
    </row>
    <row r="51903" spans="1:100">
      <c r="A51903" s="374"/>
      <c r="C51903" s="374"/>
      <c r="CV51903" s="376"/>
    </row>
    <row r="51904" spans="1:100">
      <c r="A51904" s="374"/>
      <c r="C51904" s="374"/>
      <c r="CV51904" s="376"/>
    </row>
    <row r="51905" spans="1:100">
      <c r="A51905" s="374"/>
      <c r="C51905" s="374"/>
      <c r="CV51905" s="376"/>
    </row>
    <row r="51906" spans="1:100">
      <c r="A51906" s="374"/>
      <c r="C51906" s="374"/>
      <c r="CV51906" s="376"/>
    </row>
    <row r="51907" spans="1:100">
      <c r="A51907" s="374"/>
      <c r="C51907" s="374"/>
      <c r="CV51907" s="376"/>
    </row>
    <row r="51908" spans="1:100">
      <c r="A51908" s="374"/>
      <c r="C51908" s="374"/>
      <c r="CV51908" s="376"/>
    </row>
    <row r="51909" spans="1:100">
      <c r="A51909" s="374"/>
      <c r="C51909" s="374"/>
      <c r="CV51909" s="376"/>
    </row>
    <row r="51910" spans="1:100">
      <c r="A51910" s="374"/>
      <c r="C51910" s="374"/>
      <c r="CV51910" s="376"/>
    </row>
    <row r="51911" spans="1:100">
      <c r="A51911" s="374"/>
      <c r="C51911" s="374"/>
      <c r="CV51911" s="376"/>
    </row>
    <row r="51912" spans="1:100">
      <c r="A51912" s="374"/>
      <c r="C51912" s="374"/>
      <c r="CV51912" s="376"/>
    </row>
    <row r="51913" spans="1:100">
      <c r="A51913" s="374"/>
      <c r="C51913" s="374"/>
      <c r="CV51913" s="376"/>
    </row>
    <row r="51914" spans="1:100">
      <c r="A51914" s="374"/>
      <c r="C51914" s="374"/>
      <c r="CV51914" s="376"/>
    </row>
    <row r="51915" spans="1:100">
      <c r="A51915" s="374"/>
      <c r="C51915" s="374"/>
      <c r="CV51915" s="376"/>
    </row>
    <row r="51916" spans="1:100">
      <c r="A51916" s="374"/>
      <c r="C51916" s="374"/>
      <c r="CV51916" s="376"/>
    </row>
    <row r="51917" spans="1:100">
      <c r="A51917" s="374"/>
      <c r="C51917" s="374"/>
      <c r="CV51917" s="376"/>
    </row>
    <row r="51918" spans="1:100">
      <c r="A51918" s="374"/>
      <c r="C51918" s="374"/>
      <c r="CV51918" s="376"/>
    </row>
    <row r="51919" spans="1:100">
      <c r="A51919" s="374"/>
      <c r="C51919" s="374"/>
      <c r="CV51919" s="376"/>
    </row>
    <row r="51920" spans="1:100">
      <c r="A51920" s="374"/>
      <c r="C51920" s="374"/>
      <c r="CV51920" s="376"/>
    </row>
    <row r="51921" spans="1:100">
      <c r="A51921" s="374"/>
      <c r="C51921" s="374"/>
      <c r="CV51921" s="376"/>
    </row>
    <row r="51922" spans="1:100">
      <c r="A51922" s="374"/>
      <c r="C51922" s="374"/>
      <c r="CV51922" s="376"/>
    </row>
    <row r="51923" spans="1:100">
      <c r="A51923" s="374"/>
      <c r="C51923" s="374"/>
      <c r="CV51923" s="376"/>
    </row>
    <row r="51924" spans="1:100">
      <c r="A51924" s="374"/>
      <c r="C51924" s="374"/>
      <c r="CV51924" s="376"/>
    </row>
    <row r="51925" spans="1:100">
      <c r="A51925" s="374"/>
      <c r="C51925" s="374"/>
      <c r="CV51925" s="376"/>
    </row>
    <row r="51926" spans="1:100">
      <c r="A51926" s="374"/>
      <c r="C51926" s="374"/>
      <c r="CV51926" s="376"/>
    </row>
    <row r="51927" spans="1:100">
      <c r="A51927" s="374"/>
      <c r="C51927" s="374"/>
      <c r="CV51927" s="376"/>
    </row>
    <row r="51928" spans="1:100">
      <c r="A51928" s="374"/>
      <c r="C51928" s="374"/>
      <c r="CV51928" s="376"/>
    </row>
    <row r="51929" spans="1:100">
      <c r="A51929" s="374"/>
      <c r="C51929" s="374"/>
      <c r="CV51929" s="376"/>
    </row>
    <row r="51930" spans="1:100">
      <c r="A51930" s="374"/>
      <c r="C51930" s="374"/>
      <c r="CV51930" s="376"/>
    </row>
    <row r="51931" spans="1:100">
      <c r="A51931" s="374"/>
      <c r="C51931" s="374"/>
      <c r="CV51931" s="376"/>
    </row>
    <row r="51932" spans="1:100">
      <c r="A51932" s="374"/>
      <c r="C51932" s="374"/>
      <c r="CV51932" s="376"/>
    </row>
    <row r="51933" spans="1:100">
      <c r="A51933" s="374"/>
      <c r="C51933" s="374"/>
      <c r="CV51933" s="376"/>
    </row>
    <row r="51934" spans="1:100">
      <c r="A51934" s="374"/>
      <c r="C51934" s="374"/>
      <c r="CV51934" s="376"/>
    </row>
    <row r="51935" spans="1:100">
      <c r="A51935" s="374"/>
      <c r="C51935" s="374"/>
      <c r="CV51935" s="376"/>
    </row>
    <row r="51936" spans="1:100">
      <c r="A51936" s="374"/>
      <c r="C51936" s="374"/>
      <c r="CV51936" s="376"/>
    </row>
    <row r="51937" spans="1:100">
      <c r="A51937" s="374"/>
      <c r="C51937" s="374"/>
      <c r="CV51937" s="376"/>
    </row>
    <row r="51938" spans="1:100">
      <c r="A51938" s="374"/>
      <c r="C51938" s="374"/>
      <c r="CV51938" s="376"/>
    </row>
    <row r="51939" spans="1:100">
      <c r="A51939" s="374"/>
      <c r="C51939" s="374"/>
      <c r="CV51939" s="376"/>
    </row>
    <row r="51940" spans="1:100">
      <c r="A51940" s="374"/>
      <c r="C51940" s="374"/>
      <c r="CV51940" s="376"/>
    </row>
    <row r="51941" spans="1:100">
      <c r="A51941" s="374"/>
      <c r="C51941" s="374"/>
      <c r="CV51941" s="376"/>
    </row>
    <row r="51942" spans="1:100">
      <c r="A51942" s="374"/>
      <c r="C51942" s="374"/>
      <c r="CV51942" s="376"/>
    </row>
    <row r="51943" spans="1:100">
      <c r="A51943" s="374"/>
      <c r="C51943" s="374"/>
      <c r="CV51943" s="376"/>
    </row>
    <row r="51944" spans="1:100">
      <c r="A51944" s="374"/>
      <c r="C51944" s="374"/>
      <c r="CV51944" s="376"/>
    </row>
    <row r="51945" spans="1:100">
      <c r="A51945" s="374"/>
      <c r="C51945" s="374"/>
      <c r="CV51945" s="376"/>
    </row>
    <row r="51946" spans="1:100">
      <c r="A51946" s="374"/>
      <c r="C51946" s="374"/>
      <c r="CV51946" s="376"/>
    </row>
    <row r="51947" spans="1:100">
      <c r="A51947" s="374"/>
      <c r="C51947" s="374"/>
      <c r="CV51947" s="376"/>
    </row>
    <row r="51948" spans="1:100">
      <c r="A51948" s="374"/>
      <c r="C51948" s="374"/>
      <c r="CV51948" s="376"/>
    </row>
    <row r="51949" spans="1:100">
      <c r="A51949" s="374"/>
      <c r="C51949" s="374"/>
      <c r="CV51949" s="376"/>
    </row>
    <row r="51950" spans="1:100">
      <c r="A51950" s="374"/>
      <c r="C51950" s="374"/>
      <c r="CV51950" s="376"/>
    </row>
    <row r="51951" spans="1:100">
      <c r="A51951" s="374"/>
      <c r="C51951" s="374"/>
      <c r="CV51951" s="376"/>
    </row>
    <row r="51952" spans="1:100">
      <c r="A51952" s="374"/>
      <c r="C51952" s="374"/>
      <c r="CV51952" s="376"/>
    </row>
    <row r="51953" spans="1:100">
      <c r="A51953" s="374"/>
      <c r="C51953" s="374"/>
      <c r="CV51953" s="376"/>
    </row>
    <row r="51954" spans="1:100">
      <c r="A51954" s="374"/>
      <c r="C51954" s="374"/>
      <c r="CV51954" s="376"/>
    </row>
    <row r="51955" spans="1:100">
      <c r="A51955" s="374"/>
      <c r="C51955" s="374"/>
      <c r="CV51955" s="376"/>
    </row>
    <row r="51956" spans="1:100">
      <c r="A51956" s="374"/>
      <c r="C51956" s="374"/>
      <c r="CV51956" s="376"/>
    </row>
    <row r="51957" spans="1:100">
      <c r="A51957" s="374"/>
      <c r="C51957" s="374"/>
      <c r="CV51957" s="376"/>
    </row>
    <row r="51958" spans="1:100">
      <c r="A51958" s="374"/>
      <c r="C51958" s="374"/>
      <c r="CV51958" s="376"/>
    </row>
    <row r="51959" spans="1:100">
      <c r="A51959" s="374"/>
      <c r="C51959" s="374"/>
      <c r="CV51959" s="376"/>
    </row>
    <row r="51960" spans="1:100">
      <c r="A51960" s="374"/>
      <c r="C51960" s="374"/>
      <c r="CV51960" s="376"/>
    </row>
    <row r="51961" spans="1:100">
      <c r="A51961" s="374"/>
      <c r="C51961" s="374"/>
      <c r="CV51961" s="376"/>
    </row>
    <row r="51962" spans="1:100">
      <c r="A51962" s="374"/>
      <c r="C51962" s="374"/>
      <c r="CV51962" s="376"/>
    </row>
    <row r="51963" spans="1:100">
      <c r="A51963" s="374"/>
      <c r="C51963" s="374"/>
      <c r="CV51963" s="376"/>
    </row>
    <row r="51964" spans="1:100">
      <c r="A51964" s="374"/>
      <c r="C51964" s="374"/>
      <c r="CV51964" s="376"/>
    </row>
    <row r="51965" spans="1:100">
      <c r="A51965" s="374"/>
      <c r="C51965" s="374"/>
      <c r="CV51965" s="376"/>
    </row>
    <row r="51966" spans="1:100">
      <c r="A51966" s="374"/>
      <c r="C51966" s="374"/>
      <c r="CV51966" s="376"/>
    </row>
    <row r="51967" spans="1:100">
      <c r="A51967" s="374"/>
      <c r="C51967" s="374"/>
      <c r="CV51967" s="376"/>
    </row>
    <row r="51968" spans="1:100">
      <c r="A51968" s="374"/>
      <c r="C51968" s="374"/>
      <c r="CV51968" s="376"/>
    </row>
    <row r="51969" spans="1:100">
      <c r="A51969" s="374"/>
      <c r="C51969" s="374"/>
      <c r="CV51969" s="376"/>
    </row>
    <row r="51970" spans="1:100">
      <c r="A51970" s="374"/>
      <c r="C51970" s="374"/>
      <c r="CV51970" s="376"/>
    </row>
    <row r="51971" spans="1:100">
      <c r="A51971" s="374"/>
      <c r="C51971" s="374"/>
      <c r="CV51971" s="376"/>
    </row>
    <row r="51972" spans="1:100">
      <c r="A51972" s="374"/>
      <c r="C51972" s="374"/>
      <c r="CV51972" s="376"/>
    </row>
    <row r="51973" spans="1:100">
      <c r="A51973" s="374"/>
      <c r="C51973" s="374"/>
      <c r="CV51973" s="376"/>
    </row>
    <row r="51974" spans="1:100">
      <c r="A51974" s="374"/>
      <c r="C51974" s="374"/>
      <c r="CV51974" s="376"/>
    </row>
    <row r="51975" spans="1:100">
      <c r="A51975" s="374"/>
      <c r="C51975" s="374"/>
      <c r="CV51975" s="376"/>
    </row>
    <row r="51976" spans="1:100">
      <c r="A51976" s="374"/>
      <c r="C51976" s="374"/>
      <c r="CV51976" s="376"/>
    </row>
    <row r="51977" spans="1:100">
      <c r="A51977" s="374"/>
      <c r="C51977" s="374"/>
      <c r="CV51977" s="376"/>
    </row>
    <row r="51978" spans="1:100">
      <c r="A51978" s="374"/>
      <c r="C51978" s="374"/>
      <c r="CV51978" s="376"/>
    </row>
    <row r="51979" spans="1:100">
      <c r="A51979" s="374"/>
      <c r="C51979" s="374"/>
      <c r="CV51979" s="376"/>
    </row>
    <row r="51980" spans="1:100">
      <c r="A51980" s="374"/>
      <c r="C51980" s="374"/>
      <c r="CV51980" s="376"/>
    </row>
    <row r="51981" spans="1:100">
      <c r="A51981" s="374"/>
      <c r="C51981" s="374"/>
      <c r="CV51981" s="376"/>
    </row>
    <row r="51982" spans="1:100">
      <c r="A51982" s="374"/>
      <c r="C51982" s="374"/>
      <c r="CV51982" s="376"/>
    </row>
    <row r="51983" spans="1:100">
      <c r="A51983" s="374"/>
      <c r="C51983" s="374"/>
      <c r="CV51983" s="376"/>
    </row>
    <row r="51984" spans="1:100">
      <c r="A51984" s="374"/>
      <c r="C51984" s="374"/>
      <c r="CV51984" s="376"/>
    </row>
    <row r="51985" spans="1:100">
      <c r="A51985" s="374"/>
      <c r="C51985" s="374"/>
      <c r="CV51985" s="376"/>
    </row>
    <row r="51986" spans="1:100">
      <c r="A51986" s="374"/>
      <c r="C51986" s="374"/>
      <c r="CV51986" s="376"/>
    </row>
    <row r="51987" spans="1:100">
      <c r="A51987" s="374"/>
      <c r="C51987" s="374"/>
      <c r="CV51987" s="376"/>
    </row>
    <row r="51988" spans="1:100">
      <c r="A51988" s="374"/>
      <c r="C51988" s="374"/>
      <c r="CV51988" s="376"/>
    </row>
    <row r="51989" spans="1:100">
      <c r="A51989" s="374"/>
      <c r="C51989" s="374"/>
      <c r="CV51989" s="376"/>
    </row>
    <row r="51990" spans="1:100">
      <c r="A51990" s="374"/>
      <c r="C51990" s="374"/>
      <c r="CV51990" s="376"/>
    </row>
    <row r="51991" spans="1:100">
      <c r="A51991" s="374"/>
      <c r="C51991" s="374"/>
      <c r="CV51991" s="376"/>
    </row>
    <row r="51992" spans="1:100">
      <c r="A51992" s="374"/>
      <c r="C51992" s="374"/>
      <c r="CV51992" s="376"/>
    </row>
    <row r="51993" spans="1:100">
      <c r="A51993" s="374"/>
      <c r="C51993" s="374"/>
      <c r="CV51993" s="376"/>
    </row>
    <row r="51994" spans="1:100">
      <c r="A51994" s="374"/>
      <c r="C51994" s="374"/>
      <c r="CV51994" s="376"/>
    </row>
    <row r="51995" spans="1:100">
      <c r="A51995" s="374"/>
      <c r="C51995" s="374"/>
      <c r="CV51995" s="376"/>
    </row>
    <row r="51996" spans="1:100">
      <c r="A51996" s="374"/>
      <c r="C51996" s="374"/>
      <c r="CV51996" s="376"/>
    </row>
    <row r="51997" spans="1:100">
      <c r="A51997" s="374"/>
      <c r="C51997" s="374"/>
      <c r="CV51997" s="376"/>
    </row>
    <row r="51998" spans="1:100">
      <c r="A51998" s="374"/>
      <c r="C51998" s="374"/>
      <c r="CV51998" s="376"/>
    </row>
    <row r="51999" spans="1:100">
      <c r="A51999" s="374"/>
      <c r="C51999" s="374"/>
      <c r="CV51999" s="376"/>
    </row>
    <row r="52000" spans="1:100">
      <c r="A52000" s="374"/>
      <c r="C52000" s="374"/>
      <c r="CV52000" s="376"/>
    </row>
    <row r="52001" spans="1:100">
      <c r="A52001" s="374"/>
      <c r="C52001" s="374"/>
      <c r="CV52001" s="376"/>
    </row>
    <row r="52002" spans="1:100">
      <c r="A52002" s="374"/>
      <c r="C52002" s="374"/>
      <c r="CV52002" s="376"/>
    </row>
    <row r="52003" spans="1:100">
      <c r="A52003" s="374"/>
      <c r="C52003" s="374"/>
      <c r="CV52003" s="376"/>
    </row>
    <row r="52004" spans="1:100">
      <c r="A52004" s="374"/>
      <c r="C52004" s="374"/>
      <c r="CV52004" s="376"/>
    </row>
    <row r="52005" spans="1:100">
      <c r="A52005" s="374"/>
      <c r="C52005" s="374"/>
      <c r="CV52005" s="376"/>
    </row>
    <row r="52006" spans="1:100">
      <c r="A52006" s="374"/>
      <c r="C52006" s="374"/>
      <c r="CV52006" s="376"/>
    </row>
    <row r="52007" spans="1:100">
      <c r="A52007" s="374"/>
      <c r="C52007" s="374"/>
      <c r="CV52007" s="376"/>
    </row>
    <row r="52008" spans="1:100">
      <c r="A52008" s="374"/>
      <c r="C52008" s="374"/>
      <c r="CV52008" s="376"/>
    </row>
    <row r="52009" spans="1:100">
      <c r="A52009" s="374"/>
      <c r="C52009" s="374"/>
      <c r="CV52009" s="376"/>
    </row>
    <row r="52010" spans="1:100">
      <c r="A52010" s="374"/>
      <c r="C52010" s="374"/>
      <c r="CV52010" s="376"/>
    </row>
    <row r="52011" spans="1:100">
      <c r="A52011" s="374"/>
      <c r="C52011" s="374"/>
      <c r="CV52011" s="376"/>
    </row>
    <row r="52012" spans="1:100">
      <c r="A52012" s="374"/>
      <c r="C52012" s="374"/>
      <c r="CV52012" s="376"/>
    </row>
    <row r="52013" spans="1:100">
      <c r="A52013" s="374"/>
      <c r="C52013" s="374"/>
      <c r="CV52013" s="376"/>
    </row>
    <row r="52014" spans="1:100">
      <c r="A52014" s="374"/>
      <c r="C52014" s="374"/>
      <c r="CV52014" s="376"/>
    </row>
    <row r="52015" spans="1:100">
      <c r="A52015" s="374"/>
      <c r="C52015" s="374"/>
      <c r="CV52015" s="376"/>
    </row>
    <row r="52016" spans="1:100">
      <c r="A52016" s="374"/>
      <c r="C52016" s="374"/>
      <c r="CV52016" s="376"/>
    </row>
    <row r="52017" spans="1:100">
      <c r="A52017" s="374"/>
      <c r="C52017" s="374"/>
      <c r="CV52017" s="376"/>
    </row>
    <row r="52018" spans="1:100">
      <c r="A52018" s="374"/>
      <c r="C52018" s="374"/>
      <c r="CV52018" s="376"/>
    </row>
    <row r="52019" spans="1:100">
      <c r="A52019" s="374"/>
      <c r="C52019" s="374"/>
      <c r="CV52019" s="376"/>
    </row>
    <row r="52020" spans="1:100">
      <c r="A52020" s="374"/>
      <c r="C52020" s="374"/>
      <c r="CV52020" s="376"/>
    </row>
    <row r="52021" spans="1:100">
      <c r="A52021" s="374"/>
      <c r="C52021" s="374"/>
      <c r="CV52021" s="376"/>
    </row>
    <row r="52022" spans="1:100">
      <c r="A52022" s="374"/>
      <c r="C52022" s="374"/>
      <c r="CV52022" s="376"/>
    </row>
    <row r="52023" spans="1:100">
      <c r="A52023" s="374"/>
      <c r="C52023" s="374"/>
      <c r="CV52023" s="376"/>
    </row>
    <row r="52024" spans="1:100">
      <c r="A52024" s="374"/>
      <c r="C52024" s="374"/>
      <c r="CV52024" s="376"/>
    </row>
    <row r="52025" spans="1:100">
      <c r="A52025" s="374"/>
      <c r="C52025" s="374"/>
      <c r="CV52025" s="376"/>
    </row>
    <row r="52026" spans="1:100">
      <c r="A52026" s="374"/>
      <c r="C52026" s="374"/>
      <c r="CV52026" s="376"/>
    </row>
    <row r="52027" spans="1:100">
      <c r="A52027" s="374"/>
      <c r="C52027" s="374"/>
      <c r="CV52027" s="376"/>
    </row>
    <row r="52028" spans="1:100">
      <c r="A52028" s="374"/>
      <c r="C52028" s="374"/>
      <c r="CV52028" s="376"/>
    </row>
    <row r="52029" spans="1:100">
      <c r="A52029" s="374"/>
      <c r="C52029" s="374"/>
      <c r="CV52029" s="376"/>
    </row>
    <row r="52030" spans="1:100">
      <c r="A52030" s="374"/>
      <c r="C52030" s="374"/>
      <c r="CV52030" s="376"/>
    </row>
    <row r="52031" spans="1:100">
      <c r="A52031" s="374"/>
      <c r="C52031" s="374"/>
      <c r="CV52031" s="376"/>
    </row>
    <row r="52032" spans="1:100">
      <c r="A52032" s="374"/>
      <c r="C52032" s="374"/>
      <c r="CV52032" s="376"/>
    </row>
    <row r="52033" spans="1:100">
      <c r="A52033" s="374"/>
      <c r="C52033" s="374"/>
      <c r="CV52033" s="376"/>
    </row>
    <row r="52034" spans="1:100">
      <c r="A52034" s="374"/>
      <c r="C52034" s="374"/>
      <c r="CV52034" s="376"/>
    </row>
    <row r="52035" spans="1:100">
      <c r="A52035" s="374"/>
      <c r="C52035" s="374"/>
      <c r="CV52035" s="376"/>
    </row>
    <row r="52036" spans="1:100">
      <c r="A52036" s="374"/>
      <c r="C52036" s="374"/>
      <c r="CV52036" s="376"/>
    </row>
    <row r="52037" spans="1:100">
      <c r="A52037" s="374"/>
      <c r="C52037" s="374"/>
      <c r="CV52037" s="376"/>
    </row>
    <row r="52038" spans="1:100">
      <c r="A52038" s="374"/>
      <c r="C52038" s="374"/>
      <c r="CV52038" s="376"/>
    </row>
    <row r="52039" spans="1:100">
      <c r="A52039" s="374"/>
      <c r="C52039" s="374"/>
      <c r="CV52039" s="376"/>
    </row>
    <row r="52040" spans="1:100">
      <c r="A52040" s="374"/>
      <c r="C52040" s="374"/>
      <c r="CV52040" s="376"/>
    </row>
    <row r="52041" spans="1:100">
      <c r="A52041" s="374"/>
      <c r="C52041" s="374"/>
      <c r="CV52041" s="376"/>
    </row>
    <row r="52042" spans="1:100">
      <c r="A52042" s="374"/>
      <c r="C52042" s="374"/>
      <c r="CV52042" s="376"/>
    </row>
    <row r="52043" spans="1:100">
      <c r="A52043" s="374"/>
      <c r="C52043" s="374"/>
      <c r="CV52043" s="376"/>
    </row>
    <row r="52044" spans="1:100">
      <c r="A52044" s="374"/>
      <c r="C52044" s="374"/>
      <c r="CV52044" s="376"/>
    </row>
    <row r="52045" spans="1:100">
      <c r="A52045" s="374"/>
      <c r="C52045" s="374"/>
      <c r="CV52045" s="376"/>
    </row>
    <row r="52046" spans="1:100">
      <c r="A52046" s="374"/>
      <c r="C52046" s="374"/>
      <c r="CV52046" s="376"/>
    </row>
    <row r="52047" spans="1:100">
      <c r="A52047" s="374"/>
      <c r="C52047" s="374"/>
      <c r="CV52047" s="376"/>
    </row>
    <row r="52048" spans="1:100">
      <c r="A52048" s="374"/>
      <c r="C52048" s="374"/>
      <c r="CV52048" s="376"/>
    </row>
    <row r="52049" spans="1:100">
      <c r="A52049" s="374"/>
      <c r="C52049" s="374"/>
      <c r="CV52049" s="376"/>
    </row>
    <row r="52050" spans="1:100">
      <c r="A52050" s="374"/>
      <c r="C52050" s="374"/>
      <c r="CV52050" s="376"/>
    </row>
    <row r="52051" spans="1:100">
      <c r="A52051" s="374"/>
      <c r="C52051" s="374"/>
      <c r="CV52051" s="376"/>
    </row>
    <row r="52052" spans="1:100">
      <c r="A52052" s="374"/>
      <c r="C52052" s="374"/>
      <c r="CV52052" s="376"/>
    </row>
    <row r="52053" spans="1:100">
      <c r="A52053" s="374"/>
      <c r="C52053" s="374"/>
      <c r="CV52053" s="376"/>
    </row>
    <row r="52054" spans="1:100">
      <c r="A52054" s="374"/>
      <c r="C52054" s="374"/>
      <c r="CV52054" s="376"/>
    </row>
    <row r="52055" spans="1:100">
      <c r="A52055" s="374"/>
      <c r="C52055" s="374"/>
      <c r="CV52055" s="376"/>
    </row>
    <row r="52056" spans="1:100">
      <c r="A52056" s="374"/>
      <c r="C52056" s="374"/>
      <c r="CV52056" s="376"/>
    </row>
    <row r="52057" spans="1:100">
      <c r="A52057" s="374"/>
      <c r="C52057" s="374"/>
      <c r="CV52057" s="376"/>
    </row>
    <row r="52058" spans="1:100">
      <c r="A52058" s="374"/>
      <c r="C52058" s="374"/>
      <c r="CV52058" s="376"/>
    </row>
    <row r="52059" spans="1:100">
      <c r="A52059" s="374"/>
      <c r="C52059" s="374"/>
      <c r="CV52059" s="376"/>
    </row>
    <row r="52060" spans="1:100">
      <c r="A52060" s="374"/>
      <c r="C52060" s="374"/>
      <c r="CV52060" s="376"/>
    </row>
    <row r="52061" spans="1:100">
      <c r="A52061" s="374"/>
      <c r="C52061" s="374"/>
      <c r="CV52061" s="376"/>
    </row>
    <row r="52062" spans="1:100">
      <c r="A52062" s="374"/>
      <c r="C52062" s="374"/>
      <c r="CV52062" s="376"/>
    </row>
    <row r="52063" spans="1:100">
      <c r="A52063" s="374"/>
      <c r="C52063" s="374"/>
      <c r="CV52063" s="376"/>
    </row>
    <row r="52064" spans="1:100">
      <c r="A52064" s="374"/>
      <c r="C52064" s="374"/>
      <c r="CV52064" s="376"/>
    </row>
    <row r="52065" spans="1:100">
      <c r="A52065" s="374"/>
      <c r="C52065" s="374"/>
      <c r="CV52065" s="376"/>
    </row>
    <row r="52066" spans="1:100">
      <c r="A52066" s="374"/>
      <c r="C52066" s="374"/>
      <c r="CV52066" s="376"/>
    </row>
    <row r="52067" spans="1:100">
      <c r="A52067" s="374"/>
      <c r="C52067" s="374"/>
      <c r="CV52067" s="376"/>
    </row>
    <row r="52068" spans="1:100">
      <c r="A52068" s="374"/>
      <c r="C52068" s="374"/>
      <c r="CV52068" s="376"/>
    </row>
    <row r="52069" spans="1:100">
      <c r="A52069" s="374"/>
      <c r="C52069" s="374"/>
      <c r="CV52069" s="376"/>
    </row>
    <row r="52070" spans="1:100">
      <c r="A52070" s="374"/>
      <c r="C52070" s="374"/>
      <c r="CV52070" s="376"/>
    </row>
    <row r="52071" spans="1:100">
      <c r="A52071" s="374"/>
      <c r="C52071" s="374"/>
      <c r="CV52071" s="376"/>
    </row>
    <row r="52072" spans="1:100">
      <c r="A52072" s="374"/>
      <c r="C52072" s="374"/>
      <c r="CV52072" s="376"/>
    </row>
    <row r="52073" spans="1:100">
      <c r="A52073" s="374"/>
      <c r="C52073" s="374"/>
      <c r="CV52073" s="376"/>
    </row>
    <row r="52074" spans="1:100">
      <c r="A52074" s="374"/>
      <c r="C52074" s="374"/>
      <c r="CV52074" s="376"/>
    </row>
    <row r="52075" spans="1:100">
      <c r="A52075" s="374"/>
      <c r="C52075" s="374"/>
      <c r="CV52075" s="376"/>
    </row>
    <row r="52076" spans="1:100">
      <c r="A52076" s="374"/>
      <c r="C52076" s="374"/>
      <c r="CV52076" s="376"/>
    </row>
    <row r="52077" spans="1:100">
      <c r="A52077" s="374"/>
      <c r="C52077" s="374"/>
      <c r="CV52077" s="376"/>
    </row>
    <row r="52078" spans="1:100">
      <c r="A52078" s="374"/>
      <c r="C52078" s="374"/>
      <c r="CV52078" s="376"/>
    </row>
    <row r="52079" spans="1:100">
      <c r="A52079" s="374"/>
      <c r="C52079" s="374"/>
      <c r="CV52079" s="376"/>
    </row>
    <row r="52080" spans="1:100">
      <c r="A52080" s="374"/>
      <c r="C52080" s="374"/>
      <c r="CV52080" s="376"/>
    </row>
    <row r="52081" spans="1:100">
      <c r="A52081" s="374"/>
      <c r="C52081" s="374"/>
      <c r="CV52081" s="376"/>
    </row>
    <row r="52082" spans="1:100">
      <c r="A52082" s="374"/>
      <c r="C52082" s="374"/>
      <c r="CV52082" s="376"/>
    </row>
    <row r="52083" spans="1:100">
      <c r="A52083" s="374"/>
      <c r="C52083" s="374"/>
      <c r="CV52083" s="376"/>
    </row>
    <row r="52084" spans="1:100">
      <c r="A52084" s="374"/>
      <c r="C52084" s="374"/>
      <c r="CV52084" s="376"/>
    </row>
    <row r="52085" spans="1:100">
      <c r="A52085" s="374"/>
      <c r="C52085" s="374"/>
      <c r="CV52085" s="376"/>
    </row>
    <row r="52086" spans="1:100">
      <c r="A52086" s="374"/>
      <c r="C52086" s="374"/>
      <c r="CV52086" s="376"/>
    </row>
    <row r="52087" spans="1:100">
      <c r="A52087" s="374"/>
      <c r="C52087" s="374"/>
      <c r="CV52087" s="376"/>
    </row>
    <row r="52088" spans="1:100">
      <c r="A52088" s="374"/>
      <c r="C52088" s="374"/>
      <c r="CV52088" s="376"/>
    </row>
    <row r="52089" spans="1:100">
      <c r="A52089" s="374"/>
      <c r="C52089" s="374"/>
      <c r="CV52089" s="376"/>
    </row>
    <row r="52090" spans="1:100">
      <c r="A52090" s="374"/>
      <c r="C52090" s="374"/>
      <c r="CV52090" s="376"/>
    </row>
    <row r="52091" spans="1:100">
      <c r="A52091" s="374"/>
      <c r="C52091" s="374"/>
      <c r="CV52091" s="376"/>
    </row>
    <row r="52092" spans="1:100">
      <c r="A52092" s="374"/>
      <c r="C52092" s="374"/>
      <c r="CV52092" s="376"/>
    </row>
    <row r="52093" spans="1:100">
      <c r="A52093" s="374"/>
      <c r="C52093" s="374"/>
      <c r="CV52093" s="376"/>
    </row>
    <row r="52094" spans="1:100">
      <c r="A52094" s="374"/>
      <c r="C52094" s="374"/>
      <c r="CV52094" s="376"/>
    </row>
    <row r="52095" spans="1:100">
      <c r="A52095" s="374"/>
      <c r="C52095" s="374"/>
      <c r="CV52095" s="376"/>
    </row>
    <row r="52096" spans="1:100">
      <c r="A52096" s="374"/>
      <c r="C52096" s="374"/>
      <c r="CV52096" s="376"/>
    </row>
    <row r="52097" spans="1:100">
      <c r="A52097" s="374"/>
      <c r="C52097" s="374"/>
      <c r="CV52097" s="376"/>
    </row>
    <row r="52098" spans="1:100">
      <c r="A52098" s="374"/>
      <c r="C52098" s="374"/>
      <c r="CV52098" s="376"/>
    </row>
    <row r="52099" spans="1:100">
      <c r="A52099" s="374"/>
      <c r="C52099" s="374"/>
      <c r="CV52099" s="376"/>
    </row>
    <row r="52100" spans="1:100">
      <c r="A52100" s="374"/>
      <c r="C52100" s="374"/>
      <c r="CV52100" s="376"/>
    </row>
    <row r="52101" spans="1:100">
      <c r="A52101" s="374"/>
      <c r="C52101" s="374"/>
      <c r="CV52101" s="376"/>
    </row>
    <row r="52102" spans="1:100">
      <c r="A52102" s="374"/>
      <c r="C52102" s="374"/>
      <c r="CV52102" s="376"/>
    </row>
    <row r="52103" spans="1:100">
      <c r="A52103" s="374"/>
      <c r="C52103" s="374"/>
      <c r="CV52103" s="376"/>
    </row>
    <row r="52104" spans="1:100">
      <c r="A52104" s="374"/>
      <c r="C52104" s="374"/>
      <c r="CV52104" s="376"/>
    </row>
    <row r="52105" spans="1:100">
      <c r="A52105" s="374"/>
      <c r="C52105" s="374"/>
      <c r="CV52105" s="376"/>
    </row>
    <row r="52106" spans="1:100">
      <c r="A52106" s="374"/>
      <c r="C52106" s="374"/>
      <c r="CV52106" s="376"/>
    </row>
    <row r="52107" spans="1:100">
      <c r="A52107" s="374"/>
      <c r="C52107" s="374"/>
      <c r="CV52107" s="376"/>
    </row>
    <row r="52108" spans="1:100">
      <c r="A52108" s="374"/>
      <c r="C52108" s="374"/>
      <c r="CV52108" s="376"/>
    </row>
    <row r="52109" spans="1:100">
      <c r="A52109" s="374"/>
      <c r="C52109" s="374"/>
      <c r="CV52109" s="376"/>
    </row>
    <row r="52110" spans="1:100">
      <c r="A52110" s="374"/>
      <c r="C52110" s="374"/>
      <c r="CV52110" s="376"/>
    </row>
    <row r="52111" spans="1:100">
      <c r="A52111" s="374"/>
      <c r="C52111" s="374"/>
      <c r="CV52111" s="376"/>
    </row>
    <row r="52112" spans="1:100">
      <c r="A52112" s="374"/>
      <c r="C52112" s="374"/>
      <c r="CV52112" s="376"/>
    </row>
    <row r="52113" spans="1:100">
      <c r="A52113" s="374"/>
      <c r="C52113" s="374"/>
      <c r="CV52113" s="376"/>
    </row>
    <row r="52114" spans="1:100">
      <c r="A52114" s="374"/>
      <c r="C52114" s="374"/>
      <c r="CV52114" s="376"/>
    </row>
    <row r="52115" spans="1:100">
      <c r="A52115" s="374"/>
      <c r="C52115" s="374"/>
      <c r="CV52115" s="376"/>
    </row>
    <row r="52116" spans="1:100">
      <c r="A52116" s="374"/>
      <c r="C52116" s="374"/>
      <c r="CV52116" s="376"/>
    </row>
    <row r="52117" spans="1:100">
      <c r="A52117" s="374"/>
      <c r="C52117" s="374"/>
      <c r="CV52117" s="376"/>
    </row>
    <row r="52118" spans="1:100">
      <c r="A52118" s="374"/>
      <c r="C52118" s="374"/>
      <c r="CV52118" s="376"/>
    </row>
    <row r="52119" spans="1:100">
      <c r="A52119" s="374"/>
      <c r="C52119" s="374"/>
      <c r="CV52119" s="376"/>
    </row>
    <row r="52120" spans="1:100">
      <c r="A52120" s="374"/>
      <c r="C52120" s="374"/>
      <c r="CV52120" s="376"/>
    </row>
    <row r="52121" spans="1:100">
      <c r="A52121" s="374"/>
      <c r="C52121" s="374"/>
      <c r="CV52121" s="376"/>
    </row>
    <row r="52122" spans="1:100">
      <c r="A52122" s="374"/>
      <c r="C52122" s="374"/>
      <c r="CV52122" s="376"/>
    </row>
    <row r="52123" spans="1:100">
      <c r="A52123" s="374"/>
      <c r="C52123" s="374"/>
      <c r="CV52123" s="376"/>
    </row>
    <row r="52124" spans="1:100">
      <c r="A52124" s="374"/>
      <c r="C52124" s="374"/>
      <c r="CV52124" s="376"/>
    </row>
    <row r="52125" spans="1:100">
      <c r="A52125" s="374"/>
      <c r="C52125" s="374"/>
      <c r="CV52125" s="376"/>
    </row>
    <row r="52126" spans="1:100">
      <c r="A52126" s="374"/>
      <c r="C52126" s="374"/>
      <c r="CV52126" s="376"/>
    </row>
    <row r="52127" spans="1:100">
      <c r="A52127" s="374"/>
      <c r="C52127" s="374"/>
      <c r="CV52127" s="376"/>
    </row>
    <row r="52128" spans="1:100">
      <c r="A52128" s="374"/>
      <c r="C52128" s="374"/>
      <c r="CV52128" s="376"/>
    </row>
    <row r="52129" spans="1:100">
      <c r="A52129" s="374"/>
      <c r="C52129" s="374"/>
      <c r="CV52129" s="376"/>
    </row>
    <row r="52130" spans="1:100">
      <c r="A52130" s="374"/>
      <c r="C52130" s="374"/>
      <c r="CV52130" s="376"/>
    </row>
    <row r="52131" spans="1:100">
      <c r="A52131" s="374"/>
      <c r="C52131" s="374"/>
      <c r="CV52131" s="376"/>
    </row>
    <row r="52132" spans="1:100">
      <c r="A52132" s="374"/>
      <c r="C52132" s="374"/>
      <c r="CV52132" s="376"/>
    </row>
    <row r="52133" spans="1:100">
      <c r="A52133" s="374"/>
      <c r="C52133" s="374"/>
      <c r="CV52133" s="376"/>
    </row>
    <row r="52134" spans="1:100">
      <c r="A52134" s="374"/>
      <c r="C52134" s="374"/>
      <c r="CV52134" s="376"/>
    </row>
    <row r="52135" spans="1:100">
      <c r="A52135" s="374"/>
      <c r="C52135" s="374"/>
      <c r="CV52135" s="376"/>
    </row>
    <row r="52136" spans="1:100">
      <c r="A52136" s="374"/>
      <c r="C52136" s="374"/>
      <c r="CV52136" s="376"/>
    </row>
    <row r="52137" spans="1:100">
      <c r="A52137" s="374"/>
      <c r="C52137" s="374"/>
      <c r="CV52137" s="376"/>
    </row>
    <row r="52138" spans="1:100">
      <c r="A52138" s="374"/>
      <c r="C52138" s="374"/>
      <c r="CV52138" s="376"/>
    </row>
    <row r="52139" spans="1:100">
      <c r="A52139" s="374"/>
      <c r="C52139" s="374"/>
      <c r="CV52139" s="376"/>
    </row>
    <row r="52140" spans="1:100">
      <c r="A52140" s="374"/>
      <c r="C52140" s="374"/>
      <c r="CV52140" s="376"/>
    </row>
    <row r="52141" spans="1:100">
      <c r="A52141" s="374"/>
      <c r="C52141" s="374"/>
      <c r="CV52141" s="376"/>
    </row>
    <row r="52142" spans="1:100">
      <c r="A52142" s="374"/>
      <c r="C52142" s="374"/>
      <c r="CV52142" s="376"/>
    </row>
    <row r="52143" spans="1:100">
      <c r="A52143" s="374"/>
      <c r="C52143" s="374"/>
      <c r="CV52143" s="376"/>
    </row>
    <row r="52144" spans="1:100">
      <c r="A52144" s="374"/>
      <c r="C52144" s="374"/>
      <c r="CV52144" s="376"/>
    </row>
    <row r="52145" spans="1:100">
      <c r="A52145" s="374"/>
      <c r="C52145" s="374"/>
      <c r="CV52145" s="376"/>
    </row>
    <row r="52146" spans="1:100">
      <c r="A52146" s="374"/>
      <c r="C52146" s="374"/>
      <c r="CV52146" s="376"/>
    </row>
    <row r="52147" spans="1:100">
      <c r="A52147" s="374"/>
      <c r="C52147" s="374"/>
      <c r="CV52147" s="376"/>
    </row>
    <row r="52148" spans="1:100">
      <c r="A52148" s="374"/>
      <c r="C52148" s="374"/>
      <c r="CV52148" s="376"/>
    </row>
    <row r="52149" spans="1:100">
      <c r="A52149" s="374"/>
      <c r="C52149" s="374"/>
      <c r="CV52149" s="376"/>
    </row>
    <row r="52150" spans="1:100">
      <c r="A52150" s="374"/>
      <c r="C52150" s="374"/>
      <c r="CV52150" s="376"/>
    </row>
    <row r="52151" spans="1:100">
      <c r="A52151" s="374"/>
      <c r="C52151" s="374"/>
      <c r="CV52151" s="376"/>
    </row>
    <row r="52152" spans="1:100">
      <c r="A52152" s="374"/>
      <c r="C52152" s="374"/>
      <c r="CV52152" s="376"/>
    </row>
    <row r="52153" spans="1:100">
      <c r="A52153" s="374"/>
      <c r="C52153" s="374"/>
      <c r="CV52153" s="376"/>
    </row>
    <row r="52154" spans="1:100">
      <c r="A52154" s="374"/>
      <c r="C52154" s="374"/>
      <c r="CV52154" s="376"/>
    </row>
    <row r="52155" spans="1:100">
      <c r="A52155" s="374"/>
      <c r="C52155" s="374"/>
      <c r="CV52155" s="376"/>
    </row>
    <row r="52156" spans="1:100">
      <c r="A52156" s="374"/>
      <c r="C52156" s="374"/>
      <c r="CV52156" s="376"/>
    </row>
    <row r="52157" spans="1:100">
      <c r="A52157" s="374"/>
      <c r="C52157" s="374"/>
      <c r="CV52157" s="376"/>
    </row>
    <row r="52158" spans="1:100">
      <c r="A52158" s="374"/>
      <c r="C52158" s="374"/>
      <c r="CV52158" s="376"/>
    </row>
    <row r="52159" spans="1:100">
      <c r="A52159" s="374"/>
      <c r="C52159" s="374"/>
      <c r="CV52159" s="376"/>
    </row>
    <row r="52160" spans="1:100">
      <c r="A52160" s="374"/>
      <c r="C52160" s="374"/>
      <c r="CV52160" s="376"/>
    </row>
    <row r="52161" spans="1:100">
      <c r="A52161" s="374"/>
      <c r="C52161" s="374"/>
      <c r="CV52161" s="376"/>
    </row>
    <row r="52162" spans="1:100">
      <c r="A52162" s="374"/>
      <c r="C52162" s="374"/>
      <c r="CV52162" s="376"/>
    </row>
    <row r="52163" spans="1:100">
      <c r="A52163" s="374"/>
      <c r="C52163" s="374"/>
      <c r="CV52163" s="376"/>
    </row>
    <row r="52164" spans="1:100">
      <c r="A52164" s="374"/>
      <c r="C52164" s="374"/>
      <c r="CV52164" s="376"/>
    </row>
    <row r="52165" spans="1:100">
      <c r="A52165" s="374"/>
      <c r="C52165" s="374"/>
      <c r="CV52165" s="376"/>
    </row>
    <row r="52166" spans="1:100">
      <c r="A52166" s="374"/>
      <c r="C52166" s="374"/>
      <c r="CV52166" s="376"/>
    </row>
    <row r="52167" spans="1:100">
      <c r="A52167" s="374"/>
      <c r="C52167" s="374"/>
      <c r="CV52167" s="376"/>
    </row>
    <row r="52168" spans="1:100">
      <c r="A52168" s="374"/>
      <c r="C52168" s="374"/>
      <c r="CV52168" s="376"/>
    </row>
    <row r="52169" spans="1:100">
      <c r="A52169" s="374"/>
      <c r="C52169" s="374"/>
      <c r="CV52169" s="376"/>
    </row>
    <row r="52170" spans="1:100">
      <c r="A52170" s="374"/>
      <c r="C52170" s="374"/>
      <c r="CV52170" s="376"/>
    </row>
    <row r="52171" spans="1:100">
      <c r="A52171" s="374"/>
      <c r="C52171" s="374"/>
      <c r="CV52171" s="376"/>
    </row>
    <row r="52172" spans="1:100">
      <c r="A52172" s="374"/>
      <c r="C52172" s="374"/>
      <c r="CV52172" s="376"/>
    </row>
    <row r="52173" spans="1:100">
      <c r="A52173" s="374"/>
      <c r="C52173" s="374"/>
      <c r="CV52173" s="376"/>
    </row>
    <row r="52174" spans="1:100">
      <c r="A52174" s="374"/>
      <c r="C52174" s="374"/>
      <c r="CV52174" s="376"/>
    </row>
    <row r="52175" spans="1:100">
      <c r="A52175" s="374"/>
      <c r="C52175" s="374"/>
      <c r="CV52175" s="376"/>
    </row>
    <row r="52176" spans="1:100">
      <c r="A52176" s="374"/>
      <c r="C52176" s="374"/>
      <c r="CV52176" s="376"/>
    </row>
    <row r="52177" spans="1:100">
      <c r="A52177" s="374"/>
      <c r="C52177" s="374"/>
      <c r="CV52177" s="376"/>
    </row>
    <row r="52178" spans="1:100">
      <c r="A52178" s="374"/>
      <c r="C52178" s="374"/>
      <c r="CV52178" s="376"/>
    </row>
    <row r="52179" spans="1:100">
      <c r="A52179" s="374"/>
      <c r="C52179" s="374"/>
      <c r="CV52179" s="376"/>
    </row>
    <row r="52180" spans="1:100">
      <c r="A52180" s="374"/>
      <c r="C52180" s="374"/>
      <c r="CV52180" s="376"/>
    </row>
    <row r="52181" spans="1:100">
      <c r="A52181" s="374"/>
      <c r="C52181" s="374"/>
      <c r="CV52181" s="376"/>
    </row>
    <row r="52182" spans="1:100">
      <c r="A52182" s="374"/>
      <c r="C52182" s="374"/>
      <c r="CV52182" s="376"/>
    </row>
    <row r="52183" spans="1:100">
      <c r="A52183" s="374"/>
      <c r="C52183" s="374"/>
      <c r="CV52183" s="376"/>
    </row>
    <row r="52184" spans="1:100">
      <c r="A52184" s="374"/>
      <c r="C52184" s="374"/>
      <c r="CV52184" s="376"/>
    </row>
    <row r="52185" spans="1:100">
      <c r="A52185" s="374"/>
      <c r="C52185" s="374"/>
      <c r="CV52185" s="376"/>
    </row>
    <row r="52186" spans="1:100">
      <c r="A52186" s="374"/>
      <c r="C52186" s="374"/>
      <c r="CV52186" s="376"/>
    </row>
    <row r="52187" spans="1:100">
      <c r="A52187" s="374"/>
      <c r="C52187" s="374"/>
      <c r="CV52187" s="376"/>
    </row>
    <row r="52188" spans="1:100">
      <c r="A52188" s="374"/>
      <c r="C52188" s="374"/>
      <c r="CV52188" s="376"/>
    </row>
    <row r="52189" spans="1:100">
      <c r="A52189" s="374"/>
      <c r="C52189" s="374"/>
      <c r="CV52189" s="376"/>
    </row>
    <row r="52190" spans="1:100">
      <c r="A52190" s="374"/>
      <c r="C52190" s="374"/>
      <c r="CV52190" s="376"/>
    </row>
    <row r="52191" spans="1:100">
      <c r="A52191" s="374"/>
      <c r="C52191" s="374"/>
      <c r="CV52191" s="376"/>
    </row>
    <row r="52192" spans="1:100">
      <c r="A52192" s="374"/>
      <c r="C52192" s="374"/>
      <c r="CV52192" s="376"/>
    </row>
    <row r="52193" spans="1:100">
      <c r="A52193" s="374"/>
      <c r="C52193" s="374"/>
      <c r="CV52193" s="376"/>
    </row>
    <row r="52194" spans="1:100">
      <c r="A52194" s="374"/>
      <c r="C52194" s="374"/>
      <c r="CV52194" s="376"/>
    </row>
    <row r="52195" spans="1:100">
      <c r="A52195" s="374"/>
      <c r="C52195" s="374"/>
      <c r="CV52195" s="376"/>
    </row>
    <row r="52196" spans="1:100">
      <c r="A52196" s="374"/>
      <c r="C52196" s="374"/>
      <c r="CV52196" s="376"/>
    </row>
    <row r="52197" spans="1:100">
      <c r="A52197" s="374"/>
      <c r="C52197" s="374"/>
      <c r="CV52197" s="376"/>
    </row>
    <row r="52198" spans="1:100">
      <c r="A52198" s="374"/>
      <c r="C52198" s="374"/>
      <c r="CV52198" s="376"/>
    </row>
    <row r="52199" spans="1:100">
      <c r="A52199" s="374"/>
      <c r="C52199" s="374"/>
      <c r="CV52199" s="376"/>
    </row>
    <row r="52200" spans="1:100">
      <c r="A52200" s="374"/>
      <c r="C52200" s="374"/>
      <c r="CV52200" s="376"/>
    </row>
    <row r="52201" spans="1:100">
      <c r="A52201" s="374"/>
      <c r="C52201" s="374"/>
      <c r="CV52201" s="376"/>
    </row>
    <row r="52202" spans="1:100">
      <c r="A52202" s="374"/>
      <c r="C52202" s="374"/>
      <c r="CV52202" s="376"/>
    </row>
    <row r="52203" spans="1:100">
      <c r="A52203" s="374"/>
      <c r="C52203" s="374"/>
      <c r="CV52203" s="376"/>
    </row>
    <row r="52204" spans="1:100">
      <c r="A52204" s="374"/>
      <c r="C52204" s="374"/>
      <c r="CV52204" s="376"/>
    </row>
    <row r="52205" spans="1:100">
      <c r="A52205" s="374"/>
      <c r="C52205" s="374"/>
      <c r="CV52205" s="376"/>
    </row>
    <row r="52206" spans="1:100">
      <c r="A52206" s="374"/>
      <c r="C52206" s="374"/>
      <c r="CV52206" s="376"/>
    </row>
    <row r="52207" spans="1:100">
      <c r="A52207" s="374"/>
      <c r="C52207" s="374"/>
      <c r="CV52207" s="376"/>
    </row>
    <row r="52208" spans="1:100">
      <c r="A52208" s="374"/>
      <c r="C52208" s="374"/>
      <c r="CV52208" s="376"/>
    </row>
    <row r="52209" spans="1:100">
      <c r="A52209" s="374"/>
      <c r="C52209" s="374"/>
      <c r="CV52209" s="376"/>
    </row>
    <row r="52210" spans="1:100">
      <c r="A52210" s="374"/>
      <c r="C52210" s="374"/>
      <c r="CV52210" s="376"/>
    </row>
    <row r="52211" spans="1:100">
      <c r="A52211" s="374"/>
      <c r="C52211" s="374"/>
      <c r="CV52211" s="376"/>
    </row>
    <row r="52212" spans="1:100">
      <c r="A52212" s="374"/>
      <c r="C52212" s="374"/>
      <c r="CV52212" s="376"/>
    </row>
    <row r="52213" spans="1:100">
      <c r="A52213" s="374"/>
      <c r="C52213" s="374"/>
      <c r="CV52213" s="376"/>
    </row>
    <row r="52214" spans="1:100">
      <c r="A52214" s="374"/>
      <c r="C52214" s="374"/>
      <c r="CV52214" s="376"/>
    </row>
    <row r="52215" spans="1:100">
      <c r="A52215" s="374"/>
      <c r="C52215" s="374"/>
      <c r="CV52215" s="376"/>
    </row>
    <row r="52216" spans="1:100">
      <c r="A52216" s="374"/>
      <c r="C52216" s="374"/>
      <c r="CV52216" s="376"/>
    </row>
    <row r="52217" spans="1:100">
      <c r="A52217" s="374"/>
      <c r="C52217" s="374"/>
      <c r="CV52217" s="376"/>
    </row>
    <row r="52218" spans="1:100">
      <c r="A52218" s="374"/>
      <c r="C52218" s="374"/>
      <c r="CV52218" s="376"/>
    </row>
    <row r="52219" spans="1:100">
      <c r="A52219" s="374"/>
      <c r="C52219" s="374"/>
      <c r="CV52219" s="376"/>
    </row>
    <row r="52220" spans="1:100">
      <c r="A52220" s="374"/>
      <c r="C52220" s="374"/>
      <c r="CV52220" s="376"/>
    </row>
    <row r="52221" spans="1:100">
      <c r="A52221" s="374"/>
      <c r="C52221" s="374"/>
      <c r="CV52221" s="376"/>
    </row>
    <row r="52222" spans="1:100">
      <c r="A52222" s="374"/>
      <c r="C52222" s="374"/>
      <c r="CV52222" s="376"/>
    </row>
    <row r="52223" spans="1:100">
      <c r="A52223" s="374"/>
      <c r="C52223" s="374"/>
      <c r="CV52223" s="376"/>
    </row>
    <row r="52224" spans="1:100">
      <c r="A52224" s="374"/>
      <c r="C52224" s="374"/>
      <c r="CV52224" s="376"/>
    </row>
    <row r="52225" spans="1:100">
      <c r="A52225" s="374"/>
      <c r="C52225" s="374"/>
      <c r="CV52225" s="376"/>
    </row>
    <row r="52226" spans="1:100">
      <c r="A52226" s="374"/>
      <c r="C52226" s="374"/>
      <c r="CV52226" s="376"/>
    </row>
    <row r="52227" spans="1:100">
      <c r="A52227" s="374"/>
      <c r="C52227" s="374"/>
      <c r="CV52227" s="376"/>
    </row>
    <row r="52228" spans="1:100">
      <c r="A52228" s="374"/>
      <c r="C52228" s="374"/>
      <c r="CV52228" s="376"/>
    </row>
    <row r="52229" spans="1:100">
      <c r="A52229" s="374"/>
      <c r="C52229" s="374"/>
      <c r="CV52229" s="376"/>
    </row>
    <row r="52230" spans="1:100">
      <c r="A52230" s="374"/>
      <c r="C52230" s="374"/>
      <c r="CV52230" s="376"/>
    </row>
    <row r="52231" spans="1:100">
      <c r="A52231" s="374"/>
      <c r="C52231" s="374"/>
      <c r="CV52231" s="376"/>
    </row>
    <row r="52232" spans="1:100">
      <c r="A52232" s="374"/>
      <c r="C52232" s="374"/>
      <c r="CV52232" s="376"/>
    </row>
    <row r="52233" spans="1:100">
      <c r="A52233" s="374"/>
      <c r="C52233" s="374"/>
      <c r="CV52233" s="376"/>
    </row>
    <row r="52234" spans="1:100">
      <c r="A52234" s="374"/>
      <c r="C52234" s="374"/>
      <c r="CV52234" s="376"/>
    </row>
    <row r="52235" spans="1:100">
      <c r="A52235" s="374"/>
      <c r="C52235" s="374"/>
      <c r="CV52235" s="376"/>
    </row>
    <row r="52236" spans="1:100">
      <c r="A52236" s="374"/>
      <c r="C52236" s="374"/>
      <c r="CV52236" s="376"/>
    </row>
    <row r="52237" spans="1:100">
      <c r="A52237" s="374"/>
      <c r="C52237" s="374"/>
      <c r="CV52237" s="376"/>
    </row>
    <row r="52238" spans="1:100">
      <c r="A52238" s="374"/>
      <c r="C52238" s="374"/>
      <c r="CV52238" s="376"/>
    </row>
    <row r="52239" spans="1:100">
      <c r="A52239" s="374"/>
      <c r="C52239" s="374"/>
      <c r="CV52239" s="376"/>
    </row>
    <row r="52240" spans="1:100">
      <c r="A52240" s="374"/>
      <c r="C52240" s="374"/>
      <c r="CV52240" s="376"/>
    </row>
    <row r="52241" spans="1:100">
      <c r="A52241" s="374"/>
      <c r="C52241" s="374"/>
      <c r="CV52241" s="376"/>
    </row>
    <row r="52242" spans="1:100">
      <c r="A52242" s="374"/>
      <c r="C52242" s="374"/>
      <c r="CV52242" s="376"/>
    </row>
    <row r="52243" spans="1:100">
      <c r="A52243" s="374"/>
      <c r="C52243" s="374"/>
      <c r="CV52243" s="376"/>
    </row>
    <row r="52244" spans="1:100">
      <c r="A52244" s="374"/>
      <c r="C52244" s="374"/>
      <c r="CV52244" s="376"/>
    </row>
    <row r="52245" spans="1:100">
      <c r="A52245" s="374"/>
      <c r="C52245" s="374"/>
      <c r="CV52245" s="376"/>
    </row>
    <row r="52246" spans="1:100">
      <c r="A52246" s="374"/>
      <c r="C52246" s="374"/>
      <c r="CV52246" s="376"/>
    </row>
    <row r="52247" spans="1:100">
      <c r="A52247" s="374"/>
      <c r="C52247" s="374"/>
      <c r="CV52247" s="376"/>
    </row>
    <row r="52248" spans="1:100">
      <c r="A52248" s="374"/>
      <c r="C52248" s="374"/>
      <c r="CV52248" s="376"/>
    </row>
    <row r="52249" spans="1:100">
      <c r="A52249" s="374"/>
      <c r="C52249" s="374"/>
      <c r="CV52249" s="376"/>
    </row>
    <row r="52250" spans="1:100">
      <c r="A52250" s="374"/>
      <c r="C52250" s="374"/>
      <c r="CV52250" s="376"/>
    </row>
    <row r="52251" spans="1:100">
      <c r="A52251" s="374"/>
      <c r="C52251" s="374"/>
      <c r="CV52251" s="376"/>
    </row>
    <row r="52252" spans="1:100">
      <c r="A52252" s="374"/>
      <c r="C52252" s="374"/>
      <c r="CV52252" s="376"/>
    </row>
    <row r="52253" spans="1:100">
      <c r="A52253" s="374"/>
      <c r="C52253" s="374"/>
      <c r="CV52253" s="376"/>
    </row>
    <row r="52254" spans="1:100">
      <c r="A52254" s="374"/>
      <c r="C52254" s="374"/>
      <c r="CV52254" s="376"/>
    </row>
    <row r="52255" spans="1:100">
      <c r="A52255" s="374"/>
      <c r="C52255" s="374"/>
      <c r="CV52255" s="376"/>
    </row>
    <row r="52256" spans="1:100">
      <c r="A52256" s="374"/>
      <c r="C52256" s="374"/>
      <c r="CV52256" s="376"/>
    </row>
    <row r="52257" spans="1:100">
      <c r="A52257" s="374"/>
      <c r="C52257" s="374"/>
      <c r="CV52257" s="376"/>
    </row>
    <row r="52258" spans="1:100">
      <c r="A52258" s="374"/>
      <c r="C52258" s="374"/>
      <c r="CV52258" s="376"/>
    </row>
    <row r="52259" spans="1:100">
      <c r="A52259" s="374"/>
      <c r="C52259" s="374"/>
      <c r="CV52259" s="376"/>
    </row>
    <row r="52260" spans="1:100">
      <c r="A52260" s="374"/>
      <c r="C52260" s="374"/>
      <c r="CV52260" s="376"/>
    </row>
    <row r="52261" spans="1:100">
      <c r="A52261" s="374"/>
      <c r="C52261" s="374"/>
      <c r="CV52261" s="376"/>
    </row>
    <row r="52262" spans="1:100">
      <c r="A52262" s="374"/>
      <c r="C52262" s="374"/>
      <c r="CV52262" s="376"/>
    </row>
    <row r="52263" spans="1:100">
      <c r="A52263" s="374"/>
      <c r="C52263" s="374"/>
      <c r="CV52263" s="376"/>
    </row>
    <row r="52264" spans="1:100">
      <c r="A52264" s="374"/>
      <c r="C52264" s="374"/>
      <c r="CV52264" s="376"/>
    </row>
    <row r="52265" spans="1:100">
      <c r="A52265" s="374"/>
      <c r="C52265" s="374"/>
      <c r="CV52265" s="376"/>
    </row>
    <row r="52266" spans="1:100">
      <c r="A52266" s="374"/>
      <c r="C52266" s="374"/>
      <c r="CV52266" s="376"/>
    </row>
    <row r="52267" spans="1:100">
      <c r="A52267" s="374"/>
      <c r="C52267" s="374"/>
      <c r="CV52267" s="376"/>
    </row>
    <row r="52268" spans="1:100">
      <c r="A52268" s="374"/>
      <c r="C52268" s="374"/>
      <c r="CV52268" s="376"/>
    </row>
    <row r="52269" spans="1:100">
      <c r="A52269" s="374"/>
      <c r="C52269" s="374"/>
      <c r="CV52269" s="376"/>
    </row>
    <row r="52270" spans="1:100">
      <c r="A52270" s="374"/>
      <c r="C52270" s="374"/>
      <c r="CV52270" s="376"/>
    </row>
    <row r="52271" spans="1:100">
      <c r="A52271" s="374"/>
      <c r="C52271" s="374"/>
      <c r="CV52271" s="376"/>
    </row>
    <row r="52272" spans="1:100">
      <c r="A52272" s="374"/>
      <c r="C52272" s="374"/>
      <c r="CV52272" s="376"/>
    </row>
    <row r="52273" spans="1:100">
      <c r="A52273" s="374"/>
      <c r="C52273" s="374"/>
      <c r="CV52273" s="376"/>
    </row>
    <row r="52274" spans="1:100">
      <c r="A52274" s="374"/>
      <c r="C52274" s="374"/>
      <c r="CV52274" s="376"/>
    </row>
    <row r="52275" spans="1:100">
      <c r="A52275" s="374"/>
      <c r="C52275" s="374"/>
      <c r="CV52275" s="376"/>
    </row>
    <row r="52276" spans="1:100">
      <c r="A52276" s="374"/>
      <c r="C52276" s="374"/>
      <c r="CV52276" s="376"/>
    </row>
    <row r="52277" spans="1:100">
      <c r="A52277" s="374"/>
      <c r="C52277" s="374"/>
      <c r="CV52277" s="376"/>
    </row>
    <row r="52278" spans="1:100">
      <c r="A52278" s="374"/>
      <c r="C52278" s="374"/>
      <c r="CV52278" s="376"/>
    </row>
    <row r="52279" spans="1:100">
      <c r="A52279" s="374"/>
      <c r="C52279" s="374"/>
      <c r="CV52279" s="376"/>
    </row>
    <row r="52280" spans="1:100">
      <c r="A52280" s="374"/>
      <c r="C52280" s="374"/>
      <c r="CV52280" s="376"/>
    </row>
    <row r="52281" spans="1:100">
      <c r="A52281" s="374"/>
      <c r="C52281" s="374"/>
      <c r="CV52281" s="376"/>
    </row>
    <row r="52282" spans="1:100">
      <c r="A52282" s="374"/>
      <c r="C52282" s="374"/>
      <c r="CV52282" s="376"/>
    </row>
    <row r="52283" spans="1:100">
      <c r="A52283" s="374"/>
      <c r="C52283" s="374"/>
      <c r="CV52283" s="376"/>
    </row>
    <row r="52284" spans="1:100">
      <c r="A52284" s="374"/>
      <c r="C52284" s="374"/>
      <c r="CV52284" s="376"/>
    </row>
    <row r="52285" spans="1:100">
      <c r="A52285" s="374"/>
      <c r="C52285" s="374"/>
      <c r="CV52285" s="376"/>
    </row>
    <row r="52286" spans="1:100">
      <c r="A52286" s="374"/>
      <c r="C52286" s="374"/>
      <c r="CV52286" s="376"/>
    </row>
    <row r="52287" spans="1:100">
      <c r="A52287" s="374"/>
      <c r="C52287" s="374"/>
      <c r="CV52287" s="376"/>
    </row>
    <row r="52288" spans="1:100">
      <c r="A52288" s="374"/>
      <c r="C52288" s="374"/>
      <c r="CV52288" s="376"/>
    </row>
    <row r="52289" spans="1:100">
      <c r="A52289" s="374"/>
      <c r="C52289" s="374"/>
      <c r="CV52289" s="376"/>
    </row>
    <row r="52290" spans="1:100">
      <c r="A52290" s="374"/>
      <c r="C52290" s="374"/>
      <c r="CV52290" s="376"/>
    </row>
    <row r="52291" spans="1:100">
      <c r="A52291" s="374"/>
      <c r="C52291" s="374"/>
      <c r="CV52291" s="376"/>
    </row>
    <row r="52292" spans="1:100">
      <c r="A52292" s="374"/>
      <c r="C52292" s="374"/>
      <c r="CV52292" s="376"/>
    </row>
    <row r="52293" spans="1:100">
      <c r="A52293" s="374"/>
      <c r="C52293" s="374"/>
      <c r="CV52293" s="376"/>
    </row>
    <row r="52294" spans="1:100">
      <c r="A52294" s="374"/>
      <c r="C52294" s="374"/>
      <c r="CV52294" s="376"/>
    </row>
    <row r="52295" spans="1:100">
      <c r="A52295" s="374"/>
      <c r="C52295" s="374"/>
      <c r="CV52295" s="376"/>
    </row>
    <row r="52296" spans="1:100">
      <c r="A52296" s="374"/>
      <c r="C52296" s="374"/>
      <c r="CV52296" s="376"/>
    </row>
    <row r="52297" spans="1:100">
      <c r="A52297" s="374"/>
      <c r="C52297" s="374"/>
      <c r="CV52297" s="376"/>
    </row>
    <row r="52298" spans="1:100">
      <c r="A52298" s="374"/>
      <c r="C52298" s="374"/>
      <c r="CV52298" s="376"/>
    </row>
    <row r="52299" spans="1:100">
      <c r="A52299" s="374"/>
      <c r="C52299" s="374"/>
      <c r="CV52299" s="376"/>
    </row>
    <row r="52300" spans="1:100">
      <c r="A52300" s="374"/>
      <c r="C52300" s="374"/>
      <c r="CV52300" s="376"/>
    </row>
    <row r="52301" spans="1:100">
      <c r="A52301" s="374"/>
      <c r="C52301" s="374"/>
      <c r="CV52301" s="376"/>
    </row>
    <row r="52302" spans="1:100">
      <c r="A52302" s="374"/>
      <c r="C52302" s="374"/>
      <c r="CV52302" s="376"/>
    </row>
    <row r="52303" spans="1:100">
      <c r="A52303" s="374"/>
      <c r="C52303" s="374"/>
      <c r="CV52303" s="376"/>
    </row>
    <row r="52304" spans="1:100">
      <c r="A52304" s="374"/>
      <c r="C52304" s="374"/>
      <c r="CV52304" s="376"/>
    </row>
    <row r="52305" spans="1:100">
      <c r="A52305" s="374"/>
      <c r="C52305" s="374"/>
      <c r="CV52305" s="376"/>
    </row>
    <row r="52306" spans="1:100">
      <c r="A52306" s="374"/>
      <c r="C52306" s="374"/>
      <c r="CV52306" s="376"/>
    </row>
    <row r="52307" spans="1:100">
      <c r="A52307" s="374"/>
      <c r="C52307" s="374"/>
      <c r="CV52307" s="376"/>
    </row>
    <row r="52308" spans="1:100">
      <c r="A52308" s="374"/>
      <c r="C52308" s="374"/>
      <c r="CV52308" s="376"/>
    </row>
    <row r="52309" spans="1:100">
      <c r="A52309" s="374"/>
      <c r="C52309" s="374"/>
      <c r="CV52309" s="376"/>
    </row>
    <row r="52310" spans="1:100">
      <c r="A52310" s="374"/>
      <c r="C52310" s="374"/>
      <c r="CV52310" s="376"/>
    </row>
    <row r="52311" spans="1:100">
      <c r="A52311" s="374"/>
      <c r="C52311" s="374"/>
      <c r="CV52311" s="376"/>
    </row>
    <row r="52312" spans="1:100">
      <c r="A52312" s="374"/>
      <c r="C52312" s="374"/>
      <c r="CV52312" s="376"/>
    </row>
    <row r="52313" spans="1:100">
      <c r="A52313" s="374"/>
      <c r="C52313" s="374"/>
      <c r="CV52313" s="376"/>
    </row>
    <row r="52314" spans="1:100">
      <c r="A52314" s="374"/>
      <c r="C52314" s="374"/>
      <c r="CV52314" s="376"/>
    </row>
    <row r="52315" spans="1:100">
      <c r="A52315" s="374"/>
      <c r="C52315" s="374"/>
      <c r="CV52315" s="376"/>
    </row>
    <row r="52316" spans="1:100">
      <c r="A52316" s="374"/>
      <c r="C52316" s="374"/>
      <c r="CV52316" s="376"/>
    </row>
    <row r="52317" spans="1:100">
      <c r="A52317" s="374"/>
      <c r="C52317" s="374"/>
      <c r="CV52317" s="376"/>
    </row>
    <row r="52318" spans="1:100">
      <c r="A52318" s="374"/>
      <c r="C52318" s="374"/>
      <c r="CV52318" s="376"/>
    </row>
    <row r="52319" spans="1:100">
      <c r="A52319" s="374"/>
      <c r="C52319" s="374"/>
      <c r="CV52319" s="376"/>
    </row>
    <row r="52320" spans="1:100">
      <c r="A52320" s="374"/>
      <c r="C52320" s="374"/>
      <c r="CV52320" s="376"/>
    </row>
    <row r="52321" spans="1:100">
      <c r="A52321" s="374"/>
      <c r="C52321" s="374"/>
      <c r="CV52321" s="376"/>
    </row>
    <row r="52322" spans="1:100">
      <c r="A52322" s="374"/>
      <c r="C52322" s="374"/>
      <c r="CV52322" s="376"/>
    </row>
    <row r="52323" spans="1:100">
      <c r="A52323" s="374"/>
      <c r="C52323" s="374"/>
      <c r="CV52323" s="376"/>
    </row>
    <row r="52324" spans="1:100">
      <c r="A52324" s="374"/>
      <c r="C52324" s="374"/>
      <c r="CV52324" s="376"/>
    </row>
    <row r="52325" spans="1:100">
      <c r="A52325" s="374"/>
      <c r="C52325" s="374"/>
      <c r="CV52325" s="376"/>
    </row>
    <row r="52326" spans="1:100">
      <c r="A52326" s="374"/>
      <c r="C52326" s="374"/>
      <c r="CV52326" s="376"/>
    </row>
    <row r="52327" spans="1:100">
      <c r="A52327" s="374"/>
      <c r="C52327" s="374"/>
      <c r="CV52327" s="376"/>
    </row>
    <row r="52328" spans="1:100">
      <c r="A52328" s="374"/>
      <c r="C52328" s="374"/>
      <c r="CV52328" s="376"/>
    </row>
    <row r="52329" spans="1:100">
      <c r="A52329" s="374"/>
      <c r="C52329" s="374"/>
      <c r="CV52329" s="376"/>
    </row>
    <row r="52330" spans="1:100">
      <c r="A52330" s="374"/>
      <c r="C52330" s="374"/>
      <c r="CV52330" s="376"/>
    </row>
    <row r="52331" spans="1:100">
      <c r="A52331" s="374"/>
      <c r="C52331" s="374"/>
      <c r="CV52331" s="376"/>
    </row>
    <row r="52332" spans="1:100">
      <c r="A52332" s="374"/>
      <c r="C52332" s="374"/>
      <c r="CV52332" s="376"/>
    </row>
    <row r="52333" spans="1:100">
      <c r="A52333" s="374"/>
      <c r="C52333" s="374"/>
      <c r="CV52333" s="376"/>
    </row>
    <row r="52334" spans="1:100">
      <c r="A52334" s="374"/>
      <c r="C52334" s="374"/>
      <c r="CV52334" s="376"/>
    </row>
    <row r="52335" spans="1:100">
      <c r="A52335" s="374"/>
      <c r="C52335" s="374"/>
      <c r="CV52335" s="376"/>
    </row>
    <row r="52336" spans="1:100">
      <c r="A52336" s="374"/>
      <c r="C52336" s="374"/>
      <c r="CV52336" s="376"/>
    </row>
    <row r="52337" spans="1:100">
      <c r="A52337" s="374"/>
      <c r="C52337" s="374"/>
      <c r="CV52337" s="376"/>
    </row>
    <row r="52338" spans="1:100">
      <c r="A52338" s="374"/>
      <c r="C52338" s="374"/>
      <c r="CV52338" s="376"/>
    </row>
    <row r="52339" spans="1:100">
      <c r="A52339" s="374"/>
      <c r="C52339" s="374"/>
      <c r="CV52339" s="376"/>
    </row>
    <row r="52340" spans="1:100">
      <c r="A52340" s="374"/>
      <c r="C52340" s="374"/>
      <c r="CV52340" s="376"/>
    </row>
    <row r="52341" spans="1:100">
      <c r="A52341" s="374"/>
      <c r="C52341" s="374"/>
      <c r="CV52341" s="376"/>
    </row>
    <row r="52342" spans="1:100">
      <c r="A52342" s="374"/>
      <c r="C52342" s="374"/>
      <c r="CV52342" s="376"/>
    </row>
    <row r="52343" spans="1:100">
      <c r="A52343" s="374"/>
      <c r="C52343" s="374"/>
      <c r="CV52343" s="376"/>
    </row>
    <row r="52344" spans="1:100">
      <c r="A52344" s="374"/>
      <c r="C52344" s="374"/>
      <c r="CV52344" s="376"/>
    </row>
    <row r="52345" spans="1:100">
      <c r="A52345" s="374"/>
      <c r="C52345" s="374"/>
      <c r="CV52345" s="376"/>
    </row>
    <row r="52346" spans="1:100">
      <c r="A52346" s="374"/>
      <c r="C52346" s="374"/>
      <c r="CV52346" s="376"/>
    </row>
    <row r="52347" spans="1:100">
      <c r="A52347" s="374"/>
      <c r="C52347" s="374"/>
      <c r="CV52347" s="376"/>
    </row>
    <row r="52348" spans="1:100">
      <c r="A52348" s="374"/>
      <c r="C52348" s="374"/>
      <c r="CV52348" s="376"/>
    </row>
    <row r="52349" spans="1:100">
      <c r="A52349" s="374"/>
      <c r="C52349" s="374"/>
      <c r="CV52349" s="376"/>
    </row>
    <row r="52350" spans="1:100">
      <c r="A52350" s="374"/>
      <c r="C52350" s="374"/>
      <c r="CV52350" s="376"/>
    </row>
    <row r="52351" spans="1:100">
      <c r="A52351" s="374"/>
      <c r="C52351" s="374"/>
      <c r="CV52351" s="376"/>
    </row>
    <row r="52352" spans="1:100">
      <c r="A52352" s="374"/>
      <c r="C52352" s="374"/>
      <c r="CV52352" s="376"/>
    </row>
    <row r="52353" spans="1:100">
      <c r="A52353" s="374"/>
      <c r="C52353" s="374"/>
      <c r="CV52353" s="376"/>
    </row>
    <row r="52354" spans="1:100">
      <c r="A52354" s="374"/>
      <c r="C52354" s="374"/>
      <c r="CV52354" s="376"/>
    </row>
    <row r="52355" spans="1:100">
      <c r="A52355" s="374"/>
      <c r="C52355" s="374"/>
      <c r="CV52355" s="376"/>
    </row>
    <row r="52356" spans="1:100">
      <c r="A52356" s="374"/>
      <c r="C52356" s="374"/>
      <c r="CV52356" s="376"/>
    </row>
    <row r="52357" spans="1:100">
      <c r="A52357" s="374"/>
      <c r="C52357" s="374"/>
      <c r="CV52357" s="376"/>
    </row>
    <row r="52358" spans="1:100">
      <c r="A52358" s="374"/>
      <c r="C52358" s="374"/>
      <c r="CV52358" s="376"/>
    </row>
    <row r="52359" spans="1:100">
      <c r="A52359" s="374"/>
      <c r="C52359" s="374"/>
      <c r="CV52359" s="376"/>
    </row>
    <row r="52360" spans="1:100">
      <c r="A52360" s="374"/>
      <c r="C52360" s="374"/>
      <c r="CV52360" s="376"/>
    </row>
    <row r="52361" spans="1:100">
      <c r="A52361" s="374"/>
      <c r="C52361" s="374"/>
      <c r="CV52361" s="376"/>
    </row>
    <row r="52362" spans="1:100">
      <c r="A52362" s="374"/>
      <c r="C52362" s="374"/>
      <c r="CV52362" s="376"/>
    </row>
    <row r="52363" spans="1:100">
      <c r="A52363" s="374"/>
      <c r="C52363" s="374"/>
      <c r="CV52363" s="376"/>
    </row>
    <row r="52364" spans="1:100">
      <c r="A52364" s="374"/>
      <c r="C52364" s="374"/>
      <c r="CV52364" s="376"/>
    </row>
    <row r="52365" spans="1:100">
      <c r="A52365" s="374"/>
      <c r="C52365" s="374"/>
      <c r="CV52365" s="376"/>
    </row>
    <row r="52366" spans="1:100">
      <c r="A52366" s="374"/>
      <c r="C52366" s="374"/>
      <c r="CV52366" s="376"/>
    </row>
    <row r="52367" spans="1:100">
      <c r="A52367" s="374"/>
      <c r="C52367" s="374"/>
      <c r="CV52367" s="376"/>
    </row>
    <row r="52368" spans="1:100">
      <c r="A52368" s="374"/>
      <c r="C52368" s="374"/>
      <c r="CV52368" s="376"/>
    </row>
    <row r="52369" spans="1:100">
      <c r="A52369" s="374"/>
      <c r="C52369" s="374"/>
      <c r="CV52369" s="376"/>
    </row>
    <row r="52370" spans="1:100">
      <c r="A52370" s="374"/>
      <c r="C52370" s="374"/>
      <c r="CV52370" s="376"/>
    </row>
    <row r="52371" spans="1:100">
      <c r="A52371" s="374"/>
      <c r="C52371" s="374"/>
      <c r="CV52371" s="376"/>
    </row>
    <row r="52372" spans="1:100">
      <c r="A52372" s="374"/>
      <c r="C52372" s="374"/>
      <c r="CV52372" s="376"/>
    </row>
    <row r="52373" spans="1:100">
      <c r="A52373" s="374"/>
      <c r="C52373" s="374"/>
      <c r="CV52373" s="376"/>
    </row>
    <row r="52374" spans="1:100">
      <c r="A52374" s="374"/>
      <c r="C52374" s="374"/>
      <c r="CV52374" s="376"/>
    </row>
    <row r="52375" spans="1:100">
      <c r="A52375" s="374"/>
      <c r="C52375" s="374"/>
      <c r="CV52375" s="376"/>
    </row>
    <row r="52376" spans="1:100">
      <c r="A52376" s="374"/>
      <c r="C52376" s="374"/>
      <c r="CV52376" s="376"/>
    </row>
    <row r="52377" spans="1:100">
      <c r="A52377" s="374"/>
      <c r="C52377" s="374"/>
      <c r="CV52377" s="376"/>
    </row>
    <row r="52378" spans="1:100">
      <c r="A52378" s="374"/>
      <c r="C52378" s="374"/>
      <c r="CV52378" s="376"/>
    </row>
    <row r="52379" spans="1:100">
      <c r="A52379" s="374"/>
      <c r="C52379" s="374"/>
      <c r="CV52379" s="376"/>
    </row>
    <row r="52380" spans="1:100">
      <c r="A52380" s="374"/>
      <c r="C52380" s="374"/>
      <c r="CV52380" s="376"/>
    </row>
    <row r="52381" spans="1:100">
      <c r="A52381" s="374"/>
      <c r="C52381" s="374"/>
      <c r="CV52381" s="376"/>
    </row>
    <row r="52382" spans="1:100">
      <c r="A52382" s="374"/>
      <c r="C52382" s="374"/>
      <c r="CV52382" s="376"/>
    </row>
    <row r="52383" spans="1:100">
      <c r="A52383" s="374"/>
      <c r="C52383" s="374"/>
      <c r="CV52383" s="376"/>
    </row>
    <row r="52384" spans="1:100">
      <c r="A52384" s="374"/>
      <c r="C52384" s="374"/>
      <c r="CV52384" s="376"/>
    </row>
    <row r="52385" spans="1:100">
      <c r="A52385" s="374"/>
      <c r="C52385" s="374"/>
      <c r="CV52385" s="376"/>
    </row>
    <row r="52386" spans="1:100">
      <c r="A52386" s="374"/>
      <c r="C52386" s="374"/>
      <c r="CV52386" s="376"/>
    </row>
    <row r="52387" spans="1:100">
      <c r="A52387" s="374"/>
      <c r="C52387" s="374"/>
      <c r="CV52387" s="376"/>
    </row>
    <row r="52388" spans="1:100">
      <c r="A52388" s="374"/>
      <c r="C52388" s="374"/>
      <c r="CV52388" s="376"/>
    </row>
    <row r="52389" spans="1:100">
      <c r="A52389" s="374"/>
      <c r="C52389" s="374"/>
      <c r="CV52389" s="376"/>
    </row>
    <row r="52390" spans="1:100">
      <c r="A52390" s="374"/>
      <c r="C52390" s="374"/>
      <c r="CV52390" s="376"/>
    </row>
    <row r="52391" spans="1:100">
      <c r="A52391" s="374"/>
      <c r="C52391" s="374"/>
      <c r="CV52391" s="376"/>
    </row>
    <row r="52392" spans="1:100">
      <c r="A52392" s="374"/>
      <c r="C52392" s="374"/>
      <c r="CV52392" s="376"/>
    </row>
    <row r="52393" spans="1:100">
      <c r="A52393" s="374"/>
      <c r="C52393" s="374"/>
      <c r="CV52393" s="376"/>
    </row>
    <row r="52394" spans="1:100">
      <c r="A52394" s="374"/>
      <c r="C52394" s="374"/>
      <c r="CV52394" s="376"/>
    </row>
    <row r="52395" spans="1:100">
      <c r="A52395" s="374"/>
      <c r="C52395" s="374"/>
      <c r="CV52395" s="376"/>
    </row>
    <row r="52396" spans="1:100">
      <c r="A52396" s="374"/>
      <c r="C52396" s="374"/>
      <c r="CV52396" s="376"/>
    </row>
    <row r="52397" spans="1:100">
      <c r="A52397" s="374"/>
      <c r="C52397" s="374"/>
      <c r="CV52397" s="376"/>
    </row>
    <row r="52398" spans="1:100">
      <c r="A52398" s="374"/>
      <c r="C52398" s="374"/>
      <c r="CV52398" s="376"/>
    </row>
    <row r="52399" spans="1:100">
      <c r="A52399" s="374"/>
      <c r="C52399" s="374"/>
      <c r="CV52399" s="376"/>
    </row>
    <row r="52400" spans="1:100">
      <c r="A52400" s="374"/>
      <c r="C52400" s="374"/>
      <c r="CV52400" s="376"/>
    </row>
    <row r="52401" spans="1:100">
      <c r="A52401" s="374"/>
      <c r="C52401" s="374"/>
      <c r="CV52401" s="376"/>
    </row>
    <row r="52402" spans="1:100">
      <c r="A52402" s="374"/>
      <c r="C52402" s="374"/>
      <c r="CV52402" s="376"/>
    </row>
    <row r="52403" spans="1:100">
      <c r="A52403" s="374"/>
      <c r="C52403" s="374"/>
      <c r="CV52403" s="376"/>
    </row>
    <row r="52404" spans="1:100">
      <c r="A52404" s="374"/>
      <c r="C52404" s="374"/>
      <c r="CV52404" s="376"/>
    </row>
    <row r="52405" spans="1:100">
      <c r="A52405" s="374"/>
      <c r="C52405" s="374"/>
      <c r="CV52405" s="376"/>
    </row>
    <row r="52406" spans="1:100">
      <c r="A52406" s="374"/>
      <c r="C52406" s="374"/>
      <c r="CV52406" s="376"/>
    </row>
    <row r="52407" spans="1:100">
      <c r="A52407" s="374"/>
      <c r="C52407" s="374"/>
      <c r="CV52407" s="376"/>
    </row>
    <row r="52408" spans="1:100">
      <c r="A52408" s="374"/>
      <c r="C52408" s="374"/>
      <c r="CV52408" s="376"/>
    </row>
    <row r="52409" spans="1:100">
      <c r="A52409" s="374"/>
      <c r="C52409" s="374"/>
      <c r="CV52409" s="376"/>
    </row>
    <row r="52410" spans="1:100">
      <c r="A52410" s="374"/>
      <c r="C52410" s="374"/>
      <c r="CV52410" s="376"/>
    </row>
    <row r="52411" spans="1:100">
      <c r="A52411" s="374"/>
      <c r="C52411" s="374"/>
      <c r="CV52411" s="376"/>
    </row>
    <row r="52412" spans="1:100">
      <c r="A52412" s="374"/>
      <c r="C52412" s="374"/>
      <c r="CV52412" s="376"/>
    </row>
    <row r="52413" spans="1:100">
      <c r="A52413" s="374"/>
      <c r="C52413" s="374"/>
      <c r="CV52413" s="376"/>
    </row>
    <row r="52414" spans="1:100">
      <c r="A52414" s="374"/>
      <c r="C52414" s="374"/>
      <c r="CV52414" s="376"/>
    </row>
    <row r="52415" spans="1:100">
      <c r="A52415" s="374"/>
      <c r="C52415" s="374"/>
      <c r="CV52415" s="376"/>
    </row>
    <row r="52416" spans="1:100">
      <c r="A52416" s="374"/>
      <c r="C52416" s="374"/>
      <c r="CV52416" s="376"/>
    </row>
    <row r="52417" spans="1:100">
      <c r="A52417" s="374"/>
      <c r="C52417" s="374"/>
      <c r="CV52417" s="376"/>
    </row>
    <row r="52418" spans="1:100">
      <c r="A52418" s="374"/>
      <c r="C52418" s="374"/>
      <c r="CV52418" s="376"/>
    </row>
    <row r="52419" spans="1:100">
      <c r="A52419" s="374"/>
      <c r="C52419" s="374"/>
      <c r="CV52419" s="376"/>
    </row>
    <row r="52420" spans="1:100">
      <c r="A52420" s="374"/>
      <c r="C52420" s="374"/>
      <c r="CV52420" s="376"/>
    </row>
    <row r="52421" spans="1:100">
      <c r="A52421" s="374"/>
      <c r="C52421" s="374"/>
      <c r="CV52421" s="376"/>
    </row>
    <row r="52422" spans="1:100">
      <c r="A52422" s="374"/>
      <c r="C52422" s="374"/>
      <c r="CV52422" s="376"/>
    </row>
    <row r="52423" spans="1:100">
      <c r="A52423" s="374"/>
      <c r="C52423" s="374"/>
      <c r="CV52423" s="376"/>
    </row>
    <row r="52424" spans="1:100">
      <c r="A52424" s="374"/>
      <c r="C52424" s="374"/>
      <c r="CV52424" s="376"/>
    </row>
    <row r="52425" spans="1:100">
      <c r="A52425" s="374"/>
      <c r="C52425" s="374"/>
      <c r="CV52425" s="376"/>
    </row>
    <row r="52426" spans="1:100">
      <c r="A52426" s="374"/>
      <c r="C52426" s="374"/>
      <c r="CV52426" s="376"/>
    </row>
    <row r="52427" spans="1:100">
      <c r="A52427" s="374"/>
      <c r="C52427" s="374"/>
      <c r="CV52427" s="376"/>
    </row>
    <row r="52428" spans="1:100">
      <c r="A52428" s="374"/>
      <c r="C52428" s="374"/>
      <c r="CV52428" s="376"/>
    </row>
    <row r="52429" spans="1:100">
      <c r="A52429" s="374"/>
      <c r="C52429" s="374"/>
      <c r="CV52429" s="376"/>
    </row>
    <row r="52430" spans="1:100">
      <c r="A52430" s="374"/>
      <c r="C52430" s="374"/>
      <c r="CV52430" s="376"/>
    </row>
    <row r="52431" spans="1:100">
      <c r="A52431" s="374"/>
      <c r="C52431" s="374"/>
      <c r="CV52431" s="376"/>
    </row>
    <row r="52432" spans="1:100">
      <c r="A52432" s="374"/>
      <c r="C52432" s="374"/>
      <c r="CV52432" s="376"/>
    </row>
    <row r="52433" spans="1:100">
      <c r="A52433" s="374"/>
      <c r="C52433" s="374"/>
      <c r="CV52433" s="376"/>
    </row>
    <row r="52434" spans="1:100">
      <c r="A52434" s="374"/>
      <c r="C52434" s="374"/>
      <c r="CV52434" s="376"/>
    </row>
    <row r="52435" spans="1:100">
      <c r="A52435" s="374"/>
      <c r="C52435" s="374"/>
      <c r="CV52435" s="376"/>
    </row>
    <row r="52436" spans="1:100">
      <c r="A52436" s="374"/>
      <c r="C52436" s="374"/>
      <c r="CV52436" s="376"/>
    </row>
    <row r="52437" spans="1:100">
      <c r="A52437" s="374"/>
      <c r="C52437" s="374"/>
      <c r="CV52437" s="376"/>
    </row>
    <row r="52438" spans="1:100">
      <c r="A52438" s="374"/>
      <c r="C52438" s="374"/>
      <c r="CV52438" s="376"/>
    </row>
    <row r="52439" spans="1:100">
      <c r="A52439" s="374"/>
      <c r="C52439" s="374"/>
      <c r="CV52439" s="376"/>
    </row>
    <row r="52440" spans="1:100">
      <c r="A52440" s="374"/>
      <c r="C52440" s="374"/>
      <c r="CV52440" s="376"/>
    </row>
    <row r="52441" spans="1:100">
      <c r="A52441" s="374"/>
      <c r="C52441" s="374"/>
      <c r="CV52441" s="376"/>
    </row>
    <row r="52442" spans="1:100">
      <c r="A52442" s="374"/>
      <c r="C52442" s="374"/>
      <c r="CV52442" s="376"/>
    </row>
    <row r="52443" spans="1:100">
      <c r="A52443" s="374"/>
      <c r="C52443" s="374"/>
      <c r="CV52443" s="376"/>
    </row>
    <row r="52444" spans="1:100">
      <c r="A52444" s="374"/>
      <c r="C52444" s="374"/>
      <c r="CV52444" s="376"/>
    </row>
    <row r="52445" spans="1:100">
      <c r="A52445" s="374"/>
      <c r="C52445" s="374"/>
      <c r="CV52445" s="376"/>
    </row>
    <row r="52446" spans="1:100">
      <c r="A52446" s="374"/>
      <c r="C52446" s="374"/>
      <c r="CV52446" s="376"/>
    </row>
    <row r="52447" spans="1:100">
      <c r="A52447" s="374"/>
      <c r="C52447" s="374"/>
      <c r="CV52447" s="376"/>
    </row>
    <row r="52448" spans="1:100">
      <c r="A52448" s="374"/>
      <c r="C52448" s="374"/>
      <c r="CV52448" s="376"/>
    </row>
    <row r="52449" spans="1:100">
      <c r="A52449" s="374"/>
      <c r="C52449" s="374"/>
      <c r="CV52449" s="376"/>
    </row>
    <row r="52450" spans="1:100">
      <c r="A52450" s="374"/>
      <c r="C52450" s="374"/>
      <c r="CV52450" s="376"/>
    </row>
    <row r="52451" spans="1:100">
      <c r="A52451" s="374"/>
      <c r="C52451" s="374"/>
      <c r="CV52451" s="376"/>
    </row>
    <row r="52452" spans="1:100">
      <c r="A52452" s="374"/>
      <c r="C52452" s="374"/>
      <c r="CV52452" s="376"/>
    </row>
    <row r="52453" spans="1:100">
      <c r="A52453" s="374"/>
      <c r="C52453" s="374"/>
      <c r="CV52453" s="376"/>
    </row>
    <row r="52454" spans="1:100">
      <c r="A52454" s="374"/>
      <c r="C52454" s="374"/>
      <c r="CV52454" s="376"/>
    </row>
    <row r="52455" spans="1:100">
      <c r="A52455" s="374"/>
      <c r="C52455" s="374"/>
      <c r="CV52455" s="376"/>
    </row>
    <row r="52456" spans="1:100">
      <c r="A52456" s="374"/>
      <c r="C52456" s="374"/>
      <c r="CV52456" s="376"/>
    </row>
    <row r="52457" spans="1:100">
      <c r="A52457" s="374"/>
      <c r="C52457" s="374"/>
      <c r="CV52457" s="376"/>
    </row>
    <row r="52458" spans="1:100">
      <c r="A52458" s="374"/>
      <c r="C52458" s="374"/>
      <c r="CV52458" s="376"/>
    </row>
    <row r="52459" spans="1:100">
      <c r="A52459" s="374"/>
      <c r="C52459" s="374"/>
      <c r="CV52459" s="376"/>
    </row>
    <row r="52460" spans="1:100">
      <c r="A52460" s="374"/>
      <c r="C52460" s="374"/>
      <c r="CV52460" s="376"/>
    </row>
    <row r="52461" spans="1:100">
      <c r="A52461" s="374"/>
      <c r="C52461" s="374"/>
      <c r="CV52461" s="376"/>
    </row>
    <row r="52462" spans="1:100">
      <c r="A52462" s="374"/>
      <c r="C52462" s="374"/>
      <c r="CV52462" s="376"/>
    </row>
    <row r="52463" spans="1:100">
      <c r="A52463" s="374"/>
      <c r="C52463" s="374"/>
      <c r="CV52463" s="376"/>
    </row>
    <row r="52464" spans="1:100">
      <c r="A52464" s="374"/>
      <c r="C52464" s="374"/>
      <c r="CV52464" s="376"/>
    </row>
    <row r="52465" spans="1:100">
      <c r="A52465" s="374"/>
      <c r="C52465" s="374"/>
      <c r="CV52465" s="376"/>
    </row>
    <row r="52466" spans="1:100">
      <c r="A52466" s="374"/>
      <c r="C52466" s="374"/>
      <c r="CV52466" s="376"/>
    </row>
    <row r="52467" spans="1:100">
      <c r="A52467" s="374"/>
      <c r="C52467" s="374"/>
      <c r="CV52467" s="376"/>
    </row>
    <row r="52468" spans="1:100">
      <c r="A52468" s="374"/>
      <c r="C52468" s="374"/>
      <c r="CV52468" s="376"/>
    </row>
    <row r="52469" spans="1:100">
      <c r="A52469" s="374"/>
      <c r="C52469" s="374"/>
      <c r="CV52469" s="376"/>
    </row>
    <row r="52470" spans="1:100">
      <c r="A52470" s="374"/>
      <c r="C52470" s="374"/>
      <c r="CV52470" s="376"/>
    </row>
    <row r="52471" spans="1:100">
      <c r="A52471" s="374"/>
      <c r="C52471" s="374"/>
      <c r="CV52471" s="376"/>
    </row>
    <row r="52472" spans="1:100">
      <c r="A52472" s="374"/>
      <c r="C52472" s="374"/>
      <c r="CV52472" s="376"/>
    </row>
    <row r="52473" spans="1:100">
      <c r="A52473" s="374"/>
      <c r="C52473" s="374"/>
      <c r="CV52473" s="376"/>
    </row>
    <row r="52474" spans="1:100">
      <c r="A52474" s="374"/>
      <c r="C52474" s="374"/>
      <c r="CV52474" s="376"/>
    </row>
    <row r="52475" spans="1:100">
      <c r="A52475" s="374"/>
      <c r="C52475" s="374"/>
      <c r="CV52475" s="376"/>
    </row>
    <row r="52476" spans="1:100">
      <c r="A52476" s="374"/>
      <c r="C52476" s="374"/>
      <c r="CV52476" s="376"/>
    </row>
    <row r="52477" spans="1:100">
      <c r="A52477" s="374"/>
      <c r="C52477" s="374"/>
      <c r="CV52477" s="376"/>
    </row>
    <row r="52478" spans="1:100">
      <c r="A52478" s="374"/>
      <c r="C52478" s="374"/>
      <c r="CV52478" s="376"/>
    </row>
    <row r="52479" spans="1:100">
      <c r="A52479" s="374"/>
      <c r="C52479" s="374"/>
      <c r="CV52479" s="376"/>
    </row>
    <row r="52480" spans="1:100">
      <c r="A52480" s="374"/>
      <c r="C52480" s="374"/>
      <c r="CV52480" s="376"/>
    </row>
    <row r="52481" spans="1:100">
      <c r="A52481" s="374"/>
      <c r="C52481" s="374"/>
      <c r="CV52481" s="376"/>
    </row>
    <row r="52482" spans="1:100">
      <c r="A52482" s="374"/>
      <c r="C52482" s="374"/>
      <c r="CV52482" s="376"/>
    </row>
    <row r="52483" spans="1:100">
      <c r="A52483" s="374"/>
      <c r="C52483" s="374"/>
      <c r="CV52483" s="376"/>
    </row>
    <row r="52484" spans="1:100">
      <c r="A52484" s="374"/>
      <c r="C52484" s="374"/>
      <c r="CV52484" s="376"/>
    </row>
    <row r="52485" spans="1:100">
      <c r="A52485" s="374"/>
      <c r="C52485" s="374"/>
      <c r="CV52485" s="376"/>
    </row>
    <row r="52486" spans="1:100">
      <c r="A52486" s="374"/>
      <c r="C52486" s="374"/>
      <c r="CV52486" s="376"/>
    </row>
    <row r="52487" spans="1:100">
      <c r="A52487" s="374"/>
      <c r="C52487" s="374"/>
      <c r="CV52487" s="376"/>
    </row>
    <row r="52488" spans="1:100">
      <c r="A52488" s="374"/>
      <c r="C52488" s="374"/>
      <c r="CV52488" s="376"/>
    </row>
    <row r="52489" spans="1:100">
      <c r="A52489" s="374"/>
      <c r="C52489" s="374"/>
      <c r="CV52489" s="376"/>
    </row>
    <row r="52490" spans="1:100">
      <c r="A52490" s="374"/>
      <c r="C52490" s="374"/>
      <c r="CV52490" s="376"/>
    </row>
    <row r="52491" spans="1:100">
      <c r="A52491" s="374"/>
      <c r="C52491" s="374"/>
      <c r="CV52491" s="376"/>
    </row>
    <row r="52492" spans="1:100">
      <c r="A52492" s="374"/>
      <c r="C52492" s="374"/>
      <c r="CV52492" s="376"/>
    </row>
    <row r="52493" spans="1:100">
      <c r="A52493" s="374"/>
      <c r="C52493" s="374"/>
      <c r="CV52493" s="376"/>
    </row>
    <row r="52494" spans="1:100">
      <c r="A52494" s="374"/>
      <c r="C52494" s="374"/>
      <c r="CV52494" s="376"/>
    </row>
    <row r="52495" spans="1:100">
      <c r="A52495" s="374"/>
      <c r="C52495" s="374"/>
      <c r="CV52495" s="376"/>
    </row>
    <row r="52496" spans="1:100">
      <c r="A52496" s="374"/>
      <c r="C52496" s="374"/>
      <c r="CV52496" s="376"/>
    </row>
    <row r="52497" spans="1:100">
      <c r="A52497" s="374"/>
      <c r="C52497" s="374"/>
      <c r="CV52497" s="376"/>
    </row>
    <row r="52498" spans="1:100">
      <c r="A52498" s="374"/>
      <c r="C52498" s="374"/>
      <c r="CV52498" s="376"/>
    </row>
    <row r="52499" spans="1:100">
      <c r="A52499" s="374"/>
      <c r="C52499" s="374"/>
      <c r="CV52499" s="376"/>
    </row>
    <row r="52500" spans="1:100">
      <c r="A52500" s="374"/>
      <c r="C52500" s="374"/>
      <c r="CV52500" s="376"/>
    </row>
    <row r="52501" spans="1:100">
      <c r="A52501" s="374"/>
      <c r="C52501" s="374"/>
      <c r="CV52501" s="376"/>
    </row>
    <row r="52502" spans="1:100">
      <c r="A52502" s="374"/>
      <c r="C52502" s="374"/>
      <c r="CV52502" s="376"/>
    </row>
    <row r="52503" spans="1:100">
      <c r="A52503" s="374"/>
      <c r="C52503" s="374"/>
      <c r="CV52503" s="376"/>
    </row>
    <row r="52504" spans="1:100">
      <c r="A52504" s="374"/>
      <c r="C52504" s="374"/>
      <c r="CV52504" s="376"/>
    </row>
    <row r="52505" spans="1:100">
      <c r="A52505" s="374"/>
      <c r="C52505" s="374"/>
      <c r="CV52505" s="376"/>
    </row>
    <row r="52506" spans="1:100">
      <c r="A52506" s="374"/>
      <c r="C52506" s="374"/>
      <c r="CV52506" s="376"/>
    </row>
    <row r="52507" spans="1:100">
      <c r="A52507" s="374"/>
      <c r="C52507" s="374"/>
      <c r="CV52507" s="376"/>
    </row>
    <row r="52508" spans="1:100">
      <c r="A52508" s="374"/>
      <c r="C52508" s="374"/>
      <c r="CV52508" s="376"/>
    </row>
    <row r="52509" spans="1:100">
      <c r="A52509" s="374"/>
      <c r="C52509" s="374"/>
      <c r="CV52509" s="376"/>
    </row>
    <row r="52510" spans="1:100">
      <c r="A52510" s="374"/>
      <c r="C52510" s="374"/>
      <c r="CV52510" s="376"/>
    </row>
    <row r="52511" spans="1:100">
      <c r="A52511" s="374"/>
      <c r="C52511" s="374"/>
      <c r="CV52511" s="376"/>
    </row>
    <row r="52512" spans="1:100">
      <c r="A52512" s="374"/>
      <c r="C52512" s="374"/>
      <c r="CV52512" s="376"/>
    </row>
    <row r="52513" spans="1:100">
      <c r="A52513" s="374"/>
      <c r="C52513" s="374"/>
      <c r="CV52513" s="376"/>
    </row>
    <row r="52514" spans="1:100">
      <c r="A52514" s="374"/>
      <c r="C52514" s="374"/>
      <c r="CV52514" s="376"/>
    </row>
    <row r="52515" spans="1:100">
      <c r="A52515" s="374"/>
      <c r="C52515" s="374"/>
      <c r="CV52515" s="376"/>
    </row>
    <row r="52516" spans="1:100">
      <c r="A52516" s="374"/>
      <c r="C52516" s="374"/>
      <c r="CV52516" s="376"/>
    </row>
    <row r="52517" spans="1:100">
      <c r="A52517" s="374"/>
      <c r="C52517" s="374"/>
      <c r="CV52517" s="376"/>
    </row>
    <row r="52518" spans="1:100">
      <c r="A52518" s="374"/>
      <c r="C52518" s="374"/>
      <c r="CV52518" s="376"/>
    </row>
    <row r="52519" spans="1:100">
      <c r="A52519" s="374"/>
      <c r="C52519" s="374"/>
      <c r="CV52519" s="376"/>
    </row>
    <row r="52520" spans="1:100">
      <c r="A52520" s="374"/>
      <c r="C52520" s="374"/>
      <c r="CV52520" s="376"/>
    </row>
    <row r="52521" spans="1:100">
      <c r="A52521" s="374"/>
      <c r="C52521" s="374"/>
      <c r="CV52521" s="376"/>
    </row>
    <row r="52522" spans="1:100">
      <c r="A52522" s="374"/>
      <c r="C52522" s="374"/>
      <c r="CV52522" s="376"/>
    </row>
    <row r="52523" spans="1:100">
      <c r="A52523" s="374"/>
      <c r="C52523" s="374"/>
      <c r="CV52523" s="376"/>
    </row>
    <row r="52524" spans="1:100">
      <c r="A52524" s="374"/>
      <c r="C52524" s="374"/>
      <c r="CV52524" s="376"/>
    </row>
    <row r="52525" spans="1:100">
      <c r="A52525" s="374"/>
      <c r="C52525" s="374"/>
      <c r="CV52525" s="376"/>
    </row>
    <row r="52526" spans="1:100">
      <c r="A52526" s="374"/>
      <c r="C52526" s="374"/>
      <c r="CV52526" s="376"/>
    </row>
    <row r="52527" spans="1:100">
      <c r="A52527" s="374"/>
      <c r="C52527" s="374"/>
      <c r="CV52527" s="376"/>
    </row>
    <row r="52528" spans="1:100">
      <c r="A52528" s="374"/>
      <c r="C52528" s="374"/>
      <c r="CV52528" s="376"/>
    </row>
    <row r="52529" spans="1:100">
      <c r="A52529" s="374"/>
      <c r="C52529" s="374"/>
      <c r="CV52529" s="376"/>
    </row>
    <row r="52530" spans="1:100">
      <c r="A52530" s="374"/>
      <c r="C52530" s="374"/>
      <c r="CV52530" s="376"/>
    </row>
    <row r="52531" spans="1:100">
      <c r="A52531" s="374"/>
      <c r="C52531" s="374"/>
      <c r="CV52531" s="376"/>
    </row>
    <row r="52532" spans="1:100">
      <c r="A52532" s="374"/>
      <c r="C52532" s="374"/>
      <c r="CV52532" s="376"/>
    </row>
    <row r="52533" spans="1:100">
      <c r="A52533" s="374"/>
      <c r="C52533" s="374"/>
      <c r="CV52533" s="376"/>
    </row>
    <row r="52534" spans="1:100">
      <c r="A52534" s="374"/>
      <c r="C52534" s="374"/>
      <c r="CV52534" s="376"/>
    </row>
    <row r="52535" spans="1:100">
      <c r="A52535" s="374"/>
      <c r="C52535" s="374"/>
      <c r="CV52535" s="376"/>
    </row>
    <row r="52536" spans="1:100">
      <c r="A52536" s="374"/>
      <c r="C52536" s="374"/>
      <c r="CV52536" s="376"/>
    </row>
    <row r="52537" spans="1:100">
      <c r="A52537" s="374"/>
      <c r="C52537" s="374"/>
      <c r="CV52537" s="376"/>
    </row>
    <row r="52538" spans="1:100">
      <c r="A52538" s="374"/>
      <c r="C52538" s="374"/>
      <c r="CV52538" s="376"/>
    </row>
    <row r="52539" spans="1:100">
      <c r="A52539" s="374"/>
      <c r="C52539" s="374"/>
      <c r="CV52539" s="376"/>
    </row>
    <row r="52540" spans="1:100">
      <c r="A52540" s="374"/>
      <c r="C52540" s="374"/>
      <c r="CV52540" s="376"/>
    </row>
    <row r="52541" spans="1:100">
      <c r="A52541" s="374"/>
      <c r="C52541" s="374"/>
      <c r="CV52541" s="376"/>
    </row>
    <row r="52542" spans="1:100">
      <c r="A52542" s="374"/>
      <c r="C52542" s="374"/>
      <c r="CV52542" s="376"/>
    </row>
    <row r="52543" spans="1:100">
      <c r="A52543" s="374"/>
      <c r="C52543" s="374"/>
      <c r="CV52543" s="376"/>
    </row>
    <row r="52544" spans="1:100">
      <c r="A52544" s="374"/>
      <c r="C52544" s="374"/>
      <c r="CV52544" s="376"/>
    </row>
    <row r="52545" spans="1:100">
      <c r="A52545" s="374"/>
      <c r="C52545" s="374"/>
      <c r="CV52545" s="376"/>
    </row>
    <row r="52546" spans="1:100">
      <c r="A52546" s="374"/>
      <c r="C52546" s="374"/>
      <c r="CV52546" s="376"/>
    </row>
    <row r="52547" spans="1:100">
      <c r="A52547" s="374"/>
      <c r="C52547" s="374"/>
      <c r="CV52547" s="376"/>
    </row>
    <row r="52548" spans="1:100">
      <c r="A52548" s="374"/>
      <c r="C52548" s="374"/>
      <c r="CV52548" s="376"/>
    </row>
    <row r="52549" spans="1:100">
      <c r="A52549" s="374"/>
      <c r="C52549" s="374"/>
      <c r="CV52549" s="376"/>
    </row>
    <row r="52550" spans="1:100">
      <c r="A52550" s="374"/>
      <c r="C52550" s="374"/>
      <c r="CV52550" s="376"/>
    </row>
    <row r="52551" spans="1:100">
      <c r="A52551" s="374"/>
      <c r="C52551" s="374"/>
      <c r="CV52551" s="376"/>
    </row>
    <row r="52552" spans="1:100">
      <c r="A52552" s="374"/>
      <c r="C52552" s="374"/>
      <c r="CV52552" s="376"/>
    </row>
    <row r="52553" spans="1:100">
      <c r="A52553" s="374"/>
      <c r="C52553" s="374"/>
      <c r="CV52553" s="376"/>
    </row>
    <row r="52554" spans="1:100">
      <c r="A52554" s="374"/>
      <c r="C52554" s="374"/>
      <c r="CV52554" s="376"/>
    </row>
    <row r="52555" spans="1:100">
      <c r="A52555" s="374"/>
      <c r="C52555" s="374"/>
      <c r="CV52555" s="376"/>
    </row>
    <row r="52556" spans="1:100">
      <c r="A52556" s="374"/>
      <c r="C52556" s="374"/>
      <c r="CV52556" s="376"/>
    </row>
    <row r="52557" spans="1:100">
      <c r="A52557" s="374"/>
      <c r="C52557" s="374"/>
      <c r="CV52557" s="376"/>
    </row>
    <row r="52558" spans="1:100">
      <c r="A52558" s="374"/>
      <c r="C52558" s="374"/>
      <c r="CV52558" s="376"/>
    </row>
    <row r="52559" spans="1:100">
      <c r="A52559" s="374"/>
      <c r="C52559" s="374"/>
      <c r="CV52559" s="376"/>
    </row>
    <row r="52560" spans="1:100">
      <c r="A52560" s="374"/>
      <c r="C52560" s="374"/>
      <c r="CV52560" s="376"/>
    </row>
    <row r="52561" spans="1:100">
      <c r="A52561" s="374"/>
      <c r="C52561" s="374"/>
      <c r="CV52561" s="376"/>
    </row>
    <row r="52562" spans="1:100">
      <c r="A52562" s="374"/>
      <c r="C52562" s="374"/>
      <c r="CV52562" s="376"/>
    </row>
    <row r="52563" spans="1:100">
      <c r="A52563" s="374"/>
      <c r="C52563" s="374"/>
      <c r="CV52563" s="376"/>
    </row>
    <row r="52564" spans="1:100">
      <c r="A52564" s="374"/>
      <c r="C52564" s="374"/>
      <c r="CV52564" s="376"/>
    </row>
    <row r="52565" spans="1:100">
      <c r="A52565" s="374"/>
      <c r="C52565" s="374"/>
      <c r="CV52565" s="376"/>
    </row>
    <row r="52566" spans="1:100">
      <c r="A52566" s="374"/>
      <c r="C52566" s="374"/>
      <c r="CV52566" s="376"/>
    </row>
    <row r="52567" spans="1:100">
      <c r="A52567" s="374"/>
      <c r="C52567" s="374"/>
      <c r="CV52567" s="376"/>
    </row>
    <row r="52568" spans="1:100">
      <c r="A52568" s="374"/>
      <c r="C52568" s="374"/>
      <c r="CV52568" s="376"/>
    </row>
    <row r="52569" spans="1:100">
      <c r="A52569" s="374"/>
      <c r="C52569" s="374"/>
      <c r="CV52569" s="376"/>
    </row>
    <row r="52570" spans="1:100">
      <c r="A52570" s="374"/>
      <c r="C52570" s="374"/>
      <c r="CV52570" s="376"/>
    </row>
    <row r="52571" spans="1:100">
      <c r="A52571" s="374"/>
      <c r="C52571" s="374"/>
      <c r="CV52571" s="376"/>
    </row>
    <row r="52572" spans="1:100">
      <c r="A52572" s="374"/>
      <c r="C52572" s="374"/>
      <c r="CV52572" s="376"/>
    </row>
    <row r="52573" spans="1:100">
      <c r="A52573" s="374"/>
      <c r="C52573" s="374"/>
      <c r="CV52573" s="376"/>
    </row>
    <row r="52574" spans="1:100">
      <c r="A52574" s="374"/>
      <c r="C52574" s="374"/>
      <c r="CV52574" s="376"/>
    </row>
    <row r="52575" spans="1:100">
      <c r="A52575" s="374"/>
      <c r="C52575" s="374"/>
      <c r="CV52575" s="376"/>
    </row>
    <row r="52576" spans="1:100">
      <c r="A52576" s="374"/>
      <c r="C52576" s="374"/>
      <c r="CV52576" s="376"/>
    </row>
    <row r="52577" spans="1:100">
      <c r="A52577" s="374"/>
      <c r="C52577" s="374"/>
      <c r="CV52577" s="376"/>
    </row>
    <row r="52578" spans="1:100">
      <c r="A52578" s="374"/>
      <c r="C52578" s="374"/>
      <c r="CV52578" s="376"/>
    </row>
    <row r="52579" spans="1:100">
      <c r="A52579" s="374"/>
      <c r="C52579" s="374"/>
      <c r="CV52579" s="376"/>
    </row>
    <row r="52580" spans="1:100">
      <c r="A52580" s="374"/>
      <c r="C52580" s="374"/>
      <c r="CV52580" s="376"/>
    </row>
    <row r="52581" spans="1:100">
      <c r="A52581" s="374"/>
      <c r="C52581" s="374"/>
      <c r="CV52581" s="376"/>
    </row>
    <row r="52582" spans="1:100">
      <c r="A52582" s="374"/>
      <c r="C52582" s="374"/>
      <c r="CV52582" s="376"/>
    </row>
    <row r="52583" spans="1:100">
      <c r="A52583" s="374"/>
      <c r="C52583" s="374"/>
      <c r="CV52583" s="376"/>
    </row>
    <row r="52584" spans="1:100">
      <c r="A52584" s="374"/>
      <c r="C52584" s="374"/>
      <c r="CV52584" s="376"/>
    </row>
    <row r="52585" spans="1:100">
      <c r="A52585" s="374"/>
      <c r="C52585" s="374"/>
      <c r="CV52585" s="376"/>
    </row>
    <row r="52586" spans="1:100">
      <c r="A52586" s="374"/>
      <c r="C52586" s="374"/>
      <c r="CV52586" s="376"/>
    </row>
    <row r="52587" spans="1:100">
      <c r="A52587" s="374"/>
      <c r="C52587" s="374"/>
      <c r="CV52587" s="376"/>
    </row>
    <row r="52588" spans="1:100">
      <c r="A52588" s="374"/>
      <c r="C52588" s="374"/>
      <c r="CV52588" s="376"/>
    </row>
    <row r="52589" spans="1:100">
      <c r="A52589" s="374"/>
      <c r="C52589" s="374"/>
      <c r="CV52589" s="376"/>
    </row>
    <row r="52590" spans="1:100">
      <c r="A52590" s="374"/>
      <c r="C52590" s="374"/>
      <c r="CV52590" s="376"/>
    </row>
    <row r="52591" spans="1:100">
      <c r="A52591" s="374"/>
      <c r="C52591" s="374"/>
      <c r="CV52591" s="376"/>
    </row>
    <row r="52592" spans="1:100">
      <c r="A52592" s="374"/>
      <c r="C52592" s="374"/>
      <c r="CV52592" s="376"/>
    </row>
    <row r="52593" spans="1:100">
      <c r="A52593" s="374"/>
      <c r="C52593" s="374"/>
      <c r="CV52593" s="376"/>
    </row>
    <row r="52594" spans="1:100">
      <c r="A52594" s="374"/>
      <c r="C52594" s="374"/>
      <c r="CV52594" s="376"/>
    </row>
    <row r="52595" spans="1:100">
      <c r="A52595" s="374"/>
      <c r="C52595" s="374"/>
      <c r="CV52595" s="376"/>
    </row>
    <row r="52596" spans="1:100">
      <c r="A52596" s="374"/>
      <c r="C52596" s="374"/>
      <c r="CV52596" s="376"/>
    </row>
    <row r="52597" spans="1:100">
      <c r="A52597" s="374"/>
      <c r="C52597" s="374"/>
      <c r="CV52597" s="376"/>
    </row>
    <row r="52598" spans="1:100">
      <c r="A52598" s="374"/>
      <c r="C52598" s="374"/>
      <c r="CV52598" s="376"/>
    </row>
    <row r="52599" spans="1:100">
      <c r="A52599" s="374"/>
      <c r="C52599" s="374"/>
      <c r="CV52599" s="376"/>
    </row>
    <row r="52600" spans="1:100">
      <c r="A52600" s="374"/>
      <c r="C52600" s="374"/>
      <c r="CV52600" s="376"/>
    </row>
    <row r="52601" spans="1:100">
      <c r="A52601" s="374"/>
      <c r="C52601" s="374"/>
      <c r="CV52601" s="376"/>
    </row>
    <row r="52602" spans="1:100">
      <c r="A52602" s="374"/>
      <c r="C52602" s="374"/>
      <c r="CV52602" s="376"/>
    </row>
    <row r="52603" spans="1:100">
      <c r="A52603" s="374"/>
      <c r="C52603" s="374"/>
      <c r="CV52603" s="376"/>
    </row>
    <row r="52604" spans="1:100">
      <c r="A52604" s="374"/>
      <c r="C52604" s="374"/>
      <c r="CV52604" s="376"/>
    </row>
    <row r="52605" spans="1:100">
      <c r="A52605" s="374"/>
      <c r="C52605" s="374"/>
      <c r="CV52605" s="376"/>
    </row>
    <row r="52606" spans="1:100">
      <c r="A52606" s="374"/>
      <c r="C52606" s="374"/>
      <c r="CV52606" s="376"/>
    </row>
    <row r="52607" spans="1:100">
      <c r="A52607" s="374"/>
      <c r="C52607" s="374"/>
      <c r="CV52607" s="376"/>
    </row>
    <row r="52608" spans="1:100">
      <c r="A52608" s="374"/>
      <c r="C52608" s="374"/>
      <c r="CV52608" s="376"/>
    </row>
    <row r="52609" spans="1:100">
      <c r="A52609" s="374"/>
      <c r="C52609" s="374"/>
      <c r="CV52609" s="376"/>
    </row>
    <row r="52610" spans="1:100">
      <c r="A52610" s="374"/>
      <c r="C52610" s="374"/>
      <c r="CV52610" s="376"/>
    </row>
    <row r="52611" spans="1:100">
      <c r="A52611" s="374"/>
      <c r="C52611" s="374"/>
      <c r="CV52611" s="376"/>
    </row>
    <row r="52612" spans="1:100">
      <c r="A52612" s="374"/>
      <c r="C52612" s="374"/>
      <c r="CV52612" s="376"/>
    </row>
    <row r="52613" spans="1:100">
      <c r="A52613" s="374"/>
      <c r="C52613" s="374"/>
      <c r="CV52613" s="376"/>
    </row>
    <row r="52614" spans="1:100">
      <c r="A52614" s="374"/>
      <c r="C52614" s="374"/>
      <c r="CV52614" s="376"/>
    </row>
    <row r="52615" spans="1:100">
      <c r="A52615" s="374"/>
      <c r="C52615" s="374"/>
      <c r="CV52615" s="376"/>
    </row>
    <row r="52616" spans="1:100">
      <c r="A52616" s="374"/>
      <c r="C52616" s="374"/>
      <c r="CV52616" s="376"/>
    </row>
    <row r="52617" spans="1:100">
      <c r="A52617" s="374"/>
      <c r="C52617" s="374"/>
      <c r="CV52617" s="376"/>
    </row>
    <row r="52618" spans="1:100">
      <c r="A52618" s="374"/>
      <c r="C52618" s="374"/>
      <c r="CV52618" s="376"/>
    </row>
    <row r="52619" spans="1:100">
      <c r="A52619" s="374"/>
      <c r="C52619" s="374"/>
      <c r="CV52619" s="376"/>
    </row>
    <row r="52620" spans="1:100">
      <c r="A52620" s="374"/>
      <c r="C52620" s="374"/>
      <c r="CV52620" s="376"/>
    </row>
    <row r="52621" spans="1:100">
      <c r="A52621" s="374"/>
      <c r="C52621" s="374"/>
      <c r="CV52621" s="376"/>
    </row>
    <row r="52622" spans="1:100">
      <c r="A52622" s="374"/>
      <c r="C52622" s="374"/>
      <c r="CV52622" s="376"/>
    </row>
    <row r="52623" spans="1:100">
      <c r="A52623" s="374"/>
      <c r="C52623" s="374"/>
      <c r="CV52623" s="376"/>
    </row>
    <row r="52624" spans="1:100">
      <c r="A52624" s="374"/>
      <c r="C52624" s="374"/>
      <c r="CV52624" s="376"/>
    </row>
    <row r="52625" spans="1:100">
      <c r="A52625" s="374"/>
      <c r="C52625" s="374"/>
      <c r="CV52625" s="376"/>
    </row>
    <row r="52626" spans="1:100">
      <c r="A52626" s="374"/>
      <c r="C52626" s="374"/>
      <c r="CV52626" s="376"/>
    </row>
    <row r="52627" spans="1:100">
      <c r="A52627" s="374"/>
      <c r="C52627" s="374"/>
      <c r="CV52627" s="376"/>
    </row>
    <row r="52628" spans="1:100">
      <c r="A52628" s="374"/>
      <c r="C52628" s="374"/>
      <c r="CV52628" s="376"/>
    </row>
    <row r="52629" spans="1:100">
      <c r="A52629" s="374"/>
      <c r="C52629" s="374"/>
      <c r="CV52629" s="376"/>
    </row>
    <row r="52630" spans="1:100">
      <c r="A52630" s="374"/>
      <c r="C52630" s="374"/>
      <c r="CV52630" s="376"/>
    </row>
    <row r="52631" spans="1:100">
      <c r="A52631" s="374"/>
      <c r="C52631" s="374"/>
      <c r="CV52631" s="376"/>
    </row>
    <row r="52632" spans="1:100">
      <c r="A52632" s="374"/>
      <c r="C52632" s="374"/>
      <c r="CV52632" s="376"/>
    </row>
    <row r="52633" spans="1:100">
      <c r="A52633" s="374"/>
      <c r="C52633" s="374"/>
      <c r="CV52633" s="376"/>
    </row>
    <row r="52634" spans="1:100">
      <c r="A52634" s="374"/>
      <c r="C52634" s="374"/>
      <c r="CV52634" s="376"/>
    </row>
    <row r="52635" spans="1:100">
      <c r="A52635" s="374"/>
      <c r="C52635" s="374"/>
      <c r="CV52635" s="376"/>
    </row>
    <row r="52636" spans="1:100">
      <c r="A52636" s="374"/>
      <c r="C52636" s="374"/>
      <c r="CV52636" s="376"/>
    </row>
    <row r="52637" spans="1:100">
      <c r="A52637" s="374"/>
      <c r="C52637" s="374"/>
      <c r="CV52637" s="376"/>
    </row>
    <row r="52638" spans="1:100">
      <c r="A52638" s="374"/>
      <c r="C52638" s="374"/>
      <c r="CV52638" s="376"/>
    </row>
    <row r="52639" spans="1:100">
      <c r="A52639" s="374"/>
      <c r="C52639" s="374"/>
      <c r="CV52639" s="376"/>
    </row>
    <row r="52640" spans="1:100">
      <c r="A52640" s="374"/>
      <c r="C52640" s="374"/>
      <c r="CV52640" s="376"/>
    </row>
    <row r="52641" spans="1:100">
      <c r="A52641" s="374"/>
      <c r="C52641" s="374"/>
      <c r="CV52641" s="376"/>
    </row>
    <row r="52642" spans="1:100">
      <c r="A52642" s="374"/>
      <c r="C52642" s="374"/>
      <c r="CV52642" s="376"/>
    </row>
    <row r="52643" spans="1:100">
      <c r="A52643" s="374"/>
      <c r="C52643" s="374"/>
      <c r="CV52643" s="376"/>
    </row>
    <row r="52644" spans="1:100">
      <c r="A52644" s="374"/>
      <c r="C52644" s="374"/>
      <c r="CV52644" s="376"/>
    </row>
    <row r="52645" spans="1:100">
      <c r="A52645" s="374"/>
      <c r="C52645" s="374"/>
      <c r="CV52645" s="376"/>
    </row>
    <row r="52646" spans="1:100">
      <c r="A52646" s="374"/>
      <c r="C52646" s="374"/>
      <c r="CV52646" s="376"/>
    </row>
    <row r="52647" spans="1:100">
      <c r="A52647" s="374"/>
      <c r="C52647" s="374"/>
      <c r="CV52647" s="376"/>
    </row>
    <row r="52648" spans="1:100">
      <c r="A52648" s="374"/>
      <c r="C52648" s="374"/>
      <c r="CV52648" s="376"/>
    </row>
    <row r="52649" spans="1:100">
      <c r="A52649" s="374"/>
      <c r="C52649" s="374"/>
      <c r="CV52649" s="376"/>
    </row>
    <row r="52650" spans="1:100">
      <c r="A52650" s="374"/>
      <c r="C52650" s="374"/>
      <c r="CV52650" s="376"/>
    </row>
    <row r="52651" spans="1:100">
      <c r="A52651" s="374"/>
      <c r="C52651" s="374"/>
      <c r="CV52651" s="376"/>
    </row>
    <row r="52652" spans="1:100">
      <c r="A52652" s="374"/>
      <c r="C52652" s="374"/>
      <c r="CV52652" s="376"/>
    </row>
    <row r="52653" spans="1:100">
      <c r="A52653" s="374"/>
      <c r="C52653" s="374"/>
      <c r="CV52653" s="376"/>
    </row>
    <row r="52654" spans="1:100">
      <c r="A52654" s="374"/>
      <c r="C52654" s="374"/>
      <c r="CV52654" s="376"/>
    </row>
    <row r="52655" spans="1:100">
      <c r="A52655" s="374"/>
      <c r="C52655" s="374"/>
      <c r="CV52655" s="376"/>
    </row>
    <row r="52656" spans="1:100">
      <c r="A52656" s="374"/>
      <c r="C52656" s="374"/>
      <c r="CV52656" s="376"/>
    </row>
    <row r="52657" spans="1:100">
      <c r="A52657" s="374"/>
      <c r="C52657" s="374"/>
      <c r="CV52657" s="376"/>
    </row>
    <row r="52658" spans="1:100">
      <c r="A52658" s="374"/>
      <c r="C52658" s="374"/>
      <c r="CV52658" s="376"/>
    </row>
    <row r="52659" spans="1:100">
      <c r="A52659" s="374"/>
      <c r="C52659" s="374"/>
      <c r="CV52659" s="376"/>
    </row>
    <row r="52660" spans="1:100">
      <c r="A52660" s="374"/>
      <c r="C52660" s="374"/>
      <c r="CV52660" s="376"/>
    </row>
    <row r="52661" spans="1:100">
      <c r="A52661" s="374"/>
      <c r="C52661" s="374"/>
      <c r="CV52661" s="376"/>
    </row>
    <row r="52662" spans="1:100">
      <c r="A52662" s="374"/>
      <c r="C52662" s="374"/>
      <c r="CV52662" s="376"/>
    </row>
    <row r="52663" spans="1:100">
      <c r="A52663" s="374"/>
      <c r="C52663" s="374"/>
      <c r="CV52663" s="376"/>
    </row>
    <row r="52664" spans="1:100">
      <c r="A52664" s="374"/>
      <c r="C52664" s="374"/>
      <c r="CV52664" s="376"/>
    </row>
    <row r="52665" spans="1:100">
      <c r="A52665" s="374"/>
      <c r="C52665" s="374"/>
      <c r="CV52665" s="376"/>
    </row>
    <row r="52666" spans="1:100">
      <c r="A52666" s="374"/>
      <c r="C52666" s="374"/>
      <c r="CV52666" s="376"/>
    </row>
    <row r="52667" spans="1:100">
      <c r="A52667" s="374"/>
      <c r="C52667" s="374"/>
      <c r="CV52667" s="376"/>
    </row>
    <row r="52668" spans="1:100">
      <c r="A52668" s="374"/>
      <c r="C52668" s="374"/>
      <c r="CV52668" s="376"/>
    </row>
    <row r="52669" spans="1:100">
      <c r="A52669" s="374"/>
      <c r="C52669" s="374"/>
      <c r="CV52669" s="376"/>
    </row>
    <row r="52670" spans="1:100">
      <c r="A52670" s="374"/>
      <c r="C52670" s="374"/>
      <c r="CV52670" s="376"/>
    </row>
    <row r="52671" spans="1:100">
      <c r="A52671" s="374"/>
      <c r="C52671" s="374"/>
      <c r="CV52671" s="376"/>
    </row>
    <row r="52672" spans="1:100">
      <c r="A52672" s="374"/>
      <c r="C52672" s="374"/>
      <c r="CV52672" s="376"/>
    </row>
    <row r="52673" spans="1:100">
      <c r="A52673" s="374"/>
      <c r="C52673" s="374"/>
      <c r="CV52673" s="376"/>
    </row>
    <row r="52674" spans="1:100">
      <c r="A52674" s="374"/>
      <c r="C52674" s="374"/>
      <c r="CV52674" s="376"/>
    </row>
    <row r="52675" spans="1:100">
      <c r="A52675" s="374"/>
      <c r="C52675" s="374"/>
      <c r="CV52675" s="376"/>
    </row>
    <row r="52676" spans="1:100">
      <c r="A52676" s="374"/>
      <c r="C52676" s="374"/>
      <c r="CV52676" s="376"/>
    </row>
    <row r="52677" spans="1:100">
      <c r="A52677" s="374"/>
      <c r="C52677" s="374"/>
      <c r="CV52677" s="376"/>
    </row>
    <row r="52678" spans="1:100">
      <c r="A52678" s="374"/>
      <c r="C52678" s="374"/>
      <c r="CV52678" s="376"/>
    </row>
    <row r="52679" spans="1:100">
      <c r="A52679" s="374"/>
      <c r="C52679" s="374"/>
      <c r="CV52679" s="376"/>
    </row>
    <row r="52680" spans="1:100">
      <c r="A52680" s="374"/>
      <c r="C52680" s="374"/>
      <c r="CV52680" s="376"/>
    </row>
    <row r="52681" spans="1:100">
      <c r="A52681" s="374"/>
      <c r="C52681" s="374"/>
      <c r="CV52681" s="376"/>
    </row>
    <row r="52682" spans="1:100">
      <c r="A52682" s="374"/>
      <c r="C52682" s="374"/>
      <c r="CV52682" s="376"/>
    </row>
    <row r="52683" spans="1:100">
      <c r="A52683" s="374"/>
      <c r="C52683" s="374"/>
      <c r="CV52683" s="376"/>
    </row>
    <row r="52684" spans="1:100">
      <c r="A52684" s="374"/>
      <c r="C52684" s="374"/>
      <c r="CV52684" s="376"/>
    </row>
    <row r="52685" spans="1:100">
      <c r="A52685" s="374"/>
      <c r="C52685" s="374"/>
      <c r="CV52685" s="376"/>
    </row>
    <row r="52686" spans="1:100">
      <c r="A52686" s="374"/>
      <c r="C52686" s="374"/>
      <c r="CV52686" s="376"/>
    </row>
    <row r="52687" spans="1:100">
      <c r="A52687" s="374"/>
      <c r="C52687" s="374"/>
      <c r="CV52687" s="376"/>
    </row>
    <row r="52688" spans="1:100">
      <c r="A52688" s="374"/>
      <c r="C52688" s="374"/>
      <c r="CV52688" s="376"/>
    </row>
    <row r="52689" spans="1:100">
      <c r="A52689" s="374"/>
      <c r="C52689" s="374"/>
      <c r="CV52689" s="376"/>
    </row>
    <row r="52690" spans="1:100">
      <c r="A52690" s="374"/>
      <c r="C52690" s="374"/>
      <c r="CV52690" s="376"/>
    </row>
    <row r="52691" spans="1:100">
      <c r="A52691" s="374"/>
      <c r="C52691" s="374"/>
      <c r="CV52691" s="376"/>
    </row>
    <row r="52692" spans="1:100">
      <c r="A52692" s="374"/>
      <c r="C52692" s="374"/>
      <c r="CV52692" s="376"/>
    </row>
    <row r="52693" spans="1:100">
      <c r="A52693" s="374"/>
      <c r="C52693" s="374"/>
      <c r="CV52693" s="376"/>
    </row>
    <row r="52694" spans="1:100">
      <c r="A52694" s="374"/>
      <c r="C52694" s="374"/>
      <c r="CV52694" s="376"/>
    </row>
    <row r="52695" spans="1:100">
      <c r="A52695" s="374"/>
      <c r="C52695" s="374"/>
      <c r="CV52695" s="376"/>
    </row>
    <row r="52696" spans="1:100">
      <c r="A52696" s="374"/>
      <c r="C52696" s="374"/>
      <c r="CV52696" s="376"/>
    </row>
    <row r="52697" spans="1:100">
      <c r="A52697" s="374"/>
      <c r="C52697" s="374"/>
      <c r="CV52697" s="376"/>
    </row>
    <row r="52698" spans="1:100">
      <c r="A52698" s="374"/>
      <c r="C52698" s="374"/>
      <c r="CV52698" s="376"/>
    </row>
    <row r="52699" spans="1:100">
      <c r="A52699" s="374"/>
      <c r="C52699" s="374"/>
      <c r="CV52699" s="376"/>
    </row>
    <row r="52700" spans="1:100">
      <c r="A52700" s="374"/>
      <c r="C52700" s="374"/>
      <c r="CV52700" s="376"/>
    </row>
    <row r="52701" spans="1:100">
      <c r="A52701" s="374"/>
      <c r="C52701" s="374"/>
      <c r="CV52701" s="376"/>
    </row>
    <row r="52702" spans="1:100">
      <c r="A52702" s="374"/>
      <c r="C52702" s="374"/>
      <c r="CV52702" s="376"/>
    </row>
    <row r="52703" spans="1:100">
      <c r="A52703" s="374"/>
      <c r="C52703" s="374"/>
      <c r="CV52703" s="376"/>
    </row>
    <row r="52704" spans="1:100">
      <c r="A52704" s="374"/>
      <c r="C52704" s="374"/>
      <c r="CV52704" s="376"/>
    </row>
    <row r="52705" spans="1:100">
      <c r="A52705" s="374"/>
      <c r="C52705" s="374"/>
      <c r="CV52705" s="376"/>
    </row>
    <row r="52706" spans="1:100">
      <c r="A52706" s="374"/>
      <c r="C52706" s="374"/>
      <c r="CV52706" s="376"/>
    </row>
    <row r="52707" spans="1:100">
      <c r="A52707" s="374"/>
      <c r="C52707" s="374"/>
      <c r="CV52707" s="376"/>
    </row>
    <row r="52708" spans="1:100">
      <c r="A52708" s="374"/>
      <c r="C52708" s="374"/>
      <c r="CV52708" s="376"/>
    </row>
    <row r="52709" spans="1:100">
      <c r="A52709" s="374"/>
      <c r="C52709" s="374"/>
      <c r="CV52709" s="376"/>
    </row>
    <row r="52710" spans="1:100">
      <c r="A52710" s="374"/>
      <c r="C52710" s="374"/>
      <c r="CV52710" s="376"/>
    </row>
    <row r="52711" spans="1:100">
      <c r="A52711" s="374"/>
      <c r="C52711" s="374"/>
      <c r="CV52711" s="376"/>
    </row>
    <row r="52712" spans="1:100">
      <c r="A52712" s="374"/>
      <c r="C52712" s="374"/>
      <c r="CV52712" s="376"/>
    </row>
    <row r="52713" spans="1:100">
      <c r="A52713" s="374"/>
      <c r="C52713" s="374"/>
      <c r="CV52713" s="376"/>
    </row>
    <row r="52714" spans="1:100">
      <c r="A52714" s="374"/>
      <c r="C52714" s="374"/>
      <c r="CV52714" s="376"/>
    </row>
    <row r="52715" spans="1:100">
      <c r="A52715" s="374"/>
      <c r="C52715" s="374"/>
      <c r="CV52715" s="376"/>
    </row>
    <row r="52716" spans="1:100">
      <c r="A52716" s="374"/>
      <c r="C52716" s="374"/>
      <c r="CV52716" s="376"/>
    </row>
    <row r="52717" spans="1:100">
      <c r="A52717" s="374"/>
      <c r="C52717" s="374"/>
      <c r="CV52717" s="376"/>
    </row>
    <row r="52718" spans="1:100">
      <c r="A52718" s="374"/>
      <c r="C52718" s="374"/>
      <c r="CV52718" s="376"/>
    </row>
    <row r="52719" spans="1:100">
      <c r="A52719" s="374"/>
      <c r="C52719" s="374"/>
      <c r="CV52719" s="376"/>
    </row>
    <row r="52720" spans="1:100">
      <c r="A52720" s="374"/>
      <c r="C52720" s="374"/>
      <c r="CV52720" s="376"/>
    </row>
    <row r="52721" spans="1:100">
      <c r="A52721" s="374"/>
      <c r="C52721" s="374"/>
      <c r="CV52721" s="376"/>
    </row>
    <row r="52722" spans="1:100">
      <c r="A52722" s="374"/>
      <c r="C52722" s="374"/>
      <c r="CV52722" s="376"/>
    </row>
    <row r="52723" spans="1:100">
      <c r="A52723" s="374"/>
      <c r="C52723" s="374"/>
      <c r="CV52723" s="376"/>
    </row>
    <row r="52724" spans="1:100">
      <c r="A52724" s="374"/>
      <c r="C52724" s="374"/>
      <c r="CV52724" s="376"/>
    </row>
    <row r="52725" spans="1:100">
      <c r="A52725" s="374"/>
      <c r="C52725" s="374"/>
      <c r="CV52725" s="376"/>
    </row>
    <row r="52726" spans="1:100">
      <c r="A52726" s="374"/>
      <c r="C52726" s="374"/>
      <c r="CV52726" s="376"/>
    </row>
    <row r="52727" spans="1:100">
      <c r="A52727" s="374"/>
      <c r="C52727" s="374"/>
      <c r="CV52727" s="376"/>
    </row>
    <row r="52728" spans="1:100">
      <c r="A52728" s="374"/>
      <c r="C52728" s="374"/>
      <c r="CV52728" s="376"/>
    </row>
    <row r="52729" spans="1:100">
      <c r="A52729" s="374"/>
      <c r="C52729" s="374"/>
      <c r="CV52729" s="376"/>
    </row>
    <row r="52730" spans="1:100">
      <c r="A52730" s="374"/>
      <c r="C52730" s="374"/>
      <c r="CV52730" s="376"/>
    </row>
    <row r="52731" spans="1:100">
      <c r="A52731" s="374"/>
      <c r="C52731" s="374"/>
      <c r="CV52731" s="376"/>
    </row>
    <row r="52732" spans="1:100">
      <c r="A52732" s="374"/>
      <c r="C52732" s="374"/>
      <c r="CV52732" s="376"/>
    </row>
    <row r="52733" spans="1:100">
      <c r="A52733" s="374"/>
      <c r="C52733" s="374"/>
      <c r="CV52733" s="376"/>
    </row>
    <row r="52734" spans="1:100">
      <c r="A52734" s="374"/>
      <c r="C52734" s="374"/>
      <c r="CV52734" s="376"/>
    </row>
    <row r="52735" spans="1:100">
      <c r="A52735" s="374"/>
      <c r="C52735" s="374"/>
      <c r="CV52735" s="376"/>
    </row>
    <row r="52736" spans="1:100">
      <c r="A52736" s="374"/>
      <c r="C52736" s="374"/>
      <c r="CV52736" s="376"/>
    </row>
    <row r="52737" spans="1:100">
      <c r="A52737" s="374"/>
      <c r="C52737" s="374"/>
      <c r="CV52737" s="376"/>
    </row>
    <row r="52738" spans="1:100">
      <c r="A52738" s="374"/>
      <c r="C52738" s="374"/>
      <c r="CV52738" s="376"/>
    </row>
    <row r="52739" spans="1:100">
      <c r="A52739" s="374"/>
      <c r="C52739" s="374"/>
      <c r="CV52739" s="376"/>
    </row>
    <row r="52740" spans="1:100">
      <c r="A52740" s="374"/>
      <c r="C52740" s="374"/>
      <c r="CV52740" s="376"/>
    </row>
    <row r="52741" spans="1:100">
      <c r="A52741" s="374"/>
      <c r="C52741" s="374"/>
      <c r="CV52741" s="376"/>
    </row>
    <row r="52742" spans="1:100">
      <c r="A52742" s="374"/>
      <c r="C52742" s="374"/>
      <c r="CV52742" s="376"/>
    </row>
    <row r="52743" spans="1:100">
      <c r="A52743" s="374"/>
      <c r="C52743" s="374"/>
      <c r="CV52743" s="376"/>
    </row>
    <row r="52744" spans="1:100">
      <c r="A52744" s="374"/>
      <c r="C52744" s="374"/>
      <c r="CV52744" s="376"/>
    </row>
    <row r="52745" spans="1:100">
      <c r="A52745" s="374"/>
      <c r="C52745" s="374"/>
      <c r="CV52745" s="376"/>
    </row>
    <row r="52746" spans="1:100">
      <c r="A52746" s="374"/>
      <c r="C52746" s="374"/>
      <c r="CV52746" s="376"/>
    </row>
    <row r="52747" spans="1:100">
      <c r="A52747" s="374"/>
      <c r="C52747" s="374"/>
      <c r="CV52747" s="376"/>
    </row>
    <row r="52748" spans="1:100">
      <c r="A52748" s="374"/>
      <c r="C52748" s="374"/>
      <c r="CV52748" s="376"/>
    </row>
    <row r="52749" spans="1:100">
      <c r="A52749" s="374"/>
      <c r="C52749" s="374"/>
      <c r="CV52749" s="376"/>
    </row>
    <row r="52750" spans="1:100">
      <c r="A52750" s="374"/>
      <c r="C52750" s="374"/>
      <c r="CV52750" s="376"/>
    </row>
    <row r="52751" spans="1:100">
      <c r="A52751" s="374"/>
      <c r="C52751" s="374"/>
      <c r="CV52751" s="376"/>
    </row>
    <row r="52752" spans="1:100">
      <c r="A52752" s="374"/>
      <c r="C52752" s="374"/>
      <c r="CV52752" s="376"/>
    </row>
    <row r="52753" spans="1:100">
      <c r="A52753" s="374"/>
      <c r="C52753" s="374"/>
      <c r="CV52753" s="376"/>
    </row>
    <row r="52754" spans="1:100">
      <c r="A52754" s="374"/>
      <c r="C52754" s="374"/>
      <c r="CV52754" s="376"/>
    </row>
    <row r="52755" spans="1:100">
      <c r="A52755" s="374"/>
      <c r="C52755" s="374"/>
      <c r="CV52755" s="376"/>
    </row>
    <row r="52756" spans="1:100">
      <c r="A52756" s="374"/>
      <c r="C52756" s="374"/>
      <c r="CV52756" s="376"/>
    </row>
    <row r="52757" spans="1:100">
      <c r="A52757" s="374"/>
      <c r="C52757" s="374"/>
      <c r="CV52757" s="376"/>
    </row>
    <row r="52758" spans="1:100">
      <c r="A52758" s="374"/>
      <c r="C52758" s="374"/>
      <c r="CV52758" s="376"/>
    </row>
    <row r="52759" spans="1:100">
      <c r="A52759" s="374"/>
      <c r="C52759" s="374"/>
      <c r="CV52759" s="376"/>
    </row>
    <row r="52760" spans="1:100">
      <c r="A52760" s="374"/>
      <c r="C52760" s="374"/>
      <c r="CV52760" s="376"/>
    </row>
    <row r="52761" spans="1:100">
      <c r="A52761" s="374"/>
      <c r="C52761" s="374"/>
      <c r="CV52761" s="376"/>
    </row>
    <row r="52762" spans="1:100">
      <c r="A52762" s="374"/>
      <c r="C52762" s="374"/>
      <c r="CV52762" s="376"/>
    </row>
    <row r="52763" spans="1:100">
      <c r="A52763" s="374"/>
      <c r="C52763" s="374"/>
      <c r="CV52763" s="376"/>
    </row>
    <row r="52764" spans="1:100">
      <c r="A52764" s="374"/>
      <c r="C52764" s="374"/>
      <c r="CV52764" s="376"/>
    </row>
    <row r="52765" spans="1:100">
      <c r="A52765" s="374"/>
      <c r="C52765" s="374"/>
      <c r="CV52765" s="376"/>
    </row>
    <row r="52766" spans="1:100">
      <c r="A52766" s="374"/>
      <c r="C52766" s="374"/>
      <c r="CV52766" s="376"/>
    </row>
    <row r="52767" spans="1:100">
      <c r="A52767" s="374"/>
      <c r="C52767" s="374"/>
      <c r="CV52767" s="376"/>
    </row>
    <row r="52768" spans="1:100">
      <c r="A52768" s="374"/>
      <c r="C52768" s="374"/>
      <c r="CV52768" s="376"/>
    </row>
    <row r="52769" spans="1:100">
      <c r="A52769" s="374"/>
      <c r="C52769" s="374"/>
      <c r="CV52769" s="376"/>
    </row>
    <row r="52770" spans="1:100">
      <c r="A52770" s="374"/>
      <c r="C52770" s="374"/>
      <c r="CV52770" s="376"/>
    </row>
    <row r="52771" spans="1:100">
      <c r="A52771" s="374"/>
      <c r="C52771" s="374"/>
      <c r="CV52771" s="376"/>
    </row>
    <row r="52772" spans="1:100">
      <c r="A52772" s="374"/>
      <c r="C52772" s="374"/>
      <c r="CV52772" s="376"/>
    </row>
    <row r="52773" spans="1:100">
      <c r="A52773" s="374"/>
      <c r="C52773" s="374"/>
      <c r="CV52773" s="376"/>
    </row>
    <row r="52774" spans="1:100">
      <c r="A52774" s="374"/>
      <c r="C52774" s="374"/>
      <c r="CV52774" s="376"/>
    </row>
    <row r="52775" spans="1:100">
      <c r="A52775" s="374"/>
      <c r="C52775" s="374"/>
      <c r="CV52775" s="376"/>
    </row>
    <row r="52776" spans="1:100">
      <c r="A52776" s="374"/>
      <c r="C52776" s="374"/>
      <c r="CV52776" s="376"/>
    </row>
    <row r="52777" spans="1:100">
      <c r="A52777" s="374"/>
      <c r="C52777" s="374"/>
      <c r="CV52777" s="376"/>
    </row>
    <row r="52778" spans="1:100">
      <c r="A52778" s="374"/>
      <c r="C52778" s="374"/>
      <c r="CV52778" s="376"/>
    </row>
    <row r="52779" spans="1:100">
      <c r="A52779" s="374"/>
      <c r="C52779" s="374"/>
      <c r="CV52779" s="376"/>
    </row>
    <row r="52780" spans="1:100">
      <c r="A52780" s="374"/>
      <c r="C52780" s="374"/>
      <c r="CV52780" s="376"/>
    </row>
    <row r="52781" spans="1:100">
      <c r="A52781" s="374"/>
      <c r="C52781" s="374"/>
      <c r="CV52781" s="376"/>
    </row>
    <row r="52782" spans="1:100">
      <c r="A52782" s="374"/>
      <c r="C52782" s="374"/>
      <c r="CV52782" s="376"/>
    </row>
    <row r="52783" spans="1:100">
      <c r="A52783" s="374"/>
      <c r="C52783" s="374"/>
      <c r="CV52783" s="376"/>
    </row>
    <row r="52784" spans="1:100">
      <c r="A52784" s="374"/>
      <c r="C52784" s="374"/>
      <c r="CV52784" s="376"/>
    </row>
    <row r="52785" spans="1:100">
      <c r="A52785" s="374"/>
      <c r="C52785" s="374"/>
      <c r="CV52785" s="376"/>
    </row>
    <row r="52786" spans="1:100">
      <c r="A52786" s="374"/>
      <c r="C52786" s="374"/>
      <c r="CV52786" s="376"/>
    </row>
    <row r="52787" spans="1:100">
      <c r="A52787" s="374"/>
      <c r="C52787" s="374"/>
      <c r="CV52787" s="376"/>
    </row>
    <row r="52788" spans="1:100">
      <c r="A52788" s="374"/>
      <c r="C52788" s="374"/>
      <c r="CV52788" s="376"/>
    </row>
    <row r="52789" spans="1:100">
      <c r="A52789" s="374"/>
      <c r="C52789" s="374"/>
      <c r="CV52789" s="376"/>
    </row>
    <row r="52790" spans="1:100">
      <c r="A52790" s="374"/>
      <c r="C52790" s="374"/>
      <c r="CV52790" s="376"/>
    </row>
    <row r="52791" spans="1:100">
      <c r="A52791" s="374"/>
      <c r="C52791" s="374"/>
      <c r="CV52791" s="376"/>
    </row>
    <row r="52792" spans="1:100">
      <c r="A52792" s="374"/>
      <c r="C52792" s="374"/>
      <c r="CV52792" s="376"/>
    </row>
    <row r="52793" spans="1:100">
      <c r="A52793" s="374"/>
      <c r="C52793" s="374"/>
      <c r="CV52793" s="376"/>
    </row>
    <row r="52794" spans="1:100">
      <c r="A52794" s="374"/>
      <c r="C52794" s="374"/>
      <c r="CV52794" s="376"/>
    </row>
    <row r="52795" spans="1:100">
      <c r="A52795" s="374"/>
      <c r="C52795" s="374"/>
      <c r="CV52795" s="376"/>
    </row>
    <row r="52796" spans="1:100">
      <c r="A52796" s="374"/>
      <c r="C52796" s="374"/>
      <c r="CV52796" s="376"/>
    </row>
    <row r="52797" spans="1:100">
      <c r="A52797" s="374"/>
      <c r="C52797" s="374"/>
      <c r="CV52797" s="376"/>
    </row>
    <row r="52798" spans="1:100">
      <c r="A52798" s="374"/>
      <c r="C52798" s="374"/>
      <c r="CV52798" s="376"/>
    </row>
    <row r="52799" spans="1:100">
      <c r="A52799" s="374"/>
      <c r="C52799" s="374"/>
      <c r="CV52799" s="376"/>
    </row>
    <row r="52800" spans="1:100">
      <c r="A52800" s="374"/>
      <c r="C52800" s="374"/>
      <c r="CV52800" s="376"/>
    </row>
    <row r="52801" spans="1:100">
      <c r="A52801" s="374"/>
      <c r="C52801" s="374"/>
      <c r="CV52801" s="376"/>
    </row>
    <row r="52802" spans="1:100">
      <c r="A52802" s="374"/>
      <c r="C52802" s="374"/>
      <c r="CV52802" s="376"/>
    </row>
    <row r="52803" spans="1:100">
      <c r="A52803" s="374"/>
      <c r="C52803" s="374"/>
      <c r="CV52803" s="376"/>
    </row>
    <row r="52804" spans="1:100">
      <c r="A52804" s="374"/>
      <c r="C52804" s="374"/>
      <c r="CV52804" s="376"/>
    </row>
    <row r="52805" spans="1:100">
      <c r="A52805" s="374"/>
      <c r="C52805" s="374"/>
      <c r="CV52805" s="376"/>
    </row>
    <row r="52806" spans="1:100">
      <c r="A52806" s="374"/>
      <c r="C52806" s="374"/>
      <c r="CV52806" s="376"/>
    </row>
    <row r="52807" spans="1:100">
      <c r="A52807" s="374"/>
      <c r="C52807" s="374"/>
      <c r="CV52807" s="376"/>
    </row>
    <row r="52808" spans="1:100">
      <c r="A52808" s="374"/>
      <c r="C52808" s="374"/>
      <c r="CV52808" s="376"/>
    </row>
    <row r="52809" spans="1:100">
      <c r="A52809" s="374"/>
      <c r="C52809" s="374"/>
      <c r="CV52809" s="376"/>
    </row>
    <row r="52810" spans="1:100">
      <c r="A52810" s="374"/>
      <c r="C52810" s="374"/>
      <c r="CV52810" s="376"/>
    </row>
    <row r="52811" spans="1:100">
      <c r="A52811" s="374"/>
      <c r="C52811" s="374"/>
      <c r="CV52811" s="376"/>
    </row>
    <row r="52812" spans="1:100">
      <c r="A52812" s="374"/>
      <c r="C52812" s="374"/>
      <c r="CV52812" s="376"/>
    </row>
    <row r="52813" spans="1:100">
      <c r="A52813" s="374"/>
      <c r="C52813" s="374"/>
      <c r="CV52813" s="376"/>
    </row>
    <row r="52814" spans="1:100">
      <c r="A52814" s="374"/>
      <c r="C52814" s="374"/>
      <c r="CV52814" s="376"/>
    </row>
    <row r="52815" spans="1:100">
      <c r="A52815" s="374"/>
      <c r="C52815" s="374"/>
      <c r="CV52815" s="376"/>
    </row>
    <row r="52816" spans="1:100">
      <c r="A52816" s="374"/>
      <c r="C52816" s="374"/>
      <c r="CV52816" s="376"/>
    </row>
    <row r="52817" spans="1:100">
      <c r="A52817" s="374"/>
      <c r="C52817" s="374"/>
      <c r="CV52817" s="376"/>
    </row>
    <row r="52818" spans="1:100">
      <c r="A52818" s="374"/>
      <c r="C52818" s="374"/>
      <c r="CV52818" s="376"/>
    </row>
    <row r="52819" spans="1:100">
      <c r="A52819" s="374"/>
      <c r="C52819" s="374"/>
      <c r="CV52819" s="376"/>
    </row>
    <row r="52820" spans="1:100">
      <c r="A52820" s="374"/>
      <c r="C52820" s="374"/>
      <c r="CV52820" s="376"/>
    </row>
    <row r="52821" spans="1:100">
      <c r="A52821" s="374"/>
      <c r="C52821" s="374"/>
      <c r="CV52821" s="376"/>
    </row>
    <row r="52822" spans="1:100">
      <c r="A52822" s="374"/>
      <c r="C52822" s="374"/>
      <c r="CV52822" s="376"/>
    </row>
    <row r="52823" spans="1:100">
      <c r="A52823" s="374"/>
      <c r="C52823" s="374"/>
      <c r="CV52823" s="376"/>
    </row>
    <row r="52824" spans="1:100">
      <c r="A52824" s="374"/>
      <c r="C52824" s="374"/>
      <c r="CV52824" s="376"/>
    </row>
    <row r="52825" spans="1:100">
      <c r="A52825" s="374"/>
      <c r="C52825" s="374"/>
      <c r="CV52825" s="376"/>
    </row>
    <row r="52826" spans="1:100">
      <c r="A52826" s="374"/>
      <c r="C52826" s="374"/>
      <c r="CV52826" s="376"/>
    </row>
    <row r="52827" spans="1:100">
      <c r="A52827" s="374"/>
      <c r="C52827" s="374"/>
      <c r="CV52827" s="376"/>
    </row>
    <row r="52828" spans="1:100">
      <c r="A52828" s="374"/>
      <c r="C52828" s="374"/>
      <c r="CV52828" s="376"/>
    </row>
    <row r="52829" spans="1:100">
      <c r="A52829" s="374"/>
      <c r="C52829" s="374"/>
      <c r="CV52829" s="376"/>
    </row>
    <row r="52830" spans="1:100">
      <c r="A52830" s="374"/>
      <c r="C52830" s="374"/>
      <c r="CV52830" s="376"/>
    </row>
    <row r="52831" spans="1:100">
      <c r="A52831" s="374"/>
      <c r="C52831" s="374"/>
      <c r="CV52831" s="376"/>
    </row>
    <row r="52832" spans="1:100">
      <c r="A52832" s="374"/>
      <c r="C52832" s="374"/>
      <c r="CV52832" s="376"/>
    </row>
    <row r="52833" spans="1:100">
      <c r="A52833" s="374"/>
      <c r="C52833" s="374"/>
      <c r="CV52833" s="376"/>
    </row>
    <row r="52834" spans="1:100">
      <c r="A52834" s="374"/>
      <c r="C52834" s="374"/>
      <c r="CV52834" s="376"/>
    </row>
    <row r="52835" spans="1:100">
      <c r="A52835" s="374"/>
      <c r="C52835" s="374"/>
      <c r="CV52835" s="376"/>
    </row>
    <row r="52836" spans="1:100">
      <c r="A52836" s="374"/>
      <c r="C52836" s="374"/>
      <c r="CV52836" s="376"/>
    </row>
    <row r="52837" spans="1:100">
      <c r="A52837" s="374"/>
      <c r="C52837" s="374"/>
      <c r="CV52837" s="376"/>
    </row>
    <row r="52838" spans="1:100">
      <c r="A52838" s="374"/>
      <c r="C52838" s="374"/>
      <c r="CV52838" s="376"/>
    </row>
    <row r="52839" spans="1:100">
      <c r="A52839" s="374"/>
      <c r="C52839" s="374"/>
      <c r="CV52839" s="376"/>
    </row>
    <row r="52840" spans="1:100">
      <c r="A52840" s="374"/>
      <c r="C52840" s="374"/>
      <c r="CV52840" s="376"/>
    </row>
    <row r="52841" spans="1:100">
      <c r="A52841" s="374"/>
      <c r="C52841" s="374"/>
      <c r="CV52841" s="376"/>
    </row>
    <row r="52842" spans="1:100">
      <c r="A52842" s="374"/>
      <c r="C52842" s="374"/>
      <c r="CV52842" s="376"/>
    </row>
    <row r="52843" spans="1:100">
      <c r="A52843" s="374"/>
      <c r="C52843" s="374"/>
      <c r="CV52843" s="376"/>
    </row>
    <row r="52844" spans="1:100">
      <c r="A52844" s="374"/>
      <c r="C52844" s="374"/>
      <c r="CV52844" s="376"/>
    </row>
    <row r="52845" spans="1:100">
      <c r="A52845" s="374"/>
      <c r="C52845" s="374"/>
      <c r="CV52845" s="376"/>
    </row>
    <row r="52846" spans="1:100">
      <c r="A52846" s="374"/>
      <c r="C52846" s="374"/>
      <c r="CV52846" s="376"/>
    </row>
    <row r="52847" spans="1:100">
      <c r="A52847" s="374"/>
      <c r="C52847" s="374"/>
      <c r="CV52847" s="376"/>
    </row>
    <row r="52848" spans="1:100">
      <c r="A52848" s="374"/>
      <c r="C52848" s="374"/>
      <c r="CV52848" s="376"/>
    </row>
    <row r="52849" spans="1:100">
      <c r="A52849" s="374"/>
      <c r="C52849" s="374"/>
      <c r="CV52849" s="376"/>
    </row>
    <row r="52850" spans="1:100">
      <c r="A52850" s="374"/>
      <c r="C52850" s="374"/>
      <c r="CV52850" s="376"/>
    </row>
    <row r="52851" spans="1:100">
      <c r="A52851" s="374"/>
      <c r="C52851" s="374"/>
      <c r="CV52851" s="376"/>
    </row>
    <row r="52852" spans="1:100">
      <c r="A52852" s="374"/>
      <c r="C52852" s="374"/>
      <c r="CV52852" s="376"/>
    </row>
    <row r="52853" spans="1:100">
      <c r="A52853" s="374"/>
      <c r="C52853" s="374"/>
      <c r="CV52853" s="376"/>
    </row>
    <row r="52854" spans="1:100">
      <c r="A52854" s="374"/>
      <c r="C52854" s="374"/>
      <c r="CV52854" s="376"/>
    </row>
    <row r="52855" spans="1:100">
      <c r="A52855" s="374"/>
      <c r="C52855" s="374"/>
      <c r="CV52855" s="376"/>
    </row>
    <row r="52856" spans="1:100">
      <c r="A52856" s="374"/>
      <c r="C52856" s="374"/>
      <c r="CV52856" s="376"/>
    </row>
    <row r="52857" spans="1:100">
      <c r="A52857" s="374"/>
      <c r="C52857" s="374"/>
      <c r="CV52857" s="376"/>
    </row>
    <row r="52858" spans="1:100">
      <c r="A52858" s="374"/>
      <c r="C52858" s="374"/>
      <c r="CV52858" s="376"/>
    </row>
    <row r="52859" spans="1:100">
      <c r="A52859" s="374"/>
      <c r="C52859" s="374"/>
      <c r="CV52859" s="376"/>
    </row>
    <row r="52860" spans="1:100">
      <c r="A52860" s="374"/>
      <c r="C52860" s="374"/>
      <c r="CV52860" s="376"/>
    </row>
    <row r="52861" spans="1:100">
      <c r="A52861" s="374"/>
      <c r="C52861" s="374"/>
      <c r="CV52861" s="376"/>
    </row>
    <row r="52862" spans="1:100">
      <c r="A52862" s="374"/>
      <c r="C52862" s="374"/>
      <c r="CV52862" s="376"/>
    </row>
    <row r="52863" spans="1:100">
      <c r="A52863" s="374"/>
      <c r="C52863" s="374"/>
      <c r="CV52863" s="376"/>
    </row>
    <row r="52864" spans="1:100">
      <c r="A52864" s="374"/>
      <c r="C52864" s="374"/>
      <c r="CV52864" s="376"/>
    </row>
    <row r="52865" spans="1:100">
      <c r="A52865" s="374"/>
      <c r="C52865" s="374"/>
      <c r="CV52865" s="376"/>
    </row>
    <row r="52866" spans="1:100">
      <c r="A52866" s="374"/>
      <c r="C52866" s="374"/>
      <c r="CV52866" s="376"/>
    </row>
    <row r="52867" spans="1:100">
      <c r="A52867" s="374"/>
      <c r="C52867" s="374"/>
      <c r="CV52867" s="376"/>
    </row>
    <row r="52868" spans="1:100">
      <c r="A52868" s="374"/>
      <c r="C52868" s="374"/>
      <c r="CV52868" s="376"/>
    </row>
    <row r="52869" spans="1:100">
      <c r="A52869" s="374"/>
      <c r="C52869" s="374"/>
      <c r="CV52869" s="376"/>
    </row>
    <row r="52870" spans="1:100">
      <c r="A52870" s="374"/>
      <c r="C52870" s="374"/>
      <c r="CV52870" s="376"/>
    </row>
    <row r="52871" spans="1:100">
      <c r="A52871" s="374"/>
      <c r="C52871" s="374"/>
      <c r="CV52871" s="376"/>
    </row>
    <row r="52872" spans="1:100">
      <c r="A52872" s="374"/>
      <c r="C52872" s="374"/>
      <c r="CV52872" s="376"/>
    </row>
    <row r="52873" spans="1:100">
      <c r="A52873" s="374"/>
      <c r="C52873" s="374"/>
      <c r="CV52873" s="376"/>
    </row>
    <row r="52874" spans="1:100">
      <c r="A52874" s="374"/>
      <c r="C52874" s="374"/>
      <c r="CV52874" s="376"/>
    </row>
    <row r="52875" spans="1:100">
      <c r="A52875" s="374"/>
      <c r="C52875" s="374"/>
      <c r="CV52875" s="376"/>
    </row>
    <row r="52876" spans="1:100">
      <c r="A52876" s="374"/>
      <c r="C52876" s="374"/>
      <c r="CV52876" s="376"/>
    </row>
    <row r="52877" spans="1:100">
      <c r="A52877" s="374"/>
      <c r="C52877" s="374"/>
      <c r="CV52877" s="376"/>
    </row>
    <row r="52878" spans="1:100">
      <c r="A52878" s="374"/>
      <c r="C52878" s="374"/>
      <c r="CV52878" s="376"/>
    </row>
    <row r="52879" spans="1:100">
      <c r="A52879" s="374"/>
      <c r="C52879" s="374"/>
      <c r="CV52879" s="376"/>
    </row>
    <row r="52880" spans="1:100">
      <c r="A52880" s="374"/>
      <c r="C52880" s="374"/>
      <c r="CV52880" s="376"/>
    </row>
    <row r="52881" spans="1:100">
      <c r="A52881" s="374"/>
      <c r="C52881" s="374"/>
      <c r="CV52881" s="376"/>
    </row>
    <row r="52882" spans="1:100">
      <c r="A52882" s="374"/>
      <c r="C52882" s="374"/>
      <c r="CV52882" s="376"/>
    </row>
    <row r="52883" spans="1:100">
      <c r="A52883" s="374"/>
      <c r="C52883" s="374"/>
      <c r="CV52883" s="376"/>
    </row>
    <row r="52884" spans="1:100">
      <c r="A52884" s="374"/>
      <c r="C52884" s="374"/>
      <c r="CV52884" s="376"/>
    </row>
    <row r="52885" spans="1:100">
      <c r="A52885" s="374"/>
      <c r="C52885" s="374"/>
      <c r="CV52885" s="376"/>
    </row>
    <row r="52886" spans="1:100">
      <c r="A52886" s="374"/>
      <c r="C52886" s="374"/>
      <c r="CV52886" s="376"/>
    </row>
    <row r="52887" spans="1:100">
      <c r="A52887" s="374"/>
      <c r="C52887" s="374"/>
      <c r="CV52887" s="376"/>
    </row>
    <row r="52888" spans="1:100">
      <c r="A52888" s="374"/>
      <c r="C52888" s="374"/>
      <c r="CV52888" s="376"/>
    </row>
    <row r="52889" spans="1:100">
      <c r="A52889" s="374"/>
      <c r="C52889" s="374"/>
      <c r="CV52889" s="376"/>
    </row>
    <row r="52890" spans="1:100">
      <c r="A52890" s="374"/>
      <c r="C52890" s="374"/>
      <c r="CV52890" s="376"/>
    </row>
    <row r="52891" spans="1:100">
      <c r="A52891" s="374"/>
      <c r="C52891" s="374"/>
      <c r="CV52891" s="376"/>
    </row>
    <row r="52892" spans="1:100">
      <c r="A52892" s="374"/>
      <c r="C52892" s="374"/>
      <c r="CV52892" s="376"/>
    </row>
    <row r="52893" spans="1:100">
      <c r="A52893" s="374"/>
      <c r="C52893" s="374"/>
      <c r="CV52893" s="376"/>
    </row>
    <row r="52894" spans="1:100">
      <c r="A52894" s="374"/>
      <c r="C52894" s="374"/>
      <c r="CV52894" s="376"/>
    </row>
    <row r="52895" spans="1:100">
      <c r="A52895" s="374"/>
      <c r="C52895" s="374"/>
      <c r="CV52895" s="376"/>
    </row>
    <row r="52896" spans="1:100">
      <c r="A52896" s="374"/>
      <c r="C52896" s="374"/>
      <c r="CV52896" s="376"/>
    </row>
    <row r="52897" spans="1:100">
      <c r="A52897" s="374"/>
      <c r="C52897" s="374"/>
      <c r="CV52897" s="376"/>
    </row>
    <row r="52898" spans="1:100">
      <c r="A52898" s="374"/>
      <c r="C52898" s="374"/>
      <c r="CV52898" s="376"/>
    </row>
    <row r="52899" spans="1:100">
      <c r="A52899" s="374"/>
      <c r="C52899" s="374"/>
      <c r="CV52899" s="376"/>
    </row>
    <row r="52900" spans="1:100">
      <c r="A52900" s="374"/>
      <c r="C52900" s="374"/>
      <c r="CV52900" s="376"/>
    </row>
    <row r="52901" spans="1:100">
      <c r="A52901" s="374"/>
      <c r="C52901" s="374"/>
      <c r="CV52901" s="376"/>
    </row>
    <row r="52902" spans="1:100">
      <c r="A52902" s="374"/>
      <c r="C52902" s="374"/>
      <c r="CV52902" s="376"/>
    </row>
    <row r="52903" spans="1:100">
      <c r="A52903" s="374"/>
      <c r="C52903" s="374"/>
      <c r="CV52903" s="376"/>
    </row>
    <row r="52904" spans="1:100">
      <c r="A52904" s="374"/>
      <c r="C52904" s="374"/>
      <c r="CV52904" s="376"/>
    </row>
    <row r="52905" spans="1:100">
      <c r="A52905" s="374"/>
      <c r="C52905" s="374"/>
      <c r="CV52905" s="376"/>
    </row>
    <row r="52906" spans="1:100">
      <c r="A52906" s="374"/>
      <c r="C52906" s="374"/>
      <c r="CV52906" s="376"/>
    </row>
    <row r="52907" spans="1:100">
      <c r="A52907" s="374"/>
      <c r="C52907" s="374"/>
      <c r="CV52907" s="376"/>
    </row>
    <row r="52908" spans="1:100">
      <c r="A52908" s="374"/>
      <c r="C52908" s="374"/>
      <c r="CV52908" s="376"/>
    </row>
    <row r="52909" spans="1:100">
      <c r="A52909" s="374"/>
      <c r="C52909" s="374"/>
      <c r="CV52909" s="376"/>
    </row>
    <row r="52910" spans="1:100">
      <c r="A52910" s="374"/>
      <c r="C52910" s="374"/>
      <c r="CV52910" s="376"/>
    </row>
    <row r="52911" spans="1:100">
      <c r="A52911" s="374"/>
      <c r="C52911" s="374"/>
      <c r="CV52911" s="376"/>
    </row>
    <row r="52912" spans="1:100">
      <c r="A52912" s="374"/>
      <c r="C52912" s="374"/>
      <c r="CV52912" s="376"/>
    </row>
    <row r="52913" spans="1:100">
      <c r="A52913" s="374"/>
      <c r="C52913" s="374"/>
      <c r="CV52913" s="376"/>
    </row>
    <row r="52914" spans="1:100">
      <c r="A52914" s="374"/>
      <c r="C52914" s="374"/>
      <c r="CV52914" s="376"/>
    </row>
    <row r="52915" spans="1:100">
      <c r="A52915" s="374"/>
      <c r="C52915" s="374"/>
      <c r="CV52915" s="376"/>
    </row>
    <row r="52916" spans="1:100">
      <c r="A52916" s="374"/>
      <c r="C52916" s="374"/>
      <c r="CV52916" s="376"/>
    </row>
    <row r="52917" spans="1:100">
      <c r="A52917" s="374"/>
      <c r="C52917" s="374"/>
      <c r="CV52917" s="376"/>
    </row>
    <row r="52918" spans="1:100">
      <c r="A52918" s="374"/>
      <c r="C52918" s="374"/>
      <c r="CV52918" s="376"/>
    </row>
    <row r="52919" spans="1:100">
      <c r="A52919" s="374"/>
      <c r="C52919" s="374"/>
      <c r="CV52919" s="376"/>
    </row>
    <row r="52920" spans="1:100">
      <c r="A52920" s="374"/>
      <c r="C52920" s="374"/>
      <c r="CV52920" s="376"/>
    </row>
    <row r="52921" spans="1:100">
      <c r="A52921" s="374"/>
      <c r="C52921" s="374"/>
      <c r="CV52921" s="376"/>
    </row>
    <row r="52922" spans="1:100">
      <c r="A52922" s="374"/>
      <c r="C52922" s="374"/>
      <c r="CV52922" s="376"/>
    </row>
    <row r="52923" spans="1:100">
      <c r="A52923" s="374"/>
      <c r="C52923" s="374"/>
      <c r="CV52923" s="376"/>
    </row>
    <row r="52924" spans="1:100">
      <c r="A52924" s="374"/>
      <c r="C52924" s="374"/>
      <c r="CV52924" s="376"/>
    </row>
    <row r="52925" spans="1:100">
      <c r="A52925" s="374"/>
      <c r="C52925" s="374"/>
      <c r="CV52925" s="376"/>
    </row>
    <row r="52926" spans="1:100">
      <c r="A52926" s="374"/>
      <c r="C52926" s="374"/>
      <c r="CV52926" s="376"/>
    </row>
    <row r="52927" spans="1:100">
      <c r="A52927" s="374"/>
      <c r="C52927" s="374"/>
      <c r="CV52927" s="376"/>
    </row>
    <row r="52928" spans="1:100">
      <c r="A52928" s="374"/>
      <c r="C52928" s="374"/>
      <c r="CV52928" s="376"/>
    </row>
    <row r="52929" spans="1:100">
      <c r="A52929" s="374"/>
      <c r="C52929" s="374"/>
      <c r="CV52929" s="376"/>
    </row>
    <row r="52930" spans="1:100">
      <c r="A52930" s="374"/>
      <c r="C52930" s="374"/>
      <c r="CV52930" s="376"/>
    </row>
    <row r="52931" spans="1:100">
      <c r="A52931" s="374"/>
      <c r="C52931" s="374"/>
      <c r="CV52931" s="376"/>
    </row>
    <row r="52932" spans="1:100">
      <c r="A52932" s="374"/>
      <c r="C52932" s="374"/>
      <c r="CV52932" s="376"/>
    </row>
    <row r="52933" spans="1:100">
      <c r="A52933" s="374"/>
      <c r="C52933" s="374"/>
      <c r="CV52933" s="376"/>
    </row>
    <row r="52934" spans="1:100">
      <c r="A52934" s="374"/>
      <c r="C52934" s="374"/>
      <c r="CV52934" s="376"/>
    </row>
    <row r="52935" spans="1:100">
      <c r="A52935" s="374"/>
      <c r="C52935" s="374"/>
      <c r="CV52935" s="376"/>
    </row>
    <row r="52936" spans="1:100">
      <c r="A52936" s="374"/>
      <c r="C52936" s="374"/>
      <c r="CV52936" s="376"/>
    </row>
    <row r="52937" spans="1:100">
      <c r="A52937" s="374"/>
      <c r="C52937" s="374"/>
      <c r="CV52937" s="376"/>
    </row>
    <row r="52938" spans="1:100">
      <c r="A52938" s="374"/>
      <c r="C52938" s="374"/>
      <c r="CV52938" s="376"/>
    </row>
    <row r="52939" spans="1:100">
      <c r="A52939" s="374"/>
      <c r="C52939" s="374"/>
      <c r="CV52939" s="376"/>
    </row>
    <row r="52940" spans="1:100">
      <c r="A52940" s="374"/>
      <c r="C52940" s="374"/>
      <c r="CV52940" s="376"/>
    </row>
    <row r="52941" spans="1:100">
      <c r="A52941" s="374"/>
      <c r="C52941" s="374"/>
      <c r="CV52941" s="376"/>
    </row>
    <row r="52942" spans="1:100">
      <c r="A52942" s="374"/>
      <c r="C52942" s="374"/>
      <c r="CV52942" s="376"/>
    </row>
    <row r="52943" spans="1:100">
      <c r="A52943" s="374"/>
      <c r="C52943" s="374"/>
      <c r="CV52943" s="376"/>
    </row>
    <row r="52944" spans="1:100">
      <c r="A52944" s="374"/>
      <c r="C52944" s="374"/>
      <c r="CV52944" s="376"/>
    </row>
    <row r="52945" spans="1:100">
      <c r="A52945" s="374"/>
      <c r="C52945" s="374"/>
      <c r="CV52945" s="376"/>
    </row>
    <row r="52946" spans="1:100">
      <c r="A52946" s="374"/>
      <c r="C52946" s="374"/>
      <c r="CV52946" s="376"/>
    </row>
    <row r="52947" spans="1:100">
      <c r="A52947" s="374"/>
      <c r="C52947" s="374"/>
      <c r="CV52947" s="376"/>
    </row>
    <row r="52948" spans="1:100">
      <c r="A52948" s="374"/>
      <c r="C52948" s="374"/>
      <c r="CV52948" s="376"/>
    </row>
    <row r="52949" spans="1:100">
      <c r="A52949" s="374"/>
      <c r="C52949" s="374"/>
      <c r="CV52949" s="376"/>
    </row>
    <row r="52950" spans="1:100">
      <c r="A52950" s="374"/>
      <c r="C52950" s="374"/>
      <c r="CV52950" s="376"/>
    </row>
    <row r="52951" spans="1:100">
      <c r="A52951" s="374"/>
      <c r="C52951" s="374"/>
      <c r="CV52951" s="376"/>
    </row>
    <row r="52952" spans="1:100">
      <c r="A52952" s="374"/>
      <c r="C52952" s="374"/>
      <c r="CV52952" s="376"/>
    </row>
    <row r="52953" spans="1:100">
      <c r="A52953" s="374"/>
      <c r="C52953" s="374"/>
      <c r="CV52953" s="376"/>
    </row>
    <row r="52954" spans="1:100">
      <c r="A52954" s="374"/>
      <c r="C52954" s="374"/>
      <c r="CV52954" s="376"/>
    </row>
    <row r="52955" spans="1:100">
      <c r="A52955" s="374"/>
      <c r="C52955" s="374"/>
      <c r="CV52955" s="376"/>
    </row>
    <row r="52956" spans="1:100">
      <c r="A52956" s="374"/>
      <c r="C52956" s="374"/>
      <c r="CV52956" s="376"/>
    </row>
    <row r="52957" spans="1:100">
      <c r="A52957" s="374"/>
      <c r="C52957" s="374"/>
      <c r="CV52957" s="376"/>
    </row>
    <row r="52958" spans="1:100">
      <c r="A52958" s="374"/>
      <c r="C52958" s="374"/>
      <c r="CV52958" s="376"/>
    </row>
    <row r="52959" spans="1:100">
      <c r="A52959" s="374"/>
      <c r="C52959" s="374"/>
      <c r="CV52959" s="376"/>
    </row>
    <row r="52960" spans="1:100">
      <c r="A52960" s="374"/>
      <c r="C52960" s="374"/>
      <c r="CV52960" s="376"/>
    </row>
    <row r="52961" spans="1:100">
      <c r="A52961" s="374"/>
      <c r="C52961" s="374"/>
      <c r="CV52961" s="376"/>
    </row>
    <row r="52962" spans="1:100">
      <c r="A52962" s="374"/>
      <c r="C52962" s="374"/>
      <c r="CV52962" s="376"/>
    </row>
    <row r="52963" spans="1:100">
      <c r="A52963" s="374"/>
      <c r="C52963" s="374"/>
      <c r="CV52963" s="376"/>
    </row>
    <row r="52964" spans="1:100">
      <c r="A52964" s="374"/>
      <c r="C52964" s="374"/>
      <c r="CV52964" s="376"/>
    </row>
    <row r="52965" spans="1:100">
      <c r="A52965" s="374"/>
      <c r="C52965" s="374"/>
      <c r="CV52965" s="376"/>
    </row>
    <row r="52966" spans="1:100">
      <c r="A52966" s="374"/>
      <c r="C52966" s="374"/>
      <c r="CV52966" s="376"/>
    </row>
    <row r="52967" spans="1:100">
      <c r="A52967" s="374"/>
      <c r="C52967" s="374"/>
      <c r="CV52967" s="376"/>
    </row>
    <row r="52968" spans="1:100">
      <c r="A52968" s="374"/>
      <c r="C52968" s="374"/>
      <c r="CV52968" s="376"/>
    </row>
    <row r="52969" spans="1:100">
      <c r="A52969" s="374"/>
      <c r="C52969" s="374"/>
      <c r="CV52969" s="376"/>
    </row>
    <row r="52970" spans="1:100">
      <c r="A52970" s="374"/>
      <c r="C52970" s="374"/>
      <c r="CV52970" s="376"/>
    </row>
    <row r="52971" spans="1:100">
      <c r="A52971" s="374"/>
      <c r="C52971" s="374"/>
      <c r="CV52971" s="376"/>
    </row>
    <row r="52972" spans="1:100">
      <c r="A52972" s="374"/>
      <c r="C52972" s="374"/>
      <c r="CV52972" s="376"/>
    </row>
    <row r="52973" spans="1:100">
      <c r="A52973" s="374"/>
      <c r="C52973" s="374"/>
      <c r="CV52973" s="376"/>
    </row>
    <row r="52974" spans="1:100">
      <c r="A52974" s="374"/>
      <c r="C52974" s="374"/>
      <c r="CV52974" s="376"/>
    </row>
    <row r="52975" spans="1:100">
      <c r="A52975" s="374"/>
      <c r="C52975" s="374"/>
      <c r="CV52975" s="376"/>
    </row>
    <row r="52976" spans="1:100">
      <c r="A52976" s="374"/>
      <c r="C52976" s="374"/>
      <c r="CV52976" s="376"/>
    </row>
    <row r="52977" spans="1:100">
      <c r="A52977" s="374"/>
      <c r="C52977" s="374"/>
      <c r="CV52977" s="376"/>
    </row>
    <row r="52978" spans="1:100">
      <c r="A52978" s="374"/>
      <c r="C52978" s="374"/>
      <c r="CV52978" s="376"/>
    </row>
    <row r="52979" spans="1:100">
      <c r="A52979" s="374"/>
      <c r="C52979" s="374"/>
      <c r="CV52979" s="376"/>
    </row>
    <row r="52980" spans="1:100">
      <c r="A52980" s="374"/>
      <c r="C52980" s="374"/>
      <c r="CV52980" s="376"/>
    </row>
    <row r="52981" spans="1:100">
      <c r="A52981" s="374"/>
      <c r="C52981" s="374"/>
      <c r="CV52981" s="376"/>
    </row>
    <row r="52982" spans="1:100">
      <c r="A52982" s="374"/>
      <c r="C52982" s="374"/>
      <c r="CV52982" s="376"/>
    </row>
    <row r="52983" spans="1:100">
      <c r="A52983" s="374"/>
      <c r="C52983" s="374"/>
      <c r="CV52983" s="376"/>
    </row>
    <row r="52984" spans="1:100">
      <c r="A52984" s="374"/>
      <c r="C52984" s="374"/>
      <c r="CV52984" s="376"/>
    </row>
    <row r="52985" spans="1:100">
      <c r="A52985" s="374"/>
      <c r="C52985" s="374"/>
      <c r="CV52985" s="376"/>
    </row>
    <row r="52986" spans="1:100">
      <c r="A52986" s="374"/>
      <c r="C52986" s="374"/>
      <c r="CV52986" s="376"/>
    </row>
    <row r="52987" spans="1:100">
      <c r="A52987" s="374"/>
      <c r="C52987" s="374"/>
      <c r="CV52987" s="376"/>
    </row>
    <row r="52988" spans="1:100">
      <c r="A52988" s="374"/>
      <c r="C52988" s="374"/>
      <c r="CV52988" s="376"/>
    </row>
    <row r="52989" spans="1:100">
      <c r="A52989" s="374"/>
      <c r="C52989" s="374"/>
      <c r="CV52989" s="376"/>
    </row>
    <row r="52990" spans="1:100">
      <c r="A52990" s="374"/>
      <c r="C52990" s="374"/>
      <c r="CV52990" s="376"/>
    </row>
    <row r="52991" spans="1:100">
      <c r="A52991" s="374"/>
      <c r="C52991" s="374"/>
      <c r="CV52991" s="376"/>
    </row>
    <row r="52992" spans="1:100">
      <c r="A52992" s="374"/>
      <c r="C52992" s="374"/>
      <c r="CV52992" s="376"/>
    </row>
    <row r="52993" spans="1:100">
      <c r="A52993" s="374"/>
      <c r="C52993" s="374"/>
      <c r="CV52993" s="376"/>
    </row>
    <row r="52994" spans="1:100">
      <c r="A52994" s="374"/>
      <c r="C52994" s="374"/>
      <c r="CV52994" s="376"/>
    </row>
    <row r="52995" spans="1:100">
      <c r="A52995" s="374"/>
      <c r="C52995" s="374"/>
      <c r="CV52995" s="376"/>
    </row>
    <row r="52996" spans="1:100">
      <c r="A52996" s="374"/>
      <c r="C52996" s="374"/>
      <c r="CV52996" s="376"/>
    </row>
    <row r="52997" spans="1:100">
      <c r="A52997" s="374"/>
      <c r="C52997" s="374"/>
      <c r="CV52997" s="376"/>
    </row>
    <row r="52998" spans="1:100">
      <c r="A52998" s="374"/>
      <c r="C52998" s="374"/>
      <c r="CV52998" s="376"/>
    </row>
    <row r="52999" spans="1:100">
      <c r="A52999" s="374"/>
      <c r="C52999" s="374"/>
      <c r="CV52999" s="376"/>
    </row>
    <row r="53000" spans="1:100">
      <c r="A53000" s="374"/>
      <c r="C53000" s="374"/>
      <c r="CV53000" s="376"/>
    </row>
    <row r="53001" spans="1:100">
      <c r="A53001" s="374"/>
      <c r="C53001" s="374"/>
      <c r="CV53001" s="376"/>
    </row>
    <row r="53002" spans="1:100">
      <c r="A53002" s="374"/>
      <c r="C53002" s="374"/>
      <c r="CV53002" s="376"/>
    </row>
    <row r="53003" spans="1:100">
      <c r="A53003" s="374"/>
      <c r="C53003" s="374"/>
      <c r="CV53003" s="376"/>
    </row>
    <row r="53004" spans="1:100">
      <c r="A53004" s="374"/>
      <c r="C53004" s="374"/>
      <c r="CV53004" s="376"/>
    </row>
    <row r="53005" spans="1:100">
      <c r="A53005" s="374"/>
      <c r="C53005" s="374"/>
      <c r="CV53005" s="376"/>
    </row>
    <row r="53006" spans="1:100">
      <c r="A53006" s="374"/>
      <c r="C53006" s="374"/>
      <c r="CV53006" s="376"/>
    </row>
    <row r="53007" spans="1:100">
      <c r="A53007" s="374"/>
      <c r="C53007" s="374"/>
      <c r="CV53007" s="376"/>
    </row>
    <row r="53008" spans="1:100">
      <c r="A53008" s="374"/>
      <c r="C53008" s="374"/>
      <c r="CV53008" s="376"/>
    </row>
    <row r="53009" spans="1:100">
      <c r="A53009" s="374"/>
      <c r="C53009" s="374"/>
      <c r="CV53009" s="376"/>
    </row>
    <row r="53010" spans="1:100">
      <c r="A53010" s="374"/>
      <c r="C53010" s="374"/>
      <c r="CV53010" s="376"/>
    </row>
    <row r="53011" spans="1:100">
      <c r="A53011" s="374"/>
      <c r="C53011" s="374"/>
      <c r="CV53011" s="376"/>
    </row>
    <row r="53012" spans="1:100">
      <c r="A53012" s="374"/>
      <c r="C53012" s="374"/>
      <c r="CV53012" s="376"/>
    </row>
    <row r="53013" spans="1:100">
      <c r="A53013" s="374"/>
      <c r="C53013" s="374"/>
      <c r="CV53013" s="376"/>
    </row>
    <row r="53014" spans="1:100">
      <c r="A53014" s="374"/>
      <c r="C53014" s="374"/>
      <c r="CV53014" s="376"/>
    </row>
    <row r="53015" spans="1:100">
      <c r="A53015" s="374"/>
      <c r="C53015" s="374"/>
      <c r="CV53015" s="376"/>
    </row>
    <row r="53016" spans="1:100">
      <c r="A53016" s="374"/>
      <c r="C53016" s="374"/>
      <c r="CV53016" s="376"/>
    </row>
    <row r="53017" spans="1:100">
      <c r="A53017" s="374"/>
      <c r="C53017" s="374"/>
      <c r="CV53017" s="376"/>
    </row>
    <row r="53018" spans="1:100">
      <c r="A53018" s="374"/>
      <c r="C53018" s="374"/>
      <c r="CV53018" s="376"/>
    </row>
    <row r="53019" spans="1:100">
      <c r="A53019" s="374"/>
      <c r="C53019" s="374"/>
      <c r="CV53019" s="376"/>
    </row>
    <row r="53020" spans="1:100">
      <c r="A53020" s="374"/>
      <c r="C53020" s="374"/>
      <c r="CV53020" s="376"/>
    </row>
    <row r="53021" spans="1:100">
      <c r="A53021" s="374"/>
      <c r="C53021" s="374"/>
      <c r="CV53021" s="376"/>
    </row>
    <row r="53022" spans="1:100">
      <c r="A53022" s="374"/>
      <c r="C53022" s="374"/>
      <c r="CV53022" s="376"/>
    </row>
    <row r="53023" spans="1:100">
      <c r="A53023" s="374"/>
      <c r="C53023" s="374"/>
      <c r="CV53023" s="376"/>
    </row>
    <row r="53024" spans="1:100">
      <c r="A53024" s="374"/>
      <c r="C53024" s="374"/>
      <c r="CV53024" s="376"/>
    </row>
    <row r="53025" spans="1:100">
      <c r="A53025" s="374"/>
      <c r="C53025" s="374"/>
      <c r="CV53025" s="376"/>
    </row>
    <row r="53026" spans="1:100">
      <c r="A53026" s="374"/>
      <c r="C53026" s="374"/>
      <c r="CV53026" s="376"/>
    </row>
    <row r="53027" spans="1:100">
      <c r="A53027" s="374"/>
      <c r="C53027" s="374"/>
      <c r="CV53027" s="376"/>
    </row>
    <row r="53028" spans="1:100">
      <c r="A53028" s="374"/>
      <c r="C53028" s="374"/>
      <c r="CV53028" s="376"/>
    </row>
    <row r="53029" spans="1:100">
      <c r="A53029" s="374"/>
      <c r="C53029" s="374"/>
      <c r="CV53029" s="376"/>
    </row>
    <row r="53030" spans="1:100">
      <c r="A53030" s="374"/>
      <c r="C53030" s="374"/>
      <c r="CV53030" s="376"/>
    </row>
    <row r="53031" spans="1:100">
      <c r="A53031" s="374"/>
      <c r="C53031" s="374"/>
      <c r="CV53031" s="376"/>
    </row>
    <row r="53032" spans="1:100">
      <c r="A53032" s="374"/>
      <c r="C53032" s="374"/>
      <c r="CV53032" s="376"/>
    </row>
    <row r="53033" spans="1:100">
      <c r="A53033" s="374"/>
      <c r="C53033" s="374"/>
      <c r="CV53033" s="376"/>
    </row>
    <row r="53034" spans="1:100">
      <c r="A53034" s="374"/>
      <c r="C53034" s="374"/>
      <c r="CV53034" s="376"/>
    </row>
    <row r="53035" spans="1:100">
      <c r="A53035" s="374"/>
      <c r="C53035" s="374"/>
      <c r="CV53035" s="376"/>
    </row>
    <row r="53036" spans="1:100">
      <c r="A53036" s="374"/>
      <c r="C53036" s="374"/>
      <c r="CV53036" s="376"/>
    </row>
    <row r="53037" spans="1:100">
      <c r="A53037" s="374"/>
      <c r="C53037" s="374"/>
      <c r="CV53037" s="376"/>
    </row>
    <row r="53038" spans="1:100">
      <c r="A53038" s="374"/>
      <c r="C53038" s="374"/>
      <c r="CV53038" s="376"/>
    </row>
    <row r="53039" spans="1:100">
      <c r="A53039" s="374"/>
      <c r="C53039" s="374"/>
      <c r="CV53039" s="376"/>
    </row>
    <row r="53040" spans="1:100">
      <c r="A53040" s="374"/>
      <c r="C53040" s="374"/>
      <c r="CV53040" s="376"/>
    </row>
    <row r="53041" spans="1:100">
      <c r="A53041" s="374"/>
      <c r="C53041" s="374"/>
      <c r="CV53041" s="376"/>
    </row>
    <row r="53042" spans="1:100">
      <c r="A53042" s="374"/>
      <c r="C53042" s="374"/>
      <c r="CV53042" s="376"/>
    </row>
    <row r="53043" spans="1:100">
      <c r="A53043" s="374"/>
      <c r="C53043" s="374"/>
      <c r="CV53043" s="376"/>
    </row>
    <row r="53044" spans="1:100">
      <c r="A53044" s="374"/>
      <c r="C53044" s="374"/>
      <c r="CV53044" s="376"/>
    </row>
    <row r="53045" spans="1:100">
      <c r="A53045" s="374"/>
      <c r="C53045" s="374"/>
      <c r="CV53045" s="376"/>
    </row>
    <row r="53046" spans="1:100">
      <c r="A53046" s="374"/>
      <c r="C53046" s="374"/>
      <c r="CV53046" s="376"/>
    </row>
    <row r="53047" spans="1:100">
      <c r="A53047" s="374"/>
      <c r="C53047" s="374"/>
      <c r="CV53047" s="376"/>
    </row>
    <row r="53048" spans="1:100">
      <c r="A53048" s="374"/>
      <c r="C53048" s="374"/>
      <c r="CV53048" s="376"/>
    </row>
    <row r="53049" spans="1:100">
      <c r="A53049" s="374"/>
      <c r="C53049" s="374"/>
      <c r="CV53049" s="376"/>
    </row>
    <row r="53050" spans="1:100">
      <c r="A53050" s="374"/>
      <c r="C53050" s="374"/>
      <c r="CV53050" s="376"/>
    </row>
    <row r="53051" spans="1:100">
      <c r="A53051" s="374"/>
      <c r="C53051" s="374"/>
      <c r="CV53051" s="376"/>
    </row>
    <row r="53052" spans="1:100">
      <c r="A53052" s="374"/>
      <c r="C53052" s="374"/>
      <c r="CV53052" s="376"/>
    </row>
    <row r="53053" spans="1:100">
      <c r="A53053" s="374"/>
      <c r="C53053" s="374"/>
      <c r="CV53053" s="376"/>
    </row>
    <row r="53054" spans="1:100">
      <c r="A53054" s="374"/>
      <c r="C53054" s="374"/>
      <c r="CV53054" s="376"/>
    </row>
    <row r="53055" spans="1:100">
      <c r="A53055" s="374"/>
      <c r="C53055" s="374"/>
      <c r="CV53055" s="376"/>
    </row>
    <row r="53056" spans="1:100">
      <c r="A53056" s="374"/>
      <c r="C53056" s="374"/>
      <c r="CV53056" s="376"/>
    </row>
    <row r="53057" spans="1:100">
      <c r="A53057" s="374"/>
      <c r="C53057" s="374"/>
      <c r="CV53057" s="376"/>
    </row>
    <row r="53058" spans="1:100">
      <c r="A53058" s="374"/>
      <c r="C53058" s="374"/>
      <c r="CV53058" s="376"/>
    </row>
    <row r="53059" spans="1:100">
      <c r="A53059" s="374"/>
      <c r="C53059" s="374"/>
      <c r="CV53059" s="376"/>
    </row>
    <row r="53060" spans="1:100">
      <c r="A53060" s="374"/>
      <c r="C53060" s="374"/>
      <c r="CV53060" s="376"/>
    </row>
    <row r="53061" spans="1:100">
      <c r="A53061" s="374"/>
      <c r="C53061" s="374"/>
      <c r="CV53061" s="376"/>
    </row>
    <row r="53062" spans="1:100">
      <c r="A53062" s="374"/>
      <c r="C53062" s="374"/>
      <c r="CV53062" s="376"/>
    </row>
    <row r="53063" spans="1:100">
      <c r="A53063" s="374"/>
      <c r="C53063" s="374"/>
      <c r="CV53063" s="376"/>
    </row>
    <row r="53064" spans="1:100">
      <c r="A53064" s="374"/>
      <c r="C53064" s="374"/>
      <c r="CV53064" s="376"/>
    </row>
    <row r="53065" spans="1:100">
      <c r="A53065" s="374"/>
      <c r="C53065" s="374"/>
      <c r="CV53065" s="376"/>
    </row>
    <row r="53066" spans="1:100">
      <c r="A53066" s="374"/>
      <c r="C53066" s="374"/>
      <c r="CV53066" s="376"/>
    </row>
    <row r="53067" spans="1:100">
      <c r="A53067" s="374"/>
      <c r="C53067" s="374"/>
      <c r="CV53067" s="376"/>
    </row>
    <row r="53068" spans="1:100">
      <c r="A53068" s="374"/>
      <c r="C53068" s="374"/>
      <c r="CV53068" s="376"/>
    </row>
    <row r="53069" spans="1:100">
      <c r="A53069" s="374"/>
      <c r="C53069" s="374"/>
      <c r="CV53069" s="376"/>
    </row>
    <row r="53070" spans="1:100">
      <c r="A53070" s="374"/>
      <c r="C53070" s="374"/>
      <c r="CV53070" s="376"/>
    </row>
    <row r="53071" spans="1:100">
      <c r="A53071" s="374"/>
      <c r="C53071" s="374"/>
      <c r="CV53071" s="376"/>
    </row>
    <row r="53072" spans="1:100">
      <c r="A53072" s="374"/>
      <c r="C53072" s="374"/>
      <c r="CV53072" s="376"/>
    </row>
    <row r="53073" spans="1:100">
      <c r="A53073" s="374"/>
      <c r="C53073" s="374"/>
      <c r="CV53073" s="376"/>
    </row>
    <row r="53074" spans="1:100">
      <c r="A53074" s="374"/>
      <c r="C53074" s="374"/>
      <c r="CV53074" s="376"/>
    </row>
    <row r="53075" spans="1:100">
      <c r="A53075" s="374"/>
      <c r="C53075" s="374"/>
      <c r="CV53075" s="376"/>
    </row>
    <row r="53076" spans="1:100">
      <c r="A53076" s="374"/>
      <c r="C53076" s="374"/>
      <c r="CV53076" s="376"/>
    </row>
    <row r="53077" spans="1:100">
      <c r="A53077" s="374"/>
      <c r="C53077" s="374"/>
      <c r="CV53077" s="376"/>
    </row>
    <row r="53078" spans="1:100">
      <c r="A53078" s="374"/>
      <c r="C53078" s="374"/>
      <c r="CV53078" s="376"/>
    </row>
    <row r="53079" spans="1:100">
      <c r="A53079" s="374"/>
      <c r="C53079" s="374"/>
      <c r="CV53079" s="376"/>
    </row>
    <row r="53080" spans="1:100">
      <c r="A53080" s="374"/>
      <c r="C53080" s="374"/>
      <c r="CV53080" s="376"/>
    </row>
    <row r="53081" spans="1:100">
      <c r="A53081" s="374"/>
      <c r="C53081" s="374"/>
      <c r="CV53081" s="376"/>
    </row>
    <row r="53082" spans="1:100">
      <c r="A53082" s="374"/>
      <c r="C53082" s="374"/>
      <c r="CV53082" s="376"/>
    </row>
    <row r="53083" spans="1:100">
      <c r="A53083" s="374"/>
      <c r="C53083" s="374"/>
      <c r="CV53083" s="376"/>
    </row>
    <row r="53084" spans="1:100">
      <c r="A53084" s="374"/>
      <c r="C53084" s="374"/>
      <c r="CV53084" s="376"/>
    </row>
    <row r="53085" spans="1:100">
      <c r="A53085" s="374"/>
      <c r="C53085" s="374"/>
      <c r="CV53085" s="376"/>
    </row>
    <row r="53086" spans="1:100">
      <c r="A53086" s="374"/>
      <c r="C53086" s="374"/>
      <c r="CV53086" s="376"/>
    </row>
    <row r="53087" spans="1:100">
      <c r="A53087" s="374"/>
      <c r="C53087" s="374"/>
      <c r="CV53087" s="376"/>
    </row>
    <row r="53088" spans="1:100">
      <c r="A53088" s="374"/>
      <c r="C53088" s="374"/>
      <c r="CV53088" s="376"/>
    </row>
    <row r="53089" spans="1:100">
      <c r="A53089" s="374"/>
      <c r="C53089" s="374"/>
      <c r="CV53089" s="376"/>
    </row>
    <row r="53090" spans="1:100">
      <c r="A53090" s="374"/>
      <c r="C53090" s="374"/>
      <c r="CV53090" s="376"/>
    </row>
    <row r="53091" spans="1:100">
      <c r="A53091" s="374"/>
      <c r="C53091" s="374"/>
      <c r="CV53091" s="376"/>
    </row>
    <row r="53092" spans="1:100">
      <c r="A53092" s="374"/>
      <c r="C53092" s="374"/>
      <c r="CV53092" s="376"/>
    </row>
    <row r="53093" spans="1:100">
      <c r="A53093" s="374"/>
      <c r="C53093" s="374"/>
      <c r="CV53093" s="376"/>
    </row>
    <row r="53094" spans="1:100">
      <c r="A53094" s="374"/>
      <c r="C53094" s="374"/>
      <c r="CV53094" s="376"/>
    </row>
    <row r="53095" spans="1:100">
      <c r="A53095" s="374"/>
      <c r="C53095" s="374"/>
      <c r="CV53095" s="376"/>
    </row>
    <row r="53096" spans="1:100">
      <c r="A53096" s="374"/>
      <c r="C53096" s="374"/>
      <c r="CV53096" s="376"/>
    </row>
    <row r="53097" spans="1:100">
      <c r="A53097" s="374"/>
      <c r="C53097" s="374"/>
      <c r="CV53097" s="376"/>
    </row>
    <row r="53098" spans="1:100">
      <c r="A53098" s="374"/>
      <c r="C53098" s="374"/>
      <c r="CV53098" s="376"/>
    </row>
    <row r="53099" spans="1:100">
      <c r="A53099" s="374"/>
      <c r="C53099" s="374"/>
      <c r="CV53099" s="376"/>
    </row>
    <row r="53100" spans="1:100">
      <c r="A53100" s="374"/>
      <c r="C53100" s="374"/>
      <c r="CV53100" s="376"/>
    </row>
    <row r="53101" spans="1:100">
      <c r="A53101" s="374"/>
      <c r="C53101" s="374"/>
      <c r="CV53101" s="376"/>
    </row>
    <row r="53102" spans="1:100">
      <c r="A53102" s="374"/>
      <c r="C53102" s="374"/>
      <c r="CV53102" s="376"/>
    </row>
    <row r="53103" spans="1:100">
      <c r="A53103" s="374"/>
      <c r="C53103" s="374"/>
      <c r="CV53103" s="376"/>
    </row>
    <row r="53104" spans="1:100">
      <c r="A53104" s="374"/>
      <c r="C53104" s="374"/>
      <c r="CV53104" s="376"/>
    </row>
    <row r="53105" spans="1:100">
      <c r="A53105" s="374"/>
      <c r="C53105" s="374"/>
      <c r="CV53105" s="376"/>
    </row>
    <row r="53106" spans="1:100">
      <c r="A53106" s="374"/>
      <c r="C53106" s="374"/>
      <c r="CV53106" s="376"/>
    </row>
    <row r="53107" spans="1:100">
      <c r="A53107" s="374"/>
      <c r="C53107" s="374"/>
      <c r="CV53107" s="376"/>
    </row>
    <row r="53108" spans="1:100">
      <c r="A53108" s="374"/>
      <c r="C53108" s="374"/>
      <c r="CV53108" s="376"/>
    </row>
    <row r="53109" spans="1:100">
      <c r="A53109" s="374"/>
      <c r="C53109" s="374"/>
      <c r="CV53109" s="376"/>
    </row>
    <row r="53110" spans="1:100">
      <c r="A53110" s="374"/>
      <c r="C53110" s="374"/>
      <c r="CV53110" s="376"/>
    </row>
    <row r="53111" spans="1:100">
      <c r="A53111" s="374"/>
      <c r="C53111" s="374"/>
      <c r="CV53111" s="376"/>
    </row>
    <row r="53112" spans="1:100">
      <c r="A53112" s="374"/>
      <c r="C53112" s="374"/>
      <c r="CV53112" s="376"/>
    </row>
    <row r="53113" spans="1:100">
      <c r="A53113" s="374"/>
      <c r="C53113" s="374"/>
      <c r="CV53113" s="376"/>
    </row>
    <row r="53114" spans="1:100">
      <c r="A53114" s="374"/>
      <c r="C53114" s="374"/>
      <c r="CV53114" s="376"/>
    </row>
    <row r="53115" spans="1:100">
      <c r="A53115" s="374"/>
      <c r="C53115" s="374"/>
      <c r="CV53115" s="376"/>
    </row>
    <row r="53116" spans="1:100">
      <c r="A53116" s="374"/>
      <c r="C53116" s="374"/>
      <c r="CV53116" s="376"/>
    </row>
    <row r="53117" spans="1:100">
      <c r="A53117" s="374"/>
      <c r="C53117" s="374"/>
      <c r="CV53117" s="376"/>
    </row>
    <row r="53118" spans="1:100">
      <c r="A53118" s="374"/>
      <c r="C53118" s="374"/>
      <c r="CV53118" s="376"/>
    </row>
    <row r="53119" spans="1:100">
      <c r="A53119" s="374"/>
      <c r="C53119" s="374"/>
      <c r="CV53119" s="376"/>
    </row>
    <row r="53120" spans="1:100">
      <c r="A53120" s="374"/>
      <c r="C53120" s="374"/>
      <c r="CV53120" s="376"/>
    </row>
    <row r="53121" spans="1:100">
      <c r="A53121" s="374"/>
      <c r="C53121" s="374"/>
      <c r="CV53121" s="376"/>
    </row>
    <row r="53122" spans="1:100">
      <c r="A53122" s="374"/>
      <c r="C53122" s="374"/>
      <c r="CV53122" s="376"/>
    </row>
    <row r="53123" spans="1:100">
      <c r="A53123" s="374"/>
      <c r="C53123" s="374"/>
      <c r="CV53123" s="376"/>
    </row>
    <row r="53124" spans="1:100">
      <c r="A53124" s="374"/>
      <c r="C53124" s="374"/>
      <c r="CV53124" s="376"/>
    </row>
    <row r="53125" spans="1:100">
      <c r="A53125" s="374"/>
      <c r="C53125" s="374"/>
      <c r="CV53125" s="376"/>
    </row>
    <row r="53126" spans="1:100">
      <c r="A53126" s="374"/>
      <c r="C53126" s="374"/>
      <c r="CV53126" s="376"/>
    </row>
    <row r="53127" spans="1:100">
      <c r="A53127" s="374"/>
      <c r="C53127" s="374"/>
      <c r="CV53127" s="376"/>
    </row>
    <row r="53128" spans="1:100">
      <c r="A53128" s="374"/>
      <c r="C53128" s="374"/>
      <c r="CV53128" s="376"/>
    </row>
    <row r="53129" spans="1:100">
      <c r="A53129" s="374"/>
      <c r="C53129" s="374"/>
      <c r="CV53129" s="376"/>
    </row>
    <row r="53130" spans="1:100">
      <c r="A53130" s="374"/>
      <c r="C53130" s="374"/>
      <c r="CV53130" s="376"/>
    </row>
    <row r="53131" spans="1:100">
      <c r="A53131" s="374"/>
      <c r="C53131" s="374"/>
      <c r="CV53131" s="376"/>
    </row>
    <row r="53132" spans="1:100">
      <c r="A53132" s="374"/>
      <c r="C53132" s="374"/>
      <c r="CV53132" s="376"/>
    </row>
    <row r="53133" spans="1:100">
      <c r="A53133" s="374"/>
      <c r="C53133" s="374"/>
      <c r="CV53133" s="376"/>
    </row>
    <row r="53134" spans="1:100">
      <c r="A53134" s="374"/>
      <c r="C53134" s="374"/>
      <c r="CV53134" s="376"/>
    </row>
    <row r="53135" spans="1:100">
      <c r="A53135" s="374"/>
      <c r="C53135" s="374"/>
      <c r="CV53135" s="376"/>
    </row>
    <row r="53136" spans="1:100">
      <c r="A53136" s="374"/>
      <c r="C53136" s="374"/>
      <c r="CV53136" s="376"/>
    </row>
    <row r="53137" spans="1:100">
      <c r="A53137" s="374"/>
      <c r="C53137" s="374"/>
      <c r="CV53137" s="376"/>
    </row>
    <row r="53138" spans="1:100">
      <c r="A53138" s="374"/>
      <c r="C53138" s="374"/>
      <c r="CV53138" s="376"/>
    </row>
    <row r="53139" spans="1:100">
      <c r="A53139" s="374"/>
      <c r="C53139" s="374"/>
      <c r="CV53139" s="376"/>
    </row>
    <row r="53140" spans="1:100">
      <c r="A53140" s="374"/>
      <c r="C53140" s="374"/>
      <c r="CV53140" s="376"/>
    </row>
    <row r="53141" spans="1:100">
      <c r="A53141" s="374"/>
      <c r="C53141" s="374"/>
      <c r="CV53141" s="376"/>
    </row>
    <row r="53142" spans="1:100">
      <c r="A53142" s="374"/>
      <c r="C53142" s="374"/>
      <c r="CV53142" s="376"/>
    </row>
    <row r="53143" spans="1:100">
      <c r="A53143" s="374"/>
      <c r="C53143" s="374"/>
      <c r="CV53143" s="376"/>
    </row>
    <row r="53144" spans="1:100">
      <c r="A53144" s="374"/>
      <c r="C53144" s="374"/>
      <c r="CV53144" s="376"/>
    </row>
    <row r="53145" spans="1:100">
      <c r="A53145" s="374"/>
      <c r="C53145" s="374"/>
      <c r="CV53145" s="376"/>
    </row>
    <row r="53146" spans="1:100">
      <c r="A53146" s="374"/>
      <c r="C53146" s="374"/>
      <c r="CV53146" s="376"/>
    </row>
    <row r="53147" spans="1:100">
      <c r="A53147" s="374"/>
      <c r="C53147" s="374"/>
      <c r="CV53147" s="376"/>
    </row>
    <row r="53148" spans="1:100">
      <c r="A53148" s="374"/>
      <c r="C53148" s="374"/>
      <c r="CV53148" s="376"/>
    </row>
    <row r="53149" spans="1:100">
      <c r="A53149" s="374"/>
      <c r="C53149" s="374"/>
      <c r="CV53149" s="376"/>
    </row>
    <row r="53150" spans="1:100">
      <c r="A53150" s="374"/>
      <c r="C53150" s="374"/>
      <c r="CV53150" s="376"/>
    </row>
    <row r="53151" spans="1:100">
      <c r="A53151" s="374"/>
      <c r="C53151" s="374"/>
      <c r="CV53151" s="376"/>
    </row>
    <row r="53152" spans="1:100">
      <c r="A53152" s="374"/>
      <c r="C53152" s="374"/>
      <c r="CV53152" s="376"/>
    </row>
    <row r="53153" spans="1:100">
      <c r="A53153" s="374"/>
      <c r="C53153" s="374"/>
      <c r="CV53153" s="376"/>
    </row>
    <row r="53154" spans="1:100">
      <c r="A53154" s="374"/>
      <c r="C53154" s="374"/>
      <c r="CV53154" s="376"/>
    </row>
    <row r="53155" spans="1:100">
      <c r="A53155" s="374"/>
      <c r="C53155" s="374"/>
      <c r="CV53155" s="376"/>
    </row>
    <row r="53156" spans="1:100">
      <c r="A53156" s="374"/>
      <c r="C53156" s="374"/>
      <c r="CV53156" s="376"/>
    </row>
    <row r="53157" spans="1:100">
      <c r="A53157" s="374"/>
      <c r="C53157" s="374"/>
      <c r="CV53157" s="376"/>
    </row>
    <row r="53158" spans="1:100">
      <c r="A53158" s="374"/>
      <c r="C53158" s="374"/>
      <c r="CV53158" s="376"/>
    </row>
    <row r="53159" spans="1:100">
      <c r="A53159" s="374"/>
      <c r="C53159" s="374"/>
      <c r="CV53159" s="376"/>
    </row>
    <row r="53160" spans="1:100">
      <c r="A53160" s="374"/>
      <c r="C53160" s="374"/>
      <c r="CV53160" s="376"/>
    </row>
    <row r="53161" spans="1:100">
      <c r="A53161" s="374"/>
      <c r="C53161" s="374"/>
      <c r="CV53161" s="376"/>
    </row>
    <row r="53162" spans="1:100">
      <c r="A53162" s="374"/>
      <c r="C53162" s="374"/>
      <c r="CV53162" s="376"/>
    </row>
    <row r="53163" spans="1:100">
      <c r="A53163" s="374"/>
      <c r="C53163" s="374"/>
      <c r="CV53163" s="376"/>
    </row>
    <row r="53164" spans="1:100">
      <c r="A53164" s="374"/>
      <c r="C53164" s="374"/>
      <c r="CV53164" s="376"/>
    </row>
    <row r="53165" spans="1:100">
      <c r="A53165" s="374"/>
      <c r="C53165" s="374"/>
      <c r="CV53165" s="376"/>
    </row>
    <row r="53166" spans="1:100">
      <c r="A53166" s="374"/>
      <c r="C53166" s="374"/>
      <c r="CV53166" s="376"/>
    </row>
    <row r="53167" spans="1:100">
      <c r="A53167" s="374"/>
      <c r="C53167" s="374"/>
      <c r="CV53167" s="376"/>
    </row>
    <row r="53168" spans="1:100">
      <c r="A53168" s="374"/>
      <c r="C53168" s="374"/>
      <c r="CV53168" s="376"/>
    </row>
    <row r="53169" spans="1:100">
      <c r="A53169" s="374"/>
      <c r="C53169" s="374"/>
      <c r="CV53169" s="376"/>
    </row>
    <row r="53170" spans="1:100">
      <c r="A53170" s="374"/>
      <c r="C53170" s="374"/>
      <c r="CV53170" s="376"/>
    </row>
    <row r="53171" spans="1:100">
      <c r="A53171" s="374"/>
      <c r="C53171" s="374"/>
      <c r="CV53171" s="376"/>
    </row>
    <row r="53172" spans="1:100">
      <c r="A53172" s="374"/>
      <c r="C53172" s="374"/>
      <c r="CV53172" s="376"/>
    </row>
    <row r="53173" spans="1:100">
      <c r="A53173" s="374"/>
      <c r="C53173" s="374"/>
      <c r="CV53173" s="376"/>
    </row>
    <row r="53174" spans="1:100">
      <c r="A53174" s="374"/>
      <c r="C53174" s="374"/>
      <c r="CV53174" s="376"/>
    </row>
    <row r="53175" spans="1:100">
      <c r="A53175" s="374"/>
      <c r="C53175" s="374"/>
      <c r="CV53175" s="376"/>
    </row>
    <row r="53176" spans="1:100">
      <c r="A53176" s="374"/>
      <c r="C53176" s="374"/>
      <c r="CV53176" s="376"/>
    </row>
    <row r="53177" spans="1:100">
      <c r="A53177" s="374"/>
      <c r="C53177" s="374"/>
      <c r="CV53177" s="376"/>
    </row>
    <row r="53178" spans="1:100">
      <c r="A53178" s="374"/>
      <c r="C53178" s="374"/>
      <c r="CV53178" s="376"/>
    </row>
    <row r="53179" spans="1:100">
      <c r="A53179" s="374"/>
      <c r="C53179" s="374"/>
      <c r="CV53179" s="376"/>
    </row>
    <row r="53180" spans="1:100">
      <c r="A53180" s="374"/>
      <c r="C53180" s="374"/>
      <c r="CV53180" s="376"/>
    </row>
    <row r="53181" spans="1:100">
      <c r="A53181" s="374"/>
      <c r="C53181" s="374"/>
      <c r="CV53181" s="376"/>
    </row>
    <row r="53182" spans="1:100">
      <c r="A53182" s="374"/>
      <c r="C53182" s="374"/>
      <c r="CV53182" s="376"/>
    </row>
    <row r="53183" spans="1:100">
      <c r="A53183" s="374"/>
      <c r="C53183" s="374"/>
      <c r="CV53183" s="376"/>
    </row>
    <row r="53184" spans="1:100">
      <c r="A53184" s="374"/>
      <c r="C53184" s="374"/>
      <c r="CV53184" s="376"/>
    </row>
    <row r="53185" spans="1:100">
      <c r="A53185" s="374"/>
      <c r="C53185" s="374"/>
      <c r="CV53185" s="376"/>
    </row>
    <row r="53186" spans="1:100">
      <c r="A53186" s="374"/>
      <c r="C53186" s="374"/>
      <c r="CV53186" s="376"/>
    </row>
    <row r="53187" spans="1:100">
      <c r="A53187" s="374"/>
      <c r="C53187" s="374"/>
      <c r="CV53187" s="376"/>
    </row>
    <row r="53188" spans="1:100">
      <c r="A53188" s="374"/>
      <c r="C53188" s="374"/>
      <c r="CV53188" s="376"/>
    </row>
    <row r="53189" spans="1:100">
      <c r="A53189" s="374"/>
      <c r="C53189" s="374"/>
      <c r="CV53189" s="376"/>
    </row>
    <row r="53190" spans="1:100">
      <c r="A53190" s="374"/>
      <c r="C53190" s="374"/>
      <c r="CV53190" s="376"/>
    </row>
    <row r="53191" spans="1:100">
      <c r="A53191" s="374"/>
      <c r="C53191" s="374"/>
      <c r="CV53191" s="376"/>
    </row>
    <row r="53192" spans="1:100">
      <c r="A53192" s="374"/>
      <c r="C53192" s="374"/>
      <c r="CV53192" s="376"/>
    </row>
    <row r="53193" spans="1:100">
      <c r="A53193" s="374"/>
      <c r="C53193" s="374"/>
      <c r="CV53193" s="376"/>
    </row>
    <row r="53194" spans="1:100">
      <c r="A53194" s="374"/>
      <c r="C53194" s="374"/>
      <c r="CV53194" s="376"/>
    </row>
    <row r="53195" spans="1:100">
      <c r="A53195" s="374"/>
      <c r="C53195" s="374"/>
      <c r="CV53195" s="376"/>
    </row>
    <row r="53196" spans="1:100">
      <c r="A53196" s="374"/>
      <c r="C53196" s="374"/>
      <c r="CV53196" s="376"/>
    </row>
    <row r="53197" spans="1:100">
      <c r="A53197" s="374"/>
      <c r="C53197" s="374"/>
      <c r="CV53197" s="376"/>
    </row>
    <row r="53198" spans="1:100">
      <c r="A53198" s="374"/>
      <c r="C53198" s="374"/>
      <c r="CV53198" s="376"/>
    </row>
    <row r="53199" spans="1:100">
      <c r="A53199" s="374"/>
      <c r="C53199" s="374"/>
      <c r="CV53199" s="376"/>
    </row>
    <row r="53200" spans="1:100">
      <c r="A53200" s="374"/>
      <c r="C53200" s="374"/>
      <c r="CV53200" s="376"/>
    </row>
    <row r="53201" spans="1:100">
      <c r="A53201" s="374"/>
      <c r="C53201" s="374"/>
      <c r="CV53201" s="376"/>
    </row>
    <row r="53202" spans="1:100">
      <c r="A53202" s="374"/>
      <c r="C53202" s="374"/>
      <c r="CV53202" s="376"/>
    </row>
    <row r="53203" spans="1:100">
      <c r="A53203" s="374"/>
      <c r="C53203" s="374"/>
      <c r="CV53203" s="376"/>
    </row>
    <row r="53204" spans="1:100">
      <c r="A53204" s="374"/>
      <c r="C53204" s="374"/>
      <c r="CV53204" s="376"/>
    </row>
    <row r="53205" spans="1:100">
      <c r="A53205" s="374"/>
      <c r="C53205" s="374"/>
      <c r="CV53205" s="376"/>
    </row>
    <row r="53206" spans="1:100">
      <c r="A53206" s="374"/>
      <c r="C53206" s="374"/>
      <c r="CV53206" s="376"/>
    </row>
    <row r="53207" spans="1:100">
      <c r="A53207" s="374"/>
      <c r="C53207" s="374"/>
      <c r="CV53207" s="376"/>
    </row>
    <row r="53208" spans="1:100">
      <c r="A53208" s="374"/>
      <c r="C53208" s="374"/>
      <c r="CV53208" s="376"/>
    </row>
    <row r="53209" spans="1:100">
      <c r="A53209" s="374"/>
      <c r="C53209" s="374"/>
      <c r="CV53209" s="376"/>
    </row>
    <row r="53210" spans="1:100">
      <c r="A53210" s="374"/>
      <c r="C53210" s="374"/>
      <c r="CV53210" s="376"/>
    </row>
    <row r="53211" spans="1:100">
      <c r="A53211" s="374"/>
      <c r="C53211" s="374"/>
      <c r="CV53211" s="376"/>
    </row>
    <row r="53212" spans="1:100">
      <c r="A53212" s="374"/>
      <c r="C53212" s="374"/>
      <c r="CV53212" s="376"/>
    </row>
    <row r="53213" spans="1:100">
      <c r="A53213" s="374"/>
      <c r="C53213" s="374"/>
      <c r="CV53213" s="376"/>
    </row>
    <row r="53214" spans="1:100">
      <c r="A53214" s="374"/>
      <c r="C53214" s="374"/>
      <c r="CV53214" s="376"/>
    </row>
    <row r="53215" spans="1:100">
      <c r="A53215" s="374"/>
      <c r="C53215" s="374"/>
      <c r="CV53215" s="376"/>
    </row>
    <row r="53216" spans="1:100">
      <c r="A53216" s="374"/>
      <c r="C53216" s="374"/>
      <c r="CV53216" s="376"/>
    </row>
    <row r="53217" spans="1:100">
      <c r="A53217" s="374"/>
      <c r="C53217" s="374"/>
      <c r="CV53217" s="376"/>
    </row>
    <row r="53218" spans="1:100">
      <c r="A53218" s="374"/>
      <c r="C53218" s="374"/>
      <c r="CV53218" s="376"/>
    </row>
    <row r="53219" spans="1:100">
      <c r="A53219" s="374"/>
      <c r="C53219" s="374"/>
      <c r="CV53219" s="376"/>
    </row>
    <row r="53220" spans="1:100">
      <c r="A53220" s="374"/>
      <c r="C53220" s="374"/>
      <c r="CV53220" s="376"/>
    </row>
    <row r="53221" spans="1:100">
      <c r="A53221" s="374"/>
      <c r="C53221" s="374"/>
      <c r="CV53221" s="376"/>
    </row>
    <row r="53222" spans="1:100">
      <c r="A53222" s="374"/>
      <c r="C53222" s="374"/>
      <c r="CV53222" s="376"/>
    </row>
    <row r="53223" spans="1:100">
      <c r="A53223" s="374"/>
      <c r="C53223" s="374"/>
      <c r="CV53223" s="376"/>
    </row>
    <row r="53224" spans="1:100">
      <c r="A53224" s="374"/>
      <c r="C53224" s="374"/>
      <c r="CV53224" s="376"/>
    </row>
    <row r="53225" spans="1:100">
      <c r="A53225" s="374"/>
      <c r="C53225" s="374"/>
      <c r="CV53225" s="376"/>
    </row>
    <row r="53226" spans="1:100">
      <c r="A53226" s="374"/>
      <c r="C53226" s="374"/>
      <c r="CV53226" s="376"/>
    </row>
    <row r="53227" spans="1:100">
      <c r="A53227" s="374"/>
      <c r="C53227" s="374"/>
      <c r="CV53227" s="376"/>
    </row>
    <row r="53228" spans="1:100">
      <c r="A53228" s="374"/>
      <c r="C53228" s="374"/>
      <c r="CV53228" s="376"/>
    </row>
    <row r="53229" spans="1:100">
      <c r="A53229" s="374"/>
      <c r="C53229" s="374"/>
      <c r="CV53229" s="376"/>
    </row>
    <row r="53230" spans="1:100">
      <c r="A53230" s="374"/>
      <c r="C53230" s="374"/>
      <c r="CV53230" s="376"/>
    </row>
    <row r="53231" spans="1:100">
      <c r="A53231" s="374"/>
      <c r="C53231" s="374"/>
      <c r="CV53231" s="376"/>
    </row>
    <row r="53232" spans="1:100">
      <c r="A53232" s="374"/>
      <c r="C53232" s="374"/>
      <c r="CV53232" s="376"/>
    </row>
    <row r="53233" spans="1:100">
      <c r="A53233" s="374"/>
      <c r="C53233" s="374"/>
      <c r="CV53233" s="376"/>
    </row>
    <row r="53234" spans="1:100">
      <c r="A53234" s="374"/>
      <c r="C53234" s="374"/>
      <c r="CV53234" s="376"/>
    </row>
    <row r="53235" spans="1:100">
      <c r="A53235" s="374"/>
      <c r="C53235" s="374"/>
      <c r="CV53235" s="376"/>
    </row>
    <row r="53236" spans="1:100">
      <c r="A53236" s="374"/>
      <c r="C53236" s="374"/>
      <c r="CV53236" s="376"/>
    </row>
    <row r="53237" spans="1:100">
      <c r="A53237" s="374"/>
      <c r="C53237" s="374"/>
      <c r="CV53237" s="376"/>
    </row>
    <row r="53238" spans="1:100">
      <c r="A53238" s="374"/>
      <c r="C53238" s="374"/>
      <c r="CV53238" s="376"/>
    </row>
    <row r="53239" spans="1:100">
      <c r="A53239" s="374"/>
      <c r="C53239" s="374"/>
      <c r="CV53239" s="376"/>
    </row>
    <row r="53240" spans="1:100">
      <c r="A53240" s="374"/>
      <c r="C53240" s="374"/>
      <c r="CV53240" s="376"/>
    </row>
    <row r="53241" spans="1:100">
      <c r="A53241" s="374"/>
      <c r="C53241" s="374"/>
      <c r="CV53241" s="376"/>
    </row>
    <row r="53242" spans="1:100">
      <c r="A53242" s="374"/>
      <c r="C53242" s="374"/>
      <c r="CV53242" s="376"/>
    </row>
    <row r="53243" spans="1:100">
      <c r="A53243" s="374"/>
      <c r="C53243" s="374"/>
      <c r="CV53243" s="376"/>
    </row>
    <row r="53244" spans="1:100">
      <c r="A53244" s="374"/>
      <c r="C53244" s="374"/>
      <c r="CV53244" s="376"/>
    </row>
    <row r="53245" spans="1:100">
      <c r="A53245" s="374"/>
      <c r="C53245" s="374"/>
      <c r="CV53245" s="376"/>
    </row>
    <row r="53246" spans="1:100">
      <c r="A53246" s="374"/>
      <c r="C53246" s="374"/>
      <c r="CV53246" s="376"/>
    </row>
    <row r="53247" spans="1:100">
      <c r="A53247" s="374"/>
      <c r="C53247" s="374"/>
      <c r="CV53247" s="376"/>
    </row>
    <row r="53248" spans="1:100">
      <c r="A53248" s="374"/>
      <c r="C53248" s="374"/>
      <c r="CV53248" s="376"/>
    </row>
    <row r="53249" spans="1:100">
      <c r="A53249" s="374"/>
      <c r="C53249" s="374"/>
      <c r="CV53249" s="376"/>
    </row>
    <row r="53250" spans="1:100">
      <c r="A53250" s="374"/>
      <c r="C53250" s="374"/>
      <c r="CV53250" s="376"/>
    </row>
    <row r="53251" spans="1:100">
      <c r="A53251" s="374"/>
      <c r="C53251" s="374"/>
      <c r="CV53251" s="376"/>
    </row>
    <row r="53252" spans="1:100">
      <c r="A53252" s="374"/>
      <c r="C53252" s="374"/>
      <c r="CV53252" s="376"/>
    </row>
    <row r="53253" spans="1:100">
      <c r="A53253" s="374"/>
      <c r="C53253" s="374"/>
      <c r="CV53253" s="376"/>
    </row>
    <row r="53254" spans="1:100">
      <c r="A53254" s="374"/>
      <c r="C53254" s="374"/>
      <c r="CV53254" s="376"/>
    </row>
    <row r="53255" spans="1:100">
      <c r="A53255" s="374"/>
      <c r="C53255" s="374"/>
      <c r="CV53255" s="376"/>
    </row>
    <row r="53256" spans="1:100">
      <c r="A53256" s="374"/>
      <c r="C53256" s="374"/>
      <c r="CV53256" s="376"/>
    </row>
    <row r="53257" spans="1:100">
      <c r="A53257" s="374"/>
      <c r="C53257" s="374"/>
      <c r="CV53257" s="376"/>
    </row>
    <row r="53258" spans="1:100">
      <c r="A53258" s="374"/>
      <c r="C53258" s="374"/>
      <c r="CV53258" s="376"/>
    </row>
    <row r="53259" spans="1:100">
      <c r="A53259" s="374"/>
      <c r="C53259" s="374"/>
      <c r="CV53259" s="376"/>
    </row>
    <row r="53260" spans="1:100">
      <c r="A53260" s="374"/>
      <c r="C53260" s="374"/>
      <c r="CV53260" s="376"/>
    </row>
    <row r="53261" spans="1:100">
      <c r="A53261" s="374"/>
      <c r="C53261" s="374"/>
      <c r="CV53261" s="376"/>
    </row>
    <row r="53262" spans="1:100">
      <c r="A53262" s="374"/>
      <c r="C53262" s="374"/>
      <c r="CV53262" s="376"/>
    </row>
    <row r="53263" spans="1:100">
      <c r="A53263" s="374"/>
      <c r="C53263" s="374"/>
      <c r="CV53263" s="376"/>
    </row>
    <row r="53264" spans="1:100">
      <c r="A53264" s="374"/>
      <c r="C53264" s="374"/>
      <c r="CV53264" s="376"/>
    </row>
    <row r="53265" spans="1:100">
      <c r="A53265" s="374"/>
      <c r="C53265" s="374"/>
      <c r="CV53265" s="376"/>
    </row>
    <row r="53266" spans="1:100">
      <c r="A53266" s="374"/>
      <c r="C53266" s="374"/>
      <c r="CV53266" s="376"/>
    </row>
    <row r="53267" spans="1:100">
      <c r="A53267" s="374"/>
      <c r="C53267" s="374"/>
      <c r="CV53267" s="376"/>
    </row>
    <row r="53268" spans="1:100">
      <c r="A53268" s="374"/>
      <c r="C53268" s="374"/>
      <c r="CV53268" s="376"/>
    </row>
    <row r="53269" spans="1:100">
      <c r="A53269" s="374"/>
      <c r="C53269" s="374"/>
      <c r="CV53269" s="376"/>
    </row>
    <row r="53270" spans="1:100">
      <c r="A53270" s="374"/>
      <c r="C53270" s="374"/>
      <c r="CV53270" s="376"/>
    </row>
    <row r="53271" spans="1:100">
      <c r="A53271" s="374"/>
      <c r="C53271" s="374"/>
      <c r="CV53271" s="376"/>
    </row>
    <row r="53272" spans="1:100">
      <c r="A53272" s="374"/>
      <c r="C53272" s="374"/>
      <c r="CV53272" s="376"/>
    </row>
    <row r="53273" spans="1:100">
      <c r="A53273" s="374"/>
      <c r="C53273" s="374"/>
      <c r="CV53273" s="376"/>
    </row>
    <row r="53274" spans="1:100">
      <c r="A53274" s="374"/>
      <c r="C53274" s="374"/>
      <c r="CV53274" s="376"/>
    </row>
    <row r="53275" spans="1:100">
      <c r="A53275" s="374"/>
      <c r="C53275" s="374"/>
      <c r="CV53275" s="376"/>
    </row>
    <row r="53276" spans="1:100">
      <c r="A53276" s="374"/>
      <c r="C53276" s="374"/>
      <c r="CV53276" s="376"/>
    </row>
    <row r="53277" spans="1:100">
      <c r="A53277" s="374"/>
      <c r="C53277" s="374"/>
      <c r="CV53277" s="376"/>
    </row>
    <row r="53278" spans="1:100">
      <c r="A53278" s="374"/>
      <c r="C53278" s="374"/>
      <c r="CV53278" s="376"/>
    </row>
    <row r="53279" spans="1:100">
      <c r="A53279" s="374"/>
      <c r="C53279" s="374"/>
      <c r="CV53279" s="376"/>
    </row>
    <row r="53280" spans="1:100">
      <c r="A53280" s="374"/>
      <c r="C53280" s="374"/>
      <c r="CV53280" s="376"/>
    </row>
    <row r="53281" spans="1:100">
      <c r="A53281" s="374"/>
      <c r="C53281" s="374"/>
      <c r="CV53281" s="376"/>
    </row>
    <row r="53282" spans="1:100">
      <c r="A53282" s="374"/>
      <c r="C53282" s="374"/>
      <c r="CV53282" s="376"/>
    </row>
    <row r="53283" spans="1:100">
      <c r="A53283" s="374"/>
      <c r="C53283" s="374"/>
      <c r="CV53283" s="376"/>
    </row>
    <row r="53284" spans="1:100">
      <c r="A53284" s="374"/>
      <c r="C53284" s="374"/>
      <c r="CV53284" s="376"/>
    </row>
    <row r="53285" spans="1:100">
      <c r="A53285" s="374"/>
      <c r="C53285" s="374"/>
      <c r="CV53285" s="376"/>
    </row>
    <row r="53286" spans="1:100">
      <c r="A53286" s="374"/>
      <c r="C53286" s="374"/>
      <c r="CV53286" s="376"/>
    </row>
    <row r="53287" spans="1:100">
      <c r="A53287" s="374"/>
      <c r="C53287" s="374"/>
      <c r="CV53287" s="376"/>
    </row>
    <row r="53288" spans="1:100">
      <c r="A53288" s="374"/>
      <c r="C53288" s="374"/>
      <c r="CV53288" s="376"/>
    </row>
    <row r="53289" spans="1:100">
      <c r="A53289" s="374"/>
      <c r="C53289" s="374"/>
      <c r="CV53289" s="376"/>
    </row>
    <row r="53290" spans="1:100">
      <c r="A53290" s="374"/>
      <c r="C53290" s="374"/>
      <c r="CV53290" s="376"/>
    </row>
    <row r="53291" spans="1:100">
      <c r="A53291" s="374"/>
      <c r="C53291" s="374"/>
      <c r="CV53291" s="376"/>
    </row>
    <row r="53292" spans="1:100">
      <c r="A53292" s="374"/>
      <c r="C53292" s="374"/>
      <c r="CV53292" s="376"/>
    </row>
    <row r="53293" spans="1:100">
      <c r="A53293" s="374"/>
      <c r="C53293" s="374"/>
      <c r="CV53293" s="376"/>
    </row>
    <row r="53294" spans="1:100">
      <c r="A53294" s="374"/>
      <c r="C53294" s="374"/>
      <c r="CV53294" s="376"/>
    </row>
    <row r="53295" spans="1:100">
      <c r="A53295" s="374"/>
      <c r="C53295" s="374"/>
      <c r="CV53295" s="376"/>
    </row>
    <row r="53296" spans="1:100">
      <c r="A53296" s="374"/>
      <c r="C53296" s="374"/>
      <c r="CV53296" s="376"/>
    </row>
    <row r="53297" spans="1:100">
      <c r="A53297" s="374"/>
      <c r="C53297" s="374"/>
      <c r="CV53297" s="376"/>
    </row>
    <row r="53298" spans="1:100">
      <c r="A53298" s="374"/>
      <c r="C53298" s="374"/>
      <c r="CV53298" s="376"/>
    </row>
    <row r="53299" spans="1:100">
      <c r="A53299" s="374"/>
      <c r="C53299" s="374"/>
      <c r="CV53299" s="376"/>
    </row>
    <row r="53300" spans="1:100">
      <c r="A53300" s="374"/>
      <c r="C53300" s="374"/>
      <c r="CV53300" s="376"/>
    </row>
    <row r="53301" spans="1:100">
      <c r="A53301" s="374"/>
      <c r="C53301" s="374"/>
      <c r="CV53301" s="376"/>
    </row>
    <row r="53302" spans="1:100">
      <c r="A53302" s="374"/>
      <c r="C53302" s="374"/>
      <c r="CV53302" s="376"/>
    </row>
    <row r="53303" spans="1:100">
      <c r="A53303" s="374"/>
      <c r="C53303" s="374"/>
      <c r="CV53303" s="376"/>
    </row>
    <row r="53304" spans="1:100">
      <c r="A53304" s="374"/>
      <c r="C53304" s="374"/>
      <c r="CV53304" s="376"/>
    </row>
    <row r="53305" spans="1:100">
      <c r="A53305" s="374"/>
      <c r="C53305" s="374"/>
      <c r="CV53305" s="376"/>
    </row>
    <row r="53306" spans="1:100">
      <c r="A53306" s="374"/>
      <c r="C53306" s="374"/>
      <c r="CV53306" s="376"/>
    </row>
    <row r="53307" spans="1:100">
      <c r="A53307" s="374"/>
      <c r="C53307" s="374"/>
      <c r="CV53307" s="376"/>
    </row>
    <row r="53308" spans="1:100">
      <c r="A53308" s="374"/>
      <c r="C53308" s="374"/>
      <c r="CV53308" s="376"/>
    </row>
    <row r="53309" spans="1:100">
      <c r="A53309" s="374"/>
      <c r="C53309" s="374"/>
      <c r="CV53309" s="376"/>
    </row>
    <row r="53310" spans="1:100">
      <c r="A53310" s="374"/>
      <c r="C53310" s="374"/>
      <c r="CV53310" s="376"/>
    </row>
    <row r="53311" spans="1:100">
      <c r="A53311" s="374"/>
      <c r="C53311" s="374"/>
      <c r="CV53311" s="376"/>
    </row>
    <row r="53312" spans="1:100">
      <c r="A53312" s="374"/>
      <c r="C53312" s="374"/>
      <c r="CV53312" s="376"/>
    </row>
    <row r="53313" spans="1:100">
      <c r="A53313" s="374"/>
      <c r="C53313" s="374"/>
      <c r="CV53313" s="376"/>
    </row>
    <row r="53314" spans="1:100">
      <c r="A53314" s="374"/>
      <c r="C53314" s="374"/>
      <c r="CV53314" s="376"/>
    </row>
    <row r="53315" spans="1:100">
      <c r="A53315" s="374"/>
      <c r="C53315" s="374"/>
      <c r="CV53315" s="376"/>
    </row>
    <row r="53316" spans="1:100">
      <c r="A53316" s="374"/>
      <c r="C53316" s="374"/>
      <c r="CV53316" s="376"/>
    </row>
    <row r="53317" spans="1:100">
      <c r="A53317" s="374"/>
      <c r="C53317" s="374"/>
      <c r="CV53317" s="376"/>
    </row>
    <row r="53318" spans="1:100">
      <c r="A53318" s="374"/>
      <c r="C53318" s="374"/>
      <c r="CV53318" s="376"/>
    </row>
    <row r="53319" spans="1:100">
      <c r="A53319" s="374"/>
      <c r="C53319" s="374"/>
      <c r="CV53319" s="376"/>
    </row>
    <row r="53320" spans="1:100">
      <c r="A53320" s="374"/>
      <c r="C53320" s="374"/>
      <c r="CV53320" s="376"/>
    </row>
    <row r="53321" spans="1:100">
      <c r="A53321" s="374"/>
      <c r="C53321" s="374"/>
      <c r="CV53321" s="376"/>
    </row>
    <row r="53322" spans="1:100">
      <c r="A53322" s="374"/>
      <c r="C53322" s="374"/>
      <c r="CV53322" s="376"/>
    </row>
    <row r="53323" spans="1:100">
      <c r="A53323" s="374"/>
      <c r="C53323" s="374"/>
      <c r="CV53323" s="376"/>
    </row>
    <row r="53324" spans="1:100">
      <c r="A53324" s="374"/>
      <c r="C53324" s="374"/>
      <c r="CV53324" s="376"/>
    </row>
    <row r="53325" spans="1:100">
      <c r="A53325" s="374"/>
      <c r="C53325" s="374"/>
      <c r="CV53325" s="376"/>
    </row>
    <row r="53326" spans="1:100">
      <c r="A53326" s="374"/>
      <c r="C53326" s="374"/>
      <c r="CV53326" s="376"/>
    </row>
    <row r="53327" spans="1:100">
      <c r="A53327" s="374"/>
      <c r="C53327" s="374"/>
      <c r="CV53327" s="376"/>
    </row>
    <row r="53328" spans="1:100">
      <c r="A53328" s="374"/>
      <c r="C53328" s="374"/>
      <c r="CV53328" s="376"/>
    </row>
    <row r="53329" spans="1:100">
      <c r="A53329" s="374"/>
      <c r="C53329" s="374"/>
      <c r="CV53329" s="376"/>
    </row>
    <row r="53330" spans="1:100">
      <c r="A53330" s="374"/>
      <c r="C53330" s="374"/>
      <c r="CV53330" s="376"/>
    </row>
    <row r="53331" spans="1:100">
      <c r="A53331" s="374"/>
      <c r="C53331" s="374"/>
      <c r="CV53331" s="376"/>
    </row>
    <row r="53332" spans="1:100">
      <c r="A53332" s="374"/>
      <c r="C53332" s="374"/>
      <c r="CV53332" s="376"/>
    </row>
    <row r="53333" spans="1:100">
      <c r="A53333" s="374"/>
      <c r="C53333" s="374"/>
      <c r="CV53333" s="376"/>
    </row>
    <row r="53334" spans="1:100">
      <c r="A53334" s="374"/>
      <c r="C53334" s="374"/>
      <c r="CV53334" s="376"/>
    </row>
    <row r="53335" spans="1:100">
      <c r="A53335" s="374"/>
      <c r="C53335" s="374"/>
      <c r="CV53335" s="376"/>
    </row>
    <row r="53336" spans="1:100">
      <c r="A53336" s="374"/>
      <c r="C53336" s="374"/>
      <c r="CV53336" s="376"/>
    </row>
    <row r="53337" spans="1:100">
      <c r="A53337" s="374"/>
      <c r="C53337" s="374"/>
      <c r="CV53337" s="376"/>
    </row>
    <row r="53338" spans="1:100">
      <c r="A53338" s="374"/>
      <c r="C53338" s="374"/>
      <c r="CV53338" s="376"/>
    </row>
    <row r="53339" spans="1:100">
      <c r="A53339" s="374"/>
      <c r="C53339" s="374"/>
      <c r="CV53339" s="376"/>
    </row>
    <row r="53340" spans="1:100">
      <c r="A53340" s="374"/>
      <c r="C53340" s="374"/>
      <c r="CV53340" s="376"/>
    </row>
    <row r="53341" spans="1:100">
      <c r="A53341" s="374"/>
      <c r="C53341" s="374"/>
      <c r="CV53341" s="376"/>
    </row>
    <row r="53342" spans="1:100">
      <c r="A53342" s="374"/>
      <c r="C53342" s="374"/>
      <c r="CV53342" s="376"/>
    </row>
    <row r="53343" spans="1:100">
      <c r="A53343" s="374"/>
      <c r="C53343" s="374"/>
      <c r="CV53343" s="376"/>
    </row>
    <row r="53344" spans="1:100">
      <c r="A53344" s="374"/>
      <c r="C53344" s="374"/>
      <c r="CV53344" s="376"/>
    </row>
    <row r="53345" spans="1:100">
      <c r="A53345" s="374"/>
      <c r="C53345" s="374"/>
      <c r="CV53345" s="376"/>
    </row>
    <row r="53346" spans="1:100">
      <c r="A53346" s="374"/>
      <c r="C53346" s="374"/>
      <c r="CV53346" s="376"/>
    </row>
    <row r="53347" spans="1:100">
      <c r="A53347" s="374"/>
      <c r="C53347" s="374"/>
      <c r="CV53347" s="376"/>
    </row>
    <row r="53348" spans="1:100">
      <c r="A53348" s="374"/>
      <c r="C53348" s="374"/>
      <c r="CV53348" s="376"/>
    </row>
    <row r="53349" spans="1:100">
      <c r="A53349" s="374"/>
      <c r="C53349" s="374"/>
      <c r="CV53349" s="376"/>
    </row>
    <row r="53350" spans="1:100">
      <c r="A53350" s="374"/>
      <c r="C53350" s="374"/>
      <c r="CV53350" s="376"/>
    </row>
    <row r="53351" spans="1:100">
      <c r="A53351" s="374"/>
      <c r="C53351" s="374"/>
      <c r="CV53351" s="376"/>
    </row>
    <row r="53352" spans="1:100">
      <c r="A53352" s="374"/>
      <c r="C53352" s="374"/>
      <c r="CV53352" s="376"/>
    </row>
    <row r="53353" spans="1:100">
      <c r="A53353" s="374"/>
      <c r="C53353" s="374"/>
      <c r="CV53353" s="376"/>
    </row>
    <row r="53354" spans="1:100">
      <c r="A53354" s="374"/>
      <c r="C53354" s="374"/>
      <c r="CV53354" s="376"/>
    </row>
    <row r="53355" spans="1:100">
      <c r="A53355" s="374"/>
      <c r="C53355" s="374"/>
      <c r="CV53355" s="376"/>
    </row>
    <row r="53356" spans="1:100">
      <c r="A53356" s="374"/>
      <c r="C53356" s="374"/>
      <c r="CV53356" s="376"/>
    </row>
    <row r="53357" spans="1:100">
      <c r="A53357" s="374"/>
      <c r="C53357" s="374"/>
      <c r="CV53357" s="376"/>
    </row>
    <row r="53358" spans="1:100">
      <c r="A53358" s="374"/>
      <c r="C53358" s="374"/>
      <c r="CV53358" s="376"/>
    </row>
    <row r="53359" spans="1:100">
      <c r="A53359" s="374"/>
      <c r="C53359" s="374"/>
      <c r="CV53359" s="376"/>
    </row>
    <row r="53360" spans="1:100">
      <c r="A53360" s="374"/>
      <c r="C53360" s="374"/>
      <c r="CV53360" s="376"/>
    </row>
    <row r="53361" spans="1:100">
      <c r="A53361" s="374"/>
      <c r="C53361" s="374"/>
      <c r="CV53361" s="376"/>
    </row>
    <row r="53362" spans="1:100">
      <c r="A53362" s="374"/>
      <c r="C53362" s="374"/>
      <c r="CV53362" s="376"/>
    </row>
    <row r="53363" spans="1:100">
      <c r="A53363" s="374"/>
      <c r="C53363" s="374"/>
      <c r="CV53363" s="376"/>
    </row>
    <row r="53364" spans="1:100">
      <c r="A53364" s="374"/>
      <c r="C53364" s="374"/>
      <c r="CV53364" s="376"/>
    </row>
    <row r="53365" spans="1:100">
      <c r="A53365" s="374"/>
      <c r="C53365" s="374"/>
      <c r="CV53365" s="376"/>
    </row>
    <row r="53366" spans="1:100">
      <c r="A53366" s="374"/>
      <c r="C53366" s="374"/>
      <c r="CV53366" s="376"/>
    </row>
    <row r="53367" spans="1:100">
      <c r="A53367" s="374"/>
      <c r="C53367" s="374"/>
      <c r="CV53367" s="376"/>
    </row>
    <row r="53368" spans="1:100">
      <c r="A53368" s="374"/>
      <c r="C53368" s="374"/>
      <c r="CV53368" s="376"/>
    </row>
    <row r="53369" spans="1:100">
      <c r="A53369" s="374"/>
      <c r="C53369" s="374"/>
      <c r="CV53369" s="376"/>
    </row>
    <row r="53370" spans="1:100">
      <c r="A53370" s="374"/>
      <c r="C53370" s="374"/>
      <c r="CV53370" s="376"/>
    </row>
    <row r="53371" spans="1:100">
      <c r="A53371" s="374"/>
      <c r="C53371" s="374"/>
      <c r="CV53371" s="376"/>
    </row>
    <row r="53372" spans="1:100">
      <c r="A53372" s="374"/>
      <c r="C53372" s="374"/>
      <c r="CV53372" s="376"/>
    </row>
    <row r="53373" spans="1:100">
      <c r="A53373" s="374"/>
      <c r="C53373" s="374"/>
      <c r="CV53373" s="376"/>
    </row>
    <row r="53374" spans="1:100">
      <c r="A53374" s="374"/>
      <c r="C53374" s="374"/>
      <c r="CV53374" s="376"/>
    </row>
    <row r="53375" spans="1:100">
      <c r="A53375" s="374"/>
      <c r="C53375" s="374"/>
      <c r="CV53375" s="376"/>
    </row>
    <row r="53376" spans="1:100">
      <c r="A53376" s="374"/>
      <c r="C53376" s="374"/>
      <c r="CV53376" s="376"/>
    </row>
    <row r="53377" spans="1:100">
      <c r="A53377" s="374"/>
      <c r="C53377" s="374"/>
      <c r="CV53377" s="376"/>
    </row>
    <row r="53378" spans="1:100">
      <c r="A53378" s="374"/>
      <c r="C53378" s="374"/>
      <c r="CV53378" s="376"/>
    </row>
    <row r="53379" spans="1:100">
      <c r="A53379" s="374"/>
      <c r="C53379" s="374"/>
      <c r="CV53379" s="376"/>
    </row>
    <row r="53380" spans="1:100">
      <c r="A53380" s="374"/>
      <c r="C53380" s="374"/>
      <c r="CV53380" s="376"/>
    </row>
    <row r="53381" spans="1:100">
      <c r="A53381" s="374"/>
      <c r="C53381" s="374"/>
      <c r="CV53381" s="376"/>
    </row>
    <row r="53382" spans="1:100">
      <c r="A53382" s="374"/>
      <c r="C53382" s="374"/>
      <c r="CV53382" s="376"/>
    </row>
    <row r="53383" spans="1:100">
      <c r="A53383" s="374"/>
      <c r="C53383" s="374"/>
      <c r="CV53383" s="376"/>
    </row>
    <row r="53384" spans="1:100">
      <c r="A53384" s="374"/>
      <c r="C53384" s="374"/>
      <c r="CV53384" s="376"/>
    </row>
    <row r="53385" spans="1:100">
      <c r="A53385" s="374"/>
      <c r="C53385" s="374"/>
      <c r="CV53385" s="376"/>
    </row>
    <row r="53386" spans="1:100">
      <c r="A53386" s="374"/>
      <c r="C53386" s="374"/>
      <c r="CV53386" s="376"/>
    </row>
    <row r="53387" spans="1:100">
      <c r="A53387" s="374"/>
      <c r="C53387" s="374"/>
      <c r="CV53387" s="376"/>
    </row>
    <row r="53388" spans="1:100">
      <c r="A53388" s="374"/>
      <c r="C53388" s="374"/>
      <c r="CV53388" s="376"/>
    </row>
    <row r="53389" spans="1:100">
      <c r="A53389" s="374"/>
      <c r="C53389" s="374"/>
      <c r="CV53389" s="376"/>
    </row>
    <row r="53390" spans="1:100">
      <c r="A53390" s="374"/>
      <c r="C53390" s="374"/>
      <c r="CV53390" s="376"/>
    </row>
    <row r="53391" spans="1:100">
      <c r="A53391" s="374"/>
      <c r="C53391" s="374"/>
      <c r="CV53391" s="376"/>
    </row>
    <row r="53392" spans="1:100">
      <c r="A53392" s="374"/>
      <c r="C53392" s="374"/>
      <c r="CV53392" s="376"/>
    </row>
    <row r="53393" spans="1:100">
      <c r="A53393" s="374"/>
      <c r="C53393" s="374"/>
      <c r="CV53393" s="376"/>
    </row>
    <row r="53394" spans="1:100">
      <c r="A53394" s="374"/>
      <c r="C53394" s="374"/>
      <c r="CV53394" s="376"/>
    </row>
    <row r="53395" spans="1:100">
      <c r="A53395" s="374"/>
      <c r="C53395" s="374"/>
      <c r="CV53395" s="376"/>
    </row>
    <row r="53396" spans="1:100">
      <c r="A53396" s="374"/>
      <c r="C53396" s="374"/>
      <c r="CV53396" s="376"/>
    </row>
    <row r="53397" spans="1:100">
      <c r="A53397" s="374"/>
      <c r="C53397" s="374"/>
      <c r="CV53397" s="376"/>
    </row>
    <row r="53398" spans="1:100">
      <c r="A53398" s="374"/>
      <c r="C53398" s="374"/>
      <c r="CV53398" s="376"/>
    </row>
    <row r="53399" spans="1:100">
      <c r="A53399" s="374"/>
      <c r="C53399" s="374"/>
      <c r="CV53399" s="376"/>
    </row>
    <row r="53400" spans="1:100">
      <c r="A53400" s="374"/>
      <c r="C53400" s="374"/>
      <c r="CV53400" s="376"/>
    </row>
    <row r="53401" spans="1:100">
      <c r="A53401" s="374"/>
      <c r="C53401" s="374"/>
      <c r="CV53401" s="376"/>
    </row>
    <row r="53402" spans="1:100">
      <c r="A53402" s="374"/>
      <c r="C53402" s="374"/>
      <c r="CV53402" s="376"/>
    </row>
    <row r="53403" spans="1:100">
      <c r="A53403" s="374"/>
      <c r="C53403" s="374"/>
      <c r="CV53403" s="376"/>
    </row>
    <row r="53404" spans="1:100">
      <c r="A53404" s="374"/>
      <c r="C53404" s="374"/>
      <c r="CV53404" s="376"/>
    </row>
    <row r="53405" spans="1:100">
      <c r="A53405" s="374"/>
      <c r="C53405" s="374"/>
      <c r="CV53405" s="376"/>
    </row>
    <row r="53406" spans="1:100">
      <c r="A53406" s="374"/>
      <c r="C53406" s="374"/>
      <c r="CV53406" s="376"/>
    </row>
    <row r="53407" spans="1:100">
      <c r="A53407" s="374"/>
      <c r="C53407" s="374"/>
      <c r="CV53407" s="376"/>
    </row>
    <row r="53408" spans="1:100">
      <c r="A53408" s="374"/>
      <c r="C53408" s="374"/>
      <c r="CV53408" s="376"/>
    </row>
    <row r="53409" spans="1:100">
      <c r="A53409" s="374"/>
      <c r="C53409" s="374"/>
      <c r="CV53409" s="376"/>
    </row>
    <row r="53410" spans="1:100">
      <c r="A53410" s="374"/>
      <c r="C53410" s="374"/>
      <c r="CV53410" s="376"/>
    </row>
    <row r="53411" spans="1:100">
      <c r="A53411" s="374"/>
      <c r="C53411" s="374"/>
      <c r="CV53411" s="376"/>
    </row>
    <row r="53412" spans="1:100">
      <c r="A53412" s="374"/>
      <c r="C53412" s="374"/>
      <c r="CV53412" s="376"/>
    </row>
    <row r="53413" spans="1:100">
      <c r="A53413" s="374"/>
      <c r="C53413" s="374"/>
      <c r="CV53413" s="376"/>
    </row>
    <row r="53414" spans="1:100">
      <c r="A53414" s="374"/>
      <c r="C53414" s="374"/>
      <c r="CV53414" s="376"/>
    </row>
    <row r="53415" spans="1:100">
      <c r="A53415" s="374"/>
      <c r="C53415" s="374"/>
      <c r="CV53415" s="376"/>
    </row>
    <row r="53416" spans="1:100">
      <c r="A53416" s="374"/>
      <c r="C53416" s="374"/>
      <c r="CV53416" s="376"/>
    </row>
    <row r="53417" spans="1:100">
      <c r="A53417" s="374"/>
      <c r="C53417" s="374"/>
      <c r="CV53417" s="376"/>
    </row>
    <row r="53418" spans="1:100">
      <c r="A53418" s="374"/>
      <c r="C53418" s="374"/>
      <c r="CV53418" s="376"/>
    </row>
    <row r="53419" spans="1:100">
      <c r="A53419" s="374"/>
      <c r="C53419" s="374"/>
      <c r="CV53419" s="376"/>
    </row>
    <row r="53420" spans="1:100">
      <c r="A53420" s="374"/>
      <c r="C53420" s="374"/>
      <c r="CV53420" s="376"/>
    </row>
    <row r="53421" spans="1:100">
      <c r="A53421" s="374"/>
      <c r="C53421" s="374"/>
      <c r="CV53421" s="376"/>
    </row>
    <row r="53422" spans="1:100">
      <c r="A53422" s="374"/>
      <c r="C53422" s="374"/>
      <c r="CV53422" s="376"/>
    </row>
    <row r="53423" spans="1:100">
      <c r="A53423" s="374"/>
      <c r="C53423" s="374"/>
      <c r="CV53423" s="376"/>
    </row>
    <row r="53424" spans="1:100">
      <c r="A53424" s="374"/>
      <c r="C53424" s="374"/>
      <c r="CV53424" s="376"/>
    </row>
    <row r="53425" spans="1:100">
      <c r="A53425" s="374"/>
      <c r="C53425" s="374"/>
      <c r="CV53425" s="376"/>
    </row>
    <row r="53426" spans="1:100">
      <c r="A53426" s="374"/>
      <c r="C53426" s="374"/>
      <c r="CV53426" s="376"/>
    </row>
    <row r="53427" spans="1:100">
      <c r="A53427" s="374"/>
      <c r="C53427" s="374"/>
      <c r="CV53427" s="376"/>
    </row>
    <row r="53428" spans="1:100">
      <c r="A53428" s="374"/>
      <c r="C53428" s="374"/>
      <c r="CV53428" s="376"/>
    </row>
    <row r="53429" spans="1:100">
      <c r="A53429" s="374"/>
      <c r="C53429" s="374"/>
      <c r="CV53429" s="376"/>
    </row>
    <row r="53430" spans="1:100">
      <c r="A53430" s="374"/>
      <c r="C53430" s="374"/>
      <c r="CV53430" s="376"/>
    </row>
    <row r="53431" spans="1:100">
      <c r="A53431" s="374"/>
      <c r="C53431" s="374"/>
      <c r="CV53431" s="376"/>
    </row>
    <row r="53432" spans="1:100">
      <c r="A53432" s="374"/>
      <c r="C53432" s="374"/>
      <c r="CV53432" s="376"/>
    </row>
    <row r="53433" spans="1:100">
      <c r="A53433" s="374"/>
      <c r="C53433" s="374"/>
      <c r="CV53433" s="376"/>
    </row>
    <row r="53434" spans="1:100">
      <c r="A53434" s="374"/>
      <c r="C53434" s="374"/>
      <c r="CV53434" s="376"/>
    </row>
    <row r="53435" spans="1:100">
      <c r="A53435" s="374"/>
      <c r="C53435" s="374"/>
      <c r="CV53435" s="376"/>
    </row>
    <row r="53436" spans="1:100">
      <c r="A53436" s="374"/>
      <c r="C53436" s="374"/>
      <c r="CV53436" s="376"/>
    </row>
    <row r="53437" spans="1:100">
      <c r="A53437" s="374"/>
      <c r="C53437" s="374"/>
      <c r="CV53437" s="376"/>
    </row>
    <row r="53438" spans="1:100">
      <c r="A53438" s="374"/>
      <c r="C53438" s="374"/>
      <c r="CV53438" s="376"/>
    </row>
    <row r="53439" spans="1:100">
      <c r="A53439" s="374"/>
      <c r="C53439" s="374"/>
      <c r="CV53439" s="376"/>
    </row>
    <row r="53440" spans="1:100">
      <c r="A53440" s="374"/>
      <c r="C53440" s="374"/>
      <c r="CV53440" s="376"/>
    </row>
    <row r="53441" spans="1:100">
      <c r="A53441" s="374"/>
      <c r="C53441" s="374"/>
      <c r="CV53441" s="376"/>
    </row>
    <row r="53442" spans="1:100">
      <c r="A53442" s="374"/>
      <c r="C53442" s="374"/>
      <c r="CV53442" s="376"/>
    </row>
    <row r="53443" spans="1:100">
      <c r="A53443" s="374"/>
      <c r="C53443" s="374"/>
      <c r="CV53443" s="376"/>
    </row>
    <row r="53444" spans="1:100">
      <c r="A53444" s="374"/>
      <c r="C53444" s="374"/>
      <c r="CV53444" s="376"/>
    </row>
    <row r="53445" spans="1:100">
      <c r="A53445" s="374"/>
      <c r="C53445" s="374"/>
      <c r="CV53445" s="376"/>
    </row>
    <row r="53446" spans="1:100">
      <c r="A53446" s="374"/>
      <c r="C53446" s="374"/>
      <c r="CV53446" s="376"/>
    </row>
    <row r="53447" spans="1:100">
      <c r="A53447" s="374"/>
      <c r="C53447" s="374"/>
      <c r="CV53447" s="376"/>
    </row>
    <row r="53448" spans="1:100">
      <c r="A53448" s="374"/>
      <c r="C53448" s="374"/>
      <c r="CV53448" s="376"/>
    </row>
    <row r="53449" spans="1:100">
      <c r="A53449" s="374"/>
      <c r="C53449" s="374"/>
      <c r="CV53449" s="376"/>
    </row>
    <row r="53450" spans="1:100">
      <c r="A53450" s="374"/>
      <c r="C53450" s="374"/>
      <c r="CV53450" s="376"/>
    </row>
    <row r="53451" spans="1:100">
      <c r="A53451" s="374"/>
      <c r="C53451" s="374"/>
      <c r="CV53451" s="376"/>
    </row>
    <row r="53452" spans="1:100">
      <c r="A53452" s="374"/>
      <c r="C53452" s="374"/>
      <c r="CV53452" s="376"/>
    </row>
    <row r="53453" spans="1:100">
      <c r="A53453" s="374"/>
      <c r="C53453" s="374"/>
      <c r="CV53453" s="376"/>
    </row>
    <row r="53454" spans="1:100">
      <c r="A53454" s="374"/>
      <c r="C53454" s="374"/>
      <c r="CV53454" s="376"/>
    </row>
    <row r="53455" spans="1:100">
      <c r="A53455" s="374"/>
      <c r="C53455" s="374"/>
      <c r="CV53455" s="376"/>
    </row>
    <row r="53456" spans="1:100">
      <c r="A53456" s="374"/>
      <c r="C53456" s="374"/>
      <c r="CV53456" s="376"/>
    </row>
    <row r="53457" spans="1:100">
      <c r="A53457" s="374"/>
      <c r="C53457" s="374"/>
      <c r="CV53457" s="376"/>
    </row>
    <row r="53458" spans="1:100">
      <c r="A53458" s="374"/>
      <c r="C53458" s="374"/>
      <c r="CV53458" s="376"/>
    </row>
    <row r="53459" spans="1:100">
      <c r="A53459" s="374"/>
      <c r="C53459" s="374"/>
      <c r="CV53459" s="376"/>
    </row>
    <row r="53460" spans="1:100">
      <c r="A53460" s="374"/>
      <c r="C53460" s="374"/>
      <c r="CV53460" s="376"/>
    </row>
    <row r="53461" spans="1:100">
      <c r="A53461" s="374"/>
      <c r="C53461" s="374"/>
      <c r="CV53461" s="376"/>
    </row>
    <row r="53462" spans="1:100">
      <c r="A53462" s="374"/>
      <c r="C53462" s="374"/>
      <c r="CV53462" s="376"/>
    </row>
    <row r="53463" spans="1:100">
      <c r="A53463" s="374"/>
      <c r="C53463" s="374"/>
      <c r="CV53463" s="376"/>
    </row>
    <row r="53464" spans="1:100">
      <c r="A53464" s="374"/>
      <c r="C53464" s="374"/>
      <c r="CV53464" s="376"/>
    </row>
    <row r="53465" spans="1:100">
      <c r="A53465" s="374"/>
      <c r="C53465" s="374"/>
      <c r="CV53465" s="376"/>
    </row>
    <row r="53466" spans="1:100">
      <c r="A53466" s="374"/>
      <c r="C53466" s="374"/>
      <c r="CV53466" s="376"/>
    </row>
    <row r="53467" spans="1:100">
      <c r="A53467" s="374"/>
      <c r="C53467" s="374"/>
      <c r="CV53467" s="376"/>
    </row>
    <row r="53468" spans="1:100">
      <c r="A53468" s="374"/>
      <c r="C53468" s="374"/>
      <c r="CV53468" s="376"/>
    </row>
    <row r="53469" spans="1:100">
      <c r="A53469" s="374"/>
      <c r="C53469" s="374"/>
      <c r="CV53469" s="376"/>
    </row>
    <row r="53470" spans="1:100">
      <c r="A53470" s="374"/>
      <c r="C53470" s="374"/>
      <c r="CV53470" s="376"/>
    </row>
    <row r="53471" spans="1:100">
      <c r="A53471" s="374"/>
      <c r="C53471" s="374"/>
      <c r="CV53471" s="376"/>
    </row>
    <row r="53472" spans="1:100">
      <c r="A53472" s="374"/>
      <c r="C53472" s="374"/>
      <c r="CV53472" s="376"/>
    </row>
    <row r="53473" spans="1:100">
      <c r="A53473" s="374"/>
      <c r="C53473" s="374"/>
      <c r="CV53473" s="376"/>
    </row>
    <row r="53474" spans="1:100">
      <c r="A53474" s="374"/>
      <c r="C53474" s="374"/>
      <c r="CV53474" s="376"/>
    </row>
    <row r="53475" spans="1:100">
      <c r="A53475" s="374"/>
      <c r="C53475" s="374"/>
      <c r="CV53475" s="376"/>
    </row>
    <row r="53476" spans="1:100">
      <c r="A53476" s="374"/>
      <c r="C53476" s="374"/>
      <c r="CV53476" s="376"/>
    </row>
    <row r="53477" spans="1:100">
      <c r="A53477" s="374"/>
      <c r="C53477" s="374"/>
      <c r="CV53477" s="376"/>
    </row>
    <row r="53478" spans="1:100">
      <c r="A53478" s="374"/>
      <c r="C53478" s="374"/>
      <c r="CV53478" s="376"/>
    </row>
    <row r="53479" spans="1:100">
      <c r="A53479" s="374"/>
      <c r="C53479" s="374"/>
      <c r="CV53479" s="376"/>
    </row>
    <row r="53480" spans="1:100">
      <c r="A53480" s="374"/>
      <c r="C53480" s="374"/>
      <c r="CV53480" s="376"/>
    </row>
    <row r="53481" spans="1:100">
      <c r="A53481" s="374"/>
      <c r="C53481" s="374"/>
      <c r="CV53481" s="376"/>
    </row>
    <row r="53482" spans="1:100">
      <c r="A53482" s="374"/>
      <c r="C53482" s="374"/>
      <c r="CV53482" s="376"/>
    </row>
    <row r="53483" spans="1:100">
      <c r="A53483" s="374"/>
      <c r="C53483" s="374"/>
      <c r="CV53483" s="376"/>
    </row>
    <row r="53484" spans="1:100">
      <c r="A53484" s="374"/>
      <c r="C53484" s="374"/>
      <c r="CV53484" s="376"/>
    </row>
    <row r="53485" spans="1:100">
      <c r="A53485" s="374"/>
      <c r="C53485" s="374"/>
      <c r="CV53485" s="376"/>
    </row>
    <row r="53486" spans="1:100">
      <c r="A53486" s="374"/>
      <c r="C53486" s="374"/>
      <c r="CV53486" s="376"/>
    </row>
    <row r="53487" spans="1:100">
      <c r="A53487" s="374"/>
      <c r="C53487" s="374"/>
      <c r="CV53487" s="376"/>
    </row>
    <row r="53488" spans="1:100">
      <c r="A53488" s="374"/>
      <c r="C53488" s="374"/>
      <c r="CV53488" s="376"/>
    </row>
    <row r="53489" spans="1:100">
      <c r="A53489" s="374"/>
      <c r="C53489" s="374"/>
      <c r="CV53489" s="376"/>
    </row>
    <row r="53490" spans="1:100">
      <c r="A53490" s="374"/>
      <c r="C53490" s="374"/>
      <c r="CV53490" s="376"/>
    </row>
    <row r="53491" spans="1:100">
      <c r="A53491" s="374"/>
      <c r="C53491" s="374"/>
      <c r="CV53491" s="376"/>
    </row>
    <row r="53492" spans="1:100">
      <c r="A53492" s="374"/>
      <c r="C53492" s="374"/>
      <c r="CV53492" s="376"/>
    </row>
    <row r="53493" spans="1:100">
      <c r="A53493" s="374"/>
      <c r="C53493" s="374"/>
      <c r="CV53493" s="376"/>
    </row>
    <row r="53494" spans="1:100">
      <c r="A53494" s="374"/>
      <c r="C53494" s="374"/>
      <c r="CV53494" s="376"/>
    </row>
    <row r="53495" spans="1:100">
      <c r="A53495" s="374"/>
      <c r="C53495" s="374"/>
      <c r="CV53495" s="376"/>
    </row>
    <row r="53496" spans="1:100">
      <c r="A53496" s="374"/>
      <c r="C53496" s="374"/>
      <c r="CV53496" s="376"/>
    </row>
    <row r="53497" spans="1:100">
      <c r="A53497" s="374"/>
      <c r="C53497" s="374"/>
      <c r="CV53497" s="376"/>
    </row>
    <row r="53498" spans="1:100">
      <c r="A53498" s="374"/>
      <c r="C53498" s="374"/>
      <c r="CV53498" s="376"/>
    </row>
    <row r="53499" spans="1:100">
      <c r="A53499" s="374"/>
      <c r="C53499" s="374"/>
      <c r="CV53499" s="376"/>
    </row>
    <row r="53500" spans="1:100">
      <c r="A53500" s="374"/>
      <c r="C53500" s="374"/>
      <c r="CV53500" s="376"/>
    </row>
    <row r="53501" spans="1:100">
      <c r="A53501" s="374"/>
      <c r="C53501" s="374"/>
      <c r="CV53501" s="376"/>
    </row>
    <row r="53502" spans="1:100">
      <c r="A53502" s="374"/>
      <c r="C53502" s="374"/>
      <c r="CV53502" s="376"/>
    </row>
    <row r="53503" spans="1:100">
      <c r="A53503" s="374"/>
      <c r="C53503" s="374"/>
      <c r="CV53503" s="376"/>
    </row>
    <row r="53504" spans="1:100">
      <c r="A53504" s="374"/>
      <c r="C53504" s="374"/>
      <c r="CV53504" s="376"/>
    </row>
    <row r="53505" spans="1:100">
      <c r="A53505" s="374"/>
      <c r="C53505" s="374"/>
      <c r="CV53505" s="376"/>
    </row>
    <row r="53506" spans="1:100">
      <c r="A53506" s="374"/>
      <c r="C53506" s="374"/>
      <c r="CV53506" s="376"/>
    </row>
    <row r="53507" spans="1:100">
      <c r="A53507" s="374"/>
      <c r="C53507" s="374"/>
      <c r="CV53507" s="376"/>
    </row>
    <row r="53508" spans="1:100">
      <c r="A53508" s="374"/>
      <c r="C53508" s="374"/>
      <c r="CV53508" s="376"/>
    </row>
    <row r="53509" spans="1:100">
      <c r="A53509" s="374"/>
      <c r="C53509" s="374"/>
      <c r="CV53509" s="376"/>
    </row>
    <row r="53510" spans="1:100">
      <c r="A53510" s="374"/>
      <c r="C53510" s="374"/>
      <c r="CV53510" s="376"/>
    </row>
    <row r="53511" spans="1:100">
      <c r="A53511" s="374"/>
      <c r="C53511" s="374"/>
      <c r="CV53511" s="376"/>
    </row>
    <row r="53512" spans="1:100">
      <c r="A53512" s="374"/>
      <c r="C53512" s="374"/>
      <c r="CV53512" s="376"/>
    </row>
    <row r="53513" spans="1:100">
      <c r="A53513" s="374"/>
      <c r="C53513" s="374"/>
      <c r="CV53513" s="376"/>
    </row>
    <row r="53514" spans="1:100">
      <c r="A53514" s="374"/>
      <c r="C53514" s="374"/>
      <c r="CV53514" s="376"/>
    </row>
    <row r="53515" spans="1:100">
      <c r="A53515" s="374"/>
      <c r="C53515" s="374"/>
      <c r="CV53515" s="376"/>
    </row>
    <row r="53516" spans="1:100">
      <c r="A53516" s="374"/>
      <c r="C53516" s="374"/>
      <c r="CV53516" s="376"/>
    </row>
    <row r="53517" spans="1:100">
      <c r="A53517" s="374"/>
      <c r="C53517" s="374"/>
      <c r="CV53517" s="376"/>
    </row>
    <row r="53518" spans="1:100">
      <c r="A53518" s="374"/>
      <c r="C53518" s="374"/>
      <c r="CV53518" s="376"/>
    </row>
    <row r="53519" spans="1:100">
      <c r="A53519" s="374"/>
      <c r="C53519" s="374"/>
      <c r="CV53519" s="376"/>
    </row>
    <row r="53520" spans="1:100">
      <c r="A53520" s="374"/>
      <c r="C53520" s="374"/>
      <c r="CV53520" s="376"/>
    </row>
    <row r="53521" spans="1:100">
      <c r="A53521" s="374"/>
      <c r="C53521" s="374"/>
      <c r="CV53521" s="376"/>
    </row>
    <row r="53522" spans="1:100">
      <c r="A53522" s="374"/>
      <c r="C53522" s="374"/>
      <c r="CV53522" s="376"/>
    </row>
    <row r="53523" spans="1:100">
      <c r="A53523" s="374"/>
      <c r="C53523" s="374"/>
      <c r="CV53523" s="376"/>
    </row>
    <row r="53524" spans="1:100">
      <c r="A53524" s="374"/>
      <c r="C53524" s="374"/>
      <c r="CV53524" s="376"/>
    </row>
    <row r="53525" spans="1:100">
      <c r="A53525" s="374"/>
      <c r="C53525" s="374"/>
      <c r="CV53525" s="376"/>
    </row>
    <row r="53526" spans="1:100">
      <c r="A53526" s="374"/>
      <c r="C53526" s="374"/>
      <c r="CV53526" s="376"/>
    </row>
    <row r="53527" spans="1:100">
      <c r="A53527" s="374"/>
      <c r="C53527" s="374"/>
      <c r="CV53527" s="376"/>
    </row>
    <row r="53528" spans="1:100">
      <c r="A53528" s="374"/>
      <c r="C53528" s="374"/>
      <c r="CV53528" s="376"/>
    </row>
    <row r="53529" spans="1:100">
      <c r="A53529" s="374"/>
      <c r="C53529" s="374"/>
      <c r="CV53529" s="376"/>
    </row>
    <row r="53530" spans="1:100">
      <c r="A53530" s="374"/>
      <c r="C53530" s="374"/>
      <c r="CV53530" s="376"/>
    </row>
    <row r="53531" spans="1:100">
      <c r="A53531" s="374"/>
      <c r="C53531" s="374"/>
      <c r="CV53531" s="376"/>
    </row>
    <row r="53532" spans="1:100">
      <c r="A53532" s="374"/>
      <c r="C53532" s="374"/>
      <c r="CV53532" s="376"/>
    </row>
    <row r="53533" spans="1:100">
      <c r="A53533" s="374"/>
      <c r="C53533" s="374"/>
      <c r="CV53533" s="376"/>
    </row>
    <row r="53534" spans="1:100">
      <c r="A53534" s="374"/>
      <c r="C53534" s="374"/>
      <c r="CV53534" s="376"/>
    </row>
    <row r="53535" spans="1:100">
      <c r="A53535" s="374"/>
      <c r="C53535" s="374"/>
      <c r="CV53535" s="376"/>
    </row>
    <row r="53536" spans="1:100">
      <c r="A53536" s="374"/>
      <c r="C53536" s="374"/>
      <c r="CV53536" s="376"/>
    </row>
    <row r="53537" spans="1:100">
      <c r="A53537" s="374"/>
      <c r="C53537" s="374"/>
      <c r="CV53537" s="376"/>
    </row>
    <row r="53538" spans="1:100">
      <c r="A53538" s="374"/>
      <c r="C53538" s="374"/>
      <c r="CV53538" s="376"/>
    </row>
    <row r="53539" spans="1:100">
      <c r="A53539" s="374"/>
      <c r="C53539" s="374"/>
      <c r="CV53539" s="376"/>
    </row>
    <row r="53540" spans="1:100">
      <c r="A53540" s="374"/>
      <c r="C53540" s="374"/>
      <c r="CV53540" s="376"/>
    </row>
    <row r="53541" spans="1:100">
      <c r="A53541" s="374"/>
      <c r="C53541" s="374"/>
      <c r="CV53541" s="376"/>
    </row>
    <row r="53542" spans="1:100">
      <c r="A53542" s="374"/>
      <c r="C53542" s="374"/>
      <c r="CV53542" s="376"/>
    </row>
    <row r="53543" spans="1:100">
      <c r="A53543" s="374"/>
      <c r="C53543" s="374"/>
      <c r="CV53543" s="376"/>
    </row>
    <row r="53544" spans="1:100">
      <c r="A53544" s="374"/>
      <c r="C53544" s="374"/>
      <c r="CV53544" s="376"/>
    </row>
    <row r="53545" spans="1:100">
      <c r="A53545" s="374"/>
      <c r="C53545" s="374"/>
      <c r="CV53545" s="376"/>
    </row>
    <row r="53546" spans="1:100">
      <c r="A53546" s="374"/>
      <c r="C53546" s="374"/>
      <c r="CV53546" s="376"/>
    </row>
    <row r="53547" spans="1:100">
      <c r="A53547" s="374"/>
      <c r="C53547" s="374"/>
      <c r="CV53547" s="376"/>
    </row>
    <row r="53548" spans="1:100">
      <c r="A53548" s="374"/>
      <c r="C53548" s="374"/>
      <c r="CV53548" s="376"/>
    </row>
    <row r="53549" spans="1:100">
      <c r="A53549" s="374"/>
      <c r="C53549" s="374"/>
      <c r="CV53549" s="376"/>
    </row>
    <row r="53550" spans="1:100">
      <c r="A53550" s="374"/>
      <c r="C53550" s="374"/>
      <c r="CV53550" s="376"/>
    </row>
    <row r="53551" spans="1:100">
      <c r="A53551" s="374"/>
      <c r="C53551" s="374"/>
      <c r="CV53551" s="376"/>
    </row>
    <row r="53552" spans="1:100">
      <c r="A53552" s="374"/>
      <c r="C53552" s="374"/>
      <c r="CV53552" s="376"/>
    </row>
    <row r="53553" spans="1:100">
      <c r="A53553" s="374"/>
      <c r="C53553" s="374"/>
      <c r="CV53553" s="376"/>
    </row>
    <row r="53554" spans="1:100">
      <c r="A53554" s="374"/>
      <c r="C53554" s="374"/>
      <c r="CV53554" s="376"/>
    </row>
    <row r="53555" spans="1:100">
      <c r="A53555" s="374"/>
      <c r="C53555" s="374"/>
      <c r="CV53555" s="376"/>
    </row>
    <row r="53556" spans="1:100">
      <c r="A53556" s="374"/>
      <c r="C53556" s="374"/>
      <c r="CV53556" s="376"/>
    </row>
    <row r="53557" spans="1:100">
      <c r="A53557" s="374"/>
      <c r="C53557" s="374"/>
      <c r="CV53557" s="376"/>
    </row>
    <row r="53558" spans="1:100">
      <c r="A53558" s="374"/>
      <c r="C53558" s="374"/>
      <c r="CV53558" s="376"/>
    </row>
    <row r="53559" spans="1:100">
      <c r="A53559" s="374"/>
      <c r="C53559" s="374"/>
      <c r="CV53559" s="376"/>
    </row>
    <row r="53560" spans="1:100">
      <c r="A53560" s="374"/>
      <c r="C53560" s="374"/>
      <c r="CV53560" s="376"/>
    </row>
    <row r="53561" spans="1:100">
      <c r="A53561" s="374"/>
      <c r="C53561" s="374"/>
      <c r="CV53561" s="376"/>
    </row>
    <row r="53562" spans="1:100">
      <c r="A53562" s="374"/>
      <c r="C53562" s="374"/>
      <c r="CV53562" s="376"/>
    </row>
    <row r="53563" spans="1:100">
      <c r="A53563" s="374"/>
      <c r="C53563" s="374"/>
      <c r="CV53563" s="376"/>
    </row>
    <row r="53564" spans="1:100">
      <c r="A53564" s="374"/>
      <c r="C53564" s="374"/>
      <c r="CV53564" s="376"/>
    </row>
    <row r="53565" spans="1:100">
      <c r="A53565" s="374"/>
      <c r="C53565" s="374"/>
      <c r="CV53565" s="376"/>
    </row>
    <row r="53566" spans="1:100">
      <c r="A53566" s="374"/>
      <c r="C53566" s="374"/>
      <c r="CV53566" s="376"/>
    </row>
    <row r="53567" spans="1:100">
      <c r="A53567" s="374"/>
      <c r="C53567" s="374"/>
      <c r="CV53567" s="376"/>
    </row>
    <row r="53568" spans="1:100">
      <c r="A53568" s="374"/>
      <c r="C53568" s="374"/>
      <c r="CV53568" s="376"/>
    </row>
    <row r="53569" spans="1:100">
      <c r="A53569" s="374"/>
      <c r="C53569" s="374"/>
      <c r="CV53569" s="376"/>
    </row>
    <row r="53570" spans="1:100">
      <c r="A53570" s="374"/>
      <c r="C53570" s="374"/>
      <c r="CV53570" s="376"/>
    </row>
    <row r="53571" spans="1:100">
      <c r="A53571" s="374"/>
      <c r="C53571" s="374"/>
      <c r="CV53571" s="376"/>
    </row>
    <row r="53572" spans="1:100">
      <c r="A53572" s="374"/>
      <c r="C53572" s="374"/>
      <c r="CV53572" s="376"/>
    </row>
    <row r="53573" spans="1:100">
      <c r="A53573" s="374"/>
      <c r="C53573" s="374"/>
      <c r="CV53573" s="376"/>
    </row>
    <row r="53574" spans="1:100">
      <c r="A53574" s="374"/>
      <c r="C53574" s="374"/>
      <c r="CV53574" s="376"/>
    </row>
    <row r="53575" spans="1:100">
      <c r="A53575" s="374"/>
      <c r="C53575" s="374"/>
      <c r="CV53575" s="376"/>
    </row>
    <row r="53576" spans="1:100">
      <c r="A53576" s="374"/>
      <c r="C53576" s="374"/>
      <c r="CV53576" s="376"/>
    </row>
    <row r="53577" spans="1:100">
      <c r="A53577" s="374"/>
      <c r="C53577" s="374"/>
      <c r="CV53577" s="376"/>
    </row>
    <row r="53578" spans="1:100">
      <c r="A53578" s="374"/>
      <c r="C53578" s="374"/>
      <c r="CV53578" s="376"/>
    </row>
    <row r="53579" spans="1:100">
      <c r="A53579" s="374"/>
      <c r="C53579" s="374"/>
      <c r="CV53579" s="376"/>
    </row>
    <row r="53580" spans="1:100">
      <c r="A53580" s="374"/>
      <c r="C53580" s="374"/>
      <c r="CV53580" s="376"/>
    </row>
    <row r="53581" spans="1:100">
      <c r="A53581" s="374"/>
      <c r="C53581" s="374"/>
      <c r="CV53581" s="376"/>
    </row>
    <row r="53582" spans="1:100">
      <c r="A53582" s="374"/>
      <c r="C53582" s="374"/>
      <c r="CV53582" s="376"/>
    </row>
    <row r="53583" spans="1:100">
      <c r="A53583" s="374"/>
      <c r="C53583" s="374"/>
      <c r="CV53583" s="376"/>
    </row>
    <row r="53584" spans="1:100">
      <c r="A53584" s="374"/>
      <c r="C53584" s="374"/>
      <c r="CV53584" s="376"/>
    </row>
    <row r="53585" spans="1:100">
      <c r="A53585" s="374"/>
      <c r="C53585" s="374"/>
      <c r="CV53585" s="376"/>
    </row>
    <row r="53586" spans="1:100">
      <c r="A53586" s="374"/>
      <c r="C53586" s="374"/>
      <c r="CV53586" s="376"/>
    </row>
    <row r="53587" spans="1:100">
      <c r="A53587" s="374"/>
      <c r="C53587" s="374"/>
      <c r="CV53587" s="376"/>
    </row>
    <row r="53588" spans="1:100">
      <c r="A53588" s="374"/>
      <c r="C53588" s="374"/>
      <c r="CV53588" s="376"/>
    </row>
    <row r="53589" spans="1:100">
      <c r="A53589" s="374"/>
      <c r="C53589" s="374"/>
      <c r="CV53589" s="376"/>
    </row>
    <row r="53590" spans="1:100">
      <c r="A53590" s="374"/>
      <c r="C53590" s="374"/>
      <c r="CV53590" s="376"/>
    </row>
    <row r="53591" spans="1:100">
      <c r="A53591" s="374"/>
      <c r="C53591" s="374"/>
      <c r="CV53591" s="376"/>
    </row>
    <row r="53592" spans="1:100">
      <c r="A53592" s="374"/>
      <c r="C53592" s="374"/>
      <c r="CV53592" s="376"/>
    </row>
    <row r="53593" spans="1:100">
      <c r="A53593" s="374"/>
      <c r="C53593" s="374"/>
      <c r="CV53593" s="376"/>
    </row>
    <row r="53594" spans="1:100">
      <c r="A53594" s="374"/>
      <c r="C53594" s="374"/>
      <c r="CV53594" s="376"/>
    </row>
    <row r="53595" spans="1:100">
      <c r="A53595" s="374"/>
      <c r="C53595" s="374"/>
      <c r="CV53595" s="376"/>
    </row>
    <row r="53596" spans="1:100">
      <c r="A53596" s="374"/>
      <c r="C53596" s="374"/>
      <c r="CV53596" s="376"/>
    </row>
    <row r="53597" spans="1:100">
      <c r="A53597" s="374"/>
      <c r="C53597" s="374"/>
      <c r="CV53597" s="376"/>
    </row>
    <row r="53598" spans="1:100">
      <c r="A53598" s="374"/>
      <c r="C53598" s="374"/>
      <c r="CV53598" s="376"/>
    </row>
    <row r="53599" spans="1:100">
      <c r="A53599" s="374"/>
      <c r="C53599" s="374"/>
      <c r="CV53599" s="376"/>
    </row>
    <row r="53600" spans="1:100">
      <c r="A53600" s="374"/>
      <c r="C53600" s="374"/>
      <c r="CV53600" s="376"/>
    </row>
    <row r="53601" spans="1:100">
      <c r="A53601" s="374"/>
      <c r="C53601" s="374"/>
      <c r="CV53601" s="376"/>
    </row>
    <row r="53602" spans="1:100">
      <c r="A53602" s="374"/>
      <c r="C53602" s="374"/>
      <c r="CV53602" s="376"/>
    </row>
    <row r="53603" spans="1:100">
      <c r="A53603" s="374"/>
      <c r="C53603" s="374"/>
      <c r="CV53603" s="376"/>
    </row>
    <row r="53604" spans="1:100">
      <c r="A53604" s="374"/>
      <c r="C53604" s="374"/>
      <c r="CV53604" s="376"/>
    </row>
    <row r="53605" spans="1:100">
      <c r="A53605" s="374"/>
      <c r="C53605" s="374"/>
      <c r="CV53605" s="376"/>
    </row>
    <row r="53606" spans="1:100">
      <c r="A53606" s="374"/>
      <c r="C53606" s="374"/>
      <c r="CV53606" s="376"/>
    </row>
    <row r="53607" spans="1:100">
      <c r="A53607" s="374"/>
      <c r="C53607" s="374"/>
      <c r="CV53607" s="376"/>
    </row>
    <row r="53608" spans="1:100">
      <c r="A53608" s="374"/>
      <c r="C53608" s="374"/>
      <c r="CV53608" s="376"/>
    </row>
    <row r="53609" spans="1:100">
      <c r="A53609" s="374"/>
      <c r="C53609" s="374"/>
      <c r="CV53609" s="376"/>
    </row>
    <row r="53610" spans="1:100">
      <c r="A53610" s="374"/>
      <c r="C53610" s="374"/>
      <c r="CV53610" s="376"/>
    </row>
    <row r="53611" spans="1:100">
      <c r="A53611" s="374"/>
      <c r="C53611" s="374"/>
      <c r="CV53611" s="376"/>
    </row>
    <row r="53612" spans="1:100">
      <c r="A53612" s="374"/>
      <c r="C53612" s="374"/>
      <c r="CV53612" s="376"/>
    </row>
    <row r="53613" spans="1:100">
      <c r="A53613" s="374"/>
      <c r="C53613" s="374"/>
      <c r="CV53613" s="376"/>
    </row>
    <row r="53614" spans="1:100">
      <c r="A53614" s="374"/>
      <c r="C53614" s="374"/>
      <c r="CV53614" s="376"/>
    </row>
    <row r="53615" spans="1:100">
      <c r="A53615" s="374"/>
      <c r="C53615" s="374"/>
      <c r="CV53615" s="376"/>
    </row>
    <row r="53616" spans="1:100">
      <c r="A53616" s="374"/>
      <c r="C53616" s="374"/>
      <c r="CV53616" s="376"/>
    </row>
    <row r="53617" spans="1:100">
      <c r="A53617" s="374"/>
      <c r="C53617" s="374"/>
      <c r="CV53617" s="376"/>
    </row>
    <row r="53618" spans="1:100">
      <c r="A53618" s="374"/>
      <c r="C53618" s="374"/>
      <c r="CV53618" s="376"/>
    </row>
    <row r="53619" spans="1:100">
      <c r="A53619" s="374"/>
      <c r="C53619" s="374"/>
      <c r="CV53619" s="376"/>
    </row>
    <row r="53620" spans="1:100">
      <c r="A53620" s="374"/>
      <c r="C53620" s="374"/>
      <c r="CV53620" s="376"/>
    </row>
    <row r="53621" spans="1:100">
      <c r="A53621" s="374"/>
      <c r="C53621" s="374"/>
      <c r="CV53621" s="376"/>
    </row>
    <row r="53622" spans="1:100">
      <c r="A53622" s="374"/>
      <c r="C53622" s="374"/>
      <c r="CV53622" s="376"/>
    </row>
    <row r="53623" spans="1:100">
      <c r="A53623" s="374"/>
      <c r="C53623" s="374"/>
      <c r="CV53623" s="376"/>
    </row>
    <row r="53624" spans="1:100">
      <c r="A53624" s="374"/>
      <c r="C53624" s="374"/>
      <c r="CV53624" s="376"/>
    </row>
    <row r="53625" spans="1:100">
      <c r="A53625" s="374"/>
      <c r="C53625" s="374"/>
      <c r="CV53625" s="376"/>
    </row>
    <row r="53626" spans="1:100">
      <c r="A53626" s="374"/>
      <c r="C53626" s="374"/>
      <c r="CV53626" s="376"/>
    </row>
    <row r="53627" spans="1:100">
      <c r="A53627" s="374"/>
      <c r="C53627" s="374"/>
      <c r="CV53627" s="376"/>
    </row>
    <row r="53628" spans="1:100">
      <c r="A53628" s="374"/>
      <c r="C53628" s="374"/>
      <c r="CV53628" s="376"/>
    </row>
    <row r="53629" spans="1:100">
      <c r="A53629" s="374"/>
      <c r="C53629" s="374"/>
      <c r="CV53629" s="376"/>
    </row>
    <row r="53630" spans="1:100">
      <c r="A53630" s="374"/>
      <c r="C53630" s="374"/>
      <c r="CV53630" s="376"/>
    </row>
    <row r="53631" spans="1:100">
      <c r="A53631" s="374"/>
      <c r="C53631" s="374"/>
      <c r="CV53631" s="376"/>
    </row>
    <row r="53632" spans="1:100">
      <c r="A53632" s="374"/>
      <c r="C53632" s="374"/>
      <c r="CV53632" s="376"/>
    </row>
    <row r="53633" spans="1:100">
      <c r="A53633" s="374"/>
      <c r="C53633" s="374"/>
      <c r="CV53633" s="376"/>
    </row>
    <row r="53634" spans="1:100">
      <c r="A53634" s="374"/>
      <c r="C53634" s="374"/>
      <c r="CV53634" s="376"/>
    </row>
    <row r="53635" spans="1:100">
      <c r="A53635" s="374"/>
      <c r="C53635" s="374"/>
      <c r="CV53635" s="376"/>
    </row>
    <row r="53636" spans="1:100">
      <c r="A53636" s="374"/>
      <c r="C53636" s="374"/>
      <c r="CV53636" s="376"/>
    </row>
    <row r="53637" spans="1:100">
      <c r="A53637" s="374"/>
      <c r="C53637" s="374"/>
      <c r="CV53637" s="376"/>
    </row>
    <row r="53638" spans="1:100">
      <c r="A53638" s="374"/>
      <c r="C53638" s="374"/>
      <c r="CV53638" s="376"/>
    </row>
    <row r="53639" spans="1:100">
      <c r="A53639" s="374"/>
      <c r="C53639" s="374"/>
      <c r="CV53639" s="376"/>
    </row>
    <row r="53640" spans="1:100">
      <c r="A53640" s="374"/>
      <c r="C53640" s="374"/>
      <c r="CV53640" s="376"/>
    </row>
    <row r="53641" spans="1:100">
      <c r="A53641" s="374"/>
      <c r="C53641" s="374"/>
      <c r="CV53641" s="376"/>
    </row>
    <row r="53642" spans="1:100">
      <c r="A53642" s="374"/>
      <c r="C53642" s="374"/>
      <c r="CV53642" s="376"/>
    </row>
    <row r="53643" spans="1:100">
      <c r="A53643" s="374"/>
      <c r="C53643" s="374"/>
      <c r="CV53643" s="376"/>
    </row>
    <row r="53644" spans="1:100">
      <c r="A53644" s="374"/>
      <c r="C53644" s="374"/>
      <c r="CV53644" s="376"/>
    </row>
    <row r="53645" spans="1:100">
      <c r="A53645" s="374"/>
      <c r="C53645" s="374"/>
      <c r="CV53645" s="376"/>
    </row>
    <row r="53646" spans="1:100">
      <c r="A53646" s="374"/>
      <c r="C53646" s="374"/>
      <c r="CV53646" s="376"/>
    </row>
    <row r="53647" spans="1:100">
      <c r="A53647" s="374"/>
      <c r="C53647" s="374"/>
      <c r="CV53647" s="376"/>
    </row>
    <row r="53648" spans="1:100">
      <c r="A53648" s="374"/>
      <c r="C53648" s="374"/>
      <c r="CV53648" s="376"/>
    </row>
    <row r="53649" spans="1:100">
      <c r="A53649" s="374"/>
      <c r="C53649" s="374"/>
      <c r="CV53649" s="376"/>
    </row>
    <row r="53650" spans="1:100">
      <c r="A53650" s="374"/>
      <c r="C53650" s="374"/>
      <c r="CV53650" s="376"/>
    </row>
    <row r="53651" spans="1:100">
      <c r="A53651" s="374"/>
      <c r="C53651" s="374"/>
      <c r="CV53651" s="376"/>
    </row>
    <row r="53652" spans="1:100">
      <c r="A53652" s="374"/>
      <c r="C53652" s="374"/>
      <c r="CV53652" s="376"/>
    </row>
    <row r="53653" spans="1:100">
      <c r="A53653" s="374"/>
      <c r="C53653" s="374"/>
      <c r="CV53653" s="376"/>
    </row>
    <row r="53654" spans="1:100">
      <c r="A53654" s="374"/>
      <c r="C53654" s="374"/>
      <c r="CV53654" s="376"/>
    </row>
    <row r="53655" spans="1:100">
      <c r="A53655" s="374"/>
      <c r="C53655" s="374"/>
      <c r="CV53655" s="376"/>
    </row>
    <row r="53656" spans="1:100">
      <c r="A53656" s="374"/>
      <c r="C53656" s="374"/>
      <c r="CV53656" s="376"/>
    </row>
    <row r="53657" spans="1:100">
      <c r="A53657" s="374"/>
      <c r="C53657" s="374"/>
      <c r="CV53657" s="376"/>
    </row>
    <row r="53658" spans="1:100">
      <c r="A53658" s="374"/>
      <c r="C53658" s="374"/>
      <c r="CV53658" s="376"/>
    </row>
    <row r="53659" spans="1:100">
      <c r="A53659" s="374"/>
      <c r="C53659" s="374"/>
      <c r="CV53659" s="376"/>
    </row>
    <row r="53660" spans="1:100">
      <c r="A53660" s="374"/>
      <c r="C53660" s="374"/>
      <c r="CV53660" s="376"/>
    </row>
    <row r="53661" spans="1:100">
      <c r="A53661" s="374"/>
      <c r="C53661" s="374"/>
      <c r="CV53661" s="376"/>
    </row>
    <row r="53662" spans="1:100">
      <c r="A53662" s="374"/>
      <c r="C53662" s="374"/>
      <c r="CV53662" s="376"/>
    </row>
    <row r="53663" spans="1:100">
      <c r="A53663" s="374"/>
      <c r="C53663" s="374"/>
      <c r="CV53663" s="376"/>
    </row>
    <row r="53664" spans="1:100">
      <c r="A53664" s="374"/>
      <c r="C53664" s="374"/>
      <c r="CV53664" s="376"/>
    </row>
    <row r="53665" spans="1:100">
      <c r="A53665" s="374"/>
      <c r="C53665" s="374"/>
      <c r="CV53665" s="376"/>
    </row>
    <row r="53666" spans="1:100">
      <c r="A53666" s="374"/>
      <c r="C53666" s="374"/>
      <c r="CV53666" s="376"/>
    </row>
    <row r="53667" spans="1:100">
      <c r="A53667" s="374"/>
      <c r="C53667" s="374"/>
      <c r="CV53667" s="376"/>
    </row>
    <row r="53668" spans="1:100">
      <c r="A53668" s="374"/>
      <c r="C53668" s="374"/>
      <c r="CV53668" s="376"/>
    </row>
    <row r="53669" spans="1:100">
      <c r="A53669" s="374"/>
      <c r="C53669" s="374"/>
      <c r="CV53669" s="376"/>
    </row>
    <row r="53670" spans="1:100">
      <c r="A53670" s="374"/>
      <c r="C53670" s="374"/>
      <c r="CV53670" s="376"/>
    </row>
    <row r="53671" spans="1:100">
      <c r="A53671" s="374"/>
      <c r="C53671" s="374"/>
      <c r="CV53671" s="376"/>
    </row>
    <row r="53672" spans="1:100">
      <c r="A53672" s="374"/>
      <c r="C53672" s="374"/>
      <c r="CV53672" s="376"/>
    </row>
    <row r="53673" spans="1:100">
      <c r="A53673" s="374"/>
      <c r="C53673" s="374"/>
      <c r="CV53673" s="376"/>
    </row>
    <row r="53674" spans="1:100">
      <c r="A53674" s="374"/>
      <c r="C53674" s="374"/>
      <c r="CV53674" s="376"/>
    </row>
    <row r="53675" spans="1:100">
      <c r="A53675" s="374"/>
      <c r="C53675" s="374"/>
      <c r="CV53675" s="376"/>
    </row>
    <row r="53676" spans="1:100">
      <c r="A53676" s="374"/>
      <c r="C53676" s="374"/>
      <c r="CV53676" s="376"/>
    </row>
    <row r="53677" spans="1:100">
      <c r="A53677" s="374"/>
      <c r="C53677" s="374"/>
      <c r="CV53677" s="376"/>
    </row>
    <row r="53678" spans="1:100">
      <c r="A53678" s="374"/>
      <c r="C53678" s="374"/>
      <c r="CV53678" s="376"/>
    </row>
    <row r="53679" spans="1:100">
      <c r="A53679" s="374"/>
      <c r="C53679" s="374"/>
      <c r="CV53679" s="376"/>
    </row>
    <row r="53680" spans="1:100">
      <c r="A53680" s="374"/>
      <c r="C53680" s="374"/>
      <c r="CV53680" s="376"/>
    </row>
    <row r="53681" spans="1:100">
      <c r="A53681" s="374"/>
      <c r="C53681" s="374"/>
      <c r="CV53681" s="376"/>
    </row>
    <row r="53682" spans="1:100">
      <c r="A53682" s="374"/>
      <c r="C53682" s="374"/>
      <c r="CV53682" s="376"/>
    </row>
    <row r="53683" spans="1:100">
      <c r="A53683" s="374"/>
      <c r="C53683" s="374"/>
      <c r="CV53683" s="376"/>
    </row>
    <row r="53684" spans="1:100">
      <c r="A53684" s="374"/>
      <c r="C53684" s="374"/>
      <c r="CV53684" s="376"/>
    </row>
    <row r="53685" spans="1:100">
      <c r="A53685" s="374"/>
      <c r="C53685" s="374"/>
      <c r="CV53685" s="376"/>
    </row>
    <row r="53686" spans="1:100">
      <c r="A53686" s="374"/>
      <c r="C53686" s="374"/>
      <c r="CV53686" s="376"/>
    </row>
    <row r="53687" spans="1:100">
      <c r="A53687" s="374"/>
      <c r="C53687" s="374"/>
      <c r="CV53687" s="376"/>
    </row>
    <row r="53688" spans="1:100">
      <c r="A53688" s="374"/>
      <c r="C53688" s="374"/>
      <c r="CV53688" s="376"/>
    </row>
    <row r="53689" spans="1:100">
      <c r="A53689" s="374"/>
      <c r="C53689" s="374"/>
      <c r="CV53689" s="376"/>
    </row>
    <row r="53690" spans="1:100">
      <c r="A53690" s="374"/>
      <c r="C53690" s="374"/>
      <c r="CV53690" s="376"/>
    </row>
    <row r="53691" spans="1:100">
      <c r="A53691" s="374"/>
      <c r="C53691" s="374"/>
      <c r="CV53691" s="376"/>
    </row>
    <row r="53692" spans="1:100">
      <c r="A53692" s="374"/>
      <c r="C53692" s="374"/>
      <c r="CV53692" s="376"/>
    </row>
    <row r="53693" spans="1:100">
      <c r="A53693" s="374"/>
      <c r="C53693" s="374"/>
      <c r="CV53693" s="376"/>
    </row>
    <row r="53694" spans="1:100">
      <c r="A53694" s="374"/>
      <c r="C53694" s="374"/>
      <c r="CV53694" s="376"/>
    </row>
    <row r="53695" spans="1:100">
      <c r="A53695" s="374"/>
      <c r="C53695" s="374"/>
      <c r="CV53695" s="376"/>
    </row>
    <row r="53696" spans="1:100">
      <c r="A53696" s="374"/>
      <c r="C53696" s="374"/>
      <c r="CV53696" s="376"/>
    </row>
    <row r="53697" spans="1:100">
      <c r="A53697" s="374"/>
      <c r="C53697" s="374"/>
      <c r="CV53697" s="376"/>
    </row>
    <row r="53698" spans="1:100">
      <c r="A53698" s="374"/>
      <c r="C53698" s="374"/>
      <c r="CV53698" s="376"/>
    </row>
    <row r="53699" spans="1:100">
      <c r="A53699" s="374"/>
      <c r="C53699" s="374"/>
      <c r="CV53699" s="376"/>
    </row>
    <row r="53700" spans="1:100">
      <c r="A53700" s="374"/>
      <c r="C53700" s="374"/>
      <c r="CV53700" s="376"/>
    </row>
    <row r="53701" spans="1:100">
      <c r="A53701" s="374"/>
      <c r="C53701" s="374"/>
      <c r="CV53701" s="376"/>
    </row>
    <row r="53702" spans="1:100">
      <c r="A53702" s="374"/>
      <c r="C53702" s="374"/>
      <c r="CV53702" s="376"/>
    </row>
    <row r="53703" spans="1:100">
      <c r="A53703" s="374"/>
      <c r="C53703" s="374"/>
      <c r="CV53703" s="376"/>
    </row>
    <row r="53704" spans="1:100">
      <c r="A53704" s="374"/>
      <c r="C53704" s="374"/>
      <c r="CV53704" s="376"/>
    </row>
    <row r="53705" spans="1:100">
      <c r="A53705" s="374"/>
      <c r="C53705" s="374"/>
      <c r="CV53705" s="376"/>
    </row>
    <row r="53706" spans="1:100">
      <c r="A53706" s="374"/>
      <c r="C53706" s="374"/>
      <c r="CV53706" s="376"/>
    </row>
    <row r="53707" spans="1:100">
      <c r="A53707" s="374"/>
      <c r="C53707" s="374"/>
      <c r="CV53707" s="376"/>
    </row>
    <row r="53708" spans="1:100">
      <c r="A53708" s="374"/>
      <c r="C53708" s="374"/>
      <c r="CV53708" s="376"/>
    </row>
    <row r="53709" spans="1:100">
      <c r="A53709" s="374"/>
      <c r="C53709" s="374"/>
      <c r="CV53709" s="376"/>
    </row>
    <row r="53710" spans="1:100">
      <c r="A53710" s="374"/>
      <c r="C53710" s="374"/>
      <c r="CV53710" s="376"/>
    </row>
    <row r="53711" spans="1:100">
      <c r="A53711" s="374"/>
      <c r="C53711" s="374"/>
      <c r="CV53711" s="376"/>
    </row>
    <row r="53712" spans="1:100">
      <c r="A53712" s="374"/>
      <c r="C53712" s="374"/>
      <c r="CV53712" s="376"/>
    </row>
    <row r="53713" spans="1:100">
      <c r="A53713" s="374"/>
      <c r="C53713" s="374"/>
      <c r="CV53713" s="376"/>
    </row>
    <row r="53714" spans="1:100">
      <c r="A53714" s="374"/>
      <c r="C53714" s="374"/>
      <c r="CV53714" s="376"/>
    </row>
    <row r="53715" spans="1:100">
      <c r="A53715" s="374"/>
      <c r="C53715" s="374"/>
      <c r="CV53715" s="376"/>
    </row>
    <row r="53716" spans="1:100">
      <c r="A53716" s="374"/>
      <c r="C53716" s="374"/>
      <c r="CV53716" s="376"/>
    </row>
    <row r="53717" spans="1:100">
      <c r="A53717" s="374"/>
      <c r="C53717" s="374"/>
      <c r="CV53717" s="376"/>
    </row>
    <row r="53718" spans="1:100">
      <c r="A53718" s="374"/>
      <c r="C53718" s="374"/>
      <c r="CV53718" s="376"/>
    </row>
    <row r="53719" spans="1:100">
      <c r="A53719" s="374"/>
      <c r="C53719" s="374"/>
      <c r="CV53719" s="376"/>
    </row>
    <row r="53720" spans="1:100">
      <c r="A53720" s="374"/>
      <c r="C53720" s="374"/>
      <c r="CV53720" s="376"/>
    </row>
    <row r="53721" spans="1:100">
      <c r="A53721" s="374"/>
      <c r="C53721" s="374"/>
      <c r="CV53721" s="376"/>
    </row>
    <row r="53722" spans="1:100">
      <c r="A53722" s="374"/>
      <c r="C53722" s="374"/>
      <c r="CV53722" s="376"/>
    </row>
    <row r="53723" spans="1:100">
      <c r="A53723" s="374"/>
      <c r="C53723" s="374"/>
      <c r="CV53723" s="376"/>
    </row>
    <row r="53724" spans="1:100">
      <c r="A53724" s="374"/>
      <c r="C53724" s="374"/>
      <c r="CV53724" s="376"/>
    </row>
    <row r="53725" spans="1:100">
      <c r="A53725" s="374"/>
      <c r="C53725" s="374"/>
      <c r="CV53725" s="376"/>
    </row>
    <row r="53726" spans="1:100">
      <c r="A53726" s="374"/>
      <c r="C53726" s="374"/>
      <c r="CV53726" s="376"/>
    </row>
    <row r="53727" spans="1:100">
      <c r="A53727" s="374"/>
      <c r="C53727" s="374"/>
      <c r="CV53727" s="376"/>
    </row>
    <row r="53728" spans="1:100">
      <c r="A53728" s="374"/>
      <c r="C53728" s="374"/>
      <c r="CV53728" s="376"/>
    </row>
    <row r="53729" spans="1:100">
      <c r="A53729" s="374"/>
      <c r="C53729" s="374"/>
      <c r="CV53729" s="376"/>
    </row>
    <row r="53730" spans="1:100">
      <c r="A53730" s="374"/>
      <c r="C53730" s="374"/>
      <c r="CV53730" s="376"/>
    </row>
    <row r="53731" spans="1:100">
      <c r="A53731" s="374"/>
      <c r="C53731" s="374"/>
      <c r="CV53731" s="376"/>
    </row>
    <row r="53732" spans="1:100">
      <c r="A53732" s="374"/>
      <c r="C53732" s="374"/>
      <c r="CV53732" s="376"/>
    </row>
    <row r="53733" spans="1:100">
      <c r="A53733" s="374"/>
      <c r="C53733" s="374"/>
      <c r="CV53733" s="376"/>
    </row>
    <row r="53734" spans="1:100">
      <c r="A53734" s="374"/>
      <c r="C53734" s="374"/>
      <c r="CV53734" s="376"/>
    </row>
    <row r="53735" spans="1:100">
      <c r="A53735" s="374"/>
      <c r="C53735" s="374"/>
      <c r="CV53735" s="376"/>
    </row>
    <row r="53736" spans="1:100">
      <c r="A53736" s="374"/>
      <c r="C53736" s="374"/>
      <c r="CV53736" s="376"/>
    </row>
    <row r="53737" spans="1:100">
      <c r="A53737" s="374"/>
      <c r="C53737" s="374"/>
      <c r="CV53737" s="376"/>
    </row>
    <row r="53738" spans="1:100">
      <c r="A53738" s="374"/>
      <c r="C53738" s="374"/>
      <c r="CV53738" s="376"/>
    </row>
    <row r="53739" spans="1:100">
      <c r="A53739" s="374"/>
      <c r="C53739" s="374"/>
      <c r="CV53739" s="376"/>
    </row>
    <row r="53740" spans="1:100">
      <c r="A53740" s="374"/>
      <c r="C53740" s="374"/>
      <c r="CV53740" s="376"/>
    </row>
    <row r="53741" spans="1:100">
      <c r="A53741" s="374"/>
      <c r="C53741" s="374"/>
      <c r="CV53741" s="376"/>
    </row>
    <row r="53742" spans="1:100">
      <c r="A53742" s="374"/>
      <c r="C53742" s="374"/>
      <c r="CV53742" s="376"/>
    </row>
    <row r="53743" spans="1:100">
      <c r="A53743" s="374"/>
      <c r="C53743" s="374"/>
      <c r="CV53743" s="376"/>
    </row>
    <row r="53744" spans="1:100">
      <c r="A53744" s="374"/>
      <c r="C53744" s="374"/>
      <c r="CV53744" s="376"/>
    </row>
    <row r="53745" spans="1:100">
      <c r="A53745" s="374"/>
      <c r="C53745" s="374"/>
      <c r="CV53745" s="376"/>
    </row>
    <row r="53746" spans="1:100">
      <c r="A53746" s="374"/>
      <c r="C53746" s="374"/>
      <c r="CV53746" s="376"/>
    </row>
    <row r="53747" spans="1:100">
      <c r="A53747" s="374"/>
      <c r="C53747" s="374"/>
      <c r="CV53747" s="376"/>
    </row>
    <row r="53748" spans="1:100">
      <c r="A53748" s="374"/>
      <c r="C53748" s="374"/>
      <c r="CV53748" s="376"/>
    </row>
    <row r="53749" spans="1:100">
      <c r="A53749" s="374"/>
      <c r="C53749" s="374"/>
      <c r="CV53749" s="376"/>
    </row>
    <row r="53750" spans="1:100">
      <c r="A53750" s="374"/>
      <c r="C53750" s="374"/>
      <c r="CV53750" s="376"/>
    </row>
    <row r="53751" spans="1:100">
      <c r="A53751" s="374"/>
      <c r="C53751" s="374"/>
      <c r="CV53751" s="376"/>
    </row>
    <row r="53752" spans="1:100">
      <c r="A53752" s="374"/>
      <c r="C53752" s="374"/>
      <c r="CV53752" s="376"/>
    </row>
    <row r="53753" spans="1:100">
      <c r="A53753" s="374"/>
      <c r="C53753" s="374"/>
      <c r="CV53753" s="376"/>
    </row>
    <row r="53754" spans="1:100">
      <c r="A53754" s="374"/>
      <c r="C53754" s="374"/>
      <c r="CV53754" s="376"/>
    </row>
    <row r="53755" spans="1:100">
      <c r="A53755" s="374"/>
      <c r="C53755" s="374"/>
      <c r="CV53755" s="376"/>
    </row>
    <row r="53756" spans="1:100">
      <c r="A53756" s="374"/>
      <c r="C53756" s="374"/>
      <c r="CV53756" s="376"/>
    </row>
    <row r="53757" spans="1:100">
      <c r="A53757" s="374"/>
      <c r="C53757" s="374"/>
      <c r="CV53757" s="376"/>
    </row>
    <row r="53758" spans="1:100">
      <c r="A53758" s="374"/>
      <c r="C53758" s="374"/>
      <c r="CV53758" s="376"/>
    </row>
    <row r="53759" spans="1:100">
      <c r="A53759" s="374"/>
      <c r="C53759" s="374"/>
      <c r="CV53759" s="376"/>
    </row>
    <row r="53760" spans="1:100">
      <c r="A53760" s="374"/>
      <c r="C53760" s="374"/>
      <c r="CV53760" s="376"/>
    </row>
    <row r="53761" spans="1:100">
      <c r="A53761" s="374"/>
      <c r="C53761" s="374"/>
      <c r="CV53761" s="376"/>
    </row>
    <row r="53762" spans="1:100">
      <c r="A53762" s="374"/>
      <c r="C53762" s="374"/>
      <c r="CV53762" s="376"/>
    </row>
    <row r="53763" spans="1:100">
      <c r="A53763" s="374"/>
      <c r="C53763" s="374"/>
      <c r="CV53763" s="376"/>
    </row>
    <row r="53764" spans="1:100">
      <c r="A53764" s="374"/>
      <c r="C53764" s="374"/>
      <c r="CV53764" s="376"/>
    </row>
    <row r="53765" spans="1:100">
      <c r="A53765" s="374"/>
      <c r="C53765" s="374"/>
      <c r="CV53765" s="376"/>
    </row>
    <row r="53766" spans="1:100">
      <c r="A53766" s="374"/>
      <c r="C53766" s="374"/>
      <c r="CV53766" s="376"/>
    </row>
    <row r="53767" spans="1:100">
      <c r="A53767" s="374"/>
      <c r="C53767" s="374"/>
      <c r="CV53767" s="376"/>
    </row>
    <row r="53768" spans="1:100">
      <c r="A53768" s="374"/>
      <c r="C53768" s="374"/>
      <c r="CV53768" s="376"/>
    </row>
    <row r="53769" spans="1:100">
      <c r="A53769" s="374"/>
      <c r="C53769" s="374"/>
      <c r="CV53769" s="376"/>
    </row>
    <row r="53770" spans="1:100">
      <c r="A53770" s="374"/>
      <c r="C53770" s="374"/>
      <c r="CV53770" s="376"/>
    </row>
    <row r="53771" spans="1:100">
      <c r="A53771" s="374"/>
      <c r="C53771" s="374"/>
      <c r="CV53771" s="376"/>
    </row>
    <row r="53772" spans="1:100">
      <c r="A53772" s="374"/>
      <c r="C53772" s="374"/>
      <c r="CV53772" s="376"/>
    </row>
    <row r="53773" spans="1:100">
      <c r="A53773" s="374"/>
      <c r="C53773" s="374"/>
      <c r="CV53773" s="376"/>
    </row>
    <row r="53774" spans="1:100">
      <c r="A53774" s="374"/>
      <c r="C53774" s="374"/>
      <c r="CV53774" s="376"/>
    </row>
    <row r="53775" spans="1:100">
      <c r="A53775" s="374"/>
      <c r="C53775" s="374"/>
      <c r="CV53775" s="376"/>
    </row>
    <row r="53776" spans="1:100">
      <c r="A53776" s="374"/>
      <c r="C53776" s="374"/>
      <c r="CV53776" s="376"/>
    </row>
    <row r="53777" spans="1:100">
      <c r="A53777" s="374"/>
      <c r="C53777" s="374"/>
      <c r="CV53777" s="376"/>
    </row>
    <row r="53778" spans="1:100">
      <c r="A53778" s="374"/>
      <c r="C53778" s="374"/>
      <c r="CV53778" s="376"/>
    </row>
    <row r="53779" spans="1:100">
      <c r="A53779" s="374"/>
      <c r="C53779" s="374"/>
      <c r="CV53779" s="376"/>
    </row>
    <row r="53780" spans="1:100">
      <c r="A53780" s="374"/>
      <c r="C53780" s="374"/>
      <c r="CV53780" s="376"/>
    </row>
    <row r="53781" spans="1:100">
      <c r="A53781" s="374"/>
      <c r="C53781" s="374"/>
      <c r="CV53781" s="376"/>
    </row>
    <row r="53782" spans="1:100">
      <c r="A53782" s="374"/>
      <c r="C53782" s="374"/>
      <c r="CV53782" s="376"/>
    </row>
    <row r="53783" spans="1:100">
      <c r="A53783" s="374"/>
      <c r="C53783" s="374"/>
      <c r="CV53783" s="376"/>
    </row>
    <row r="53784" spans="1:100">
      <c r="A53784" s="374"/>
      <c r="C53784" s="374"/>
      <c r="CV53784" s="376"/>
    </row>
    <row r="53785" spans="1:100">
      <c r="A53785" s="374"/>
      <c r="C53785" s="374"/>
      <c r="CV53785" s="376"/>
    </row>
    <row r="53786" spans="1:100">
      <c r="A53786" s="374"/>
      <c r="C53786" s="374"/>
      <c r="CV53786" s="376"/>
    </row>
    <row r="53787" spans="1:100">
      <c r="A53787" s="374"/>
      <c r="C53787" s="374"/>
      <c r="CV53787" s="376"/>
    </row>
    <row r="53788" spans="1:100">
      <c r="A53788" s="374"/>
      <c r="C53788" s="374"/>
      <c r="CV53788" s="376"/>
    </row>
    <row r="53789" spans="1:100">
      <c r="A53789" s="374"/>
      <c r="C53789" s="374"/>
      <c r="CV53789" s="376"/>
    </row>
    <row r="53790" spans="1:100">
      <c r="A53790" s="374"/>
      <c r="C53790" s="374"/>
      <c r="CV53790" s="376"/>
    </row>
    <row r="53791" spans="1:100">
      <c r="A53791" s="374"/>
      <c r="C53791" s="374"/>
      <c r="CV53791" s="376"/>
    </row>
    <row r="53792" spans="1:100">
      <c r="A53792" s="374"/>
      <c r="C53792" s="374"/>
      <c r="CV53792" s="376"/>
    </row>
    <row r="53793" spans="1:100">
      <c r="A53793" s="374"/>
      <c r="C53793" s="374"/>
      <c r="CV53793" s="376"/>
    </row>
    <row r="53794" spans="1:100">
      <c r="A53794" s="374"/>
      <c r="C53794" s="374"/>
      <c r="CV53794" s="376"/>
    </row>
    <row r="53795" spans="1:100">
      <c r="A53795" s="374"/>
      <c r="C53795" s="374"/>
      <c r="CV53795" s="376"/>
    </row>
    <row r="53796" spans="1:100">
      <c r="A53796" s="374"/>
      <c r="C53796" s="374"/>
      <c r="CV53796" s="376"/>
    </row>
    <row r="53797" spans="1:100">
      <c r="A53797" s="374"/>
      <c r="C53797" s="374"/>
      <c r="CV53797" s="376"/>
    </row>
    <row r="53798" spans="1:100">
      <c r="A53798" s="374"/>
      <c r="C53798" s="374"/>
      <c r="CV53798" s="376"/>
    </row>
    <row r="53799" spans="1:100">
      <c r="A53799" s="374"/>
      <c r="C53799" s="374"/>
      <c r="CV53799" s="376"/>
    </row>
    <row r="53800" spans="1:100">
      <c r="A53800" s="374"/>
      <c r="C53800" s="374"/>
      <c r="CV53800" s="376"/>
    </row>
    <row r="53801" spans="1:100">
      <c r="A53801" s="374"/>
      <c r="C53801" s="374"/>
      <c r="CV53801" s="376"/>
    </row>
    <row r="53802" spans="1:100">
      <c r="A53802" s="374"/>
      <c r="C53802" s="374"/>
      <c r="CV53802" s="376"/>
    </row>
    <row r="53803" spans="1:100">
      <c r="A53803" s="374"/>
      <c r="C53803" s="374"/>
      <c r="CV53803" s="376"/>
    </row>
    <row r="53804" spans="1:100">
      <c r="A53804" s="374"/>
      <c r="C53804" s="374"/>
      <c r="CV53804" s="376"/>
    </row>
    <row r="53805" spans="1:100">
      <c r="A53805" s="374"/>
      <c r="C53805" s="374"/>
      <c r="CV53805" s="376"/>
    </row>
    <row r="53806" spans="1:100">
      <c r="A53806" s="374"/>
      <c r="C53806" s="374"/>
      <c r="CV53806" s="376"/>
    </row>
    <row r="53807" spans="1:100">
      <c r="A53807" s="374"/>
      <c r="C53807" s="374"/>
      <c r="CV53807" s="376"/>
    </row>
    <row r="53808" spans="1:100">
      <c r="A53808" s="374"/>
      <c r="C53808" s="374"/>
      <c r="CV53808" s="376"/>
    </row>
    <row r="53809" spans="1:100">
      <c r="A53809" s="374"/>
      <c r="C53809" s="374"/>
      <c r="CV53809" s="376"/>
    </row>
    <row r="53810" spans="1:100">
      <c r="A53810" s="374"/>
      <c r="C53810" s="374"/>
      <c r="CV53810" s="376"/>
    </row>
    <row r="53811" spans="1:100">
      <c r="A53811" s="374"/>
      <c r="C53811" s="374"/>
      <c r="CV53811" s="376"/>
    </row>
    <row r="53812" spans="1:100">
      <c r="A53812" s="374"/>
      <c r="C53812" s="374"/>
      <c r="CV53812" s="376"/>
    </row>
    <row r="53813" spans="1:100">
      <c r="A53813" s="374"/>
      <c r="C53813" s="374"/>
      <c r="CV53813" s="376"/>
    </row>
    <row r="53814" spans="1:100">
      <c r="A53814" s="374"/>
      <c r="C53814" s="374"/>
      <c r="CV53814" s="376"/>
    </row>
    <row r="53815" spans="1:100">
      <c r="A53815" s="374"/>
      <c r="C53815" s="374"/>
      <c r="CV53815" s="376"/>
    </row>
    <row r="53816" spans="1:100">
      <c r="A53816" s="374"/>
      <c r="C53816" s="374"/>
      <c r="CV53816" s="376"/>
    </row>
    <row r="53817" spans="1:100">
      <c r="A53817" s="374"/>
      <c r="C53817" s="374"/>
      <c r="CV53817" s="376"/>
    </row>
    <row r="53818" spans="1:100">
      <c r="A53818" s="374"/>
      <c r="C53818" s="374"/>
      <c r="CV53818" s="376"/>
    </row>
    <row r="53819" spans="1:100">
      <c r="A53819" s="374"/>
      <c r="C53819" s="374"/>
      <c r="CV53819" s="376"/>
    </row>
    <row r="53820" spans="1:100">
      <c r="A53820" s="374"/>
      <c r="C53820" s="374"/>
      <c r="CV53820" s="376"/>
    </row>
    <row r="53821" spans="1:100">
      <c r="A53821" s="374"/>
      <c r="C53821" s="374"/>
      <c r="CV53821" s="376"/>
    </row>
    <row r="53822" spans="1:100">
      <c r="A53822" s="374"/>
      <c r="C53822" s="374"/>
      <c r="CV53822" s="376"/>
    </row>
    <row r="53823" spans="1:100">
      <c r="A53823" s="374"/>
      <c r="C53823" s="374"/>
      <c r="CV53823" s="376"/>
    </row>
    <row r="53824" spans="1:100">
      <c r="A53824" s="374"/>
      <c r="C53824" s="374"/>
      <c r="CV53824" s="376"/>
    </row>
    <row r="53825" spans="1:100">
      <c r="A53825" s="374"/>
      <c r="C53825" s="374"/>
      <c r="CV53825" s="376"/>
    </row>
    <row r="53826" spans="1:100">
      <c r="A53826" s="374"/>
      <c r="C53826" s="374"/>
      <c r="CV53826" s="376"/>
    </row>
    <row r="53827" spans="1:100">
      <c r="A53827" s="374"/>
      <c r="C53827" s="374"/>
      <c r="CV53827" s="376"/>
    </row>
    <row r="53828" spans="1:100">
      <c r="A53828" s="374"/>
      <c r="C53828" s="374"/>
      <c r="CV53828" s="376"/>
    </row>
    <row r="53829" spans="1:100">
      <c r="A53829" s="374"/>
      <c r="C53829" s="374"/>
      <c r="CV53829" s="376"/>
    </row>
    <row r="53830" spans="1:100">
      <c r="A53830" s="374"/>
      <c r="C53830" s="374"/>
      <c r="CV53830" s="376"/>
    </row>
    <row r="53831" spans="1:100">
      <c r="A53831" s="374"/>
      <c r="C53831" s="374"/>
      <c r="CV53831" s="376"/>
    </row>
    <row r="53832" spans="1:100">
      <c r="A53832" s="374"/>
      <c r="C53832" s="374"/>
      <c r="CV53832" s="376"/>
    </row>
    <row r="53833" spans="1:100">
      <c r="A53833" s="374"/>
      <c r="C53833" s="374"/>
      <c r="CV53833" s="376"/>
    </row>
    <row r="53834" spans="1:100">
      <c r="A53834" s="374"/>
      <c r="C53834" s="374"/>
      <c r="CV53834" s="376"/>
    </row>
    <row r="53835" spans="1:100">
      <c r="A53835" s="374"/>
      <c r="C53835" s="374"/>
      <c r="CV53835" s="376"/>
    </row>
    <row r="53836" spans="1:100">
      <c r="A53836" s="374"/>
      <c r="C53836" s="374"/>
      <c r="CV53836" s="376"/>
    </row>
    <row r="53837" spans="1:100">
      <c r="A53837" s="374"/>
      <c r="C53837" s="374"/>
      <c r="CV53837" s="376"/>
    </row>
    <row r="53838" spans="1:100">
      <c r="A53838" s="374"/>
      <c r="C53838" s="374"/>
      <c r="CV53838" s="376"/>
    </row>
    <row r="53839" spans="1:100">
      <c r="A53839" s="374"/>
      <c r="C53839" s="374"/>
      <c r="CV53839" s="376"/>
    </row>
    <row r="53840" spans="1:100">
      <c r="A53840" s="374"/>
      <c r="C53840" s="374"/>
      <c r="CV53840" s="376"/>
    </row>
    <row r="53841" spans="1:100">
      <c r="A53841" s="374"/>
      <c r="C53841" s="374"/>
      <c r="CV53841" s="376"/>
    </row>
    <row r="53842" spans="1:100">
      <c r="A53842" s="374"/>
      <c r="C53842" s="374"/>
      <c r="CV53842" s="376"/>
    </row>
    <row r="53843" spans="1:100">
      <c r="A53843" s="374"/>
      <c r="C53843" s="374"/>
      <c r="CV53843" s="376"/>
    </row>
    <row r="53844" spans="1:100">
      <c r="A53844" s="374"/>
      <c r="C53844" s="374"/>
      <c r="CV53844" s="376"/>
    </row>
    <row r="53845" spans="1:100">
      <c r="A53845" s="374"/>
      <c r="C53845" s="374"/>
      <c r="CV53845" s="376"/>
    </row>
    <row r="53846" spans="1:100">
      <c r="A53846" s="374"/>
      <c r="C53846" s="374"/>
      <c r="CV53846" s="376"/>
    </row>
    <row r="53847" spans="1:100">
      <c r="A53847" s="374"/>
      <c r="C53847" s="374"/>
      <c r="CV53847" s="376"/>
    </row>
    <row r="53848" spans="1:100">
      <c r="A53848" s="374"/>
      <c r="C53848" s="374"/>
      <c r="CV53848" s="376"/>
    </row>
    <row r="53849" spans="1:100">
      <c r="A53849" s="374"/>
      <c r="C53849" s="374"/>
      <c r="CV53849" s="376"/>
    </row>
    <row r="53850" spans="1:100">
      <c r="A53850" s="374"/>
      <c r="C53850" s="374"/>
      <c r="CV53850" s="376"/>
    </row>
    <row r="53851" spans="1:100">
      <c r="A53851" s="374"/>
      <c r="C53851" s="374"/>
      <c r="CV53851" s="376"/>
    </row>
    <row r="53852" spans="1:100">
      <c r="A53852" s="374"/>
      <c r="C53852" s="374"/>
      <c r="CV53852" s="376"/>
    </row>
    <row r="53853" spans="1:100">
      <c r="A53853" s="374"/>
      <c r="C53853" s="374"/>
      <c r="CV53853" s="376"/>
    </row>
    <row r="53854" spans="1:100">
      <c r="A53854" s="374"/>
      <c r="C53854" s="374"/>
      <c r="CV53854" s="376"/>
    </row>
    <row r="53855" spans="1:100">
      <c r="A53855" s="374"/>
      <c r="C53855" s="374"/>
      <c r="CV53855" s="376"/>
    </row>
    <row r="53856" spans="1:100">
      <c r="A53856" s="374"/>
      <c r="C53856" s="374"/>
      <c r="CV53856" s="376"/>
    </row>
    <row r="53857" spans="1:100">
      <c r="A53857" s="374"/>
      <c r="C53857" s="374"/>
      <c r="CV53857" s="376"/>
    </row>
    <row r="53858" spans="1:100">
      <c r="A53858" s="374"/>
      <c r="C53858" s="374"/>
      <c r="CV53858" s="376"/>
    </row>
    <row r="53859" spans="1:100">
      <c r="A53859" s="374"/>
      <c r="C53859" s="374"/>
      <c r="CV53859" s="376"/>
    </row>
    <row r="53860" spans="1:100">
      <c r="A53860" s="374"/>
      <c r="C53860" s="374"/>
      <c r="CV53860" s="376"/>
    </row>
    <row r="53861" spans="1:100">
      <c r="A53861" s="374"/>
      <c r="C53861" s="374"/>
      <c r="CV53861" s="376"/>
    </row>
    <row r="53862" spans="1:100">
      <c r="A53862" s="374"/>
      <c r="C53862" s="374"/>
      <c r="CV53862" s="376"/>
    </row>
    <row r="53863" spans="1:100">
      <c r="A53863" s="374"/>
      <c r="C53863" s="374"/>
      <c r="CV53863" s="376"/>
    </row>
    <row r="53864" spans="1:100">
      <c r="A53864" s="374"/>
      <c r="C53864" s="374"/>
      <c r="CV53864" s="376"/>
    </row>
    <row r="53865" spans="1:100">
      <c r="A53865" s="374"/>
      <c r="C53865" s="374"/>
      <c r="CV53865" s="376"/>
    </row>
    <row r="53866" spans="1:100">
      <c r="A53866" s="374"/>
      <c r="C53866" s="374"/>
      <c r="CV53866" s="376"/>
    </row>
    <row r="53867" spans="1:100">
      <c r="A53867" s="374"/>
      <c r="C53867" s="374"/>
      <c r="CV53867" s="376"/>
    </row>
    <row r="53868" spans="1:100">
      <c r="A53868" s="374"/>
      <c r="C53868" s="374"/>
      <c r="CV53868" s="376"/>
    </row>
    <row r="53869" spans="1:100">
      <c r="A53869" s="374"/>
      <c r="C53869" s="374"/>
      <c r="CV53869" s="376"/>
    </row>
    <row r="53870" spans="1:100">
      <c r="A53870" s="374"/>
      <c r="C53870" s="374"/>
      <c r="CV53870" s="376"/>
    </row>
    <row r="53871" spans="1:100">
      <c r="A53871" s="374"/>
      <c r="C53871" s="374"/>
      <c r="CV53871" s="376"/>
    </row>
    <row r="53872" spans="1:100">
      <c r="A53872" s="374"/>
      <c r="C53872" s="374"/>
      <c r="CV53872" s="376"/>
    </row>
    <row r="53873" spans="1:100">
      <c r="A53873" s="374"/>
      <c r="C53873" s="374"/>
      <c r="CV53873" s="376"/>
    </row>
    <row r="53874" spans="1:100">
      <c r="A53874" s="374"/>
      <c r="C53874" s="374"/>
      <c r="CV53874" s="376"/>
    </row>
    <row r="53875" spans="1:100">
      <c r="A53875" s="374"/>
      <c r="C53875" s="374"/>
      <c r="CV53875" s="376"/>
    </row>
    <row r="53876" spans="1:100">
      <c r="A53876" s="374"/>
      <c r="C53876" s="374"/>
      <c r="CV53876" s="376"/>
    </row>
    <row r="53877" spans="1:100">
      <c r="A53877" s="374"/>
      <c r="C53877" s="374"/>
      <c r="CV53877" s="376"/>
    </row>
    <row r="53878" spans="1:100">
      <c r="A53878" s="374"/>
      <c r="C53878" s="374"/>
      <c r="CV53878" s="376"/>
    </row>
    <row r="53879" spans="1:100">
      <c r="A53879" s="374"/>
      <c r="C53879" s="374"/>
      <c r="CV53879" s="376"/>
    </row>
    <row r="53880" spans="1:100">
      <c r="A53880" s="374"/>
      <c r="C53880" s="374"/>
      <c r="CV53880" s="376"/>
    </row>
    <row r="53881" spans="1:100">
      <c r="A53881" s="374"/>
      <c r="C53881" s="374"/>
      <c r="CV53881" s="376"/>
    </row>
    <row r="53882" spans="1:100">
      <c r="A53882" s="374"/>
      <c r="C53882" s="374"/>
      <c r="CV53882" s="376"/>
    </row>
    <row r="53883" spans="1:100">
      <c r="A53883" s="374"/>
      <c r="C53883" s="374"/>
      <c r="CV53883" s="376"/>
    </row>
    <row r="53884" spans="1:100">
      <c r="A53884" s="374"/>
      <c r="C53884" s="374"/>
      <c r="CV53884" s="376"/>
    </row>
    <row r="53885" spans="1:100">
      <c r="A53885" s="374"/>
      <c r="C53885" s="374"/>
      <c r="CV53885" s="376"/>
    </row>
    <row r="53886" spans="1:100">
      <c r="A53886" s="374"/>
      <c r="C53886" s="374"/>
      <c r="CV53886" s="376"/>
    </row>
    <row r="53887" spans="1:100">
      <c r="A53887" s="374"/>
      <c r="C53887" s="374"/>
      <c r="CV53887" s="376"/>
    </row>
    <row r="53888" spans="1:100">
      <c r="A53888" s="374"/>
      <c r="C53888" s="374"/>
      <c r="CV53888" s="376"/>
    </row>
    <row r="53889" spans="1:100">
      <c r="A53889" s="374"/>
      <c r="C53889" s="374"/>
      <c r="CV53889" s="376"/>
    </row>
    <row r="53890" spans="1:100">
      <c r="A53890" s="374"/>
      <c r="C53890" s="374"/>
      <c r="CV53890" s="376"/>
    </row>
    <row r="53891" spans="1:100">
      <c r="A53891" s="374"/>
      <c r="C53891" s="374"/>
      <c r="CV53891" s="376"/>
    </row>
    <row r="53892" spans="1:100">
      <c r="A53892" s="374"/>
      <c r="C53892" s="374"/>
      <c r="CV53892" s="376"/>
    </row>
    <row r="53893" spans="1:100">
      <c r="A53893" s="374"/>
      <c r="C53893" s="374"/>
      <c r="CV53893" s="376"/>
    </row>
    <row r="53894" spans="1:100">
      <c r="A53894" s="374"/>
      <c r="C53894" s="374"/>
      <c r="CV53894" s="376"/>
    </row>
    <row r="53895" spans="1:100">
      <c r="A53895" s="374"/>
      <c r="C53895" s="374"/>
      <c r="CV53895" s="376"/>
    </row>
    <row r="53896" spans="1:100">
      <c r="A53896" s="374"/>
      <c r="C53896" s="374"/>
      <c r="CV53896" s="376"/>
    </row>
    <row r="53897" spans="1:100">
      <c r="A53897" s="374"/>
      <c r="C53897" s="374"/>
      <c r="CV53897" s="376"/>
    </row>
    <row r="53898" spans="1:100">
      <c r="A53898" s="374"/>
      <c r="C53898" s="374"/>
      <c r="CV53898" s="376"/>
    </row>
    <row r="53899" spans="1:100">
      <c r="A53899" s="374"/>
      <c r="C53899" s="374"/>
      <c r="CV53899" s="376"/>
    </row>
    <row r="53900" spans="1:100">
      <c r="A53900" s="374"/>
      <c r="C53900" s="374"/>
      <c r="CV53900" s="376"/>
    </row>
    <row r="53901" spans="1:100">
      <c r="A53901" s="374"/>
      <c r="C53901" s="374"/>
      <c r="CV53901" s="376"/>
    </row>
    <row r="53902" spans="1:100">
      <c r="A53902" s="374"/>
      <c r="C53902" s="374"/>
      <c r="CV53902" s="376"/>
    </row>
    <row r="53903" spans="1:100">
      <c r="A53903" s="374"/>
      <c r="C53903" s="374"/>
      <c r="CV53903" s="376"/>
    </row>
    <row r="53904" spans="1:100">
      <c r="A53904" s="374"/>
      <c r="C53904" s="374"/>
      <c r="CV53904" s="376"/>
    </row>
    <row r="53905" spans="1:100">
      <c r="A53905" s="374"/>
      <c r="C53905" s="374"/>
      <c r="CV53905" s="376"/>
    </row>
    <row r="53906" spans="1:100">
      <c r="A53906" s="374"/>
      <c r="C53906" s="374"/>
      <c r="CV53906" s="376"/>
    </row>
    <row r="53907" spans="1:100">
      <c r="A53907" s="374"/>
      <c r="C53907" s="374"/>
      <c r="CV53907" s="376"/>
    </row>
    <row r="53908" spans="1:100">
      <c r="A53908" s="374"/>
      <c r="C53908" s="374"/>
      <c r="CV53908" s="376"/>
    </row>
    <row r="53909" spans="1:100">
      <c r="A53909" s="374"/>
      <c r="C53909" s="374"/>
      <c r="CV53909" s="376"/>
    </row>
    <row r="53910" spans="1:100">
      <c r="A53910" s="374"/>
      <c r="C53910" s="374"/>
      <c r="CV53910" s="376"/>
    </row>
    <row r="53911" spans="1:100">
      <c r="A53911" s="374"/>
      <c r="C53911" s="374"/>
      <c r="CV53911" s="376"/>
    </row>
    <row r="53912" spans="1:100">
      <c r="A53912" s="374"/>
      <c r="C53912" s="374"/>
      <c r="CV53912" s="376"/>
    </row>
    <row r="53913" spans="1:100">
      <c r="A53913" s="374"/>
      <c r="C53913" s="374"/>
      <c r="CV53913" s="376"/>
    </row>
    <row r="53914" spans="1:100">
      <c r="A53914" s="374"/>
      <c r="C53914" s="374"/>
      <c r="CV53914" s="376"/>
    </row>
    <row r="53915" spans="1:100">
      <c r="A53915" s="374"/>
      <c r="C53915" s="374"/>
      <c r="CV53915" s="376"/>
    </row>
    <row r="53916" spans="1:100">
      <c r="A53916" s="374"/>
      <c r="C53916" s="374"/>
      <c r="CV53916" s="376"/>
    </row>
    <row r="53917" spans="1:100">
      <c r="A53917" s="374"/>
      <c r="C53917" s="374"/>
      <c r="CV53917" s="376"/>
    </row>
    <row r="53918" spans="1:100">
      <c r="A53918" s="374"/>
      <c r="C53918" s="374"/>
      <c r="CV53918" s="376"/>
    </row>
    <row r="53919" spans="1:100">
      <c r="A53919" s="374"/>
      <c r="C53919" s="374"/>
      <c r="CV53919" s="376"/>
    </row>
    <row r="53920" spans="1:100">
      <c r="A53920" s="374"/>
      <c r="C53920" s="374"/>
      <c r="CV53920" s="376"/>
    </row>
    <row r="53921" spans="1:100">
      <c r="A53921" s="374"/>
      <c r="C53921" s="374"/>
      <c r="CV53921" s="376"/>
    </row>
    <row r="53922" spans="1:100">
      <c r="A53922" s="374"/>
      <c r="C53922" s="374"/>
      <c r="CV53922" s="376"/>
    </row>
    <row r="53923" spans="1:100">
      <c r="A53923" s="374"/>
      <c r="C53923" s="374"/>
      <c r="CV53923" s="376"/>
    </row>
    <row r="53924" spans="1:100">
      <c r="A53924" s="374"/>
      <c r="C53924" s="374"/>
      <c r="CV53924" s="376"/>
    </row>
    <row r="53925" spans="1:100">
      <c r="A53925" s="374"/>
      <c r="C53925" s="374"/>
      <c r="CV53925" s="376"/>
    </row>
    <row r="53926" spans="1:100">
      <c r="A53926" s="374"/>
      <c r="C53926" s="374"/>
      <c r="CV53926" s="376"/>
    </row>
    <row r="53927" spans="1:100">
      <c r="A53927" s="374"/>
      <c r="C53927" s="374"/>
      <c r="CV53927" s="376"/>
    </row>
    <row r="53928" spans="1:100">
      <c r="A53928" s="374"/>
      <c r="C53928" s="374"/>
      <c r="CV53928" s="376"/>
    </row>
    <row r="53929" spans="1:100">
      <c r="A53929" s="374"/>
      <c r="C53929" s="374"/>
      <c r="CV53929" s="376"/>
    </row>
    <row r="53930" spans="1:100">
      <c r="A53930" s="374"/>
      <c r="C53930" s="374"/>
      <c r="CV53930" s="376"/>
    </row>
    <row r="53931" spans="1:100">
      <c r="A53931" s="374"/>
      <c r="C53931" s="374"/>
      <c r="CV53931" s="376"/>
    </row>
    <row r="53932" spans="1:100">
      <c r="A53932" s="374"/>
      <c r="C53932" s="374"/>
      <c r="CV53932" s="376"/>
    </row>
    <row r="53933" spans="1:100">
      <c r="A53933" s="374"/>
      <c r="C53933" s="374"/>
      <c r="CV53933" s="376"/>
    </row>
    <row r="53934" spans="1:100">
      <c r="A53934" s="374"/>
      <c r="C53934" s="374"/>
      <c r="CV53934" s="376"/>
    </row>
    <row r="53935" spans="1:100">
      <c r="A53935" s="374"/>
      <c r="C53935" s="374"/>
      <c r="CV53935" s="376"/>
    </row>
    <row r="53936" spans="1:100">
      <c r="A53936" s="374"/>
      <c r="C53936" s="374"/>
      <c r="CV53936" s="376"/>
    </row>
    <row r="53937" spans="1:100">
      <c r="A53937" s="374"/>
      <c r="C53937" s="374"/>
      <c r="CV53937" s="376"/>
    </row>
    <row r="53938" spans="1:100">
      <c r="A53938" s="374"/>
      <c r="C53938" s="374"/>
      <c r="CV53938" s="376"/>
    </row>
    <row r="53939" spans="1:100">
      <c r="A53939" s="374"/>
      <c r="C53939" s="374"/>
      <c r="CV53939" s="376"/>
    </row>
    <row r="53940" spans="1:100">
      <c r="A53940" s="374"/>
      <c r="C53940" s="374"/>
      <c r="CV53940" s="376"/>
    </row>
    <row r="53941" spans="1:100">
      <c r="A53941" s="374"/>
      <c r="C53941" s="374"/>
      <c r="CV53941" s="376"/>
    </row>
    <row r="53942" spans="1:100">
      <c r="A53942" s="374"/>
      <c r="C53942" s="374"/>
      <c r="CV53942" s="376"/>
    </row>
    <row r="53943" spans="1:100">
      <c r="A53943" s="374"/>
      <c r="C53943" s="374"/>
      <c r="CV53943" s="376"/>
    </row>
    <row r="53944" spans="1:100">
      <c r="A53944" s="374"/>
      <c r="C53944" s="374"/>
      <c r="CV53944" s="376"/>
    </row>
    <row r="53945" spans="1:100">
      <c r="A53945" s="374"/>
      <c r="C53945" s="374"/>
      <c r="CV53945" s="376"/>
    </row>
    <row r="53946" spans="1:100">
      <c r="A53946" s="374"/>
      <c r="C53946" s="374"/>
      <c r="CV53946" s="376"/>
    </row>
    <row r="53947" spans="1:100">
      <c r="A53947" s="374"/>
      <c r="C53947" s="374"/>
      <c r="CV53947" s="376"/>
    </row>
    <row r="53948" spans="1:100">
      <c r="A53948" s="374"/>
      <c r="C53948" s="374"/>
      <c r="CV53948" s="376"/>
    </row>
    <row r="53949" spans="1:100">
      <c r="A53949" s="374"/>
      <c r="C53949" s="374"/>
      <c r="CV53949" s="376"/>
    </row>
    <row r="53950" spans="1:100">
      <c r="A53950" s="374"/>
      <c r="C53950" s="374"/>
      <c r="CV53950" s="376"/>
    </row>
    <row r="53951" spans="1:100">
      <c r="A53951" s="374"/>
      <c r="C53951" s="374"/>
      <c r="CV53951" s="376"/>
    </row>
    <row r="53952" spans="1:100">
      <c r="A53952" s="374"/>
      <c r="C53952" s="374"/>
      <c r="CV53952" s="376"/>
    </row>
    <row r="53953" spans="1:100">
      <c r="A53953" s="374"/>
      <c r="C53953" s="374"/>
      <c r="CV53953" s="376"/>
    </row>
    <row r="53954" spans="1:100">
      <c r="A53954" s="374"/>
      <c r="C53954" s="374"/>
      <c r="CV53954" s="376"/>
    </row>
    <row r="53955" spans="1:100">
      <c r="A53955" s="374"/>
      <c r="C53955" s="374"/>
      <c r="CV53955" s="376"/>
    </row>
    <row r="53956" spans="1:100">
      <c r="A53956" s="374"/>
      <c r="C53956" s="374"/>
      <c r="CV53956" s="376"/>
    </row>
    <row r="53957" spans="1:100">
      <c r="A53957" s="374"/>
      <c r="C53957" s="374"/>
      <c r="CV53957" s="376"/>
    </row>
    <row r="53958" spans="1:100">
      <c r="A53958" s="374"/>
      <c r="C53958" s="374"/>
      <c r="CV53958" s="376"/>
    </row>
    <row r="53959" spans="1:100">
      <c r="A53959" s="374"/>
      <c r="C53959" s="374"/>
      <c r="CV53959" s="376"/>
    </row>
    <row r="53960" spans="1:100">
      <c r="A53960" s="374"/>
      <c r="C53960" s="374"/>
      <c r="CV53960" s="376"/>
    </row>
    <row r="53961" spans="1:100">
      <c r="A53961" s="374"/>
      <c r="C53961" s="374"/>
      <c r="CV53961" s="376"/>
    </row>
    <row r="53962" spans="1:100">
      <c r="A53962" s="374"/>
      <c r="C53962" s="374"/>
      <c r="CV53962" s="376"/>
    </row>
    <row r="53963" spans="1:100">
      <c r="A53963" s="374"/>
      <c r="C53963" s="374"/>
      <c r="CV53963" s="376"/>
    </row>
    <row r="53964" spans="1:100">
      <c r="A53964" s="374"/>
      <c r="C53964" s="374"/>
      <c r="CV53964" s="376"/>
    </row>
    <row r="53965" spans="1:100">
      <c r="A53965" s="374"/>
      <c r="C53965" s="374"/>
      <c r="CV53965" s="376"/>
    </row>
    <row r="53966" spans="1:100">
      <c r="A53966" s="374"/>
      <c r="C53966" s="374"/>
      <c r="CV53966" s="376"/>
    </row>
    <row r="53967" spans="1:100">
      <c r="A53967" s="374"/>
      <c r="C53967" s="374"/>
      <c r="CV53967" s="376"/>
    </row>
    <row r="53968" spans="1:100">
      <c r="A53968" s="374"/>
      <c r="C53968" s="374"/>
      <c r="CV53968" s="376"/>
    </row>
    <row r="53969" spans="1:100">
      <c r="A53969" s="374"/>
      <c r="C53969" s="374"/>
      <c r="CV53969" s="376"/>
    </row>
    <row r="53970" spans="1:100">
      <c r="A53970" s="374"/>
      <c r="C53970" s="374"/>
      <c r="CV53970" s="376"/>
    </row>
    <row r="53971" spans="1:100">
      <c r="A53971" s="374"/>
      <c r="C53971" s="374"/>
      <c r="CV53971" s="376"/>
    </row>
    <row r="53972" spans="1:100">
      <c r="A53972" s="374"/>
      <c r="C53972" s="374"/>
      <c r="CV53972" s="376"/>
    </row>
    <row r="53973" spans="1:100">
      <c r="A53973" s="374"/>
      <c r="C53973" s="374"/>
      <c r="CV53973" s="376"/>
    </row>
    <row r="53974" spans="1:100">
      <c r="A53974" s="374"/>
      <c r="C53974" s="374"/>
      <c r="CV53974" s="376"/>
    </row>
    <row r="53975" spans="1:100">
      <c r="A53975" s="374"/>
      <c r="C53975" s="374"/>
      <c r="CV53975" s="376"/>
    </row>
    <row r="53976" spans="1:100">
      <c r="A53976" s="374"/>
      <c r="C53976" s="374"/>
      <c r="CV53976" s="376"/>
    </row>
    <row r="53977" spans="1:100">
      <c r="A53977" s="374"/>
      <c r="C53977" s="374"/>
      <c r="CV53977" s="376"/>
    </row>
    <row r="53978" spans="1:100">
      <c r="A53978" s="374"/>
      <c r="C53978" s="374"/>
      <c r="CV53978" s="376"/>
    </row>
    <row r="53979" spans="1:100">
      <c r="A53979" s="374"/>
      <c r="C53979" s="374"/>
      <c r="CV53979" s="376"/>
    </row>
    <row r="53980" spans="1:100">
      <c r="A53980" s="374"/>
      <c r="C53980" s="374"/>
      <c r="CV53980" s="376"/>
    </row>
    <row r="53981" spans="1:100">
      <c r="A53981" s="374"/>
      <c r="C53981" s="374"/>
      <c r="CV53981" s="376"/>
    </row>
    <row r="53982" spans="1:100">
      <c r="A53982" s="374"/>
      <c r="C53982" s="374"/>
      <c r="CV53982" s="376"/>
    </row>
    <row r="53983" spans="1:100">
      <c r="A53983" s="374"/>
      <c r="C53983" s="374"/>
      <c r="CV53983" s="376"/>
    </row>
    <row r="53984" spans="1:100">
      <c r="A53984" s="374"/>
      <c r="C53984" s="374"/>
      <c r="CV53984" s="376"/>
    </row>
    <row r="53985" spans="1:100">
      <c r="A53985" s="374"/>
      <c r="C53985" s="374"/>
      <c r="CV53985" s="376"/>
    </row>
    <row r="53986" spans="1:100">
      <c r="A53986" s="374"/>
      <c r="C53986" s="374"/>
      <c r="CV53986" s="376"/>
    </row>
    <row r="53987" spans="1:100">
      <c r="A53987" s="374"/>
      <c r="C53987" s="374"/>
      <c r="CV53987" s="376"/>
    </row>
    <row r="53988" spans="1:100">
      <c r="A53988" s="374"/>
      <c r="C53988" s="374"/>
      <c r="CV53988" s="376"/>
    </row>
    <row r="53989" spans="1:100">
      <c r="A53989" s="374"/>
      <c r="C53989" s="374"/>
      <c r="CV53989" s="376"/>
    </row>
    <row r="53990" spans="1:100">
      <c r="A53990" s="374"/>
      <c r="C53990" s="374"/>
      <c r="CV53990" s="376"/>
    </row>
    <row r="53991" spans="1:100">
      <c r="A53991" s="374"/>
      <c r="C53991" s="374"/>
      <c r="CV53991" s="376"/>
    </row>
    <row r="53992" spans="1:100">
      <c r="A53992" s="374"/>
      <c r="C53992" s="374"/>
      <c r="CV53992" s="376"/>
    </row>
    <row r="53993" spans="1:100">
      <c r="A53993" s="374"/>
      <c r="C53993" s="374"/>
      <c r="CV53993" s="376"/>
    </row>
    <row r="53994" spans="1:100">
      <c r="A53994" s="374"/>
      <c r="C53994" s="374"/>
      <c r="CV53994" s="376"/>
    </row>
    <row r="53995" spans="1:100">
      <c r="A53995" s="374"/>
      <c r="C53995" s="374"/>
      <c r="CV53995" s="376"/>
    </row>
    <row r="53996" spans="1:100">
      <c r="A53996" s="374"/>
      <c r="C53996" s="374"/>
      <c r="CV53996" s="376"/>
    </row>
    <row r="53997" spans="1:100">
      <c r="A53997" s="374"/>
      <c r="C53997" s="374"/>
      <c r="CV53997" s="376"/>
    </row>
    <row r="53998" spans="1:100">
      <c r="A53998" s="374"/>
      <c r="C53998" s="374"/>
      <c r="CV53998" s="376"/>
    </row>
    <row r="53999" spans="1:100">
      <c r="A53999" s="374"/>
      <c r="C53999" s="374"/>
      <c r="CV53999" s="376"/>
    </row>
    <row r="54000" spans="1:100">
      <c r="A54000" s="374"/>
      <c r="C54000" s="374"/>
      <c r="CV54000" s="376"/>
    </row>
    <row r="54001" spans="1:100">
      <c r="A54001" s="374"/>
      <c r="C54001" s="374"/>
      <c r="CV54001" s="376"/>
    </row>
    <row r="54002" spans="1:100">
      <c r="A54002" s="374"/>
      <c r="C54002" s="374"/>
      <c r="CV54002" s="376"/>
    </row>
    <row r="54003" spans="1:100">
      <c r="A54003" s="374"/>
      <c r="C54003" s="374"/>
      <c r="CV54003" s="376"/>
    </row>
    <row r="54004" spans="1:100">
      <c r="A54004" s="374"/>
      <c r="C54004" s="374"/>
      <c r="CV54004" s="376"/>
    </row>
    <row r="54005" spans="1:100">
      <c r="A54005" s="374"/>
      <c r="C54005" s="374"/>
      <c r="CV54005" s="376"/>
    </row>
    <row r="54006" spans="1:100">
      <c r="A54006" s="374"/>
      <c r="C54006" s="374"/>
      <c r="CV54006" s="376"/>
    </row>
    <row r="54007" spans="1:100">
      <c r="A54007" s="374"/>
      <c r="C54007" s="374"/>
      <c r="CV54007" s="376"/>
    </row>
    <row r="54008" spans="1:100">
      <c r="A54008" s="374"/>
      <c r="C54008" s="374"/>
      <c r="CV54008" s="376"/>
    </row>
    <row r="54009" spans="1:100">
      <c r="A54009" s="374"/>
      <c r="C54009" s="374"/>
      <c r="CV54009" s="376"/>
    </row>
    <row r="54010" spans="1:100">
      <c r="A54010" s="374"/>
      <c r="C54010" s="374"/>
      <c r="CV54010" s="376"/>
    </row>
    <row r="54011" spans="1:100">
      <c r="A54011" s="374"/>
      <c r="C54011" s="374"/>
      <c r="CV54011" s="376"/>
    </row>
    <row r="54012" spans="1:100">
      <c r="A54012" s="374"/>
      <c r="C54012" s="374"/>
      <c r="CV54012" s="376"/>
    </row>
    <row r="54013" spans="1:100">
      <c r="A54013" s="374"/>
      <c r="C54013" s="374"/>
      <c r="CV54013" s="376"/>
    </row>
    <row r="54014" spans="1:100">
      <c r="A54014" s="374"/>
      <c r="C54014" s="374"/>
      <c r="CV54014" s="376"/>
    </row>
    <row r="54015" spans="1:100">
      <c r="A54015" s="374"/>
      <c r="C54015" s="374"/>
      <c r="CV54015" s="376"/>
    </row>
    <row r="54016" spans="1:100">
      <c r="A54016" s="374"/>
      <c r="C54016" s="374"/>
      <c r="CV54016" s="376"/>
    </row>
    <row r="54017" spans="1:100">
      <c r="A54017" s="374"/>
      <c r="C54017" s="374"/>
      <c r="CV54017" s="376"/>
    </row>
    <row r="54018" spans="1:100">
      <c r="A54018" s="374"/>
      <c r="C54018" s="374"/>
      <c r="CV54018" s="376"/>
    </row>
    <row r="54019" spans="1:100">
      <c r="A54019" s="374"/>
      <c r="C54019" s="374"/>
      <c r="CV54019" s="376"/>
    </row>
    <row r="54020" spans="1:100">
      <c r="A54020" s="374"/>
      <c r="C54020" s="374"/>
      <c r="CV54020" s="376"/>
    </row>
    <row r="54021" spans="1:100">
      <c r="A54021" s="374"/>
      <c r="C54021" s="374"/>
      <c r="CV54021" s="376"/>
    </row>
    <row r="54022" spans="1:100">
      <c r="A54022" s="374"/>
      <c r="C54022" s="374"/>
      <c r="CV54022" s="376"/>
    </row>
    <row r="54023" spans="1:100">
      <c r="A54023" s="374"/>
      <c r="C54023" s="374"/>
      <c r="CV54023" s="376"/>
    </row>
    <row r="54024" spans="1:100">
      <c r="A54024" s="374"/>
      <c r="C54024" s="374"/>
      <c r="CV54024" s="376"/>
    </row>
    <row r="54025" spans="1:100">
      <c r="A54025" s="374"/>
      <c r="C54025" s="374"/>
      <c r="CV54025" s="376"/>
    </row>
    <row r="54026" spans="1:100">
      <c r="A54026" s="374"/>
      <c r="C54026" s="374"/>
      <c r="CV54026" s="376"/>
    </row>
    <row r="54027" spans="1:100">
      <c r="A54027" s="374"/>
      <c r="C54027" s="374"/>
      <c r="CV54027" s="376"/>
    </row>
    <row r="54028" spans="1:100">
      <c r="A54028" s="374"/>
      <c r="C54028" s="374"/>
      <c r="CV54028" s="376"/>
    </row>
    <row r="54029" spans="1:100">
      <c r="A54029" s="374"/>
      <c r="C54029" s="374"/>
      <c r="CV54029" s="376"/>
    </row>
    <row r="54030" spans="1:100">
      <c r="A54030" s="374"/>
      <c r="C54030" s="374"/>
      <c r="CV54030" s="376"/>
    </row>
    <row r="54031" spans="1:100">
      <c r="A54031" s="374"/>
      <c r="C54031" s="374"/>
      <c r="CV54031" s="376"/>
    </row>
    <row r="54032" spans="1:100">
      <c r="A54032" s="374"/>
      <c r="C54032" s="374"/>
      <c r="CV54032" s="376"/>
    </row>
    <row r="54033" spans="1:100">
      <c r="A54033" s="374"/>
      <c r="C54033" s="374"/>
      <c r="CV54033" s="376"/>
    </row>
    <row r="54034" spans="1:100">
      <c r="A54034" s="374"/>
      <c r="C54034" s="374"/>
      <c r="CV54034" s="376"/>
    </row>
    <row r="54035" spans="1:100">
      <c r="A54035" s="374"/>
      <c r="C54035" s="374"/>
      <c r="CV54035" s="376"/>
    </row>
    <row r="54036" spans="1:100">
      <c r="A54036" s="374"/>
      <c r="C54036" s="374"/>
      <c r="CV54036" s="376"/>
    </row>
    <row r="54037" spans="1:100">
      <c r="A54037" s="374"/>
      <c r="C54037" s="374"/>
      <c r="CV54037" s="376"/>
    </row>
    <row r="54038" spans="1:100">
      <c r="A54038" s="374"/>
      <c r="C54038" s="374"/>
      <c r="CV54038" s="376"/>
    </row>
    <row r="54039" spans="1:100">
      <c r="A54039" s="374"/>
      <c r="C54039" s="374"/>
      <c r="CV54039" s="376"/>
    </row>
    <row r="54040" spans="1:100">
      <c r="A54040" s="374"/>
      <c r="C54040" s="374"/>
      <c r="CV54040" s="376"/>
    </row>
    <row r="54041" spans="1:100">
      <c r="A54041" s="374"/>
      <c r="C54041" s="374"/>
      <c r="CV54041" s="376"/>
    </row>
    <row r="54042" spans="1:100">
      <c r="A54042" s="374"/>
      <c r="C54042" s="374"/>
      <c r="CV54042" s="376"/>
    </row>
    <row r="54043" spans="1:100">
      <c r="A54043" s="374"/>
      <c r="C54043" s="374"/>
      <c r="CV54043" s="376"/>
    </row>
    <row r="54044" spans="1:100">
      <c r="A54044" s="374"/>
      <c r="C54044" s="374"/>
      <c r="CV54044" s="376"/>
    </row>
    <row r="54045" spans="1:100">
      <c r="A54045" s="374"/>
      <c r="C54045" s="374"/>
      <c r="CV54045" s="376"/>
    </row>
    <row r="54046" spans="1:100">
      <c r="A54046" s="374"/>
      <c r="C54046" s="374"/>
      <c r="CV54046" s="376"/>
    </row>
    <row r="54047" spans="1:100">
      <c r="A54047" s="374"/>
      <c r="C54047" s="374"/>
      <c r="CV54047" s="376"/>
    </row>
    <row r="54048" spans="1:100">
      <c r="A54048" s="374"/>
      <c r="C54048" s="374"/>
      <c r="CV54048" s="376"/>
    </row>
    <row r="54049" spans="1:100">
      <c r="A54049" s="374"/>
      <c r="C54049" s="374"/>
      <c r="CV54049" s="376"/>
    </row>
    <row r="54050" spans="1:100">
      <c r="A54050" s="374"/>
      <c r="C54050" s="374"/>
      <c r="CV54050" s="376"/>
    </row>
    <row r="54051" spans="1:100">
      <c r="A54051" s="374"/>
      <c r="C54051" s="374"/>
      <c r="CV54051" s="376"/>
    </row>
    <row r="54052" spans="1:100">
      <c r="A54052" s="374"/>
      <c r="C54052" s="374"/>
      <c r="CV54052" s="376"/>
    </row>
    <row r="54053" spans="1:100">
      <c r="A54053" s="374"/>
      <c r="C54053" s="374"/>
      <c r="CV54053" s="376"/>
    </row>
    <row r="54054" spans="1:100">
      <c r="A54054" s="374"/>
      <c r="C54054" s="374"/>
      <c r="CV54054" s="376"/>
    </row>
    <row r="54055" spans="1:100">
      <c r="A54055" s="374"/>
      <c r="C54055" s="374"/>
      <c r="CV54055" s="376"/>
    </row>
    <row r="54056" spans="1:100">
      <c r="A54056" s="374"/>
      <c r="C54056" s="374"/>
      <c r="CV54056" s="376"/>
    </row>
    <row r="54057" spans="1:100">
      <c r="A54057" s="374"/>
      <c r="C54057" s="374"/>
      <c r="CV54057" s="376"/>
    </row>
    <row r="54058" spans="1:100">
      <c r="A54058" s="374"/>
      <c r="C54058" s="374"/>
      <c r="CV54058" s="376"/>
    </row>
    <row r="54059" spans="1:100">
      <c r="A54059" s="374"/>
      <c r="C54059" s="374"/>
      <c r="CV54059" s="376"/>
    </row>
    <row r="54060" spans="1:100">
      <c r="A54060" s="374"/>
      <c r="C54060" s="374"/>
      <c r="CV54060" s="376"/>
    </row>
    <row r="54061" spans="1:100">
      <c r="A54061" s="374"/>
      <c r="C54061" s="374"/>
      <c r="CV54061" s="376"/>
    </row>
    <row r="54062" spans="1:100">
      <c r="A54062" s="374"/>
      <c r="C54062" s="374"/>
      <c r="CV54062" s="376"/>
    </row>
    <row r="54063" spans="1:100">
      <c r="A54063" s="374"/>
      <c r="C54063" s="374"/>
      <c r="CV54063" s="376"/>
    </row>
    <row r="54064" spans="1:100">
      <c r="A54064" s="374"/>
      <c r="C54064" s="374"/>
      <c r="CV54064" s="376"/>
    </row>
    <row r="54065" spans="1:100">
      <c r="A54065" s="374"/>
      <c r="C54065" s="374"/>
      <c r="CV54065" s="376"/>
    </row>
    <row r="54066" spans="1:100">
      <c r="A54066" s="374"/>
      <c r="C54066" s="374"/>
      <c r="CV54066" s="376"/>
    </row>
    <row r="54067" spans="1:100">
      <c r="A54067" s="374"/>
      <c r="C54067" s="374"/>
      <c r="CV54067" s="376"/>
    </row>
    <row r="54068" spans="1:100">
      <c r="A54068" s="374"/>
      <c r="C54068" s="374"/>
      <c r="CV54068" s="376"/>
    </row>
    <row r="54069" spans="1:100">
      <c r="A54069" s="374"/>
      <c r="C54069" s="374"/>
      <c r="CV54069" s="376"/>
    </row>
    <row r="54070" spans="1:100">
      <c r="A54070" s="374"/>
      <c r="C54070" s="374"/>
      <c r="CV54070" s="376"/>
    </row>
    <row r="54071" spans="1:100">
      <c r="A54071" s="374"/>
      <c r="C54071" s="374"/>
      <c r="CV54071" s="376"/>
    </row>
    <row r="54072" spans="1:100">
      <c r="A54072" s="374"/>
      <c r="C54072" s="374"/>
      <c r="CV54072" s="376"/>
    </row>
    <row r="54073" spans="1:100">
      <c r="A54073" s="374"/>
      <c r="C54073" s="374"/>
      <c r="CV54073" s="376"/>
    </row>
    <row r="54074" spans="1:100">
      <c r="A54074" s="374"/>
      <c r="C54074" s="374"/>
      <c r="CV54074" s="376"/>
    </row>
    <row r="54075" spans="1:100">
      <c r="A54075" s="374"/>
      <c r="C54075" s="374"/>
      <c r="CV54075" s="376"/>
    </row>
    <row r="54076" spans="1:100">
      <c r="A54076" s="374"/>
      <c r="C54076" s="374"/>
      <c r="CV54076" s="376"/>
    </row>
    <row r="54077" spans="1:100">
      <c r="A54077" s="374"/>
      <c r="C54077" s="374"/>
      <c r="CV54077" s="376"/>
    </row>
    <row r="54078" spans="1:100">
      <c r="A54078" s="374"/>
      <c r="C54078" s="374"/>
      <c r="CV54078" s="376"/>
    </row>
    <row r="54079" spans="1:100">
      <c r="A54079" s="374"/>
      <c r="C54079" s="374"/>
      <c r="CV54079" s="376"/>
    </row>
    <row r="54080" spans="1:100">
      <c r="A54080" s="374"/>
      <c r="C54080" s="374"/>
      <c r="CV54080" s="376"/>
    </row>
    <row r="54081" spans="1:100">
      <c r="A54081" s="374"/>
      <c r="C54081" s="374"/>
      <c r="CV54081" s="376"/>
    </row>
    <row r="54082" spans="1:100">
      <c r="A54082" s="374"/>
      <c r="C54082" s="374"/>
      <c r="CV54082" s="376"/>
    </row>
    <row r="54083" spans="1:100">
      <c r="A54083" s="374"/>
      <c r="C54083" s="374"/>
      <c r="CV54083" s="376"/>
    </row>
    <row r="54084" spans="1:100">
      <c r="A54084" s="374"/>
      <c r="C54084" s="374"/>
      <c r="CV54084" s="376"/>
    </row>
    <row r="54085" spans="1:100">
      <c r="A54085" s="374"/>
      <c r="C54085" s="374"/>
      <c r="CV54085" s="376"/>
    </row>
    <row r="54086" spans="1:100">
      <c r="A54086" s="374"/>
      <c r="C54086" s="374"/>
      <c r="CV54086" s="376"/>
    </row>
    <row r="54087" spans="1:100">
      <c r="A54087" s="374"/>
      <c r="C54087" s="374"/>
      <c r="CV54087" s="376"/>
    </row>
    <row r="54088" spans="1:100">
      <c r="A54088" s="374"/>
      <c r="C54088" s="374"/>
      <c r="CV54088" s="376"/>
    </row>
    <row r="54089" spans="1:100">
      <c r="A54089" s="374"/>
      <c r="C54089" s="374"/>
      <c r="CV54089" s="376"/>
    </row>
    <row r="54090" spans="1:100">
      <c r="A54090" s="374"/>
      <c r="C54090" s="374"/>
      <c r="CV54090" s="376"/>
    </row>
    <row r="54091" spans="1:100">
      <c r="A54091" s="374"/>
      <c r="C54091" s="374"/>
      <c r="CV54091" s="376"/>
    </row>
    <row r="54092" spans="1:100">
      <c r="A54092" s="374"/>
      <c r="C54092" s="374"/>
      <c r="CV54092" s="376"/>
    </row>
    <row r="54093" spans="1:100">
      <c r="A54093" s="374"/>
      <c r="C54093" s="374"/>
      <c r="CV54093" s="376"/>
    </row>
    <row r="54094" spans="1:100">
      <c r="A54094" s="374"/>
      <c r="C54094" s="374"/>
      <c r="CV54094" s="376"/>
    </row>
    <row r="54095" spans="1:100">
      <c r="A54095" s="374"/>
      <c r="C54095" s="374"/>
      <c r="CV54095" s="376"/>
    </row>
    <row r="54096" spans="1:100">
      <c r="A54096" s="374"/>
      <c r="C54096" s="374"/>
      <c r="CV54096" s="376"/>
    </row>
    <row r="54097" spans="1:100">
      <c r="A54097" s="374"/>
      <c r="C54097" s="374"/>
      <c r="CV54097" s="376"/>
    </row>
    <row r="54098" spans="1:100">
      <c r="A54098" s="374"/>
      <c r="C54098" s="374"/>
      <c r="CV54098" s="376"/>
    </row>
    <row r="54099" spans="1:100">
      <c r="A54099" s="374"/>
      <c r="C54099" s="374"/>
      <c r="CV54099" s="376"/>
    </row>
    <row r="54100" spans="1:100">
      <c r="A54100" s="374"/>
      <c r="C54100" s="374"/>
      <c r="CV54100" s="376"/>
    </row>
    <row r="54101" spans="1:100">
      <c r="A54101" s="374"/>
      <c r="C54101" s="374"/>
      <c r="CV54101" s="376"/>
    </row>
    <row r="54102" spans="1:100">
      <c r="A54102" s="374"/>
      <c r="C54102" s="374"/>
      <c r="CV54102" s="376"/>
    </row>
    <row r="54103" spans="1:100">
      <c r="A54103" s="374"/>
      <c r="C54103" s="374"/>
      <c r="CV54103" s="376"/>
    </row>
    <row r="54104" spans="1:100">
      <c r="A54104" s="374"/>
      <c r="C54104" s="374"/>
      <c r="CV54104" s="376"/>
    </row>
    <row r="54105" spans="1:100">
      <c r="A54105" s="374"/>
      <c r="C54105" s="374"/>
      <c r="CV54105" s="376"/>
    </row>
    <row r="54106" spans="1:100">
      <c r="A54106" s="374"/>
      <c r="C54106" s="374"/>
      <c r="CV54106" s="376"/>
    </row>
    <row r="54107" spans="1:100">
      <c r="A54107" s="374"/>
      <c r="C54107" s="374"/>
      <c r="CV54107" s="376"/>
    </row>
    <row r="54108" spans="1:100">
      <c r="A54108" s="374"/>
      <c r="C54108" s="374"/>
      <c r="CV54108" s="376"/>
    </row>
    <row r="54109" spans="1:100">
      <c r="A54109" s="374"/>
      <c r="C54109" s="374"/>
      <c r="CV54109" s="376"/>
    </row>
    <row r="54110" spans="1:100">
      <c r="A54110" s="374"/>
      <c r="C54110" s="374"/>
      <c r="CV54110" s="376"/>
    </row>
    <row r="54111" spans="1:100">
      <c r="A54111" s="374"/>
      <c r="C54111" s="374"/>
      <c r="CV54111" s="376"/>
    </row>
    <row r="54112" spans="1:100">
      <c r="A54112" s="374"/>
      <c r="C54112" s="374"/>
      <c r="CV54112" s="376"/>
    </row>
    <row r="54113" spans="1:100">
      <c r="A54113" s="374"/>
      <c r="C54113" s="374"/>
      <c r="CV54113" s="376"/>
    </row>
    <row r="54114" spans="1:100">
      <c r="A54114" s="374"/>
      <c r="C54114" s="374"/>
      <c r="CV54114" s="376"/>
    </row>
    <row r="54115" spans="1:100">
      <c r="A54115" s="374"/>
      <c r="C54115" s="374"/>
      <c r="CV54115" s="376"/>
    </row>
    <row r="54116" spans="1:100">
      <c r="A54116" s="374"/>
      <c r="C54116" s="374"/>
      <c r="CV54116" s="376"/>
    </row>
    <row r="54117" spans="1:100">
      <c r="A54117" s="374"/>
      <c r="C54117" s="374"/>
      <c r="CV54117" s="376"/>
    </row>
    <row r="54118" spans="1:100">
      <c r="A54118" s="374"/>
      <c r="C54118" s="374"/>
      <c r="CV54118" s="376"/>
    </row>
    <row r="54119" spans="1:100">
      <c r="A54119" s="374"/>
      <c r="C54119" s="374"/>
      <c r="CV54119" s="376"/>
    </row>
    <row r="54120" spans="1:100">
      <c r="A54120" s="374"/>
      <c r="C54120" s="374"/>
      <c r="CV54120" s="376"/>
    </row>
    <row r="54121" spans="1:100">
      <c r="A54121" s="374"/>
      <c r="C54121" s="374"/>
      <c r="CV54121" s="376"/>
    </row>
    <row r="54122" spans="1:100">
      <c r="A54122" s="374"/>
      <c r="C54122" s="374"/>
      <c r="CV54122" s="376"/>
    </row>
    <row r="54123" spans="1:100">
      <c r="A54123" s="374"/>
      <c r="C54123" s="374"/>
      <c r="CV54123" s="376"/>
    </row>
    <row r="54124" spans="1:100">
      <c r="A54124" s="374"/>
      <c r="C54124" s="374"/>
      <c r="CV54124" s="376"/>
    </row>
    <row r="54125" spans="1:100">
      <c r="A54125" s="374"/>
      <c r="C54125" s="374"/>
      <c r="CV54125" s="376"/>
    </row>
    <row r="54126" spans="1:100">
      <c r="A54126" s="374"/>
      <c r="C54126" s="374"/>
      <c r="CV54126" s="376"/>
    </row>
    <row r="54127" spans="1:100">
      <c r="A54127" s="374"/>
      <c r="C54127" s="374"/>
      <c r="CV54127" s="376"/>
    </row>
    <row r="54128" spans="1:100">
      <c r="A54128" s="374"/>
      <c r="C54128" s="374"/>
      <c r="CV54128" s="376"/>
    </row>
    <row r="54129" spans="1:100">
      <c r="A54129" s="374"/>
      <c r="C54129" s="374"/>
      <c r="CV54129" s="376"/>
    </row>
    <row r="54130" spans="1:100">
      <c r="A54130" s="374"/>
      <c r="C54130" s="374"/>
      <c r="CV54130" s="376"/>
    </row>
    <row r="54131" spans="1:100">
      <c r="A54131" s="374"/>
      <c r="C54131" s="374"/>
      <c r="CV54131" s="376"/>
    </row>
    <row r="54132" spans="1:100">
      <c r="A54132" s="374"/>
      <c r="C54132" s="374"/>
      <c r="CV54132" s="376"/>
    </row>
    <row r="54133" spans="1:100">
      <c r="A54133" s="374"/>
      <c r="C54133" s="374"/>
      <c r="CV54133" s="376"/>
    </row>
    <row r="54134" spans="1:100">
      <c r="A54134" s="374"/>
      <c r="C54134" s="374"/>
      <c r="CV54134" s="376"/>
    </row>
    <row r="54135" spans="1:100">
      <c r="A54135" s="374"/>
      <c r="C54135" s="374"/>
      <c r="CV54135" s="376"/>
    </row>
    <row r="54136" spans="1:100">
      <c r="A54136" s="374"/>
      <c r="C54136" s="374"/>
      <c r="CV54136" s="376"/>
    </row>
    <row r="54137" spans="1:100">
      <c r="A54137" s="374"/>
      <c r="C54137" s="374"/>
      <c r="CV54137" s="376"/>
    </row>
    <row r="54138" spans="1:100">
      <c r="A54138" s="374"/>
      <c r="C54138" s="374"/>
      <c r="CV54138" s="376"/>
    </row>
    <row r="54139" spans="1:100">
      <c r="A54139" s="374"/>
      <c r="C54139" s="374"/>
      <c r="CV54139" s="376"/>
    </row>
    <row r="54140" spans="1:100">
      <c r="A54140" s="374"/>
      <c r="C54140" s="374"/>
      <c r="CV54140" s="376"/>
    </row>
    <row r="54141" spans="1:100">
      <c r="A54141" s="374"/>
      <c r="C54141" s="374"/>
      <c r="CV54141" s="376"/>
    </row>
    <row r="54142" spans="1:100">
      <c r="A54142" s="374"/>
      <c r="C54142" s="374"/>
      <c r="CV54142" s="376"/>
    </row>
    <row r="54143" spans="1:100">
      <c r="A54143" s="374"/>
      <c r="C54143" s="374"/>
      <c r="CV54143" s="376"/>
    </row>
    <row r="54144" spans="1:100">
      <c r="A54144" s="374"/>
      <c r="C54144" s="374"/>
      <c r="CV54144" s="376"/>
    </row>
    <row r="54145" spans="1:100">
      <c r="A54145" s="374"/>
      <c r="C54145" s="374"/>
      <c r="CV54145" s="376"/>
    </row>
    <row r="54146" spans="1:100">
      <c r="A54146" s="374"/>
      <c r="C54146" s="374"/>
      <c r="CV54146" s="376"/>
    </row>
    <row r="54147" spans="1:100">
      <c r="A54147" s="374"/>
      <c r="C54147" s="374"/>
      <c r="CV54147" s="376"/>
    </row>
    <row r="54148" spans="1:100">
      <c r="A54148" s="374"/>
      <c r="C54148" s="374"/>
      <c r="CV54148" s="376"/>
    </row>
    <row r="54149" spans="1:100">
      <c r="A54149" s="374"/>
      <c r="C54149" s="374"/>
      <c r="CV54149" s="376"/>
    </row>
    <row r="54150" spans="1:100">
      <c r="A54150" s="374"/>
      <c r="C54150" s="374"/>
      <c r="CV54150" s="376"/>
    </row>
    <row r="54151" spans="1:100">
      <c r="A54151" s="374"/>
      <c r="C54151" s="374"/>
      <c r="CV54151" s="376"/>
    </row>
    <row r="54152" spans="1:100">
      <c r="A54152" s="374"/>
      <c r="C54152" s="374"/>
      <c r="CV54152" s="376"/>
    </row>
    <row r="54153" spans="1:100">
      <c r="A54153" s="374"/>
      <c r="C54153" s="374"/>
      <c r="CV54153" s="376"/>
    </row>
    <row r="54154" spans="1:100">
      <c r="A54154" s="374"/>
      <c r="C54154" s="374"/>
      <c r="CV54154" s="376"/>
    </row>
    <row r="54155" spans="1:100">
      <c r="A54155" s="374"/>
      <c r="C54155" s="374"/>
      <c r="CV54155" s="376"/>
    </row>
    <row r="54156" spans="1:100">
      <c r="A54156" s="374"/>
      <c r="C54156" s="374"/>
      <c r="CV54156" s="376"/>
    </row>
    <row r="54157" spans="1:100">
      <c r="A54157" s="374"/>
      <c r="C54157" s="374"/>
      <c r="CV54157" s="376"/>
    </row>
    <row r="54158" spans="1:100">
      <c r="A54158" s="374"/>
      <c r="C54158" s="374"/>
      <c r="CV54158" s="376"/>
    </row>
    <row r="54159" spans="1:100">
      <c r="A54159" s="374"/>
      <c r="C54159" s="374"/>
      <c r="CV54159" s="376"/>
    </row>
    <row r="54160" spans="1:100">
      <c r="A54160" s="374"/>
      <c r="C54160" s="374"/>
      <c r="CV54160" s="376"/>
    </row>
    <row r="54161" spans="1:100">
      <c r="A54161" s="374"/>
      <c r="C54161" s="374"/>
      <c r="CV54161" s="376"/>
    </row>
    <row r="54162" spans="1:100">
      <c r="A54162" s="374"/>
      <c r="C54162" s="374"/>
      <c r="CV54162" s="376"/>
    </row>
    <row r="54163" spans="1:100">
      <c r="A54163" s="374"/>
      <c r="C54163" s="374"/>
      <c r="CV54163" s="376"/>
    </row>
    <row r="54164" spans="1:100">
      <c r="A54164" s="374"/>
      <c r="C54164" s="374"/>
      <c r="CV54164" s="376"/>
    </row>
    <row r="54165" spans="1:100">
      <c r="A54165" s="374"/>
      <c r="C54165" s="374"/>
      <c r="CV54165" s="376"/>
    </row>
    <row r="54166" spans="1:100">
      <c r="A54166" s="374"/>
      <c r="C54166" s="374"/>
      <c r="CV54166" s="376"/>
    </row>
    <row r="54167" spans="1:100">
      <c r="A54167" s="374"/>
      <c r="C54167" s="374"/>
      <c r="CV54167" s="376"/>
    </row>
    <row r="54168" spans="1:100">
      <c r="A54168" s="374"/>
      <c r="C54168" s="374"/>
      <c r="CV54168" s="376"/>
    </row>
    <row r="54169" spans="1:100">
      <c r="A54169" s="374"/>
      <c r="C54169" s="374"/>
      <c r="CV54169" s="376"/>
    </row>
    <row r="54170" spans="1:100">
      <c r="A54170" s="374"/>
      <c r="C54170" s="374"/>
      <c r="CV54170" s="376"/>
    </row>
    <row r="54171" spans="1:100">
      <c r="A54171" s="374"/>
      <c r="C54171" s="374"/>
      <c r="CV54171" s="376"/>
    </row>
    <row r="54172" spans="1:100">
      <c r="A54172" s="374"/>
      <c r="C54172" s="374"/>
      <c r="CV54172" s="376"/>
    </row>
    <row r="54173" spans="1:100">
      <c r="A54173" s="374"/>
      <c r="C54173" s="374"/>
      <c r="CV54173" s="376"/>
    </row>
    <row r="54174" spans="1:100">
      <c r="A54174" s="374"/>
      <c r="C54174" s="374"/>
      <c r="CV54174" s="376"/>
    </row>
    <row r="54175" spans="1:100">
      <c r="A54175" s="374"/>
      <c r="C54175" s="374"/>
      <c r="CV54175" s="376"/>
    </row>
    <row r="54176" spans="1:100">
      <c r="A54176" s="374"/>
      <c r="C54176" s="374"/>
      <c r="CV54176" s="376"/>
    </row>
    <row r="54177" spans="1:100">
      <c r="A54177" s="374"/>
      <c r="C54177" s="374"/>
      <c r="CV54177" s="376"/>
    </row>
    <row r="54178" spans="1:100">
      <c r="A54178" s="374"/>
      <c r="C54178" s="374"/>
      <c r="CV54178" s="376"/>
    </row>
    <row r="54179" spans="1:100">
      <c r="A54179" s="374"/>
      <c r="C54179" s="374"/>
      <c r="CV54179" s="376"/>
    </row>
    <row r="54180" spans="1:100">
      <c r="A54180" s="374"/>
      <c r="C54180" s="374"/>
      <c r="CV54180" s="376"/>
    </row>
    <row r="54181" spans="1:100">
      <c r="A54181" s="374"/>
      <c r="C54181" s="374"/>
      <c r="CV54181" s="376"/>
    </row>
    <row r="54182" spans="1:100">
      <c r="A54182" s="374"/>
      <c r="C54182" s="374"/>
      <c r="CV54182" s="376"/>
    </row>
    <row r="54183" spans="1:100">
      <c r="A54183" s="374"/>
      <c r="C54183" s="374"/>
      <c r="CV54183" s="376"/>
    </row>
    <row r="54184" spans="1:100">
      <c r="A54184" s="374"/>
      <c r="C54184" s="374"/>
      <c r="CV54184" s="376"/>
    </row>
    <row r="54185" spans="1:100">
      <c r="A54185" s="374"/>
      <c r="C54185" s="374"/>
      <c r="CV54185" s="376"/>
    </row>
    <row r="54186" spans="1:100">
      <c r="A54186" s="374"/>
      <c r="C54186" s="374"/>
      <c r="CV54186" s="376"/>
    </row>
    <row r="54187" spans="1:100">
      <c r="A54187" s="374"/>
      <c r="C54187" s="374"/>
      <c r="CV54187" s="376"/>
    </row>
    <row r="54188" spans="1:100">
      <c r="A54188" s="374"/>
      <c r="C54188" s="374"/>
      <c r="CV54188" s="376"/>
    </row>
    <row r="54189" spans="1:100">
      <c r="A54189" s="374"/>
      <c r="C54189" s="374"/>
      <c r="CV54189" s="376"/>
    </row>
    <row r="54190" spans="1:100">
      <c r="A54190" s="374"/>
      <c r="C54190" s="374"/>
      <c r="CV54190" s="376"/>
    </row>
    <row r="54191" spans="1:100">
      <c r="A54191" s="374"/>
      <c r="C54191" s="374"/>
      <c r="CV54191" s="376"/>
    </row>
    <row r="54192" spans="1:100">
      <c r="A54192" s="374"/>
      <c r="C54192" s="374"/>
      <c r="CV54192" s="376"/>
    </row>
    <row r="54193" spans="1:100">
      <c r="A54193" s="374"/>
      <c r="C54193" s="374"/>
      <c r="CV54193" s="376"/>
    </row>
    <row r="54194" spans="1:100">
      <c r="A54194" s="374"/>
      <c r="C54194" s="374"/>
      <c r="CV54194" s="376"/>
    </row>
    <row r="54195" spans="1:100">
      <c r="A54195" s="374"/>
      <c r="C54195" s="374"/>
      <c r="CV54195" s="376"/>
    </row>
    <row r="54196" spans="1:100">
      <c r="A54196" s="374"/>
      <c r="C54196" s="374"/>
      <c r="CV54196" s="376"/>
    </row>
    <row r="54197" spans="1:100">
      <c r="A54197" s="374"/>
      <c r="C54197" s="374"/>
      <c r="CV54197" s="376"/>
    </row>
    <row r="54198" spans="1:100">
      <c r="A54198" s="374"/>
      <c r="C54198" s="374"/>
      <c r="CV54198" s="376"/>
    </row>
    <row r="54199" spans="1:100">
      <c r="A54199" s="374"/>
      <c r="C54199" s="374"/>
      <c r="CV54199" s="376"/>
    </row>
    <row r="54200" spans="1:100">
      <c r="A54200" s="374"/>
      <c r="C54200" s="374"/>
      <c r="CV54200" s="376"/>
    </row>
    <row r="54201" spans="1:100">
      <c r="A54201" s="374"/>
      <c r="C54201" s="374"/>
      <c r="CV54201" s="376"/>
    </row>
    <row r="54202" spans="1:100">
      <c r="A54202" s="374"/>
      <c r="C54202" s="374"/>
      <c r="CV54202" s="376"/>
    </row>
    <row r="54203" spans="1:100">
      <c r="A54203" s="374"/>
      <c r="C54203" s="374"/>
      <c r="CV54203" s="376"/>
    </row>
    <row r="54204" spans="1:100">
      <c r="A54204" s="374"/>
      <c r="C54204" s="374"/>
      <c r="CV54204" s="376"/>
    </row>
    <row r="54205" spans="1:100">
      <c r="A54205" s="374"/>
      <c r="C54205" s="374"/>
      <c r="CV54205" s="376"/>
    </row>
    <row r="54206" spans="1:100">
      <c r="A54206" s="374"/>
      <c r="C54206" s="374"/>
      <c r="CV54206" s="376"/>
    </row>
    <row r="54207" spans="1:100">
      <c r="A54207" s="374"/>
      <c r="C54207" s="374"/>
      <c r="CV54207" s="376"/>
    </row>
    <row r="54208" spans="1:100">
      <c r="A54208" s="374"/>
      <c r="C54208" s="374"/>
      <c r="CV54208" s="376"/>
    </row>
    <row r="54209" spans="1:100">
      <c r="A54209" s="374"/>
      <c r="C54209" s="374"/>
      <c r="CV54209" s="376"/>
    </row>
    <row r="54210" spans="1:100">
      <c r="A54210" s="374"/>
      <c r="C54210" s="374"/>
      <c r="CV54210" s="376"/>
    </row>
    <row r="54211" spans="1:100">
      <c r="A54211" s="374"/>
      <c r="C54211" s="374"/>
      <c r="CV54211" s="376"/>
    </row>
    <row r="54212" spans="1:100">
      <c r="A54212" s="374"/>
      <c r="C54212" s="374"/>
      <c r="CV54212" s="376"/>
    </row>
    <row r="54213" spans="1:100">
      <c r="A54213" s="374"/>
      <c r="C54213" s="374"/>
      <c r="CV54213" s="376"/>
    </row>
    <row r="54214" spans="1:100">
      <c r="A54214" s="374"/>
      <c r="C54214" s="374"/>
      <c r="CV54214" s="376"/>
    </row>
    <row r="54215" spans="1:100">
      <c r="A54215" s="374"/>
      <c r="C54215" s="374"/>
      <c r="CV54215" s="376"/>
    </row>
    <row r="54216" spans="1:100">
      <c r="A54216" s="374"/>
      <c r="C54216" s="374"/>
      <c r="CV54216" s="376"/>
    </row>
    <row r="54217" spans="1:100">
      <c r="A54217" s="374"/>
      <c r="C54217" s="374"/>
      <c r="CV54217" s="376"/>
    </row>
    <row r="54218" spans="1:100">
      <c r="A54218" s="374"/>
      <c r="C54218" s="374"/>
      <c r="CV54218" s="376"/>
    </row>
    <row r="54219" spans="1:100">
      <c r="A54219" s="374"/>
      <c r="C54219" s="374"/>
      <c r="CV54219" s="376"/>
    </row>
    <row r="54220" spans="1:100">
      <c r="A54220" s="374"/>
      <c r="C54220" s="374"/>
      <c r="CV54220" s="376"/>
    </row>
    <row r="54221" spans="1:100">
      <c r="A54221" s="374"/>
      <c r="C54221" s="374"/>
      <c r="CV54221" s="376"/>
    </row>
    <row r="54222" spans="1:100">
      <c r="A54222" s="374"/>
      <c r="C54222" s="374"/>
      <c r="CV54222" s="376"/>
    </row>
    <row r="54223" spans="1:100">
      <c r="A54223" s="374"/>
      <c r="C54223" s="374"/>
      <c r="CV54223" s="376"/>
    </row>
    <row r="54224" spans="1:100">
      <c r="A54224" s="374"/>
      <c r="C54224" s="374"/>
      <c r="CV54224" s="376"/>
    </row>
    <row r="54225" spans="1:100">
      <c r="A54225" s="374"/>
      <c r="C54225" s="374"/>
      <c r="CV54225" s="376"/>
    </row>
    <row r="54226" spans="1:100">
      <c r="A54226" s="374"/>
      <c r="C54226" s="374"/>
      <c r="CV54226" s="376"/>
    </row>
    <row r="54227" spans="1:100">
      <c r="A54227" s="374"/>
      <c r="C54227" s="374"/>
      <c r="CV54227" s="376"/>
    </row>
    <row r="54228" spans="1:100">
      <c r="A54228" s="374"/>
      <c r="C54228" s="374"/>
      <c r="CV54228" s="376"/>
    </row>
    <row r="54229" spans="1:100">
      <c r="A54229" s="374"/>
      <c r="C54229" s="374"/>
      <c r="CV54229" s="376"/>
    </row>
    <row r="54230" spans="1:100">
      <c r="A54230" s="374"/>
      <c r="C54230" s="374"/>
      <c r="CV54230" s="376"/>
    </row>
    <row r="54231" spans="1:100">
      <c r="A54231" s="374"/>
      <c r="C54231" s="374"/>
      <c r="CV54231" s="376"/>
    </row>
    <row r="54232" spans="1:100">
      <c r="A54232" s="374"/>
      <c r="C54232" s="374"/>
      <c r="CV54232" s="376"/>
    </row>
    <row r="54233" spans="1:100">
      <c r="A54233" s="374"/>
      <c r="C54233" s="374"/>
      <c r="CV54233" s="376"/>
    </row>
    <row r="54234" spans="1:100">
      <c r="A54234" s="374"/>
      <c r="C54234" s="374"/>
      <c r="CV54234" s="376"/>
    </row>
    <row r="54235" spans="1:100">
      <c r="A54235" s="374"/>
      <c r="C54235" s="374"/>
      <c r="CV54235" s="376"/>
    </row>
    <row r="54236" spans="1:100">
      <c r="A54236" s="374"/>
      <c r="C54236" s="374"/>
      <c r="CV54236" s="376"/>
    </row>
    <row r="54237" spans="1:100">
      <c r="A54237" s="374"/>
      <c r="C54237" s="374"/>
      <c r="CV54237" s="376"/>
    </row>
    <row r="54238" spans="1:100">
      <c r="A54238" s="374"/>
      <c r="C54238" s="374"/>
      <c r="CV54238" s="376"/>
    </row>
    <row r="54239" spans="1:100">
      <c r="A54239" s="374"/>
      <c r="C54239" s="374"/>
      <c r="CV54239" s="376"/>
    </row>
    <row r="54240" spans="1:100">
      <c r="A54240" s="374"/>
      <c r="C54240" s="374"/>
      <c r="CV54240" s="376"/>
    </row>
    <row r="54241" spans="1:100">
      <c r="A54241" s="374"/>
      <c r="C54241" s="374"/>
      <c r="CV54241" s="376"/>
    </row>
    <row r="54242" spans="1:100">
      <c r="A54242" s="374"/>
      <c r="C54242" s="374"/>
      <c r="CV54242" s="376"/>
    </row>
    <row r="54243" spans="1:100">
      <c r="A54243" s="374"/>
      <c r="C54243" s="374"/>
      <c r="CV54243" s="376"/>
    </row>
    <row r="54244" spans="1:100">
      <c r="A54244" s="374"/>
      <c r="C54244" s="374"/>
      <c r="CV54244" s="376"/>
    </row>
    <row r="54245" spans="1:100">
      <c r="A54245" s="374"/>
      <c r="C54245" s="374"/>
      <c r="CV54245" s="376"/>
    </row>
    <row r="54246" spans="1:100">
      <c r="A54246" s="374"/>
      <c r="C54246" s="374"/>
      <c r="CV54246" s="376"/>
    </row>
    <row r="54247" spans="1:100">
      <c r="A54247" s="374"/>
      <c r="C54247" s="374"/>
      <c r="CV54247" s="376"/>
    </row>
    <row r="54248" spans="1:100">
      <c r="A54248" s="374"/>
      <c r="C54248" s="374"/>
      <c r="CV54248" s="376"/>
    </row>
    <row r="54249" spans="1:100">
      <c r="A54249" s="374"/>
      <c r="C54249" s="374"/>
      <c r="CV54249" s="376"/>
    </row>
    <row r="54250" spans="1:100">
      <c r="A54250" s="374"/>
      <c r="C54250" s="374"/>
      <c r="CV54250" s="376"/>
    </row>
    <row r="54251" spans="1:100">
      <c r="A54251" s="374"/>
      <c r="C54251" s="374"/>
      <c r="CV54251" s="376"/>
    </row>
    <row r="54252" spans="1:100">
      <c r="A54252" s="374"/>
      <c r="C54252" s="374"/>
      <c r="CV54252" s="376"/>
    </row>
    <row r="54253" spans="1:100">
      <c r="A54253" s="374"/>
      <c r="C54253" s="374"/>
      <c r="CV54253" s="376"/>
    </row>
    <row r="54254" spans="1:100">
      <c r="A54254" s="374"/>
      <c r="C54254" s="374"/>
      <c r="CV54254" s="376"/>
    </row>
    <row r="54255" spans="1:100">
      <c r="A54255" s="374"/>
      <c r="C54255" s="374"/>
      <c r="CV54255" s="376"/>
    </row>
    <row r="54256" spans="1:100">
      <c r="A54256" s="374"/>
      <c r="C54256" s="374"/>
      <c r="CV54256" s="376"/>
    </row>
    <row r="54257" spans="1:100">
      <c r="A54257" s="374"/>
      <c r="C54257" s="374"/>
      <c r="CV54257" s="376"/>
    </row>
    <row r="54258" spans="1:100">
      <c r="A54258" s="374"/>
      <c r="C54258" s="374"/>
      <c r="CV54258" s="376"/>
    </row>
    <row r="54259" spans="1:100">
      <c r="A54259" s="374"/>
      <c r="C54259" s="374"/>
      <c r="CV54259" s="376"/>
    </row>
    <row r="54260" spans="1:100">
      <c r="A54260" s="374"/>
      <c r="C54260" s="374"/>
      <c r="CV54260" s="376"/>
    </row>
    <row r="54261" spans="1:100">
      <c r="A54261" s="374"/>
      <c r="C54261" s="374"/>
      <c r="CV54261" s="376"/>
    </row>
    <row r="54262" spans="1:100">
      <c r="A54262" s="374"/>
      <c r="C54262" s="374"/>
      <c r="CV54262" s="376"/>
    </row>
    <row r="54263" spans="1:100">
      <c r="A54263" s="374"/>
      <c r="C54263" s="374"/>
      <c r="CV54263" s="376"/>
    </row>
    <row r="54264" spans="1:100">
      <c r="A54264" s="374"/>
      <c r="C54264" s="374"/>
      <c r="CV54264" s="376"/>
    </row>
    <row r="54265" spans="1:100">
      <c r="A54265" s="374"/>
      <c r="C54265" s="374"/>
      <c r="CV54265" s="376"/>
    </row>
    <row r="54266" spans="1:100">
      <c r="A54266" s="374"/>
      <c r="C54266" s="374"/>
      <c r="CV54266" s="376"/>
    </row>
    <row r="54267" spans="1:100">
      <c r="A54267" s="374"/>
      <c r="C54267" s="374"/>
      <c r="CV54267" s="376"/>
    </row>
    <row r="54268" spans="1:100">
      <c r="A54268" s="374"/>
      <c r="C54268" s="374"/>
      <c r="CV54268" s="376"/>
    </row>
    <row r="54269" spans="1:100">
      <c r="A54269" s="374"/>
      <c r="C54269" s="374"/>
      <c r="CV54269" s="376"/>
    </row>
    <row r="54270" spans="1:100">
      <c r="A54270" s="374"/>
      <c r="C54270" s="374"/>
      <c r="CV54270" s="376"/>
    </row>
    <row r="54271" spans="1:100">
      <c r="A54271" s="374"/>
      <c r="C54271" s="374"/>
      <c r="CV54271" s="376"/>
    </row>
    <row r="54272" spans="1:100">
      <c r="A54272" s="374"/>
      <c r="C54272" s="374"/>
      <c r="CV54272" s="376"/>
    </row>
    <row r="54273" spans="1:100">
      <c r="A54273" s="374"/>
      <c r="C54273" s="374"/>
      <c r="CV54273" s="376"/>
    </row>
    <row r="54274" spans="1:100">
      <c r="A54274" s="374"/>
      <c r="C54274" s="374"/>
      <c r="CV54274" s="376"/>
    </row>
    <row r="54275" spans="1:100">
      <c r="A54275" s="374"/>
      <c r="C54275" s="374"/>
      <c r="CV54275" s="376"/>
    </row>
    <row r="54276" spans="1:100">
      <c r="A54276" s="374"/>
      <c r="C54276" s="374"/>
      <c r="CV54276" s="376"/>
    </row>
    <row r="54277" spans="1:100">
      <c r="A54277" s="374"/>
      <c r="C54277" s="374"/>
      <c r="CV54277" s="376"/>
    </row>
    <row r="54278" spans="1:100">
      <c r="A54278" s="374"/>
      <c r="C54278" s="374"/>
      <c r="CV54278" s="376"/>
    </row>
    <row r="54279" spans="1:100">
      <c r="A54279" s="374"/>
      <c r="C54279" s="374"/>
      <c r="CV54279" s="376"/>
    </row>
    <row r="54280" spans="1:100">
      <c r="A54280" s="374"/>
      <c r="C54280" s="374"/>
      <c r="CV54280" s="376"/>
    </row>
    <row r="54281" spans="1:100">
      <c r="A54281" s="374"/>
      <c r="C54281" s="374"/>
      <c r="CV54281" s="376"/>
    </row>
    <row r="54282" spans="1:100">
      <c r="A54282" s="374"/>
      <c r="C54282" s="374"/>
      <c r="CV54282" s="376"/>
    </row>
    <row r="54283" spans="1:100">
      <c r="A54283" s="374"/>
      <c r="C54283" s="374"/>
      <c r="CV54283" s="376"/>
    </row>
    <row r="54284" spans="1:100">
      <c r="A54284" s="374"/>
      <c r="C54284" s="374"/>
      <c r="CV54284" s="376"/>
    </row>
    <row r="54285" spans="1:100">
      <c r="A54285" s="374"/>
      <c r="C54285" s="374"/>
      <c r="CV54285" s="376"/>
    </row>
    <row r="54286" spans="1:100">
      <c r="A54286" s="374"/>
      <c r="C54286" s="374"/>
      <c r="CV54286" s="376"/>
    </row>
    <row r="54287" spans="1:100">
      <c r="A54287" s="374"/>
      <c r="C54287" s="374"/>
      <c r="CV54287" s="376"/>
    </row>
    <row r="54288" spans="1:100">
      <c r="A54288" s="374"/>
      <c r="C54288" s="374"/>
      <c r="CV54288" s="376"/>
    </row>
    <row r="54289" spans="1:100">
      <c r="A54289" s="374"/>
      <c r="C54289" s="374"/>
      <c r="CV54289" s="376"/>
    </row>
    <row r="54290" spans="1:100">
      <c r="A54290" s="374"/>
      <c r="C54290" s="374"/>
      <c r="CV54290" s="376"/>
    </row>
    <row r="54291" spans="1:100">
      <c r="A54291" s="374"/>
      <c r="C54291" s="374"/>
      <c r="CV54291" s="376"/>
    </row>
    <row r="54292" spans="1:100">
      <c r="A54292" s="374"/>
      <c r="C54292" s="374"/>
      <c r="CV54292" s="376"/>
    </row>
    <row r="54293" spans="1:100">
      <c r="A54293" s="374"/>
      <c r="C54293" s="374"/>
      <c r="CV54293" s="376"/>
    </row>
    <row r="54294" spans="1:100">
      <c r="A54294" s="374"/>
      <c r="C54294" s="374"/>
      <c r="CV54294" s="376"/>
    </row>
    <row r="54295" spans="1:100">
      <c r="A54295" s="374"/>
      <c r="C54295" s="374"/>
      <c r="CV54295" s="376"/>
    </row>
    <row r="54296" spans="1:100">
      <c r="A54296" s="374"/>
      <c r="C54296" s="374"/>
      <c r="CV54296" s="376"/>
    </row>
    <row r="54297" spans="1:100">
      <c r="A54297" s="374"/>
      <c r="C54297" s="374"/>
      <c r="CV54297" s="376"/>
    </row>
    <row r="54298" spans="1:100">
      <c r="A54298" s="374"/>
      <c r="C54298" s="374"/>
      <c r="CV54298" s="376"/>
    </row>
    <row r="54299" spans="1:100">
      <c r="A54299" s="374"/>
      <c r="C54299" s="374"/>
      <c r="CV54299" s="376"/>
    </row>
    <row r="54300" spans="1:100">
      <c r="A54300" s="374"/>
      <c r="C54300" s="374"/>
      <c r="CV54300" s="376"/>
    </row>
    <row r="54301" spans="1:100">
      <c r="A54301" s="374"/>
      <c r="C54301" s="374"/>
      <c r="CV54301" s="376"/>
    </row>
    <row r="54302" spans="1:100">
      <c r="A54302" s="374"/>
      <c r="C54302" s="374"/>
      <c r="CV54302" s="376"/>
    </row>
    <row r="54303" spans="1:100">
      <c r="A54303" s="374"/>
      <c r="C54303" s="374"/>
      <c r="CV54303" s="376"/>
    </row>
    <row r="54304" spans="1:100">
      <c r="A54304" s="374"/>
      <c r="C54304" s="374"/>
      <c r="CV54304" s="376"/>
    </row>
    <row r="54305" spans="1:100">
      <c r="A54305" s="374"/>
      <c r="C54305" s="374"/>
      <c r="CV54305" s="376"/>
    </row>
    <row r="54306" spans="1:100">
      <c r="A54306" s="374"/>
      <c r="C54306" s="374"/>
      <c r="CV54306" s="376"/>
    </row>
    <row r="54307" spans="1:100">
      <c r="A54307" s="374"/>
      <c r="C54307" s="374"/>
      <c r="CV54307" s="376"/>
    </row>
    <row r="54308" spans="1:100">
      <c r="A54308" s="374"/>
      <c r="C54308" s="374"/>
      <c r="CV54308" s="376"/>
    </row>
    <row r="54309" spans="1:100">
      <c r="A54309" s="374"/>
      <c r="C54309" s="374"/>
      <c r="CV54309" s="376"/>
    </row>
    <row r="54310" spans="1:100">
      <c r="A54310" s="374"/>
      <c r="C54310" s="374"/>
      <c r="CV54310" s="376"/>
    </row>
    <row r="54311" spans="1:100">
      <c r="A54311" s="374"/>
      <c r="C54311" s="374"/>
      <c r="CV54311" s="376"/>
    </row>
    <row r="54312" spans="1:100">
      <c r="A54312" s="374"/>
      <c r="C54312" s="374"/>
      <c r="CV54312" s="376"/>
    </row>
    <row r="54313" spans="1:100">
      <c r="A54313" s="374"/>
      <c r="C54313" s="374"/>
      <c r="CV54313" s="376"/>
    </row>
    <row r="54314" spans="1:100">
      <c r="A54314" s="374"/>
      <c r="C54314" s="374"/>
      <c r="CV54314" s="376"/>
    </row>
    <row r="54315" spans="1:100">
      <c r="A54315" s="374"/>
      <c r="C54315" s="374"/>
      <c r="CV54315" s="376"/>
    </row>
    <row r="54316" spans="1:100">
      <c r="A54316" s="374"/>
      <c r="C54316" s="374"/>
      <c r="CV54316" s="376"/>
    </row>
    <row r="54317" spans="1:100">
      <c r="A54317" s="374"/>
      <c r="C54317" s="374"/>
      <c r="CV54317" s="376"/>
    </row>
    <row r="54318" spans="1:100">
      <c r="A54318" s="374"/>
      <c r="C54318" s="374"/>
      <c r="CV54318" s="376"/>
    </row>
    <row r="54319" spans="1:100">
      <c r="A54319" s="374"/>
      <c r="C54319" s="374"/>
      <c r="CV54319" s="376"/>
    </row>
    <row r="54320" spans="1:100">
      <c r="A54320" s="374"/>
      <c r="C54320" s="374"/>
      <c r="CV54320" s="376"/>
    </row>
    <row r="54321" spans="1:100">
      <c r="A54321" s="374"/>
      <c r="C54321" s="374"/>
      <c r="CV54321" s="376"/>
    </row>
    <row r="54322" spans="1:100">
      <c r="A54322" s="374"/>
      <c r="C54322" s="374"/>
      <c r="CV54322" s="376"/>
    </row>
    <row r="54323" spans="1:100">
      <c r="A54323" s="374"/>
      <c r="C54323" s="374"/>
      <c r="CV54323" s="376"/>
    </row>
    <row r="54324" spans="1:100">
      <c r="A54324" s="374"/>
      <c r="C54324" s="374"/>
      <c r="CV54324" s="376"/>
    </row>
    <row r="54325" spans="1:100">
      <c r="A54325" s="374"/>
      <c r="C54325" s="374"/>
      <c r="CV54325" s="376"/>
    </row>
    <row r="54326" spans="1:100">
      <c r="A54326" s="374"/>
      <c r="C54326" s="374"/>
      <c r="CV54326" s="376"/>
    </row>
    <row r="54327" spans="1:100">
      <c r="A54327" s="374"/>
      <c r="C54327" s="374"/>
      <c r="CV54327" s="376"/>
    </row>
    <row r="54328" spans="1:100">
      <c r="A54328" s="374"/>
      <c r="C54328" s="374"/>
      <c r="CV54328" s="376"/>
    </row>
    <row r="54329" spans="1:100">
      <c r="A54329" s="374"/>
      <c r="C54329" s="374"/>
      <c r="CV54329" s="376"/>
    </row>
    <row r="54330" spans="1:100">
      <c r="A54330" s="374"/>
      <c r="C54330" s="374"/>
      <c r="CV54330" s="376"/>
    </row>
    <row r="54331" spans="1:100">
      <c r="A54331" s="374"/>
      <c r="C54331" s="374"/>
      <c r="CV54331" s="376"/>
    </row>
    <row r="54332" spans="1:100">
      <c r="A54332" s="374"/>
      <c r="C54332" s="374"/>
      <c r="CV54332" s="376"/>
    </row>
    <row r="54333" spans="1:100">
      <c r="A54333" s="374"/>
      <c r="C54333" s="374"/>
      <c r="CV54333" s="376"/>
    </row>
    <row r="54334" spans="1:100">
      <c r="A54334" s="374"/>
      <c r="C54334" s="374"/>
      <c r="CV54334" s="376"/>
    </row>
    <row r="54335" spans="1:100">
      <c r="A54335" s="374"/>
      <c r="C54335" s="374"/>
      <c r="CV54335" s="376"/>
    </row>
    <row r="54336" spans="1:100">
      <c r="A54336" s="374"/>
      <c r="C54336" s="374"/>
      <c r="CV54336" s="376"/>
    </row>
    <row r="54337" spans="1:100">
      <c r="A54337" s="374"/>
      <c r="C54337" s="374"/>
      <c r="CV54337" s="376"/>
    </row>
    <row r="54338" spans="1:100">
      <c r="A54338" s="374"/>
      <c r="C54338" s="374"/>
      <c r="CV54338" s="376"/>
    </row>
    <row r="54339" spans="1:100">
      <c r="A54339" s="374"/>
      <c r="C54339" s="374"/>
      <c r="CV54339" s="376"/>
    </row>
    <row r="54340" spans="1:100">
      <c r="A54340" s="374"/>
      <c r="C54340" s="374"/>
      <c r="CV54340" s="376"/>
    </row>
    <row r="54341" spans="1:100">
      <c r="A54341" s="374"/>
      <c r="C54341" s="374"/>
      <c r="CV54341" s="376"/>
    </row>
    <row r="54342" spans="1:100">
      <c r="A54342" s="374"/>
      <c r="C54342" s="374"/>
      <c r="CV54342" s="376"/>
    </row>
    <row r="54343" spans="1:100">
      <c r="A54343" s="374"/>
      <c r="C54343" s="374"/>
      <c r="CV54343" s="376"/>
    </row>
    <row r="54344" spans="1:100">
      <c r="A54344" s="374"/>
      <c r="C54344" s="374"/>
      <c r="CV54344" s="376"/>
    </row>
    <row r="54345" spans="1:100">
      <c r="A54345" s="374"/>
      <c r="C54345" s="374"/>
      <c r="CV54345" s="376"/>
    </row>
    <row r="54346" spans="1:100">
      <c r="A54346" s="374"/>
      <c r="C54346" s="374"/>
      <c r="CV54346" s="376"/>
    </row>
    <row r="54347" spans="1:100">
      <c r="A54347" s="374"/>
      <c r="C54347" s="374"/>
      <c r="CV54347" s="376"/>
    </row>
    <row r="54348" spans="1:100">
      <c r="A54348" s="374"/>
      <c r="C54348" s="374"/>
      <c r="CV54348" s="376"/>
    </row>
    <row r="54349" spans="1:100">
      <c r="A54349" s="374"/>
      <c r="C54349" s="374"/>
      <c r="CV54349" s="376"/>
    </row>
    <row r="54350" spans="1:100">
      <c r="A54350" s="374"/>
      <c r="C54350" s="374"/>
      <c r="CV54350" s="376"/>
    </row>
    <row r="54351" spans="1:100">
      <c r="A54351" s="374"/>
      <c r="C54351" s="374"/>
      <c r="CV54351" s="376"/>
    </row>
    <row r="54352" spans="1:100">
      <c r="A54352" s="374"/>
      <c r="C54352" s="374"/>
      <c r="CV54352" s="376"/>
    </row>
    <row r="54353" spans="1:100">
      <c r="A54353" s="374"/>
      <c r="C54353" s="374"/>
      <c r="CV54353" s="376"/>
    </row>
    <row r="54354" spans="1:100">
      <c r="A54354" s="374"/>
      <c r="C54354" s="374"/>
      <c r="CV54354" s="376"/>
    </row>
    <row r="54355" spans="1:100">
      <c r="A54355" s="374"/>
      <c r="C54355" s="374"/>
      <c r="CV54355" s="376"/>
    </row>
    <row r="54356" spans="1:100">
      <c r="A54356" s="374"/>
      <c r="C54356" s="374"/>
      <c r="CV54356" s="376"/>
    </row>
    <row r="54357" spans="1:100">
      <c r="A54357" s="374"/>
      <c r="C54357" s="374"/>
      <c r="CV54357" s="376"/>
    </row>
    <row r="54358" spans="1:100">
      <c r="A54358" s="374"/>
      <c r="C54358" s="374"/>
      <c r="CV54358" s="376"/>
    </row>
    <row r="54359" spans="1:100">
      <c r="A54359" s="374"/>
      <c r="C54359" s="374"/>
      <c r="CV54359" s="376"/>
    </row>
    <row r="54360" spans="1:100">
      <c r="A54360" s="374"/>
      <c r="C54360" s="374"/>
      <c r="CV54360" s="376"/>
    </row>
    <row r="54361" spans="1:100">
      <c r="A54361" s="374"/>
      <c r="C54361" s="374"/>
      <c r="CV54361" s="376"/>
    </row>
    <row r="54362" spans="1:100">
      <c r="A54362" s="374"/>
      <c r="C54362" s="374"/>
      <c r="CV54362" s="376"/>
    </row>
    <row r="54363" spans="1:100">
      <c r="A54363" s="374"/>
      <c r="C54363" s="374"/>
      <c r="CV54363" s="376"/>
    </row>
    <row r="54364" spans="1:100">
      <c r="A54364" s="374"/>
      <c r="C54364" s="374"/>
      <c r="CV54364" s="376"/>
    </row>
    <row r="54365" spans="1:100">
      <c r="A54365" s="374"/>
      <c r="C54365" s="374"/>
      <c r="CV54365" s="376"/>
    </row>
    <row r="54366" spans="1:100">
      <c r="A54366" s="374"/>
      <c r="C54366" s="374"/>
      <c r="CV54366" s="376"/>
    </row>
    <row r="54367" spans="1:100">
      <c r="A54367" s="374"/>
      <c r="C54367" s="374"/>
      <c r="CV54367" s="376"/>
    </row>
    <row r="54368" spans="1:100">
      <c r="A54368" s="374"/>
      <c r="C54368" s="374"/>
      <c r="CV54368" s="376"/>
    </row>
    <row r="54369" spans="1:100">
      <c r="A54369" s="374"/>
      <c r="C54369" s="374"/>
      <c r="CV54369" s="376"/>
    </row>
    <row r="54370" spans="1:100">
      <c r="A54370" s="374"/>
      <c r="C54370" s="374"/>
      <c r="CV54370" s="376"/>
    </row>
    <row r="54371" spans="1:100">
      <c r="A54371" s="374"/>
      <c r="C54371" s="374"/>
      <c r="CV54371" s="376"/>
    </row>
    <row r="54372" spans="1:100">
      <c r="A54372" s="374"/>
      <c r="C54372" s="374"/>
      <c r="CV54372" s="376"/>
    </row>
    <row r="54373" spans="1:100">
      <c r="A54373" s="374"/>
      <c r="C54373" s="374"/>
      <c r="CV54373" s="376"/>
    </row>
    <row r="54374" spans="1:100">
      <c r="A54374" s="374"/>
      <c r="C54374" s="374"/>
      <c r="CV54374" s="376"/>
    </row>
    <row r="54375" spans="1:100">
      <c r="A54375" s="374"/>
      <c r="C54375" s="374"/>
      <c r="CV54375" s="376"/>
    </row>
    <row r="54376" spans="1:100">
      <c r="A54376" s="374"/>
      <c r="C54376" s="374"/>
      <c r="CV54376" s="376"/>
    </row>
    <row r="54377" spans="1:100">
      <c r="A54377" s="374"/>
      <c r="C54377" s="374"/>
      <c r="CV54377" s="376"/>
    </row>
    <row r="54378" spans="1:100">
      <c r="A54378" s="374"/>
      <c r="C54378" s="374"/>
      <c r="CV54378" s="376"/>
    </row>
    <row r="54379" spans="1:100">
      <c r="A54379" s="374"/>
      <c r="C54379" s="374"/>
      <c r="CV54379" s="376"/>
    </row>
    <row r="54380" spans="1:100">
      <c r="A54380" s="374"/>
      <c r="C54380" s="374"/>
      <c r="CV54380" s="376"/>
    </row>
    <row r="54381" spans="1:100">
      <c r="A54381" s="374"/>
      <c r="C54381" s="374"/>
      <c r="CV54381" s="376"/>
    </row>
    <row r="54382" spans="1:100">
      <c r="A54382" s="374"/>
      <c r="C54382" s="374"/>
      <c r="CV54382" s="376"/>
    </row>
    <row r="54383" spans="1:100">
      <c r="A54383" s="374"/>
      <c r="C54383" s="374"/>
      <c r="CV54383" s="376"/>
    </row>
    <row r="54384" spans="1:100">
      <c r="A54384" s="374"/>
      <c r="C54384" s="374"/>
      <c r="CV54384" s="376"/>
    </row>
    <row r="54385" spans="1:100">
      <c r="A54385" s="374"/>
      <c r="C54385" s="374"/>
      <c r="CV54385" s="376"/>
    </row>
    <row r="54386" spans="1:100">
      <c r="A54386" s="374"/>
      <c r="C54386" s="374"/>
      <c r="CV54386" s="376"/>
    </row>
    <row r="54387" spans="1:100">
      <c r="A54387" s="374"/>
      <c r="C54387" s="374"/>
      <c r="CV54387" s="376"/>
    </row>
    <row r="54388" spans="1:100">
      <c r="A54388" s="374"/>
      <c r="C54388" s="374"/>
      <c r="CV54388" s="376"/>
    </row>
    <row r="54389" spans="1:100">
      <c r="A54389" s="374"/>
      <c r="C54389" s="374"/>
      <c r="CV54389" s="376"/>
    </row>
    <row r="54390" spans="1:100">
      <c r="A54390" s="374"/>
      <c r="C54390" s="374"/>
      <c r="CV54390" s="376"/>
    </row>
    <row r="54391" spans="1:100">
      <c r="A54391" s="374"/>
      <c r="C54391" s="374"/>
      <c r="CV54391" s="376"/>
    </row>
    <row r="54392" spans="1:100">
      <c r="A54392" s="374"/>
      <c r="C54392" s="374"/>
      <c r="CV54392" s="376"/>
    </row>
    <row r="54393" spans="1:100">
      <c r="A54393" s="374"/>
      <c r="C54393" s="374"/>
      <c r="CV54393" s="376"/>
    </row>
    <row r="54394" spans="1:100">
      <c r="A54394" s="374"/>
      <c r="C54394" s="374"/>
      <c r="CV54394" s="376"/>
    </row>
    <row r="54395" spans="1:100">
      <c r="A54395" s="374"/>
      <c r="C54395" s="374"/>
      <c r="CV54395" s="376"/>
    </row>
    <row r="54396" spans="1:100">
      <c r="A54396" s="374"/>
      <c r="C54396" s="374"/>
      <c r="CV54396" s="376"/>
    </row>
    <row r="54397" spans="1:100">
      <c r="A54397" s="374"/>
      <c r="C54397" s="374"/>
      <c r="CV54397" s="376"/>
    </row>
    <row r="54398" spans="1:100">
      <c r="A54398" s="374"/>
      <c r="C54398" s="374"/>
      <c r="CV54398" s="376"/>
    </row>
    <row r="54399" spans="1:100">
      <c r="A54399" s="374"/>
      <c r="C54399" s="374"/>
      <c r="CV54399" s="376"/>
    </row>
    <row r="54400" spans="1:100">
      <c r="A54400" s="374"/>
      <c r="C54400" s="374"/>
      <c r="CV54400" s="376"/>
    </row>
    <row r="54401" spans="1:100">
      <c r="A54401" s="374"/>
      <c r="C54401" s="374"/>
      <c r="CV54401" s="376"/>
    </row>
    <row r="54402" spans="1:100">
      <c r="A54402" s="374"/>
      <c r="C54402" s="374"/>
      <c r="CV54402" s="376"/>
    </row>
    <row r="54403" spans="1:100">
      <c r="A54403" s="374"/>
      <c r="C54403" s="374"/>
      <c r="CV54403" s="376"/>
    </row>
    <row r="54404" spans="1:100">
      <c r="A54404" s="374"/>
      <c r="C54404" s="374"/>
      <c r="CV54404" s="376"/>
    </row>
    <row r="54405" spans="1:100">
      <c r="A54405" s="374"/>
      <c r="C54405" s="374"/>
      <c r="CV54405" s="376"/>
    </row>
    <row r="54406" spans="1:100">
      <c r="A54406" s="374"/>
      <c r="C54406" s="374"/>
      <c r="CV54406" s="376"/>
    </row>
    <row r="54407" spans="1:100">
      <c r="A54407" s="374"/>
      <c r="C54407" s="374"/>
      <c r="CV54407" s="376"/>
    </row>
    <row r="54408" spans="1:100">
      <c r="A54408" s="374"/>
      <c r="C54408" s="374"/>
      <c r="CV54408" s="376"/>
    </row>
    <row r="54409" spans="1:100">
      <c r="A54409" s="374"/>
      <c r="C54409" s="374"/>
      <c r="CV54409" s="376"/>
    </row>
    <row r="54410" spans="1:100">
      <c r="A54410" s="374"/>
      <c r="C54410" s="374"/>
      <c r="CV54410" s="376"/>
    </row>
    <row r="54411" spans="1:100">
      <c r="A54411" s="374"/>
      <c r="C54411" s="374"/>
      <c r="CV54411" s="376"/>
    </row>
    <row r="54412" spans="1:100">
      <c r="A54412" s="374"/>
      <c r="C54412" s="374"/>
      <c r="CV54412" s="376"/>
    </row>
    <row r="54413" spans="1:100">
      <c r="A54413" s="374"/>
      <c r="C54413" s="374"/>
      <c r="CV54413" s="376"/>
    </row>
    <row r="54414" spans="1:100">
      <c r="A54414" s="374"/>
      <c r="C54414" s="374"/>
      <c r="CV54414" s="376"/>
    </row>
    <row r="54415" spans="1:100">
      <c r="A54415" s="374"/>
      <c r="C54415" s="374"/>
      <c r="CV54415" s="376"/>
    </row>
    <row r="54416" spans="1:100">
      <c r="A54416" s="374"/>
      <c r="C54416" s="374"/>
      <c r="CV54416" s="376"/>
    </row>
    <row r="54417" spans="1:100">
      <c r="A54417" s="374"/>
      <c r="C54417" s="374"/>
      <c r="CV54417" s="376"/>
    </row>
    <row r="54418" spans="1:100">
      <c r="A54418" s="374"/>
      <c r="C54418" s="374"/>
      <c r="CV54418" s="376"/>
    </row>
    <row r="54419" spans="1:100">
      <c r="A54419" s="374"/>
      <c r="C54419" s="374"/>
      <c r="CV54419" s="376"/>
    </row>
    <row r="54420" spans="1:100">
      <c r="A54420" s="374"/>
      <c r="C54420" s="374"/>
      <c r="CV54420" s="376"/>
    </row>
    <row r="54421" spans="1:100">
      <c r="A54421" s="374"/>
      <c r="C54421" s="374"/>
      <c r="CV54421" s="376"/>
    </row>
    <row r="54422" spans="1:100">
      <c r="A54422" s="374"/>
      <c r="C54422" s="374"/>
      <c r="CV54422" s="376"/>
    </row>
    <row r="54423" spans="1:100">
      <c r="A54423" s="374"/>
      <c r="C54423" s="374"/>
      <c r="CV54423" s="376"/>
    </row>
    <row r="54424" spans="1:100">
      <c r="A54424" s="374"/>
      <c r="C54424" s="374"/>
      <c r="CV54424" s="376"/>
    </row>
    <row r="54425" spans="1:100">
      <c r="A54425" s="374"/>
      <c r="C54425" s="374"/>
      <c r="CV54425" s="376"/>
    </row>
    <row r="54426" spans="1:100">
      <c r="A54426" s="374"/>
      <c r="C54426" s="374"/>
      <c r="CV54426" s="376"/>
    </row>
    <row r="54427" spans="1:100">
      <c r="A54427" s="374"/>
      <c r="C54427" s="374"/>
      <c r="CV54427" s="376"/>
    </row>
    <row r="54428" spans="1:100">
      <c r="A54428" s="374"/>
      <c r="C54428" s="374"/>
      <c r="CV54428" s="376"/>
    </row>
    <row r="54429" spans="1:100">
      <c r="A54429" s="374"/>
      <c r="C54429" s="374"/>
      <c r="CV54429" s="376"/>
    </row>
    <row r="54430" spans="1:100">
      <c r="A54430" s="374"/>
      <c r="C54430" s="374"/>
      <c r="CV54430" s="376"/>
    </row>
    <row r="54431" spans="1:100">
      <c r="A54431" s="374"/>
      <c r="C54431" s="374"/>
      <c r="CV54431" s="376"/>
    </row>
    <row r="54432" spans="1:100">
      <c r="A54432" s="374"/>
      <c r="C54432" s="374"/>
      <c r="CV54432" s="376"/>
    </row>
    <row r="54433" spans="1:100">
      <c r="A54433" s="374"/>
      <c r="C54433" s="374"/>
      <c r="CV54433" s="376"/>
    </row>
    <row r="54434" spans="1:100">
      <c r="A54434" s="374"/>
      <c r="C54434" s="374"/>
      <c r="CV54434" s="376"/>
    </row>
    <row r="54435" spans="1:100">
      <c r="A54435" s="374"/>
      <c r="C54435" s="374"/>
      <c r="CV54435" s="376"/>
    </row>
    <row r="54436" spans="1:100">
      <c r="A54436" s="374"/>
      <c r="C54436" s="374"/>
      <c r="CV54436" s="376"/>
    </row>
    <row r="54437" spans="1:100">
      <c r="A54437" s="374"/>
      <c r="C54437" s="374"/>
      <c r="CV54437" s="376"/>
    </row>
    <row r="54438" spans="1:100">
      <c r="A54438" s="374"/>
      <c r="C54438" s="374"/>
      <c r="CV54438" s="376"/>
    </row>
    <row r="54439" spans="1:100">
      <c r="A54439" s="374"/>
      <c r="C54439" s="374"/>
      <c r="CV54439" s="376"/>
    </row>
    <row r="54440" spans="1:100">
      <c r="A54440" s="374"/>
      <c r="C54440" s="374"/>
      <c r="CV54440" s="376"/>
    </row>
    <row r="54441" spans="1:100">
      <c r="A54441" s="374"/>
      <c r="C54441" s="374"/>
      <c r="CV54441" s="376"/>
    </row>
    <row r="54442" spans="1:100">
      <c r="A54442" s="374"/>
      <c r="C54442" s="374"/>
      <c r="CV54442" s="376"/>
    </row>
    <row r="54443" spans="1:100">
      <c r="A54443" s="374"/>
      <c r="C54443" s="374"/>
      <c r="CV54443" s="376"/>
    </row>
    <row r="54444" spans="1:100">
      <c r="A54444" s="374"/>
      <c r="C54444" s="374"/>
      <c r="CV54444" s="376"/>
    </row>
    <row r="54445" spans="1:100">
      <c r="A54445" s="374"/>
      <c r="C54445" s="374"/>
      <c r="CV54445" s="376"/>
    </row>
    <row r="54446" spans="1:100">
      <c r="A54446" s="374"/>
      <c r="C54446" s="374"/>
      <c r="CV54446" s="376"/>
    </row>
    <row r="54447" spans="1:100">
      <c r="A54447" s="374"/>
      <c r="C54447" s="374"/>
      <c r="CV54447" s="376"/>
    </row>
    <row r="54448" spans="1:100">
      <c r="A54448" s="374"/>
      <c r="C54448" s="374"/>
      <c r="CV54448" s="376"/>
    </row>
    <row r="54449" spans="1:100">
      <c r="A54449" s="374"/>
      <c r="C54449" s="374"/>
      <c r="CV54449" s="376"/>
    </row>
    <row r="54450" spans="1:100">
      <c r="A54450" s="374"/>
      <c r="C54450" s="374"/>
      <c r="CV54450" s="376"/>
    </row>
    <row r="54451" spans="1:100">
      <c r="A54451" s="374"/>
      <c r="C54451" s="374"/>
      <c r="CV54451" s="376"/>
    </row>
    <row r="54452" spans="1:100">
      <c r="A54452" s="374"/>
      <c r="C54452" s="374"/>
      <c r="CV54452" s="376"/>
    </row>
    <row r="54453" spans="1:100">
      <c r="A54453" s="374"/>
      <c r="C54453" s="374"/>
      <c r="CV54453" s="376"/>
    </row>
    <row r="54454" spans="1:100">
      <c r="A54454" s="374"/>
      <c r="C54454" s="374"/>
      <c r="CV54454" s="376"/>
    </row>
    <row r="54455" spans="1:100">
      <c r="A54455" s="374"/>
      <c r="C54455" s="374"/>
      <c r="CV54455" s="376"/>
    </row>
    <row r="54456" spans="1:100">
      <c r="A54456" s="374"/>
      <c r="C54456" s="374"/>
      <c r="CV54456" s="376"/>
    </row>
    <row r="54457" spans="1:100">
      <c r="A54457" s="374"/>
      <c r="C54457" s="374"/>
      <c r="CV54457" s="376"/>
    </row>
    <row r="54458" spans="1:100">
      <c r="A54458" s="374"/>
      <c r="C54458" s="374"/>
      <c r="CV54458" s="376"/>
    </row>
    <row r="54459" spans="1:100">
      <c r="A54459" s="374"/>
      <c r="C54459" s="374"/>
      <c r="CV54459" s="376"/>
    </row>
    <row r="54460" spans="1:100">
      <c r="A54460" s="374"/>
      <c r="C54460" s="374"/>
      <c r="CV54460" s="376"/>
    </row>
    <row r="54461" spans="1:100">
      <c r="A54461" s="374"/>
      <c r="C54461" s="374"/>
      <c r="CV54461" s="376"/>
    </row>
    <row r="54462" spans="1:100">
      <c r="A54462" s="374"/>
      <c r="C54462" s="374"/>
      <c r="CV54462" s="376"/>
    </row>
    <row r="54463" spans="1:100">
      <c r="A54463" s="374"/>
      <c r="C54463" s="374"/>
      <c r="CV54463" s="376"/>
    </row>
    <row r="54464" spans="1:100">
      <c r="A54464" s="374"/>
      <c r="C54464" s="374"/>
      <c r="CV54464" s="376"/>
    </row>
    <row r="54465" spans="1:100">
      <c r="A54465" s="374"/>
      <c r="C54465" s="374"/>
      <c r="CV54465" s="376"/>
    </row>
    <row r="54466" spans="1:100">
      <c r="A54466" s="374"/>
      <c r="C54466" s="374"/>
      <c r="CV54466" s="376"/>
    </row>
    <row r="54467" spans="1:100">
      <c r="A54467" s="374"/>
      <c r="C54467" s="374"/>
      <c r="CV54467" s="376"/>
    </row>
    <row r="54468" spans="1:100">
      <c r="A54468" s="374"/>
      <c r="C54468" s="374"/>
      <c r="CV54468" s="376"/>
    </row>
    <row r="54469" spans="1:100">
      <c r="A54469" s="374"/>
      <c r="C54469" s="374"/>
      <c r="CV54469" s="376"/>
    </row>
    <row r="54470" spans="1:100">
      <c r="A54470" s="374"/>
      <c r="C54470" s="374"/>
      <c r="CV54470" s="376"/>
    </row>
    <row r="54471" spans="1:100">
      <c r="A54471" s="374"/>
      <c r="C54471" s="374"/>
      <c r="CV54471" s="376"/>
    </row>
    <row r="54472" spans="1:100">
      <c r="A54472" s="374"/>
      <c r="C54472" s="374"/>
      <c r="CV54472" s="376"/>
    </row>
    <row r="54473" spans="1:100">
      <c r="A54473" s="374"/>
      <c r="C54473" s="374"/>
      <c r="CV54473" s="376"/>
    </row>
    <row r="54474" spans="1:100">
      <c r="A54474" s="374"/>
      <c r="C54474" s="374"/>
      <c r="CV54474" s="376"/>
    </row>
    <row r="54475" spans="1:100">
      <c r="A54475" s="374"/>
      <c r="C54475" s="374"/>
      <c r="CV54475" s="376"/>
    </row>
    <row r="54476" spans="1:100">
      <c r="A54476" s="374"/>
      <c r="C54476" s="374"/>
      <c r="CV54476" s="376"/>
    </row>
    <row r="54477" spans="1:100">
      <c r="A54477" s="374"/>
      <c r="C54477" s="374"/>
      <c r="CV54477" s="376"/>
    </row>
    <row r="54478" spans="1:100">
      <c r="A54478" s="374"/>
      <c r="C54478" s="374"/>
      <c r="CV54478" s="376"/>
    </row>
    <row r="54479" spans="1:100">
      <c r="A54479" s="374"/>
      <c r="C54479" s="374"/>
      <c r="CV54479" s="376"/>
    </row>
    <row r="54480" spans="1:100">
      <c r="A54480" s="374"/>
      <c r="C54480" s="374"/>
      <c r="CV54480" s="376"/>
    </row>
    <row r="54481" spans="1:100">
      <c r="A54481" s="374"/>
      <c r="C54481" s="374"/>
      <c r="CV54481" s="376"/>
    </row>
    <row r="54482" spans="1:100">
      <c r="A54482" s="374"/>
      <c r="C54482" s="374"/>
      <c r="CV54482" s="376"/>
    </row>
    <row r="54483" spans="1:100">
      <c r="A54483" s="374"/>
      <c r="C54483" s="374"/>
      <c r="CV54483" s="376"/>
    </row>
    <row r="54484" spans="1:100">
      <c r="A54484" s="374"/>
      <c r="C54484" s="374"/>
      <c r="CV54484" s="376"/>
    </row>
    <row r="54485" spans="1:100">
      <c r="A54485" s="374"/>
      <c r="C54485" s="374"/>
      <c r="CV54485" s="376"/>
    </row>
    <row r="54486" spans="1:100">
      <c r="A54486" s="374"/>
      <c r="C54486" s="374"/>
      <c r="CV54486" s="376"/>
    </row>
    <row r="54487" spans="1:100">
      <c r="A54487" s="374"/>
      <c r="C54487" s="374"/>
      <c r="CV54487" s="376"/>
    </row>
    <row r="54488" spans="1:100">
      <c r="A54488" s="374"/>
      <c r="C54488" s="374"/>
      <c r="CV54488" s="376"/>
    </row>
    <row r="54489" spans="1:100">
      <c r="A54489" s="374"/>
      <c r="C54489" s="374"/>
      <c r="CV54489" s="376"/>
    </row>
    <row r="54490" spans="1:100">
      <c r="A54490" s="374"/>
      <c r="C54490" s="374"/>
      <c r="CV54490" s="376"/>
    </row>
    <row r="54491" spans="1:100">
      <c r="A54491" s="374"/>
      <c r="C54491" s="374"/>
      <c r="CV54491" s="376"/>
    </row>
    <row r="54492" spans="1:100">
      <c r="A54492" s="374"/>
      <c r="C54492" s="374"/>
      <c r="CV54492" s="376"/>
    </row>
    <row r="54493" spans="1:100">
      <c r="A54493" s="374"/>
      <c r="C54493" s="374"/>
      <c r="CV54493" s="376"/>
    </row>
    <row r="54494" spans="1:100">
      <c r="A54494" s="374"/>
      <c r="C54494" s="374"/>
      <c r="CV54494" s="376"/>
    </row>
    <row r="54495" spans="1:100">
      <c r="A54495" s="374"/>
      <c r="C54495" s="374"/>
      <c r="CV54495" s="376"/>
    </row>
    <row r="54496" spans="1:100">
      <c r="A54496" s="374"/>
      <c r="C54496" s="374"/>
      <c r="CV54496" s="376"/>
    </row>
    <row r="54497" spans="1:100">
      <c r="A54497" s="374"/>
      <c r="C54497" s="374"/>
      <c r="CV54497" s="376"/>
    </row>
    <row r="54498" spans="1:100">
      <c r="A54498" s="374"/>
      <c r="C54498" s="374"/>
      <c r="CV54498" s="376"/>
    </row>
    <row r="54499" spans="1:100">
      <c r="A54499" s="374"/>
      <c r="C54499" s="374"/>
      <c r="CV54499" s="376"/>
    </row>
    <row r="54500" spans="1:100">
      <c r="A54500" s="374"/>
      <c r="C54500" s="374"/>
      <c r="CV54500" s="376"/>
    </row>
    <row r="54501" spans="1:100">
      <c r="A54501" s="374"/>
      <c r="C54501" s="374"/>
      <c r="CV54501" s="376"/>
    </row>
    <row r="54502" spans="1:100">
      <c r="A54502" s="374"/>
      <c r="C54502" s="374"/>
      <c r="CV54502" s="376"/>
    </row>
    <row r="54503" spans="1:100">
      <c r="A54503" s="374"/>
      <c r="C54503" s="374"/>
      <c r="CV54503" s="376"/>
    </row>
    <row r="54504" spans="1:100">
      <c r="A54504" s="374"/>
      <c r="C54504" s="374"/>
      <c r="CV54504" s="376"/>
    </row>
    <row r="54505" spans="1:100">
      <c r="A54505" s="374"/>
      <c r="C54505" s="374"/>
      <c r="CV54505" s="376"/>
    </row>
    <row r="54506" spans="1:100">
      <c r="A54506" s="374"/>
      <c r="C54506" s="374"/>
      <c r="CV54506" s="376"/>
    </row>
    <row r="54507" spans="1:100">
      <c r="A54507" s="374"/>
      <c r="C54507" s="374"/>
      <c r="CV54507" s="376"/>
    </row>
    <row r="54508" spans="1:100">
      <c r="A54508" s="374"/>
      <c r="C54508" s="374"/>
      <c r="CV54508" s="376"/>
    </row>
    <row r="54509" spans="1:100">
      <c r="A54509" s="374"/>
      <c r="C54509" s="374"/>
      <c r="CV54509" s="376"/>
    </row>
    <row r="54510" spans="1:100">
      <c r="A54510" s="374"/>
      <c r="C54510" s="374"/>
      <c r="CV54510" s="376"/>
    </row>
    <row r="54511" spans="1:100">
      <c r="A54511" s="374"/>
      <c r="C54511" s="374"/>
      <c r="CV54511" s="376"/>
    </row>
    <row r="54512" spans="1:100">
      <c r="A54512" s="374"/>
      <c r="C54512" s="374"/>
      <c r="CV54512" s="376"/>
    </row>
    <row r="54513" spans="1:100">
      <c r="A54513" s="374"/>
      <c r="C54513" s="374"/>
      <c r="CV54513" s="376"/>
    </row>
    <row r="54514" spans="1:100">
      <c r="A54514" s="374"/>
      <c r="C54514" s="374"/>
      <c r="CV54514" s="376"/>
    </row>
    <row r="54515" spans="1:100">
      <c r="A54515" s="374"/>
      <c r="C54515" s="374"/>
      <c r="CV54515" s="376"/>
    </row>
    <row r="54516" spans="1:100">
      <c r="A54516" s="374"/>
      <c r="C54516" s="374"/>
      <c r="CV54516" s="376"/>
    </row>
    <row r="54517" spans="1:100">
      <c r="A54517" s="374"/>
      <c r="C54517" s="374"/>
      <c r="CV54517" s="376"/>
    </row>
    <row r="54518" spans="1:100">
      <c r="A54518" s="374"/>
      <c r="C54518" s="374"/>
      <c r="CV54518" s="376"/>
    </row>
    <row r="54519" spans="1:100">
      <c r="A54519" s="374"/>
      <c r="C54519" s="374"/>
      <c r="CV54519" s="376"/>
    </row>
    <row r="54520" spans="1:100">
      <c r="A54520" s="374"/>
      <c r="C54520" s="374"/>
      <c r="CV54520" s="376"/>
    </row>
    <row r="54521" spans="1:100">
      <c r="A54521" s="374"/>
      <c r="C54521" s="374"/>
      <c r="CV54521" s="376"/>
    </row>
    <row r="54522" spans="1:100">
      <c r="A54522" s="374"/>
      <c r="C54522" s="374"/>
      <c r="CV54522" s="376"/>
    </row>
    <row r="54523" spans="1:100">
      <c r="A54523" s="374"/>
      <c r="C54523" s="374"/>
      <c r="CV54523" s="376"/>
    </row>
    <row r="54524" spans="1:100">
      <c r="A54524" s="374"/>
      <c r="C54524" s="374"/>
      <c r="CV54524" s="376"/>
    </row>
    <row r="54525" spans="1:100">
      <c r="A54525" s="374"/>
      <c r="C54525" s="374"/>
      <c r="CV54525" s="376"/>
    </row>
    <row r="54526" spans="1:100">
      <c r="A54526" s="374"/>
      <c r="C54526" s="374"/>
      <c r="CV54526" s="376"/>
    </row>
    <row r="54527" spans="1:100">
      <c r="A54527" s="374"/>
      <c r="C54527" s="374"/>
      <c r="CV54527" s="376"/>
    </row>
    <row r="54528" spans="1:100">
      <c r="A54528" s="374"/>
      <c r="C54528" s="374"/>
      <c r="CV54528" s="376"/>
    </row>
    <row r="54529" spans="1:100">
      <c r="A54529" s="374"/>
      <c r="C54529" s="374"/>
      <c r="CV54529" s="376"/>
    </row>
    <row r="54530" spans="1:100">
      <c r="A54530" s="374"/>
      <c r="C54530" s="374"/>
      <c r="CV54530" s="376"/>
    </row>
    <row r="54531" spans="1:100">
      <c r="A54531" s="374"/>
      <c r="C54531" s="374"/>
      <c r="CV54531" s="376"/>
    </row>
    <row r="54532" spans="1:100">
      <c r="A54532" s="374"/>
      <c r="C54532" s="374"/>
      <c r="CV54532" s="376"/>
    </row>
    <row r="54533" spans="1:100">
      <c r="A54533" s="374"/>
      <c r="C54533" s="374"/>
      <c r="CV54533" s="376"/>
    </row>
    <row r="54534" spans="1:100">
      <c r="A54534" s="374"/>
      <c r="C54534" s="374"/>
      <c r="CV54534" s="376"/>
    </row>
    <row r="54535" spans="1:100">
      <c r="A54535" s="374"/>
      <c r="C54535" s="374"/>
      <c r="CV54535" s="376"/>
    </row>
    <row r="54536" spans="1:100">
      <c r="A54536" s="374"/>
      <c r="C54536" s="374"/>
      <c r="CV54536" s="376"/>
    </row>
    <row r="54537" spans="1:100">
      <c r="A54537" s="374"/>
      <c r="C54537" s="374"/>
      <c r="CV54537" s="376"/>
    </row>
    <row r="54538" spans="1:100">
      <c r="A54538" s="374"/>
      <c r="C54538" s="374"/>
      <c r="CV54538" s="376"/>
    </row>
    <row r="54539" spans="1:100">
      <c r="A54539" s="374"/>
      <c r="C54539" s="374"/>
      <c r="CV54539" s="376"/>
    </row>
    <row r="54540" spans="1:100">
      <c r="A54540" s="374"/>
      <c r="C54540" s="374"/>
      <c r="CV54540" s="376"/>
    </row>
    <row r="54541" spans="1:100">
      <c r="A54541" s="374"/>
      <c r="C54541" s="374"/>
      <c r="CV54541" s="376"/>
    </row>
    <row r="54542" spans="1:100">
      <c r="A54542" s="374"/>
      <c r="C54542" s="374"/>
      <c r="CV54542" s="376"/>
    </row>
    <row r="54543" spans="1:100">
      <c r="A54543" s="374"/>
      <c r="C54543" s="374"/>
      <c r="CV54543" s="376"/>
    </row>
    <row r="54544" spans="1:100">
      <c r="A54544" s="374"/>
      <c r="C54544" s="374"/>
      <c r="CV54544" s="376"/>
    </row>
    <row r="54545" spans="1:100">
      <c r="A54545" s="374"/>
      <c r="C54545" s="374"/>
      <c r="CV54545" s="376"/>
    </row>
    <row r="54546" spans="1:100">
      <c r="A54546" s="374"/>
      <c r="C54546" s="374"/>
      <c r="CV54546" s="376"/>
    </row>
    <row r="54547" spans="1:100">
      <c r="A54547" s="374"/>
      <c r="C54547" s="374"/>
      <c r="CV54547" s="376"/>
    </row>
    <row r="54548" spans="1:100">
      <c r="A54548" s="374"/>
      <c r="C54548" s="374"/>
      <c r="CV54548" s="376"/>
    </row>
    <row r="54549" spans="1:100">
      <c r="A54549" s="374"/>
      <c r="C54549" s="374"/>
      <c r="CV54549" s="376"/>
    </row>
    <row r="54550" spans="1:100">
      <c r="A54550" s="374"/>
      <c r="C54550" s="374"/>
      <c r="CV54550" s="376"/>
    </row>
    <row r="54551" spans="1:100">
      <c r="A54551" s="374"/>
      <c r="C54551" s="374"/>
      <c r="CV54551" s="376"/>
    </row>
    <row r="54552" spans="1:100">
      <c r="A54552" s="374"/>
      <c r="C54552" s="374"/>
      <c r="CV54552" s="376"/>
    </row>
    <row r="54553" spans="1:100">
      <c r="A54553" s="374"/>
      <c r="C54553" s="374"/>
      <c r="CV54553" s="376"/>
    </row>
    <row r="54554" spans="1:100">
      <c r="A54554" s="374"/>
      <c r="C54554" s="374"/>
      <c r="CV54554" s="376"/>
    </row>
    <row r="54555" spans="1:100">
      <c r="A54555" s="374"/>
      <c r="C54555" s="374"/>
      <c r="CV54555" s="376"/>
    </row>
    <row r="54556" spans="1:100">
      <c r="A54556" s="374"/>
      <c r="C54556" s="374"/>
      <c r="CV54556" s="376"/>
    </row>
    <row r="54557" spans="1:100">
      <c r="A54557" s="374"/>
      <c r="C54557" s="374"/>
      <c r="CV54557" s="376"/>
    </row>
    <row r="54558" spans="1:100">
      <c r="A54558" s="374"/>
      <c r="C54558" s="374"/>
      <c r="CV54558" s="376"/>
    </row>
    <row r="54559" spans="1:100">
      <c r="A54559" s="374"/>
      <c r="C54559" s="374"/>
      <c r="CV54559" s="376"/>
    </row>
    <row r="54560" spans="1:100">
      <c r="A54560" s="374"/>
      <c r="C54560" s="374"/>
      <c r="CV54560" s="376"/>
    </row>
    <row r="54561" spans="1:100">
      <c r="A54561" s="374"/>
      <c r="C54561" s="374"/>
      <c r="CV54561" s="376"/>
    </row>
    <row r="54562" spans="1:100">
      <c r="A54562" s="374"/>
      <c r="C54562" s="374"/>
      <c r="CV54562" s="376"/>
    </row>
    <row r="54563" spans="1:100">
      <c r="A54563" s="374"/>
      <c r="C54563" s="374"/>
      <c r="CV54563" s="376"/>
    </row>
    <row r="54564" spans="1:100">
      <c r="A54564" s="374"/>
      <c r="C54564" s="374"/>
      <c r="CV54564" s="376"/>
    </row>
    <row r="54565" spans="1:100">
      <c r="A54565" s="374"/>
      <c r="C54565" s="374"/>
      <c r="CV54565" s="376"/>
    </row>
    <row r="54566" spans="1:100">
      <c r="A54566" s="374"/>
      <c r="C54566" s="374"/>
      <c r="CV54566" s="376"/>
    </row>
    <row r="54567" spans="1:100">
      <c r="A54567" s="374"/>
      <c r="C54567" s="374"/>
      <c r="CV54567" s="376"/>
    </row>
    <row r="54568" spans="1:100">
      <c r="A54568" s="374"/>
      <c r="C54568" s="374"/>
      <c r="CV54568" s="376"/>
    </row>
    <row r="54569" spans="1:100">
      <c r="A54569" s="374"/>
      <c r="C54569" s="374"/>
      <c r="CV54569" s="376"/>
    </row>
    <row r="54570" spans="1:100">
      <c r="A54570" s="374"/>
      <c r="C54570" s="374"/>
      <c r="CV54570" s="376"/>
    </row>
    <row r="54571" spans="1:100">
      <c r="A54571" s="374"/>
      <c r="C54571" s="374"/>
      <c r="CV54571" s="376"/>
    </row>
    <row r="54572" spans="1:100">
      <c r="A54572" s="374"/>
      <c r="C54572" s="374"/>
      <c r="CV54572" s="376"/>
    </row>
    <row r="54573" spans="1:100">
      <c r="A54573" s="374"/>
      <c r="C54573" s="374"/>
      <c r="CV54573" s="376"/>
    </row>
    <row r="54574" spans="1:100">
      <c r="A54574" s="374"/>
      <c r="C54574" s="374"/>
      <c r="CV54574" s="376"/>
    </row>
    <row r="54575" spans="1:100">
      <c r="A54575" s="374"/>
      <c r="C54575" s="374"/>
      <c r="CV54575" s="376"/>
    </row>
    <row r="54576" spans="1:100">
      <c r="A54576" s="374"/>
      <c r="C54576" s="374"/>
      <c r="CV54576" s="376"/>
    </row>
    <row r="54577" spans="1:100">
      <c r="A54577" s="374"/>
      <c r="C54577" s="374"/>
      <c r="CV54577" s="376"/>
    </row>
    <row r="54578" spans="1:100">
      <c r="A54578" s="374"/>
      <c r="C54578" s="374"/>
      <c r="CV54578" s="376"/>
    </row>
    <row r="54579" spans="1:100">
      <c r="A54579" s="374"/>
      <c r="C54579" s="374"/>
      <c r="CV54579" s="376"/>
    </row>
    <row r="54580" spans="1:100">
      <c r="A54580" s="374"/>
      <c r="C54580" s="374"/>
      <c r="CV54580" s="376"/>
    </row>
    <row r="54581" spans="1:100">
      <c r="A54581" s="374"/>
      <c r="C54581" s="374"/>
      <c r="CV54581" s="376"/>
    </row>
    <row r="54582" spans="1:100">
      <c r="A54582" s="374"/>
      <c r="C54582" s="374"/>
      <c r="CV54582" s="376"/>
    </row>
    <row r="54583" spans="1:100">
      <c r="A54583" s="374"/>
      <c r="C54583" s="374"/>
      <c r="CV54583" s="376"/>
    </row>
    <row r="54584" spans="1:100">
      <c r="A54584" s="374"/>
      <c r="C54584" s="374"/>
      <c r="CV54584" s="376"/>
    </row>
    <row r="54585" spans="1:100">
      <c r="A54585" s="374"/>
      <c r="C54585" s="374"/>
      <c r="CV54585" s="376"/>
    </row>
    <row r="54586" spans="1:100">
      <c r="A54586" s="374"/>
      <c r="C54586" s="374"/>
      <c r="CV54586" s="376"/>
    </row>
    <row r="54587" spans="1:100">
      <c r="A54587" s="374"/>
      <c r="C54587" s="374"/>
      <c r="CV54587" s="376"/>
    </row>
    <row r="54588" spans="1:100">
      <c r="A54588" s="374"/>
      <c r="C54588" s="374"/>
      <c r="CV54588" s="376"/>
    </row>
    <row r="54589" spans="1:100">
      <c r="A54589" s="374"/>
      <c r="C54589" s="374"/>
      <c r="CV54589" s="376"/>
    </row>
    <row r="54590" spans="1:100">
      <c r="A54590" s="374"/>
      <c r="C54590" s="374"/>
      <c r="CV54590" s="376"/>
    </row>
    <row r="54591" spans="1:100">
      <c r="A54591" s="374"/>
      <c r="C54591" s="374"/>
      <c r="CV54591" s="376"/>
    </row>
    <row r="54592" spans="1:100">
      <c r="A54592" s="374"/>
      <c r="C54592" s="374"/>
      <c r="CV54592" s="376"/>
    </row>
    <row r="54593" spans="1:100">
      <c r="A54593" s="374"/>
      <c r="C54593" s="374"/>
      <c r="CV54593" s="376"/>
    </row>
    <row r="54594" spans="1:100">
      <c r="A54594" s="374"/>
      <c r="C54594" s="374"/>
      <c r="CV54594" s="376"/>
    </row>
    <row r="54595" spans="1:100">
      <c r="A54595" s="374"/>
      <c r="C54595" s="374"/>
      <c r="CV54595" s="376"/>
    </row>
    <row r="54596" spans="1:100">
      <c r="A54596" s="374"/>
      <c r="C54596" s="374"/>
      <c r="CV54596" s="376"/>
    </row>
    <row r="54597" spans="1:100">
      <c r="A54597" s="374"/>
      <c r="C54597" s="374"/>
      <c r="CV54597" s="376"/>
    </row>
    <row r="54598" spans="1:100">
      <c r="A54598" s="374"/>
      <c r="C54598" s="374"/>
      <c r="CV54598" s="376"/>
    </row>
    <row r="54599" spans="1:100">
      <c r="A54599" s="374"/>
      <c r="C54599" s="374"/>
      <c r="CV54599" s="376"/>
    </row>
    <row r="54600" spans="1:100">
      <c r="A54600" s="374"/>
      <c r="C54600" s="374"/>
      <c r="CV54600" s="376"/>
    </row>
    <row r="54601" spans="1:100">
      <c r="A54601" s="374"/>
      <c r="C54601" s="374"/>
      <c r="CV54601" s="376"/>
    </row>
    <row r="54602" spans="1:100">
      <c r="A54602" s="374"/>
      <c r="C54602" s="374"/>
      <c r="CV54602" s="376"/>
    </row>
    <row r="54603" spans="1:100">
      <c r="A54603" s="374"/>
      <c r="C54603" s="374"/>
      <c r="CV54603" s="376"/>
    </row>
    <row r="54604" spans="1:100">
      <c r="A54604" s="374"/>
      <c r="C54604" s="374"/>
      <c r="CV54604" s="376"/>
    </row>
    <row r="54605" spans="1:100">
      <c r="A54605" s="374"/>
      <c r="C54605" s="374"/>
      <c r="CV54605" s="376"/>
    </row>
    <row r="54606" spans="1:100">
      <c r="A54606" s="374"/>
      <c r="C54606" s="374"/>
      <c r="CV54606" s="376"/>
    </row>
    <row r="54607" spans="1:100">
      <c r="A54607" s="374"/>
      <c r="C54607" s="374"/>
      <c r="CV54607" s="376"/>
    </row>
    <row r="54608" spans="1:100">
      <c r="A54608" s="374"/>
      <c r="C54608" s="374"/>
      <c r="CV54608" s="376"/>
    </row>
    <row r="54609" spans="1:100">
      <c r="A54609" s="374"/>
      <c r="C54609" s="374"/>
      <c r="CV54609" s="376"/>
    </row>
    <row r="54610" spans="1:100">
      <c r="A54610" s="374"/>
      <c r="C54610" s="374"/>
      <c r="CV54610" s="376"/>
    </row>
    <row r="54611" spans="1:100">
      <c r="A54611" s="374"/>
      <c r="C54611" s="374"/>
      <c r="CV54611" s="376"/>
    </row>
    <row r="54612" spans="1:100">
      <c r="A54612" s="374"/>
      <c r="C54612" s="374"/>
      <c r="CV54612" s="376"/>
    </row>
    <row r="54613" spans="1:100">
      <c r="A54613" s="374"/>
      <c r="C54613" s="374"/>
      <c r="CV54613" s="376"/>
    </row>
    <row r="54614" spans="1:100">
      <c r="A54614" s="374"/>
      <c r="C54614" s="374"/>
      <c r="CV54614" s="376"/>
    </row>
    <row r="54615" spans="1:100">
      <c r="A54615" s="374"/>
      <c r="C54615" s="374"/>
      <c r="CV54615" s="376"/>
    </row>
    <row r="54616" spans="1:100">
      <c r="A54616" s="374"/>
      <c r="C54616" s="374"/>
      <c r="CV54616" s="376"/>
    </row>
    <row r="54617" spans="1:100">
      <c r="A54617" s="374"/>
      <c r="C54617" s="374"/>
      <c r="CV54617" s="376"/>
    </row>
    <row r="54618" spans="1:100">
      <c r="A54618" s="374"/>
      <c r="C54618" s="374"/>
      <c r="CV54618" s="376"/>
    </row>
    <row r="54619" spans="1:100">
      <c r="A54619" s="374"/>
      <c r="C54619" s="374"/>
      <c r="CV54619" s="376"/>
    </row>
    <row r="54620" spans="1:100">
      <c r="A54620" s="374"/>
      <c r="C54620" s="374"/>
      <c r="CV54620" s="376"/>
    </row>
    <row r="54621" spans="1:100">
      <c r="A54621" s="374"/>
      <c r="C54621" s="374"/>
      <c r="CV54621" s="376"/>
    </row>
    <row r="54622" spans="1:100">
      <c r="A54622" s="374"/>
      <c r="C54622" s="374"/>
      <c r="CV54622" s="376"/>
    </row>
    <row r="54623" spans="1:100">
      <c r="A54623" s="374"/>
      <c r="C54623" s="374"/>
      <c r="CV54623" s="376"/>
    </row>
    <row r="54624" spans="1:100">
      <c r="A54624" s="374"/>
      <c r="C54624" s="374"/>
      <c r="CV54624" s="376"/>
    </row>
    <row r="54625" spans="1:100">
      <c r="A54625" s="374"/>
      <c r="C54625" s="374"/>
      <c r="CV54625" s="376"/>
    </row>
    <row r="54626" spans="1:100">
      <c r="A54626" s="374"/>
      <c r="C54626" s="374"/>
      <c r="CV54626" s="376"/>
    </row>
    <row r="54627" spans="1:100">
      <c r="A54627" s="374"/>
      <c r="C54627" s="374"/>
      <c r="CV54627" s="376"/>
    </row>
    <row r="54628" spans="1:100">
      <c r="A54628" s="374"/>
      <c r="C54628" s="374"/>
      <c r="CV54628" s="376"/>
    </row>
    <row r="54629" spans="1:100">
      <c r="A54629" s="374"/>
      <c r="C54629" s="374"/>
      <c r="CV54629" s="376"/>
    </row>
    <row r="54630" spans="1:100">
      <c r="A54630" s="374"/>
      <c r="C54630" s="374"/>
      <c r="CV54630" s="376"/>
    </row>
    <row r="54631" spans="1:100">
      <c r="A54631" s="374"/>
      <c r="C54631" s="374"/>
      <c r="CV54631" s="376"/>
    </row>
    <row r="54632" spans="1:100">
      <c r="A54632" s="374"/>
      <c r="C54632" s="374"/>
      <c r="CV54632" s="376"/>
    </row>
    <row r="54633" spans="1:100">
      <c r="A54633" s="374"/>
      <c r="C54633" s="374"/>
      <c r="CV54633" s="376"/>
    </row>
    <row r="54634" spans="1:100">
      <c r="A54634" s="374"/>
      <c r="C54634" s="374"/>
      <c r="CV54634" s="376"/>
    </row>
    <row r="54635" spans="1:100">
      <c r="A54635" s="374"/>
      <c r="C54635" s="374"/>
      <c r="CV54635" s="376"/>
    </row>
    <row r="54636" spans="1:100">
      <c r="A54636" s="374"/>
      <c r="C54636" s="374"/>
      <c r="CV54636" s="376"/>
    </row>
    <row r="54637" spans="1:100">
      <c r="A54637" s="374"/>
      <c r="C54637" s="374"/>
      <c r="CV54637" s="376"/>
    </row>
    <row r="54638" spans="1:100">
      <c r="A54638" s="374"/>
      <c r="C54638" s="374"/>
      <c r="CV54638" s="376"/>
    </row>
    <row r="54639" spans="1:100">
      <c r="A54639" s="374"/>
      <c r="C54639" s="374"/>
      <c r="CV54639" s="376"/>
    </row>
    <row r="54640" spans="1:100">
      <c r="A54640" s="374"/>
      <c r="C54640" s="374"/>
      <c r="CV54640" s="376"/>
    </row>
    <row r="54641" spans="1:100">
      <c r="A54641" s="374"/>
      <c r="C54641" s="374"/>
      <c r="CV54641" s="376"/>
    </row>
    <row r="54642" spans="1:100">
      <c r="A54642" s="374"/>
      <c r="C54642" s="374"/>
      <c r="CV54642" s="376"/>
    </row>
    <row r="54643" spans="1:100">
      <c r="A54643" s="374"/>
      <c r="C54643" s="374"/>
      <c r="CV54643" s="376"/>
    </row>
    <row r="54644" spans="1:100">
      <c r="A54644" s="374"/>
      <c r="C54644" s="374"/>
      <c r="CV54644" s="376"/>
    </row>
    <row r="54645" spans="1:100">
      <c r="A54645" s="374"/>
      <c r="C54645" s="374"/>
      <c r="CV54645" s="376"/>
    </row>
    <row r="54646" spans="1:100">
      <c r="A54646" s="374"/>
      <c r="C54646" s="374"/>
      <c r="CV54646" s="376"/>
    </row>
    <row r="54647" spans="1:100">
      <c r="A54647" s="374"/>
      <c r="C54647" s="374"/>
      <c r="CV54647" s="376"/>
    </row>
    <row r="54648" spans="1:100">
      <c r="A54648" s="374"/>
      <c r="C54648" s="374"/>
      <c r="CV54648" s="376"/>
    </row>
    <row r="54649" spans="1:100">
      <c r="A54649" s="374"/>
      <c r="C54649" s="374"/>
      <c r="CV54649" s="376"/>
    </row>
    <row r="54650" spans="1:100">
      <c r="A54650" s="374"/>
      <c r="C54650" s="374"/>
      <c r="CV54650" s="376"/>
    </row>
    <row r="54651" spans="1:100">
      <c r="A54651" s="374"/>
      <c r="C54651" s="374"/>
      <c r="CV54651" s="376"/>
    </row>
    <row r="54652" spans="1:100">
      <c r="A54652" s="374"/>
      <c r="C54652" s="374"/>
      <c r="CV54652" s="376"/>
    </row>
    <row r="54653" spans="1:100">
      <c r="A54653" s="374"/>
      <c r="C54653" s="374"/>
      <c r="CV54653" s="376"/>
    </row>
    <row r="54654" spans="1:100">
      <c r="A54654" s="374"/>
      <c r="C54654" s="374"/>
      <c r="CV54654" s="376"/>
    </row>
    <row r="54655" spans="1:100">
      <c r="A54655" s="374"/>
      <c r="C54655" s="374"/>
      <c r="CV54655" s="376"/>
    </row>
    <row r="54656" spans="1:100">
      <c r="A54656" s="374"/>
      <c r="C54656" s="374"/>
      <c r="CV54656" s="376"/>
    </row>
    <row r="54657" spans="1:100">
      <c r="A54657" s="374"/>
      <c r="C54657" s="374"/>
      <c r="CV54657" s="376"/>
    </row>
    <row r="54658" spans="1:100">
      <c r="A54658" s="374"/>
      <c r="C54658" s="374"/>
      <c r="CV54658" s="376"/>
    </row>
    <row r="54659" spans="1:100">
      <c r="A54659" s="374"/>
      <c r="C54659" s="374"/>
      <c r="CV54659" s="376"/>
    </row>
    <row r="54660" spans="1:100">
      <c r="A54660" s="374"/>
      <c r="C54660" s="374"/>
      <c r="CV54660" s="376"/>
    </row>
    <row r="54661" spans="1:100">
      <c r="A54661" s="374"/>
      <c r="C54661" s="374"/>
      <c r="CV54661" s="376"/>
    </row>
    <row r="54662" spans="1:100">
      <c r="A54662" s="374"/>
      <c r="C54662" s="374"/>
      <c r="CV54662" s="376"/>
    </row>
    <row r="54663" spans="1:100">
      <c r="A54663" s="374"/>
      <c r="C54663" s="374"/>
      <c r="CV54663" s="376"/>
    </row>
    <row r="54664" spans="1:100">
      <c r="A54664" s="374"/>
      <c r="C54664" s="374"/>
      <c r="CV54664" s="376"/>
    </row>
    <row r="54665" spans="1:100">
      <c r="A54665" s="374"/>
      <c r="C54665" s="374"/>
      <c r="CV54665" s="376"/>
    </row>
    <row r="54666" spans="1:100">
      <c r="A54666" s="374"/>
      <c r="C54666" s="374"/>
      <c r="CV54666" s="376"/>
    </row>
    <row r="54667" spans="1:100">
      <c r="A54667" s="374"/>
      <c r="C54667" s="374"/>
      <c r="CV54667" s="376"/>
    </row>
    <row r="54668" spans="1:100">
      <c r="A54668" s="374"/>
      <c r="C54668" s="374"/>
      <c r="CV54668" s="376"/>
    </row>
    <row r="54669" spans="1:100">
      <c r="A54669" s="374"/>
      <c r="C54669" s="374"/>
      <c r="CV54669" s="376"/>
    </row>
    <row r="54670" spans="1:100">
      <c r="A54670" s="374"/>
      <c r="C54670" s="374"/>
      <c r="CV54670" s="376"/>
    </row>
    <row r="54671" spans="1:100">
      <c r="A54671" s="374"/>
      <c r="C54671" s="374"/>
      <c r="CV54671" s="376"/>
    </row>
    <row r="54672" spans="1:100">
      <c r="A54672" s="374"/>
      <c r="C54672" s="374"/>
      <c r="CV54672" s="376"/>
    </row>
    <row r="54673" spans="1:100">
      <c r="A54673" s="374"/>
      <c r="C54673" s="374"/>
      <c r="CV54673" s="376"/>
    </row>
    <row r="54674" spans="1:100">
      <c r="A54674" s="374"/>
      <c r="C54674" s="374"/>
      <c r="CV54674" s="376"/>
    </row>
    <row r="54675" spans="1:100">
      <c r="A54675" s="374"/>
      <c r="C54675" s="374"/>
      <c r="CV54675" s="376"/>
    </row>
    <row r="54676" spans="1:100">
      <c r="A54676" s="374"/>
      <c r="C54676" s="374"/>
      <c r="CV54676" s="376"/>
    </row>
    <row r="54677" spans="1:100">
      <c r="A54677" s="374"/>
      <c r="C54677" s="374"/>
      <c r="CV54677" s="376"/>
    </row>
    <row r="54678" spans="1:100">
      <c r="A54678" s="374"/>
      <c r="C54678" s="374"/>
      <c r="CV54678" s="376"/>
    </row>
    <row r="54679" spans="1:100">
      <c r="A54679" s="374"/>
      <c r="C54679" s="374"/>
      <c r="CV54679" s="376"/>
    </row>
    <row r="54680" spans="1:100">
      <c r="A54680" s="374"/>
      <c r="C54680" s="374"/>
      <c r="CV54680" s="376"/>
    </row>
    <row r="54681" spans="1:100">
      <c r="A54681" s="374"/>
      <c r="C54681" s="374"/>
      <c r="CV54681" s="376"/>
    </row>
    <row r="54682" spans="1:100">
      <c r="A54682" s="374"/>
      <c r="C54682" s="374"/>
      <c r="CV54682" s="376"/>
    </row>
    <row r="54683" spans="1:100">
      <c r="A54683" s="374"/>
      <c r="C54683" s="374"/>
      <c r="CV54683" s="376"/>
    </row>
    <row r="54684" spans="1:100">
      <c r="A54684" s="374"/>
      <c r="C54684" s="374"/>
      <c r="CV54684" s="376"/>
    </row>
    <row r="54685" spans="1:100">
      <c r="A54685" s="374"/>
      <c r="C54685" s="374"/>
      <c r="CV54685" s="376"/>
    </row>
    <row r="54686" spans="1:100">
      <c r="A54686" s="374"/>
      <c r="C54686" s="374"/>
      <c r="CV54686" s="376"/>
    </row>
    <row r="54687" spans="1:100">
      <c r="A54687" s="374"/>
      <c r="C54687" s="374"/>
      <c r="CV54687" s="376"/>
    </row>
    <row r="54688" spans="1:100">
      <c r="A54688" s="374"/>
      <c r="C54688" s="374"/>
      <c r="CV54688" s="376"/>
    </row>
    <row r="54689" spans="1:100">
      <c r="A54689" s="374"/>
      <c r="C54689" s="374"/>
      <c r="CV54689" s="376"/>
    </row>
    <row r="54690" spans="1:100">
      <c r="A54690" s="374"/>
      <c r="C54690" s="374"/>
      <c r="CV54690" s="376"/>
    </row>
    <row r="54691" spans="1:100">
      <c r="A54691" s="374"/>
      <c r="C54691" s="374"/>
      <c r="CV54691" s="376"/>
    </row>
    <row r="54692" spans="1:100">
      <c r="A54692" s="374"/>
      <c r="C54692" s="374"/>
      <c r="CV54692" s="376"/>
    </row>
    <row r="54693" spans="1:100">
      <c r="A54693" s="374"/>
      <c r="C54693" s="374"/>
      <c r="CV54693" s="376"/>
    </row>
    <row r="54694" spans="1:100">
      <c r="A54694" s="374"/>
      <c r="C54694" s="374"/>
      <c r="CV54694" s="376"/>
    </row>
    <row r="54695" spans="1:100">
      <c r="A54695" s="374"/>
      <c r="C54695" s="374"/>
      <c r="CV54695" s="376"/>
    </row>
    <row r="54696" spans="1:100">
      <c r="A54696" s="374"/>
      <c r="C54696" s="374"/>
      <c r="CV54696" s="376"/>
    </row>
    <row r="54697" spans="1:100">
      <c r="A54697" s="374"/>
      <c r="C54697" s="374"/>
      <c r="CV54697" s="376"/>
    </row>
    <row r="54698" spans="1:100">
      <c r="A54698" s="374"/>
      <c r="C54698" s="374"/>
      <c r="CV54698" s="376"/>
    </row>
    <row r="54699" spans="1:100">
      <c r="A54699" s="374"/>
      <c r="C54699" s="374"/>
      <c r="CV54699" s="376"/>
    </row>
    <row r="54700" spans="1:100">
      <c r="A54700" s="374"/>
      <c r="C54700" s="374"/>
      <c r="CV54700" s="376"/>
    </row>
    <row r="54701" spans="1:100">
      <c r="A54701" s="374"/>
      <c r="C54701" s="374"/>
      <c r="CV54701" s="376"/>
    </row>
    <row r="54702" spans="1:100">
      <c r="A54702" s="374"/>
      <c r="C54702" s="374"/>
      <c r="CV54702" s="376"/>
    </row>
    <row r="54703" spans="1:100">
      <c r="A54703" s="374"/>
      <c r="C54703" s="374"/>
      <c r="CV54703" s="376"/>
    </row>
    <row r="54704" spans="1:100">
      <c r="A54704" s="374"/>
      <c r="C54704" s="374"/>
      <c r="CV54704" s="376"/>
    </row>
    <row r="54705" spans="1:100">
      <c r="A54705" s="374"/>
      <c r="C54705" s="374"/>
      <c r="CV54705" s="376"/>
    </row>
    <row r="54706" spans="1:100">
      <c r="A54706" s="374"/>
      <c r="C54706" s="374"/>
      <c r="CV54706" s="376"/>
    </row>
    <row r="54707" spans="1:100">
      <c r="A54707" s="374"/>
      <c r="C54707" s="374"/>
      <c r="CV54707" s="376"/>
    </row>
    <row r="54708" spans="1:100">
      <c r="A54708" s="374"/>
      <c r="C54708" s="374"/>
      <c r="CV54708" s="376"/>
    </row>
    <row r="54709" spans="1:100">
      <c r="A54709" s="374"/>
      <c r="C54709" s="374"/>
      <c r="CV54709" s="376"/>
    </row>
    <row r="54710" spans="1:100">
      <c r="A54710" s="374"/>
      <c r="C54710" s="374"/>
      <c r="CV54710" s="376"/>
    </row>
    <row r="54711" spans="1:100">
      <c r="A54711" s="374"/>
      <c r="C54711" s="374"/>
      <c r="CV54711" s="376"/>
    </row>
    <row r="54712" spans="1:100">
      <c r="A54712" s="374"/>
      <c r="C54712" s="374"/>
      <c r="CV54712" s="376"/>
    </row>
    <row r="54713" spans="1:100">
      <c r="A54713" s="374"/>
      <c r="C54713" s="374"/>
      <c r="CV54713" s="376"/>
    </row>
    <row r="54714" spans="1:100">
      <c r="A54714" s="374"/>
      <c r="C54714" s="374"/>
      <c r="CV54714" s="376"/>
    </row>
    <row r="54715" spans="1:100">
      <c r="A54715" s="374"/>
      <c r="C54715" s="374"/>
      <c r="CV54715" s="376"/>
    </row>
    <row r="54716" spans="1:100">
      <c r="A54716" s="374"/>
      <c r="C54716" s="374"/>
      <c r="CV54716" s="376"/>
    </row>
    <row r="54717" spans="1:100">
      <c r="A54717" s="374"/>
      <c r="C54717" s="374"/>
      <c r="CV54717" s="376"/>
    </row>
    <row r="54718" spans="1:100">
      <c r="A54718" s="374"/>
      <c r="C54718" s="374"/>
      <c r="CV54718" s="376"/>
    </row>
    <row r="54719" spans="1:100">
      <c r="A54719" s="374"/>
      <c r="C54719" s="374"/>
      <c r="CV54719" s="376"/>
    </row>
    <row r="54720" spans="1:100">
      <c r="A54720" s="374"/>
      <c r="C54720" s="374"/>
      <c r="CV54720" s="376"/>
    </row>
    <row r="54721" spans="1:100">
      <c r="A54721" s="374"/>
      <c r="C54721" s="374"/>
      <c r="CV54721" s="376"/>
    </row>
    <row r="54722" spans="1:100">
      <c r="A54722" s="374"/>
      <c r="C54722" s="374"/>
      <c r="CV54722" s="376"/>
    </row>
    <row r="54723" spans="1:100">
      <c r="A54723" s="374"/>
      <c r="C54723" s="374"/>
      <c r="CV54723" s="376"/>
    </row>
    <row r="54724" spans="1:100">
      <c r="A54724" s="374"/>
      <c r="C54724" s="374"/>
      <c r="CV54724" s="376"/>
    </row>
    <row r="54725" spans="1:100">
      <c r="A54725" s="374"/>
      <c r="C54725" s="374"/>
      <c r="CV54725" s="376"/>
    </row>
    <row r="54726" spans="1:100">
      <c r="A54726" s="374"/>
      <c r="C54726" s="374"/>
      <c r="CV54726" s="376"/>
    </row>
    <row r="54727" spans="1:100">
      <c r="A54727" s="374"/>
      <c r="C54727" s="374"/>
      <c r="CV54727" s="376"/>
    </row>
    <row r="54728" spans="1:100">
      <c r="A54728" s="374"/>
      <c r="C54728" s="374"/>
      <c r="CV54728" s="376"/>
    </row>
    <row r="54729" spans="1:100">
      <c r="A54729" s="374"/>
      <c r="C54729" s="374"/>
      <c r="CV54729" s="376"/>
    </row>
    <row r="54730" spans="1:100">
      <c r="A54730" s="374"/>
      <c r="C54730" s="374"/>
      <c r="CV54730" s="376"/>
    </row>
    <row r="54731" spans="1:100">
      <c r="A54731" s="374"/>
      <c r="C54731" s="374"/>
      <c r="CV54731" s="376"/>
    </row>
    <row r="54732" spans="1:100">
      <c r="A54732" s="374"/>
      <c r="C54732" s="374"/>
      <c r="CV54732" s="376"/>
    </row>
    <row r="54733" spans="1:100">
      <c r="A54733" s="374"/>
      <c r="C54733" s="374"/>
      <c r="CV54733" s="376"/>
    </row>
    <row r="54734" spans="1:100">
      <c r="A54734" s="374"/>
      <c r="C54734" s="374"/>
      <c r="CV54734" s="376"/>
    </row>
    <row r="54735" spans="1:100">
      <c r="A54735" s="374"/>
      <c r="C54735" s="374"/>
      <c r="CV54735" s="376"/>
    </row>
    <row r="54736" spans="1:100">
      <c r="A54736" s="374"/>
      <c r="C54736" s="374"/>
      <c r="CV54736" s="376"/>
    </row>
    <row r="54737" spans="1:100">
      <c r="A54737" s="374"/>
      <c r="C54737" s="374"/>
      <c r="CV54737" s="376"/>
    </row>
    <row r="54738" spans="1:100">
      <c r="A54738" s="374"/>
      <c r="C54738" s="374"/>
      <c r="CV54738" s="376"/>
    </row>
    <row r="54739" spans="1:100">
      <c r="A54739" s="374"/>
      <c r="C54739" s="374"/>
      <c r="CV54739" s="376"/>
    </row>
    <row r="54740" spans="1:100">
      <c r="A54740" s="374"/>
      <c r="C54740" s="374"/>
      <c r="CV54740" s="376"/>
    </row>
    <row r="54741" spans="1:100">
      <c r="A54741" s="374"/>
      <c r="C54741" s="374"/>
      <c r="CV54741" s="376"/>
    </row>
    <row r="54742" spans="1:100">
      <c r="A54742" s="374"/>
      <c r="C54742" s="374"/>
      <c r="CV54742" s="376"/>
    </row>
    <row r="54743" spans="1:100">
      <c r="A54743" s="374"/>
      <c r="C54743" s="374"/>
      <c r="CV54743" s="376"/>
    </row>
    <row r="54744" spans="1:100">
      <c r="A54744" s="374"/>
      <c r="C54744" s="374"/>
      <c r="CV54744" s="376"/>
    </row>
    <row r="54745" spans="1:100">
      <c r="A54745" s="374"/>
      <c r="C54745" s="374"/>
      <c r="CV54745" s="376"/>
    </row>
    <row r="54746" spans="1:100">
      <c r="A54746" s="374"/>
      <c r="C54746" s="374"/>
      <c r="CV54746" s="376"/>
    </row>
    <row r="54747" spans="1:100">
      <c r="A54747" s="374"/>
      <c r="C54747" s="374"/>
      <c r="CV54747" s="376"/>
    </row>
    <row r="54748" spans="1:100">
      <c r="A54748" s="374"/>
      <c r="C54748" s="374"/>
      <c r="CV54748" s="376"/>
    </row>
    <row r="54749" spans="1:100">
      <c r="A54749" s="374"/>
      <c r="C54749" s="374"/>
      <c r="CV54749" s="376"/>
    </row>
    <row r="54750" spans="1:100">
      <c r="A54750" s="374"/>
      <c r="C54750" s="374"/>
      <c r="CV54750" s="376"/>
    </row>
    <row r="54751" spans="1:100">
      <c r="A54751" s="374"/>
      <c r="C54751" s="374"/>
      <c r="CV54751" s="376"/>
    </row>
    <row r="54752" spans="1:100">
      <c r="A54752" s="374"/>
      <c r="C54752" s="374"/>
      <c r="CV54752" s="376"/>
    </row>
    <row r="54753" spans="1:100">
      <c r="A54753" s="374"/>
      <c r="C54753" s="374"/>
      <c r="CV54753" s="376"/>
    </row>
    <row r="54754" spans="1:100">
      <c r="A54754" s="374"/>
      <c r="C54754" s="374"/>
      <c r="CV54754" s="376"/>
    </row>
    <row r="54755" spans="1:100">
      <c r="A54755" s="374"/>
      <c r="C54755" s="374"/>
      <c r="CV54755" s="376"/>
    </row>
    <row r="54756" spans="1:100">
      <c r="A54756" s="374"/>
      <c r="C54756" s="374"/>
      <c r="CV54756" s="376"/>
    </row>
    <row r="54757" spans="1:100">
      <c r="A54757" s="374"/>
      <c r="C54757" s="374"/>
      <c r="CV54757" s="376"/>
    </row>
    <row r="54758" spans="1:100">
      <c r="A54758" s="374"/>
      <c r="C54758" s="374"/>
      <c r="CV54758" s="376"/>
    </row>
    <row r="54759" spans="1:100">
      <c r="A54759" s="374"/>
      <c r="C54759" s="374"/>
      <c r="CV54759" s="376"/>
    </row>
    <row r="54760" spans="1:100">
      <c r="A54760" s="374"/>
      <c r="C54760" s="374"/>
      <c r="CV54760" s="376"/>
    </row>
    <row r="54761" spans="1:100">
      <c r="A54761" s="374"/>
      <c r="C54761" s="374"/>
      <c r="CV54761" s="376"/>
    </row>
    <row r="54762" spans="1:100">
      <c r="A54762" s="374"/>
      <c r="C54762" s="374"/>
      <c r="CV54762" s="376"/>
    </row>
    <row r="54763" spans="1:100">
      <c r="A54763" s="374"/>
      <c r="C54763" s="374"/>
      <c r="CV54763" s="376"/>
    </row>
    <row r="54764" spans="1:100">
      <c r="A54764" s="374"/>
      <c r="C54764" s="374"/>
      <c r="CV54764" s="376"/>
    </row>
    <row r="54765" spans="1:100">
      <c r="A54765" s="374"/>
      <c r="C54765" s="374"/>
      <c r="CV54765" s="376"/>
    </row>
    <row r="54766" spans="1:100">
      <c r="A54766" s="374"/>
      <c r="C54766" s="374"/>
      <c r="CV54766" s="376"/>
    </row>
    <row r="54767" spans="1:100">
      <c r="A54767" s="374"/>
      <c r="C54767" s="374"/>
      <c r="CV54767" s="376"/>
    </row>
    <row r="54768" spans="1:100">
      <c r="A54768" s="374"/>
      <c r="C54768" s="374"/>
      <c r="CV54768" s="376"/>
    </row>
    <row r="54769" spans="1:100">
      <c r="A54769" s="374"/>
      <c r="C54769" s="374"/>
      <c r="CV54769" s="376"/>
    </row>
    <row r="54770" spans="1:100">
      <c r="A54770" s="374"/>
      <c r="C54770" s="374"/>
      <c r="CV54770" s="376"/>
    </row>
    <row r="54771" spans="1:100">
      <c r="A54771" s="374"/>
      <c r="C54771" s="374"/>
      <c r="CV54771" s="376"/>
    </row>
    <row r="54772" spans="1:100">
      <c r="A54772" s="374"/>
      <c r="C54772" s="374"/>
      <c r="CV54772" s="376"/>
    </row>
    <row r="54773" spans="1:100">
      <c r="A54773" s="374"/>
      <c r="C54773" s="374"/>
      <c r="CV54773" s="376"/>
    </row>
    <row r="54774" spans="1:100">
      <c r="A54774" s="374"/>
      <c r="C54774" s="374"/>
      <c r="CV54774" s="376"/>
    </row>
    <row r="54775" spans="1:100">
      <c r="A54775" s="374"/>
      <c r="C54775" s="374"/>
      <c r="CV54775" s="376"/>
    </row>
    <row r="54776" spans="1:100">
      <c r="A54776" s="374"/>
      <c r="C54776" s="374"/>
      <c r="CV54776" s="376"/>
    </row>
    <row r="54777" spans="1:100">
      <c r="A54777" s="374"/>
      <c r="C54777" s="374"/>
      <c r="CV54777" s="376"/>
    </row>
    <row r="54778" spans="1:100">
      <c r="A54778" s="374"/>
      <c r="C54778" s="374"/>
      <c r="CV54778" s="376"/>
    </row>
    <row r="54779" spans="1:100">
      <c r="A54779" s="374"/>
      <c r="C54779" s="374"/>
      <c r="CV54779" s="376"/>
    </row>
    <row r="54780" spans="1:100">
      <c r="A54780" s="374"/>
      <c r="C54780" s="374"/>
      <c r="CV54780" s="376"/>
    </row>
    <row r="54781" spans="1:100">
      <c r="A54781" s="374"/>
      <c r="C54781" s="374"/>
      <c r="CV54781" s="376"/>
    </row>
    <row r="54782" spans="1:100">
      <c r="A54782" s="374"/>
      <c r="C54782" s="374"/>
      <c r="CV54782" s="376"/>
    </row>
    <row r="54783" spans="1:100">
      <c r="A54783" s="374"/>
      <c r="C54783" s="374"/>
      <c r="CV54783" s="376"/>
    </row>
    <row r="54784" spans="1:100">
      <c r="A54784" s="374"/>
      <c r="C54784" s="374"/>
      <c r="CV54784" s="376"/>
    </row>
    <row r="54785" spans="1:100">
      <c r="A54785" s="374"/>
      <c r="C54785" s="374"/>
      <c r="CV54785" s="376"/>
    </row>
    <row r="54786" spans="1:100">
      <c r="A54786" s="374"/>
      <c r="C54786" s="374"/>
      <c r="CV54786" s="376"/>
    </row>
    <row r="54787" spans="1:100">
      <c r="A54787" s="374"/>
      <c r="C54787" s="374"/>
      <c r="CV54787" s="376"/>
    </row>
    <row r="54788" spans="1:100">
      <c r="A54788" s="374"/>
      <c r="C54788" s="374"/>
      <c r="CV54788" s="376"/>
    </row>
    <row r="54789" spans="1:100">
      <c r="A54789" s="374"/>
      <c r="C54789" s="374"/>
      <c r="CV54789" s="376"/>
    </row>
    <row r="54790" spans="1:100">
      <c r="A54790" s="374"/>
      <c r="C54790" s="374"/>
      <c r="CV54790" s="376"/>
    </row>
    <row r="54791" spans="1:100">
      <c r="A54791" s="374"/>
      <c r="C54791" s="374"/>
      <c r="CV54791" s="376"/>
    </row>
    <row r="54792" spans="1:100">
      <c r="A54792" s="374"/>
      <c r="C54792" s="374"/>
      <c r="CV54792" s="376"/>
    </row>
    <row r="54793" spans="1:100">
      <c r="A54793" s="374"/>
      <c r="C54793" s="374"/>
      <c r="CV54793" s="376"/>
    </row>
    <row r="54794" spans="1:100">
      <c r="A54794" s="374"/>
      <c r="C54794" s="374"/>
      <c r="CV54794" s="376"/>
    </row>
    <row r="54795" spans="1:100">
      <c r="A54795" s="374"/>
      <c r="C54795" s="374"/>
      <c r="CV54795" s="376"/>
    </row>
    <row r="54796" spans="1:100">
      <c r="A54796" s="374"/>
      <c r="C54796" s="374"/>
      <c r="CV54796" s="376"/>
    </row>
    <row r="54797" spans="1:100">
      <c r="A54797" s="374"/>
      <c r="C54797" s="374"/>
      <c r="CV54797" s="376"/>
    </row>
    <row r="54798" spans="1:100">
      <c r="A54798" s="374"/>
      <c r="C54798" s="374"/>
      <c r="CV54798" s="376"/>
    </row>
    <row r="54799" spans="1:100">
      <c r="A54799" s="374"/>
      <c r="C54799" s="374"/>
      <c r="CV54799" s="376"/>
    </row>
    <row r="54800" spans="1:100">
      <c r="A54800" s="374"/>
      <c r="C54800" s="374"/>
      <c r="CV54800" s="376"/>
    </row>
    <row r="54801" spans="1:100">
      <c r="A54801" s="374"/>
      <c r="C54801" s="374"/>
      <c r="CV54801" s="376"/>
    </row>
    <row r="54802" spans="1:100">
      <c r="A54802" s="374"/>
      <c r="C54802" s="374"/>
      <c r="CV54802" s="376"/>
    </row>
    <row r="54803" spans="1:100">
      <c r="A54803" s="374"/>
      <c r="C54803" s="374"/>
      <c r="CV54803" s="376"/>
    </row>
    <row r="54804" spans="1:100">
      <c r="A54804" s="374"/>
      <c r="C54804" s="374"/>
      <c r="CV54804" s="376"/>
    </row>
    <row r="54805" spans="1:100">
      <c r="A54805" s="374"/>
      <c r="C54805" s="374"/>
      <c r="CV54805" s="376"/>
    </row>
    <row r="54806" spans="1:100">
      <c r="A54806" s="374"/>
      <c r="C54806" s="374"/>
      <c r="CV54806" s="376"/>
    </row>
    <row r="54807" spans="1:100">
      <c r="A54807" s="374"/>
      <c r="C54807" s="374"/>
      <c r="CV54807" s="376"/>
    </row>
    <row r="54808" spans="1:100">
      <c r="A54808" s="374"/>
      <c r="C54808" s="374"/>
      <c r="CV54808" s="376"/>
    </row>
    <row r="54809" spans="1:100">
      <c r="A54809" s="374"/>
      <c r="C54809" s="374"/>
      <c r="CV54809" s="376"/>
    </row>
    <row r="54810" spans="1:100">
      <c r="A54810" s="374"/>
      <c r="C54810" s="374"/>
      <c r="CV54810" s="376"/>
    </row>
    <row r="54811" spans="1:100">
      <c r="A54811" s="374"/>
      <c r="C54811" s="374"/>
      <c r="CV54811" s="376"/>
    </row>
    <row r="54812" spans="1:100">
      <c r="A54812" s="374"/>
      <c r="C54812" s="374"/>
      <c r="CV54812" s="376"/>
    </row>
    <row r="54813" spans="1:100">
      <c r="A54813" s="374"/>
      <c r="C54813" s="374"/>
      <c r="CV54813" s="376"/>
    </row>
    <row r="54814" spans="1:100">
      <c r="A54814" s="374"/>
      <c r="C54814" s="374"/>
      <c r="CV54814" s="376"/>
    </row>
    <row r="54815" spans="1:100">
      <c r="A54815" s="374"/>
      <c r="C54815" s="374"/>
      <c r="CV54815" s="376"/>
    </row>
    <row r="54816" spans="1:100">
      <c r="A54816" s="374"/>
      <c r="C54816" s="374"/>
      <c r="CV54816" s="376"/>
    </row>
    <row r="54817" spans="1:100">
      <c r="A54817" s="374"/>
      <c r="C54817" s="374"/>
      <c r="CV54817" s="376"/>
    </row>
    <row r="54818" spans="1:100">
      <c r="A54818" s="374"/>
      <c r="C54818" s="374"/>
      <c r="CV54818" s="376"/>
    </row>
    <row r="54819" spans="1:100">
      <c r="A54819" s="374"/>
      <c r="C54819" s="374"/>
      <c r="CV54819" s="376"/>
    </row>
    <row r="54820" spans="1:100">
      <c r="A54820" s="374"/>
      <c r="C54820" s="374"/>
      <c r="CV54820" s="376"/>
    </row>
    <row r="54821" spans="1:100">
      <c r="A54821" s="374"/>
      <c r="C54821" s="374"/>
      <c r="CV54821" s="376"/>
    </row>
    <row r="54822" spans="1:100">
      <c r="A54822" s="374"/>
      <c r="C54822" s="374"/>
      <c r="CV54822" s="376"/>
    </row>
    <row r="54823" spans="1:100">
      <c r="A54823" s="374"/>
      <c r="C54823" s="374"/>
      <c r="CV54823" s="376"/>
    </row>
    <row r="54824" spans="1:100">
      <c r="A54824" s="374"/>
      <c r="C54824" s="374"/>
      <c r="CV54824" s="376"/>
    </row>
    <row r="54825" spans="1:100">
      <c r="A54825" s="374"/>
      <c r="C54825" s="374"/>
      <c r="CV54825" s="376"/>
    </row>
    <row r="54826" spans="1:100">
      <c r="A54826" s="374"/>
      <c r="C54826" s="374"/>
      <c r="CV54826" s="376"/>
    </row>
    <row r="54827" spans="1:100">
      <c r="A54827" s="374"/>
      <c r="C54827" s="374"/>
      <c r="CV54827" s="376"/>
    </row>
    <row r="54828" spans="1:100">
      <c r="A54828" s="374"/>
      <c r="C54828" s="374"/>
      <c r="CV54828" s="376"/>
    </row>
    <row r="54829" spans="1:100">
      <c r="A54829" s="374"/>
      <c r="C54829" s="374"/>
      <c r="CV54829" s="376"/>
    </row>
    <row r="54830" spans="1:100">
      <c r="A54830" s="374"/>
      <c r="C54830" s="374"/>
      <c r="CV54830" s="376"/>
    </row>
    <row r="54831" spans="1:100">
      <c r="A54831" s="374"/>
      <c r="C54831" s="374"/>
      <c r="CV54831" s="376"/>
    </row>
    <row r="54832" spans="1:100">
      <c r="A54832" s="374"/>
      <c r="C54832" s="374"/>
      <c r="CV54832" s="376"/>
    </row>
    <row r="54833" spans="1:100">
      <c r="A54833" s="374"/>
      <c r="C54833" s="374"/>
      <c r="CV54833" s="376"/>
    </row>
    <row r="54834" spans="1:100">
      <c r="A54834" s="374"/>
      <c r="C54834" s="374"/>
      <c r="CV54834" s="376"/>
    </row>
    <row r="54835" spans="1:100">
      <c r="A54835" s="374"/>
      <c r="C54835" s="374"/>
      <c r="CV54835" s="376"/>
    </row>
    <row r="54836" spans="1:100">
      <c r="A54836" s="374"/>
      <c r="C54836" s="374"/>
      <c r="CV54836" s="376"/>
    </row>
    <row r="54837" spans="1:100">
      <c r="A54837" s="374"/>
      <c r="C54837" s="374"/>
      <c r="CV54837" s="376"/>
    </row>
    <row r="54838" spans="1:100">
      <c r="A54838" s="374"/>
      <c r="C54838" s="374"/>
      <c r="CV54838" s="376"/>
    </row>
    <row r="54839" spans="1:100">
      <c r="A54839" s="374"/>
      <c r="C54839" s="374"/>
      <c r="CV54839" s="376"/>
    </row>
    <row r="54840" spans="1:100">
      <c r="A54840" s="374"/>
      <c r="C54840" s="374"/>
      <c r="CV54840" s="376"/>
    </row>
    <row r="54841" spans="1:100">
      <c r="A54841" s="374"/>
      <c r="C54841" s="374"/>
      <c r="CV54841" s="376"/>
    </row>
    <row r="54842" spans="1:100">
      <c r="A54842" s="374"/>
      <c r="C54842" s="374"/>
      <c r="CV54842" s="376"/>
    </row>
    <row r="54843" spans="1:100">
      <c r="A54843" s="374"/>
      <c r="C54843" s="374"/>
      <c r="CV54843" s="376"/>
    </row>
    <row r="54844" spans="1:100">
      <c r="A54844" s="374"/>
      <c r="C54844" s="374"/>
      <c r="CV54844" s="376"/>
    </row>
    <row r="54845" spans="1:100">
      <c r="A54845" s="374"/>
      <c r="C54845" s="374"/>
      <c r="CV54845" s="376"/>
    </row>
    <row r="54846" spans="1:100">
      <c r="A54846" s="374"/>
      <c r="C54846" s="374"/>
      <c r="CV54846" s="376"/>
    </row>
    <row r="54847" spans="1:100">
      <c r="A54847" s="374"/>
      <c r="C54847" s="374"/>
      <c r="CV54847" s="376"/>
    </row>
    <row r="54848" spans="1:100">
      <c r="A54848" s="374"/>
      <c r="C54848" s="374"/>
      <c r="CV54848" s="376"/>
    </row>
    <row r="54849" spans="1:100">
      <c r="A54849" s="374"/>
      <c r="C54849" s="374"/>
      <c r="CV54849" s="376"/>
    </row>
    <row r="54850" spans="1:100">
      <c r="A54850" s="374"/>
      <c r="C54850" s="374"/>
      <c r="CV54850" s="376"/>
    </row>
    <row r="54851" spans="1:100">
      <c r="A54851" s="374"/>
      <c r="C54851" s="374"/>
      <c r="CV54851" s="376"/>
    </row>
    <row r="54852" spans="1:100">
      <c r="A54852" s="374"/>
      <c r="C54852" s="374"/>
      <c r="CV54852" s="376"/>
    </row>
    <row r="54853" spans="1:100">
      <c r="A54853" s="374"/>
      <c r="C54853" s="374"/>
      <c r="CV54853" s="376"/>
    </row>
    <row r="54854" spans="1:100">
      <c r="A54854" s="374"/>
      <c r="C54854" s="374"/>
      <c r="CV54854" s="376"/>
    </row>
    <row r="54855" spans="1:100">
      <c r="A54855" s="374"/>
      <c r="C54855" s="374"/>
      <c r="CV54855" s="376"/>
    </row>
    <row r="54856" spans="1:100">
      <c r="A54856" s="374"/>
      <c r="C54856" s="374"/>
      <c r="CV54856" s="376"/>
    </row>
    <row r="54857" spans="1:100">
      <c r="A54857" s="374"/>
      <c r="C54857" s="374"/>
      <c r="CV54857" s="376"/>
    </row>
    <row r="54858" spans="1:100">
      <c r="A54858" s="374"/>
      <c r="C54858" s="374"/>
      <c r="CV54858" s="376"/>
    </row>
    <row r="54859" spans="1:100">
      <c r="A54859" s="374"/>
      <c r="C54859" s="374"/>
      <c r="CV54859" s="376"/>
    </row>
    <row r="54860" spans="1:100">
      <c r="A54860" s="374"/>
      <c r="C54860" s="374"/>
      <c r="CV54860" s="376"/>
    </row>
    <row r="54861" spans="1:100">
      <c r="A54861" s="374"/>
      <c r="C54861" s="374"/>
      <c r="CV54861" s="376"/>
    </row>
    <row r="54862" spans="1:100">
      <c r="A54862" s="374"/>
      <c r="C54862" s="374"/>
      <c r="CV54862" s="376"/>
    </row>
    <row r="54863" spans="1:100">
      <c r="A54863" s="374"/>
      <c r="C54863" s="374"/>
      <c r="CV54863" s="376"/>
    </row>
    <row r="54864" spans="1:100">
      <c r="A54864" s="374"/>
      <c r="C54864" s="374"/>
      <c r="CV54864" s="376"/>
    </row>
    <row r="54865" spans="1:100">
      <c r="A54865" s="374"/>
      <c r="C54865" s="374"/>
      <c r="CV54865" s="376"/>
    </row>
    <row r="54866" spans="1:100">
      <c r="A54866" s="374"/>
      <c r="C54866" s="374"/>
      <c r="CV54866" s="376"/>
    </row>
    <row r="54867" spans="1:100">
      <c r="A54867" s="374"/>
      <c r="C54867" s="374"/>
      <c r="CV54867" s="376"/>
    </row>
    <row r="54868" spans="1:100">
      <c r="A54868" s="374"/>
      <c r="C54868" s="374"/>
      <c r="CV54868" s="376"/>
    </row>
    <row r="54869" spans="1:100">
      <c r="A54869" s="374"/>
      <c r="C54869" s="374"/>
      <c r="CV54869" s="376"/>
    </row>
    <row r="54870" spans="1:100">
      <c r="A54870" s="374"/>
      <c r="C54870" s="374"/>
      <c r="CV54870" s="376"/>
    </row>
    <row r="54871" spans="1:100">
      <c r="A54871" s="374"/>
      <c r="C54871" s="374"/>
      <c r="CV54871" s="376"/>
    </row>
    <row r="54872" spans="1:100">
      <c r="A54872" s="374"/>
      <c r="C54872" s="374"/>
      <c r="CV54872" s="376"/>
    </row>
    <row r="54873" spans="1:100">
      <c r="A54873" s="374"/>
      <c r="C54873" s="374"/>
      <c r="CV54873" s="376"/>
    </row>
    <row r="54874" spans="1:100">
      <c r="A54874" s="374"/>
      <c r="C54874" s="374"/>
      <c r="CV54874" s="376"/>
    </row>
    <row r="54875" spans="1:100">
      <c r="A54875" s="374"/>
      <c r="C54875" s="374"/>
      <c r="CV54875" s="376"/>
    </row>
    <row r="54876" spans="1:100">
      <c r="A54876" s="374"/>
      <c r="C54876" s="374"/>
      <c r="CV54876" s="376"/>
    </row>
    <row r="54877" spans="1:100">
      <c r="A54877" s="374"/>
      <c r="C54877" s="374"/>
      <c r="CV54877" s="376"/>
    </row>
    <row r="54878" spans="1:100">
      <c r="A54878" s="374"/>
      <c r="C54878" s="374"/>
      <c r="CV54878" s="376"/>
    </row>
    <row r="54879" spans="1:100">
      <c r="A54879" s="374"/>
      <c r="C54879" s="374"/>
      <c r="CV54879" s="376"/>
    </row>
    <row r="54880" spans="1:100">
      <c r="A54880" s="374"/>
      <c r="C54880" s="374"/>
      <c r="CV54880" s="376"/>
    </row>
    <row r="54881" spans="1:100">
      <c r="A54881" s="374"/>
      <c r="C54881" s="374"/>
      <c r="CV54881" s="376"/>
    </row>
    <row r="54882" spans="1:100">
      <c r="A54882" s="374"/>
      <c r="C54882" s="374"/>
      <c r="CV54882" s="376"/>
    </row>
    <row r="54883" spans="1:100">
      <c r="A54883" s="374"/>
      <c r="C54883" s="374"/>
      <c r="CV54883" s="376"/>
    </row>
    <row r="54884" spans="1:100">
      <c r="A54884" s="374"/>
      <c r="C54884" s="374"/>
      <c r="CV54884" s="376"/>
    </row>
    <row r="54885" spans="1:100">
      <c r="A54885" s="374"/>
      <c r="C54885" s="374"/>
      <c r="CV54885" s="376"/>
    </row>
    <row r="54886" spans="1:100">
      <c r="A54886" s="374"/>
      <c r="C54886" s="374"/>
      <c r="CV54886" s="376"/>
    </row>
    <row r="54887" spans="1:100">
      <c r="A54887" s="374"/>
      <c r="C54887" s="374"/>
      <c r="CV54887" s="376"/>
    </row>
    <row r="54888" spans="1:100">
      <c r="A54888" s="374"/>
      <c r="C54888" s="374"/>
      <c r="CV54888" s="376"/>
    </row>
    <row r="54889" spans="1:100">
      <c r="A54889" s="374"/>
      <c r="C54889" s="374"/>
      <c r="CV54889" s="376"/>
    </row>
    <row r="54890" spans="1:100">
      <c r="A54890" s="374"/>
      <c r="C54890" s="374"/>
      <c r="CV54890" s="376"/>
    </row>
    <row r="54891" spans="1:100">
      <c r="A54891" s="374"/>
      <c r="C54891" s="374"/>
      <c r="CV54891" s="376"/>
    </row>
    <row r="54892" spans="1:100">
      <c r="A54892" s="374"/>
      <c r="C54892" s="374"/>
      <c r="CV54892" s="376"/>
    </row>
    <row r="54893" spans="1:100">
      <c r="A54893" s="374"/>
      <c r="C54893" s="374"/>
      <c r="CV54893" s="376"/>
    </row>
    <row r="54894" spans="1:100">
      <c r="A54894" s="374"/>
      <c r="C54894" s="374"/>
      <c r="CV54894" s="376"/>
    </row>
    <row r="54895" spans="1:100">
      <c r="A54895" s="374"/>
      <c r="C54895" s="374"/>
      <c r="CV54895" s="376"/>
    </row>
    <row r="54896" spans="1:100">
      <c r="A54896" s="374"/>
      <c r="C54896" s="374"/>
      <c r="CV54896" s="376"/>
    </row>
    <row r="54897" spans="1:100">
      <c r="A54897" s="374"/>
      <c r="C54897" s="374"/>
      <c r="CV54897" s="376"/>
    </row>
    <row r="54898" spans="1:100">
      <c r="A54898" s="374"/>
      <c r="C54898" s="374"/>
      <c r="CV54898" s="376"/>
    </row>
    <row r="54899" spans="1:100">
      <c r="A54899" s="374"/>
      <c r="C54899" s="374"/>
      <c r="CV54899" s="376"/>
    </row>
    <row r="54900" spans="1:100">
      <c r="A54900" s="374"/>
      <c r="C54900" s="374"/>
      <c r="CV54900" s="376"/>
    </row>
    <row r="54901" spans="1:100">
      <c r="A54901" s="374"/>
      <c r="C54901" s="374"/>
      <c r="CV54901" s="376"/>
    </row>
    <row r="54902" spans="1:100">
      <c r="A54902" s="374"/>
      <c r="C54902" s="374"/>
      <c r="CV54902" s="376"/>
    </row>
    <row r="54903" spans="1:100">
      <c r="A54903" s="374"/>
      <c r="C54903" s="374"/>
      <c r="CV54903" s="376"/>
    </row>
    <row r="54904" spans="1:100">
      <c r="A54904" s="374"/>
      <c r="C54904" s="374"/>
      <c r="CV54904" s="376"/>
    </row>
    <row r="54905" spans="1:100">
      <c r="A54905" s="374"/>
      <c r="C54905" s="374"/>
      <c r="CV54905" s="376"/>
    </row>
    <row r="54906" spans="1:100">
      <c r="A54906" s="374"/>
      <c r="C54906" s="374"/>
      <c r="CV54906" s="376"/>
    </row>
    <row r="54907" spans="1:100">
      <c r="A54907" s="374"/>
      <c r="C54907" s="374"/>
      <c r="CV54907" s="376"/>
    </row>
    <row r="54908" spans="1:100">
      <c r="A54908" s="374"/>
      <c r="C54908" s="374"/>
      <c r="CV54908" s="376"/>
    </row>
    <row r="54909" spans="1:100">
      <c r="A54909" s="374"/>
      <c r="C54909" s="374"/>
      <c r="CV54909" s="376"/>
    </row>
    <row r="54910" spans="1:100">
      <c r="A54910" s="374"/>
      <c r="C54910" s="374"/>
      <c r="CV54910" s="376"/>
    </row>
    <row r="54911" spans="1:100">
      <c r="A54911" s="374"/>
      <c r="C54911" s="374"/>
      <c r="CV54911" s="376"/>
    </row>
    <row r="54912" spans="1:100">
      <c r="A54912" s="374"/>
      <c r="C54912" s="374"/>
      <c r="CV54912" s="376"/>
    </row>
    <row r="54913" spans="1:100">
      <c r="A54913" s="374"/>
      <c r="C54913" s="374"/>
      <c r="CV54913" s="376"/>
    </row>
    <row r="54914" spans="1:100">
      <c r="A54914" s="374"/>
      <c r="C54914" s="374"/>
      <c r="CV54914" s="376"/>
    </row>
    <row r="54915" spans="1:100">
      <c r="A54915" s="374"/>
      <c r="C54915" s="374"/>
      <c r="CV54915" s="376"/>
    </row>
    <row r="54916" spans="1:100">
      <c r="A54916" s="374"/>
      <c r="C54916" s="374"/>
      <c r="CV54916" s="376"/>
    </row>
    <row r="54917" spans="1:100">
      <c r="A54917" s="374"/>
      <c r="C54917" s="374"/>
      <c r="CV54917" s="376"/>
    </row>
    <row r="54918" spans="1:100">
      <c r="A54918" s="374"/>
      <c r="C54918" s="374"/>
      <c r="CV54918" s="376"/>
    </row>
    <row r="54919" spans="1:100">
      <c r="A54919" s="374"/>
      <c r="C54919" s="374"/>
      <c r="CV54919" s="376"/>
    </row>
    <row r="54920" spans="1:100">
      <c r="A54920" s="374"/>
      <c r="C54920" s="374"/>
      <c r="CV54920" s="376"/>
    </row>
    <row r="54921" spans="1:100">
      <c r="A54921" s="374"/>
      <c r="C54921" s="374"/>
      <c r="CV54921" s="376"/>
    </row>
    <row r="54922" spans="1:100">
      <c r="A54922" s="374"/>
      <c r="C54922" s="374"/>
      <c r="CV54922" s="376"/>
    </row>
    <row r="54923" spans="1:100">
      <c r="A54923" s="374"/>
      <c r="C54923" s="374"/>
      <c r="CV54923" s="376"/>
    </row>
    <row r="54924" spans="1:100">
      <c r="A54924" s="374"/>
      <c r="C54924" s="374"/>
      <c r="CV54924" s="376"/>
    </row>
    <row r="54925" spans="1:100">
      <c r="A54925" s="374"/>
      <c r="C54925" s="374"/>
      <c r="CV54925" s="376"/>
    </row>
    <row r="54926" spans="1:100">
      <c r="A54926" s="374"/>
      <c r="C54926" s="374"/>
      <c r="CV54926" s="376"/>
    </row>
    <row r="54927" spans="1:100">
      <c r="A54927" s="374"/>
      <c r="C54927" s="374"/>
      <c r="CV54927" s="376"/>
    </row>
    <row r="54928" spans="1:100">
      <c r="A54928" s="374"/>
      <c r="C54928" s="374"/>
      <c r="CV54928" s="376"/>
    </row>
    <row r="54929" spans="1:100">
      <c r="A54929" s="374"/>
      <c r="C54929" s="374"/>
      <c r="CV54929" s="376"/>
    </row>
    <row r="54930" spans="1:100">
      <c r="A54930" s="374"/>
      <c r="C54930" s="374"/>
      <c r="CV54930" s="376"/>
    </row>
    <row r="54931" spans="1:100">
      <c r="A54931" s="374"/>
      <c r="C54931" s="374"/>
      <c r="CV54931" s="376"/>
    </row>
    <row r="54932" spans="1:100">
      <c r="A54932" s="374"/>
      <c r="C54932" s="374"/>
      <c r="CV54932" s="376"/>
    </row>
    <row r="54933" spans="1:100">
      <c r="A54933" s="374"/>
      <c r="C54933" s="374"/>
      <c r="CV54933" s="376"/>
    </row>
    <row r="54934" spans="1:100">
      <c r="A54934" s="374"/>
      <c r="C54934" s="374"/>
      <c r="CV54934" s="376"/>
    </row>
    <row r="54935" spans="1:100">
      <c r="A54935" s="374"/>
      <c r="C54935" s="374"/>
      <c r="CV54935" s="376"/>
    </row>
    <row r="54936" spans="1:100">
      <c r="A54936" s="374"/>
      <c r="C54936" s="374"/>
      <c r="CV54936" s="376"/>
    </row>
    <row r="54937" spans="1:100">
      <c r="A54937" s="374"/>
      <c r="C54937" s="374"/>
      <c r="CV54937" s="376"/>
    </row>
    <row r="54938" spans="1:100">
      <c r="A54938" s="374"/>
      <c r="C54938" s="374"/>
      <c r="CV54938" s="376"/>
    </row>
    <row r="54939" spans="1:100">
      <c r="A54939" s="374"/>
      <c r="C54939" s="374"/>
      <c r="CV54939" s="376"/>
    </row>
    <row r="54940" spans="1:100">
      <c r="A54940" s="374"/>
      <c r="C54940" s="374"/>
      <c r="CV54940" s="376"/>
    </row>
    <row r="54941" spans="1:100">
      <c r="A54941" s="374"/>
      <c r="C54941" s="374"/>
      <c r="CV54941" s="376"/>
    </row>
    <row r="54942" spans="1:100">
      <c r="A54942" s="374"/>
      <c r="C54942" s="374"/>
      <c r="CV54942" s="376"/>
    </row>
    <row r="54943" spans="1:100">
      <c r="A54943" s="374"/>
      <c r="C54943" s="374"/>
      <c r="CV54943" s="376"/>
    </row>
    <row r="54944" spans="1:100">
      <c r="A54944" s="374"/>
      <c r="C54944" s="374"/>
      <c r="CV54944" s="376"/>
    </row>
    <row r="54945" spans="1:100">
      <c r="A54945" s="374"/>
      <c r="C54945" s="374"/>
      <c r="CV54945" s="376"/>
    </row>
    <row r="54946" spans="1:100">
      <c r="A54946" s="374"/>
      <c r="C54946" s="374"/>
      <c r="CV54946" s="376"/>
    </row>
    <row r="54947" spans="1:100">
      <c r="A54947" s="374"/>
      <c r="C54947" s="374"/>
      <c r="CV54947" s="376"/>
    </row>
    <row r="54948" spans="1:100">
      <c r="A54948" s="374"/>
      <c r="C54948" s="374"/>
      <c r="CV54948" s="376"/>
    </row>
    <row r="54949" spans="1:100">
      <c r="A54949" s="374"/>
      <c r="C54949" s="374"/>
      <c r="CV54949" s="376"/>
    </row>
    <row r="54950" spans="1:100">
      <c r="A54950" s="374"/>
      <c r="C54950" s="374"/>
      <c r="CV54950" s="376"/>
    </row>
    <row r="54951" spans="1:100">
      <c r="A54951" s="374"/>
      <c r="C54951" s="374"/>
      <c r="CV54951" s="376"/>
    </row>
    <row r="54952" spans="1:100">
      <c r="A54952" s="374"/>
      <c r="C54952" s="374"/>
      <c r="CV54952" s="376"/>
    </row>
    <row r="54953" spans="1:100">
      <c r="A54953" s="374"/>
      <c r="C54953" s="374"/>
      <c r="CV54953" s="376"/>
    </row>
    <row r="54954" spans="1:100">
      <c r="A54954" s="374"/>
      <c r="C54954" s="374"/>
      <c r="CV54954" s="376"/>
    </row>
    <row r="54955" spans="1:100">
      <c r="A54955" s="374"/>
      <c r="C54955" s="374"/>
      <c r="CV54955" s="376"/>
    </row>
    <row r="54956" spans="1:100">
      <c r="A54956" s="374"/>
      <c r="C54956" s="374"/>
      <c r="CV54956" s="376"/>
    </row>
    <row r="54957" spans="1:100">
      <c r="A54957" s="374"/>
      <c r="C54957" s="374"/>
      <c r="CV54957" s="376"/>
    </row>
    <row r="54958" spans="1:100">
      <c r="A54958" s="374"/>
      <c r="C54958" s="374"/>
      <c r="CV54958" s="376"/>
    </row>
    <row r="54959" spans="1:100">
      <c r="A54959" s="374"/>
      <c r="C54959" s="374"/>
      <c r="CV54959" s="376"/>
    </row>
    <row r="54960" spans="1:100">
      <c r="A54960" s="374"/>
      <c r="C54960" s="374"/>
      <c r="CV54960" s="376"/>
    </row>
    <row r="54961" spans="1:100">
      <c r="A54961" s="374"/>
      <c r="C54961" s="374"/>
      <c r="CV54961" s="376"/>
    </row>
    <row r="54962" spans="1:100">
      <c r="A54962" s="374"/>
      <c r="C54962" s="374"/>
      <c r="CV54962" s="376"/>
    </row>
    <row r="54963" spans="1:100">
      <c r="A54963" s="374"/>
      <c r="C54963" s="374"/>
      <c r="CV54963" s="376"/>
    </row>
    <row r="54964" spans="1:100">
      <c r="A54964" s="374"/>
      <c r="C54964" s="374"/>
      <c r="CV54964" s="376"/>
    </row>
    <row r="54965" spans="1:100">
      <c r="A54965" s="374"/>
      <c r="C54965" s="374"/>
      <c r="CV54965" s="376"/>
    </row>
    <row r="54966" spans="1:100">
      <c r="A54966" s="374"/>
      <c r="C54966" s="374"/>
      <c r="CV54966" s="376"/>
    </row>
    <row r="54967" spans="1:100">
      <c r="A54967" s="374"/>
      <c r="C54967" s="374"/>
      <c r="CV54967" s="376"/>
    </row>
    <row r="54968" spans="1:100">
      <c r="A54968" s="374"/>
      <c r="C54968" s="374"/>
      <c r="CV54968" s="376"/>
    </row>
    <row r="54969" spans="1:100">
      <c r="A54969" s="374"/>
      <c r="C54969" s="374"/>
      <c r="CV54969" s="376"/>
    </row>
    <row r="54970" spans="1:100">
      <c r="A54970" s="374"/>
      <c r="C54970" s="374"/>
      <c r="CV54970" s="376"/>
    </row>
    <row r="54971" spans="1:100">
      <c r="A54971" s="374"/>
      <c r="C54971" s="374"/>
      <c r="CV54971" s="376"/>
    </row>
    <row r="54972" spans="1:100">
      <c r="A54972" s="374"/>
      <c r="C54972" s="374"/>
      <c r="CV54972" s="376"/>
    </row>
    <row r="54973" spans="1:100">
      <c r="A54973" s="374"/>
      <c r="C54973" s="374"/>
      <c r="CV54973" s="376"/>
    </row>
    <row r="54974" spans="1:100">
      <c r="A54974" s="374"/>
      <c r="C54974" s="374"/>
      <c r="CV54974" s="376"/>
    </row>
    <row r="54975" spans="1:100">
      <c r="A54975" s="374"/>
      <c r="C54975" s="374"/>
      <c r="CV54975" s="376"/>
    </row>
    <row r="54976" spans="1:100">
      <c r="A54976" s="374"/>
      <c r="C54976" s="374"/>
      <c r="CV54976" s="376"/>
    </row>
    <row r="54977" spans="1:100">
      <c r="A54977" s="374"/>
      <c r="C54977" s="374"/>
      <c r="CV54977" s="376"/>
    </row>
    <row r="54978" spans="1:100">
      <c r="A54978" s="374"/>
      <c r="C54978" s="374"/>
      <c r="CV54978" s="376"/>
    </row>
    <row r="54979" spans="1:100">
      <c r="A54979" s="374"/>
      <c r="C54979" s="374"/>
      <c r="CV54979" s="376"/>
    </row>
    <row r="54980" spans="1:100">
      <c r="A54980" s="374"/>
      <c r="C54980" s="374"/>
      <c r="CV54980" s="376"/>
    </row>
    <row r="54981" spans="1:100">
      <c r="A54981" s="374"/>
      <c r="C54981" s="374"/>
      <c r="CV54981" s="376"/>
    </row>
    <row r="54982" spans="1:100">
      <c r="A54982" s="374"/>
      <c r="C54982" s="374"/>
      <c r="CV54982" s="376"/>
    </row>
    <row r="54983" spans="1:100">
      <c r="A54983" s="374"/>
      <c r="C54983" s="374"/>
      <c r="CV54983" s="376"/>
    </row>
    <row r="54984" spans="1:100">
      <c r="A54984" s="374"/>
      <c r="C54984" s="374"/>
      <c r="CV54984" s="376"/>
    </row>
    <row r="54985" spans="1:100">
      <c r="A54985" s="374"/>
      <c r="C54985" s="374"/>
      <c r="CV54985" s="376"/>
    </row>
    <row r="54986" spans="1:100">
      <c r="A54986" s="374"/>
      <c r="C54986" s="374"/>
      <c r="CV54986" s="376"/>
    </row>
    <row r="54987" spans="1:100">
      <c r="A54987" s="374"/>
      <c r="C54987" s="374"/>
      <c r="CV54987" s="376"/>
    </row>
    <row r="54988" spans="1:100">
      <c r="A54988" s="374"/>
      <c r="C54988" s="374"/>
      <c r="CV54988" s="376"/>
    </row>
    <row r="54989" spans="1:100">
      <c r="A54989" s="374"/>
      <c r="C54989" s="374"/>
      <c r="CV54989" s="376"/>
    </row>
    <row r="54990" spans="1:100">
      <c r="A54990" s="374"/>
      <c r="C54990" s="374"/>
      <c r="CV54990" s="376"/>
    </row>
    <row r="54991" spans="1:100">
      <c r="A54991" s="374"/>
      <c r="C54991" s="374"/>
      <c r="CV54991" s="376"/>
    </row>
    <row r="54992" spans="1:100">
      <c r="A54992" s="374"/>
      <c r="C54992" s="374"/>
      <c r="CV54992" s="376"/>
    </row>
    <row r="54993" spans="1:100">
      <c r="A54993" s="374"/>
      <c r="C54993" s="374"/>
      <c r="CV54993" s="376"/>
    </row>
    <row r="54994" spans="1:100">
      <c r="A54994" s="374"/>
      <c r="C54994" s="374"/>
      <c r="CV54994" s="376"/>
    </row>
    <row r="54995" spans="1:100">
      <c r="A54995" s="374"/>
      <c r="C54995" s="374"/>
      <c r="CV54995" s="376"/>
    </row>
    <row r="54996" spans="1:100">
      <c r="A54996" s="374"/>
      <c r="C54996" s="374"/>
      <c r="CV54996" s="376"/>
    </row>
    <row r="54997" spans="1:100">
      <c r="A54997" s="374"/>
      <c r="C54997" s="374"/>
      <c r="CV54997" s="376"/>
    </row>
    <row r="54998" spans="1:100">
      <c r="A54998" s="374"/>
      <c r="C54998" s="374"/>
      <c r="CV54998" s="376"/>
    </row>
    <row r="54999" spans="1:100">
      <c r="A54999" s="374"/>
      <c r="C54999" s="374"/>
      <c r="CV54999" s="376"/>
    </row>
    <row r="55000" spans="1:100">
      <c r="A55000" s="374"/>
      <c r="C55000" s="374"/>
      <c r="CV55000" s="376"/>
    </row>
    <row r="55001" spans="1:100">
      <c r="A55001" s="374"/>
      <c r="C55001" s="374"/>
      <c r="CV55001" s="376"/>
    </row>
    <row r="55002" spans="1:100">
      <c r="A55002" s="374"/>
      <c r="C55002" s="374"/>
      <c r="CV55002" s="376"/>
    </row>
    <row r="55003" spans="1:100">
      <c r="A55003" s="374"/>
      <c r="C55003" s="374"/>
      <c r="CV55003" s="376"/>
    </row>
    <row r="55004" spans="1:100">
      <c r="A55004" s="374"/>
      <c r="C55004" s="374"/>
      <c r="CV55004" s="376"/>
    </row>
    <row r="55005" spans="1:100">
      <c r="A55005" s="374"/>
      <c r="C55005" s="374"/>
      <c r="CV55005" s="376"/>
    </row>
    <row r="55006" spans="1:100">
      <c r="A55006" s="374"/>
      <c r="C55006" s="374"/>
      <c r="CV55006" s="376"/>
    </row>
    <row r="55007" spans="1:100">
      <c r="A55007" s="374"/>
      <c r="C55007" s="374"/>
      <c r="CV55007" s="376"/>
    </row>
    <row r="55008" spans="1:100">
      <c r="A55008" s="374"/>
      <c r="C55008" s="374"/>
      <c r="CV55008" s="376"/>
    </row>
    <row r="55009" spans="1:100">
      <c r="A55009" s="374"/>
      <c r="C55009" s="374"/>
      <c r="CV55009" s="376"/>
    </row>
    <row r="55010" spans="1:100">
      <c r="A55010" s="374"/>
      <c r="C55010" s="374"/>
      <c r="CV55010" s="376"/>
    </row>
    <row r="55011" spans="1:100">
      <c r="A55011" s="374"/>
      <c r="C55011" s="374"/>
      <c r="CV55011" s="376"/>
    </row>
    <row r="55012" spans="1:100">
      <c r="A55012" s="374"/>
      <c r="C55012" s="374"/>
      <c r="CV55012" s="376"/>
    </row>
    <row r="55013" spans="1:100">
      <c r="A55013" s="374"/>
      <c r="C55013" s="374"/>
      <c r="CV55013" s="376"/>
    </row>
    <row r="55014" spans="1:100">
      <c r="A55014" s="374"/>
      <c r="C55014" s="374"/>
      <c r="CV55014" s="376"/>
    </row>
    <row r="55015" spans="1:100">
      <c r="A55015" s="374"/>
      <c r="C55015" s="374"/>
      <c r="CV55015" s="376"/>
    </row>
    <row r="55016" spans="1:100">
      <c r="A55016" s="374"/>
      <c r="C55016" s="374"/>
      <c r="CV55016" s="376"/>
    </row>
    <row r="55017" spans="1:100">
      <c r="A55017" s="374"/>
      <c r="C55017" s="374"/>
      <c r="CV55017" s="376"/>
    </row>
    <row r="55018" spans="1:100">
      <c r="A55018" s="374"/>
      <c r="C55018" s="374"/>
      <c r="CV55018" s="376"/>
    </row>
    <row r="55019" spans="1:100">
      <c r="A55019" s="374"/>
      <c r="C55019" s="374"/>
      <c r="CV55019" s="376"/>
    </row>
    <row r="55020" spans="1:100">
      <c r="A55020" s="374"/>
      <c r="C55020" s="374"/>
      <c r="CV55020" s="376"/>
    </row>
    <row r="55021" spans="1:100">
      <c r="A55021" s="374"/>
      <c r="C55021" s="374"/>
      <c r="CV55021" s="376"/>
    </row>
    <row r="55022" spans="1:100">
      <c r="A55022" s="374"/>
      <c r="C55022" s="374"/>
      <c r="CV55022" s="376"/>
    </row>
    <row r="55023" spans="1:100">
      <c r="A55023" s="374"/>
      <c r="C55023" s="374"/>
      <c r="CV55023" s="376"/>
    </row>
    <row r="55024" spans="1:100">
      <c r="A55024" s="374"/>
      <c r="C55024" s="374"/>
      <c r="CV55024" s="376"/>
    </row>
    <row r="55025" spans="1:100">
      <c r="A55025" s="374"/>
      <c r="C55025" s="374"/>
      <c r="CV55025" s="376"/>
    </row>
    <row r="55026" spans="1:100">
      <c r="A55026" s="374"/>
      <c r="C55026" s="374"/>
      <c r="CV55026" s="376"/>
    </row>
    <row r="55027" spans="1:100">
      <c r="A55027" s="374"/>
      <c r="C55027" s="374"/>
      <c r="CV55027" s="376"/>
    </row>
    <row r="55028" spans="1:100">
      <c r="A55028" s="374"/>
      <c r="C55028" s="374"/>
      <c r="CV55028" s="376"/>
    </row>
    <row r="55029" spans="1:100">
      <c r="A55029" s="374"/>
      <c r="C55029" s="374"/>
      <c r="CV55029" s="376"/>
    </row>
    <row r="55030" spans="1:100">
      <c r="A55030" s="374"/>
      <c r="C55030" s="374"/>
      <c r="CV55030" s="376"/>
    </row>
    <row r="55031" spans="1:100">
      <c r="A55031" s="374"/>
      <c r="C55031" s="374"/>
      <c r="CV55031" s="376"/>
    </row>
    <row r="55032" spans="1:100">
      <c r="A55032" s="374"/>
      <c r="C55032" s="374"/>
      <c r="CV55032" s="376"/>
    </row>
    <row r="55033" spans="1:100">
      <c r="A55033" s="374"/>
      <c r="C55033" s="374"/>
      <c r="CV55033" s="376"/>
    </row>
    <row r="55034" spans="1:100">
      <c r="A55034" s="374"/>
      <c r="C55034" s="374"/>
      <c r="CV55034" s="376"/>
    </row>
    <row r="55035" spans="1:100">
      <c r="A55035" s="374"/>
      <c r="C55035" s="374"/>
      <c r="CV55035" s="376"/>
    </row>
    <row r="55036" spans="1:100">
      <c r="A55036" s="374"/>
      <c r="C55036" s="374"/>
      <c r="CV55036" s="376"/>
    </row>
    <row r="55037" spans="1:100">
      <c r="A55037" s="374"/>
      <c r="C55037" s="374"/>
      <c r="CV55037" s="376"/>
    </row>
    <row r="55038" spans="1:100">
      <c r="A55038" s="374"/>
      <c r="C55038" s="374"/>
      <c r="CV55038" s="376"/>
    </row>
    <row r="55039" spans="1:100">
      <c r="A55039" s="374"/>
      <c r="C55039" s="374"/>
      <c r="CV55039" s="376"/>
    </row>
    <row r="55040" spans="1:100">
      <c r="A55040" s="374"/>
      <c r="C55040" s="374"/>
      <c r="CV55040" s="376"/>
    </row>
    <row r="55041" spans="1:100">
      <c r="A55041" s="374"/>
      <c r="C55041" s="374"/>
      <c r="CV55041" s="376"/>
    </row>
    <row r="55042" spans="1:100">
      <c r="A55042" s="374"/>
      <c r="C55042" s="374"/>
      <c r="CV55042" s="376"/>
    </row>
    <row r="55043" spans="1:100">
      <c r="A55043" s="374"/>
      <c r="C55043" s="374"/>
      <c r="CV55043" s="376"/>
    </row>
    <row r="55044" spans="1:100">
      <c r="A55044" s="374"/>
      <c r="C55044" s="374"/>
      <c r="CV55044" s="376"/>
    </row>
    <row r="55045" spans="1:100">
      <c r="A55045" s="374"/>
      <c r="C55045" s="374"/>
      <c r="CV55045" s="376"/>
    </row>
    <row r="55046" spans="1:100">
      <c r="A55046" s="374"/>
      <c r="C55046" s="374"/>
      <c r="CV55046" s="376"/>
    </row>
    <row r="55047" spans="1:100">
      <c r="A55047" s="374"/>
      <c r="C55047" s="374"/>
      <c r="CV55047" s="376"/>
    </row>
    <row r="55048" spans="1:100">
      <c r="A55048" s="374"/>
      <c r="C55048" s="374"/>
      <c r="CV55048" s="376"/>
    </row>
    <row r="55049" spans="1:100">
      <c r="A55049" s="374"/>
      <c r="C55049" s="374"/>
      <c r="CV55049" s="376"/>
    </row>
    <row r="55050" spans="1:100">
      <c r="A55050" s="374"/>
      <c r="C55050" s="374"/>
      <c r="CV55050" s="376"/>
    </row>
    <row r="55051" spans="1:100">
      <c r="A55051" s="374"/>
      <c r="C55051" s="374"/>
      <c r="CV55051" s="376"/>
    </row>
    <row r="55052" spans="1:100">
      <c r="A55052" s="374"/>
      <c r="C55052" s="374"/>
      <c r="CV55052" s="376"/>
    </row>
    <row r="55053" spans="1:100">
      <c r="A55053" s="374"/>
      <c r="C55053" s="374"/>
      <c r="CV55053" s="376"/>
    </row>
    <row r="55054" spans="1:100">
      <c r="A55054" s="374"/>
      <c r="C55054" s="374"/>
      <c r="CV55054" s="376"/>
    </row>
    <row r="55055" spans="1:100">
      <c r="A55055" s="374"/>
      <c r="C55055" s="374"/>
      <c r="CV55055" s="376"/>
    </row>
    <row r="55056" spans="1:100">
      <c r="A55056" s="374"/>
      <c r="C55056" s="374"/>
      <c r="CV55056" s="376"/>
    </row>
    <row r="55057" spans="1:100">
      <c r="A55057" s="374"/>
      <c r="C55057" s="374"/>
      <c r="CV55057" s="376"/>
    </row>
    <row r="55058" spans="1:100">
      <c r="A55058" s="374"/>
      <c r="C55058" s="374"/>
      <c r="CV55058" s="376"/>
    </row>
    <row r="55059" spans="1:100">
      <c r="A55059" s="374"/>
      <c r="C55059" s="374"/>
      <c r="CV55059" s="376"/>
    </row>
    <row r="55060" spans="1:100">
      <c r="A55060" s="374"/>
      <c r="C55060" s="374"/>
      <c r="CV55060" s="376"/>
    </row>
    <row r="55061" spans="1:100">
      <c r="A55061" s="374"/>
      <c r="C55061" s="374"/>
      <c r="CV55061" s="376"/>
    </row>
    <row r="55062" spans="1:100">
      <c r="A55062" s="374"/>
      <c r="C55062" s="374"/>
      <c r="CV55062" s="376"/>
    </row>
    <row r="55063" spans="1:100">
      <c r="A55063" s="374"/>
      <c r="C55063" s="374"/>
      <c r="CV55063" s="376"/>
    </row>
    <row r="55064" spans="1:100">
      <c r="A55064" s="374"/>
      <c r="C55064" s="374"/>
      <c r="CV55064" s="376"/>
    </row>
    <row r="55065" spans="1:100">
      <c r="A55065" s="374"/>
      <c r="C55065" s="374"/>
      <c r="CV55065" s="376"/>
    </row>
    <row r="55066" spans="1:100">
      <c r="A55066" s="374"/>
      <c r="C55066" s="374"/>
      <c r="CV55066" s="376"/>
    </row>
    <row r="55067" spans="1:100">
      <c r="A55067" s="374"/>
      <c r="C55067" s="374"/>
      <c r="CV55067" s="376"/>
    </row>
    <row r="55068" spans="1:100">
      <c r="A55068" s="374"/>
      <c r="C55068" s="374"/>
      <c r="CV55068" s="376"/>
    </row>
    <row r="55069" spans="1:100">
      <c r="A55069" s="374"/>
      <c r="C55069" s="374"/>
      <c r="CV55069" s="376"/>
    </row>
    <row r="55070" spans="1:100">
      <c r="A55070" s="374"/>
      <c r="C55070" s="374"/>
      <c r="CV55070" s="376"/>
    </row>
    <row r="55071" spans="1:100">
      <c r="A55071" s="374"/>
      <c r="C55071" s="374"/>
      <c r="CV55071" s="376"/>
    </row>
    <row r="55072" spans="1:100">
      <c r="A55072" s="374"/>
      <c r="C55072" s="374"/>
      <c r="CV55072" s="376"/>
    </row>
    <row r="55073" spans="1:100">
      <c r="A55073" s="374"/>
      <c r="C55073" s="374"/>
      <c r="CV55073" s="376"/>
    </row>
    <row r="55074" spans="1:100">
      <c r="A55074" s="374"/>
      <c r="C55074" s="374"/>
      <c r="CV55074" s="376"/>
    </row>
    <row r="55075" spans="1:100">
      <c r="A55075" s="374"/>
      <c r="C55075" s="374"/>
      <c r="CV55075" s="376"/>
    </row>
    <row r="55076" spans="1:100">
      <c r="A55076" s="374"/>
      <c r="C55076" s="374"/>
      <c r="CV55076" s="376"/>
    </row>
    <row r="55077" spans="1:100">
      <c r="A55077" s="374"/>
      <c r="C55077" s="374"/>
      <c r="CV55077" s="376"/>
    </row>
    <row r="55078" spans="1:100">
      <c r="A55078" s="374"/>
      <c r="C55078" s="374"/>
      <c r="CV55078" s="376"/>
    </row>
    <row r="55079" spans="1:100">
      <c r="A55079" s="374"/>
      <c r="C55079" s="374"/>
      <c r="CV55079" s="376"/>
    </row>
    <row r="55080" spans="1:100">
      <c r="A55080" s="374"/>
      <c r="C55080" s="374"/>
      <c r="CV55080" s="376"/>
    </row>
    <row r="55081" spans="1:100">
      <c r="A55081" s="374"/>
      <c r="C55081" s="374"/>
      <c r="CV55081" s="376"/>
    </row>
    <row r="55082" spans="1:100">
      <c r="A55082" s="374"/>
      <c r="C55082" s="374"/>
      <c r="CV55082" s="376"/>
    </row>
    <row r="55083" spans="1:100">
      <c r="A55083" s="374"/>
      <c r="C55083" s="374"/>
      <c r="CV55083" s="376"/>
    </row>
    <row r="55084" spans="1:100">
      <c r="A55084" s="374"/>
      <c r="C55084" s="374"/>
      <c r="CV55084" s="376"/>
    </row>
    <row r="55085" spans="1:100">
      <c r="A55085" s="374"/>
      <c r="C55085" s="374"/>
      <c r="CV55085" s="376"/>
    </row>
    <row r="55086" spans="1:100">
      <c r="A55086" s="374"/>
      <c r="C55086" s="374"/>
      <c r="CV55086" s="376"/>
    </row>
    <row r="55087" spans="1:100">
      <c r="A55087" s="374"/>
      <c r="C55087" s="374"/>
      <c r="CV55087" s="376"/>
    </row>
    <row r="55088" spans="1:100">
      <c r="A55088" s="374"/>
      <c r="C55088" s="374"/>
      <c r="CV55088" s="376"/>
    </row>
    <row r="55089" spans="1:100">
      <c r="A55089" s="374"/>
      <c r="C55089" s="374"/>
      <c r="CV55089" s="376"/>
    </row>
    <row r="55090" spans="1:100">
      <c r="A55090" s="374"/>
      <c r="C55090" s="374"/>
      <c r="CV55090" s="376"/>
    </row>
    <row r="55091" spans="1:100">
      <c r="A55091" s="374"/>
      <c r="C55091" s="374"/>
      <c r="CV55091" s="376"/>
    </row>
    <row r="55092" spans="1:100">
      <c r="A55092" s="374"/>
      <c r="C55092" s="374"/>
      <c r="CV55092" s="376"/>
    </row>
    <row r="55093" spans="1:100">
      <c r="A55093" s="374"/>
      <c r="C55093" s="374"/>
      <c r="CV55093" s="376"/>
    </row>
    <row r="55094" spans="1:100">
      <c r="A55094" s="374"/>
      <c r="C55094" s="374"/>
      <c r="CV55094" s="376"/>
    </row>
    <row r="55095" spans="1:100">
      <c r="A55095" s="374"/>
      <c r="C55095" s="374"/>
      <c r="CV55095" s="376"/>
    </row>
    <row r="55096" spans="1:100">
      <c r="A55096" s="374"/>
      <c r="C55096" s="374"/>
      <c r="CV55096" s="376"/>
    </row>
    <row r="55097" spans="1:100">
      <c r="A55097" s="374"/>
      <c r="C55097" s="374"/>
      <c r="CV55097" s="376"/>
    </row>
    <row r="55098" spans="1:100">
      <c r="A55098" s="374"/>
      <c r="C55098" s="374"/>
      <c r="CV55098" s="376"/>
    </row>
    <row r="55099" spans="1:100">
      <c r="A55099" s="374"/>
      <c r="C55099" s="374"/>
      <c r="CV55099" s="376"/>
    </row>
    <row r="55100" spans="1:100">
      <c r="A55100" s="374"/>
      <c r="C55100" s="374"/>
      <c r="CV55100" s="376"/>
    </row>
    <row r="55101" spans="1:100">
      <c r="A55101" s="374"/>
      <c r="C55101" s="374"/>
      <c r="CV55101" s="376"/>
    </row>
    <row r="55102" spans="1:100">
      <c r="A55102" s="374"/>
      <c r="C55102" s="374"/>
      <c r="CV55102" s="376"/>
    </row>
    <row r="55103" spans="1:100">
      <c r="A55103" s="374"/>
      <c r="C55103" s="374"/>
      <c r="CV55103" s="376"/>
    </row>
    <row r="55104" spans="1:100">
      <c r="A55104" s="374"/>
      <c r="C55104" s="374"/>
      <c r="CV55104" s="376"/>
    </row>
    <row r="55105" spans="1:100">
      <c r="A55105" s="374"/>
      <c r="C55105" s="374"/>
      <c r="CV55105" s="376"/>
    </row>
    <row r="55106" spans="1:100">
      <c r="A55106" s="374"/>
      <c r="C55106" s="374"/>
      <c r="CV55106" s="376"/>
    </row>
    <row r="55107" spans="1:100">
      <c r="A55107" s="374"/>
      <c r="C55107" s="374"/>
      <c r="CV55107" s="376"/>
    </row>
    <row r="55108" spans="1:100">
      <c r="A55108" s="374"/>
      <c r="C55108" s="374"/>
      <c r="CV55108" s="376"/>
    </row>
    <row r="55109" spans="1:100">
      <c r="A55109" s="374"/>
      <c r="C55109" s="374"/>
      <c r="CV55109" s="376"/>
    </row>
    <row r="55110" spans="1:100">
      <c r="A55110" s="374"/>
      <c r="C55110" s="374"/>
      <c r="CV55110" s="376"/>
    </row>
    <row r="55111" spans="1:100">
      <c r="A55111" s="374"/>
      <c r="C55111" s="374"/>
      <c r="CV55111" s="376"/>
    </row>
    <row r="55112" spans="1:100">
      <c r="A55112" s="374"/>
      <c r="C55112" s="374"/>
      <c r="CV55112" s="376"/>
    </row>
    <row r="55113" spans="1:100">
      <c r="A55113" s="374"/>
      <c r="C55113" s="374"/>
      <c r="CV55113" s="376"/>
    </row>
    <row r="55114" spans="1:100">
      <c r="A55114" s="374"/>
      <c r="C55114" s="374"/>
      <c r="CV55114" s="376"/>
    </row>
    <row r="55115" spans="1:100">
      <c r="A55115" s="374"/>
      <c r="C55115" s="374"/>
      <c r="CV55115" s="376"/>
    </row>
    <row r="55116" spans="1:100">
      <c r="A55116" s="374"/>
      <c r="C55116" s="374"/>
      <c r="CV55116" s="376"/>
    </row>
    <row r="55117" spans="1:100">
      <c r="A55117" s="374"/>
      <c r="C55117" s="374"/>
      <c r="CV55117" s="376"/>
    </row>
    <row r="55118" spans="1:100">
      <c r="A55118" s="374"/>
      <c r="C55118" s="374"/>
      <c r="CV55118" s="376"/>
    </row>
    <row r="55119" spans="1:100">
      <c r="A55119" s="374"/>
      <c r="C55119" s="374"/>
      <c r="CV55119" s="376"/>
    </row>
    <row r="55120" spans="1:100">
      <c r="A55120" s="374"/>
      <c r="C55120" s="374"/>
      <c r="CV55120" s="376"/>
    </row>
    <row r="55121" spans="1:100">
      <c r="A55121" s="374"/>
      <c r="C55121" s="374"/>
      <c r="CV55121" s="376"/>
    </row>
    <row r="55122" spans="1:100">
      <c r="A55122" s="374"/>
      <c r="C55122" s="374"/>
      <c r="CV55122" s="376"/>
    </row>
    <row r="55123" spans="1:100">
      <c r="A55123" s="374"/>
      <c r="C55123" s="374"/>
      <c r="CV55123" s="376"/>
    </row>
    <row r="55124" spans="1:100">
      <c r="A55124" s="374"/>
      <c r="C55124" s="374"/>
      <c r="CV55124" s="376"/>
    </row>
    <row r="55125" spans="1:100">
      <c r="A55125" s="374"/>
      <c r="C55125" s="374"/>
      <c r="CV55125" s="376"/>
    </row>
    <row r="55126" spans="1:100">
      <c r="A55126" s="374"/>
      <c r="C55126" s="374"/>
      <c r="CV55126" s="376"/>
    </row>
    <row r="55127" spans="1:100">
      <c r="A55127" s="374"/>
      <c r="C55127" s="374"/>
      <c r="CV55127" s="376"/>
    </row>
    <row r="55128" spans="1:100">
      <c r="A55128" s="374"/>
      <c r="C55128" s="374"/>
      <c r="CV55128" s="376"/>
    </row>
    <row r="55129" spans="1:100">
      <c r="A55129" s="374"/>
      <c r="C55129" s="374"/>
      <c r="CV55129" s="376"/>
    </row>
    <row r="55130" spans="1:100">
      <c r="A55130" s="374"/>
      <c r="C55130" s="374"/>
      <c r="CV55130" s="376"/>
    </row>
    <row r="55131" spans="1:100">
      <c r="A55131" s="374"/>
      <c r="C55131" s="374"/>
      <c r="CV55131" s="376"/>
    </row>
    <row r="55132" spans="1:100">
      <c r="A55132" s="374"/>
      <c r="C55132" s="374"/>
      <c r="CV55132" s="376"/>
    </row>
    <row r="55133" spans="1:100">
      <c r="A55133" s="374"/>
      <c r="C55133" s="374"/>
      <c r="CV55133" s="376"/>
    </row>
    <row r="55134" spans="1:100">
      <c r="A55134" s="374"/>
      <c r="C55134" s="374"/>
      <c r="CV55134" s="376"/>
    </row>
    <row r="55135" spans="1:100">
      <c r="A55135" s="374"/>
      <c r="C55135" s="374"/>
      <c r="CV55135" s="376"/>
    </row>
    <row r="55136" spans="1:100">
      <c r="A55136" s="374"/>
      <c r="C55136" s="374"/>
      <c r="CV55136" s="376"/>
    </row>
    <row r="55137" spans="1:100">
      <c r="A55137" s="374"/>
      <c r="C55137" s="374"/>
      <c r="CV55137" s="376"/>
    </row>
    <row r="55138" spans="1:100">
      <c r="A55138" s="374"/>
      <c r="C55138" s="374"/>
      <c r="CV55138" s="376"/>
    </row>
    <row r="55139" spans="1:100">
      <c r="A55139" s="374"/>
      <c r="C55139" s="374"/>
      <c r="CV55139" s="376"/>
    </row>
    <row r="55140" spans="1:100">
      <c r="A55140" s="374"/>
      <c r="C55140" s="374"/>
      <c r="CV55140" s="376"/>
    </row>
    <row r="55141" spans="1:100">
      <c r="A55141" s="374"/>
      <c r="C55141" s="374"/>
      <c r="CV55141" s="376"/>
    </row>
    <row r="55142" spans="1:100">
      <c r="A55142" s="374"/>
      <c r="C55142" s="374"/>
      <c r="CV55142" s="376"/>
    </row>
    <row r="55143" spans="1:100">
      <c r="A55143" s="374"/>
      <c r="C55143" s="374"/>
      <c r="CV55143" s="376"/>
    </row>
    <row r="55144" spans="1:100">
      <c r="A55144" s="374"/>
      <c r="C55144" s="374"/>
      <c r="CV55144" s="376"/>
    </row>
    <row r="55145" spans="1:100">
      <c r="A55145" s="374"/>
      <c r="C55145" s="374"/>
      <c r="CV55145" s="376"/>
    </row>
    <row r="55146" spans="1:100">
      <c r="A55146" s="374"/>
      <c r="C55146" s="374"/>
      <c r="CV55146" s="376"/>
    </row>
    <row r="55147" spans="1:100">
      <c r="A55147" s="374"/>
      <c r="C55147" s="374"/>
      <c r="CV55147" s="376"/>
    </row>
    <row r="55148" spans="1:100">
      <c r="A55148" s="374"/>
      <c r="C55148" s="374"/>
      <c r="CV55148" s="376"/>
    </row>
    <row r="55149" spans="1:100">
      <c r="A55149" s="374"/>
      <c r="C55149" s="374"/>
      <c r="CV55149" s="376"/>
    </row>
    <row r="55150" spans="1:100">
      <c r="A55150" s="374"/>
      <c r="C55150" s="374"/>
      <c r="CV55150" s="376"/>
    </row>
    <row r="55151" spans="1:100">
      <c r="A55151" s="374"/>
      <c r="C55151" s="374"/>
      <c r="CV55151" s="376"/>
    </row>
    <row r="55152" spans="1:100">
      <c r="A55152" s="374"/>
      <c r="C55152" s="374"/>
      <c r="CV55152" s="376"/>
    </row>
    <row r="55153" spans="1:100">
      <c r="A55153" s="374"/>
      <c r="C55153" s="374"/>
      <c r="CV55153" s="376"/>
    </row>
    <row r="55154" spans="1:100">
      <c r="A55154" s="374"/>
      <c r="C55154" s="374"/>
      <c r="CV55154" s="376"/>
    </row>
    <row r="55155" spans="1:100">
      <c r="A55155" s="374"/>
      <c r="C55155" s="374"/>
      <c r="CV55155" s="376"/>
    </row>
    <row r="55156" spans="1:100">
      <c r="A55156" s="374"/>
      <c r="C55156" s="374"/>
      <c r="CV55156" s="376"/>
    </row>
    <row r="55157" spans="1:100">
      <c r="A55157" s="374"/>
      <c r="C55157" s="374"/>
      <c r="CV55157" s="376"/>
    </row>
    <row r="55158" spans="1:100">
      <c r="A55158" s="374"/>
      <c r="C55158" s="374"/>
      <c r="CV55158" s="376"/>
    </row>
    <row r="55159" spans="1:100">
      <c r="A55159" s="374"/>
      <c r="C55159" s="374"/>
      <c r="CV55159" s="376"/>
    </row>
    <row r="55160" spans="1:100">
      <c r="A55160" s="374"/>
      <c r="C55160" s="374"/>
      <c r="CV55160" s="376"/>
    </row>
    <row r="55161" spans="1:100">
      <c r="A55161" s="374"/>
      <c r="C55161" s="374"/>
      <c r="CV55161" s="376"/>
    </row>
    <row r="55162" spans="1:100">
      <c r="A55162" s="374"/>
      <c r="C55162" s="374"/>
      <c r="CV55162" s="376"/>
    </row>
    <row r="55163" spans="1:100">
      <c r="A55163" s="374"/>
      <c r="C55163" s="374"/>
      <c r="CV55163" s="376"/>
    </row>
    <row r="55164" spans="1:100">
      <c r="A55164" s="374"/>
      <c r="C55164" s="374"/>
      <c r="CV55164" s="376"/>
    </row>
    <row r="55165" spans="1:100">
      <c r="A55165" s="374"/>
      <c r="C55165" s="374"/>
      <c r="CV55165" s="376"/>
    </row>
    <row r="55166" spans="1:100">
      <c r="A55166" s="374"/>
      <c r="C55166" s="374"/>
      <c r="CV55166" s="376"/>
    </row>
    <row r="55167" spans="1:100">
      <c r="A55167" s="374"/>
      <c r="C55167" s="374"/>
      <c r="CV55167" s="376"/>
    </row>
    <row r="55168" spans="1:100">
      <c r="A55168" s="374"/>
      <c r="C55168" s="374"/>
      <c r="CV55168" s="376"/>
    </row>
    <row r="55169" spans="1:100">
      <c r="A55169" s="374"/>
      <c r="C55169" s="374"/>
      <c r="CV55169" s="376"/>
    </row>
    <row r="55170" spans="1:100">
      <c r="A55170" s="374"/>
      <c r="C55170" s="374"/>
      <c r="CV55170" s="376"/>
    </row>
    <row r="55171" spans="1:100">
      <c r="A55171" s="374"/>
      <c r="C55171" s="374"/>
      <c r="CV55171" s="376"/>
    </row>
    <row r="55172" spans="1:100">
      <c r="A55172" s="374"/>
      <c r="C55172" s="374"/>
      <c r="CV55172" s="376"/>
    </row>
    <row r="55173" spans="1:100">
      <c r="A55173" s="374"/>
      <c r="C55173" s="374"/>
      <c r="CV55173" s="376"/>
    </row>
    <row r="55174" spans="1:100">
      <c r="A55174" s="374"/>
      <c r="C55174" s="374"/>
      <c r="CV55174" s="376"/>
    </row>
    <row r="55175" spans="1:100">
      <c r="A55175" s="374"/>
      <c r="C55175" s="374"/>
      <c r="CV55175" s="376"/>
    </row>
    <row r="55176" spans="1:100">
      <c r="A55176" s="374"/>
      <c r="C55176" s="374"/>
      <c r="CV55176" s="376"/>
    </row>
    <row r="55177" spans="1:100">
      <c r="A55177" s="374"/>
      <c r="C55177" s="374"/>
      <c r="CV55177" s="376"/>
    </row>
    <row r="55178" spans="1:100">
      <c r="A55178" s="374"/>
      <c r="C55178" s="374"/>
      <c r="CV55178" s="376"/>
    </row>
    <row r="55179" spans="1:100">
      <c r="A55179" s="374"/>
      <c r="C55179" s="374"/>
      <c r="CV55179" s="376"/>
    </row>
    <row r="55180" spans="1:100">
      <c r="A55180" s="374"/>
      <c r="C55180" s="374"/>
      <c r="CV55180" s="376"/>
    </row>
    <row r="55181" spans="1:100">
      <c r="A55181" s="374"/>
      <c r="C55181" s="374"/>
      <c r="CV55181" s="376"/>
    </row>
    <row r="55182" spans="1:100">
      <c r="A55182" s="374"/>
      <c r="C55182" s="374"/>
      <c r="CV55182" s="376"/>
    </row>
    <row r="55183" spans="1:100">
      <c r="A55183" s="374"/>
      <c r="C55183" s="374"/>
      <c r="CV55183" s="376"/>
    </row>
    <row r="55184" spans="1:100">
      <c r="A55184" s="374"/>
      <c r="C55184" s="374"/>
      <c r="CV55184" s="376"/>
    </row>
    <row r="55185" spans="1:100">
      <c r="A55185" s="374"/>
      <c r="C55185" s="374"/>
      <c r="CV55185" s="376"/>
    </row>
    <row r="55186" spans="1:100">
      <c r="A55186" s="374"/>
      <c r="C55186" s="374"/>
      <c r="CV55186" s="376"/>
    </row>
    <row r="55187" spans="1:100">
      <c r="A55187" s="374"/>
      <c r="C55187" s="374"/>
      <c r="CV55187" s="376"/>
    </row>
    <row r="55188" spans="1:100">
      <c r="A55188" s="374"/>
      <c r="C55188" s="374"/>
      <c r="CV55188" s="376"/>
    </row>
    <row r="55189" spans="1:100">
      <c r="A55189" s="374"/>
      <c r="C55189" s="374"/>
      <c r="CV55189" s="376"/>
    </row>
    <row r="55190" spans="1:100">
      <c r="A55190" s="374"/>
      <c r="C55190" s="374"/>
      <c r="CV55190" s="376"/>
    </row>
    <row r="55191" spans="1:100">
      <c r="A55191" s="374"/>
      <c r="C55191" s="374"/>
      <c r="CV55191" s="376"/>
    </row>
    <row r="55192" spans="1:100">
      <c r="A55192" s="374"/>
      <c r="C55192" s="374"/>
      <c r="CV55192" s="376"/>
    </row>
    <row r="55193" spans="1:100">
      <c r="A55193" s="374"/>
      <c r="C55193" s="374"/>
      <c r="CV55193" s="376"/>
    </row>
    <row r="55194" spans="1:100">
      <c r="A55194" s="374"/>
      <c r="C55194" s="374"/>
      <c r="CV55194" s="376"/>
    </row>
    <row r="55195" spans="1:100">
      <c r="A55195" s="374"/>
      <c r="C55195" s="374"/>
      <c r="CV55195" s="376"/>
    </row>
    <row r="55196" spans="1:100">
      <c r="A55196" s="374"/>
      <c r="C55196" s="374"/>
      <c r="CV55196" s="376"/>
    </row>
    <row r="55197" spans="1:100">
      <c r="A55197" s="374"/>
      <c r="C55197" s="374"/>
      <c r="CV55197" s="376"/>
    </row>
    <row r="55198" spans="1:100">
      <c r="A55198" s="374"/>
      <c r="C55198" s="374"/>
      <c r="CV55198" s="376"/>
    </row>
    <row r="55199" spans="1:100">
      <c r="A55199" s="374"/>
      <c r="C55199" s="374"/>
      <c r="CV55199" s="376"/>
    </row>
    <row r="55200" spans="1:100">
      <c r="A55200" s="374"/>
      <c r="C55200" s="374"/>
      <c r="CV55200" s="376"/>
    </row>
    <row r="55201" spans="1:100">
      <c r="A55201" s="374"/>
      <c r="C55201" s="374"/>
      <c r="CV55201" s="376"/>
    </row>
    <row r="55202" spans="1:100">
      <c r="A55202" s="374"/>
      <c r="C55202" s="374"/>
      <c r="CV55202" s="376"/>
    </row>
    <row r="55203" spans="1:100">
      <c r="A55203" s="374"/>
      <c r="C55203" s="374"/>
      <c r="CV55203" s="376"/>
    </row>
    <row r="55204" spans="1:100">
      <c r="A55204" s="374"/>
      <c r="C55204" s="374"/>
      <c r="CV55204" s="376"/>
    </row>
    <row r="55205" spans="1:100">
      <c r="A55205" s="374"/>
      <c r="C55205" s="374"/>
      <c r="CV55205" s="376"/>
    </row>
    <row r="55206" spans="1:100">
      <c r="A55206" s="374"/>
      <c r="C55206" s="374"/>
      <c r="CV55206" s="376"/>
    </row>
    <row r="55207" spans="1:100">
      <c r="A55207" s="374"/>
      <c r="C55207" s="374"/>
      <c r="CV55207" s="376"/>
    </row>
    <row r="55208" spans="1:100">
      <c r="A55208" s="374"/>
      <c r="C55208" s="374"/>
      <c r="CV55208" s="376"/>
    </row>
    <row r="55209" spans="1:100">
      <c r="A55209" s="374"/>
      <c r="C55209" s="374"/>
      <c r="CV55209" s="376"/>
    </row>
    <row r="55210" spans="1:100">
      <c r="A55210" s="374"/>
      <c r="C55210" s="374"/>
      <c r="CV55210" s="376"/>
    </row>
    <row r="55211" spans="1:100">
      <c r="A55211" s="374"/>
      <c r="C55211" s="374"/>
      <c r="CV55211" s="376"/>
    </row>
    <row r="55212" spans="1:100">
      <c r="A55212" s="374"/>
      <c r="C55212" s="374"/>
      <c r="CV55212" s="376"/>
    </row>
    <row r="55213" spans="1:100">
      <c r="A55213" s="374"/>
      <c r="C55213" s="374"/>
      <c r="CV55213" s="376"/>
    </row>
    <row r="55214" spans="1:100">
      <c r="A55214" s="374"/>
      <c r="C55214" s="374"/>
      <c r="CV55214" s="376"/>
    </row>
    <row r="55215" spans="1:100">
      <c r="A55215" s="374"/>
      <c r="C55215" s="374"/>
      <c r="CV55215" s="376"/>
    </row>
    <row r="55216" spans="1:100">
      <c r="A55216" s="374"/>
      <c r="C55216" s="374"/>
      <c r="CV55216" s="376"/>
    </row>
    <row r="55217" spans="1:100">
      <c r="A55217" s="374"/>
      <c r="C55217" s="374"/>
      <c r="CV55217" s="376"/>
    </row>
    <row r="55218" spans="1:100">
      <c r="A55218" s="374"/>
      <c r="C55218" s="374"/>
      <c r="CV55218" s="376"/>
    </row>
    <row r="55219" spans="1:100">
      <c r="A55219" s="374"/>
      <c r="C55219" s="374"/>
      <c r="CV55219" s="376"/>
    </row>
    <row r="55220" spans="1:100">
      <c r="A55220" s="374"/>
      <c r="C55220" s="374"/>
      <c r="CV55220" s="376"/>
    </row>
    <row r="55221" spans="1:100">
      <c r="A55221" s="374"/>
      <c r="C55221" s="374"/>
      <c r="CV55221" s="376"/>
    </row>
    <row r="55222" spans="1:100">
      <c r="A55222" s="374"/>
      <c r="C55222" s="374"/>
      <c r="CV55222" s="376"/>
    </row>
    <row r="55223" spans="1:100">
      <c r="A55223" s="374"/>
      <c r="C55223" s="374"/>
      <c r="CV55223" s="376"/>
    </row>
    <row r="55224" spans="1:100">
      <c r="A55224" s="374"/>
      <c r="C55224" s="374"/>
      <c r="CV55224" s="376"/>
    </row>
    <row r="55225" spans="1:100">
      <c r="A55225" s="374"/>
      <c r="C55225" s="374"/>
      <c r="CV55225" s="376"/>
    </row>
    <row r="55226" spans="1:100">
      <c r="A55226" s="374"/>
      <c r="C55226" s="374"/>
      <c r="CV55226" s="376"/>
    </row>
    <row r="55227" spans="1:100">
      <c r="A55227" s="374"/>
      <c r="C55227" s="374"/>
      <c r="CV55227" s="376"/>
    </row>
    <row r="55228" spans="1:100">
      <c r="A55228" s="374"/>
      <c r="C55228" s="374"/>
      <c r="CV55228" s="376"/>
    </row>
    <row r="55229" spans="1:100">
      <c r="A55229" s="374"/>
      <c r="C55229" s="374"/>
      <c r="CV55229" s="376"/>
    </row>
    <row r="55230" spans="1:100">
      <c r="A55230" s="374"/>
      <c r="C55230" s="374"/>
      <c r="CV55230" s="376"/>
    </row>
    <row r="55231" spans="1:100">
      <c r="A55231" s="374"/>
      <c r="C55231" s="374"/>
      <c r="CV55231" s="376"/>
    </row>
    <row r="55232" spans="1:100">
      <c r="A55232" s="374"/>
      <c r="C55232" s="374"/>
      <c r="CV55232" s="376"/>
    </row>
    <row r="55233" spans="1:100">
      <c r="A55233" s="374"/>
      <c r="C55233" s="374"/>
      <c r="CV55233" s="376"/>
    </row>
    <row r="55234" spans="1:100">
      <c r="A55234" s="374"/>
      <c r="C55234" s="374"/>
      <c r="CV55234" s="376"/>
    </row>
    <row r="55235" spans="1:100">
      <c r="A55235" s="374"/>
      <c r="C55235" s="374"/>
      <c r="CV55235" s="376"/>
    </row>
    <row r="55236" spans="1:100">
      <c r="A55236" s="374"/>
      <c r="C55236" s="374"/>
      <c r="CV55236" s="376"/>
    </row>
    <row r="55237" spans="1:100">
      <c r="A55237" s="374"/>
      <c r="C55237" s="374"/>
      <c r="CV55237" s="376"/>
    </row>
    <row r="55238" spans="1:100">
      <c r="A55238" s="374"/>
      <c r="C55238" s="374"/>
      <c r="CV55238" s="376"/>
    </row>
    <row r="55239" spans="1:100">
      <c r="A55239" s="374"/>
      <c r="C55239" s="374"/>
      <c r="CV55239" s="376"/>
    </row>
    <row r="55240" spans="1:100">
      <c r="A55240" s="374"/>
      <c r="C55240" s="374"/>
      <c r="CV55240" s="376"/>
    </row>
    <row r="55241" spans="1:100">
      <c r="A55241" s="374"/>
      <c r="C55241" s="374"/>
      <c r="CV55241" s="376"/>
    </row>
    <row r="55242" spans="1:100">
      <c r="A55242" s="374"/>
      <c r="C55242" s="374"/>
      <c r="CV55242" s="376"/>
    </row>
    <row r="55243" spans="1:100">
      <c r="A55243" s="374"/>
      <c r="C55243" s="374"/>
      <c r="CV55243" s="376"/>
    </row>
    <row r="55244" spans="1:100">
      <c r="A55244" s="374"/>
      <c r="C55244" s="374"/>
      <c r="CV55244" s="376"/>
    </row>
    <row r="55245" spans="1:100">
      <c r="A55245" s="374"/>
      <c r="C55245" s="374"/>
      <c r="CV55245" s="376"/>
    </row>
    <row r="55246" spans="1:100">
      <c r="A55246" s="374"/>
      <c r="C55246" s="374"/>
      <c r="CV55246" s="376"/>
    </row>
    <row r="55247" spans="1:100">
      <c r="A55247" s="374"/>
      <c r="C55247" s="374"/>
      <c r="CV55247" s="376"/>
    </row>
    <row r="55248" spans="1:100">
      <c r="A55248" s="374"/>
      <c r="C55248" s="374"/>
      <c r="CV55248" s="376"/>
    </row>
    <row r="55249" spans="1:100">
      <c r="A55249" s="374"/>
      <c r="C55249" s="374"/>
      <c r="CV55249" s="376"/>
    </row>
    <row r="55250" spans="1:100">
      <c r="A55250" s="374"/>
      <c r="C55250" s="374"/>
      <c r="CV55250" s="376"/>
    </row>
    <row r="55251" spans="1:100">
      <c r="A55251" s="374"/>
      <c r="C55251" s="374"/>
      <c r="CV55251" s="376"/>
    </row>
    <row r="55252" spans="1:100">
      <c r="A55252" s="374"/>
      <c r="C55252" s="374"/>
      <c r="CV55252" s="376"/>
    </row>
    <row r="55253" spans="1:100">
      <c r="A55253" s="374"/>
      <c r="C55253" s="374"/>
      <c r="CV55253" s="376"/>
    </row>
    <row r="55254" spans="1:100">
      <c r="A55254" s="374"/>
      <c r="C55254" s="374"/>
      <c r="CV55254" s="376"/>
    </row>
    <row r="55255" spans="1:100">
      <c r="A55255" s="374"/>
      <c r="C55255" s="374"/>
      <c r="CV55255" s="376"/>
    </row>
    <row r="55256" spans="1:100">
      <c r="A55256" s="374"/>
      <c r="C55256" s="374"/>
      <c r="CV55256" s="376"/>
    </row>
    <row r="55257" spans="1:100">
      <c r="A55257" s="374"/>
      <c r="C55257" s="374"/>
      <c r="CV55257" s="376"/>
    </row>
    <row r="55258" spans="1:100">
      <c r="A55258" s="374"/>
      <c r="C55258" s="374"/>
      <c r="CV55258" s="376"/>
    </row>
    <row r="55259" spans="1:100">
      <c r="A55259" s="374"/>
      <c r="C55259" s="374"/>
      <c r="CV55259" s="376"/>
    </row>
    <row r="55260" spans="1:100">
      <c r="A55260" s="374"/>
      <c r="C55260" s="374"/>
      <c r="CV55260" s="376"/>
    </row>
    <row r="55261" spans="1:100">
      <c r="A55261" s="374"/>
      <c r="C55261" s="374"/>
      <c r="CV55261" s="376"/>
    </row>
    <row r="55262" spans="1:100">
      <c r="A55262" s="374"/>
      <c r="C55262" s="374"/>
      <c r="CV55262" s="376"/>
    </row>
    <row r="55263" spans="1:100">
      <c r="A55263" s="374"/>
      <c r="C55263" s="374"/>
      <c r="CV55263" s="376"/>
    </row>
    <row r="55264" spans="1:100">
      <c r="A55264" s="374"/>
      <c r="C55264" s="374"/>
      <c r="CV55264" s="376"/>
    </row>
    <row r="55265" spans="1:100">
      <c r="A55265" s="374"/>
      <c r="C55265" s="374"/>
      <c r="CV55265" s="376"/>
    </row>
    <row r="55266" spans="1:100">
      <c r="A55266" s="374"/>
      <c r="C55266" s="374"/>
      <c r="CV55266" s="376"/>
    </row>
    <row r="55267" spans="1:100">
      <c r="A55267" s="374"/>
      <c r="C55267" s="374"/>
      <c r="CV55267" s="376"/>
    </row>
    <row r="55268" spans="1:100">
      <c r="A55268" s="374"/>
      <c r="C55268" s="374"/>
      <c r="CV55268" s="376"/>
    </row>
    <row r="55269" spans="1:100">
      <c r="A55269" s="374"/>
      <c r="C55269" s="374"/>
      <c r="CV55269" s="376"/>
    </row>
    <row r="55270" spans="1:100">
      <c r="A55270" s="374"/>
      <c r="C55270" s="374"/>
      <c r="CV55270" s="376"/>
    </row>
    <row r="55271" spans="1:100">
      <c r="A55271" s="374"/>
      <c r="C55271" s="374"/>
      <c r="CV55271" s="376"/>
    </row>
    <row r="55272" spans="1:100">
      <c r="A55272" s="374"/>
      <c r="C55272" s="374"/>
      <c r="CV55272" s="376"/>
    </row>
    <row r="55273" spans="1:100">
      <c r="A55273" s="374"/>
      <c r="C55273" s="374"/>
      <c r="CV55273" s="376"/>
    </row>
    <row r="55274" spans="1:100">
      <c r="A55274" s="374"/>
      <c r="C55274" s="374"/>
      <c r="CV55274" s="376"/>
    </row>
    <row r="55275" spans="1:100">
      <c r="A55275" s="374"/>
      <c r="C55275" s="374"/>
      <c r="CV55275" s="376"/>
    </row>
    <row r="55276" spans="1:100">
      <c r="A55276" s="374"/>
      <c r="C55276" s="374"/>
      <c r="CV55276" s="376"/>
    </row>
    <row r="55277" spans="1:100">
      <c r="A55277" s="374"/>
      <c r="C55277" s="374"/>
      <c r="CV55277" s="376"/>
    </row>
    <row r="55278" spans="1:100">
      <c r="A55278" s="374"/>
      <c r="C55278" s="374"/>
      <c r="CV55278" s="376"/>
    </row>
    <row r="55279" spans="1:100">
      <c r="A55279" s="374"/>
      <c r="C55279" s="374"/>
      <c r="CV55279" s="376"/>
    </row>
    <row r="55280" spans="1:100">
      <c r="A55280" s="374"/>
      <c r="C55280" s="374"/>
      <c r="CV55280" s="376"/>
    </row>
    <row r="55281" spans="1:100">
      <c r="A55281" s="374"/>
      <c r="C55281" s="374"/>
      <c r="CV55281" s="376"/>
    </row>
    <row r="55282" spans="1:100">
      <c r="A55282" s="374"/>
      <c r="C55282" s="374"/>
      <c r="CV55282" s="376"/>
    </row>
    <row r="55283" spans="1:100">
      <c r="A55283" s="374"/>
      <c r="C55283" s="374"/>
      <c r="CV55283" s="376"/>
    </row>
    <row r="55284" spans="1:100">
      <c r="A55284" s="374"/>
      <c r="C55284" s="374"/>
      <c r="CV55284" s="376"/>
    </row>
    <row r="55285" spans="1:100">
      <c r="A55285" s="374"/>
      <c r="C55285" s="374"/>
      <c r="CV55285" s="376"/>
    </row>
    <row r="55286" spans="1:100">
      <c r="A55286" s="374"/>
      <c r="C55286" s="374"/>
      <c r="CV55286" s="376"/>
    </row>
    <row r="55287" spans="1:100">
      <c r="A55287" s="374"/>
      <c r="C55287" s="374"/>
      <c r="CV55287" s="376"/>
    </row>
    <row r="55288" spans="1:100">
      <c r="A55288" s="374"/>
      <c r="C55288" s="374"/>
      <c r="CV55288" s="376"/>
    </row>
    <row r="55289" spans="1:100">
      <c r="A55289" s="374"/>
      <c r="C55289" s="374"/>
      <c r="CV55289" s="376"/>
    </row>
    <row r="55290" spans="1:100">
      <c r="A55290" s="374"/>
      <c r="C55290" s="374"/>
      <c r="CV55290" s="376"/>
    </row>
    <row r="55291" spans="1:100">
      <c r="A55291" s="374"/>
      <c r="C55291" s="374"/>
      <c r="CV55291" s="376"/>
    </row>
    <row r="55292" spans="1:100">
      <c r="A55292" s="374"/>
      <c r="C55292" s="374"/>
      <c r="CV55292" s="376"/>
    </row>
    <row r="55293" spans="1:100">
      <c r="A55293" s="374"/>
      <c r="C55293" s="374"/>
      <c r="CV55293" s="376"/>
    </row>
    <row r="55294" spans="1:100">
      <c r="A55294" s="374"/>
      <c r="C55294" s="374"/>
      <c r="CV55294" s="376"/>
    </row>
    <row r="55295" spans="1:100">
      <c r="A55295" s="374"/>
      <c r="C55295" s="374"/>
      <c r="CV55295" s="376"/>
    </row>
    <row r="55296" spans="1:100">
      <c r="A55296" s="374"/>
      <c r="C55296" s="374"/>
      <c r="CV55296" s="376"/>
    </row>
    <row r="55297" spans="1:100">
      <c r="A55297" s="374"/>
      <c r="C55297" s="374"/>
      <c r="CV55297" s="376"/>
    </row>
    <row r="55298" spans="1:100">
      <c r="A55298" s="374"/>
      <c r="C55298" s="374"/>
      <c r="CV55298" s="376"/>
    </row>
    <row r="55299" spans="1:100">
      <c r="A55299" s="374"/>
      <c r="C55299" s="374"/>
      <c r="CV55299" s="376"/>
    </row>
    <row r="55300" spans="1:100">
      <c r="A55300" s="374"/>
      <c r="C55300" s="374"/>
      <c r="CV55300" s="376"/>
    </row>
    <row r="55301" spans="1:100">
      <c r="A55301" s="374"/>
      <c r="C55301" s="374"/>
      <c r="CV55301" s="376"/>
    </row>
    <row r="55302" spans="1:100">
      <c r="A55302" s="374"/>
      <c r="C55302" s="374"/>
      <c r="CV55302" s="376"/>
    </row>
    <row r="55303" spans="1:100">
      <c r="A55303" s="374"/>
      <c r="C55303" s="374"/>
      <c r="CV55303" s="376"/>
    </row>
    <row r="55304" spans="1:100">
      <c r="A55304" s="374"/>
      <c r="C55304" s="374"/>
      <c r="CV55304" s="376"/>
    </row>
    <row r="55305" spans="1:100">
      <c r="A55305" s="374"/>
      <c r="C55305" s="374"/>
      <c r="CV55305" s="376"/>
    </row>
    <row r="55306" spans="1:100">
      <c r="A55306" s="374"/>
      <c r="C55306" s="374"/>
      <c r="CV55306" s="376"/>
    </row>
    <row r="55307" spans="1:100">
      <c r="A55307" s="374"/>
      <c r="C55307" s="374"/>
      <c r="CV55307" s="376"/>
    </row>
    <row r="55308" spans="1:100">
      <c r="A55308" s="374"/>
      <c r="C55308" s="374"/>
      <c r="CV55308" s="376"/>
    </row>
    <row r="55309" spans="1:100">
      <c r="A55309" s="374"/>
      <c r="C55309" s="374"/>
      <c r="CV55309" s="376"/>
    </row>
    <row r="55310" spans="1:100">
      <c r="A55310" s="374"/>
      <c r="C55310" s="374"/>
      <c r="CV55310" s="376"/>
    </row>
    <row r="55311" spans="1:100">
      <c r="A55311" s="374"/>
      <c r="C55311" s="374"/>
      <c r="CV55311" s="376"/>
    </row>
    <row r="55312" spans="1:100">
      <c r="A55312" s="374"/>
      <c r="C55312" s="374"/>
      <c r="CV55312" s="376"/>
    </row>
    <row r="55313" spans="1:100">
      <c r="A55313" s="374"/>
      <c r="C55313" s="374"/>
      <c r="CV55313" s="376"/>
    </row>
    <row r="55314" spans="1:100">
      <c r="A55314" s="374"/>
      <c r="C55314" s="374"/>
      <c r="CV55314" s="376"/>
    </row>
    <row r="55315" spans="1:100">
      <c r="A55315" s="374"/>
      <c r="C55315" s="374"/>
      <c r="CV55315" s="376"/>
    </row>
    <row r="55316" spans="1:100">
      <c r="A55316" s="374"/>
      <c r="C55316" s="374"/>
      <c r="CV55316" s="376"/>
    </row>
    <row r="55317" spans="1:100">
      <c r="A55317" s="374"/>
      <c r="C55317" s="374"/>
      <c r="CV55317" s="376"/>
    </row>
    <row r="55318" spans="1:100">
      <c r="A55318" s="374"/>
      <c r="C55318" s="374"/>
      <c r="CV55318" s="376"/>
    </row>
    <row r="55319" spans="1:100">
      <c r="A55319" s="374"/>
      <c r="C55319" s="374"/>
      <c r="CV55319" s="376"/>
    </row>
    <row r="55320" spans="1:100">
      <c r="A55320" s="374"/>
      <c r="C55320" s="374"/>
      <c r="CV55320" s="376"/>
    </row>
    <row r="55321" spans="1:100">
      <c r="A55321" s="374"/>
      <c r="C55321" s="374"/>
      <c r="CV55321" s="376"/>
    </row>
    <row r="55322" spans="1:100">
      <c r="A55322" s="374"/>
      <c r="C55322" s="374"/>
      <c r="CV55322" s="376"/>
    </row>
    <row r="55323" spans="1:100">
      <c r="A55323" s="374"/>
      <c r="C55323" s="374"/>
      <c r="CV55323" s="376"/>
    </row>
    <row r="55324" spans="1:100">
      <c r="A55324" s="374"/>
      <c r="C55324" s="374"/>
      <c r="CV55324" s="376"/>
    </row>
    <row r="55325" spans="1:100">
      <c r="A55325" s="374"/>
      <c r="C55325" s="374"/>
      <c r="CV55325" s="376"/>
    </row>
    <row r="55326" spans="1:100">
      <c r="A55326" s="374"/>
      <c r="C55326" s="374"/>
      <c r="CV55326" s="376"/>
    </row>
    <row r="55327" spans="1:100">
      <c r="A55327" s="374"/>
      <c r="C55327" s="374"/>
      <c r="CV55327" s="376"/>
    </row>
    <row r="55328" spans="1:100">
      <c r="A55328" s="374"/>
      <c r="C55328" s="374"/>
      <c r="CV55328" s="376"/>
    </row>
    <row r="55329" spans="1:100">
      <c r="A55329" s="374"/>
      <c r="C55329" s="374"/>
      <c r="CV55329" s="376"/>
    </row>
    <row r="55330" spans="1:100">
      <c r="A55330" s="374"/>
      <c r="C55330" s="374"/>
      <c r="CV55330" s="376"/>
    </row>
    <row r="55331" spans="1:100">
      <c r="A55331" s="374"/>
      <c r="C55331" s="374"/>
      <c r="CV55331" s="376"/>
    </row>
    <row r="55332" spans="1:100">
      <c r="A55332" s="374"/>
      <c r="C55332" s="374"/>
      <c r="CV55332" s="376"/>
    </row>
    <row r="55333" spans="1:100">
      <c r="A55333" s="374"/>
      <c r="C55333" s="374"/>
      <c r="CV55333" s="376"/>
    </row>
    <row r="55334" spans="1:100">
      <c r="A55334" s="374"/>
      <c r="C55334" s="374"/>
      <c r="CV55334" s="376"/>
    </row>
    <row r="55335" spans="1:100">
      <c r="A55335" s="374"/>
      <c r="C55335" s="374"/>
      <c r="CV55335" s="376"/>
    </row>
    <row r="55336" spans="1:100">
      <c r="A55336" s="374"/>
      <c r="C55336" s="374"/>
      <c r="CV55336" s="376"/>
    </row>
    <row r="55337" spans="1:100">
      <c r="A55337" s="374"/>
      <c r="C55337" s="374"/>
      <c r="CV55337" s="376"/>
    </row>
    <row r="55338" spans="1:100">
      <c r="A55338" s="374"/>
      <c r="C55338" s="374"/>
      <c r="CV55338" s="376"/>
    </row>
    <row r="55339" spans="1:100">
      <c r="A55339" s="374"/>
      <c r="C55339" s="374"/>
      <c r="CV55339" s="376"/>
    </row>
    <row r="55340" spans="1:100">
      <c r="A55340" s="374"/>
      <c r="C55340" s="374"/>
      <c r="CV55340" s="376"/>
    </row>
    <row r="55341" spans="1:100">
      <c r="A55341" s="374"/>
      <c r="C55341" s="374"/>
      <c r="CV55341" s="376"/>
    </row>
    <row r="55342" spans="1:100">
      <c r="A55342" s="374"/>
      <c r="C55342" s="374"/>
      <c r="CV55342" s="376"/>
    </row>
    <row r="55343" spans="1:100">
      <c r="A55343" s="374"/>
      <c r="C55343" s="374"/>
      <c r="CV55343" s="376"/>
    </row>
    <row r="55344" spans="1:100">
      <c r="A55344" s="374"/>
      <c r="C55344" s="374"/>
      <c r="CV55344" s="376"/>
    </row>
    <row r="55345" spans="1:100">
      <c r="A55345" s="374"/>
      <c r="C55345" s="374"/>
      <c r="CV55345" s="376"/>
    </row>
    <row r="55346" spans="1:100">
      <c r="A55346" s="374"/>
      <c r="C55346" s="374"/>
      <c r="CV55346" s="376"/>
    </row>
    <row r="55347" spans="1:100">
      <c r="A55347" s="374"/>
      <c r="C55347" s="374"/>
      <c r="CV55347" s="376"/>
    </row>
    <row r="55348" spans="1:100">
      <c r="A55348" s="374"/>
      <c r="C55348" s="374"/>
      <c r="CV55348" s="376"/>
    </row>
    <row r="55349" spans="1:100">
      <c r="A55349" s="374"/>
      <c r="C55349" s="374"/>
      <c r="CV55349" s="376"/>
    </row>
    <row r="55350" spans="1:100">
      <c r="A55350" s="374"/>
      <c r="C55350" s="374"/>
      <c r="CV55350" s="376"/>
    </row>
    <row r="55351" spans="1:100">
      <c r="A55351" s="374"/>
      <c r="C55351" s="374"/>
      <c r="CV55351" s="376"/>
    </row>
    <row r="55352" spans="1:100">
      <c r="A55352" s="374"/>
      <c r="C55352" s="374"/>
      <c r="CV55352" s="376"/>
    </row>
    <row r="55353" spans="1:100">
      <c r="A55353" s="374"/>
      <c r="C55353" s="374"/>
      <c r="CV55353" s="376"/>
    </row>
    <row r="55354" spans="1:100">
      <c r="A55354" s="374"/>
      <c r="C55354" s="374"/>
      <c r="CV55354" s="376"/>
    </row>
    <row r="55355" spans="1:100">
      <c r="A55355" s="374"/>
      <c r="C55355" s="374"/>
      <c r="CV55355" s="376"/>
    </row>
    <row r="55356" spans="1:100">
      <c r="A55356" s="374"/>
      <c r="C55356" s="374"/>
      <c r="CV55356" s="376"/>
    </row>
    <row r="55357" spans="1:100">
      <c r="A55357" s="374"/>
      <c r="C55357" s="374"/>
      <c r="CV55357" s="376"/>
    </row>
    <row r="55358" spans="1:100">
      <c r="A55358" s="374"/>
      <c r="C55358" s="374"/>
      <c r="CV55358" s="376"/>
    </row>
    <row r="55359" spans="1:100">
      <c r="A55359" s="374"/>
      <c r="C55359" s="374"/>
      <c r="CV55359" s="376"/>
    </row>
    <row r="55360" spans="1:100">
      <c r="A55360" s="374"/>
      <c r="C55360" s="374"/>
      <c r="CV55360" s="376"/>
    </row>
    <row r="55361" spans="1:100">
      <c r="A55361" s="374"/>
      <c r="C55361" s="374"/>
      <c r="CV55361" s="376"/>
    </row>
    <row r="55362" spans="1:100">
      <c r="A55362" s="374"/>
      <c r="C55362" s="374"/>
      <c r="CV55362" s="376"/>
    </row>
    <row r="55363" spans="1:100">
      <c r="A55363" s="374"/>
      <c r="C55363" s="374"/>
      <c r="CV55363" s="376"/>
    </row>
    <row r="55364" spans="1:100">
      <c r="A55364" s="374"/>
      <c r="C55364" s="374"/>
      <c r="CV55364" s="376"/>
    </row>
    <row r="55365" spans="1:100">
      <c r="A55365" s="374"/>
      <c r="C55365" s="374"/>
      <c r="CV55365" s="376"/>
    </row>
    <row r="55366" spans="1:100">
      <c r="A55366" s="374"/>
      <c r="C55366" s="374"/>
      <c r="CV55366" s="376"/>
    </row>
    <row r="55367" spans="1:100">
      <c r="A55367" s="374"/>
      <c r="C55367" s="374"/>
      <c r="CV55367" s="376"/>
    </row>
    <row r="55368" spans="1:100">
      <c r="A55368" s="374"/>
      <c r="C55368" s="374"/>
      <c r="CV55368" s="376"/>
    </row>
    <row r="55369" spans="1:100">
      <c r="A55369" s="374"/>
      <c r="C55369" s="374"/>
      <c r="CV55369" s="376"/>
    </row>
    <row r="55370" spans="1:100">
      <c r="A55370" s="374"/>
      <c r="C55370" s="374"/>
      <c r="CV55370" s="376"/>
    </row>
    <row r="55371" spans="1:100">
      <c r="A55371" s="374"/>
      <c r="C55371" s="374"/>
      <c r="CV55371" s="376"/>
    </row>
    <row r="55372" spans="1:100">
      <c r="A55372" s="374"/>
      <c r="C55372" s="374"/>
      <c r="CV55372" s="376"/>
    </row>
    <row r="55373" spans="1:100">
      <c r="A55373" s="374"/>
      <c r="C55373" s="374"/>
      <c r="CV55373" s="376"/>
    </row>
    <row r="55374" spans="1:100">
      <c r="A55374" s="374"/>
      <c r="C55374" s="374"/>
      <c r="CV55374" s="376"/>
    </row>
    <row r="55375" spans="1:100">
      <c r="A55375" s="374"/>
      <c r="C55375" s="374"/>
      <c r="CV55375" s="376"/>
    </row>
    <row r="55376" spans="1:100">
      <c r="A55376" s="374"/>
      <c r="C55376" s="374"/>
      <c r="CV55376" s="376"/>
    </row>
    <row r="55377" spans="1:100">
      <c r="A55377" s="374"/>
      <c r="C55377" s="374"/>
      <c r="CV55377" s="376"/>
    </row>
    <row r="55378" spans="1:100">
      <c r="A55378" s="374"/>
      <c r="C55378" s="374"/>
      <c r="CV55378" s="376"/>
    </row>
    <row r="55379" spans="1:100">
      <c r="A55379" s="374"/>
      <c r="C55379" s="374"/>
      <c r="CV55379" s="376"/>
    </row>
    <row r="55380" spans="1:100">
      <c r="A55380" s="374"/>
      <c r="C55380" s="374"/>
      <c r="CV55380" s="376"/>
    </row>
    <row r="55381" spans="1:100">
      <c r="A55381" s="374"/>
      <c r="C55381" s="374"/>
      <c r="CV55381" s="376"/>
    </row>
    <row r="55382" spans="1:100">
      <c r="A55382" s="374"/>
      <c r="C55382" s="374"/>
      <c r="CV55382" s="376"/>
    </row>
    <row r="55383" spans="1:100">
      <c r="A55383" s="374"/>
      <c r="C55383" s="374"/>
      <c r="CV55383" s="376"/>
    </row>
    <row r="55384" spans="1:100">
      <c r="A55384" s="374"/>
      <c r="C55384" s="374"/>
      <c r="CV55384" s="376"/>
    </row>
    <row r="55385" spans="1:100">
      <c r="A55385" s="374"/>
      <c r="C55385" s="374"/>
      <c r="CV55385" s="376"/>
    </row>
    <row r="55386" spans="1:100">
      <c r="A55386" s="374"/>
      <c r="C55386" s="374"/>
      <c r="CV55386" s="376"/>
    </row>
    <row r="55387" spans="1:100">
      <c r="A55387" s="374"/>
      <c r="C55387" s="374"/>
      <c r="CV55387" s="376"/>
    </row>
    <row r="55388" spans="1:100">
      <c r="A55388" s="374"/>
      <c r="C55388" s="374"/>
      <c r="CV55388" s="376"/>
    </row>
    <row r="55389" spans="1:100">
      <c r="A55389" s="374"/>
      <c r="C55389" s="374"/>
      <c r="CV55389" s="376"/>
    </row>
    <row r="55390" spans="1:100">
      <c r="A55390" s="374"/>
      <c r="C55390" s="374"/>
      <c r="CV55390" s="376"/>
    </row>
    <row r="55391" spans="1:100">
      <c r="A55391" s="374"/>
      <c r="C55391" s="374"/>
      <c r="CV55391" s="376"/>
    </row>
    <row r="55392" spans="1:100">
      <c r="A55392" s="374"/>
      <c r="C55392" s="374"/>
      <c r="CV55392" s="376"/>
    </row>
    <row r="55393" spans="1:100">
      <c r="A55393" s="374"/>
      <c r="C55393" s="374"/>
      <c r="CV55393" s="376"/>
    </row>
    <row r="55394" spans="1:100">
      <c r="A55394" s="374"/>
      <c r="C55394" s="374"/>
      <c r="CV55394" s="376"/>
    </row>
    <row r="55395" spans="1:100">
      <c r="A55395" s="374"/>
      <c r="C55395" s="374"/>
      <c r="CV55395" s="376"/>
    </row>
    <row r="55396" spans="1:100">
      <c r="A55396" s="374"/>
      <c r="C55396" s="374"/>
      <c r="CV55396" s="376"/>
    </row>
    <row r="55397" spans="1:100">
      <c r="A55397" s="374"/>
      <c r="C55397" s="374"/>
      <c r="CV55397" s="376"/>
    </row>
    <row r="55398" spans="1:100">
      <c r="A55398" s="374"/>
      <c r="C55398" s="374"/>
      <c r="CV55398" s="376"/>
    </row>
    <row r="55399" spans="1:100">
      <c r="A55399" s="374"/>
      <c r="C55399" s="374"/>
      <c r="CV55399" s="376"/>
    </row>
    <row r="55400" spans="1:100">
      <c r="A55400" s="374"/>
      <c r="C55400" s="374"/>
      <c r="CV55400" s="376"/>
    </row>
    <row r="55401" spans="1:100">
      <c r="A55401" s="374"/>
      <c r="C55401" s="374"/>
      <c r="CV55401" s="376"/>
    </row>
    <row r="55402" spans="1:100">
      <c r="A55402" s="374"/>
      <c r="C55402" s="374"/>
      <c r="CV55402" s="376"/>
    </row>
    <row r="55403" spans="1:100">
      <c r="A55403" s="374"/>
      <c r="C55403" s="374"/>
      <c r="CV55403" s="376"/>
    </row>
    <row r="55404" spans="1:100">
      <c r="A55404" s="374"/>
      <c r="C55404" s="374"/>
      <c r="CV55404" s="376"/>
    </row>
    <row r="55405" spans="1:100">
      <c r="A55405" s="374"/>
      <c r="C55405" s="374"/>
      <c r="CV55405" s="376"/>
    </row>
    <row r="55406" spans="1:100">
      <c r="A55406" s="374"/>
      <c r="C55406" s="374"/>
      <c r="CV55406" s="376"/>
    </row>
    <row r="55407" spans="1:100">
      <c r="A55407" s="374"/>
      <c r="C55407" s="374"/>
      <c r="CV55407" s="376"/>
    </row>
    <row r="55408" spans="1:100">
      <c r="A55408" s="374"/>
      <c r="C55408" s="374"/>
      <c r="CV55408" s="376"/>
    </row>
    <row r="55409" spans="1:100">
      <c r="A55409" s="374"/>
      <c r="C55409" s="374"/>
      <c r="CV55409" s="376"/>
    </row>
    <row r="55410" spans="1:100">
      <c r="A55410" s="374"/>
      <c r="C55410" s="374"/>
      <c r="CV55410" s="376"/>
    </row>
    <row r="55411" spans="1:100">
      <c r="A55411" s="374"/>
      <c r="C55411" s="374"/>
      <c r="CV55411" s="376"/>
    </row>
    <row r="55412" spans="1:100">
      <c r="A55412" s="374"/>
      <c r="C55412" s="374"/>
      <c r="CV55412" s="376"/>
    </row>
    <row r="55413" spans="1:100">
      <c r="A55413" s="374"/>
      <c r="C55413" s="374"/>
      <c r="CV55413" s="376"/>
    </row>
    <row r="55414" spans="1:100">
      <c r="A55414" s="374"/>
      <c r="C55414" s="374"/>
      <c r="CV55414" s="376"/>
    </row>
    <row r="55415" spans="1:100">
      <c r="A55415" s="374"/>
      <c r="C55415" s="374"/>
      <c r="CV55415" s="376"/>
    </row>
    <row r="55416" spans="1:100">
      <c r="A55416" s="374"/>
      <c r="C55416" s="374"/>
      <c r="CV55416" s="376"/>
    </row>
    <row r="55417" spans="1:100">
      <c r="A55417" s="374"/>
      <c r="C55417" s="374"/>
      <c r="CV55417" s="376"/>
    </row>
    <row r="55418" spans="1:100">
      <c r="A55418" s="374"/>
      <c r="C55418" s="374"/>
      <c r="CV55418" s="376"/>
    </row>
    <row r="55419" spans="1:100">
      <c r="A55419" s="374"/>
      <c r="C55419" s="374"/>
      <c r="CV55419" s="376"/>
    </row>
    <row r="55420" spans="1:100">
      <c r="A55420" s="374"/>
      <c r="C55420" s="374"/>
      <c r="CV55420" s="376"/>
    </row>
    <row r="55421" spans="1:100">
      <c r="A55421" s="374"/>
      <c r="C55421" s="374"/>
      <c r="CV55421" s="376"/>
    </row>
    <row r="55422" spans="1:100">
      <c r="A55422" s="374"/>
      <c r="C55422" s="374"/>
      <c r="CV55422" s="376"/>
    </row>
    <row r="55423" spans="1:100">
      <c r="A55423" s="374"/>
      <c r="C55423" s="374"/>
      <c r="CV55423" s="376"/>
    </row>
    <row r="55424" spans="1:100">
      <c r="A55424" s="374"/>
      <c r="C55424" s="374"/>
      <c r="CV55424" s="376"/>
    </row>
    <row r="55425" spans="1:100">
      <c r="A55425" s="374"/>
      <c r="C55425" s="374"/>
      <c r="CV55425" s="376"/>
    </row>
    <row r="55426" spans="1:100">
      <c r="A55426" s="374"/>
      <c r="C55426" s="374"/>
      <c r="CV55426" s="376"/>
    </row>
    <row r="55427" spans="1:100">
      <c r="A55427" s="374"/>
      <c r="C55427" s="374"/>
      <c r="CV55427" s="376"/>
    </row>
    <row r="55428" spans="1:100">
      <c r="A55428" s="374"/>
      <c r="C55428" s="374"/>
      <c r="CV55428" s="376"/>
    </row>
    <row r="55429" spans="1:100">
      <c r="A55429" s="374"/>
      <c r="C55429" s="374"/>
      <c r="CV55429" s="376"/>
    </row>
    <row r="55430" spans="1:100">
      <c r="A55430" s="374"/>
      <c r="C55430" s="374"/>
      <c r="CV55430" s="376"/>
    </row>
    <row r="55431" spans="1:100">
      <c r="A55431" s="374"/>
      <c r="C55431" s="374"/>
      <c r="CV55431" s="376"/>
    </row>
    <row r="55432" spans="1:100">
      <c r="A55432" s="374"/>
      <c r="C55432" s="374"/>
      <c r="CV55432" s="376"/>
    </row>
    <row r="55433" spans="1:100">
      <c r="A55433" s="374"/>
      <c r="C55433" s="374"/>
      <c r="CV55433" s="376"/>
    </row>
    <row r="55434" spans="1:100">
      <c r="A55434" s="374"/>
      <c r="C55434" s="374"/>
      <c r="CV55434" s="376"/>
    </row>
    <row r="55435" spans="1:100">
      <c r="A55435" s="374"/>
      <c r="C55435" s="374"/>
      <c r="CV55435" s="376"/>
    </row>
    <row r="55436" spans="1:100">
      <c r="A55436" s="374"/>
      <c r="C55436" s="374"/>
      <c r="CV55436" s="376"/>
    </row>
    <row r="55437" spans="1:100">
      <c r="A55437" s="374"/>
      <c r="C55437" s="374"/>
      <c r="CV55437" s="376"/>
    </row>
    <row r="55438" spans="1:100">
      <c r="A55438" s="374"/>
      <c r="C55438" s="374"/>
      <c r="CV55438" s="376"/>
    </row>
    <row r="55439" spans="1:100">
      <c r="A55439" s="374"/>
      <c r="C55439" s="374"/>
      <c r="CV55439" s="376"/>
    </row>
    <row r="55440" spans="1:100">
      <c r="A55440" s="374"/>
      <c r="C55440" s="374"/>
      <c r="CV55440" s="376"/>
    </row>
    <row r="55441" spans="1:100">
      <c r="A55441" s="374"/>
      <c r="C55441" s="374"/>
      <c r="CV55441" s="376"/>
    </row>
    <row r="55442" spans="1:100">
      <c r="A55442" s="374"/>
      <c r="C55442" s="374"/>
      <c r="CV55442" s="376"/>
    </row>
    <row r="55443" spans="1:100">
      <c r="A55443" s="374"/>
      <c r="C55443" s="374"/>
      <c r="CV55443" s="376"/>
    </row>
    <row r="55444" spans="1:100">
      <c r="A55444" s="374"/>
      <c r="C55444" s="374"/>
      <c r="CV55444" s="376"/>
    </row>
    <row r="55445" spans="1:100">
      <c r="A55445" s="374"/>
      <c r="C55445" s="374"/>
      <c r="CV55445" s="376"/>
    </row>
    <row r="55446" spans="1:100">
      <c r="A55446" s="374"/>
      <c r="C55446" s="374"/>
      <c r="CV55446" s="376"/>
    </row>
    <row r="55447" spans="1:100">
      <c r="A55447" s="374"/>
      <c r="C55447" s="374"/>
      <c r="CV55447" s="376"/>
    </row>
    <row r="55448" spans="1:100">
      <c r="A55448" s="374"/>
      <c r="C55448" s="374"/>
      <c r="CV55448" s="376"/>
    </row>
    <row r="55449" spans="1:100">
      <c r="A55449" s="374"/>
      <c r="C55449" s="374"/>
      <c r="CV55449" s="376"/>
    </row>
    <row r="55450" spans="1:100">
      <c r="A55450" s="374"/>
      <c r="C55450" s="374"/>
      <c r="CV55450" s="376"/>
    </row>
    <row r="55451" spans="1:100">
      <c r="A55451" s="374"/>
      <c r="C55451" s="374"/>
      <c r="CV55451" s="376"/>
    </row>
    <row r="55452" spans="1:100">
      <c r="A55452" s="374"/>
      <c r="C55452" s="374"/>
      <c r="CV55452" s="376"/>
    </row>
    <row r="55453" spans="1:100">
      <c r="A55453" s="374"/>
      <c r="C55453" s="374"/>
      <c r="CV55453" s="376"/>
    </row>
    <row r="55454" spans="1:100">
      <c r="A55454" s="374"/>
      <c r="C55454" s="374"/>
      <c r="CV55454" s="376"/>
    </row>
    <row r="55455" spans="1:100">
      <c r="A55455" s="374"/>
      <c r="C55455" s="374"/>
      <c r="CV55455" s="376"/>
    </row>
    <row r="55456" spans="1:100">
      <c r="A55456" s="374"/>
      <c r="C55456" s="374"/>
      <c r="CV55456" s="376"/>
    </row>
    <row r="55457" spans="1:100">
      <c r="A55457" s="374"/>
      <c r="C55457" s="374"/>
      <c r="CV55457" s="376"/>
    </row>
    <row r="55458" spans="1:100">
      <c r="A55458" s="374"/>
      <c r="C55458" s="374"/>
      <c r="CV55458" s="376"/>
    </row>
    <row r="55459" spans="1:100">
      <c r="A55459" s="374"/>
      <c r="C55459" s="374"/>
      <c r="CV55459" s="376"/>
    </row>
    <row r="55460" spans="1:100">
      <c r="A55460" s="374"/>
      <c r="C55460" s="374"/>
      <c r="CV55460" s="376"/>
    </row>
    <row r="55461" spans="1:100">
      <c r="A55461" s="374"/>
      <c r="C55461" s="374"/>
      <c r="CV55461" s="376"/>
    </row>
    <row r="55462" spans="1:100">
      <c r="A55462" s="374"/>
      <c r="C55462" s="374"/>
      <c r="CV55462" s="376"/>
    </row>
    <row r="55463" spans="1:100">
      <c r="A55463" s="374"/>
      <c r="C55463" s="374"/>
      <c r="CV55463" s="376"/>
    </row>
    <row r="55464" spans="1:100">
      <c r="A55464" s="374"/>
      <c r="C55464" s="374"/>
      <c r="CV55464" s="376"/>
    </row>
    <row r="55465" spans="1:100">
      <c r="A55465" s="374"/>
      <c r="C55465" s="374"/>
      <c r="CV55465" s="376"/>
    </row>
    <row r="55466" spans="1:100">
      <c r="A55466" s="374"/>
      <c r="C55466" s="374"/>
      <c r="CV55466" s="376"/>
    </row>
    <row r="55467" spans="1:100">
      <c r="A55467" s="374"/>
      <c r="C55467" s="374"/>
      <c r="CV55467" s="376"/>
    </row>
    <row r="55468" spans="1:100">
      <c r="A55468" s="374"/>
      <c r="C55468" s="374"/>
      <c r="CV55468" s="376"/>
    </row>
    <row r="55469" spans="1:100">
      <c r="A55469" s="374"/>
      <c r="C55469" s="374"/>
      <c r="CV55469" s="376"/>
    </row>
    <row r="55470" spans="1:100">
      <c r="A55470" s="374"/>
      <c r="C55470" s="374"/>
      <c r="CV55470" s="376"/>
    </row>
    <row r="55471" spans="1:100">
      <c r="A55471" s="374"/>
      <c r="C55471" s="374"/>
      <c r="CV55471" s="376"/>
    </row>
    <row r="55472" spans="1:100">
      <c r="A55472" s="374"/>
      <c r="C55472" s="374"/>
      <c r="CV55472" s="376"/>
    </row>
    <row r="55473" spans="1:100">
      <c r="A55473" s="374"/>
      <c r="C55473" s="374"/>
      <c r="CV55473" s="376"/>
    </row>
    <row r="55474" spans="1:100">
      <c r="A55474" s="374"/>
      <c r="C55474" s="374"/>
      <c r="CV55474" s="376"/>
    </row>
    <row r="55475" spans="1:100">
      <c r="A55475" s="374"/>
      <c r="C55475" s="374"/>
      <c r="CV55475" s="376"/>
    </row>
    <row r="55476" spans="1:100">
      <c r="A55476" s="374"/>
      <c r="C55476" s="374"/>
      <c r="CV55476" s="376"/>
    </row>
    <row r="55477" spans="1:100">
      <c r="A55477" s="374"/>
      <c r="C55477" s="374"/>
      <c r="CV55477" s="376"/>
    </row>
    <row r="55478" spans="1:100">
      <c r="A55478" s="374"/>
      <c r="C55478" s="374"/>
      <c r="CV55478" s="376"/>
    </row>
    <row r="55479" spans="1:100">
      <c r="A55479" s="374"/>
      <c r="C55479" s="374"/>
      <c r="CV55479" s="376"/>
    </row>
    <row r="55480" spans="1:100">
      <c r="A55480" s="374"/>
      <c r="C55480" s="374"/>
      <c r="CV55480" s="376"/>
    </row>
    <row r="55481" spans="1:100">
      <c r="A55481" s="374"/>
      <c r="C55481" s="374"/>
      <c r="CV55481" s="376"/>
    </row>
    <row r="55482" spans="1:100">
      <c r="A55482" s="374"/>
      <c r="C55482" s="374"/>
      <c r="CV55482" s="376"/>
    </row>
    <row r="55483" spans="1:100">
      <c r="A55483" s="374"/>
      <c r="C55483" s="374"/>
      <c r="CV55483" s="376"/>
    </row>
    <row r="55484" spans="1:100">
      <c r="A55484" s="374"/>
      <c r="C55484" s="374"/>
      <c r="CV55484" s="376"/>
    </row>
    <row r="55485" spans="1:100">
      <c r="A55485" s="374"/>
      <c r="C55485" s="374"/>
      <c r="CV55485" s="376"/>
    </row>
    <row r="55486" spans="1:100">
      <c r="A55486" s="374"/>
      <c r="C55486" s="374"/>
      <c r="CV55486" s="376"/>
    </row>
    <row r="55487" spans="1:100">
      <c r="A55487" s="374"/>
      <c r="C55487" s="374"/>
      <c r="CV55487" s="376"/>
    </row>
    <row r="55488" spans="1:100">
      <c r="A55488" s="374"/>
      <c r="C55488" s="374"/>
      <c r="CV55488" s="376"/>
    </row>
    <row r="55489" spans="1:100">
      <c r="A55489" s="374"/>
      <c r="C55489" s="374"/>
      <c r="CV55489" s="376"/>
    </row>
    <row r="55490" spans="1:100">
      <c r="A55490" s="374"/>
      <c r="C55490" s="374"/>
      <c r="CV55490" s="376"/>
    </row>
    <row r="55491" spans="1:100">
      <c r="A55491" s="374"/>
      <c r="C55491" s="374"/>
      <c r="CV55491" s="376"/>
    </row>
    <row r="55492" spans="1:100">
      <c r="A55492" s="374"/>
      <c r="C55492" s="374"/>
      <c r="CV55492" s="376"/>
    </row>
    <row r="55493" spans="1:100">
      <c r="A55493" s="374"/>
      <c r="C55493" s="374"/>
      <c r="CV55493" s="376"/>
    </row>
    <row r="55494" spans="1:100">
      <c r="A55494" s="374"/>
      <c r="C55494" s="374"/>
      <c r="CV55494" s="376"/>
    </row>
    <row r="55495" spans="1:100">
      <c r="A55495" s="374"/>
      <c r="C55495" s="374"/>
      <c r="CV55495" s="376"/>
    </row>
    <row r="55496" spans="1:100">
      <c r="A55496" s="374"/>
      <c r="C55496" s="374"/>
      <c r="CV55496" s="376"/>
    </row>
    <row r="55497" spans="1:100">
      <c r="A55497" s="374"/>
      <c r="C55497" s="374"/>
      <c r="CV55497" s="376"/>
    </row>
    <row r="55498" spans="1:100">
      <c r="A55498" s="374"/>
      <c r="C55498" s="374"/>
      <c r="CV55498" s="376"/>
    </row>
    <row r="55499" spans="1:100">
      <c r="A55499" s="374"/>
      <c r="C55499" s="374"/>
      <c r="CV55499" s="376"/>
    </row>
    <row r="55500" spans="1:100">
      <c r="A55500" s="374"/>
      <c r="C55500" s="374"/>
      <c r="CV55500" s="376"/>
    </row>
    <row r="55501" spans="1:100">
      <c r="A55501" s="374"/>
      <c r="C55501" s="374"/>
      <c r="CV55501" s="376"/>
    </row>
    <row r="55502" spans="1:100">
      <c r="A55502" s="374"/>
      <c r="C55502" s="374"/>
      <c r="CV55502" s="376"/>
    </row>
    <row r="55503" spans="1:100">
      <c r="A55503" s="374"/>
      <c r="C55503" s="374"/>
      <c r="CV55503" s="376"/>
    </row>
    <row r="55504" spans="1:100">
      <c r="A55504" s="374"/>
      <c r="C55504" s="374"/>
      <c r="CV55504" s="376"/>
    </row>
    <row r="55505" spans="1:100">
      <c r="A55505" s="374"/>
      <c r="C55505" s="374"/>
      <c r="CV55505" s="376"/>
    </row>
    <row r="55506" spans="1:100">
      <c r="A55506" s="374"/>
      <c r="C55506" s="374"/>
      <c r="CV55506" s="376"/>
    </row>
    <row r="55507" spans="1:100">
      <c r="A55507" s="374"/>
      <c r="C55507" s="374"/>
      <c r="CV55507" s="376"/>
    </row>
    <row r="55508" spans="1:100">
      <c r="A55508" s="374"/>
      <c r="C55508" s="374"/>
      <c r="CV55508" s="376"/>
    </row>
    <row r="55509" spans="1:100">
      <c r="A55509" s="374"/>
      <c r="C55509" s="374"/>
      <c r="CV55509" s="376"/>
    </row>
    <row r="55510" spans="1:100">
      <c r="A55510" s="374"/>
      <c r="C55510" s="374"/>
      <c r="CV55510" s="376"/>
    </row>
    <row r="55511" spans="1:100">
      <c r="A55511" s="374"/>
      <c r="C55511" s="374"/>
      <c r="CV55511" s="376"/>
    </row>
    <row r="55512" spans="1:100">
      <c r="A55512" s="374"/>
      <c r="C55512" s="374"/>
      <c r="CV55512" s="376"/>
    </row>
    <row r="55513" spans="1:100">
      <c r="A55513" s="374"/>
      <c r="C55513" s="374"/>
      <c r="CV55513" s="376"/>
    </row>
    <row r="55514" spans="1:100">
      <c r="A55514" s="374"/>
      <c r="C55514" s="374"/>
      <c r="CV55514" s="376"/>
    </row>
    <row r="55515" spans="1:100">
      <c r="A55515" s="374"/>
      <c r="C55515" s="374"/>
      <c r="CV55515" s="376"/>
    </row>
    <row r="55516" spans="1:100">
      <c r="A55516" s="374"/>
      <c r="C55516" s="374"/>
      <c r="CV55516" s="376"/>
    </row>
    <row r="55517" spans="1:100">
      <c r="A55517" s="374"/>
      <c r="C55517" s="374"/>
      <c r="CV55517" s="376"/>
    </row>
    <row r="55518" spans="1:100">
      <c r="A55518" s="374"/>
      <c r="C55518" s="374"/>
      <c r="CV55518" s="376"/>
    </row>
    <row r="55519" spans="1:100">
      <c r="A55519" s="374"/>
      <c r="C55519" s="374"/>
      <c r="CV55519" s="376"/>
    </row>
    <row r="55520" spans="1:100">
      <c r="A55520" s="374"/>
      <c r="C55520" s="374"/>
      <c r="CV55520" s="376"/>
    </row>
    <row r="55521" spans="1:100">
      <c r="A55521" s="374"/>
      <c r="C55521" s="374"/>
      <c r="CV55521" s="376"/>
    </row>
    <row r="55522" spans="1:100">
      <c r="A55522" s="374"/>
      <c r="C55522" s="374"/>
      <c r="CV55522" s="376"/>
    </row>
    <row r="55523" spans="1:100">
      <c r="A55523" s="374"/>
      <c r="C55523" s="374"/>
      <c r="CV55523" s="376"/>
    </row>
    <row r="55524" spans="1:100">
      <c r="A55524" s="374"/>
      <c r="C55524" s="374"/>
      <c r="CV55524" s="376"/>
    </row>
    <row r="55525" spans="1:100">
      <c r="A55525" s="374"/>
      <c r="C55525" s="374"/>
      <c r="CV55525" s="376"/>
    </row>
    <row r="55526" spans="1:100">
      <c r="A55526" s="374"/>
      <c r="C55526" s="374"/>
      <c r="CV55526" s="376"/>
    </row>
    <row r="55527" spans="1:100">
      <c r="A55527" s="374"/>
      <c r="C55527" s="374"/>
      <c r="CV55527" s="376"/>
    </row>
    <row r="55528" spans="1:100">
      <c r="A55528" s="374"/>
      <c r="C55528" s="374"/>
      <c r="CV55528" s="376"/>
    </row>
    <row r="55529" spans="1:100">
      <c r="A55529" s="374"/>
      <c r="C55529" s="374"/>
      <c r="CV55529" s="376"/>
    </row>
    <row r="55530" spans="1:100">
      <c r="A55530" s="374"/>
      <c r="C55530" s="374"/>
      <c r="CV55530" s="376"/>
    </row>
    <row r="55531" spans="1:100">
      <c r="A55531" s="374"/>
      <c r="C55531" s="374"/>
      <c r="CV55531" s="376"/>
    </row>
    <row r="55532" spans="1:100">
      <c r="A55532" s="374"/>
      <c r="C55532" s="374"/>
      <c r="CV55532" s="376"/>
    </row>
    <row r="55533" spans="1:100">
      <c r="A55533" s="374"/>
      <c r="C55533" s="374"/>
      <c r="CV55533" s="376"/>
    </row>
    <row r="55534" spans="1:100">
      <c r="A55534" s="374"/>
      <c r="C55534" s="374"/>
      <c r="CV55534" s="376"/>
    </row>
    <row r="55535" spans="1:100">
      <c r="A55535" s="374"/>
      <c r="C55535" s="374"/>
      <c r="CV55535" s="376"/>
    </row>
    <row r="55536" spans="1:100">
      <c r="A55536" s="374"/>
      <c r="C55536" s="374"/>
      <c r="CV55536" s="376"/>
    </row>
    <row r="55537" spans="1:100">
      <c r="A55537" s="374"/>
      <c r="C55537" s="374"/>
      <c r="CV55537" s="376"/>
    </row>
    <row r="55538" spans="1:100">
      <c r="A55538" s="374"/>
      <c r="C55538" s="374"/>
      <c r="CV55538" s="376"/>
    </row>
    <row r="55539" spans="1:100">
      <c r="A55539" s="374"/>
      <c r="C55539" s="374"/>
      <c r="CV55539" s="376"/>
    </row>
    <row r="55540" spans="1:100">
      <c r="A55540" s="374"/>
      <c r="C55540" s="374"/>
      <c r="CV55540" s="376"/>
    </row>
    <row r="55541" spans="1:100">
      <c r="A55541" s="374"/>
      <c r="C55541" s="374"/>
      <c r="CV55541" s="376"/>
    </row>
    <row r="55542" spans="1:100">
      <c r="A55542" s="374"/>
      <c r="C55542" s="374"/>
      <c r="CV55542" s="376"/>
    </row>
    <row r="55543" spans="1:100">
      <c r="A55543" s="374"/>
      <c r="C55543" s="374"/>
      <c r="CV55543" s="376"/>
    </row>
    <row r="55544" spans="1:100">
      <c r="A55544" s="374"/>
      <c r="C55544" s="374"/>
      <c r="CV55544" s="376"/>
    </row>
    <row r="55545" spans="1:100">
      <c r="A55545" s="374"/>
      <c r="C55545" s="374"/>
      <c r="CV55545" s="376"/>
    </row>
    <row r="55546" spans="1:100">
      <c r="A55546" s="374"/>
      <c r="C55546" s="374"/>
      <c r="CV55546" s="376"/>
    </row>
    <row r="55547" spans="1:100">
      <c r="A55547" s="374"/>
      <c r="C55547" s="374"/>
      <c r="CV55547" s="376"/>
    </row>
    <row r="55548" spans="1:100">
      <c r="A55548" s="374"/>
      <c r="C55548" s="374"/>
      <c r="CV55548" s="376"/>
    </row>
    <row r="55549" spans="1:100">
      <c r="A55549" s="374"/>
      <c r="C55549" s="374"/>
      <c r="CV55549" s="376"/>
    </row>
    <row r="55550" spans="1:100">
      <c r="A55550" s="374"/>
      <c r="C55550" s="374"/>
      <c r="CV55550" s="376"/>
    </row>
    <row r="55551" spans="1:100">
      <c r="A55551" s="374"/>
      <c r="C55551" s="374"/>
      <c r="CV55551" s="376"/>
    </row>
    <row r="55552" spans="1:100">
      <c r="A55552" s="374"/>
      <c r="C55552" s="374"/>
      <c r="CV55552" s="376"/>
    </row>
    <row r="55553" spans="1:100">
      <c r="A55553" s="374"/>
      <c r="C55553" s="374"/>
      <c r="CV55553" s="376"/>
    </row>
    <row r="55554" spans="1:100">
      <c r="A55554" s="374"/>
      <c r="C55554" s="374"/>
      <c r="CV55554" s="376"/>
    </row>
    <row r="55555" spans="1:100">
      <c r="A55555" s="374"/>
      <c r="C55555" s="374"/>
      <c r="CV55555" s="376"/>
    </row>
    <row r="55556" spans="1:100">
      <c r="A55556" s="374"/>
      <c r="C55556" s="374"/>
      <c r="CV55556" s="376"/>
    </row>
    <row r="55557" spans="1:100">
      <c r="A55557" s="374"/>
      <c r="C55557" s="374"/>
      <c r="CV55557" s="376"/>
    </row>
    <row r="55558" spans="1:100">
      <c r="A55558" s="374"/>
      <c r="C55558" s="374"/>
      <c r="CV55558" s="376"/>
    </row>
    <row r="55559" spans="1:100">
      <c r="A55559" s="374"/>
      <c r="C55559" s="374"/>
      <c r="CV55559" s="376"/>
    </row>
    <row r="55560" spans="1:100">
      <c r="A55560" s="374"/>
      <c r="C55560" s="374"/>
      <c r="CV55560" s="376"/>
    </row>
    <row r="55561" spans="1:100">
      <c r="A55561" s="374"/>
      <c r="C55561" s="374"/>
      <c r="CV55561" s="376"/>
    </row>
    <row r="55562" spans="1:100">
      <c r="A55562" s="374"/>
      <c r="C55562" s="374"/>
      <c r="CV55562" s="376"/>
    </row>
    <row r="55563" spans="1:100">
      <c r="A55563" s="374"/>
      <c r="C55563" s="374"/>
      <c r="CV55563" s="376"/>
    </row>
    <row r="55564" spans="1:100">
      <c r="A55564" s="374"/>
      <c r="C55564" s="374"/>
      <c r="CV55564" s="376"/>
    </row>
    <row r="55565" spans="1:100">
      <c r="A55565" s="374"/>
      <c r="C55565" s="374"/>
      <c r="CV55565" s="376"/>
    </row>
    <row r="55566" spans="1:100">
      <c r="A55566" s="374"/>
      <c r="C55566" s="374"/>
      <c r="CV55566" s="376"/>
    </row>
    <row r="55567" spans="1:100">
      <c r="A55567" s="374"/>
      <c r="C55567" s="374"/>
      <c r="CV55567" s="376"/>
    </row>
    <row r="55568" spans="1:100">
      <c r="A55568" s="374"/>
      <c r="C55568" s="374"/>
      <c r="CV55568" s="376"/>
    </row>
    <row r="55569" spans="1:100">
      <c r="A55569" s="374"/>
      <c r="C55569" s="374"/>
      <c r="CV55569" s="376"/>
    </row>
    <row r="55570" spans="1:100">
      <c r="A55570" s="374"/>
      <c r="C55570" s="374"/>
      <c r="CV55570" s="376"/>
    </row>
    <row r="55571" spans="1:100">
      <c r="A55571" s="374"/>
      <c r="C55571" s="374"/>
      <c r="CV55571" s="376"/>
    </row>
    <row r="55572" spans="1:100">
      <c r="A55572" s="374"/>
      <c r="C55572" s="374"/>
      <c r="CV55572" s="376"/>
    </row>
    <row r="55573" spans="1:100">
      <c r="A55573" s="374"/>
      <c r="C55573" s="374"/>
      <c r="CV55573" s="376"/>
    </row>
    <row r="55574" spans="1:100">
      <c r="A55574" s="374"/>
      <c r="C55574" s="374"/>
      <c r="CV55574" s="376"/>
    </row>
    <row r="55575" spans="1:100">
      <c r="A55575" s="374"/>
      <c r="C55575" s="374"/>
      <c r="CV55575" s="376"/>
    </row>
    <row r="55576" spans="1:100">
      <c r="A55576" s="374"/>
      <c r="C55576" s="374"/>
      <c r="CV55576" s="376"/>
    </row>
    <row r="55577" spans="1:100">
      <c r="A55577" s="374"/>
      <c r="C55577" s="374"/>
      <c r="CV55577" s="376"/>
    </row>
    <row r="55578" spans="1:100">
      <c r="A55578" s="374"/>
      <c r="C55578" s="374"/>
      <c r="CV55578" s="376"/>
    </row>
    <row r="55579" spans="1:100">
      <c r="A55579" s="374"/>
      <c r="C55579" s="374"/>
      <c r="CV55579" s="376"/>
    </row>
    <row r="55580" spans="1:100">
      <c r="A55580" s="374"/>
      <c r="C55580" s="374"/>
      <c r="CV55580" s="376"/>
    </row>
    <row r="55581" spans="1:100">
      <c r="A55581" s="374"/>
      <c r="C55581" s="374"/>
      <c r="CV55581" s="376"/>
    </row>
    <row r="55582" spans="1:100">
      <c r="A55582" s="374"/>
      <c r="C55582" s="374"/>
      <c r="CV55582" s="376"/>
    </row>
    <row r="55583" spans="1:100">
      <c r="A55583" s="374"/>
      <c r="C55583" s="374"/>
      <c r="CV55583" s="376"/>
    </row>
    <row r="55584" spans="1:100">
      <c r="A55584" s="374"/>
      <c r="C55584" s="374"/>
      <c r="CV55584" s="376"/>
    </row>
    <row r="55585" spans="1:100">
      <c r="A55585" s="374"/>
      <c r="C55585" s="374"/>
      <c r="CV55585" s="376"/>
    </row>
    <row r="55586" spans="1:100">
      <c r="A55586" s="374"/>
      <c r="C55586" s="374"/>
      <c r="CV55586" s="376"/>
    </row>
    <row r="55587" spans="1:100">
      <c r="A55587" s="374"/>
      <c r="C55587" s="374"/>
      <c r="CV55587" s="376"/>
    </row>
    <row r="55588" spans="1:100">
      <c r="A55588" s="374"/>
      <c r="C55588" s="374"/>
      <c r="CV55588" s="376"/>
    </row>
    <row r="55589" spans="1:100">
      <c r="A55589" s="374"/>
      <c r="C55589" s="374"/>
      <c r="CV55589" s="376"/>
    </row>
    <row r="55590" spans="1:100">
      <c r="A55590" s="374"/>
      <c r="C55590" s="374"/>
      <c r="CV55590" s="376"/>
    </row>
    <row r="55591" spans="1:100">
      <c r="A55591" s="374"/>
      <c r="C55591" s="374"/>
      <c r="CV55591" s="376"/>
    </row>
    <row r="55592" spans="1:100">
      <c r="A55592" s="374"/>
      <c r="C55592" s="374"/>
      <c r="CV55592" s="376"/>
    </row>
    <row r="55593" spans="1:100">
      <c r="A55593" s="374"/>
      <c r="C55593" s="374"/>
      <c r="CV55593" s="376"/>
    </row>
    <row r="55594" spans="1:100">
      <c r="A55594" s="374"/>
      <c r="C55594" s="374"/>
      <c r="CV55594" s="376"/>
    </row>
    <row r="55595" spans="1:100">
      <c r="A55595" s="374"/>
      <c r="C55595" s="374"/>
      <c r="CV55595" s="376"/>
    </row>
    <row r="55596" spans="1:100">
      <c r="A55596" s="374"/>
      <c r="C55596" s="374"/>
      <c r="CV55596" s="376"/>
    </row>
    <row r="55597" spans="1:100">
      <c r="A55597" s="374"/>
      <c r="C55597" s="374"/>
      <c r="CV55597" s="376"/>
    </row>
    <row r="55598" spans="1:100">
      <c r="A55598" s="374"/>
      <c r="C55598" s="374"/>
      <c r="CV55598" s="376"/>
    </row>
    <row r="55599" spans="1:100">
      <c r="A55599" s="374"/>
      <c r="C55599" s="374"/>
      <c r="CV55599" s="376"/>
    </row>
    <row r="55600" spans="1:100">
      <c r="A55600" s="374"/>
      <c r="C55600" s="374"/>
      <c r="CV55600" s="376"/>
    </row>
    <row r="55601" spans="1:100">
      <c r="A55601" s="374"/>
      <c r="C55601" s="374"/>
      <c r="CV55601" s="376"/>
    </row>
    <row r="55602" spans="1:100">
      <c r="A55602" s="374"/>
      <c r="C55602" s="374"/>
      <c r="CV55602" s="376"/>
    </row>
    <row r="55603" spans="1:100">
      <c r="A55603" s="374"/>
      <c r="C55603" s="374"/>
      <c r="CV55603" s="376"/>
    </row>
    <row r="55604" spans="1:100">
      <c r="A55604" s="374"/>
      <c r="C55604" s="374"/>
      <c r="CV55604" s="376"/>
    </row>
    <row r="55605" spans="1:100">
      <c r="A55605" s="374"/>
      <c r="C55605" s="374"/>
      <c r="CV55605" s="376"/>
    </row>
    <row r="55606" spans="1:100">
      <c r="A55606" s="374"/>
      <c r="C55606" s="374"/>
      <c r="CV55606" s="376"/>
    </row>
    <row r="55607" spans="1:100">
      <c r="A55607" s="374"/>
      <c r="C55607" s="374"/>
      <c r="CV55607" s="376"/>
    </row>
    <row r="55608" spans="1:100">
      <c r="A55608" s="374"/>
      <c r="C55608" s="374"/>
      <c r="CV55608" s="376"/>
    </row>
    <row r="55609" spans="1:100">
      <c r="A55609" s="374"/>
      <c r="C55609" s="374"/>
      <c r="CV55609" s="376"/>
    </row>
    <row r="55610" spans="1:100">
      <c r="A55610" s="374"/>
      <c r="C55610" s="374"/>
      <c r="CV55610" s="376"/>
    </row>
    <row r="55611" spans="1:100">
      <c r="A55611" s="374"/>
      <c r="C55611" s="374"/>
      <c r="CV55611" s="376"/>
    </row>
    <row r="55612" spans="1:100">
      <c r="A55612" s="374"/>
      <c r="C55612" s="374"/>
      <c r="CV55612" s="376"/>
    </row>
    <row r="55613" spans="1:100">
      <c r="A55613" s="374"/>
      <c r="C55613" s="374"/>
      <c r="CV55613" s="376"/>
    </row>
    <row r="55614" spans="1:100">
      <c r="A55614" s="374"/>
      <c r="C55614" s="374"/>
      <c r="CV55614" s="376"/>
    </row>
    <row r="55615" spans="1:100">
      <c r="A55615" s="374"/>
      <c r="C55615" s="374"/>
      <c r="CV55615" s="376"/>
    </row>
    <row r="55616" spans="1:100">
      <c r="A55616" s="374"/>
      <c r="C55616" s="374"/>
      <c r="CV55616" s="376"/>
    </row>
    <row r="55617" spans="1:100">
      <c r="A55617" s="374"/>
      <c r="C55617" s="374"/>
      <c r="CV55617" s="376"/>
    </row>
    <row r="55618" spans="1:100">
      <c r="A55618" s="374"/>
      <c r="C55618" s="374"/>
      <c r="CV55618" s="376"/>
    </row>
    <row r="55619" spans="1:100">
      <c r="A55619" s="374"/>
      <c r="C55619" s="374"/>
      <c r="CV55619" s="376"/>
    </row>
    <row r="55620" spans="1:100">
      <c r="A55620" s="374"/>
      <c r="C55620" s="374"/>
      <c r="CV55620" s="376"/>
    </row>
    <row r="55621" spans="1:100">
      <c r="A55621" s="374"/>
      <c r="C55621" s="374"/>
      <c r="CV55621" s="376"/>
    </row>
    <row r="55622" spans="1:100">
      <c r="A55622" s="374"/>
      <c r="C55622" s="374"/>
      <c r="CV55622" s="376"/>
    </row>
    <row r="55623" spans="1:100">
      <c r="A55623" s="374"/>
      <c r="C55623" s="374"/>
      <c r="CV55623" s="376"/>
    </row>
    <row r="55624" spans="1:100">
      <c r="A55624" s="374"/>
      <c r="C55624" s="374"/>
      <c r="CV55624" s="376"/>
    </row>
    <row r="55625" spans="1:100">
      <c r="A55625" s="374"/>
      <c r="C55625" s="374"/>
      <c r="CV55625" s="376"/>
    </row>
    <row r="55626" spans="1:100">
      <c r="A55626" s="374"/>
      <c r="C55626" s="374"/>
      <c r="CV55626" s="376"/>
    </row>
    <row r="55627" spans="1:100">
      <c r="A55627" s="374"/>
      <c r="C55627" s="374"/>
      <c r="CV55627" s="376"/>
    </row>
    <row r="55628" spans="1:100">
      <c r="A55628" s="374"/>
      <c r="C55628" s="374"/>
      <c r="CV55628" s="376"/>
    </row>
    <row r="55629" spans="1:100">
      <c r="A55629" s="374"/>
      <c r="C55629" s="374"/>
      <c r="CV55629" s="376"/>
    </row>
    <row r="55630" spans="1:100">
      <c r="A55630" s="374"/>
      <c r="C55630" s="374"/>
      <c r="CV55630" s="376"/>
    </row>
    <row r="55631" spans="1:100">
      <c r="A55631" s="374"/>
      <c r="C55631" s="374"/>
      <c r="CV55631" s="376"/>
    </row>
    <row r="55632" spans="1:100">
      <c r="A55632" s="374"/>
      <c r="C55632" s="374"/>
      <c r="CV55632" s="376"/>
    </row>
    <row r="55633" spans="1:100">
      <c r="A55633" s="374"/>
      <c r="C55633" s="374"/>
      <c r="CV55633" s="376"/>
    </row>
    <row r="55634" spans="1:100">
      <c r="A55634" s="374"/>
      <c r="C55634" s="374"/>
      <c r="CV55634" s="376"/>
    </row>
    <row r="55635" spans="1:100">
      <c r="A55635" s="374"/>
      <c r="C55635" s="374"/>
      <c r="CV55635" s="376"/>
    </row>
    <row r="55636" spans="1:100">
      <c r="A55636" s="374"/>
      <c r="C55636" s="374"/>
      <c r="CV55636" s="376"/>
    </row>
    <row r="55637" spans="1:100">
      <c r="A55637" s="374"/>
      <c r="C55637" s="374"/>
      <c r="CV55637" s="376"/>
    </row>
    <row r="55638" spans="1:100">
      <c r="A55638" s="374"/>
      <c r="C55638" s="374"/>
      <c r="CV55638" s="376"/>
    </row>
    <row r="55639" spans="1:100">
      <c r="A55639" s="374"/>
      <c r="C55639" s="374"/>
      <c r="CV55639" s="376"/>
    </row>
    <row r="55640" spans="1:100">
      <c r="A55640" s="374"/>
      <c r="C55640" s="374"/>
      <c r="CV55640" s="376"/>
    </row>
    <row r="55641" spans="1:100">
      <c r="A55641" s="374"/>
      <c r="C55641" s="374"/>
      <c r="CV55641" s="376"/>
    </row>
    <row r="55642" spans="1:100">
      <c r="A55642" s="374"/>
      <c r="C55642" s="374"/>
      <c r="CV55642" s="376"/>
    </row>
    <row r="55643" spans="1:100">
      <c r="A55643" s="374"/>
      <c r="C55643" s="374"/>
      <c r="CV55643" s="376"/>
    </row>
    <row r="55644" spans="1:100">
      <c r="A55644" s="374"/>
      <c r="C55644" s="374"/>
      <c r="CV55644" s="376"/>
    </row>
    <row r="55645" spans="1:100">
      <c r="A55645" s="374"/>
      <c r="C55645" s="374"/>
      <c r="CV55645" s="376"/>
    </row>
    <row r="55646" spans="1:100">
      <c r="A55646" s="374"/>
      <c r="C55646" s="374"/>
      <c r="CV55646" s="376"/>
    </row>
    <row r="55647" spans="1:100">
      <c r="A55647" s="374"/>
      <c r="C55647" s="374"/>
      <c r="CV55647" s="376"/>
    </row>
    <row r="55648" spans="1:100">
      <c r="A55648" s="374"/>
      <c r="C55648" s="374"/>
      <c r="CV55648" s="376"/>
    </row>
    <row r="55649" spans="1:100">
      <c r="A55649" s="374"/>
      <c r="C55649" s="374"/>
      <c r="CV55649" s="376"/>
    </row>
    <row r="55650" spans="1:100">
      <c r="A55650" s="374"/>
      <c r="C55650" s="374"/>
      <c r="CV55650" s="376"/>
    </row>
    <row r="55651" spans="1:100">
      <c r="A55651" s="374"/>
      <c r="C55651" s="374"/>
      <c r="CV55651" s="376"/>
    </row>
    <row r="55652" spans="1:100">
      <c r="A55652" s="374"/>
      <c r="C55652" s="374"/>
      <c r="CV55652" s="376"/>
    </row>
    <row r="55653" spans="1:100">
      <c r="A55653" s="374"/>
      <c r="C55653" s="374"/>
      <c r="CV55653" s="376"/>
    </row>
    <row r="55654" spans="1:100">
      <c r="A55654" s="374"/>
      <c r="C55654" s="374"/>
      <c r="CV55654" s="376"/>
    </row>
    <row r="55655" spans="1:100">
      <c r="A55655" s="374"/>
      <c r="C55655" s="374"/>
      <c r="CV55655" s="376"/>
    </row>
    <row r="55656" spans="1:100">
      <c r="A55656" s="374"/>
      <c r="C55656" s="374"/>
      <c r="CV55656" s="376"/>
    </row>
    <row r="55657" spans="1:100">
      <c r="A55657" s="374"/>
      <c r="C55657" s="374"/>
      <c r="CV55657" s="376"/>
    </row>
    <row r="55658" spans="1:100">
      <c r="A55658" s="374"/>
      <c r="C55658" s="374"/>
      <c r="CV55658" s="376"/>
    </row>
    <row r="55659" spans="1:100">
      <c r="A55659" s="374"/>
      <c r="C55659" s="374"/>
      <c r="CV55659" s="376"/>
    </row>
    <row r="55660" spans="1:100">
      <c r="A55660" s="374"/>
      <c r="C55660" s="374"/>
      <c r="CV55660" s="376"/>
    </row>
    <row r="55661" spans="1:100">
      <c r="A55661" s="374"/>
      <c r="C55661" s="374"/>
      <c r="CV55661" s="376"/>
    </row>
    <row r="55662" spans="1:100">
      <c r="A55662" s="374"/>
      <c r="C55662" s="374"/>
      <c r="CV55662" s="376"/>
    </row>
    <row r="55663" spans="1:100">
      <c r="A55663" s="374"/>
      <c r="C55663" s="374"/>
      <c r="CV55663" s="376"/>
    </row>
    <row r="55664" spans="1:100">
      <c r="A55664" s="374"/>
      <c r="C55664" s="374"/>
      <c r="CV55664" s="376"/>
    </row>
    <row r="55665" spans="1:100">
      <c r="A55665" s="374"/>
      <c r="C55665" s="374"/>
      <c r="CV55665" s="376"/>
    </row>
    <row r="55666" spans="1:100">
      <c r="A55666" s="374"/>
      <c r="C55666" s="374"/>
      <c r="CV55666" s="376"/>
    </row>
    <row r="55667" spans="1:100">
      <c r="A55667" s="374"/>
      <c r="C55667" s="374"/>
      <c r="CV55667" s="376"/>
    </row>
    <row r="55668" spans="1:100">
      <c r="A55668" s="374"/>
      <c r="C55668" s="374"/>
      <c r="CV55668" s="376"/>
    </row>
    <row r="55669" spans="1:100">
      <c r="A55669" s="374"/>
      <c r="C55669" s="374"/>
      <c r="CV55669" s="376"/>
    </row>
    <row r="55670" spans="1:100">
      <c r="A55670" s="374"/>
      <c r="C55670" s="374"/>
      <c r="CV55670" s="376"/>
    </row>
    <row r="55671" spans="1:100">
      <c r="A55671" s="374"/>
      <c r="C55671" s="374"/>
      <c r="CV55671" s="376"/>
    </row>
    <row r="55672" spans="1:100">
      <c r="A55672" s="374"/>
      <c r="C55672" s="374"/>
      <c r="CV55672" s="376"/>
    </row>
    <row r="55673" spans="1:100">
      <c r="A55673" s="374"/>
      <c r="C55673" s="374"/>
      <c r="CV55673" s="376"/>
    </row>
    <row r="55674" spans="1:100">
      <c r="A55674" s="374"/>
      <c r="C55674" s="374"/>
      <c r="CV55674" s="376"/>
    </row>
    <row r="55675" spans="1:100">
      <c r="A55675" s="374"/>
      <c r="C55675" s="374"/>
      <c r="CV55675" s="376"/>
    </row>
    <row r="55676" spans="1:100">
      <c r="A55676" s="374"/>
      <c r="C55676" s="374"/>
      <c r="CV55676" s="376"/>
    </row>
    <row r="55677" spans="1:100">
      <c r="A55677" s="374"/>
      <c r="C55677" s="374"/>
      <c r="CV55677" s="376"/>
    </row>
    <row r="55678" spans="1:100">
      <c r="A55678" s="374"/>
      <c r="C55678" s="374"/>
      <c r="CV55678" s="376"/>
    </row>
    <row r="55679" spans="1:100">
      <c r="A55679" s="374"/>
      <c r="C55679" s="374"/>
      <c r="CV55679" s="376"/>
    </row>
    <row r="55680" spans="1:100">
      <c r="A55680" s="374"/>
      <c r="C55680" s="374"/>
      <c r="CV55680" s="376"/>
    </row>
    <row r="55681" spans="1:100">
      <c r="A55681" s="374"/>
      <c r="C55681" s="374"/>
      <c r="CV55681" s="376"/>
    </row>
    <row r="55682" spans="1:100">
      <c r="A55682" s="374"/>
      <c r="C55682" s="374"/>
      <c r="CV55682" s="376"/>
    </row>
    <row r="55683" spans="1:100">
      <c r="A55683" s="374"/>
      <c r="C55683" s="374"/>
      <c r="CV55683" s="376"/>
    </row>
    <row r="55684" spans="1:100">
      <c r="A55684" s="374"/>
      <c r="C55684" s="374"/>
      <c r="CV55684" s="376"/>
    </row>
    <row r="55685" spans="1:100">
      <c r="A55685" s="374"/>
      <c r="C55685" s="374"/>
      <c r="CV55685" s="376"/>
    </row>
    <row r="55686" spans="1:100">
      <c r="A55686" s="374"/>
      <c r="C55686" s="374"/>
      <c r="CV55686" s="376"/>
    </row>
    <row r="55687" spans="1:100">
      <c r="A55687" s="374"/>
      <c r="C55687" s="374"/>
      <c r="CV55687" s="376"/>
    </row>
    <row r="55688" spans="1:100">
      <c r="A55688" s="374"/>
      <c r="C55688" s="374"/>
      <c r="CV55688" s="376"/>
    </row>
    <row r="55689" spans="1:100">
      <c r="A55689" s="374"/>
      <c r="C55689" s="374"/>
      <c r="CV55689" s="376"/>
    </row>
    <row r="55690" spans="1:100">
      <c r="A55690" s="374"/>
      <c r="C55690" s="374"/>
      <c r="CV55690" s="376"/>
    </row>
    <row r="55691" spans="1:100">
      <c r="A55691" s="374"/>
      <c r="C55691" s="374"/>
      <c r="CV55691" s="376"/>
    </row>
    <row r="55692" spans="1:100">
      <c r="A55692" s="374"/>
      <c r="C55692" s="374"/>
      <c r="CV55692" s="376"/>
    </row>
    <row r="55693" spans="1:100">
      <c r="A55693" s="374"/>
      <c r="C55693" s="374"/>
      <c r="CV55693" s="376"/>
    </row>
    <row r="55694" spans="1:100">
      <c r="A55694" s="374"/>
      <c r="C55694" s="374"/>
      <c r="CV55694" s="376"/>
    </row>
    <row r="55695" spans="1:100">
      <c r="A55695" s="374"/>
      <c r="C55695" s="374"/>
      <c r="CV55695" s="376"/>
    </row>
    <row r="55696" spans="1:100">
      <c r="A55696" s="374"/>
      <c r="C55696" s="374"/>
      <c r="CV55696" s="376"/>
    </row>
    <row r="55697" spans="1:100">
      <c r="A55697" s="374"/>
      <c r="C55697" s="374"/>
      <c r="CV55697" s="376"/>
    </row>
    <row r="55698" spans="1:100">
      <c r="A55698" s="374"/>
      <c r="C55698" s="374"/>
      <c r="CV55698" s="376"/>
    </row>
    <row r="55699" spans="1:100">
      <c r="A55699" s="374"/>
      <c r="C55699" s="374"/>
      <c r="CV55699" s="376"/>
    </row>
    <row r="55700" spans="1:100">
      <c r="A55700" s="374"/>
      <c r="C55700" s="374"/>
      <c r="CV55700" s="376"/>
    </row>
    <row r="55701" spans="1:100">
      <c r="A55701" s="374"/>
      <c r="C55701" s="374"/>
      <c r="CV55701" s="376"/>
    </row>
    <row r="55702" spans="1:100">
      <c r="A55702" s="374"/>
      <c r="C55702" s="374"/>
      <c r="CV55702" s="376"/>
    </row>
    <row r="55703" spans="1:100">
      <c r="A55703" s="374"/>
      <c r="C55703" s="374"/>
      <c r="CV55703" s="376"/>
    </row>
    <row r="55704" spans="1:100">
      <c r="A55704" s="374"/>
      <c r="C55704" s="374"/>
      <c r="CV55704" s="376"/>
    </row>
    <row r="55705" spans="1:100">
      <c r="A55705" s="374"/>
      <c r="C55705" s="374"/>
      <c r="CV55705" s="376"/>
    </row>
    <row r="55706" spans="1:100">
      <c r="A55706" s="374"/>
      <c r="C55706" s="374"/>
      <c r="CV55706" s="376"/>
    </row>
    <row r="55707" spans="1:100">
      <c r="A55707" s="374"/>
      <c r="C55707" s="374"/>
      <c r="CV55707" s="376"/>
    </row>
    <row r="55708" spans="1:100">
      <c r="A55708" s="374"/>
      <c r="C55708" s="374"/>
      <c r="CV55708" s="376"/>
    </row>
    <row r="55709" spans="1:100">
      <c r="A55709" s="374"/>
      <c r="C55709" s="374"/>
      <c r="CV55709" s="376"/>
    </row>
    <row r="55710" spans="1:100">
      <c r="A55710" s="374"/>
      <c r="C55710" s="374"/>
      <c r="CV55710" s="376"/>
    </row>
    <row r="55711" spans="1:100">
      <c r="A55711" s="374"/>
      <c r="C55711" s="374"/>
      <c r="CV55711" s="376"/>
    </row>
    <row r="55712" spans="1:100">
      <c r="A55712" s="374"/>
      <c r="C55712" s="374"/>
      <c r="CV55712" s="376"/>
    </row>
    <row r="55713" spans="1:100">
      <c r="A55713" s="374"/>
      <c r="C55713" s="374"/>
      <c r="CV55713" s="376"/>
    </row>
    <row r="55714" spans="1:100">
      <c r="A55714" s="374"/>
      <c r="C55714" s="374"/>
      <c r="CV55714" s="376"/>
    </row>
    <row r="55715" spans="1:100">
      <c r="A55715" s="374"/>
      <c r="C55715" s="374"/>
      <c r="CV55715" s="376"/>
    </row>
    <row r="55716" spans="1:100">
      <c r="A55716" s="374"/>
      <c r="C55716" s="374"/>
      <c r="CV55716" s="376"/>
    </row>
    <row r="55717" spans="1:100">
      <c r="A55717" s="374"/>
      <c r="C55717" s="374"/>
      <c r="CV55717" s="376"/>
    </row>
    <row r="55718" spans="1:100">
      <c r="A55718" s="374"/>
      <c r="C55718" s="374"/>
      <c r="CV55718" s="376"/>
    </row>
    <row r="55719" spans="1:100">
      <c r="A55719" s="374"/>
      <c r="C55719" s="374"/>
      <c r="CV55719" s="376"/>
    </row>
    <row r="55720" spans="1:100">
      <c r="A55720" s="374"/>
      <c r="C55720" s="374"/>
      <c r="CV55720" s="376"/>
    </row>
    <row r="55721" spans="1:100">
      <c r="A55721" s="374"/>
      <c r="C55721" s="374"/>
      <c r="CV55721" s="376"/>
    </row>
    <row r="55722" spans="1:100">
      <c r="A55722" s="374"/>
      <c r="C55722" s="374"/>
      <c r="CV55722" s="376"/>
    </row>
    <row r="55723" spans="1:100">
      <c r="A55723" s="374"/>
      <c r="C55723" s="374"/>
      <c r="CV55723" s="376"/>
    </row>
    <row r="55724" spans="1:100">
      <c r="A55724" s="374"/>
      <c r="C55724" s="374"/>
      <c r="CV55724" s="376"/>
    </row>
    <row r="55725" spans="1:100">
      <c r="A55725" s="374"/>
      <c r="C55725" s="374"/>
      <c r="CV55725" s="376"/>
    </row>
    <row r="55726" spans="1:100">
      <c r="A55726" s="374"/>
      <c r="C55726" s="374"/>
      <c r="CV55726" s="376"/>
    </row>
    <row r="55727" spans="1:100">
      <c r="A55727" s="374"/>
      <c r="C55727" s="374"/>
      <c r="CV55727" s="376"/>
    </row>
    <row r="55728" spans="1:100">
      <c r="A55728" s="374"/>
      <c r="C55728" s="374"/>
      <c r="CV55728" s="376"/>
    </row>
    <row r="55729" spans="1:100">
      <c r="A55729" s="374"/>
      <c r="C55729" s="374"/>
      <c r="CV55729" s="376"/>
    </row>
    <row r="55730" spans="1:100">
      <c r="A55730" s="374"/>
      <c r="C55730" s="374"/>
      <c r="CV55730" s="376"/>
    </row>
    <row r="55731" spans="1:100">
      <c r="A55731" s="374"/>
      <c r="C55731" s="374"/>
      <c r="CV55731" s="376"/>
    </row>
    <row r="55732" spans="1:100">
      <c r="A55732" s="374"/>
      <c r="C55732" s="374"/>
      <c r="CV55732" s="376"/>
    </row>
    <row r="55733" spans="1:100">
      <c r="A55733" s="374"/>
      <c r="C55733" s="374"/>
      <c r="CV55733" s="376"/>
    </row>
    <row r="55734" spans="1:100">
      <c r="A55734" s="374"/>
      <c r="C55734" s="374"/>
      <c r="CV55734" s="376"/>
    </row>
    <row r="55735" spans="1:100">
      <c r="A55735" s="374"/>
      <c r="C55735" s="374"/>
      <c r="CV55735" s="376"/>
    </row>
    <row r="55736" spans="1:100">
      <c r="A55736" s="374"/>
      <c r="C55736" s="374"/>
      <c r="CV55736" s="376"/>
    </row>
    <row r="55737" spans="1:100">
      <c r="A55737" s="374"/>
      <c r="C55737" s="374"/>
      <c r="CV55737" s="376"/>
    </row>
    <row r="55738" spans="1:100">
      <c r="A55738" s="374"/>
      <c r="C55738" s="374"/>
      <c r="CV55738" s="376"/>
    </row>
    <row r="55739" spans="1:100">
      <c r="A55739" s="374"/>
      <c r="C55739" s="374"/>
      <c r="CV55739" s="376"/>
    </row>
    <row r="55740" spans="1:100">
      <c r="A55740" s="374"/>
      <c r="C55740" s="374"/>
      <c r="CV55740" s="376"/>
    </row>
    <row r="55741" spans="1:100">
      <c r="A55741" s="374"/>
      <c r="C55741" s="374"/>
      <c r="CV55741" s="376"/>
    </row>
    <row r="55742" spans="1:100">
      <c r="A55742" s="374"/>
      <c r="C55742" s="374"/>
      <c r="CV55742" s="376"/>
    </row>
    <row r="55743" spans="1:100">
      <c r="A55743" s="374"/>
      <c r="C55743" s="374"/>
      <c r="CV55743" s="376"/>
    </row>
    <row r="55744" spans="1:100">
      <c r="A55744" s="374"/>
      <c r="C55744" s="374"/>
      <c r="CV55744" s="376"/>
    </row>
    <row r="55745" spans="1:100">
      <c r="A55745" s="374"/>
      <c r="C55745" s="374"/>
      <c r="CV55745" s="376"/>
    </row>
    <row r="55746" spans="1:100">
      <c r="A55746" s="374"/>
      <c r="C55746" s="374"/>
      <c r="CV55746" s="376"/>
    </row>
    <row r="55747" spans="1:100">
      <c r="A55747" s="374"/>
      <c r="C55747" s="374"/>
      <c r="CV55747" s="376"/>
    </row>
    <row r="55748" spans="1:100">
      <c r="A55748" s="374"/>
      <c r="C55748" s="374"/>
      <c r="CV55748" s="376"/>
    </row>
    <row r="55749" spans="1:100">
      <c r="A55749" s="374"/>
      <c r="C55749" s="374"/>
      <c r="CV55749" s="376"/>
    </row>
    <row r="55750" spans="1:100">
      <c r="A55750" s="374"/>
      <c r="C55750" s="374"/>
      <c r="CV55750" s="376"/>
    </row>
    <row r="55751" spans="1:100">
      <c r="A55751" s="374"/>
      <c r="C55751" s="374"/>
      <c r="CV55751" s="376"/>
    </row>
    <row r="55752" spans="1:100">
      <c r="A55752" s="374"/>
      <c r="C55752" s="374"/>
      <c r="CV55752" s="376"/>
    </row>
    <row r="55753" spans="1:100">
      <c r="A55753" s="374"/>
      <c r="C55753" s="374"/>
      <c r="CV55753" s="376"/>
    </row>
    <row r="55754" spans="1:100">
      <c r="A55754" s="374"/>
      <c r="C55754" s="374"/>
      <c r="CV55754" s="376"/>
    </row>
    <row r="55755" spans="1:100">
      <c r="A55755" s="374"/>
      <c r="C55755" s="374"/>
      <c r="CV55755" s="376"/>
    </row>
    <row r="55756" spans="1:100">
      <c r="A55756" s="374"/>
      <c r="C55756" s="374"/>
      <c r="CV55756" s="376"/>
    </row>
    <row r="55757" spans="1:100">
      <c r="A55757" s="374"/>
      <c r="C55757" s="374"/>
      <c r="CV55757" s="376"/>
    </row>
    <row r="55758" spans="1:100">
      <c r="A55758" s="374"/>
      <c r="C55758" s="374"/>
      <c r="CV55758" s="376"/>
    </row>
    <row r="55759" spans="1:100">
      <c r="A55759" s="374"/>
      <c r="C55759" s="374"/>
      <c r="CV55759" s="376"/>
    </row>
    <row r="55760" spans="1:100">
      <c r="A55760" s="374"/>
      <c r="C55760" s="374"/>
      <c r="CV55760" s="376"/>
    </row>
    <row r="55761" spans="1:100">
      <c r="A55761" s="374"/>
      <c r="C55761" s="374"/>
      <c r="CV55761" s="376"/>
    </row>
    <row r="55762" spans="1:100">
      <c r="A55762" s="374"/>
      <c r="C55762" s="374"/>
      <c r="CV55762" s="376"/>
    </row>
    <row r="55763" spans="1:100">
      <c r="A55763" s="374"/>
      <c r="C55763" s="374"/>
      <c r="CV55763" s="376"/>
    </row>
    <row r="55764" spans="1:100">
      <c r="A55764" s="374"/>
      <c r="C55764" s="374"/>
      <c r="CV55764" s="376"/>
    </row>
    <row r="55765" spans="1:100">
      <c r="A55765" s="374"/>
      <c r="C55765" s="374"/>
      <c r="CV55765" s="376"/>
    </row>
    <row r="55766" spans="1:100">
      <c r="A55766" s="374"/>
      <c r="C55766" s="374"/>
      <c r="CV55766" s="376"/>
    </row>
    <row r="55767" spans="1:100">
      <c r="A55767" s="374"/>
      <c r="C55767" s="374"/>
      <c r="CV55767" s="376"/>
    </row>
    <row r="55768" spans="1:100">
      <c r="A55768" s="374"/>
      <c r="C55768" s="374"/>
      <c r="CV55768" s="376"/>
    </row>
    <row r="55769" spans="1:100">
      <c r="A55769" s="374"/>
      <c r="C55769" s="374"/>
      <c r="CV55769" s="376"/>
    </row>
    <row r="55770" spans="1:100">
      <c r="A55770" s="374"/>
      <c r="C55770" s="374"/>
      <c r="CV55770" s="376"/>
    </row>
    <row r="55771" spans="1:100">
      <c r="A55771" s="374"/>
      <c r="C55771" s="374"/>
      <c r="CV55771" s="376"/>
    </row>
    <row r="55772" spans="1:100">
      <c r="A55772" s="374"/>
      <c r="C55772" s="374"/>
      <c r="CV55772" s="376"/>
    </row>
    <row r="55773" spans="1:100">
      <c r="A55773" s="374"/>
      <c r="C55773" s="374"/>
      <c r="CV55773" s="376"/>
    </row>
    <row r="55774" spans="1:100">
      <c r="A55774" s="374"/>
      <c r="C55774" s="374"/>
      <c r="CV55774" s="376"/>
    </row>
    <row r="55775" spans="1:100">
      <c r="A55775" s="374"/>
      <c r="C55775" s="374"/>
      <c r="CV55775" s="376"/>
    </row>
    <row r="55776" spans="1:100">
      <c r="A55776" s="374"/>
      <c r="C55776" s="374"/>
      <c r="CV55776" s="376"/>
    </row>
    <row r="55777" spans="1:100">
      <c r="A55777" s="374"/>
      <c r="C55777" s="374"/>
      <c r="CV55777" s="376"/>
    </row>
    <row r="55778" spans="1:100">
      <c r="A55778" s="374"/>
      <c r="C55778" s="374"/>
      <c r="CV55778" s="376"/>
    </row>
    <row r="55779" spans="1:100">
      <c r="A55779" s="374"/>
      <c r="C55779" s="374"/>
      <c r="CV55779" s="376"/>
    </row>
    <row r="55780" spans="1:100">
      <c r="A55780" s="374"/>
      <c r="C55780" s="374"/>
      <c r="CV55780" s="376"/>
    </row>
    <row r="55781" spans="1:100">
      <c r="A55781" s="374"/>
      <c r="C55781" s="374"/>
      <c r="CV55781" s="376"/>
    </row>
    <row r="55782" spans="1:100">
      <c r="A55782" s="374"/>
      <c r="C55782" s="374"/>
      <c r="CV55782" s="376"/>
    </row>
    <row r="55783" spans="1:100">
      <c r="A55783" s="374"/>
      <c r="C55783" s="374"/>
      <c r="CV55783" s="376"/>
    </row>
    <row r="55784" spans="1:100">
      <c r="A55784" s="374"/>
      <c r="C55784" s="374"/>
      <c r="CV55784" s="376"/>
    </row>
    <row r="55785" spans="1:100">
      <c r="A55785" s="374"/>
      <c r="C55785" s="374"/>
      <c r="CV55785" s="376"/>
    </row>
    <row r="55786" spans="1:100">
      <c r="A55786" s="374"/>
      <c r="C55786" s="374"/>
      <c r="CV55786" s="376"/>
    </row>
    <row r="55787" spans="1:100">
      <c r="A55787" s="374"/>
      <c r="C55787" s="374"/>
      <c r="CV55787" s="376"/>
    </row>
    <row r="55788" spans="1:100">
      <c r="A55788" s="374"/>
      <c r="C55788" s="374"/>
      <c r="CV55788" s="376"/>
    </row>
    <row r="55789" spans="1:100">
      <c r="A55789" s="374"/>
      <c r="C55789" s="374"/>
      <c r="CV55789" s="376"/>
    </row>
    <row r="55790" spans="1:100">
      <c r="A55790" s="374"/>
      <c r="C55790" s="374"/>
      <c r="CV55790" s="376"/>
    </row>
    <row r="55791" spans="1:100">
      <c r="A55791" s="374"/>
      <c r="C55791" s="374"/>
      <c r="CV55791" s="376"/>
    </row>
    <row r="55792" spans="1:100">
      <c r="A55792" s="374"/>
      <c r="C55792" s="374"/>
      <c r="CV55792" s="376"/>
    </row>
    <row r="55793" spans="1:100">
      <c r="A55793" s="374"/>
      <c r="C55793" s="374"/>
      <c r="CV55793" s="376"/>
    </row>
    <row r="55794" spans="1:100">
      <c r="A55794" s="374"/>
      <c r="C55794" s="374"/>
      <c r="CV55794" s="376"/>
    </row>
    <row r="55795" spans="1:100">
      <c r="A55795" s="374"/>
      <c r="C55795" s="374"/>
      <c r="CV55795" s="376"/>
    </row>
    <row r="55796" spans="1:100">
      <c r="A55796" s="374"/>
      <c r="C55796" s="374"/>
      <c r="CV55796" s="376"/>
    </row>
    <row r="55797" spans="1:100">
      <c r="A55797" s="374"/>
      <c r="C55797" s="374"/>
      <c r="CV55797" s="376"/>
    </row>
    <row r="55798" spans="1:100">
      <c r="A55798" s="374"/>
      <c r="C55798" s="374"/>
      <c r="CV55798" s="376"/>
    </row>
    <row r="55799" spans="1:100">
      <c r="A55799" s="374"/>
      <c r="C55799" s="374"/>
      <c r="CV55799" s="376"/>
    </row>
    <row r="55800" spans="1:100">
      <c r="A55800" s="374"/>
      <c r="C55800" s="374"/>
      <c r="CV55800" s="376"/>
    </row>
    <row r="55801" spans="1:100">
      <c r="A55801" s="374"/>
      <c r="C55801" s="374"/>
      <c r="CV55801" s="376"/>
    </row>
    <row r="55802" spans="1:100">
      <c r="A55802" s="374"/>
      <c r="C55802" s="374"/>
      <c r="CV55802" s="376"/>
    </row>
    <row r="55803" spans="1:100">
      <c r="A55803" s="374"/>
      <c r="C55803" s="374"/>
      <c r="CV55803" s="376"/>
    </row>
    <row r="55804" spans="1:100">
      <c r="A55804" s="374"/>
      <c r="C55804" s="374"/>
      <c r="CV55804" s="376"/>
    </row>
    <row r="55805" spans="1:100">
      <c r="A55805" s="374"/>
      <c r="C55805" s="374"/>
      <c r="CV55805" s="376"/>
    </row>
    <row r="55806" spans="1:100">
      <c r="A55806" s="374"/>
      <c r="C55806" s="374"/>
      <c r="CV55806" s="376"/>
    </row>
    <row r="55807" spans="1:100">
      <c r="A55807" s="374"/>
      <c r="C55807" s="374"/>
      <c r="CV55807" s="376"/>
    </row>
    <row r="55808" spans="1:100">
      <c r="A55808" s="374"/>
      <c r="C55808" s="374"/>
      <c r="CV55808" s="376"/>
    </row>
    <row r="55809" spans="1:100">
      <c r="A55809" s="374"/>
      <c r="C55809" s="374"/>
      <c r="CV55809" s="376"/>
    </row>
    <row r="55810" spans="1:100">
      <c r="A55810" s="374"/>
      <c r="C55810" s="374"/>
      <c r="CV55810" s="376"/>
    </row>
    <row r="55811" spans="1:100">
      <c r="A55811" s="374"/>
      <c r="C55811" s="374"/>
      <c r="CV55811" s="376"/>
    </row>
    <row r="55812" spans="1:100">
      <c r="A55812" s="374"/>
      <c r="C55812" s="374"/>
      <c r="CV55812" s="376"/>
    </row>
    <row r="55813" spans="1:100">
      <c r="A55813" s="374"/>
      <c r="C55813" s="374"/>
      <c r="CV55813" s="376"/>
    </row>
    <row r="55814" spans="1:100">
      <c r="A55814" s="374"/>
      <c r="C55814" s="374"/>
      <c r="CV55814" s="376"/>
    </row>
    <row r="55815" spans="1:100">
      <c r="A55815" s="374"/>
      <c r="C55815" s="374"/>
      <c r="CV55815" s="376"/>
    </row>
    <row r="55816" spans="1:100">
      <c r="A55816" s="374"/>
      <c r="C55816" s="374"/>
      <c r="CV55816" s="376"/>
    </row>
    <row r="55817" spans="1:100">
      <c r="A55817" s="374"/>
      <c r="C55817" s="374"/>
      <c r="CV55817" s="376"/>
    </row>
    <row r="55818" spans="1:100">
      <c r="A55818" s="374"/>
      <c r="C55818" s="374"/>
      <c r="CV55818" s="376"/>
    </row>
    <row r="55819" spans="1:100">
      <c r="A55819" s="374"/>
      <c r="C55819" s="374"/>
      <c r="CV55819" s="376"/>
    </row>
    <row r="55820" spans="1:100">
      <c r="A55820" s="374"/>
      <c r="C55820" s="374"/>
      <c r="CV55820" s="376"/>
    </row>
    <row r="55821" spans="1:100">
      <c r="A55821" s="374"/>
      <c r="C55821" s="374"/>
      <c r="CV55821" s="376"/>
    </row>
    <row r="55822" spans="1:100">
      <c r="A55822" s="374"/>
      <c r="C55822" s="374"/>
      <c r="CV55822" s="376"/>
    </row>
    <row r="55823" spans="1:100">
      <c r="A55823" s="374"/>
      <c r="C55823" s="374"/>
      <c r="CV55823" s="376"/>
    </row>
    <row r="55824" spans="1:100">
      <c r="A55824" s="374"/>
      <c r="C55824" s="374"/>
      <c r="CV55824" s="376"/>
    </row>
    <row r="55825" spans="1:100">
      <c r="A55825" s="374"/>
      <c r="C55825" s="374"/>
      <c r="CV55825" s="376"/>
    </row>
    <row r="55826" spans="1:100">
      <c r="A55826" s="374"/>
      <c r="C55826" s="374"/>
      <c r="CV55826" s="376"/>
    </row>
    <row r="55827" spans="1:100">
      <c r="A55827" s="374"/>
      <c r="C55827" s="374"/>
      <c r="CV55827" s="376"/>
    </row>
    <row r="55828" spans="1:100">
      <c r="A55828" s="374"/>
      <c r="C55828" s="374"/>
      <c r="CV55828" s="376"/>
    </row>
    <row r="55829" spans="1:100">
      <c r="A55829" s="374"/>
      <c r="C55829" s="374"/>
      <c r="CV55829" s="376"/>
    </row>
    <row r="55830" spans="1:100">
      <c r="A55830" s="374"/>
      <c r="C55830" s="374"/>
      <c r="CV55830" s="376"/>
    </row>
    <row r="55831" spans="1:100">
      <c r="A55831" s="374"/>
      <c r="C55831" s="374"/>
      <c r="CV55831" s="376"/>
    </row>
    <row r="55832" spans="1:100">
      <c r="A55832" s="374"/>
      <c r="C55832" s="374"/>
      <c r="CV55832" s="376"/>
    </row>
    <row r="55833" spans="1:100">
      <c r="A55833" s="374"/>
      <c r="C55833" s="374"/>
      <c r="CV55833" s="376"/>
    </row>
    <row r="55834" spans="1:100">
      <c r="A55834" s="374"/>
      <c r="C55834" s="374"/>
      <c r="CV55834" s="376"/>
    </row>
    <row r="55835" spans="1:100">
      <c r="A55835" s="374"/>
      <c r="C55835" s="374"/>
      <c r="CV55835" s="376"/>
    </row>
    <row r="55836" spans="1:100">
      <c r="A55836" s="374"/>
      <c r="C55836" s="374"/>
      <c r="CV55836" s="376"/>
    </row>
    <row r="55837" spans="1:100">
      <c r="A55837" s="374"/>
      <c r="C55837" s="374"/>
      <c r="CV55837" s="376"/>
    </row>
    <row r="55838" spans="1:100">
      <c r="A55838" s="374"/>
      <c r="C55838" s="374"/>
      <c r="CV55838" s="376"/>
    </row>
    <row r="55839" spans="1:100">
      <c r="A55839" s="374"/>
      <c r="C55839" s="374"/>
      <c r="CV55839" s="376"/>
    </row>
    <row r="55840" spans="1:100">
      <c r="A55840" s="374"/>
      <c r="C55840" s="374"/>
      <c r="CV55840" s="376"/>
    </row>
    <row r="55841" spans="1:100">
      <c r="A55841" s="374"/>
      <c r="C55841" s="374"/>
      <c r="CV55841" s="376"/>
    </row>
    <row r="55842" spans="1:100">
      <c r="A55842" s="374"/>
      <c r="C55842" s="374"/>
      <c r="CV55842" s="376"/>
    </row>
    <row r="55843" spans="1:100">
      <c r="A55843" s="374"/>
      <c r="C55843" s="374"/>
      <c r="CV55843" s="376"/>
    </row>
    <row r="55844" spans="1:100">
      <c r="A55844" s="374"/>
      <c r="C55844" s="374"/>
      <c r="CV55844" s="376"/>
    </row>
    <row r="55845" spans="1:100">
      <c r="A55845" s="374"/>
      <c r="C55845" s="374"/>
      <c r="CV55845" s="376"/>
    </row>
    <row r="55846" spans="1:100">
      <c r="A55846" s="374"/>
      <c r="C55846" s="374"/>
      <c r="CV55846" s="376"/>
    </row>
    <row r="55847" spans="1:100">
      <c r="A55847" s="374"/>
      <c r="C55847" s="374"/>
      <c r="CV55847" s="376"/>
    </row>
    <row r="55848" spans="1:100">
      <c r="A55848" s="374"/>
      <c r="C55848" s="374"/>
      <c r="CV55848" s="376"/>
    </row>
    <row r="55849" spans="1:100">
      <c r="A55849" s="374"/>
      <c r="C55849" s="374"/>
      <c r="CV55849" s="376"/>
    </row>
    <row r="55850" spans="1:100">
      <c r="A55850" s="374"/>
      <c r="C55850" s="374"/>
      <c r="CV55850" s="376"/>
    </row>
    <row r="55851" spans="1:100">
      <c r="A55851" s="374"/>
      <c r="C55851" s="374"/>
      <c r="CV55851" s="376"/>
    </row>
    <row r="55852" spans="1:100">
      <c r="A55852" s="374"/>
      <c r="C55852" s="374"/>
      <c r="CV55852" s="376"/>
    </row>
    <row r="55853" spans="1:100">
      <c r="A55853" s="374"/>
      <c r="C55853" s="374"/>
      <c r="CV55853" s="376"/>
    </row>
    <row r="55854" spans="1:100">
      <c r="A55854" s="374"/>
      <c r="C55854" s="374"/>
      <c r="CV55854" s="376"/>
    </row>
    <row r="55855" spans="1:100">
      <c r="A55855" s="374"/>
      <c r="C55855" s="374"/>
      <c r="CV55855" s="376"/>
    </row>
    <row r="55856" spans="1:100">
      <c r="A55856" s="374"/>
      <c r="C55856" s="374"/>
      <c r="CV55856" s="376"/>
    </row>
    <row r="55857" spans="1:100">
      <c r="A55857" s="374"/>
      <c r="C55857" s="374"/>
      <c r="CV55857" s="376"/>
    </row>
    <row r="55858" spans="1:100">
      <c r="A55858" s="374"/>
      <c r="C55858" s="374"/>
      <c r="CV55858" s="376"/>
    </row>
    <row r="55859" spans="1:100">
      <c r="A55859" s="374"/>
      <c r="C55859" s="374"/>
      <c r="CV55859" s="376"/>
    </row>
    <row r="55860" spans="1:100">
      <c r="A55860" s="374"/>
      <c r="C55860" s="374"/>
      <c r="CV55860" s="376"/>
    </row>
    <row r="55861" spans="1:100">
      <c r="A55861" s="374"/>
      <c r="C55861" s="374"/>
      <c r="CV55861" s="376"/>
    </row>
    <row r="55862" spans="1:100">
      <c r="A55862" s="374"/>
      <c r="C55862" s="374"/>
      <c r="CV55862" s="376"/>
    </row>
    <row r="55863" spans="1:100">
      <c r="A55863" s="374"/>
      <c r="C55863" s="374"/>
      <c r="CV55863" s="376"/>
    </row>
    <row r="55864" spans="1:100">
      <c r="A55864" s="374"/>
      <c r="C55864" s="374"/>
      <c r="CV55864" s="376"/>
    </row>
    <row r="55865" spans="1:100">
      <c r="A55865" s="374"/>
      <c r="C55865" s="374"/>
      <c r="CV55865" s="376"/>
    </row>
    <row r="55866" spans="1:100">
      <c r="A55866" s="374"/>
      <c r="C55866" s="374"/>
      <c r="CV55866" s="376"/>
    </row>
    <row r="55867" spans="1:100">
      <c r="A55867" s="374"/>
      <c r="C55867" s="374"/>
      <c r="CV55867" s="376"/>
    </row>
    <row r="55868" spans="1:100">
      <c r="A55868" s="374"/>
      <c r="C55868" s="374"/>
      <c r="CV55868" s="376"/>
    </row>
    <row r="55869" spans="1:100">
      <c r="A55869" s="374"/>
      <c r="C55869" s="374"/>
      <c r="CV55869" s="376"/>
    </row>
    <row r="55870" spans="1:100">
      <c r="A55870" s="374"/>
      <c r="C55870" s="374"/>
      <c r="CV55870" s="376"/>
    </row>
    <row r="55871" spans="1:100">
      <c r="A55871" s="374"/>
      <c r="C55871" s="374"/>
      <c r="CV55871" s="376"/>
    </row>
    <row r="55872" spans="1:100">
      <c r="A55872" s="374"/>
      <c r="C55872" s="374"/>
      <c r="CV55872" s="376"/>
    </row>
    <row r="55873" spans="1:100">
      <c r="A55873" s="374"/>
      <c r="C55873" s="374"/>
      <c r="CV55873" s="376"/>
    </row>
    <row r="55874" spans="1:100">
      <c r="A55874" s="374"/>
      <c r="C55874" s="374"/>
      <c r="CV55874" s="376"/>
    </row>
    <row r="55875" spans="1:100">
      <c r="A55875" s="374"/>
      <c r="C55875" s="374"/>
      <c r="CV55875" s="376"/>
    </row>
    <row r="55876" spans="1:100">
      <c r="A55876" s="374"/>
      <c r="C55876" s="374"/>
      <c r="CV55876" s="376"/>
    </row>
    <row r="55877" spans="1:100">
      <c r="A55877" s="374"/>
      <c r="C55877" s="374"/>
      <c r="CV55877" s="376"/>
    </row>
    <row r="55878" spans="1:100">
      <c r="A55878" s="374"/>
      <c r="C55878" s="374"/>
      <c r="CV55878" s="376"/>
    </row>
    <row r="55879" spans="1:100">
      <c r="A55879" s="374"/>
      <c r="C55879" s="374"/>
      <c r="CV55879" s="376"/>
    </row>
    <row r="55880" spans="1:100">
      <c r="A55880" s="374"/>
      <c r="C55880" s="374"/>
      <c r="CV55880" s="376"/>
    </row>
    <row r="55881" spans="1:100">
      <c r="A55881" s="374"/>
      <c r="C55881" s="374"/>
      <c r="CV55881" s="376"/>
    </row>
    <row r="55882" spans="1:100">
      <c r="A55882" s="374"/>
      <c r="C55882" s="374"/>
      <c r="CV55882" s="376"/>
    </row>
    <row r="55883" spans="1:100">
      <c r="A55883" s="374"/>
      <c r="C55883" s="374"/>
      <c r="CV55883" s="376"/>
    </row>
    <row r="55884" spans="1:100">
      <c r="A55884" s="374"/>
      <c r="C55884" s="374"/>
      <c r="CV55884" s="376"/>
    </row>
    <row r="55885" spans="1:100">
      <c r="A55885" s="374"/>
      <c r="C55885" s="374"/>
      <c r="CV55885" s="376"/>
    </row>
    <row r="55886" spans="1:100">
      <c r="A55886" s="374"/>
      <c r="C55886" s="374"/>
      <c r="CV55886" s="376"/>
    </row>
    <row r="55887" spans="1:100">
      <c r="A55887" s="374"/>
      <c r="C55887" s="374"/>
      <c r="CV55887" s="376"/>
    </row>
    <row r="55888" spans="1:100">
      <c r="A55888" s="374"/>
      <c r="C55888" s="374"/>
      <c r="CV55888" s="376"/>
    </row>
    <row r="55889" spans="1:100">
      <c r="A55889" s="374"/>
      <c r="C55889" s="374"/>
      <c r="CV55889" s="376"/>
    </row>
    <row r="55890" spans="1:100">
      <c r="A55890" s="374"/>
      <c r="C55890" s="374"/>
      <c r="CV55890" s="376"/>
    </row>
    <row r="55891" spans="1:100">
      <c r="A55891" s="374"/>
      <c r="C55891" s="374"/>
      <c r="CV55891" s="376"/>
    </row>
    <row r="55892" spans="1:100">
      <c r="A55892" s="374"/>
      <c r="C55892" s="374"/>
      <c r="CV55892" s="376"/>
    </row>
    <row r="55893" spans="1:100">
      <c r="A55893" s="374"/>
      <c r="C55893" s="374"/>
      <c r="CV55893" s="376"/>
    </row>
    <row r="55894" spans="1:100">
      <c r="A55894" s="374"/>
      <c r="C55894" s="374"/>
      <c r="CV55894" s="376"/>
    </row>
    <row r="55895" spans="1:100">
      <c r="A55895" s="374"/>
      <c r="C55895" s="374"/>
      <c r="CV55895" s="376"/>
    </row>
    <row r="55896" spans="1:100">
      <c r="A55896" s="374"/>
      <c r="C55896" s="374"/>
      <c r="CV55896" s="376"/>
    </row>
    <row r="55897" spans="1:100">
      <c r="A55897" s="374"/>
      <c r="C55897" s="374"/>
      <c r="CV55897" s="376"/>
    </row>
    <row r="55898" spans="1:100">
      <c r="A55898" s="374"/>
      <c r="C55898" s="374"/>
      <c r="CV55898" s="376"/>
    </row>
    <row r="55899" spans="1:100">
      <c r="A55899" s="374"/>
      <c r="C55899" s="374"/>
      <c r="CV55899" s="376"/>
    </row>
    <row r="55900" spans="1:100">
      <c r="A55900" s="374"/>
      <c r="C55900" s="374"/>
      <c r="CV55900" s="376"/>
    </row>
    <row r="55901" spans="1:100">
      <c r="A55901" s="374"/>
      <c r="C55901" s="374"/>
      <c r="CV55901" s="376"/>
    </row>
    <row r="55902" spans="1:100">
      <c r="A55902" s="374"/>
      <c r="C55902" s="374"/>
      <c r="CV55902" s="376"/>
    </row>
    <row r="55903" spans="1:100">
      <c r="A55903" s="374"/>
      <c r="C55903" s="374"/>
      <c r="CV55903" s="376"/>
    </row>
    <row r="55904" spans="1:100">
      <c r="A55904" s="374"/>
      <c r="C55904" s="374"/>
      <c r="CV55904" s="376"/>
    </row>
    <row r="55905" spans="1:100">
      <c r="A55905" s="374"/>
      <c r="C55905" s="374"/>
      <c r="CV55905" s="376"/>
    </row>
    <row r="55906" spans="1:100">
      <c r="A55906" s="374"/>
      <c r="C55906" s="374"/>
      <c r="CV55906" s="376"/>
    </row>
    <row r="55907" spans="1:100">
      <c r="A55907" s="374"/>
      <c r="C55907" s="374"/>
      <c r="CV55907" s="376"/>
    </row>
    <row r="55908" spans="1:100">
      <c r="A55908" s="374"/>
      <c r="C55908" s="374"/>
      <c r="CV55908" s="376"/>
    </row>
    <row r="55909" spans="1:100">
      <c r="A55909" s="374"/>
      <c r="C55909" s="374"/>
      <c r="CV55909" s="376"/>
    </row>
    <row r="55910" spans="1:100">
      <c r="A55910" s="374"/>
      <c r="C55910" s="374"/>
      <c r="CV55910" s="376"/>
    </row>
    <row r="55911" spans="1:100">
      <c r="A55911" s="374"/>
      <c r="C55911" s="374"/>
      <c r="CV55911" s="376"/>
    </row>
    <row r="55912" spans="1:100">
      <c r="A55912" s="374"/>
      <c r="C55912" s="374"/>
      <c r="CV55912" s="376"/>
    </row>
    <row r="55913" spans="1:100">
      <c r="A55913" s="374"/>
      <c r="C55913" s="374"/>
      <c r="CV55913" s="376"/>
    </row>
    <row r="55914" spans="1:100">
      <c r="A55914" s="374"/>
      <c r="C55914" s="374"/>
      <c r="CV55914" s="376"/>
    </row>
    <row r="55915" spans="1:100">
      <c r="A55915" s="374"/>
      <c r="C55915" s="374"/>
      <c r="CV55915" s="376"/>
    </row>
    <row r="55916" spans="1:100">
      <c r="A55916" s="374"/>
      <c r="C55916" s="374"/>
      <c r="CV55916" s="376"/>
    </row>
    <row r="55917" spans="1:100">
      <c r="A55917" s="374"/>
      <c r="C55917" s="374"/>
      <c r="CV55917" s="376"/>
    </row>
    <row r="55918" spans="1:100">
      <c r="A55918" s="374"/>
      <c r="C55918" s="374"/>
      <c r="CV55918" s="376"/>
    </row>
    <row r="55919" spans="1:100">
      <c r="A55919" s="374"/>
      <c r="C55919" s="374"/>
      <c r="CV55919" s="376"/>
    </row>
    <row r="55920" spans="1:100">
      <c r="A55920" s="374"/>
      <c r="C55920" s="374"/>
      <c r="CV55920" s="376"/>
    </row>
    <row r="55921" spans="1:100">
      <c r="A55921" s="374"/>
      <c r="C55921" s="374"/>
      <c r="CV55921" s="376"/>
    </row>
    <row r="55922" spans="1:100">
      <c r="A55922" s="374"/>
      <c r="C55922" s="374"/>
      <c r="CV55922" s="376"/>
    </row>
    <row r="55923" spans="1:100">
      <c r="A55923" s="374"/>
      <c r="C55923" s="374"/>
      <c r="CV55923" s="376"/>
    </row>
    <row r="55924" spans="1:100">
      <c r="A55924" s="374"/>
      <c r="C55924" s="374"/>
      <c r="CV55924" s="376"/>
    </row>
    <row r="55925" spans="1:100">
      <c r="A55925" s="374"/>
      <c r="C55925" s="374"/>
      <c r="CV55925" s="376"/>
    </row>
    <row r="55926" spans="1:100">
      <c r="A55926" s="374"/>
      <c r="C55926" s="374"/>
      <c r="CV55926" s="376"/>
    </row>
    <row r="55927" spans="1:100">
      <c r="A55927" s="374"/>
      <c r="C55927" s="374"/>
      <c r="CV55927" s="376"/>
    </row>
    <row r="55928" spans="1:100">
      <c r="A55928" s="374"/>
      <c r="C55928" s="374"/>
      <c r="CV55928" s="376"/>
    </row>
    <row r="55929" spans="1:100">
      <c r="A55929" s="374"/>
      <c r="C55929" s="374"/>
      <c r="CV55929" s="376"/>
    </row>
    <row r="55930" spans="1:100">
      <c r="A55930" s="374"/>
      <c r="C55930" s="374"/>
      <c r="CV55930" s="376"/>
    </row>
    <row r="55931" spans="1:100">
      <c r="A55931" s="374"/>
      <c r="C55931" s="374"/>
      <c r="CV55931" s="376"/>
    </row>
    <row r="55932" spans="1:100">
      <c r="A55932" s="374"/>
      <c r="C55932" s="374"/>
      <c r="CV55932" s="376"/>
    </row>
    <row r="55933" spans="1:100">
      <c r="A55933" s="374"/>
      <c r="C55933" s="374"/>
      <c r="CV55933" s="376"/>
    </row>
    <row r="55934" spans="1:100">
      <c r="A55934" s="374"/>
      <c r="C55934" s="374"/>
      <c r="CV55934" s="376"/>
    </row>
    <row r="55935" spans="1:100">
      <c r="A55935" s="374"/>
      <c r="C55935" s="374"/>
      <c r="CV55935" s="376"/>
    </row>
    <row r="55936" spans="1:100">
      <c r="A55936" s="374"/>
      <c r="C55936" s="374"/>
      <c r="CV55936" s="376"/>
    </row>
    <row r="55937" spans="1:100">
      <c r="A55937" s="374"/>
      <c r="C55937" s="374"/>
      <c r="CV55937" s="376"/>
    </row>
    <row r="55938" spans="1:100">
      <c r="A55938" s="374"/>
      <c r="C55938" s="374"/>
      <c r="CV55938" s="376"/>
    </row>
    <row r="55939" spans="1:100">
      <c r="A55939" s="374"/>
      <c r="C55939" s="374"/>
      <c r="CV55939" s="376"/>
    </row>
    <row r="55940" spans="1:100">
      <c r="A55940" s="374"/>
      <c r="C55940" s="374"/>
      <c r="CV55940" s="376"/>
    </row>
    <row r="55941" spans="1:100">
      <c r="A55941" s="374"/>
      <c r="C55941" s="374"/>
      <c r="CV55941" s="376"/>
    </row>
    <row r="55942" spans="1:100">
      <c r="A55942" s="374"/>
      <c r="C55942" s="374"/>
      <c r="CV55942" s="376"/>
    </row>
    <row r="55943" spans="1:100">
      <c r="A55943" s="374"/>
      <c r="C55943" s="374"/>
      <c r="CV55943" s="376"/>
    </row>
    <row r="55944" spans="1:100">
      <c r="A55944" s="374"/>
      <c r="C55944" s="374"/>
      <c r="CV55944" s="376"/>
    </row>
    <row r="55945" spans="1:100">
      <c r="A55945" s="374"/>
      <c r="C55945" s="374"/>
      <c r="CV55945" s="376"/>
    </row>
    <row r="55946" spans="1:100">
      <c r="A55946" s="374"/>
      <c r="C55946" s="374"/>
      <c r="CV55946" s="376"/>
    </row>
    <row r="55947" spans="1:100">
      <c r="A55947" s="374"/>
      <c r="C55947" s="374"/>
      <c r="CV55947" s="376"/>
    </row>
    <row r="55948" spans="1:100">
      <c r="A55948" s="374"/>
      <c r="C55948" s="374"/>
      <c r="CV55948" s="376"/>
    </row>
    <row r="55949" spans="1:100">
      <c r="A55949" s="374"/>
      <c r="C55949" s="374"/>
      <c r="CV55949" s="376"/>
    </row>
    <row r="55950" spans="1:100">
      <c r="A55950" s="374"/>
      <c r="C55950" s="374"/>
      <c r="CV55950" s="376"/>
    </row>
    <row r="55951" spans="1:100">
      <c r="A55951" s="374"/>
      <c r="C55951" s="374"/>
      <c r="CV55951" s="376"/>
    </row>
    <row r="55952" spans="1:100">
      <c r="A55952" s="374"/>
      <c r="C55952" s="374"/>
      <c r="CV55952" s="376"/>
    </row>
    <row r="55953" spans="1:100">
      <c r="A55953" s="374"/>
      <c r="C55953" s="374"/>
      <c r="CV55953" s="376"/>
    </row>
    <row r="55954" spans="1:100">
      <c r="A55954" s="374"/>
      <c r="C55954" s="374"/>
      <c r="CV55954" s="376"/>
    </row>
    <row r="55955" spans="1:100">
      <c r="A55955" s="374"/>
      <c r="C55955" s="374"/>
      <c r="CV55955" s="376"/>
    </row>
    <row r="55956" spans="1:100">
      <c r="A55956" s="374"/>
      <c r="C55956" s="374"/>
      <c r="CV55956" s="376"/>
    </row>
    <row r="55957" spans="1:100">
      <c r="A55957" s="374"/>
      <c r="C55957" s="374"/>
      <c r="CV55957" s="376"/>
    </row>
    <row r="55958" spans="1:100">
      <c r="A55958" s="374"/>
      <c r="C55958" s="374"/>
      <c r="CV55958" s="376"/>
    </row>
    <row r="55959" spans="1:100">
      <c r="A55959" s="374"/>
      <c r="C55959" s="374"/>
      <c r="CV55959" s="376"/>
    </row>
    <row r="55960" spans="1:100">
      <c r="A55960" s="374"/>
      <c r="C55960" s="374"/>
      <c r="CV55960" s="376"/>
    </row>
    <row r="55961" spans="1:100">
      <c r="A55961" s="374"/>
      <c r="C55961" s="374"/>
      <c r="CV55961" s="376"/>
    </row>
    <row r="55962" spans="1:100">
      <c r="A55962" s="374"/>
      <c r="C55962" s="374"/>
      <c r="CV55962" s="376"/>
    </row>
    <row r="55963" spans="1:100">
      <c r="A55963" s="374"/>
      <c r="C55963" s="374"/>
      <c r="CV55963" s="376"/>
    </row>
    <row r="55964" spans="1:100">
      <c r="A55964" s="374"/>
      <c r="C55964" s="374"/>
      <c r="CV55964" s="376"/>
    </row>
    <row r="55965" spans="1:100">
      <c r="A55965" s="374"/>
      <c r="C55965" s="374"/>
      <c r="CV55965" s="376"/>
    </row>
    <row r="55966" spans="1:100">
      <c r="A55966" s="374"/>
      <c r="C55966" s="374"/>
      <c r="CV55966" s="376"/>
    </row>
    <row r="55967" spans="1:100">
      <c r="A55967" s="374"/>
      <c r="C55967" s="374"/>
      <c r="CV55967" s="376"/>
    </row>
    <row r="55968" spans="1:100">
      <c r="A55968" s="374"/>
      <c r="C55968" s="374"/>
      <c r="CV55968" s="376"/>
    </row>
    <row r="55969" spans="1:100">
      <c r="A55969" s="374"/>
      <c r="C55969" s="374"/>
      <c r="CV55969" s="376"/>
    </row>
    <row r="55970" spans="1:100">
      <c r="A55970" s="374"/>
      <c r="C55970" s="374"/>
      <c r="CV55970" s="376"/>
    </row>
    <row r="55971" spans="1:100">
      <c r="A55971" s="374"/>
      <c r="C55971" s="374"/>
      <c r="CV55971" s="376"/>
    </row>
    <row r="55972" spans="1:100">
      <c r="A55972" s="374"/>
      <c r="C55972" s="374"/>
      <c r="CV55972" s="376"/>
    </row>
    <row r="55973" spans="1:100">
      <c r="A55973" s="374"/>
      <c r="C55973" s="374"/>
      <c r="CV55973" s="376"/>
    </row>
    <row r="55974" spans="1:100">
      <c r="A55974" s="374"/>
      <c r="C55974" s="374"/>
      <c r="CV55974" s="376"/>
    </row>
    <row r="55975" spans="1:100">
      <c r="A55975" s="374"/>
      <c r="C55975" s="374"/>
      <c r="CV55975" s="376"/>
    </row>
    <row r="55976" spans="1:100">
      <c r="A55976" s="374"/>
      <c r="C55976" s="374"/>
      <c r="CV55976" s="376"/>
    </row>
    <row r="55977" spans="1:100">
      <c r="A55977" s="374"/>
      <c r="C55977" s="374"/>
      <c r="CV55977" s="376"/>
    </row>
    <row r="55978" spans="1:100">
      <c r="A55978" s="374"/>
      <c r="C55978" s="374"/>
      <c r="CV55978" s="376"/>
    </row>
    <row r="55979" spans="1:100">
      <c r="A55979" s="374"/>
      <c r="C55979" s="374"/>
      <c r="CV55979" s="376"/>
    </row>
    <row r="55980" spans="1:100">
      <c r="A55980" s="374"/>
      <c r="C55980" s="374"/>
      <c r="CV55980" s="376"/>
    </row>
    <row r="55981" spans="1:100">
      <c r="A55981" s="374"/>
      <c r="C55981" s="374"/>
      <c r="CV55981" s="376"/>
    </row>
    <row r="55982" spans="1:100">
      <c r="A55982" s="374"/>
      <c r="C55982" s="374"/>
      <c r="CV55982" s="376"/>
    </row>
    <row r="55983" spans="1:100">
      <c r="A55983" s="374"/>
      <c r="C55983" s="374"/>
      <c r="CV55983" s="376"/>
    </row>
    <row r="55984" spans="1:100">
      <c r="A55984" s="374"/>
      <c r="C55984" s="374"/>
      <c r="CV55984" s="376"/>
    </row>
    <row r="55985" spans="1:100">
      <c r="A55985" s="374"/>
      <c r="C55985" s="374"/>
      <c r="CV55985" s="376"/>
    </row>
    <row r="55986" spans="1:100">
      <c r="A55986" s="374"/>
      <c r="C55986" s="374"/>
      <c r="CV55986" s="376"/>
    </row>
    <row r="55987" spans="1:100">
      <c r="A55987" s="374"/>
      <c r="C55987" s="374"/>
      <c r="CV55987" s="376"/>
    </row>
    <row r="55988" spans="1:100">
      <c r="A55988" s="374"/>
      <c r="C55988" s="374"/>
      <c r="CV55988" s="376"/>
    </row>
    <row r="55989" spans="1:100">
      <c r="A55989" s="374"/>
      <c r="C55989" s="374"/>
      <c r="CV55989" s="376"/>
    </row>
    <row r="55990" spans="1:100">
      <c r="A55990" s="374"/>
      <c r="C55990" s="374"/>
      <c r="CV55990" s="376"/>
    </row>
    <row r="55991" spans="1:100">
      <c r="A55991" s="374"/>
      <c r="C55991" s="374"/>
      <c r="CV55991" s="376"/>
    </row>
    <row r="55992" spans="1:100">
      <c r="A55992" s="374"/>
      <c r="C55992" s="374"/>
      <c r="CV55992" s="376"/>
    </row>
    <row r="55993" spans="1:100">
      <c r="A55993" s="374"/>
      <c r="C55993" s="374"/>
      <c r="CV55993" s="376"/>
    </row>
    <row r="55994" spans="1:100">
      <c r="A55994" s="374"/>
      <c r="C55994" s="374"/>
      <c r="CV55994" s="376"/>
    </row>
    <row r="55995" spans="1:100">
      <c r="A55995" s="374"/>
      <c r="C55995" s="374"/>
      <c r="CV55995" s="376"/>
    </row>
    <row r="55996" spans="1:100">
      <c r="A55996" s="374"/>
      <c r="C55996" s="374"/>
      <c r="CV55996" s="376"/>
    </row>
    <row r="55997" spans="1:100">
      <c r="A55997" s="374"/>
      <c r="C55997" s="374"/>
      <c r="CV55997" s="376"/>
    </row>
    <row r="55998" spans="1:100">
      <c r="A55998" s="374"/>
      <c r="C55998" s="374"/>
      <c r="CV55998" s="376"/>
    </row>
    <row r="55999" spans="1:100">
      <c r="A55999" s="374"/>
      <c r="C55999" s="374"/>
      <c r="CV55999" s="376"/>
    </row>
    <row r="56000" spans="1:100">
      <c r="A56000" s="374"/>
      <c r="C56000" s="374"/>
      <c r="CV56000" s="376"/>
    </row>
    <row r="56001" spans="1:100">
      <c r="A56001" s="374"/>
      <c r="C56001" s="374"/>
      <c r="CV56001" s="376"/>
    </row>
    <row r="56002" spans="1:100">
      <c r="A56002" s="374"/>
      <c r="C56002" s="374"/>
      <c r="CV56002" s="376"/>
    </row>
    <row r="56003" spans="1:100">
      <c r="A56003" s="374"/>
      <c r="C56003" s="374"/>
      <c r="CV56003" s="376"/>
    </row>
    <row r="56004" spans="1:100">
      <c r="A56004" s="374"/>
      <c r="C56004" s="374"/>
      <c r="CV56004" s="376"/>
    </row>
    <row r="56005" spans="1:100">
      <c r="A56005" s="374"/>
      <c r="C56005" s="374"/>
      <c r="CV56005" s="376"/>
    </row>
    <row r="56006" spans="1:100">
      <c r="A56006" s="374"/>
      <c r="C56006" s="374"/>
      <c r="CV56006" s="376"/>
    </row>
    <row r="56007" spans="1:100">
      <c r="A56007" s="374"/>
      <c r="C56007" s="374"/>
      <c r="CV56007" s="376"/>
    </row>
    <row r="56008" spans="1:100">
      <c r="A56008" s="374"/>
      <c r="C56008" s="374"/>
      <c r="CV56008" s="376"/>
    </row>
    <row r="56009" spans="1:100">
      <c r="A56009" s="374"/>
      <c r="C56009" s="374"/>
      <c r="CV56009" s="376"/>
    </row>
    <row r="56010" spans="1:100">
      <c r="A56010" s="374"/>
      <c r="C56010" s="374"/>
      <c r="CV56010" s="376"/>
    </row>
    <row r="56011" spans="1:100">
      <c r="A56011" s="374"/>
      <c r="C56011" s="374"/>
      <c r="CV56011" s="376"/>
    </row>
    <row r="56012" spans="1:100">
      <c r="A56012" s="374"/>
      <c r="C56012" s="374"/>
      <c r="CV56012" s="376"/>
    </row>
    <row r="56013" spans="1:100">
      <c r="A56013" s="374"/>
      <c r="C56013" s="374"/>
      <c r="CV56013" s="376"/>
    </row>
    <row r="56014" spans="1:100">
      <c r="A56014" s="374"/>
      <c r="C56014" s="374"/>
      <c r="CV56014" s="376"/>
    </row>
    <row r="56015" spans="1:100">
      <c r="A56015" s="374"/>
      <c r="C56015" s="374"/>
      <c r="CV56015" s="376"/>
    </row>
    <row r="56016" spans="1:100">
      <c r="A56016" s="374"/>
      <c r="C56016" s="374"/>
      <c r="CV56016" s="376"/>
    </row>
    <row r="56017" spans="1:100">
      <c r="A56017" s="374"/>
      <c r="C56017" s="374"/>
      <c r="CV56017" s="376"/>
    </row>
    <row r="56018" spans="1:100">
      <c r="A56018" s="374"/>
      <c r="C56018" s="374"/>
      <c r="CV56018" s="376"/>
    </row>
    <row r="56019" spans="1:100">
      <c r="A56019" s="374"/>
      <c r="C56019" s="374"/>
      <c r="CV56019" s="376"/>
    </row>
    <row r="56020" spans="1:100">
      <c r="A56020" s="374"/>
      <c r="C56020" s="374"/>
      <c r="CV56020" s="376"/>
    </row>
    <row r="56021" spans="1:100">
      <c r="A56021" s="374"/>
      <c r="C56021" s="374"/>
      <c r="CV56021" s="376"/>
    </row>
    <row r="56022" spans="1:100">
      <c r="A56022" s="374"/>
      <c r="C56022" s="374"/>
      <c r="CV56022" s="376"/>
    </row>
    <row r="56023" spans="1:100">
      <c r="A56023" s="374"/>
      <c r="C56023" s="374"/>
      <c r="CV56023" s="376"/>
    </row>
    <row r="56024" spans="1:100">
      <c r="A56024" s="374"/>
      <c r="C56024" s="374"/>
      <c r="CV56024" s="376"/>
    </row>
    <row r="56025" spans="1:100">
      <c r="A56025" s="374"/>
      <c r="C56025" s="374"/>
      <c r="CV56025" s="376"/>
    </row>
    <row r="56026" spans="1:100">
      <c r="A56026" s="374"/>
      <c r="C56026" s="374"/>
      <c r="CV56026" s="376"/>
    </row>
    <row r="56027" spans="1:100">
      <c r="A56027" s="374"/>
      <c r="C56027" s="374"/>
      <c r="CV56027" s="376"/>
    </row>
    <row r="56028" spans="1:100">
      <c r="A56028" s="374"/>
      <c r="C56028" s="374"/>
      <c r="CV56028" s="376"/>
    </row>
    <row r="56029" spans="1:100">
      <c r="A56029" s="374"/>
      <c r="C56029" s="374"/>
      <c r="CV56029" s="376"/>
    </row>
    <row r="56030" spans="1:100">
      <c r="A56030" s="374"/>
      <c r="C56030" s="374"/>
      <c r="CV56030" s="376"/>
    </row>
    <row r="56031" spans="1:100">
      <c r="A56031" s="374"/>
      <c r="C56031" s="374"/>
      <c r="CV56031" s="376"/>
    </row>
    <row r="56032" spans="1:100">
      <c r="A56032" s="374"/>
      <c r="C56032" s="374"/>
      <c r="CV56032" s="376"/>
    </row>
    <row r="56033" spans="1:100">
      <c r="A56033" s="374"/>
      <c r="C56033" s="374"/>
      <c r="CV56033" s="376"/>
    </row>
    <row r="56034" spans="1:100">
      <c r="A56034" s="374"/>
      <c r="C56034" s="374"/>
      <c r="CV56034" s="376"/>
    </row>
    <row r="56035" spans="1:100">
      <c r="A56035" s="374"/>
      <c r="C56035" s="374"/>
      <c r="CV56035" s="376"/>
    </row>
    <row r="56036" spans="1:100">
      <c r="A56036" s="374"/>
      <c r="C56036" s="374"/>
      <c r="CV56036" s="376"/>
    </row>
    <row r="56037" spans="1:100">
      <c r="A56037" s="374"/>
      <c r="C56037" s="374"/>
      <c r="CV56037" s="376"/>
    </row>
    <row r="56038" spans="1:100">
      <c r="A56038" s="374"/>
      <c r="C56038" s="374"/>
      <c r="CV56038" s="376"/>
    </row>
    <row r="56039" spans="1:100">
      <c r="A56039" s="374"/>
      <c r="C56039" s="374"/>
      <c r="CV56039" s="376"/>
    </row>
    <row r="56040" spans="1:100">
      <c r="A56040" s="374"/>
      <c r="C56040" s="374"/>
      <c r="CV56040" s="376"/>
    </row>
    <row r="56041" spans="1:100">
      <c r="A56041" s="374"/>
      <c r="C56041" s="374"/>
      <c r="CV56041" s="376"/>
    </row>
    <row r="56042" spans="1:100">
      <c r="A56042" s="374"/>
      <c r="C56042" s="374"/>
      <c r="CV56042" s="376"/>
    </row>
    <row r="56043" spans="1:100">
      <c r="A56043" s="374"/>
      <c r="C56043" s="374"/>
      <c r="CV56043" s="376"/>
    </row>
    <row r="56044" spans="1:100">
      <c r="A56044" s="374"/>
      <c r="C56044" s="374"/>
      <c r="CV56044" s="376"/>
    </row>
    <row r="56045" spans="1:100">
      <c r="A56045" s="374"/>
      <c r="C56045" s="374"/>
      <c r="CV56045" s="376"/>
    </row>
    <row r="56046" spans="1:100">
      <c r="A56046" s="374"/>
      <c r="C56046" s="374"/>
      <c r="CV56046" s="376"/>
    </row>
    <row r="56047" spans="1:100">
      <c r="A56047" s="374"/>
      <c r="C56047" s="374"/>
      <c r="CV56047" s="376"/>
    </row>
    <row r="56048" spans="1:100">
      <c r="A56048" s="374"/>
      <c r="C56048" s="374"/>
      <c r="CV56048" s="376"/>
    </row>
    <row r="56049" spans="1:100">
      <c r="A56049" s="374"/>
      <c r="C56049" s="374"/>
      <c r="CV56049" s="376"/>
    </row>
    <row r="56050" spans="1:100">
      <c r="A56050" s="374"/>
      <c r="C56050" s="374"/>
      <c r="CV56050" s="376"/>
    </row>
    <row r="56051" spans="1:100">
      <c r="A56051" s="374"/>
      <c r="C56051" s="374"/>
      <c r="CV56051" s="376"/>
    </row>
    <row r="56052" spans="1:100">
      <c r="A56052" s="374"/>
      <c r="C56052" s="374"/>
      <c r="CV56052" s="376"/>
    </row>
    <row r="56053" spans="1:100">
      <c r="A56053" s="374"/>
      <c r="C56053" s="374"/>
      <c r="CV56053" s="376"/>
    </row>
    <row r="56054" spans="1:100">
      <c r="A56054" s="374"/>
      <c r="C56054" s="374"/>
      <c r="CV56054" s="376"/>
    </row>
    <row r="56055" spans="1:100">
      <c r="A56055" s="374"/>
      <c r="C56055" s="374"/>
      <c r="CV56055" s="376"/>
    </row>
    <row r="56056" spans="1:100">
      <c r="A56056" s="374"/>
      <c r="C56056" s="374"/>
      <c r="CV56056" s="376"/>
    </row>
    <row r="56057" spans="1:100">
      <c r="A56057" s="374"/>
      <c r="C56057" s="374"/>
      <c r="CV56057" s="376"/>
    </row>
    <row r="56058" spans="1:100">
      <c r="A56058" s="374"/>
      <c r="C56058" s="374"/>
      <c r="CV56058" s="376"/>
    </row>
    <row r="56059" spans="1:100">
      <c r="A56059" s="374"/>
      <c r="C56059" s="374"/>
      <c r="CV56059" s="376"/>
    </row>
    <row r="56060" spans="1:100">
      <c r="A56060" s="374"/>
      <c r="C56060" s="374"/>
      <c r="CV56060" s="376"/>
    </row>
    <row r="56061" spans="1:100">
      <c r="A56061" s="374"/>
      <c r="C56061" s="374"/>
      <c r="CV56061" s="376"/>
    </row>
    <row r="56062" spans="1:100">
      <c r="A56062" s="374"/>
      <c r="C56062" s="374"/>
      <c r="CV56062" s="376"/>
    </row>
    <row r="56063" spans="1:100">
      <c r="A56063" s="374"/>
      <c r="C56063" s="374"/>
      <c r="CV56063" s="376"/>
    </row>
    <row r="56064" spans="1:100">
      <c r="A56064" s="374"/>
      <c r="C56064" s="374"/>
      <c r="CV56064" s="376"/>
    </row>
    <row r="56065" spans="1:100">
      <c r="A56065" s="374"/>
      <c r="C56065" s="374"/>
      <c r="CV56065" s="376"/>
    </row>
    <row r="56066" spans="1:100">
      <c r="A56066" s="374"/>
      <c r="C56066" s="374"/>
      <c r="CV56066" s="376"/>
    </row>
    <row r="56067" spans="1:100">
      <c r="A56067" s="374"/>
      <c r="C56067" s="374"/>
      <c r="CV56067" s="376"/>
    </row>
    <row r="56068" spans="1:100">
      <c r="A56068" s="374"/>
      <c r="C56068" s="374"/>
      <c r="CV56068" s="376"/>
    </row>
    <row r="56069" spans="1:100">
      <c r="A56069" s="374"/>
      <c r="C56069" s="374"/>
      <c r="CV56069" s="376"/>
    </row>
    <row r="56070" spans="1:100">
      <c r="A56070" s="374"/>
      <c r="C56070" s="374"/>
      <c r="CV56070" s="376"/>
    </row>
    <row r="56071" spans="1:100">
      <c r="A56071" s="374"/>
      <c r="C56071" s="374"/>
      <c r="CV56071" s="376"/>
    </row>
    <row r="56072" spans="1:100">
      <c r="A56072" s="374"/>
      <c r="C56072" s="374"/>
      <c r="CV56072" s="376"/>
    </row>
    <row r="56073" spans="1:100">
      <c r="A56073" s="374"/>
      <c r="C56073" s="374"/>
      <c r="CV56073" s="376"/>
    </row>
    <row r="56074" spans="1:100">
      <c r="A56074" s="374"/>
      <c r="C56074" s="374"/>
      <c r="CV56074" s="376"/>
    </row>
    <row r="56075" spans="1:100">
      <c r="A56075" s="374"/>
      <c r="C56075" s="374"/>
      <c r="CV56075" s="376"/>
    </row>
    <row r="56076" spans="1:100">
      <c r="A56076" s="374"/>
      <c r="C56076" s="374"/>
      <c r="CV56076" s="376"/>
    </row>
    <row r="56077" spans="1:100">
      <c r="A56077" s="374"/>
      <c r="C56077" s="374"/>
      <c r="CV56077" s="376"/>
    </row>
    <row r="56078" spans="1:100">
      <c r="A56078" s="374"/>
      <c r="C56078" s="374"/>
      <c r="CV56078" s="376"/>
    </row>
    <row r="56079" spans="1:100">
      <c r="A56079" s="374"/>
      <c r="C56079" s="374"/>
      <c r="CV56079" s="376"/>
    </row>
    <row r="56080" spans="1:100">
      <c r="A56080" s="374"/>
      <c r="C56080" s="374"/>
      <c r="CV56080" s="376"/>
    </row>
    <row r="56081" spans="1:100">
      <c r="A56081" s="374"/>
      <c r="C56081" s="374"/>
      <c r="CV56081" s="376"/>
    </row>
    <row r="56082" spans="1:100">
      <c r="A56082" s="374"/>
      <c r="C56082" s="374"/>
      <c r="CV56082" s="376"/>
    </row>
    <row r="56083" spans="1:100">
      <c r="A56083" s="374"/>
      <c r="C56083" s="374"/>
      <c r="CV56083" s="376"/>
    </row>
    <row r="56084" spans="1:100">
      <c r="A56084" s="374"/>
      <c r="C56084" s="374"/>
      <c r="CV56084" s="376"/>
    </row>
    <row r="56085" spans="1:100">
      <c r="A56085" s="374"/>
      <c r="C56085" s="374"/>
      <c r="CV56085" s="376"/>
    </row>
    <row r="56086" spans="1:100">
      <c r="A56086" s="374"/>
      <c r="C56086" s="374"/>
      <c r="CV56086" s="376"/>
    </row>
    <row r="56087" spans="1:100">
      <c r="A56087" s="374"/>
      <c r="C56087" s="374"/>
      <c r="CV56087" s="376"/>
    </row>
    <row r="56088" spans="1:100">
      <c r="A56088" s="374"/>
      <c r="C56088" s="374"/>
      <c r="CV56088" s="376"/>
    </row>
    <row r="56089" spans="1:100">
      <c r="A56089" s="374"/>
      <c r="C56089" s="374"/>
      <c r="CV56089" s="376"/>
    </row>
    <row r="56090" spans="1:100">
      <c r="A56090" s="374"/>
      <c r="C56090" s="374"/>
      <c r="CV56090" s="376"/>
    </row>
    <row r="56091" spans="1:100">
      <c r="A56091" s="374"/>
      <c r="C56091" s="374"/>
      <c r="CV56091" s="376"/>
    </row>
    <row r="56092" spans="1:100">
      <c r="A56092" s="374"/>
      <c r="C56092" s="374"/>
      <c r="CV56092" s="376"/>
    </row>
    <row r="56093" spans="1:100">
      <c r="A56093" s="374"/>
      <c r="C56093" s="374"/>
      <c r="CV56093" s="376"/>
    </row>
    <row r="56094" spans="1:100">
      <c r="A56094" s="374"/>
      <c r="C56094" s="374"/>
      <c r="CV56094" s="376"/>
    </row>
    <row r="56095" spans="1:100">
      <c r="A56095" s="374"/>
      <c r="C56095" s="374"/>
      <c r="CV56095" s="376"/>
    </row>
    <row r="56096" spans="1:100">
      <c r="A56096" s="374"/>
      <c r="C56096" s="374"/>
      <c r="CV56096" s="376"/>
    </row>
    <row r="56097" spans="1:100">
      <c r="A56097" s="374"/>
      <c r="C56097" s="374"/>
      <c r="CV56097" s="376"/>
    </row>
    <row r="56098" spans="1:100">
      <c r="A56098" s="374"/>
      <c r="C56098" s="374"/>
      <c r="CV56098" s="376"/>
    </row>
    <row r="56099" spans="1:100">
      <c r="A56099" s="374"/>
      <c r="C56099" s="374"/>
      <c r="CV56099" s="376"/>
    </row>
    <row r="56100" spans="1:100">
      <c r="A56100" s="374"/>
      <c r="C56100" s="374"/>
      <c r="CV56100" s="376"/>
    </row>
    <row r="56101" spans="1:100">
      <c r="A56101" s="374"/>
      <c r="C56101" s="374"/>
      <c r="CV56101" s="376"/>
    </row>
    <row r="56102" spans="1:100">
      <c r="A56102" s="374"/>
      <c r="C56102" s="374"/>
      <c r="CV56102" s="376"/>
    </row>
    <row r="56103" spans="1:100">
      <c r="A56103" s="374"/>
      <c r="C56103" s="374"/>
      <c r="CV56103" s="376"/>
    </row>
    <row r="56104" spans="1:100">
      <c r="A56104" s="374"/>
      <c r="C56104" s="374"/>
      <c r="CV56104" s="376"/>
    </row>
    <row r="56105" spans="1:100">
      <c r="A56105" s="374"/>
      <c r="C56105" s="374"/>
      <c r="CV56105" s="376"/>
    </row>
    <row r="56106" spans="1:100">
      <c r="A56106" s="374"/>
      <c r="C56106" s="374"/>
      <c r="CV56106" s="376"/>
    </row>
    <row r="56107" spans="1:100">
      <c r="A56107" s="374"/>
      <c r="C56107" s="374"/>
      <c r="CV56107" s="376"/>
    </row>
    <row r="56108" spans="1:100">
      <c r="A56108" s="374"/>
      <c r="C56108" s="374"/>
      <c r="CV56108" s="376"/>
    </row>
    <row r="56109" spans="1:100">
      <c r="A56109" s="374"/>
      <c r="C56109" s="374"/>
      <c r="CV56109" s="376"/>
    </row>
    <row r="56110" spans="1:100">
      <c r="A56110" s="374"/>
      <c r="C56110" s="374"/>
      <c r="CV56110" s="376"/>
    </row>
    <row r="56111" spans="1:100">
      <c r="A56111" s="374"/>
      <c r="C56111" s="374"/>
      <c r="CV56111" s="376"/>
    </row>
    <row r="56112" spans="1:100">
      <c r="A56112" s="374"/>
      <c r="C56112" s="374"/>
      <c r="CV56112" s="376"/>
    </row>
    <row r="56113" spans="1:100">
      <c r="A56113" s="374"/>
      <c r="C56113" s="374"/>
      <c r="CV56113" s="376"/>
    </row>
    <row r="56114" spans="1:100">
      <c r="A56114" s="374"/>
      <c r="C56114" s="374"/>
      <c r="CV56114" s="376"/>
    </row>
    <row r="56115" spans="1:100">
      <c r="A56115" s="374"/>
      <c r="C56115" s="374"/>
      <c r="CV56115" s="376"/>
    </row>
    <row r="56116" spans="1:100">
      <c r="A56116" s="374"/>
      <c r="C56116" s="374"/>
      <c r="CV56116" s="376"/>
    </row>
    <row r="56117" spans="1:100">
      <c r="A56117" s="374"/>
      <c r="C56117" s="374"/>
      <c r="CV56117" s="376"/>
    </row>
    <row r="56118" spans="1:100">
      <c r="A56118" s="374"/>
      <c r="C56118" s="374"/>
      <c r="CV56118" s="376"/>
    </row>
    <row r="56119" spans="1:100">
      <c r="A56119" s="374"/>
      <c r="C56119" s="374"/>
      <c r="CV56119" s="376"/>
    </row>
    <row r="56120" spans="1:100">
      <c r="A56120" s="374"/>
      <c r="C56120" s="374"/>
      <c r="CV56120" s="376"/>
    </row>
    <row r="56121" spans="1:100">
      <c r="A56121" s="374"/>
      <c r="C56121" s="374"/>
      <c r="CV56121" s="376"/>
    </row>
    <row r="56122" spans="1:100">
      <c r="A56122" s="374"/>
      <c r="C56122" s="374"/>
      <c r="CV56122" s="376"/>
    </row>
    <row r="56123" spans="1:100">
      <c r="A56123" s="374"/>
      <c r="C56123" s="374"/>
      <c r="CV56123" s="376"/>
    </row>
    <row r="56124" spans="1:100">
      <c r="A56124" s="374"/>
      <c r="C56124" s="374"/>
      <c r="CV56124" s="376"/>
    </row>
    <row r="56125" spans="1:100">
      <c r="A56125" s="374"/>
      <c r="C56125" s="374"/>
      <c r="CV56125" s="376"/>
    </row>
    <row r="56126" spans="1:100">
      <c r="A56126" s="374"/>
      <c r="C56126" s="374"/>
      <c r="CV56126" s="376"/>
    </row>
    <row r="56127" spans="1:100">
      <c r="A56127" s="374"/>
      <c r="C56127" s="374"/>
      <c r="CV56127" s="376"/>
    </row>
    <row r="56128" spans="1:100">
      <c r="A56128" s="374"/>
      <c r="C56128" s="374"/>
      <c r="CV56128" s="376"/>
    </row>
    <row r="56129" spans="1:100">
      <c r="A56129" s="374"/>
      <c r="C56129" s="374"/>
      <c r="CV56129" s="376"/>
    </row>
    <row r="56130" spans="1:100">
      <c r="A56130" s="374"/>
      <c r="C56130" s="374"/>
      <c r="CV56130" s="376"/>
    </row>
    <row r="56131" spans="1:100">
      <c r="A56131" s="374"/>
      <c r="C56131" s="374"/>
      <c r="CV56131" s="376"/>
    </row>
    <row r="56132" spans="1:100">
      <c r="A56132" s="374"/>
      <c r="C56132" s="374"/>
      <c r="CV56132" s="376"/>
    </row>
    <row r="56133" spans="1:100">
      <c r="A56133" s="374"/>
      <c r="C56133" s="374"/>
      <c r="CV56133" s="376"/>
    </row>
    <row r="56134" spans="1:100">
      <c r="A56134" s="374"/>
      <c r="C56134" s="374"/>
      <c r="CV56134" s="376"/>
    </row>
    <row r="56135" spans="1:100">
      <c r="A56135" s="374"/>
      <c r="C56135" s="374"/>
      <c r="CV56135" s="376"/>
    </row>
    <row r="56136" spans="1:100">
      <c r="A56136" s="374"/>
      <c r="C56136" s="374"/>
      <c r="CV56136" s="376"/>
    </row>
    <row r="56137" spans="1:100">
      <c r="A56137" s="374"/>
      <c r="C56137" s="374"/>
      <c r="CV56137" s="376"/>
    </row>
    <row r="56138" spans="1:100">
      <c r="A56138" s="374"/>
      <c r="C56138" s="374"/>
      <c r="CV56138" s="376"/>
    </row>
    <row r="56139" spans="1:100">
      <c r="A56139" s="374"/>
      <c r="C56139" s="374"/>
      <c r="CV56139" s="376"/>
    </row>
    <row r="56140" spans="1:100">
      <c r="A56140" s="374"/>
      <c r="C56140" s="374"/>
      <c r="CV56140" s="376"/>
    </row>
    <row r="56141" spans="1:100">
      <c r="A56141" s="374"/>
      <c r="C56141" s="374"/>
      <c r="CV56141" s="376"/>
    </row>
    <row r="56142" spans="1:100">
      <c r="A56142" s="374"/>
      <c r="C56142" s="374"/>
      <c r="CV56142" s="376"/>
    </row>
    <row r="56143" spans="1:100">
      <c r="A56143" s="374"/>
      <c r="C56143" s="374"/>
      <c r="CV56143" s="376"/>
    </row>
    <row r="56144" spans="1:100">
      <c r="A56144" s="374"/>
      <c r="C56144" s="374"/>
      <c r="CV56144" s="376"/>
    </row>
    <row r="56145" spans="1:100">
      <c r="A56145" s="374"/>
      <c r="C56145" s="374"/>
      <c r="CV56145" s="376"/>
    </row>
    <row r="56146" spans="1:100">
      <c r="A56146" s="374"/>
      <c r="C56146" s="374"/>
      <c r="CV56146" s="376"/>
    </row>
    <row r="56147" spans="1:100">
      <c r="A56147" s="374"/>
      <c r="C56147" s="374"/>
      <c r="CV56147" s="376"/>
    </row>
    <row r="56148" spans="1:100">
      <c r="A56148" s="374"/>
      <c r="C56148" s="374"/>
      <c r="CV56148" s="376"/>
    </row>
    <row r="56149" spans="1:100">
      <c r="A56149" s="374"/>
      <c r="C56149" s="374"/>
      <c r="CV56149" s="376"/>
    </row>
    <row r="56150" spans="1:100">
      <c r="A56150" s="374"/>
      <c r="C56150" s="374"/>
      <c r="CV56150" s="376"/>
    </row>
    <row r="56151" spans="1:100">
      <c r="A56151" s="374"/>
      <c r="C56151" s="374"/>
      <c r="CV56151" s="376"/>
    </row>
    <row r="56152" spans="1:100">
      <c r="A56152" s="374"/>
      <c r="C56152" s="374"/>
      <c r="CV56152" s="376"/>
    </row>
    <row r="56153" spans="1:100">
      <c r="A56153" s="374"/>
      <c r="C56153" s="374"/>
      <c r="CV56153" s="376"/>
    </row>
    <row r="56154" spans="1:100">
      <c r="A56154" s="374"/>
      <c r="C56154" s="374"/>
      <c r="CV56154" s="376"/>
    </row>
    <row r="56155" spans="1:100">
      <c r="A56155" s="374"/>
      <c r="C56155" s="374"/>
      <c r="CV56155" s="376"/>
    </row>
    <row r="56156" spans="1:100">
      <c r="A56156" s="374"/>
      <c r="C56156" s="374"/>
      <c r="CV56156" s="376"/>
    </row>
    <row r="56157" spans="1:100">
      <c r="A56157" s="374"/>
      <c r="C56157" s="374"/>
      <c r="CV56157" s="376"/>
    </row>
    <row r="56158" spans="1:100">
      <c r="A56158" s="374"/>
      <c r="C56158" s="374"/>
      <c r="CV56158" s="376"/>
    </row>
    <row r="56159" spans="1:100">
      <c r="A56159" s="374"/>
      <c r="C56159" s="374"/>
      <c r="CV56159" s="376"/>
    </row>
    <row r="56160" spans="1:100">
      <c r="A56160" s="374"/>
      <c r="C56160" s="374"/>
      <c r="CV56160" s="376"/>
    </row>
    <row r="56161" spans="1:100">
      <c r="A56161" s="374"/>
      <c r="C56161" s="374"/>
      <c r="CV56161" s="376"/>
    </row>
    <row r="56162" spans="1:100">
      <c r="A56162" s="374"/>
      <c r="C56162" s="374"/>
      <c r="CV56162" s="376"/>
    </row>
    <row r="56163" spans="1:100">
      <c r="A56163" s="374"/>
      <c r="C56163" s="374"/>
      <c r="CV56163" s="376"/>
    </row>
    <row r="56164" spans="1:100">
      <c r="A56164" s="374"/>
      <c r="C56164" s="374"/>
      <c r="CV56164" s="376"/>
    </row>
    <row r="56165" spans="1:100">
      <c r="A56165" s="374"/>
      <c r="C56165" s="374"/>
      <c r="CV56165" s="376"/>
    </row>
    <row r="56166" spans="1:100">
      <c r="A56166" s="374"/>
      <c r="C56166" s="374"/>
      <c r="CV56166" s="376"/>
    </row>
    <row r="56167" spans="1:100">
      <c r="A56167" s="374"/>
      <c r="C56167" s="374"/>
      <c r="CV56167" s="376"/>
    </row>
    <row r="56168" spans="1:100">
      <c r="A56168" s="374"/>
      <c r="C56168" s="374"/>
      <c r="CV56168" s="376"/>
    </row>
    <row r="56169" spans="1:100">
      <c r="A56169" s="374"/>
      <c r="C56169" s="374"/>
      <c r="CV56169" s="376"/>
    </row>
    <row r="56170" spans="1:100">
      <c r="A56170" s="374"/>
      <c r="C56170" s="374"/>
      <c r="CV56170" s="376"/>
    </row>
    <row r="56171" spans="1:100">
      <c r="A56171" s="374"/>
      <c r="C56171" s="374"/>
      <c r="CV56171" s="376"/>
    </row>
    <row r="56172" spans="1:100">
      <c r="A56172" s="374"/>
      <c r="C56172" s="374"/>
      <c r="CV56172" s="376"/>
    </row>
    <row r="56173" spans="1:100">
      <c r="A56173" s="374"/>
      <c r="C56173" s="374"/>
      <c r="CV56173" s="376"/>
    </row>
    <row r="56174" spans="1:100">
      <c r="A56174" s="374"/>
      <c r="C56174" s="374"/>
      <c r="CV56174" s="376"/>
    </row>
    <row r="56175" spans="1:100">
      <c r="A56175" s="374"/>
      <c r="C56175" s="374"/>
      <c r="CV56175" s="376"/>
    </row>
    <row r="56176" spans="1:100">
      <c r="A56176" s="374"/>
      <c r="C56176" s="374"/>
      <c r="CV56176" s="376"/>
    </row>
    <row r="56177" spans="1:100">
      <c r="A56177" s="374"/>
      <c r="C56177" s="374"/>
      <c r="CV56177" s="376"/>
    </row>
    <row r="56178" spans="1:100">
      <c r="A56178" s="374"/>
      <c r="C56178" s="374"/>
      <c r="CV56178" s="376"/>
    </row>
    <row r="56179" spans="1:100">
      <c r="A56179" s="374"/>
      <c r="C56179" s="374"/>
      <c r="CV56179" s="376"/>
    </row>
    <row r="56180" spans="1:100">
      <c r="A56180" s="374"/>
      <c r="C56180" s="374"/>
      <c r="CV56180" s="376"/>
    </row>
    <row r="56181" spans="1:100">
      <c r="A56181" s="374"/>
      <c r="C56181" s="374"/>
      <c r="CV56181" s="376"/>
    </row>
    <row r="56182" spans="1:100">
      <c r="A56182" s="374"/>
      <c r="C56182" s="374"/>
      <c r="CV56182" s="376"/>
    </row>
    <row r="56183" spans="1:100">
      <c r="A56183" s="374"/>
      <c r="C56183" s="374"/>
      <c r="CV56183" s="376"/>
    </row>
    <row r="56184" spans="1:100">
      <c r="A56184" s="374"/>
      <c r="C56184" s="374"/>
      <c r="CV56184" s="376"/>
    </row>
    <row r="56185" spans="1:100">
      <c r="A56185" s="374"/>
      <c r="C56185" s="374"/>
      <c r="CV56185" s="376"/>
    </row>
    <row r="56186" spans="1:100">
      <c r="A56186" s="374"/>
      <c r="C56186" s="374"/>
      <c r="CV56186" s="376"/>
    </row>
    <row r="56187" spans="1:100">
      <c r="A56187" s="374"/>
      <c r="C56187" s="374"/>
      <c r="CV56187" s="376"/>
    </row>
    <row r="56188" spans="1:100">
      <c r="A56188" s="374"/>
      <c r="C56188" s="374"/>
      <c r="CV56188" s="376"/>
    </row>
    <row r="56189" spans="1:100">
      <c r="A56189" s="374"/>
      <c r="C56189" s="374"/>
      <c r="CV56189" s="376"/>
    </row>
    <row r="56190" spans="1:100">
      <c r="A56190" s="374"/>
      <c r="C56190" s="374"/>
      <c r="CV56190" s="376"/>
    </row>
    <row r="56191" spans="1:100">
      <c r="A56191" s="374"/>
      <c r="C56191" s="374"/>
      <c r="CV56191" s="376"/>
    </row>
    <row r="56192" spans="1:100">
      <c r="A56192" s="374"/>
      <c r="C56192" s="374"/>
      <c r="CV56192" s="376"/>
    </row>
    <row r="56193" spans="1:100">
      <c r="A56193" s="374"/>
      <c r="C56193" s="374"/>
      <c r="CV56193" s="376"/>
    </row>
    <row r="56194" spans="1:100">
      <c r="A56194" s="374"/>
      <c r="C56194" s="374"/>
      <c r="CV56194" s="376"/>
    </row>
    <row r="56195" spans="1:100">
      <c r="A56195" s="374"/>
      <c r="C56195" s="374"/>
      <c r="CV56195" s="376"/>
    </row>
    <row r="56196" spans="1:100">
      <c r="A56196" s="374"/>
      <c r="C56196" s="374"/>
      <c r="CV56196" s="376"/>
    </row>
    <row r="56197" spans="1:100">
      <c r="A56197" s="374"/>
      <c r="C56197" s="374"/>
      <c r="CV56197" s="376"/>
    </row>
    <row r="56198" spans="1:100">
      <c r="A56198" s="374"/>
      <c r="C56198" s="374"/>
      <c r="CV56198" s="376"/>
    </row>
    <row r="56199" spans="1:100">
      <c r="A56199" s="374"/>
      <c r="C56199" s="374"/>
      <c r="CV56199" s="376"/>
    </row>
    <row r="56200" spans="1:100">
      <c r="A56200" s="374"/>
      <c r="C56200" s="374"/>
      <c r="CV56200" s="376"/>
    </row>
    <row r="56201" spans="1:100">
      <c r="A56201" s="374"/>
      <c r="C56201" s="374"/>
      <c r="CV56201" s="376"/>
    </row>
    <row r="56202" spans="1:100">
      <c r="A56202" s="374"/>
      <c r="C56202" s="374"/>
      <c r="CV56202" s="376"/>
    </row>
    <row r="56203" spans="1:100">
      <c r="A56203" s="374"/>
      <c r="C56203" s="374"/>
      <c r="CV56203" s="376"/>
    </row>
    <row r="56204" spans="1:100">
      <c r="A56204" s="374"/>
      <c r="C56204" s="374"/>
      <c r="CV56204" s="376"/>
    </row>
    <row r="56205" spans="1:100">
      <c r="A56205" s="374"/>
      <c r="C56205" s="374"/>
      <c r="CV56205" s="376"/>
    </row>
    <row r="56206" spans="1:100">
      <c r="A56206" s="374"/>
      <c r="C56206" s="374"/>
      <c r="CV56206" s="376"/>
    </row>
    <row r="56207" spans="1:100">
      <c r="A56207" s="374"/>
      <c r="C56207" s="374"/>
      <c r="CV56207" s="376"/>
    </row>
    <row r="56208" spans="1:100">
      <c r="A56208" s="374"/>
      <c r="C56208" s="374"/>
      <c r="CV56208" s="376"/>
    </row>
    <row r="56209" spans="1:100">
      <c r="A56209" s="374"/>
      <c r="C56209" s="374"/>
      <c r="CV56209" s="376"/>
    </row>
    <row r="56210" spans="1:100">
      <c r="A56210" s="374"/>
      <c r="C56210" s="374"/>
      <c r="CV56210" s="376"/>
    </row>
    <row r="56211" spans="1:100">
      <c r="A56211" s="374"/>
      <c r="C56211" s="374"/>
      <c r="CV56211" s="376"/>
    </row>
    <row r="56212" spans="1:100">
      <c r="A56212" s="374"/>
      <c r="C56212" s="374"/>
      <c r="CV56212" s="376"/>
    </row>
    <row r="56213" spans="1:100">
      <c r="A56213" s="374"/>
      <c r="C56213" s="374"/>
      <c r="CV56213" s="376"/>
    </row>
    <row r="56214" spans="1:100">
      <c r="A56214" s="374"/>
      <c r="C56214" s="374"/>
      <c r="CV56214" s="376"/>
    </row>
    <row r="56215" spans="1:100">
      <c r="A56215" s="374"/>
      <c r="C56215" s="374"/>
      <c r="CV56215" s="376"/>
    </row>
    <row r="56216" spans="1:100">
      <c r="A56216" s="374"/>
      <c r="C56216" s="374"/>
      <c r="CV56216" s="376"/>
    </row>
    <row r="56217" spans="1:100">
      <c r="A56217" s="374"/>
      <c r="C56217" s="374"/>
      <c r="CV56217" s="376"/>
    </row>
    <row r="56218" spans="1:100">
      <c r="A56218" s="374"/>
      <c r="C56218" s="374"/>
      <c r="CV56218" s="376"/>
    </row>
    <row r="56219" spans="1:100">
      <c r="A56219" s="374"/>
      <c r="C56219" s="374"/>
      <c r="CV56219" s="376"/>
    </row>
    <row r="56220" spans="1:100">
      <c r="A56220" s="374"/>
      <c r="C56220" s="374"/>
      <c r="CV56220" s="376"/>
    </row>
    <row r="56221" spans="1:100">
      <c r="A56221" s="374"/>
      <c r="C56221" s="374"/>
      <c r="CV56221" s="376"/>
    </row>
    <row r="56222" spans="1:100">
      <c r="A56222" s="374"/>
      <c r="C56222" s="374"/>
      <c r="CV56222" s="376"/>
    </row>
    <row r="56223" spans="1:100">
      <c r="A56223" s="374"/>
      <c r="C56223" s="374"/>
      <c r="CV56223" s="376"/>
    </row>
    <row r="56224" spans="1:100">
      <c r="A56224" s="374"/>
      <c r="C56224" s="374"/>
      <c r="CV56224" s="376"/>
    </row>
    <row r="56225" spans="1:100">
      <c r="A56225" s="374"/>
      <c r="C56225" s="374"/>
      <c r="CV56225" s="376"/>
    </row>
    <row r="56226" spans="1:100">
      <c r="A56226" s="374"/>
      <c r="C56226" s="374"/>
      <c r="CV56226" s="376"/>
    </row>
    <row r="56227" spans="1:100">
      <c r="A56227" s="374"/>
      <c r="C56227" s="374"/>
      <c r="CV56227" s="376"/>
    </row>
    <row r="56228" spans="1:100">
      <c r="A56228" s="374"/>
      <c r="C56228" s="374"/>
      <c r="CV56228" s="376"/>
    </row>
    <row r="56229" spans="1:100">
      <c r="A56229" s="374"/>
      <c r="C56229" s="374"/>
      <c r="CV56229" s="376"/>
    </row>
    <row r="56230" spans="1:100">
      <c r="A56230" s="374"/>
      <c r="C56230" s="374"/>
      <c r="CV56230" s="376"/>
    </row>
    <row r="56231" spans="1:100">
      <c r="A56231" s="374"/>
      <c r="C56231" s="374"/>
      <c r="CV56231" s="376"/>
    </row>
    <row r="56232" spans="1:100">
      <c r="A56232" s="374"/>
      <c r="C56232" s="374"/>
      <c r="CV56232" s="376"/>
    </row>
    <row r="56233" spans="1:100">
      <c r="A56233" s="374"/>
      <c r="C56233" s="374"/>
      <c r="CV56233" s="376"/>
    </row>
    <row r="56234" spans="1:100">
      <c r="A56234" s="374"/>
      <c r="C56234" s="374"/>
      <c r="CV56234" s="376"/>
    </row>
    <row r="56235" spans="1:100">
      <c r="A56235" s="374"/>
      <c r="C56235" s="374"/>
      <c r="CV56235" s="376"/>
    </row>
    <row r="56236" spans="1:100">
      <c r="A56236" s="374"/>
      <c r="C56236" s="374"/>
      <c r="CV56236" s="376"/>
    </row>
    <row r="56237" spans="1:100">
      <c r="A56237" s="374"/>
      <c r="C56237" s="374"/>
      <c r="CV56237" s="376"/>
    </row>
    <row r="56238" spans="1:100">
      <c r="A56238" s="374"/>
      <c r="C56238" s="374"/>
      <c r="CV56238" s="376"/>
    </row>
    <row r="56239" spans="1:100">
      <c r="A56239" s="374"/>
      <c r="C56239" s="374"/>
      <c r="CV56239" s="376"/>
    </row>
    <row r="56240" spans="1:100">
      <c r="A56240" s="374"/>
      <c r="C56240" s="374"/>
      <c r="CV56240" s="376"/>
    </row>
    <row r="56241" spans="1:100">
      <c r="A56241" s="374"/>
      <c r="C56241" s="374"/>
      <c r="CV56241" s="376"/>
    </row>
    <row r="56242" spans="1:100">
      <c r="A56242" s="374"/>
      <c r="C56242" s="374"/>
      <c r="CV56242" s="376"/>
    </row>
    <row r="56243" spans="1:100">
      <c r="A56243" s="374"/>
      <c r="C56243" s="374"/>
      <c r="CV56243" s="376"/>
    </row>
    <row r="56244" spans="1:100">
      <c r="A56244" s="374"/>
      <c r="C56244" s="374"/>
      <c r="CV56244" s="376"/>
    </row>
    <row r="56245" spans="1:100">
      <c r="A56245" s="374"/>
      <c r="C56245" s="374"/>
      <c r="CV56245" s="376"/>
    </row>
    <row r="56246" spans="1:100">
      <c r="A56246" s="374"/>
      <c r="C56246" s="374"/>
      <c r="CV56246" s="376"/>
    </row>
    <row r="56247" spans="1:100">
      <c r="A56247" s="374"/>
      <c r="C56247" s="374"/>
      <c r="CV56247" s="376"/>
    </row>
    <row r="56248" spans="1:100">
      <c r="A56248" s="374"/>
      <c r="C56248" s="374"/>
      <c r="CV56248" s="376"/>
    </row>
    <row r="56249" spans="1:100">
      <c r="A56249" s="374"/>
      <c r="C56249" s="374"/>
      <c r="CV56249" s="376"/>
    </row>
    <row r="56250" spans="1:100">
      <c r="A56250" s="374"/>
      <c r="C56250" s="374"/>
      <c r="CV56250" s="376"/>
    </row>
    <row r="56251" spans="1:100">
      <c r="A56251" s="374"/>
      <c r="C56251" s="374"/>
      <c r="CV56251" s="376"/>
    </row>
    <row r="56252" spans="1:100">
      <c r="A56252" s="374"/>
      <c r="C56252" s="374"/>
      <c r="CV56252" s="376"/>
    </row>
    <row r="56253" spans="1:100">
      <c r="A56253" s="374"/>
      <c r="C56253" s="374"/>
      <c r="CV56253" s="376"/>
    </row>
    <row r="56254" spans="1:100">
      <c r="A56254" s="374"/>
      <c r="C56254" s="374"/>
      <c r="CV56254" s="376"/>
    </row>
    <row r="56255" spans="1:100">
      <c r="A56255" s="374"/>
      <c r="C56255" s="374"/>
      <c r="CV56255" s="376"/>
    </row>
    <row r="56256" spans="1:100">
      <c r="A56256" s="374"/>
      <c r="C56256" s="374"/>
      <c r="CV56256" s="376"/>
    </row>
    <row r="56257" spans="1:100">
      <c r="A56257" s="374"/>
      <c r="C56257" s="374"/>
      <c r="CV56257" s="376"/>
    </row>
    <row r="56258" spans="1:100">
      <c r="A56258" s="374"/>
      <c r="C56258" s="374"/>
      <c r="CV56258" s="376"/>
    </row>
    <row r="56259" spans="1:100">
      <c r="A56259" s="374"/>
      <c r="C56259" s="374"/>
      <c r="CV56259" s="376"/>
    </row>
    <row r="56260" spans="1:100">
      <c r="A56260" s="374"/>
      <c r="C56260" s="374"/>
      <c r="CV56260" s="376"/>
    </row>
    <row r="56261" spans="1:100">
      <c r="A56261" s="374"/>
      <c r="C56261" s="374"/>
      <c r="CV56261" s="376"/>
    </row>
    <row r="56262" spans="1:100">
      <c r="A56262" s="374"/>
      <c r="C56262" s="374"/>
      <c r="CV56262" s="376"/>
    </row>
    <row r="56263" spans="1:100">
      <c r="A56263" s="374"/>
      <c r="C56263" s="374"/>
      <c r="CV56263" s="376"/>
    </row>
    <row r="56264" spans="1:100">
      <c r="A56264" s="374"/>
      <c r="C56264" s="374"/>
      <c r="CV56264" s="376"/>
    </row>
    <row r="56265" spans="1:100">
      <c r="A56265" s="374"/>
      <c r="C56265" s="374"/>
      <c r="CV56265" s="376"/>
    </row>
    <row r="56266" spans="1:100">
      <c r="A56266" s="374"/>
      <c r="C56266" s="374"/>
      <c r="CV56266" s="376"/>
    </row>
    <row r="56267" spans="1:100">
      <c r="A56267" s="374"/>
      <c r="C56267" s="374"/>
      <c r="CV56267" s="376"/>
    </row>
    <row r="56268" spans="1:100">
      <c r="A56268" s="374"/>
      <c r="C56268" s="374"/>
      <c r="CV56268" s="376"/>
    </row>
    <row r="56269" spans="1:100">
      <c r="A56269" s="374"/>
      <c r="C56269" s="374"/>
      <c r="CV56269" s="376"/>
    </row>
    <row r="56270" spans="1:100">
      <c r="A56270" s="374"/>
      <c r="C56270" s="374"/>
      <c r="CV56270" s="376"/>
    </row>
    <row r="56271" spans="1:100">
      <c r="A56271" s="374"/>
      <c r="C56271" s="374"/>
      <c r="CV56271" s="376"/>
    </row>
    <row r="56272" spans="1:100">
      <c r="A56272" s="374"/>
      <c r="C56272" s="374"/>
      <c r="CV56272" s="376"/>
    </row>
    <row r="56273" spans="1:100">
      <c r="A56273" s="374"/>
      <c r="C56273" s="374"/>
      <c r="CV56273" s="376"/>
    </row>
    <row r="56274" spans="1:100">
      <c r="A56274" s="374"/>
      <c r="C56274" s="374"/>
      <c r="CV56274" s="376"/>
    </row>
    <row r="56275" spans="1:100">
      <c r="A56275" s="374"/>
      <c r="C56275" s="374"/>
      <c r="CV56275" s="376"/>
    </row>
    <row r="56276" spans="1:100">
      <c r="A56276" s="374"/>
      <c r="C56276" s="374"/>
      <c r="CV56276" s="376"/>
    </row>
    <row r="56277" spans="1:100">
      <c r="A56277" s="374"/>
      <c r="C56277" s="374"/>
      <c r="CV56277" s="376"/>
    </row>
    <row r="56278" spans="1:100">
      <c r="A56278" s="374"/>
      <c r="C56278" s="374"/>
      <c r="CV56278" s="376"/>
    </row>
    <row r="56279" spans="1:100">
      <c r="A56279" s="374"/>
      <c r="C56279" s="374"/>
      <c r="CV56279" s="376"/>
    </row>
    <row r="56280" spans="1:100">
      <c r="A56280" s="374"/>
      <c r="C56280" s="374"/>
      <c r="CV56280" s="376"/>
    </row>
    <row r="56281" spans="1:100">
      <c r="A56281" s="374"/>
      <c r="C56281" s="374"/>
      <c r="CV56281" s="376"/>
    </row>
    <row r="56282" spans="1:100">
      <c r="A56282" s="374"/>
      <c r="C56282" s="374"/>
      <c r="CV56282" s="376"/>
    </row>
    <row r="56283" spans="1:100">
      <c r="A56283" s="374"/>
      <c r="C56283" s="374"/>
      <c r="CV56283" s="376"/>
    </row>
    <row r="56284" spans="1:100">
      <c r="A56284" s="374"/>
      <c r="C56284" s="374"/>
      <c r="CV56284" s="376"/>
    </row>
    <row r="56285" spans="1:100">
      <c r="A56285" s="374"/>
      <c r="C56285" s="374"/>
      <c r="CV56285" s="376"/>
    </row>
    <row r="56286" spans="1:100">
      <c r="A56286" s="374"/>
      <c r="C56286" s="374"/>
      <c r="CV56286" s="376"/>
    </row>
    <row r="56287" spans="1:100">
      <c r="A56287" s="374"/>
      <c r="C56287" s="374"/>
      <c r="CV56287" s="376"/>
    </row>
    <row r="56288" spans="1:100">
      <c r="A56288" s="374"/>
      <c r="C56288" s="374"/>
      <c r="CV56288" s="376"/>
    </row>
    <row r="56289" spans="1:100">
      <c r="A56289" s="374"/>
      <c r="C56289" s="374"/>
      <c r="CV56289" s="376"/>
    </row>
    <row r="56290" spans="1:100">
      <c r="A56290" s="374"/>
      <c r="C56290" s="374"/>
      <c r="CV56290" s="376"/>
    </row>
    <row r="56291" spans="1:100">
      <c r="A56291" s="374"/>
      <c r="C56291" s="374"/>
      <c r="CV56291" s="376"/>
    </row>
    <row r="56292" spans="1:100">
      <c r="A56292" s="374"/>
      <c r="C56292" s="374"/>
      <c r="CV56292" s="376"/>
    </row>
    <row r="56293" spans="1:100">
      <c r="A56293" s="374"/>
      <c r="C56293" s="374"/>
      <c r="CV56293" s="376"/>
    </row>
    <row r="56294" spans="1:100">
      <c r="A56294" s="374"/>
      <c r="C56294" s="374"/>
      <c r="CV56294" s="376"/>
    </row>
    <row r="56295" spans="1:100">
      <c r="A56295" s="374"/>
      <c r="C56295" s="374"/>
      <c r="CV56295" s="376"/>
    </row>
    <row r="56296" spans="1:100">
      <c r="A56296" s="374"/>
      <c r="C56296" s="374"/>
      <c r="CV56296" s="376"/>
    </row>
    <row r="56297" spans="1:100">
      <c r="A56297" s="374"/>
      <c r="C56297" s="374"/>
      <c r="CV56297" s="376"/>
    </row>
    <row r="56298" spans="1:100">
      <c r="A56298" s="374"/>
      <c r="C56298" s="374"/>
      <c r="CV56298" s="376"/>
    </row>
    <row r="56299" spans="1:100">
      <c r="A56299" s="374"/>
      <c r="C56299" s="374"/>
      <c r="CV56299" s="376"/>
    </row>
    <row r="56300" spans="1:100">
      <c r="A56300" s="374"/>
      <c r="C56300" s="374"/>
      <c r="CV56300" s="376"/>
    </row>
    <row r="56301" spans="1:100">
      <c r="A56301" s="374"/>
      <c r="C56301" s="374"/>
      <c r="CV56301" s="376"/>
    </row>
    <row r="56302" spans="1:100">
      <c r="A56302" s="374"/>
      <c r="C56302" s="374"/>
      <c r="CV56302" s="376"/>
    </row>
    <row r="56303" spans="1:100">
      <c r="A56303" s="374"/>
      <c r="C56303" s="374"/>
      <c r="CV56303" s="376"/>
    </row>
    <row r="56304" spans="1:100">
      <c r="A56304" s="374"/>
      <c r="C56304" s="374"/>
      <c r="CV56304" s="376"/>
    </row>
    <row r="56305" spans="1:100">
      <c r="A56305" s="374"/>
      <c r="C56305" s="374"/>
      <c r="CV56305" s="376"/>
    </row>
    <row r="56306" spans="1:100">
      <c r="A56306" s="374"/>
      <c r="C56306" s="374"/>
      <c r="CV56306" s="376"/>
    </row>
    <row r="56307" spans="1:100">
      <c r="A56307" s="374"/>
      <c r="C56307" s="374"/>
      <c r="CV56307" s="376"/>
    </row>
    <row r="56308" spans="1:100">
      <c r="A56308" s="374"/>
      <c r="C56308" s="374"/>
      <c r="CV56308" s="376"/>
    </row>
    <row r="56309" spans="1:100">
      <c r="A56309" s="374"/>
      <c r="C56309" s="374"/>
      <c r="CV56309" s="376"/>
    </row>
    <row r="56310" spans="1:100">
      <c r="A56310" s="374"/>
      <c r="C56310" s="374"/>
      <c r="CV56310" s="376"/>
    </row>
    <row r="56311" spans="1:100">
      <c r="A56311" s="374"/>
      <c r="C56311" s="374"/>
      <c r="CV56311" s="376"/>
    </row>
    <row r="56312" spans="1:100">
      <c r="A56312" s="374"/>
      <c r="C56312" s="374"/>
      <c r="CV56312" s="376"/>
    </row>
    <row r="56313" spans="1:100">
      <c r="A56313" s="374"/>
      <c r="C56313" s="374"/>
      <c r="CV56313" s="376"/>
    </row>
    <row r="56314" spans="1:100">
      <c r="A56314" s="374"/>
      <c r="C56314" s="374"/>
      <c r="CV56314" s="376"/>
    </row>
    <row r="56315" spans="1:100">
      <c r="A56315" s="374"/>
      <c r="C56315" s="374"/>
      <c r="CV56315" s="376"/>
    </row>
    <row r="56316" spans="1:100">
      <c r="A56316" s="374"/>
      <c r="C56316" s="374"/>
      <c r="CV56316" s="376"/>
    </row>
    <row r="56317" spans="1:100">
      <c r="A56317" s="374"/>
      <c r="C56317" s="374"/>
      <c r="CV56317" s="376"/>
    </row>
    <row r="56318" spans="1:100">
      <c r="A56318" s="374"/>
      <c r="C56318" s="374"/>
      <c r="CV56318" s="376"/>
    </row>
    <row r="56319" spans="1:100">
      <c r="A56319" s="374"/>
      <c r="C56319" s="374"/>
      <c r="CV56319" s="376"/>
    </row>
    <row r="56320" spans="1:100">
      <c r="A56320" s="374"/>
      <c r="C56320" s="374"/>
      <c r="CV56320" s="376"/>
    </row>
    <row r="56321" spans="1:100">
      <c r="A56321" s="374"/>
      <c r="C56321" s="374"/>
      <c r="CV56321" s="376"/>
    </row>
    <row r="56322" spans="1:100">
      <c r="A56322" s="374"/>
      <c r="C56322" s="374"/>
      <c r="CV56322" s="376"/>
    </row>
    <row r="56323" spans="1:100">
      <c r="A56323" s="374"/>
      <c r="C56323" s="374"/>
      <c r="CV56323" s="376"/>
    </row>
    <row r="56324" spans="1:100">
      <c r="A56324" s="374"/>
      <c r="C56324" s="374"/>
      <c r="CV56324" s="376"/>
    </row>
    <row r="56325" spans="1:100">
      <c r="A56325" s="374"/>
      <c r="C56325" s="374"/>
      <c r="CV56325" s="376"/>
    </row>
    <row r="56326" spans="1:100">
      <c r="A56326" s="374"/>
      <c r="C56326" s="374"/>
      <c r="CV56326" s="376"/>
    </row>
    <row r="56327" spans="1:100">
      <c r="A56327" s="374"/>
      <c r="C56327" s="374"/>
      <c r="CV56327" s="376"/>
    </row>
    <row r="56328" spans="1:100">
      <c r="A56328" s="374"/>
      <c r="C56328" s="374"/>
      <c r="CV56328" s="376"/>
    </row>
    <row r="56329" spans="1:100">
      <c r="A56329" s="374"/>
      <c r="C56329" s="374"/>
      <c r="CV56329" s="376"/>
    </row>
    <row r="56330" spans="1:100">
      <c r="A56330" s="374"/>
      <c r="C56330" s="374"/>
      <c r="CV56330" s="376"/>
    </row>
    <row r="56331" spans="1:100">
      <c r="A56331" s="374"/>
      <c r="C56331" s="374"/>
      <c r="CV56331" s="376"/>
    </row>
    <row r="56332" spans="1:100">
      <c r="A56332" s="374"/>
      <c r="C56332" s="374"/>
      <c r="CV56332" s="376"/>
    </row>
    <row r="56333" spans="1:100">
      <c r="A56333" s="374"/>
      <c r="C56333" s="374"/>
      <c r="CV56333" s="376"/>
    </row>
    <row r="56334" spans="1:100">
      <c r="A56334" s="374"/>
      <c r="C56334" s="374"/>
      <c r="CV56334" s="376"/>
    </row>
    <row r="56335" spans="1:100">
      <c r="A56335" s="374"/>
      <c r="C56335" s="374"/>
      <c r="CV56335" s="376"/>
    </row>
    <row r="56336" spans="1:100">
      <c r="A56336" s="374"/>
      <c r="C56336" s="374"/>
      <c r="CV56336" s="376"/>
    </row>
    <row r="56337" spans="1:100">
      <c r="A56337" s="374"/>
      <c r="C56337" s="374"/>
      <c r="CV56337" s="376"/>
    </row>
    <row r="56338" spans="1:100">
      <c r="A56338" s="374"/>
      <c r="C56338" s="374"/>
      <c r="CV56338" s="376"/>
    </row>
    <row r="56339" spans="1:100">
      <c r="A56339" s="374"/>
      <c r="C56339" s="374"/>
      <c r="CV56339" s="376"/>
    </row>
    <row r="56340" spans="1:100">
      <c r="A56340" s="374"/>
      <c r="C56340" s="374"/>
      <c r="CV56340" s="376"/>
    </row>
    <row r="56341" spans="1:100">
      <c r="A56341" s="374"/>
      <c r="C56341" s="374"/>
      <c r="CV56341" s="376"/>
    </row>
    <row r="56342" spans="1:100">
      <c r="A56342" s="374"/>
      <c r="C56342" s="374"/>
      <c r="CV56342" s="376"/>
    </row>
    <row r="56343" spans="1:100">
      <c r="A56343" s="374"/>
      <c r="C56343" s="374"/>
      <c r="CV56343" s="376"/>
    </row>
    <row r="56344" spans="1:100">
      <c r="A56344" s="374"/>
      <c r="C56344" s="374"/>
      <c r="CV56344" s="376"/>
    </row>
    <row r="56345" spans="1:100">
      <c r="A56345" s="374"/>
      <c r="C56345" s="374"/>
      <c r="CV56345" s="376"/>
    </row>
    <row r="56346" spans="1:100">
      <c r="A56346" s="374"/>
      <c r="C56346" s="374"/>
      <c r="CV56346" s="376"/>
    </row>
    <row r="56347" spans="1:100">
      <c r="A56347" s="374"/>
      <c r="C56347" s="374"/>
      <c r="CV56347" s="376"/>
    </row>
    <row r="56348" spans="1:100">
      <c r="A56348" s="374"/>
      <c r="C56348" s="374"/>
      <c r="CV56348" s="376"/>
    </row>
    <row r="56349" spans="1:100">
      <c r="A56349" s="374"/>
      <c r="C56349" s="374"/>
      <c r="CV56349" s="376"/>
    </row>
    <row r="56350" spans="1:100">
      <c r="A56350" s="374"/>
      <c r="C56350" s="374"/>
      <c r="CV56350" s="376"/>
    </row>
    <row r="56351" spans="1:100">
      <c r="A56351" s="374"/>
      <c r="C56351" s="374"/>
      <c r="CV56351" s="376"/>
    </row>
    <row r="56352" spans="1:100">
      <c r="A56352" s="374"/>
      <c r="C56352" s="374"/>
      <c r="CV56352" s="376"/>
    </row>
    <row r="56353" spans="1:100">
      <c r="A56353" s="374"/>
      <c r="C56353" s="374"/>
      <c r="CV56353" s="376"/>
    </row>
    <row r="56354" spans="1:100">
      <c r="A56354" s="374"/>
      <c r="C56354" s="374"/>
      <c r="CV56354" s="376"/>
    </row>
    <row r="56355" spans="1:100">
      <c r="A56355" s="374"/>
      <c r="C56355" s="374"/>
      <c r="CV56355" s="376"/>
    </row>
    <row r="56356" spans="1:100">
      <c r="A56356" s="374"/>
      <c r="C56356" s="374"/>
      <c r="CV56356" s="376"/>
    </row>
    <row r="56357" spans="1:100">
      <c r="A56357" s="374"/>
      <c r="C56357" s="374"/>
      <c r="CV56357" s="376"/>
    </row>
    <row r="56358" spans="1:100">
      <c r="A56358" s="374"/>
      <c r="C56358" s="374"/>
      <c r="CV56358" s="376"/>
    </row>
    <row r="56359" spans="1:100">
      <c r="A56359" s="374"/>
      <c r="C56359" s="374"/>
      <c r="CV56359" s="376"/>
    </row>
    <row r="56360" spans="1:100">
      <c r="A56360" s="374"/>
      <c r="C56360" s="374"/>
      <c r="CV56360" s="376"/>
    </row>
    <row r="56361" spans="1:100">
      <c r="A56361" s="374"/>
      <c r="C56361" s="374"/>
      <c r="CV56361" s="376"/>
    </row>
    <row r="56362" spans="1:100">
      <c r="A56362" s="374"/>
      <c r="C56362" s="374"/>
      <c r="CV56362" s="376"/>
    </row>
    <row r="56363" spans="1:100">
      <c r="A56363" s="374"/>
      <c r="C56363" s="374"/>
      <c r="CV56363" s="376"/>
    </row>
    <row r="56364" spans="1:100">
      <c r="A56364" s="374"/>
      <c r="C56364" s="374"/>
      <c r="CV56364" s="376"/>
    </row>
    <row r="56365" spans="1:100">
      <c r="A56365" s="374"/>
      <c r="C56365" s="374"/>
      <c r="CV56365" s="376"/>
    </row>
    <row r="56366" spans="1:100">
      <c r="A56366" s="374"/>
      <c r="C56366" s="374"/>
      <c r="CV56366" s="376"/>
    </row>
    <row r="56367" spans="1:100">
      <c r="A56367" s="374"/>
      <c r="C56367" s="374"/>
      <c r="CV56367" s="376"/>
    </row>
    <row r="56368" spans="1:100">
      <c r="A56368" s="374"/>
      <c r="C56368" s="374"/>
      <c r="CV56368" s="376"/>
    </row>
    <row r="56369" spans="1:100">
      <c r="A56369" s="374"/>
      <c r="C56369" s="374"/>
      <c r="CV56369" s="376"/>
    </row>
    <row r="56370" spans="1:100">
      <c r="A56370" s="374"/>
      <c r="C56370" s="374"/>
      <c r="CV56370" s="376"/>
    </row>
    <row r="56371" spans="1:100">
      <c r="A56371" s="374"/>
      <c r="C56371" s="374"/>
      <c r="CV56371" s="376"/>
    </row>
    <row r="56372" spans="1:100">
      <c r="A56372" s="374"/>
      <c r="C56372" s="374"/>
      <c r="CV56372" s="376"/>
    </row>
    <row r="56373" spans="1:100">
      <c r="A56373" s="374"/>
      <c r="C56373" s="374"/>
      <c r="CV56373" s="376"/>
    </row>
    <row r="56374" spans="1:100">
      <c r="A56374" s="374"/>
      <c r="C56374" s="374"/>
      <c r="CV56374" s="376"/>
    </row>
    <row r="56375" spans="1:100">
      <c r="A56375" s="374"/>
      <c r="C56375" s="374"/>
      <c r="CV56375" s="376"/>
    </row>
    <row r="56376" spans="1:100">
      <c r="A56376" s="374"/>
      <c r="C56376" s="374"/>
      <c r="CV56376" s="376"/>
    </row>
    <row r="56377" spans="1:100">
      <c r="A56377" s="374"/>
      <c r="C56377" s="374"/>
      <c r="CV56377" s="376"/>
    </row>
    <row r="56378" spans="1:100">
      <c r="A56378" s="374"/>
      <c r="C56378" s="374"/>
      <c r="CV56378" s="376"/>
    </row>
    <row r="56379" spans="1:100">
      <c r="A56379" s="374"/>
      <c r="C56379" s="374"/>
      <c r="CV56379" s="376"/>
    </row>
    <row r="56380" spans="1:100">
      <c r="A56380" s="374"/>
      <c r="C56380" s="374"/>
      <c r="CV56380" s="376"/>
    </row>
    <row r="56381" spans="1:100">
      <c r="A56381" s="374"/>
      <c r="C56381" s="374"/>
      <c r="CV56381" s="376"/>
    </row>
    <row r="56382" spans="1:100">
      <c r="A56382" s="374"/>
      <c r="C56382" s="374"/>
      <c r="CV56382" s="376"/>
    </row>
    <row r="56383" spans="1:100">
      <c r="A56383" s="374"/>
      <c r="C56383" s="374"/>
      <c r="CV56383" s="376"/>
    </row>
    <row r="56384" spans="1:100">
      <c r="A56384" s="374"/>
      <c r="C56384" s="374"/>
      <c r="CV56384" s="376"/>
    </row>
    <row r="56385" spans="1:100">
      <c r="A56385" s="374"/>
      <c r="C56385" s="374"/>
      <c r="CV56385" s="376"/>
    </row>
    <row r="56386" spans="1:100">
      <c r="A56386" s="374"/>
      <c r="C56386" s="374"/>
      <c r="CV56386" s="376"/>
    </row>
    <row r="56387" spans="1:100">
      <c r="A56387" s="374"/>
      <c r="C56387" s="374"/>
      <c r="CV56387" s="376"/>
    </row>
    <row r="56388" spans="1:100">
      <c r="A56388" s="374"/>
      <c r="C56388" s="374"/>
      <c r="CV56388" s="376"/>
    </row>
    <row r="56389" spans="1:100">
      <c r="A56389" s="374"/>
      <c r="C56389" s="374"/>
      <c r="CV56389" s="376"/>
    </row>
    <row r="56390" spans="1:100">
      <c r="A56390" s="374"/>
      <c r="C56390" s="374"/>
      <c r="CV56390" s="376"/>
    </row>
    <row r="56391" spans="1:100">
      <c r="A56391" s="374"/>
      <c r="C56391" s="374"/>
      <c r="CV56391" s="376"/>
    </row>
    <row r="56392" spans="1:100">
      <c r="A56392" s="374"/>
      <c r="C56392" s="374"/>
      <c r="CV56392" s="376"/>
    </row>
    <row r="56393" spans="1:100">
      <c r="A56393" s="374"/>
      <c r="C56393" s="374"/>
      <c r="CV56393" s="376"/>
    </row>
    <row r="56394" spans="1:100">
      <c r="A56394" s="374"/>
      <c r="C56394" s="374"/>
      <c r="CV56394" s="376"/>
    </row>
    <row r="56395" spans="1:100">
      <c r="A56395" s="374"/>
      <c r="C56395" s="374"/>
      <c r="CV56395" s="376"/>
    </row>
    <row r="56396" spans="1:100">
      <c r="A56396" s="374"/>
      <c r="C56396" s="374"/>
      <c r="CV56396" s="376"/>
    </row>
    <row r="56397" spans="1:100">
      <c r="A56397" s="374"/>
      <c r="C56397" s="374"/>
      <c r="CV56397" s="376"/>
    </row>
    <row r="56398" spans="1:100">
      <c r="A56398" s="374"/>
      <c r="C56398" s="374"/>
      <c r="CV56398" s="376"/>
    </row>
    <row r="56399" spans="1:100">
      <c r="A56399" s="374"/>
      <c r="C56399" s="374"/>
      <c r="CV56399" s="376"/>
    </row>
    <row r="56400" spans="1:100">
      <c r="A56400" s="374"/>
      <c r="C56400" s="374"/>
      <c r="CV56400" s="376"/>
    </row>
    <row r="56401" spans="1:100">
      <c r="A56401" s="374"/>
      <c r="C56401" s="374"/>
      <c r="CV56401" s="376"/>
    </row>
    <row r="56402" spans="1:100">
      <c r="A56402" s="374"/>
      <c r="C56402" s="374"/>
      <c r="CV56402" s="376"/>
    </row>
    <row r="56403" spans="1:100">
      <c r="A56403" s="374"/>
      <c r="C56403" s="374"/>
      <c r="CV56403" s="376"/>
    </row>
    <row r="56404" spans="1:100">
      <c r="A56404" s="374"/>
      <c r="C56404" s="374"/>
      <c r="CV56404" s="376"/>
    </row>
    <row r="56405" spans="1:100">
      <c r="A56405" s="374"/>
      <c r="C56405" s="374"/>
      <c r="CV56405" s="376"/>
    </row>
    <row r="56406" spans="1:100">
      <c r="A56406" s="374"/>
      <c r="C56406" s="374"/>
      <c r="CV56406" s="376"/>
    </row>
    <row r="56407" spans="1:100">
      <c r="A56407" s="374"/>
      <c r="C56407" s="374"/>
      <c r="CV56407" s="376"/>
    </row>
    <row r="56408" spans="1:100">
      <c r="A56408" s="374"/>
      <c r="C56408" s="374"/>
      <c r="CV56408" s="376"/>
    </row>
    <row r="56409" spans="1:100">
      <c r="A56409" s="374"/>
      <c r="C56409" s="374"/>
      <c r="CV56409" s="376"/>
    </row>
    <row r="56410" spans="1:100">
      <c r="A56410" s="374"/>
      <c r="C56410" s="374"/>
      <c r="CV56410" s="376"/>
    </row>
    <row r="56411" spans="1:100">
      <c r="A56411" s="374"/>
      <c r="C56411" s="374"/>
      <c r="CV56411" s="376"/>
    </row>
    <row r="56412" spans="1:100">
      <c r="A56412" s="374"/>
      <c r="C56412" s="374"/>
      <c r="CV56412" s="376"/>
    </row>
    <row r="56413" spans="1:100">
      <c r="A56413" s="374"/>
      <c r="C56413" s="374"/>
      <c r="CV56413" s="376"/>
    </row>
    <row r="56414" spans="1:100">
      <c r="A56414" s="374"/>
      <c r="C56414" s="374"/>
      <c r="CV56414" s="376"/>
    </row>
    <row r="56415" spans="1:100">
      <c r="A56415" s="374"/>
      <c r="C56415" s="374"/>
      <c r="CV56415" s="376"/>
    </row>
    <row r="56416" spans="1:100">
      <c r="A56416" s="374"/>
      <c r="C56416" s="374"/>
      <c r="CV56416" s="376"/>
    </row>
    <row r="56417" spans="1:100">
      <c r="A56417" s="374"/>
      <c r="C56417" s="374"/>
      <c r="CV56417" s="376"/>
    </row>
    <row r="56418" spans="1:100">
      <c r="A56418" s="374"/>
      <c r="C56418" s="374"/>
      <c r="CV56418" s="376"/>
    </row>
    <row r="56419" spans="1:100">
      <c r="A56419" s="374"/>
      <c r="C56419" s="374"/>
      <c r="CV56419" s="376"/>
    </row>
    <row r="56420" spans="1:100">
      <c r="A56420" s="374"/>
      <c r="C56420" s="374"/>
      <c r="CV56420" s="376"/>
    </row>
    <row r="56421" spans="1:100">
      <c r="A56421" s="374"/>
      <c r="C56421" s="374"/>
      <c r="CV56421" s="376"/>
    </row>
    <row r="56422" spans="1:100">
      <c r="A56422" s="374"/>
      <c r="C56422" s="374"/>
      <c r="CV56422" s="376"/>
    </row>
    <row r="56423" spans="1:100">
      <c r="A56423" s="374"/>
      <c r="C56423" s="374"/>
      <c r="CV56423" s="376"/>
    </row>
    <row r="56424" spans="1:100">
      <c r="A56424" s="374"/>
      <c r="C56424" s="374"/>
      <c r="CV56424" s="376"/>
    </row>
    <row r="56425" spans="1:100">
      <c r="A56425" s="374"/>
      <c r="C56425" s="374"/>
      <c r="CV56425" s="376"/>
    </row>
    <row r="56426" spans="1:100">
      <c r="A56426" s="374"/>
      <c r="C56426" s="374"/>
      <c r="CV56426" s="376"/>
    </row>
    <row r="56427" spans="1:100">
      <c r="A56427" s="374"/>
      <c r="C56427" s="374"/>
      <c r="CV56427" s="376"/>
    </row>
    <row r="56428" spans="1:100">
      <c r="A56428" s="374"/>
      <c r="C56428" s="374"/>
      <c r="CV56428" s="376"/>
    </row>
    <row r="56429" spans="1:100">
      <c r="A56429" s="374"/>
      <c r="C56429" s="374"/>
      <c r="CV56429" s="376"/>
    </row>
    <row r="56430" spans="1:100">
      <c r="A56430" s="374"/>
      <c r="C56430" s="374"/>
      <c r="CV56430" s="376"/>
    </row>
    <row r="56431" spans="1:100">
      <c r="A56431" s="374"/>
      <c r="C56431" s="374"/>
      <c r="CV56431" s="376"/>
    </row>
    <row r="56432" spans="1:100">
      <c r="A56432" s="374"/>
      <c r="C56432" s="374"/>
      <c r="CV56432" s="376"/>
    </row>
    <row r="56433" spans="1:100">
      <c r="A56433" s="374"/>
      <c r="C56433" s="374"/>
      <c r="CV56433" s="376"/>
    </row>
    <row r="56434" spans="1:100">
      <c r="A56434" s="374"/>
      <c r="C56434" s="374"/>
      <c r="CV56434" s="376"/>
    </row>
    <row r="56435" spans="1:100">
      <c r="A56435" s="374"/>
      <c r="C56435" s="374"/>
      <c r="CV56435" s="376"/>
    </row>
    <row r="56436" spans="1:100">
      <c r="A56436" s="374"/>
      <c r="C56436" s="374"/>
      <c r="CV56436" s="376"/>
    </row>
    <row r="56437" spans="1:100">
      <c r="A56437" s="374"/>
      <c r="C56437" s="374"/>
      <c r="CV56437" s="376"/>
    </row>
    <row r="56438" spans="1:100">
      <c r="A56438" s="374"/>
      <c r="C56438" s="374"/>
      <c r="CV56438" s="376"/>
    </row>
    <row r="56439" spans="1:100">
      <c r="A56439" s="374"/>
      <c r="C56439" s="374"/>
      <c r="CV56439" s="376"/>
    </row>
    <row r="56440" spans="1:100">
      <c r="A56440" s="374"/>
      <c r="C56440" s="374"/>
      <c r="CV56440" s="376"/>
    </row>
    <row r="56441" spans="1:100">
      <c r="A56441" s="374"/>
      <c r="C56441" s="374"/>
      <c r="CV56441" s="376"/>
    </row>
    <row r="56442" spans="1:100">
      <c r="A56442" s="374"/>
      <c r="C56442" s="374"/>
      <c r="CV56442" s="376"/>
    </row>
    <row r="56443" spans="1:100">
      <c r="A56443" s="374"/>
      <c r="C56443" s="374"/>
      <c r="CV56443" s="376"/>
    </row>
    <row r="56444" spans="1:100">
      <c r="A56444" s="374"/>
      <c r="C56444" s="374"/>
      <c r="CV56444" s="376"/>
    </row>
    <row r="56445" spans="1:100">
      <c r="A56445" s="374"/>
      <c r="C56445" s="374"/>
      <c r="CV56445" s="376"/>
    </row>
    <row r="56446" spans="1:100">
      <c r="A56446" s="374"/>
      <c r="C56446" s="374"/>
      <c r="CV56446" s="376"/>
    </row>
    <row r="56447" spans="1:100">
      <c r="A56447" s="374"/>
      <c r="C56447" s="374"/>
      <c r="CV56447" s="376"/>
    </row>
    <row r="56448" spans="1:100">
      <c r="A56448" s="374"/>
      <c r="C56448" s="374"/>
      <c r="CV56448" s="376"/>
    </row>
    <row r="56449" spans="1:100">
      <c r="A56449" s="374"/>
      <c r="C56449" s="374"/>
      <c r="CV56449" s="376"/>
    </row>
    <row r="56450" spans="1:100">
      <c r="A56450" s="374"/>
      <c r="C56450" s="374"/>
      <c r="CV56450" s="376"/>
    </row>
    <row r="56451" spans="1:100">
      <c r="A56451" s="374"/>
      <c r="C56451" s="374"/>
      <c r="CV56451" s="376"/>
    </row>
    <row r="56452" spans="1:100">
      <c r="A56452" s="374"/>
      <c r="C56452" s="374"/>
      <c r="CV56452" s="376"/>
    </row>
    <row r="56453" spans="1:100">
      <c r="A56453" s="374"/>
      <c r="C56453" s="374"/>
      <c r="CV56453" s="376"/>
    </row>
    <row r="56454" spans="1:100">
      <c r="A56454" s="374"/>
      <c r="C56454" s="374"/>
      <c r="CV56454" s="376"/>
    </row>
    <row r="56455" spans="1:100">
      <c r="A56455" s="374"/>
      <c r="C56455" s="374"/>
      <c r="CV56455" s="376"/>
    </row>
    <row r="56456" spans="1:100">
      <c r="A56456" s="374"/>
      <c r="C56456" s="374"/>
      <c r="CV56456" s="376"/>
    </row>
    <row r="56457" spans="1:100">
      <c r="A56457" s="374"/>
      <c r="C56457" s="374"/>
      <c r="CV56457" s="376"/>
    </row>
    <row r="56458" spans="1:100">
      <c r="A56458" s="374"/>
      <c r="C56458" s="374"/>
      <c r="CV56458" s="376"/>
    </row>
    <row r="56459" spans="1:100">
      <c r="A56459" s="374"/>
      <c r="C56459" s="374"/>
      <c r="CV56459" s="376"/>
    </row>
    <row r="56460" spans="1:100">
      <c r="A56460" s="374"/>
      <c r="C56460" s="374"/>
      <c r="CV56460" s="376"/>
    </row>
    <row r="56461" spans="1:100">
      <c r="A56461" s="374"/>
      <c r="C56461" s="374"/>
      <c r="CV56461" s="376"/>
    </row>
    <row r="56462" spans="1:100">
      <c r="A56462" s="374"/>
      <c r="C56462" s="374"/>
      <c r="CV56462" s="376"/>
    </row>
    <row r="56463" spans="1:100">
      <c r="A56463" s="374"/>
      <c r="C56463" s="374"/>
      <c r="CV56463" s="376"/>
    </row>
    <row r="56464" spans="1:100">
      <c r="A56464" s="374"/>
      <c r="C56464" s="374"/>
      <c r="CV56464" s="376"/>
    </row>
    <row r="56465" spans="1:100">
      <c r="A56465" s="374"/>
      <c r="C56465" s="374"/>
      <c r="CV56465" s="376"/>
    </row>
    <row r="56466" spans="1:100">
      <c r="A56466" s="374"/>
      <c r="C56466" s="374"/>
      <c r="CV56466" s="376"/>
    </row>
    <row r="56467" spans="1:100">
      <c r="A56467" s="374"/>
      <c r="C56467" s="374"/>
      <c r="CV56467" s="376"/>
    </row>
    <row r="56468" spans="1:100">
      <c r="A56468" s="374"/>
      <c r="C56468" s="374"/>
      <c r="CV56468" s="376"/>
    </row>
    <row r="56469" spans="1:100">
      <c r="A56469" s="374"/>
      <c r="C56469" s="374"/>
      <c r="CV56469" s="376"/>
    </row>
    <row r="56470" spans="1:100">
      <c r="A56470" s="374"/>
      <c r="C56470" s="374"/>
      <c r="CV56470" s="376"/>
    </row>
    <row r="56471" spans="1:100">
      <c r="A56471" s="374"/>
      <c r="C56471" s="374"/>
      <c r="CV56471" s="376"/>
    </row>
    <row r="56472" spans="1:100">
      <c r="A56472" s="374"/>
      <c r="C56472" s="374"/>
      <c r="CV56472" s="376"/>
    </row>
    <row r="56473" spans="1:100">
      <c r="A56473" s="374"/>
      <c r="C56473" s="374"/>
      <c r="CV56473" s="376"/>
    </row>
    <row r="56474" spans="1:100">
      <c r="A56474" s="374"/>
      <c r="C56474" s="374"/>
      <c r="CV56474" s="376"/>
    </row>
    <row r="56475" spans="1:100">
      <c r="A56475" s="374"/>
      <c r="C56475" s="374"/>
      <c r="CV56475" s="376"/>
    </row>
    <row r="56476" spans="1:100">
      <c r="A56476" s="374"/>
      <c r="C56476" s="374"/>
      <c r="CV56476" s="376"/>
    </row>
    <row r="56477" spans="1:100">
      <c r="A56477" s="374"/>
      <c r="C56477" s="374"/>
      <c r="CV56477" s="376"/>
    </row>
    <row r="56478" spans="1:100">
      <c r="A56478" s="374"/>
      <c r="C56478" s="374"/>
      <c r="CV56478" s="376"/>
    </row>
    <row r="56479" spans="1:100">
      <c r="A56479" s="374"/>
      <c r="C56479" s="374"/>
      <c r="CV56479" s="376"/>
    </row>
    <row r="56480" spans="1:100">
      <c r="A56480" s="374"/>
      <c r="C56480" s="374"/>
      <c r="CV56480" s="376"/>
    </row>
    <row r="56481" spans="1:100">
      <c r="A56481" s="374"/>
      <c r="C56481" s="374"/>
      <c r="CV56481" s="376"/>
    </row>
    <row r="56482" spans="1:100">
      <c r="A56482" s="374"/>
      <c r="C56482" s="374"/>
      <c r="CV56482" s="376"/>
    </row>
    <row r="56483" spans="1:100">
      <c r="A56483" s="374"/>
      <c r="C56483" s="374"/>
      <c r="CV56483" s="376"/>
    </row>
    <row r="56484" spans="1:100">
      <c r="A56484" s="374"/>
      <c r="C56484" s="374"/>
      <c r="CV56484" s="376"/>
    </row>
    <row r="56485" spans="1:100">
      <c r="A56485" s="374"/>
      <c r="C56485" s="374"/>
      <c r="CV56485" s="376"/>
    </row>
    <row r="56486" spans="1:100">
      <c r="A56486" s="374"/>
      <c r="C56486" s="374"/>
      <c r="CV56486" s="376"/>
    </row>
    <row r="56487" spans="1:100">
      <c r="A56487" s="374"/>
      <c r="C56487" s="374"/>
      <c r="CV56487" s="376"/>
    </row>
    <row r="56488" spans="1:100">
      <c r="A56488" s="374"/>
      <c r="C56488" s="374"/>
      <c r="CV56488" s="376"/>
    </row>
    <row r="56489" spans="1:100">
      <c r="A56489" s="374"/>
      <c r="C56489" s="374"/>
      <c r="CV56489" s="376"/>
    </row>
    <row r="56490" spans="1:100">
      <c r="A56490" s="374"/>
      <c r="C56490" s="374"/>
      <c r="CV56490" s="376"/>
    </row>
    <row r="56491" spans="1:100">
      <c r="A56491" s="374"/>
      <c r="C56491" s="374"/>
      <c r="CV56491" s="376"/>
    </row>
    <row r="56492" spans="1:100">
      <c r="A56492" s="374"/>
      <c r="C56492" s="374"/>
      <c r="CV56492" s="376"/>
    </row>
    <row r="56493" spans="1:100">
      <c r="A56493" s="374"/>
      <c r="C56493" s="374"/>
      <c r="CV56493" s="376"/>
    </row>
    <row r="56494" spans="1:100">
      <c r="A56494" s="374"/>
      <c r="C56494" s="374"/>
      <c r="CV56494" s="376"/>
    </row>
    <row r="56495" spans="1:100">
      <c r="A56495" s="374"/>
      <c r="C56495" s="374"/>
      <c r="CV56495" s="376"/>
    </row>
    <row r="56496" spans="1:100">
      <c r="A56496" s="374"/>
      <c r="C56496" s="374"/>
      <c r="CV56496" s="376"/>
    </row>
    <row r="56497" spans="1:100">
      <c r="A56497" s="374"/>
      <c r="C56497" s="374"/>
      <c r="CV56497" s="376"/>
    </row>
    <row r="56498" spans="1:100">
      <c r="A56498" s="374"/>
      <c r="C56498" s="374"/>
      <c r="CV56498" s="376"/>
    </row>
    <row r="56499" spans="1:100">
      <c r="A56499" s="374"/>
      <c r="C56499" s="374"/>
      <c r="CV56499" s="376"/>
    </row>
    <row r="56500" spans="1:100">
      <c r="A56500" s="374"/>
      <c r="C56500" s="374"/>
      <c r="CV56500" s="376"/>
    </row>
    <row r="56501" spans="1:100">
      <c r="A56501" s="374"/>
      <c r="C56501" s="374"/>
      <c r="CV56501" s="376"/>
    </row>
    <row r="56502" spans="1:100">
      <c r="A56502" s="374"/>
      <c r="C56502" s="374"/>
      <c r="CV56502" s="376"/>
    </row>
    <row r="56503" spans="1:100">
      <c r="A56503" s="374"/>
      <c r="C56503" s="374"/>
      <c r="CV56503" s="376"/>
    </row>
    <row r="56504" spans="1:100">
      <c r="A56504" s="374"/>
      <c r="C56504" s="374"/>
      <c r="CV56504" s="376"/>
    </row>
    <row r="56505" spans="1:100">
      <c r="A56505" s="374"/>
      <c r="C56505" s="374"/>
      <c r="CV56505" s="376"/>
    </row>
    <row r="56506" spans="1:100">
      <c r="A56506" s="374"/>
      <c r="C56506" s="374"/>
      <c r="CV56506" s="376"/>
    </row>
    <row r="56507" spans="1:100">
      <c r="A56507" s="374"/>
      <c r="C56507" s="374"/>
      <c r="CV56507" s="376"/>
    </row>
    <row r="56508" spans="1:100">
      <c r="A56508" s="374"/>
      <c r="C56508" s="374"/>
      <c r="CV56508" s="376"/>
    </row>
    <row r="56509" spans="1:100">
      <c r="A56509" s="374"/>
      <c r="C56509" s="374"/>
      <c r="CV56509" s="376"/>
    </row>
    <row r="56510" spans="1:100">
      <c r="A56510" s="374"/>
      <c r="C56510" s="374"/>
      <c r="CV56510" s="376"/>
    </row>
    <row r="56511" spans="1:100">
      <c r="A56511" s="374"/>
      <c r="C56511" s="374"/>
      <c r="CV56511" s="376"/>
    </row>
    <row r="56512" spans="1:100">
      <c r="A56512" s="374"/>
      <c r="C56512" s="374"/>
      <c r="CV56512" s="376"/>
    </row>
    <row r="56513" spans="1:100">
      <c r="A56513" s="374"/>
      <c r="C56513" s="374"/>
      <c r="CV56513" s="376"/>
    </row>
    <row r="56514" spans="1:100">
      <c r="A56514" s="374"/>
      <c r="C56514" s="374"/>
      <c r="CV56514" s="376"/>
    </row>
    <row r="56515" spans="1:100">
      <c r="A56515" s="374"/>
      <c r="C56515" s="374"/>
      <c r="CV56515" s="376"/>
    </row>
    <row r="56516" spans="1:100">
      <c r="A56516" s="374"/>
      <c r="C56516" s="374"/>
      <c r="CV56516" s="376"/>
    </row>
    <row r="56517" spans="1:100">
      <c r="A56517" s="374"/>
      <c r="C56517" s="374"/>
      <c r="CV56517" s="376"/>
    </row>
    <row r="56518" spans="1:100">
      <c r="A56518" s="374"/>
      <c r="C56518" s="374"/>
      <c r="CV56518" s="376"/>
    </row>
    <row r="56519" spans="1:100">
      <c r="A56519" s="374"/>
      <c r="C56519" s="374"/>
      <c r="CV56519" s="376"/>
    </row>
    <row r="56520" spans="1:100">
      <c r="A56520" s="374"/>
      <c r="C56520" s="374"/>
      <c r="CV56520" s="376"/>
    </row>
    <row r="56521" spans="1:100">
      <c r="A56521" s="374"/>
      <c r="C56521" s="374"/>
      <c r="CV56521" s="376"/>
    </row>
    <row r="56522" spans="1:100">
      <c r="A56522" s="374"/>
      <c r="C56522" s="374"/>
      <c r="CV56522" s="376"/>
    </row>
    <row r="56523" spans="1:100">
      <c r="A56523" s="374"/>
      <c r="C56523" s="374"/>
      <c r="CV56523" s="376"/>
    </row>
    <row r="56524" spans="1:100">
      <c r="A56524" s="374"/>
      <c r="C56524" s="374"/>
      <c r="CV56524" s="376"/>
    </row>
    <row r="56525" spans="1:100">
      <c r="A56525" s="374"/>
      <c r="C56525" s="374"/>
      <c r="CV56525" s="376"/>
    </row>
    <row r="56526" spans="1:100">
      <c r="A56526" s="374"/>
      <c r="C56526" s="374"/>
      <c r="CV56526" s="376"/>
    </row>
    <row r="56527" spans="1:100">
      <c r="A56527" s="374"/>
      <c r="C56527" s="374"/>
      <c r="CV56527" s="376"/>
    </row>
    <row r="56528" spans="1:100">
      <c r="A56528" s="374"/>
      <c r="C56528" s="374"/>
      <c r="CV56528" s="376"/>
    </row>
    <row r="56529" spans="1:100">
      <c r="A56529" s="374"/>
      <c r="C56529" s="374"/>
      <c r="CV56529" s="376"/>
    </row>
    <row r="56530" spans="1:100">
      <c r="A56530" s="374"/>
      <c r="C56530" s="374"/>
      <c r="CV56530" s="376"/>
    </row>
    <row r="56531" spans="1:100">
      <c r="A56531" s="374"/>
      <c r="C56531" s="374"/>
      <c r="CV56531" s="376"/>
    </row>
    <row r="56532" spans="1:100">
      <c r="A56532" s="374"/>
      <c r="C56532" s="374"/>
      <c r="CV56532" s="376"/>
    </row>
    <row r="56533" spans="1:100">
      <c r="A56533" s="374"/>
      <c r="C56533" s="374"/>
      <c r="CV56533" s="376"/>
    </row>
    <row r="56534" spans="1:100">
      <c r="A56534" s="374"/>
      <c r="C56534" s="374"/>
      <c r="CV56534" s="376"/>
    </row>
    <row r="56535" spans="1:100">
      <c r="A56535" s="374"/>
      <c r="C56535" s="374"/>
      <c r="CV56535" s="376"/>
    </row>
    <row r="56536" spans="1:100">
      <c r="A56536" s="374"/>
      <c r="C56536" s="374"/>
      <c r="CV56536" s="376"/>
    </row>
    <row r="56537" spans="1:100">
      <c r="A56537" s="374"/>
      <c r="C56537" s="374"/>
      <c r="CV56537" s="376"/>
    </row>
    <row r="56538" spans="1:100">
      <c r="A56538" s="374"/>
      <c r="C56538" s="374"/>
      <c r="CV56538" s="376"/>
    </row>
    <row r="56539" spans="1:100">
      <c r="A56539" s="374"/>
      <c r="C56539" s="374"/>
      <c r="CV56539" s="376"/>
    </row>
    <row r="56540" spans="1:100">
      <c r="A56540" s="374"/>
      <c r="C56540" s="374"/>
      <c r="CV56540" s="376"/>
    </row>
    <row r="56541" spans="1:100">
      <c r="A56541" s="374"/>
      <c r="C56541" s="374"/>
      <c r="CV56541" s="376"/>
    </row>
    <row r="56542" spans="1:100">
      <c r="A56542" s="374"/>
      <c r="C56542" s="374"/>
      <c r="CV56542" s="376"/>
    </row>
    <row r="56543" spans="1:100">
      <c r="A56543" s="374"/>
      <c r="C56543" s="374"/>
      <c r="CV56543" s="376"/>
    </row>
    <row r="56544" spans="1:100">
      <c r="A56544" s="374"/>
      <c r="C56544" s="374"/>
      <c r="CV56544" s="376"/>
    </row>
    <row r="56545" spans="1:100">
      <c r="A56545" s="374"/>
      <c r="C56545" s="374"/>
      <c r="CV56545" s="376"/>
    </row>
    <row r="56546" spans="1:100">
      <c r="A56546" s="374"/>
      <c r="C56546" s="374"/>
      <c r="CV56546" s="376"/>
    </row>
    <row r="56547" spans="1:100">
      <c r="A56547" s="374"/>
      <c r="C56547" s="374"/>
      <c r="CV56547" s="376"/>
    </row>
    <row r="56548" spans="1:100">
      <c r="A56548" s="374"/>
      <c r="C56548" s="374"/>
      <c r="CV56548" s="376"/>
    </row>
    <row r="56549" spans="1:100">
      <c r="A56549" s="374"/>
      <c r="C56549" s="374"/>
      <c r="CV56549" s="376"/>
    </row>
    <row r="56550" spans="1:100">
      <c r="A56550" s="374"/>
      <c r="C56550" s="374"/>
      <c r="CV56550" s="376"/>
    </row>
    <row r="56551" spans="1:100">
      <c r="A56551" s="374"/>
      <c r="C56551" s="374"/>
      <c r="CV56551" s="376"/>
    </row>
    <row r="56552" spans="1:100">
      <c r="A56552" s="374"/>
      <c r="C56552" s="374"/>
      <c r="CV56552" s="376"/>
    </row>
    <row r="56553" spans="1:100">
      <c r="A56553" s="374"/>
      <c r="C56553" s="374"/>
      <c r="CV56553" s="376"/>
    </row>
    <row r="56554" spans="1:100">
      <c r="A56554" s="374"/>
      <c r="C56554" s="374"/>
      <c r="CV56554" s="376"/>
    </row>
    <row r="56555" spans="1:100">
      <c r="A56555" s="374"/>
      <c r="C56555" s="374"/>
      <c r="CV56555" s="376"/>
    </row>
    <row r="56556" spans="1:100">
      <c r="A56556" s="374"/>
      <c r="C56556" s="374"/>
      <c r="CV56556" s="376"/>
    </row>
    <row r="56557" spans="1:100">
      <c r="A56557" s="374"/>
      <c r="C56557" s="374"/>
      <c r="CV56557" s="376"/>
    </row>
    <row r="56558" spans="1:100">
      <c r="A56558" s="374"/>
      <c r="C56558" s="374"/>
      <c r="CV56558" s="376"/>
    </row>
    <row r="56559" spans="1:100">
      <c r="A56559" s="374"/>
      <c r="C56559" s="374"/>
      <c r="CV56559" s="376"/>
    </row>
    <row r="56560" spans="1:100">
      <c r="A56560" s="374"/>
      <c r="C56560" s="374"/>
      <c r="CV56560" s="376"/>
    </row>
    <row r="56561" spans="1:100">
      <c r="A56561" s="374"/>
      <c r="C56561" s="374"/>
      <c r="CV56561" s="376"/>
    </row>
    <row r="56562" spans="1:100">
      <c r="A56562" s="374"/>
      <c r="C56562" s="374"/>
      <c r="CV56562" s="376"/>
    </row>
    <row r="56563" spans="1:100">
      <c r="A56563" s="374"/>
      <c r="C56563" s="374"/>
      <c r="CV56563" s="376"/>
    </row>
    <row r="56564" spans="1:100">
      <c r="A56564" s="374"/>
      <c r="C56564" s="374"/>
      <c r="CV56564" s="376"/>
    </row>
    <row r="56565" spans="1:100">
      <c r="A56565" s="374"/>
      <c r="C56565" s="374"/>
      <c r="CV56565" s="376"/>
    </row>
    <row r="56566" spans="1:100">
      <c r="A56566" s="374"/>
      <c r="C56566" s="374"/>
      <c r="CV56566" s="376"/>
    </row>
    <row r="56567" spans="1:100">
      <c r="A56567" s="374"/>
      <c r="C56567" s="374"/>
      <c r="CV56567" s="376"/>
    </row>
    <row r="56568" spans="1:100">
      <c r="A56568" s="374"/>
      <c r="C56568" s="374"/>
      <c r="CV56568" s="376"/>
    </row>
    <row r="56569" spans="1:100">
      <c r="A56569" s="374"/>
      <c r="C56569" s="374"/>
      <c r="CV56569" s="376"/>
    </row>
    <row r="56570" spans="1:100">
      <c r="A56570" s="374"/>
      <c r="C56570" s="374"/>
      <c r="CV56570" s="376"/>
    </row>
    <row r="56571" spans="1:100">
      <c r="A56571" s="374"/>
      <c r="C56571" s="374"/>
      <c r="CV56571" s="376"/>
    </row>
    <row r="56572" spans="1:100">
      <c r="A56572" s="374"/>
      <c r="C56572" s="374"/>
      <c r="CV56572" s="376"/>
    </row>
    <row r="56573" spans="1:100">
      <c r="A56573" s="374"/>
      <c r="C56573" s="374"/>
      <c r="CV56573" s="376"/>
    </row>
    <row r="56574" spans="1:100">
      <c r="A56574" s="374"/>
      <c r="C56574" s="374"/>
      <c r="CV56574" s="376"/>
    </row>
    <row r="56575" spans="1:100">
      <c r="A56575" s="374"/>
      <c r="C56575" s="374"/>
      <c r="CV56575" s="376"/>
    </row>
    <row r="56576" spans="1:100">
      <c r="A56576" s="374"/>
      <c r="C56576" s="374"/>
      <c r="CV56576" s="376"/>
    </row>
    <row r="56577" spans="1:100">
      <c r="A56577" s="374"/>
      <c r="C56577" s="374"/>
      <c r="CV56577" s="376"/>
    </row>
    <row r="56578" spans="1:100">
      <c r="A56578" s="374"/>
      <c r="C56578" s="374"/>
      <c r="CV56578" s="376"/>
    </row>
    <row r="56579" spans="1:100">
      <c r="A56579" s="374"/>
      <c r="C56579" s="374"/>
      <c r="CV56579" s="376"/>
    </row>
    <row r="56580" spans="1:100">
      <c r="A56580" s="374"/>
      <c r="C56580" s="374"/>
      <c r="CV56580" s="376"/>
    </row>
    <row r="56581" spans="1:100">
      <c r="A56581" s="374"/>
      <c r="C56581" s="374"/>
      <c r="CV56581" s="376"/>
    </row>
    <row r="56582" spans="1:100">
      <c r="A56582" s="374"/>
      <c r="C56582" s="374"/>
      <c r="CV56582" s="376"/>
    </row>
    <row r="56583" spans="1:100">
      <c r="A56583" s="374"/>
      <c r="C56583" s="374"/>
      <c r="CV56583" s="376"/>
    </row>
    <row r="56584" spans="1:100">
      <c r="A56584" s="374"/>
      <c r="C56584" s="374"/>
      <c r="CV56584" s="376"/>
    </row>
    <row r="56585" spans="1:100">
      <c r="A56585" s="374"/>
      <c r="C56585" s="374"/>
      <c r="CV56585" s="376"/>
    </row>
    <row r="56586" spans="1:100">
      <c r="A56586" s="374"/>
      <c r="C56586" s="374"/>
      <c r="CV56586" s="376"/>
    </row>
    <row r="56587" spans="1:100">
      <c r="A56587" s="374"/>
      <c r="C56587" s="374"/>
      <c r="CV56587" s="376"/>
    </row>
    <row r="56588" spans="1:100">
      <c r="A56588" s="374"/>
      <c r="C56588" s="374"/>
      <c r="CV56588" s="376"/>
    </row>
    <row r="56589" spans="1:100">
      <c r="A56589" s="374"/>
      <c r="C56589" s="374"/>
      <c r="CV56589" s="376"/>
    </row>
    <row r="56590" spans="1:100">
      <c r="A56590" s="374"/>
      <c r="C56590" s="374"/>
      <c r="CV56590" s="376"/>
    </row>
    <row r="56591" spans="1:100">
      <c r="A56591" s="374"/>
      <c r="C56591" s="374"/>
      <c r="CV56591" s="376"/>
    </row>
    <row r="56592" spans="1:100">
      <c r="A56592" s="374"/>
      <c r="C56592" s="374"/>
      <c r="CV56592" s="376"/>
    </row>
    <row r="56593" spans="1:100">
      <c r="A56593" s="374"/>
      <c r="C56593" s="374"/>
      <c r="CV56593" s="376"/>
    </row>
    <row r="56594" spans="1:100">
      <c r="A56594" s="374"/>
      <c r="C56594" s="374"/>
      <c r="CV56594" s="376"/>
    </row>
    <row r="56595" spans="1:100">
      <c r="A56595" s="374"/>
      <c r="C56595" s="374"/>
      <c r="CV56595" s="376"/>
    </row>
    <row r="56596" spans="1:100">
      <c r="A56596" s="374"/>
      <c r="C56596" s="374"/>
      <c r="CV56596" s="376"/>
    </row>
    <row r="56597" spans="1:100">
      <c r="A56597" s="374"/>
      <c r="C56597" s="374"/>
      <c r="CV56597" s="376"/>
    </row>
    <row r="56598" spans="1:100">
      <c r="A56598" s="374"/>
      <c r="C56598" s="374"/>
      <c r="CV56598" s="376"/>
    </row>
    <row r="56599" spans="1:100">
      <c r="A56599" s="374"/>
      <c r="C56599" s="374"/>
      <c r="CV56599" s="376"/>
    </row>
    <row r="56600" spans="1:100">
      <c r="A56600" s="374"/>
      <c r="C56600" s="374"/>
      <c r="CV56600" s="376"/>
    </row>
    <row r="56601" spans="1:100">
      <c r="A56601" s="374"/>
      <c r="C56601" s="374"/>
      <c r="CV56601" s="376"/>
    </row>
    <row r="56602" spans="1:100">
      <c r="A56602" s="374"/>
      <c r="C56602" s="374"/>
      <c r="CV56602" s="376"/>
    </row>
    <row r="56603" spans="1:100">
      <c r="A56603" s="374"/>
      <c r="C56603" s="374"/>
      <c r="CV56603" s="376"/>
    </row>
    <row r="56604" spans="1:100">
      <c r="A56604" s="374"/>
      <c r="C56604" s="374"/>
      <c r="CV56604" s="376"/>
    </row>
    <row r="56605" spans="1:100">
      <c r="A56605" s="374"/>
      <c r="C56605" s="374"/>
      <c r="CV56605" s="376"/>
    </row>
    <row r="56606" spans="1:100">
      <c r="A56606" s="374"/>
      <c r="C56606" s="374"/>
      <c r="CV56606" s="376"/>
    </row>
    <row r="56607" spans="1:100">
      <c r="A56607" s="374"/>
      <c r="C56607" s="374"/>
      <c r="CV56607" s="376"/>
    </row>
    <row r="56608" spans="1:100">
      <c r="A56608" s="374"/>
      <c r="C56608" s="374"/>
      <c r="CV56608" s="376"/>
    </row>
    <row r="56609" spans="1:100">
      <c r="A56609" s="374"/>
      <c r="C56609" s="374"/>
      <c r="CV56609" s="376"/>
    </row>
    <row r="56610" spans="1:100">
      <c r="A56610" s="374"/>
      <c r="C56610" s="374"/>
      <c r="CV56610" s="376"/>
    </row>
    <row r="56611" spans="1:100">
      <c r="A56611" s="374"/>
      <c r="C56611" s="374"/>
      <c r="CV56611" s="376"/>
    </row>
    <row r="56612" spans="1:100">
      <c r="A56612" s="374"/>
      <c r="C56612" s="374"/>
      <c r="CV56612" s="376"/>
    </row>
    <row r="56613" spans="1:100">
      <c r="A56613" s="374"/>
      <c r="C56613" s="374"/>
      <c r="CV56613" s="376"/>
    </row>
    <row r="56614" spans="1:100">
      <c r="A56614" s="374"/>
      <c r="C56614" s="374"/>
      <c r="CV56614" s="376"/>
    </row>
    <row r="56615" spans="1:100">
      <c r="A56615" s="374"/>
      <c r="C56615" s="374"/>
      <c r="CV56615" s="376"/>
    </row>
    <row r="56616" spans="1:100">
      <c r="A56616" s="374"/>
      <c r="C56616" s="374"/>
      <c r="CV56616" s="376"/>
    </row>
    <row r="56617" spans="1:100">
      <c r="A56617" s="374"/>
      <c r="C56617" s="374"/>
      <c r="CV56617" s="376"/>
    </row>
    <row r="56618" spans="1:100">
      <c r="A56618" s="374"/>
      <c r="C56618" s="374"/>
      <c r="CV56618" s="376"/>
    </row>
    <row r="56619" spans="1:100">
      <c r="A56619" s="374"/>
      <c r="C56619" s="374"/>
      <c r="CV56619" s="376"/>
    </row>
    <row r="56620" spans="1:100">
      <c r="A56620" s="374"/>
      <c r="C56620" s="374"/>
      <c r="CV56620" s="376"/>
    </row>
    <row r="56621" spans="1:100">
      <c r="A56621" s="374"/>
      <c r="C56621" s="374"/>
      <c r="CV56621" s="376"/>
    </row>
    <row r="56622" spans="1:100">
      <c r="A56622" s="374"/>
      <c r="C56622" s="374"/>
      <c r="CV56622" s="376"/>
    </row>
    <row r="56623" spans="1:100">
      <c r="A56623" s="374"/>
      <c r="C56623" s="374"/>
      <c r="CV56623" s="376"/>
    </row>
    <row r="56624" spans="1:100">
      <c r="A56624" s="374"/>
      <c r="C56624" s="374"/>
      <c r="CV56624" s="376"/>
    </row>
    <row r="56625" spans="1:100">
      <c r="A56625" s="374"/>
      <c r="C56625" s="374"/>
      <c r="CV56625" s="376"/>
    </row>
    <row r="56626" spans="1:100">
      <c r="A56626" s="374"/>
      <c r="C56626" s="374"/>
      <c r="CV56626" s="376"/>
    </row>
    <row r="56627" spans="1:100">
      <c r="A56627" s="374"/>
      <c r="C56627" s="374"/>
      <c r="CV56627" s="376"/>
    </row>
    <row r="56628" spans="1:100">
      <c r="A56628" s="374"/>
      <c r="C56628" s="374"/>
      <c r="CV56628" s="376"/>
    </row>
    <row r="56629" spans="1:100">
      <c r="A56629" s="374"/>
      <c r="C56629" s="374"/>
      <c r="CV56629" s="376"/>
    </row>
    <row r="56630" spans="1:100">
      <c r="A56630" s="374"/>
      <c r="C56630" s="374"/>
      <c r="CV56630" s="376"/>
    </row>
    <row r="56631" spans="1:100">
      <c r="A56631" s="374"/>
      <c r="C56631" s="374"/>
      <c r="CV56631" s="376"/>
    </row>
    <row r="56632" spans="1:100">
      <c r="A56632" s="374"/>
      <c r="C56632" s="374"/>
      <c r="CV56632" s="376"/>
    </row>
    <row r="56633" spans="1:100">
      <c r="A56633" s="374"/>
      <c r="C56633" s="374"/>
      <c r="CV56633" s="376"/>
    </row>
    <row r="56634" spans="1:100">
      <c r="A56634" s="374"/>
      <c r="C56634" s="374"/>
      <c r="CV56634" s="376"/>
    </row>
    <row r="56635" spans="1:100">
      <c r="A56635" s="374"/>
      <c r="C56635" s="374"/>
      <c r="CV56635" s="376"/>
    </row>
    <row r="56636" spans="1:100">
      <c r="A56636" s="374"/>
      <c r="C56636" s="374"/>
      <c r="CV56636" s="376"/>
    </row>
    <row r="56637" spans="1:100">
      <c r="A56637" s="374"/>
      <c r="C56637" s="374"/>
      <c r="CV56637" s="376"/>
    </row>
    <row r="56638" spans="1:100">
      <c r="A56638" s="374"/>
      <c r="C56638" s="374"/>
      <c r="CV56638" s="376"/>
    </row>
    <row r="56639" spans="1:100">
      <c r="A56639" s="374"/>
      <c r="C56639" s="374"/>
      <c r="CV56639" s="376"/>
    </row>
    <row r="56640" spans="1:100">
      <c r="A56640" s="374"/>
      <c r="C56640" s="374"/>
      <c r="CV56640" s="376"/>
    </row>
    <row r="56641" spans="1:100">
      <c r="A56641" s="374"/>
      <c r="C56641" s="374"/>
      <c r="CV56641" s="376"/>
    </row>
    <row r="56642" spans="1:100">
      <c r="A56642" s="374"/>
      <c r="C56642" s="374"/>
      <c r="CV56642" s="376"/>
    </row>
    <row r="56643" spans="1:100">
      <c r="A56643" s="374"/>
      <c r="C56643" s="374"/>
      <c r="CV56643" s="376"/>
    </row>
    <row r="56644" spans="1:100">
      <c r="A56644" s="374"/>
      <c r="C56644" s="374"/>
      <c r="CV56644" s="376"/>
    </row>
    <row r="56645" spans="1:100">
      <c r="A56645" s="374"/>
      <c r="C56645" s="374"/>
      <c r="CV56645" s="376"/>
    </row>
    <row r="56646" spans="1:100">
      <c r="A56646" s="374"/>
      <c r="C56646" s="374"/>
      <c r="CV56646" s="376"/>
    </row>
    <row r="56647" spans="1:100">
      <c r="A56647" s="374"/>
      <c r="C56647" s="374"/>
      <c r="CV56647" s="376"/>
    </row>
    <row r="56648" spans="1:100">
      <c r="A56648" s="374"/>
      <c r="C56648" s="374"/>
      <c r="CV56648" s="376"/>
    </row>
    <row r="56649" spans="1:100">
      <c r="A56649" s="374"/>
      <c r="C56649" s="374"/>
      <c r="CV56649" s="376"/>
    </row>
    <row r="56650" spans="1:100">
      <c r="A56650" s="374"/>
      <c r="C56650" s="374"/>
      <c r="CV56650" s="376"/>
    </row>
    <row r="56651" spans="1:100">
      <c r="A56651" s="374"/>
      <c r="C56651" s="374"/>
      <c r="CV56651" s="376"/>
    </row>
    <row r="56652" spans="1:100">
      <c r="A56652" s="374"/>
      <c r="C56652" s="374"/>
      <c r="CV56652" s="376"/>
    </row>
    <row r="56653" spans="1:100">
      <c r="A56653" s="374"/>
      <c r="C56653" s="374"/>
      <c r="CV56653" s="376"/>
    </row>
    <row r="56654" spans="1:100">
      <c r="A56654" s="374"/>
      <c r="C56654" s="374"/>
      <c r="CV56654" s="376"/>
    </row>
    <row r="56655" spans="1:100">
      <c r="A56655" s="374"/>
      <c r="C56655" s="374"/>
      <c r="CV56655" s="376"/>
    </row>
    <row r="56656" spans="1:100">
      <c r="A56656" s="374"/>
      <c r="C56656" s="374"/>
      <c r="CV56656" s="376"/>
    </row>
    <row r="56657" spans="1:100">
      <c r="A56657" s="374"/>
      <c r="C56657" s="374"/>
      <c r="CV56657" s="376"/>
    </row>
    <row r="56658" spans="1:100">
      <c r="A56658" s="374"/>
      <c r="C56658" s="374"/>
      <c r="CV56658" s="376"/>
    </row>
    <row r="56659" spans="1:100">
      <c r="A56659" s="374"/>
      <c r="C56659" s="374"/>
      <c r="CV56659" s="376"/>
    </row>
    <row r="56660" spans="1:100">
      <c r="A56660" s="374"/>
      <c r="C56660" s="374"/>
      <c r="CV56660" s="376"/>
    </row>
    <row r="56661" spans="1:100">
      <c r="A56661" s="374"/>
      <c r="C56661" s="374"/>
      <c r="CV56661" s="376"/>
    </row>
    <row r="56662" spans="1:100">
      <c r="A56662" s="374"/>
      <c r="C56662" s="374"/>
      <c r="CV56662" s="376"/>
    </row>
    <row r="56663" spans="1:100">
      <c r="A56663" s="374"/>
      <c r="C56663" s="374"/>
      <c r="CV56663" s="376"/>
    </row>
    <row r="56664" spans="1:100">
      <c r="A56664" s="374"/>
      <c r="C56664" s="374"/>
      <c r="CV56664" s="376"/>
    </row>
    <row r="56665" spans="1:100">
      <c r="A56665" s="374"/>
      <c r="C56665" s="374"/>
      <c r="CV56665" s="376"/>
    </row>
    <row r="56666" spans="1:100">
      <c r="A56666" s="374"/>
      <c r="C56666" s="374"/>
      <c r="CV56666" s="376"/>
    </row>
    <row r="56667" spans="1:100">
      <c r="A56667" s="374"/>
      <c r="C56667" s="374"/>
      <c r="CV56667" s="376"/>
    </row>
    <row r="56668" spans="1:100">
      <c r="A56668" s="374"/>
      <c r="C56668" s="374"/>
      <c r="CV56668" s="376"/>
    </row>
    <row r="56669" spans="1:100">
      <c r="A56669" s="374"/>
      <c r="C56669" s="374"/>
      <c r="CV56669" s="376"/>
    </row>
    <row r="56670" spans="1:100">
      <c r="A56670" s="374"/>
      <c r="C56670" s="374"/>
      <c r="CV56670" s="376"/>
    </row>
    <row r="56671" spans="1:100">
      <c r="A56671" s="374"/>
      <c r="C56671" s="374"/>
      <c r="CV56671" s="376"/>
    </row>
    <row r="56672" spans="1:100">
      <c r="A56672" s="374"/>
      <c r="C56672" s="374"/>
      <c r="CV56672" s="376"/>
    </row>
    <row r="56673" spans="1:100">
      <c r="A56673" s="374"/>
      <c r="C56673" s="374"/>
      <c r="CV56673" s="376"/>
    </row>
    <row r="56674" spans="1:100">
      <c r="A56674" s="374"/>
      <c r="C56674" s="374"/>
      <c r="CV56674" s="376"/>
    </row>
    <row r="56675" spans="1:100">
      <c r="A56675" s="374"/>
      <c r="C56675" s="374"/>
      <c r="CV56675" s="376"/>
    </row>
    <row r="56676" spans="1:100">
      <c r="A56676" s="374"/>
      <c r="C56676" s="374"/>
      <c r="CV56676" s="376"/>
    </row>
    <row r="56677" spans="1:100">
      <c r="A56677" s="374"/>
      <c r="C56677" s="374"/>
      <c r="CV56677" s="376"/>
    </row>
    <row r="56678" spans="1:100">
      <c r="A56678" s="374"/>
      <c r="C56678" s="374"/>
      <c r="CV56678" s="376"/>
    </row>
    <row r="56679" spans="1:100">
      <c r="A56679" s="374"/>
      <c r="C56679" s="374"/>
      <c r="CV56679" s="376"/>
    </row>
    <row r="56680" spans="1:100">
      <c r="A56680" s="374"/>
      <c r="C56680" s="374"/>
      <c r="CV56680" s="376"/>
    </row>
    <row r="56681" spans="1:100">
      <c r="A56681" s="374"/>
      <c r="C56681" s="374"/>
      <c r="CV56681" s="376"/>
    </row>
    <row r="56682" spans="1:100">
      <c r="A56682" s="374"/>
      <c r="C56682" s="374"/>
      <c r="CV56682" s="376"/>
    </row>
    <row r="56683" spans="1:100">
      <c r="A56683" s="374"/>
      <c r="C56683" s="374"/>
      <c r="CV56683" s="376"/>
    </row>
    <row r="56684" spans="1:100">
      <c r="A56684" s="374"/>
      <c r="C56684" s="374"/>
      <c r="CV56684" s="376"/>
    </row>
    <row r="56685" spans="1:100">
      <c r="A56685" s="374"/>
      <c r="C56685" s="374"/>
      <c r="CV56685" s="376"/>
    </row>
    <row r="56686" spans="1:100">
      <c r="A56686" s="374"/>
      <c r="C56686" s="374"/>
      <c r="CV56686" s="376"/>
    </row>
    <row r="56687" spans="1:100">
      <c r="A56687" s="374"/>
      <c r="C56687" s="374"/>
      <c r="CV56687" s="376"/>
    </row>
    <row r="56688" spans="1:100">
      <c r="A56688" s="374"/>
      <c r="C56688" s="374"/>
      <c r="CV56688" s="376"/>
    </row>
    <row r="56689" spans="1:100">
      <c r="A56689" s="374"/>
      <c r="C56689" s="374"/>
      <c r="CV56689" s="376"/>
    </row>
    <row r="56690" spans="1:100">
      <c r="A56690" s="374"/>
      <c r="C56690" s="374"/>
      <c r="CV56690" s="376"/>
    </row>
    <row r="56691" spans="1:100">
      <c r="A56691" s="374"/>
      <c r="C56691" s="374"/>
      <c r="CV56691" s="376"/>
    </row>
    <row r="56692" spans="1:100">
      <c r="A56692" s="374"/>
      <c r="C56692" s="374"/>
      <c r="CV56692" s="376"/>
    </row>
    <row r="56693" spans="1:100">
      <c r="A56693" s="374"/>
      <c r="C56693" s="374"/>
      <c r="CV56693" s="376"/>
    </row>
    <row r="56694" spans="1:100">
      <c r="A56694" s="374"/>
      <c r="C56694" s="374"/>
      <c r="CV56694" s="376"/>
    </row>
    <row r="56695" spans="1:100">
      <c r="A56695" s="374"/>
      <c r="C56695" s="374"/>
      <c r="CV56695" s="376"/>
    </row>
    <row r="56696" spans="1:100">
      <c r="A56696" s="374"/>
      <c r="C56696" s="374"/>
      <c r="CV56696" s="376"/>
    </row>
    <row r="56697" spans="1:100">
      <c r="A56697" s="374"/>
      <c r="C56697" s="374"/>
      <c r="CV56697" s="376"/>
    </row>
    <row r="56698" spans="1:100">
      <c r="A56698" s="374"/>
      <c r="C56698" s="374"/>
      <c r="CV56698" s="376"/>
    </row>
    <row r="56699" spans="1:100">
      <c r="A56699" s="374"/>
      <c r="C56699" s="374"/>
      <c r="CV56699" s="376"/>
    </row>
    <row r="56700" spans="1:100">
      <c r="A56700" s="374"/>
      <c r="C56700" s="374"/>
      <c r="CV56700" s="376"/>
    </row>
    <row r="56701" spans="1:100">
      <c r="A56701" s="374"/>
      <c r="C56701" s="374"/>
      <c r="CV56701" s="376"/>
    </row>
    <row r="56702" spans="1:100">
      <c r="A56702" s="374"/>
      <c r="C56702" s="374"/>
      <c r="CV56702" s="376"/>
    </row>
    <row r="56703" spans="1:100">
      <c r="A56703" s="374"/>
      <c r="C56703" s="374"/>
      <c r="CV56703" s="376"/>
    </row>
    <row r="56704" spans="1:100">
      <c r="A56704" s="374"/>
      <c r="C56704" s="374"/>
      <c r="CV56704" s="376"/>
    </row>
    <row r="56705" spans="1:100">
      <c r="A56705" s="374"/>
      <c r="C56705" s="374"/>
      <c r="CV56705" s="376"/>
    </row>
    <row r="56706" spans="1:100">
      <c r="A56706" s="374"/>
      <c r="C56706" s="374"/>
      <c r="CV56706" s="376"/>
    </row>
    <row r="56707" spans="1:100">
      <c r="A56707" s="374"/>
      <c r="C56707" s="374"/>
      <c r="CV56707" s="376"/>
    </row>
    <row r="56708" spans="1:100">
      <c r="A56708" s="374"/>
      <c r="C56708" s="374"/>
      <c r="CV56708" s="376"/>
    </row>
    <row r="56709" spans="1:100">
      <c r="A56709" s="374"/>
      <c r="C56709" s="374"/>
      <c r="CV56709" s="376"/>
    </row>
    <row r="56710" spans="1:100">
      <c r="A56710" s="374"/>
      <c r="C56710" s="374"/>
      <c r="CV56710" s="376"/>
    </row>
    <row r="56711" spans="1:100">
      <c r="A56711" s="374"/>
      <c r="C56711" s="374"/>
      <c r="CV56711" s="376"/>
    </row>
    <row r="56712" spans="1:100">
      <c r="A56712" s="374"/>
      <c r="C56712" s="374"/>
      <c r="CV56712" s="376"/>
    </row>
    <row r="56713" spans="1:100">
      <c r="A56713" s="374"/>
      <c r="C56713" s="374"/>
      <c r="CV56713" s="376"/>
    </row>
    <row r="56714" spans="1:100">
      <c r="A56714" s="374"/>
      <c r="C56714" s="374"/>
      <c r="CV56714" s="376"/>
    </row>
    <row r="56715" spans="1:100">
      <c r="A56715" s="374"/>
      <c r="C56715" s="374"/>
      <c r="CV56715" s="376"/>
    </row>
    <row r="56716" spans="1:100">
      <c r="A56716" s="374"/>
      <c r="C56716" s="374"/>
      <c r="CV56716" s="376"/>
    </row>
    <row r="56717" spans="1:100">
      <c r="A56717" s="374"/>
      <c r="C56717" s="374"/>
      <c r="CV56717" s="376"/>
    </row>
    <row r="56718" spans="1:100">
      <c r="A56718" s="374"/>
      <c r="C56718" s="374"/>
      <c r="CV56718" s="376"/>
    </row>
    <row r="56719" spans="1:100">
      <c r="A56719" s="374"/>
      <c r="C56719" s="374"/>
      <c r="CV56719" s="376"/>
    </row>
    <row r="56720" spans="1:100">
      <c r="A56720" s="374"/>
      <c r="C56720" s="374"/>
      <c r="CV56720" s="376"/>
    </row>
    <row r="56721" spans="1:100">
      <c r="A56721" s="374"/>
      <c r="C56721" s="374"/>
      <c r="CV56721" s="376"/>
    </row>
    <row r="56722" spans="1:100">
      <c r="A56722" s="374"/>
      <c r="C56722" s="374"/>
      <c r="CV56722" s="376"/>
    </row>
    <row r="56723" spans="1:100">
      <c r="A56723" s="374"/>
      <c r="C56723" s="374"/>
      <c r="CV56723" s="376"/>
    </row>
    <row r="56724" spans="1:100">
      <c r="A56724" s="374"/>
      <c r="C56724" s="374"/>
      <c r="CV56724" s="376"/>
    </row>
    <row r="56725" spans="1:100">
      <c r="A56725" s="374"/>
      <c r="C56725" s="374"/>
      <c r="CV56725" s="376"/>
    </row>
    <row r="56726" spans="1:100">
      <c r="A56726" s="374"/>
      <c r="C56726" s="374"/>
      <c r="CV56726" s="376"/>
    </row>
    <row r="56727" spans="1:100">
      <c r="A56727" s="374"/>
      <c r="C56727" s="374"/>
      <c r="CV56727" s="376"/>
    </row>
    <row r="56728" spans="1:100">
      <c r="A56728" s="374"/>
      <c r="C56728" s="374"/>
      <c r="CV56728" s="376"/>
    </row>
    <row r="56729" spans="1:100">
      <c r="A56729" s="374"/>
      <c r="C56729" s="374"/>
      <c r="CV56729" s="376"/>
    </row>
    <row r="56730" spans="1:100">
      <c r="A56730" s="374"/>
      <c r="C56730" s="374"/>
      <c r="CV56730" s="376"/>
    </row>
    <row r="56731" spans="1:100">
      <c r="A56731" s="374"/>
      <c r="C56731" s="374"/>
      <c r="CV56731" s="376"/>
    </row>
    <row r="56732" spans="1:100">
      <c r="A56732" s="374"/>
      <c r="C56732" s="374"/>
      <c r="CV56732" s="376"/>
    </row>
    <row r="56733" spans="1:100">
      <c r="A56733" s="374"/>
      <c r="C56733" s="374"/>
      <c r="CV56733" s="376"/>
    </row>
    <row r="56734" spans="1:100">
      <c r="A56734" s="374"/>
      <c r="C56734" s="374"/>
      <c r="CV56734" s="376"/>
    </row>
    <row r="56735" spans="1:100">
      <c r="A56735" s="374"/>
      <c r="C56735" s="374"/>
      <c r="CV56735" s="376"/>
    </row>
    <row r="56736" spans="1:100">
      <c r="A56736" s="374"/>
      <c r="C56736" s="374"/>
      <c r="CV56736" s="376"/>
    </row>
    <row r="56737" spans="1:100">
      <c r="A56737" s="374"/>
      <c r="C56737" s="374"/>
      <c r="CV56737" s="376"/>
    </row>
    <row r="56738" spans="1:100">
      <c r="A56738" s="374"/>
      <c r="C56738" s="374"/>
      <c r="CV56738" s="376"/>
    </row>
    <row r="56739" spans="1:100">
      <c r="A56739" s="374"/>
      <c r="C56739" s="374"/>
      <c r="CV56739" s="376"/>
    </row>
    <row r="56740" spans="1:100">
      <c r="A56740" s="374"/>
      <c r="C56740" s="374"/>
      <c r="CV56740" s="376"/>
    </row>
    <row r="56741" spans="1:100">
      <c r="A56741" s="374"/>
      <c r="C56741" s="374"/>
      <c r="CV56741" s="376"/>
    </row>
    <row r="56742" spans="1:100">
      <c r="A56742" s="374"/>
      <c r="C56742" s="374"/>
      <c r="CV56742" s="376"/>
    </row>
    <row r="56743" spans="1:100">
      <c r="A56743" s="374"/>
      <c r="C56743" s="374"/>
      <c r="CV56743" s="376"/>
    </row>
    <row r="56744" spans="1:100">
      <c r="A56744" s="374"/>
      <c r="C56744" s="374"/>
      <c r="CV56744" s="376"/>
    </row>
    <row r="56745" spans="1:100">
      <c r="A56745" s="374"/>
      <c r="C56745" s="374"/>
      <c r="CV56745" s="376"/>
    </row>
    <row r="56746" spans="1:100">
      <c r="A56746" s="374"/>
      <c r="C56746" s="374"/>
      <c r="CV56746" s="376"/>
    </row>
    <row r="56747" spans="1:100">
      <c r="A56747" s="374"/>
      <c r="C56747" s="374"/>
      <c r="CV56747" s="376"/>
    </row>
    <row r="56748" spans="1:100">
      <c r="A56748" s="374"/>
      <c r="C56748" s="374"/>
      <c r="CV56748" s="376"/>
    </row>
    <row r="56749" spans="1:100">
      <c r="A56749" s="374"/>
      <c r="C56749" s="374"/>
      <c r="CV56749" s="376"/>
    </row>
    <row r="56750" spans="1:100">
      <c r="A56750" s="374"/>
      <c r="C56750" s="374"/>
      <c r="CV56750" s="376"/>
    </row>
    <row r="56751" spans="1:100">
      <c r="A56751" s="374"/>
      <c r="C56751" s="374"/>
      <c r="CV56751" s="376"/>
    </row>
    <row r="56752" spans="1:100">
      <c r="A56752" s="374"/>
      <c r="C56752" s="374"/>
      <c r="CV56752" s="376"/>
    </row>
    <row r="56753" spans="1:100">
      <c r="A56753" s="374"/>
      <c r="C56753" s="374"/>
      <c r="CV56753" s="376"/>
    </row>
    <row r="56754" spans="1:100">
      <c r="A56754" s="374"/>
      <c r="C56754" s="374"/>
      <c r="CV56754" s="376"/>
    </row>
    <row r="56755" spans="1:100">
      <c r="A56755" s="374"/>
      <c r="C56755" s="374"/>
      <c r="CV56755" s="376"/>
    </row>
    <row r="56756" spans="1:100">
      <c r="A56756" s="374"/>
      <c r="C56756" s="374"/>
      <c r="CV56756" s="376"/>
    </row>
    <row r="56757" spans="1:100">
      <c r="A56757" s="374"/>
      <c r="C56757" s="374"/>
      <c r="CV56757" s="376"/>
    </row>
    <row r="56758" spans="1:100">
      <c r="A56758" s="374"/>
      <c r="C56758" s="374"/>
      <c r="CV56758" s="376"/>
    </row>
    <row r="56759" spans="1:100">
      <c r="A56759" s="374"/>
      <c r="C56759" s="374"/>
      <c r="CV56759" s="376"/>
    </row>
    <row r="56760" spans="1:100">
      <c r="A56760" s="374"/>
      <c r="C56760" s="374"/>
      <c r="CV56760" s="376"/>
    </row>
    <row r="56761" spans="1:100">
      <c r="A56761" s="374"/>
      <c r="C56761" s="374"/>
      <c r="CV56761" s="376"/>
    </row>
    <row r="56762" spans="1:100">
      <c r="A56762" s="374"/>
      <c r="C56762" s="374"/>
      <c r="CV56762" s="376"/>
    </row>
    <row r="56763" spans="1:100">
      <c r="A56763" s="374"/>
      <c r="C56763" s="374"/>
      <c r="CV56763" s="376"/>
    </row>
    <row r="56764" spans="1:100">
      <c r="A56764" s="374"/>
      <c r="C56764" s="374"/>
      <c r="CV56764" s="376"/>
    </row>
    <row r="56765" spans="1:100">
      <c r="A56765" s="374"/>
      <c r="C56765" s="374"/>
      <c r="CV56765" s="376"/>
    </row>
    <row r="56766" spans="1:100">
      <c r="A56766" s="374"/>
      <c r="C56766" s="374"/>
      <c r="CV56766" s="376"/>
    </row>
    <row r="56767" spans="1:100">
      <c r="A56767" s="374"/>
      <c r="C56767" s="374"/>
      <c r="CV56767" s="376"/>
    </row>
    <row r="56768" spans="1:100">
      <c r="A56768" s="374"/>
      <c r="C56768" s="374"/>
      <c r="CV56768" s="376"/>
    </row>
    <row r="56769" spans="1:100">
      <c r="A56769" s="374"/>
      <c r="C56769" s="374"/>
      <c r="CV56769" s="376"/>
    </row>
    <row r="56770" spans="1:100">
      <c r="A56770" s="374"/>
      <c r="C56770" s="374"/>
      <c r="CV56770" s="376"/>
    </row>
    <row r="56771" spans="1:100">
      <c r="A56771" s="374"/>
      <c r="C56771" s="374"/>
      <c r="CV56771" s="376"/>
    </row>
    <row r="56772" spans="1:100">
      <c r="A56772" s="374"/>
      <c r="C56772" s="374"/>
      <c r="CV56772" s="376"/>
    </row>
    <row r="56773" spans="1:100">
      <c r="A56773" s="374"/>
      <c r="C56773" s="374"/>
      <c r="CV56773" s="376"/>
    </row>
    <row r="56774" spans="1:100">
      <c r="A56774" s="374"/>
      <c r="C56774" s="374"/>
      <c r="CV56774" s="376"/>
    </row>
    <row r="56775" spans="1:100">
      <c r="A56775" s="374"/>
      <c r="C56775" s="374"/>
      <c r="CV56775" s="376"/>
    </row>
    <row r="56776" spans="1:100">
      <c r="A56776" s="374"/>
      <c r="C56776" s="374"/>
      <c r="CV56776" s="376"/>
    </row>
    <row r="56777" spans="1:100">
      <c r="A56777" s="374"/>
      <c r="C56777" s="374"/>
      <c r="CV56777" s="376"/>
    </row>
    <row r="56778" spans="1:100">
      <c r="A56778" s="374"/>
      <c r="C56778" s="374"/>
      <c r="CV56778" s="376"/>
    </row>
    <row r="56779" spans="1:100">
      <c r="A56779" s="374"/>
      <c r="C56779" s="374"/>
      <c r="CV56779" s="376"/>
    </row>
    <row r="56780" spans="1:100">
      <c r="A56780" s="374"/>
      <c r="C56780" s="374"/>
      <c r="CV56780" s="376"/>
    </row>
    <row r="56781" spans="1:100">
      <c r="A56781" s="374"/>
      <c r="C56781" s="374"/>
      <c r="CV56781" s="376"/>
    </row>
    <row r="56782" spans="1:100">
      <c r="A56782" s="374"/>
      <c r="C56782" s="374"/>
      <c r="CV56782" s="376"/>
    </row>
    <row r="56783" spans="1:100">
      <c r="A56783" s="374"/>
      <c r="C56783" s="374"/>
      <c r="CV56783" s="376"/>
    </row>
    <row r="56784" spans="1:100">
      <c r="A56784" s="374"/>
      <c r="C56784" s="374"/>
      <c r="CV56784" s="376"/>
    </row>
    <row r="56785" spans="1:100">
      <c r="A56785" s="374"/>
      <c r="C56785" s="374"/>
      <c r="CV56785" s="376"/>
    </row>
    <row r="56786" spans="1:100">
      <c r="A56786" s="374"/>
      <c r="C56786" s="374"/>
      <c r="CV56786" s="376"/>
    </row>
    <row r="56787" spans="1:100">
      <c r="A56787" s="374"/>
      <c r="C56787" s="374"/>
      <c r="CV56787" s="376"/>
    </row>
    <row r="56788" spans="1:100">
      <c r="A56788" s="374"/>
      <c r="C56788" s="374"/>
      <c r="CV56788" s="376"/>
    </row>
    <row r="56789" spans="1:100">
      <c r="A56789" s="374"/>
      <c r="C56789" s="374"/>
      <c r="CV56789" s="376"/>
    </row>
    <row r="56790" spans="1:100">
      <c r="A56790" s="374"/>
      <c r="C56790" s="374"/>
      <c r="CV56790" s="376"/>
    </row>
    <row r="56791" spans="1:100">
      <c r="A56791" s="374"/>
      <c r="C56791" s="374"/>
      <c r="CV56791" s="376"/>
    </row>
    <row r="56792" spans="1:100">
      <c r="A56792" s="374"/>
      <c r="C56792" s="374"/>
      <c r="CV56792" s="376"/>
    </row>
    <row r="56793" spans="1:100">
      <c r="A56793" s="374"/>
      <c r="C56793" s="374"/>
      <c r="CV56793" s="376"/>
    </row>
    <row r="56794" spans="1:100">
      <c r="A56794" s="374"/>
      <c r="C56794" s="374"/>
      <c r="CV56794" s="376"/>
    </row>
    <row r="56795" spans="1:100">
      <c r="A56795" s="374"/>
      <c r="C56795" s="374"/>
      <c r="CV56795" s="376"/>
    </row>
    <row r="56796" spans="1:100">
      <c r="A56796" s="374"/>
      <c r="C56796" s="374"/>
      <c r="CV56796" s="376"/>
    </row>
    <row r="56797" spans="1:100">
      <c r="A56797" s="374"/>
      <c r="C56797" s="374"/>
      <c r="CV56797" s="376"/>
    </row>
    <row r="56798" spans="1:100">
      <c r="A56798" s="374"/>
      <c r="C56798" s="374"/>
      <c r="CV56798" s="376"/>
    </row>
    <row r="56799" spans="1:100">
      <c r="A56799" s="374"/>
      <c r="C56799" s="374"/>
      <c r="CV56799" s="376"/>
    </row>
    <row r="56800" spans="1:100">
      <c r="A56800" s="374"/>
      <c r="C56800" s="374"/>
      <c r="CV56800" s="376"/>
    </row>
    <row r="56801" spans="1:100">
      <c r="A56801" s="374"/>
      <c r="C56801" s="374"/>
      <c r="CV56801" s="376"/>
    </row>
    <row r="56802" spans="1:100">
      <c r="A56802" s="374"/>
      <c r="C56802" s="374"/>
      <c r="CV56802" s="376"/>
    </row>
    <row r="56803" spans="1:100">
      <c r="A56803" s="374"/>
      <c r="C56803" s="374"/>
      <c r="CV56803" s="376"/>
    </row>
    <row r="56804" spans="1:100">
      <c r="A56804" s="374"/>
      <c r="C56804" s="374"/>
      <c r="CV56804" s="376"/>
    </row>
    <row r="56805" spans="1:100">
      <c r="A56805" s="374"/>
      <c r="C56805" s="374"/>
      <c r="CV56805" s="376"/>
    </row>
    <row r="56806" spans="1:100">
      <c r="A56806" s="374"/>
      <c r="C56806" s="374"/>
      <c r="CV56806" s="376"/>
    </row>
    <row r="56807" spans="1:100">
      <c r="A56807" s="374"/>
      <c r="C56807" s="374"/>
      <c r="CV56807" s="376"/>
    </row>
    <row r="56808" spans="1:100">
      <c r="A56808" s="374"/>
      <c r="C56808" s="374"/>
      <c r="CV56808" s="376"/>
    </row>
    <row r="56809" spans="1:100">
      <c r="A56809" s="374"/>
      <c r="C56809" s="374"/>
      <c r="CV56809" s="376"/>
    </row>
    <row r="56810" spans="1:100">
      <c r="A56810" s="374"/>
      <c r="C56810" s="374"/>
      <c r="CV56810" s="376"/>
    </row>
    <row r="56811" spans="1:100">
      <c r="A56811" s="374"/>
      <c r="C56811" s="374"/>
      <c r="CV56811" s="376"/>
    </row>
    <row r="56812" spans="1:100">
      <c r="A56812" s="374"/>
      <c r="C56812" s="374"/>
      <c r="CV56812" s="376"/>
    </row>
    <row r="56813" spans="1:100">
      <c r="A56813" s="374"/>
      <c r="C56813" s="374"/>
      <c r="CV56813" s="376"/>
    </row>
    <row r="56814" spans="1:100">
      <c r="A56814" s="374"/>
      <c r="C56814" s="374"/>
      <c r="CV56814" s="376"/>
    </row>
    <row r="56815" spans="1:100">
      <c r="A56815" s="374"/>
      <c r="C56815" s="374"/>
      <c r="CV56815" s="376"/>
    </row>
    <row r="56816" spans="1:100">
      <c r="A56816" s="374"/>
      <c r="C56816" s="374"/>
      <c r="CV56816" s="376"/>
    </row>
    <row r="56817" spans="1:100">
      <c r="A56817" s="374"/>
      <c r="C56817" s="374"/>
      <c r="CV56817" s="376"/>
    </row>
    <row r="56818" spans="1:100">
      <c r="A56818" s="374"/>
      <c r="C56818" s="374"/>
      <c r="CV56818" s="376"/>
    </row>
    <row r="56819" spans="1:100">
      <c r="A56819" s="374"/>
      <c r="C56819" s="374"/>
      <c r="CV56819" s="376"/>
    </row>
    <row r="56820" spans="1:100">
      <c r="A56820" s="374"/>
      <c r="C56820" s="374"/>
      <c r="CV56820" s="376"/>
    </row>
    <row r="56821" spans="1:100">
      <c r="A56821" s="374"/>
      <c r="C56821" s="374"/>
      <c r="CV56821" s="376"/>
    </row>
    <row r="56822" spans="1:100">
      <c r="A56822" s="374"/>
      <c r="C56822" s="374"/>
      <c r="CV56822" s="376"/>
    </row>
    <row r="56823" spans="1:100">
      <c r="A56823" s="374"/>
      <c r="C56823" s="374"/>
      <c r="CV56823" s="376"/>
    </row>
    <row r="56824" spans="1:100">
      <c r="A56824" s="374"/>
      <c r="C56824" s="374"/>
      <c r="CV56824" s="376"/>
    </row>
    <row r="56825" spans="1:100">
      <c r="A56825" s="374"/>
      <c r="C56825" s="374"/>
      <c r="CV56825" s="376"/>
    </row>
    <row r="56826" spans="1:100">
      <c r="A56826" s="374"/>
      <c r="C56826" s="374"/>
      <c r="CV56826" s="376"/>
    </row>
    <row r="56827" spans="1:100">
      <c r="A56827" s="374"/>
      <c r="C56827" s="374"/>
      <c r="CV56827" s="376"/>
    </row>
    <row r="56828" spans="1:100">
      <c r="A56828" s="374"/>
      <c r="C56828" s="374"/>
      <c r="CV56828" s="376"/>
    </row>
    <row r="56829" spans="1:100">
      <c r="A56829" s="374"/>
      <c r="C56829" s="374"/>
      <c r="CV56829" s="376"/>
    </row>
    <row r="56830" spans="1:100">
      <c r="A56830" s="374"/>
      <c r="C56830" s="374"/>
      <c r="CV56830" s="376"/>
    </row>
    <row r="56831" spans="1:100">
      <c r="A56831" s="374"/>
      <c r="C56831" s="374"/>
      <c r="CV56831" s="376"/>
    </row>
    <row r="56832" spans="1:100">
      <c r="A56832" s="374"/>
      <c r="C56832" s="374"/>
      <c r="CV56832" s="376"/>
    </row>
    <row r="56833" spans="1:100">
      <c r="A56833" s="374"/>
      <c r="C56833" s="374"/>
      <c r="CV56833" s="376"/>
    </row>
    <row r="56834" spans="1:100">
      <c r="A56834" s="374"/>
      <c r="C56834" s="374"/>
      <c r="CV56834" s="376"/>
    </row>
    <row r="56835" spans="1:100">
      <c r="A56835" s="374"/>
      <c r="C56835" s="374"/>
      <c r="CV56835" s="376"/>
    </row>
    <row r="56836" spans="1:100">
      <c r="A56836" s="374"/>
      <c r="C56836" s="374"/>
      <c r="CV56836" s="376"/>
    </row>
    <row r="56837" spans="1:100">
      <c r="A56837" s="374"/>
      <c r="C56837" s="374"/>
      <c r="CV56837" s="376"/>
    </row>
    <row r="56838" spans="1:100">
      <c r="A56838" s="374"/>
      <c r="C56838" s="374"/>
      <c r="CV56838" s="376"/>
    </row>
    <row r="56839" spans="1:100">
      <c r="A56839" s="374"/>
      <c r="C56839" s="374"/>
      <c r="CV56839" s="376"/>
    </row>
    <row r="56840" spans="1:100">
      <c r="A56840" s="374"/>
      <c r="C56840" s="374"/>
      <c r="CV56840" s="376"/>
    </row>
    <row r="56841" spans="1:100">
      <c r="A56841" s="374"/>
      <c r="C56841" s="374"/>
      <c r="CV56841" s="376"/>
    </row>
    <row r="56842" spans="1:100">
      <c r="A56842" s="374"/>
      <c r="C56842" s="374"/>
      <c r="CV56842" s="376"/>
    </row>
    <row r="56843" spans="1:100">
      <c r="A56843" s="374"/>
      <c r="C56843" s="374"/>
      <c r="CV56843" s="376"/>
    </row>
    <row r="56844" spans="1:100">
      <c r="A56844" s="374"/>
      <c r="C56844" s="374"/>
      <c r="CV56844" s="376"/>
    </row>
    <row r="56845" spans="1:100">
      <c r="A56845" s="374"/>
      <c r="C56845" s="374"/>
      <c r="CV56845" s="376"/>
    </row>
    <row r="56846" spans="1:100">
      <c r="A56846" s="374"/>
      <c r="C56846" s="374"/>
      <c r="CV56846" s="376"/>
    </row>
    <row r="56847" spans="1:100">
      <c r="A56847" s="374"/>
      <c r="C56847" s="374"/>
      <c r="CV56847" s="376"/>
    </row>
    <row r="56848" spans="1:100">
      <c r="A56848" s="374"/>
      <c r="C56848" s="374"/>
      <c r="CV56848" s="376"/>
    </row>
    <row r="56849" spans="1:100">
      <c r="A56849" s="374"/>
      <c r="C56849" s="374"/>
      <c r="CV56849" s="376"/>
    </row>
    <row r="56850" spans="1:100">
      <c r="A56850" s="374"/>
      <c r="C56850" s="374"/>
      <c r="CV56850" s="376"/>
    </row>
    <row r="56851" spans="1:100">
      <c r="A56851" s="374"/>
      <c r="C56851" s="374"/>
      <c r="CV56851" s="376"/>
    </row>
    <row r="56852" spans="1:100">
      <c r="A56852" s="374"/>
      <c r="C56852" s="374"/>
      <c r="CV56852" s="376"/>
    </row>
    <row r="56853" spans="1:100">
      <c r="A56853" s="374"/>
      <c r="C56853" s="374"/>
      <c r="CV56853" s="376"/>
    </row>
    <row r="56854" spans="1:100">
      <c r="A56854" s="374"/>
      <c r="C56854" s="374"/>
      <c r="CV56854" s="376"/>
    </row>
    <row r="56855" spans="1:100">
      <c r="A56855" s="374"/>
      <c r="C56855" s="374"/>
      <c r="CV56855" s="376"/>
    </row>
    <row r="56856" spans="1:100">
      <c r="A56856" s="374"/>
      <c r="C56856" s="374"/>
      <c r="CV56856" s="376"/>
    </row>
    <row r="56857" spans="1:100">
      <c r="A56857" s="374"/>
      <c r="C56857" s="374"/>
      <c r="CV56857" s="376"/>
    </row>
    <row r="56858" spans="1:100">
      <c r="A56858" s="374"/>
      <c r="C56858" s="374"/>
      <c r="CV56858" s="376"/>
    </row>
    <row r="56859" spans="1:100">
      <c r="A56859" s="374"/>
      <c r="C56859" s="374"/>
      <c r="CV56859" s="376"/>
    </row>
    <row r="56860" spans="1:100">
      <c r="A56860" s="374"/>
      <c r="C56860" s="374"/>
      <c r="CV56860" s="376"/>
    </row>
    <row r="56861" spans="1:100">
      <c r="A56861" s="374"/>
      <c r="C56861" s="374"/>
      <c r="CV56861" s="376"/>
    </row>
    <row r="56862" spans="1:100">
      <c r="A56862" s="374"/>
      <c r="C56862" s="374"/>
      <c r="CV56862" s="376"/>
    </row>
    <row r="56863" spans="1:100">
      <c r="A56863" s="374"/>
      <c r="C56863" s="374"/>
      <c r="CV56863" s="376"/>
    </row>
    <row r="56864" spans="1:100">
      <c r="A56864" s="374"/>
      <c r="C56864" s="374"/>
      <c r="CV56864" s="376"/>
    </row>
    <row r="56865" spans="1:100">
      <c r="A56865" s="374"/>
      <c r="C56865" s="374"/>
      <c r="CV56865" s="376"/>
    </row>
    <row r="56866" spans="1:100">
      <c r="A56866" s="374"/>
      <c r="C56866" s="374"/>
      <c r="CV56866" s="376"/>
    </row>
    <row r="56867" spans="1:100">
      <c r="A56867" s="374"/>
      <c r="C56867" s="374"/>
      <c r="CV56867" s="376"/>
    </row>
    <row r="56868" spans="1:100">
      <c r="A56868" s="374"/>
      <c r="C56868" s="374"/>
      <c r="CV56868" s="376"/>
    </row>
    <row r="56869" spans="1:100">
      <c r="A56869" s="374"/>
      <c r="C56869" s="374"/>
      <c r="CV56869" s="376"/>
    </row>
    <row r="56870" spans="1:100">
      <c r="A56870" s="374"/>
      <c r="C56870" s="374"/>
      <c r="CV56870" s="376"/>
    </row>
    <row r="56871" spans="1:100">
      <c r="A56871" s="374"/>
      <c r="C56871" s="374"/>
      <c r="CV56871" s="376"/>
    </row>
    <row r="56872" spans="1:100">
      <c r="A56872" s="374"/>
      <c r="C56872" s="374"/>
      <c r="CV56872" s="376"/>
    </row>
    <row r="56873" spans="1:100">
      <c r="A56873" s="374"/>
      <c r="C56873" s="374"/>
      <c r="CV56873" s="376"/>
    </row>
    <row r="56874" spans="1:100">
      <c r="A56874" s="374"/>
      <c r="C56874" s="374"/>
      <c r="CV56874" s="376"/>
    </row>
    <row r="56875" spans="1:100">
      <c r="A56875" s="374"/>
      <c r="C56875" s="374"/>
      <c r="CV56875" s="376"/>
    </row>
    <row r="56876" spans="1:100">
      <c r="A56876" s="374"/>
      <c r="C56876" s="374"/>
      <c r="CV56876" s="376"/>
    </row>
    <row r="56877" spans="1:100">
      <c r="A56877" s="374"/>
      <c r="C56877" s="374"/>
      <c r="CV56877" s="376"/>
    </row>
    <row r="56878" spans="1:100">
      <c r="A56878" s="374"/>
      <c r="C56878" s="374"/>
      <c r="CV56878" s="376"/>
    </row>
    <row r="56879" spans="1:100">
      <c r="A56879" s="374"/>
      <c r="C56879" s="374"/>
      <c r="CV56879" s="376"/>
    </row>
    <row r="56880" spans="1:100">
      <c r="A56880" s="374"/>
      <c r="C56880" s="374"/>
      <c r="CV56880" s="376"/>
    </row>
    <row r="56881" spans="1:100">
      <c r="A56881" s="374"/>
      <c r="C56881" s="374"/>
      <c r="CV56881" s="376"/>
    </row>
    <row r="56882" spans="1:100">
      <c r="A56882" s="374"/>
      <c r="C56882" s="374"/>
      <c r="CV56882" s="376"/>
    </row>
    <row r="56883" spans="1:100">
      <c r="A56883" s="374"/>
      <c r="C56883" s="374"/>
      <c r="CV56883" s="376"/>
    </row>
    <row r="56884" spans="1:100">
      <c r="A56884" s="374"/>
      <c r="C56884" s="374"/>
      <c r="CV56884" s="376"/>
    </row>
    <row r="56885" spans="1:100">
      <c r="A56885" s="374"/>
      <c r="C56885" s="374"/>
      <c r="CV56885" s="376"/>
    </row>
    <row r="56886" spans="1:100">
      <c r="A56886" s="374"/>
      <c r="C56886" s="374"/>
      <c r="CV56886" s="376"/>
    </row>
    <row r="56887" spans="1:100">
      <c r="A56887" s="374"/>
      <c r="C56887" s="374"/>
      <c r="CV56887" s="376"/>
    </row>
    <row r="56888" spans="1:100">
      <c r="A56888" s="374"/>
      <c r="C56888" s="374"/>
      <c r="CV56888" s="376"/>
    </row>
    <row r="56889" spans="1:100">
      <c r="A56889" s="374"/>
      <c r="C56889" s="374"/>
      <c r="CV56889" s="376"/>
    </row>
    <row r="56890" spans="1:100">
      <c r="A56890" s="374"/>
      <c r="C56890" s="374"/>
      <c r="CV56890" s="376"/>
    </row>
    <row r="56891" spans="1:100">
      <c r="A56891" s="374"/>
      <c r="C56891" s="374"/>
      <c r="CV56891" s="376"/>
    </row>
    <row r="56892" spans="1:100">
      <c r="A56892" s="374"/>
      <c r="C56892" s="374"/>
      <c r="CV56892" s="376"/>
    </row>
    <row r="56893" spans="1:100">
      <c r="A56893" s="374"/>
      <c r="C56893" s="374"/>
      <c r="CV56893" s="376"/>
    </row>
    <row r="56894" spans="1:100">
      <c r="A56894" s="374"/>
      <c r="C56894" s="374"/>
      <c r="CV56894" s="376"/>
    </row>
    <row r="56895" spans="1:100">
      <c r="A56895" s="374"/>
      <c r="C56895" s="374"/>
      <c r="CV56895" s="376"/>
    </row>
    <row r="56896" spans="1:100">
      <c r="A56896" s="374"/>
      <c r="C56896" s="374"/>
      <c r="CV56896" s="376"/>
    </row>
    <row r="56897" spans="1:100">
      <c r="A56897" s="374"/>
      <c r="C56897" s="374"/>
      <c r="CV56897" s="376"/>
    </row>
    <row r="56898" spans="1:100">
      <c r="A56898" s="374"/>
      <c r="C56898" s="374"/>
      <c r="CV56898" s="376"/>
    </row>
    <row r="56899" spans="1:100">
      <c r="A56899" s="374"/>
      <c r="C56899" s="374"/>
      <c r="CV56899" s="376"/>
    </row>
    <row r="56900" spans="1:100">
      <c r="A56900" s="374"/>
      <c r="C56900" s="374"/>
      <c r="CV56900" s="376"/>
    </row>
    <row r="56901" spans="1:100">
      <c r="A56901" s="374"/>
      <c r="C56901" s="374"/>
      <c r="CV56901" s="376"/>
    </row>
    <row r="56902" spans="1:100">
      <c r="A56902" s="374"/>
      <c r="C56902" s="374"/>
      <c r="CV56902" s="376"/>
    </row>
    <row r="56903" spans="1:100">
      <c r="A56903" s="374"/>
      <c r="C56903" s="374"/>
      <c r="CV56903" s="376"/>
    </row>
    <row r="56904" spans="1:100">
      <c r="A56904" s="374"/>
      <c r="C56904" s="374"/>
      <c r="CV56904" s="376"/>
    </row>
    <row r="56905" spans="1:100">
      <c r="A56905" s="374"/>
      <c r="C56905" s="374"/>
      <c r="CV56905" s="376"/>
    </row>
    <row r="56906" spans="1:100">
      <c r="A56906" s="374"/>
      <c r="C56906" s="374"/>
      <c r="CV56906" s="376"/>
    </row>
    <row r="56907" spans="1:100">
      <c r="A56907" s="374"/>
      <c r="C56907" s="374"/>
      <c r="CV56907" s="376"/>
    </row>
    <row r="56908" spans="1:100">
      <c r="A56908" s="374"/>
      <c r="C56908" s="374"/>
      <c r="CV56908" s="376"/>
    </row>
    <row r="56909" spans="1:100">
      <c r="A56909" s="374"/>
      <c r="C56909" s="374"/>
      <c r="CV56909" s="376"/>
    </row>
    <row r="56910" spans="1:100">
      <c r="A56910" s="374"/>
      <c r="C56910" s="374"/>
      <c r="CV56910" s="376"/>
    </row>
    <row r="56911" spans="1:100">
      <c r="A56911" s="374"/>
      <c r="C56911" s="374"/>
      <c r="CV56911" s="376"/>
    </row>
    <row r="56912" spans="1:100">
      <c r="A56912" s="374"/>
      <c r="C56912" s="374"/>
      <c r="CV56912" s="376"/>
    </row>
    <row r="56913" spans="1:100">
      <c r="A56913" s="374"/>
      <c r="C56913" s="374"/>
      <c r="CV56913" s="376"/>
    </row>
    <row r="56914" spans="1:100">
      <c r="A56914" s="374"/>
      <c r="C56914" s="374"/>
      <c r="CV56914" s="376"/>
    </row>
    <row r="56915" spans="1:100">
      <c r="A56915" s="374"/>
      <c r="C56915" s="374"/>
      <c r="CV56915" s="376"/>
    </row>
    <row r="56916" spans="1:100">
      <c r="A56916" s="374"/>
      <c r="C56916" s="374"/>
      <c r="CV56916" s="376"/>
    </row>
    <row r="56917" spans="1:100">
      <c r="A56917" s="374"/>
      <c r="C56917" s="374"/>
      <c r="CV56917" s="376"/>
    </row>
    <row r="56918" spans="1:100">
      <c r="A56918" s="374"/>
      <c r="C56918" s="374"/>
      <c r="CV56918" s="376"/>
    </row>
    <row r="56919" spans="1:100">
      <c r="A56919" s="374"/>
      <c r="C56919" s="374"/>
      <c r="CV56919" s="376"/>
    </row>
    <row r="56920" spans="1:100">
      <c r="A56920" s="374"/>
      <c r="C56920" s="374"/>
      <c r="CV56920" s="376"/>
    </row>
    <row r="56921" spans="1:100">
      <c r="A56921" s="374"/>
      <c r="C56921" s="374"/>
      <c r="CV56921" s="376"/>
    </row>
    <row r="56922" spans="1:100">
      <c r="A56922" s="374"/>
      <c r="C56922" s="374"/>
      <c r="CV56922" s="376"/>
    </row>
    <row r="56923" spans="1:100">
      <c r="A56923" s="374"/>
      <c r="C56923" s="374"/>
      <c r="CV56923" s="376"/>
    </row>
    <row r="56924" spans="1:100">
      <c r="A56924" s="374"/>
      <c r="C56924" s="374"/>
      <c r="CV56924" s="376"/>
    </row>
    <row r="56925" spans="1:100">
      <c r="A56925" s="374"/>
      <c r="C56925" s="374"/>
      <c r="CV56925" s="376"/>
    </row>
    <row r="56926" spans="1:100">
      <c r="A56926" s="374"/>
      <c r="C56926" s="374"/>
      <c r="CV56926" s="376"/>
    </row>
    <row r="56927" spans="1:100">
      <c r="A56927" s="374"/>
      <c r="C56927" s="374"/>
      <c r="CV56927" s="376"/>
    </row>
    <row r="56928" spans="1:100">
      <c r="A56928" s="374"/>
      <c r="C56928" s="374"/>
      <c r="CV56928" s="376"/>
    </row>
    <row r="56929" spans="1:100">
      <c r="A56929" s="374"/>
      <c r="C56929" s="374"/>
      <c r="CV56929" s="376"/>
    </row>
    <row r="56930" spans="1:100">
      <c r="A56930" s="374"/>
      <c r="C56930" s="374"/>
      <c r="CV56930" s="376"/>
    </row>
    <row r="56931" spans="1:100">
      <c r="A56931" s="374"/>
      <c r="C56931" s="374"/>
      <c r="CV56931" s="376"/>
    </row>
    <row r="56932" spans="1:100">
      <c r="A56932" s="374"/>
      <c r="C56932" s="374"/>
      <c r="CV56932" s="376"/>
    </row>
    <row r="56933" spans="1:100">
      <c r="A56933" s="374"/>
      <c r="C56933" s="374"/>
      <c r="CV56933" s="376"/>
    </row>
    <row r="56934" spans="1:100">
      <c r="A56934" s="374"/>
      <c r="C56934" s="374"/>
      <c r="CV56934" s="376"/>
    </row>
    <row r="56935" spans="1:100">
      <c r="A56935" s="374"/>
      <c r="C56935" s="374"/>
      <c r="CV56935" s="376"/>
    </row>
    <row r="56936" spans="1:100">
      <c r="A56936" s="374"/>
      <c r="C56936" s="374"/>
      <c r="CV56936" s="376"/>
    </row>
    <row r="56937" spans="1:100">
      <c r="A56937" s="374"/>
      <c r="C56937" s="374"/>
      <c r="CV56937" s="376"/>
    </row>
    <row r="56938" spans="1:100">
      <c r="A56938" s="374"/>
      <c r="C56938" s="374"/>
      <c r="CV56938" s="376"/>
    </row>
    <row r="56939" spans="1:100">
      <c r="A56939" s="374"/>
      <c r="C56939" s="374"/>
      <c r="CV56939" s="376"/>
    </row>
    <row r="56940" spans="1:100">
      <c r="A56940" s="374"/>
      <c r="C56940" s="374"/>
      <c r="CV56940" s="376"/>
    </row>
    <row r="56941" spans="1:100">
      <c r="A56941" s="374"/>
      <c r="C56941" s="374"/>
      <c r="CV56941" s="376"/>
    </row>
    <row r="56942" spans="1:100">
      <c r="A56942" s="374"/>
      <c r="C56942" s="374"/>
      <c r="CV56942" s="376"/>
    </row>
    <row r="56943" spans="1:100">
      <c r="A56943" s="374"/>
      <c r="C56943" s="374"/>
      <c r="CV56943" s="376"/>
    </row>
    <row r="56944" spans="1:100">
      <c r="A56944" s="374"/>
      <c r="C56944" s="374"/>
      <c r="CV56944" s="376"/>
    </row>
    <row r="56945" spans="1:100">
      <c r="A56945" s="374"/>
      <c r="C56945" s="374"/>
      <c r="CV56945" s="376"/>
    </row>
    <row r="56946" spans="1:100">
      <c r="A56946" s="374"/>
      <c r="C56946" s="374"/>
      <c r="CV56946" s="376"/>
    </row>
    <row r="56947" spans="1:100">
      <c r="A56947" s="374"/>
      <c r="C56947" s="374"/>
      <c r="CV56947" s="376"/>
    </row>
    <row r="56948" spans="1:100">
      <c r="A56948" s="374"/>
      <c r="C56948" s="374"/>
      <c r="CV56948" s="376"/>
    </row>
    <row r="56949" spans="1:100">
      <c r="A56949" s="374"/>
      <c r="C56949" s="374"/>
      <c r="CV56949" s="376"/>
    </row>
    <row r="56950" spans="1:100">
      <c r="A56950" s="374"/>
      <c r="C56950" s="374"/>
      <c r="CV56950" s="376"/>
    </row>
    <row r="56951" spans="1:100">
      <c r="A56951" s="374"/>
      <c r="C56951" s="374"/>
      <c r="CV56951" s="376"/>
    </row>
    <row r="56952" spans="1:100">
      <c r="A56952" s="374"/>
      <c r="C56952" s="374"/>
      <c r="CV56952" s="376"/>
    </row>
    <row r="56953" spans="1:100">
      <c r="A56953" s="374"/>
      <c r="C56953" s="374"/>
      <c r="CV56953" s="376"/>
    </row>
    <row r="56954" spans="1:100">
      <c r="A56954" s="374"/>
      <c r="C56954" s="374"/>
      <c r="CV56954" s="376"/>
    </row>
    <row r="56955" spans="1:100">
      <c r="A56955" s="374"/>
      <c r="C56955" s="374"/>
      <c r="CV56955" s="376"/>
    </row>
    <row r="56956" spans="1:100">
      <c r="A56956" s="374"/>
      <c r="C56956" s="374"/>
      <c r="CV56956" s="376"/>
    </row>
    <row r="56957" spans="1:100">
      <c r="A56957" s="374"/>
      <c r="C56957" s="374"/>
      <c r="CV56957" s="376"/>
    </row>
    <row r="56958" spans="1:100">
      <c r="A56958" s="374"/>
      <c r="C56958" s="374"/>
      <c r="CV56958" s="376"/>
    </row>
    <row r="56959" spans="1:100">
      <c r="A56959" s="374"/>
      <c r="C56959" s="374"/>
      <c r="CV56959" s="376"/>
    </row>
    <row r="56960" spans="1:100">
      <c r="A56960" s="374"/>
      <c r="C56960" s="374"/>
      <c r="CV56960" s="376"/>
    </row>
    <row r="56961" spans="1:100">
      <c r="A56961" s="374"/>
      <c r="C56961" s="374"/>
      <c r="CV56961" s="376"/>
    </row>
    <row r="56962" spans="1:100">
      <c r="A56962" s="374"/>
      <c r="C56962" s="374"/>
      <c r="CV56962" s="376"/>
    </row>
    <row r="56963" spans="1:100">
      <c r="A56963" s="374"/>
      <c r="C56963" s="374"/>
      <c r="CV56963" s="376"/>
    </row>
    <row r="56964" spans="1:100">
      <c r="A56964" s="374"/>
      <c r="C56964" s="374"/>
      <c r="CV56964" s="376"/>
    </row>
    <row r="56965" spans="1:100">
      <c r="A56965" s="374"/>
      <c r="C56965" s="374"/>
      <c r="CV56965" s="376"/>
    </row>
    <row r="56966" spans="1:100">
      <c r="A56966" s="374"/>
      <c r="C56966" s="374"/>
      <c r="CV56966" s="376"/>
    </row>
    <row r="56967" spans="1:100">
      <c r="A56967" s="374"/>
      <c r="C56967" s="374"/>
      <c r="CV56967" s="376"/>
    </row>
    <row r="56968" spans="1:100">
      <c r="A56968" s="374"/>
      <c r="C56968" s="374"/>
      <c r="CV56968" s="376"/>
    </row>
    <row r="56969" spans="1:100">
      <c r="A56969" s="374"/>
      <c r="C56969" s="374"/>
      <c r="CV56969" s="376"/>
    </row>
    <row r="56970" spans="1:100">
      <c r="A56970" s="374"/>
      <c r="C56970" s="374"/>
      <c r="CV56970" s="376"/>
    </row>
    <row r="56971" spans="1:100">
      <c r="A56971" s="374"/>
      <c r="C56971" s="374"/>
      <c r="CV56971" s="376"/>
    </row>
    <row r="56972" spans="1:100">
      <c r="A56972" s="374"/>
      <c r="C56972" s="374"/>
      <c r="CV56972" s="376"/>
    </row>
    <row r="56973" spans="1:100">
      <c r="A56973" s="374"/>
      <c r="C56973" s="374"/>
      <c r="CV56973" s="376"/>
    </row>
    <row r="56974" spans="1:100">
      <c r="A56974" s="374"/>
      <c r="C56974" s="374"/>
      <c r="CV56974" s="376"/>
    </row>
    <row r="56975" spans="1:100">
      <c r="A56975" s="374"/>
      <c r="C56975" s="374"/>
      <c r="CV56975" s="376"/>
    </row>
    <row r="56976" spans="1:100">
      <c r="A56976" s="374"/>
      <c r="C56976" s="374"/>
      <c r="CV56976" s="376"/>
    </row>
    <row r="56977" spans="1:100">
      <c r="A56977" s="374"/>
      <c r="C56977" s="374"/>
      <c r="CV56977" s="376"/>
    </row>
    <row r="56978" spans="1:100">
      <c r="A56978" s="374"/>
      <c r="C56978" s="374"/>
      <c r="CV56978" s="376"/>
    </row>
    <row r="56979" spans="1:100">
      <c r="A56979" s="374"/>
      <c r="C56979" s="374"/>
      <c r="CV56979" s="376"/>
    </row>
    <row r="56980" spans="1:100">
      <c r="A56980" s="374"/>
      <c r="C56980" s="374"/>
      <c r="CV56980" s="376"/>
    </row>
    <row r="56981" spans="1:100">
      <c r="A56981" s="374"/>
      <c r="C56981" s="374"/>
      <c r="CV56981" s="376"/>
    </row>
    <row r="56982" spans="1:100">
      <c r="A56982" s="374"/>
      <c r="C56982" s="374"/>
      <c r="CV56982" s="376"/>
    </row>
    <row r="56983" spans="1:100">
      <c r="A56983" s="374"/>
      <c r="C56983" s="374"/>
      <c r="CV56983" s="376"/>
    </row>
    <row r="56984" spans="1:100">
      <c r="A56984" s="374"/>
      <c r="C56984" s="374"/>
      <c r="CV56984" s="376"/>
    </row>
    <row r="56985" spans="1:100">
      <c r="A56985" s="374"/>
      <c r="C56985" s="374"/>
      <c r="CV56985" s="376"/>
    </row>
    <row r="56986" spans="1:100">
      <c r="A56986" s="374"/>
      <c r="C56986" s="374"/>
      <c r="CV56986" s="376"/>
    </row>
    <row r="56987" spans="1:100">
      <c r="A56987" s="374"/>
      <c r="C56987" s="374"/>
      <c r="CV56987" s="376"/>
    </row>
    <row r="56988" spans="1:100">
      <c r="A56988" s="374"/>
      <c r="C56988" s="374"/>
      <c r="CV56988" s="376"/>
    </row>
    <row r="56989" spans="1:100">
      <c r="A56989" s="374"/>
      <c r="C56989" s="374"/>
      <c r="CV56989" s="376"/>
    </row>
    <row r="56990" spans="1:100">
      <c r="A56990" s="374"/>
      <c r="C56990" s="374"/>
      <c r="CV56990" s="376"/>
    </row>
    <row r="56991" spans="1:100">
      <c r="A56991" s="374"/>
      <c r="C56991" s="374"/>
      <c r="CV56991" s="376"/>
    </row>
    <row r="56992" spans="1:100">
      <c r="A56992" s="374"/>
      <c r="C56992" s="374"/>
      <c r="CV56992" s="376"/>
    </row>
    <row r="56993" spans="1:100">
      <c r="A56993" s="374"/>
      <c r="C56993" s="374"/>
      <c r="CV56993" s="376"/>
    </row>
    <row r="56994" spans="1:100">
      <c r="A56994" s="374"/>
      <c r="C56994" s="374"/>
      <c r="CV56994" s="376"/>
    </row>
    <row r="56995" spans="1:100">
      <c r="A56995" s="374"/>
      <c r="C56995" s="374"/>
      <c r="CV56995" s="376"/>
    </row>
    <row r="56996" spans="1:100">
      <c r="A56996" s="374"/>
      <c r="C56996" s="374"/>
      <c r="CV56996" s="376"/>
    </row>
    <row r="56997" spans="1:100">
      <c r="A56997" s="374"/>
      <c r="C56997" s="374"/>
      <c r="CV56997" s="376"/>
    </row>
    <row r="56998" spans="1:100">
      <c r="A56998" s="374"/>
      <c r="C56998" s="374"/>
      <c r="CV56998" s="376"/>
    </row>
    <row r="56999" spans="1:100">
      <c r="A56999" s="374"/>
      <c r="C56999" s="374"/>
      <c r="CV56999" s="376"/>
    </row>
    <row r="57000" spans="1:100">
      <c r="A57000" s="374"/>
      <c r="C57000" s="374"/>
      <c r="CV57000" s="376"/>
    </row>
    <row r="57001" spans="1:100">
      <c r="A57001" s="374"/>
      <c r="C57001" s="374"/>
      <c r="CV57001" s="376"/>
    </row>
    <row r="57002" spans="1:100">
      <c r="A57002" s="374"/>
      <c r="C57002" s="374"/>
      <c r="CV57002" s="376"/>
    </row>
    <row r="57003" spans="1:100">
      <c r="A57003" s="374"/>
      <c r="C57003" s="374"/>
      <c r="CV57003" s="376"/>
    </row>
    <row r="57004" spans="1:100">
      <c r="A57004" s="374"/>
      <c r="C57004" s="374"/>
      <c r="CV57004" s="376"/>
    </row>
    <row r="57005" spans="1:100">
      <c r="A57005" s="374"/>
      <c r="C57005" s="374"/>
      <c r="CV57005" s="376"/>
    </row>
    <row r="57006" spans="1:100">
      <c r="A57006" s="374"/>
      <c r="C57006" s="374"/>
      <c r="CV57006" s="376"/>
    </row>
    <row r="57007" spans="1:100">
      <c r="A57007" s="374"/>
      <c r="C57007" s="374"/>
      <c r="CV57007" s="376"/>
    </row>
    <row r="57008" spans="1:100">
      <c r="A57008" s="374"/>
      <c r="C57008" s="374"/>
      <c r="CV57008" s="376"/>
    </row>
    <row r="57009" spans="1:100">
      <c r="A57009" s="374"/>
      <c r="C57009" s="374"/>
      <c r="CV57009" s="376"/>
    </row>
    <row r="57010" spans="1:100">
      <c r="A57010" s="374"/>
      <c r="C57010" s="374"/>
      <c r="CV57010" s="376"/>
    </row>
    <row r="57011" spans="1:100">
      <c r="A57011" s="374"/>
      <c r="C57011" s="374"/>
      <c r="CV57011" s="376"/>
    </row>
    <row r="57012" spans="1:100">
      <c r="A57012" s="374"/>
      <c r="C57012" s="374"/>
      <c r="CV57012" s="376"/>
    </row>
    <row r="57013" spans="1:100">
      <c r="A57013" s="374"/>
      <c r="C57013" s="374"/>
      <c r="CV57013" s="376"/>
    </row>
    <row r="57014" spans="1:100">
      <c r="A57014" s="374"/>
      <c r="C57014" s="374"/>
      <c r="CV57014" s="376"/>
    </row>
    <row r="57015" spans="1:100">
      <c r="A57015" s="374"/>
      <c r="C57015" s="374"/>
      <c r="CV57015" s="376"/>
    </row>
    <row r="57016" spans="1:100">
      <c r="A57016" s="374"/>
      <c r="C57016" s="374"/>
      <c r="CV57016" s="376"/>
    </row>
    <row r="57017" spans="1:100">
      <c r="A57017" s="374"/>
      <c r="C57017" s="374"/>
      <c r="CV57017" s="376"/>
    </row>
    <row r="57018" spans="1:100">
      <c r="A57018" s="374"/>
      <c r="C57018" s="374"/>
      <c r="CV57018" s="376"/>
    </row>
    <row r="57019" spans="1:100">
      <c r="A57019" s="374"/>
      <c r="C57019" s="374"/>
      <c r="CV57019" s="376"/>
    </row>
    <row r="57020" spans="1:100">
      <c r="A57020" s="374"/>
      <c r="C57020" s="374"/>
      <c r="CV57020" s="376"/>
    </row>
    <row r="57021" spans="1:100">
      <c r="A57021" s="374"/>
      <c r="C57021" s="374"/>
      <c r="CV57021" s="376"/>
    </row>
    <row r="57022" spans="1:100">
      <c r="A57022" s="374"/>
      <c r="C57022" s="374"/>
      <c r="CV57022" s="376"/>
    </row>
    <row r="57023" spans="1:100">
      <c r="A57023" s="374"/>
      <c r="C57023" s="374"/>
      <c r="CV57023" s="376"/>
    </row>
    <row r="57024" spans="1:100">
      <c r="A57024" s="374"/>
      <c r="C57024" s="374"/>
      <c r="CV57024" s="376"/>
    </row>
    <row r="57025" spans="1:100">
      <c r="A57025" s="374"/>
      <c r="C57025" s="374"/>
      <c r="CV57025" s="376"/>
    </row>
    <row r="57026" spans="1:100">
      <c r="A57026" s="374"/>
      <c r="C57026" s="374"/>
      <c r="CV57026" s="376"/>
    </row>
    <row r="57027" spans="1:100">
      <c r="A57027" s="374"/>
      <c r="C57027" s="374"/>
      <c r="CV57027" s="376"/>
    </row>
    <row r="57028" spans="1:100">
      <c r="A57028" s="374"/>
      <c r="C57028" s="374"/>
      <c r="CV57028" s="376"/>
    </row>
    <row r="57029" spans="1:100">
      <c r="A57029" s="374"/>
      <c r="C57029" s="374"/>
      <c r="CV57029" s="376"/>
    </row>
    <row r="57030" spans="1:100">
      <c r="A57030" s="374"/>
      <c r="C57030" s="374"/>
      <c r="CV57030" s="376"/>
    </row>
    <row r="57031" spans="1:100">
      <c r="A57031" s="374"/>
      <c r="C57031" s="374"/>
      <c r="CV57031" s="376"/>
    </row>
    <row r="57032" spans="1:100">
      <c r="A57032" s="374"/>
      <c r="C57032" s="374"/>
      <c r="CV57032" s="376"/>
    </row>
    <row r="57033" spans="1:100">
      <c r="A57033" s="374"/>
      <c r="C57033" s="374"/>
      <c r="CV57033" s="376"/>
    </row>
    <row r="57034" spans="1:100">
      <c r="A57034" s="374"/>
      <c r="C57034" s="374"/>
      <c r="CV57034" s="376"/>
    </row>
    <row r="57035" spans="1:100">
      <c r="A57035" s="374"/>
      <c r="C57035" s="374"/>
      <c r="CV57035" s="376"/>
    </row>
    <row r="57036" spans="1:100">
      <c r="A57036" s="374"/>
      <c r="C57036" s="374"/>
      <c r="CV57036" s="376"/>
    </row>
    <row r="57037" spans="1:100">
      <c r="A57037" s="374"/>
      <c r="C57037" s="374"/>
      <c r="CV57037" s="376"/>
    </row>
    <row r="57038" spans="1:100">
      <c r="A57038" s="374"/>
      <c r="C57038" s="374"/>
      <c r="CV57038" s="376"/>
    </row>
    <row r="57039" spans="1:100">
      <c r="A57039" s="374"/>
      <c r="C57039" s="374"/>
      <c r="CV57039" s="376"/>
    </row>
    <row r="57040" spans="1:100">
      <c r="A57040" s="374"/>
      <c r="C57040" s="374"/>
      <c r="CV57040" s="376"/>
    </row>
    <row r="57041" spans="1:100">
      <c r="A57041" s="374"/>
      <c r="C57041" s="374"/>
      <c r="CV57041" s="376"/>
    </row>
    <row r="57042" spans="1:100">
      <c r="A57042" s="374"/>
      <c r="C57042" s="374"/>
      <c r="CV57042" s="376"/>
    </row>
    <row r="57043" spans="1:100">
      <c r="A57043" s="374"/>
      <c r="C57043" s="374"/>
      <c r="CV57043" s="376"/>
    </row>
    <row r="57044" spans="1:100">
      <c r="A57044" s="374"/>
      <c r="C57044" s="374"/>
      <c r="CV57044" s="376"/>
    </row>
    <row r="57045" spans="1:100">
      <c r="A57045" s="374"/>
      <c r="C57045" s="374"/>
      <c r="CV57045" s="376"/>
    </row>
    <row r="57046" spans="1:100">
      <c r="A57046" s="374"/>
      <c r="C57046" s="374"/>
      <c r="CV57046" s="376"/>
    </row>
    <row r="57047" spans="1:100">
      <c r="A57047" s="374"/>
      <c r="C57047" s="374"/>
      <c r="CV57047" s="376"/>
    </row>
    <row r="57048" spans="1:100">
      <c r="A57048" s="374"/>
      <c r="C57048" s="374"/>
      <c r="CV57048" s="376"/>
    </row>
    <row r="57049" spans="1:100">
      <c r="A57049" s="374"/>
      <c r="C57049" s="374"/>
      <c r="CV57049" s="376"/>
    </row>
    <row r="57050" spans="1:100">
      <c r="A57050" s="374"/>
      <c r="C57050" s="374"/>
      <c r="CV57050" s="376"/>
    </row>
    <row r="57051" spans="1:100">
      <c r="A57051" s="374"/>
      <c r="C57051" s="374"/>
      <c r="CV57051" s="376"/>
    </row>
    <row r="57052" spans="1:100">
      <c r="A57052" s="374"/>
      <c r="C57052" s="374"/>
      <c r="CV57052" s="376"/>
    </row>
    <row r="57053" spans="1:100">
      <c r="A57053" s="374"/>
      <c r="C57053" s="374"/>
      <c r="CV57053" s="376"/>
    </row>
    <row r="57054" spans="1:100">
      <c r="A57054" s="374"/>
      <c r="C57054" s="374"/>
      <c r="CV57054" s="376"/>
    </row>
    <row r="57055" spans="1:100">
      <c r="A57055" s="374"/>
      <c r="C57055" s="374"/>
      <c r="CV57055" s="376"/>
    </row>
    <row r="57056" spans="1:100">
      <c r="A57056" s="374"/>
      <c r="C57056" s="374"/>
      <c r="CV57056" s="376"/>
    </row>
    <row r="57057" spans="1:100">
      <c r="A57057" s="374"/>
      <c r="C57057" s="374"/>
      <c r="CV57057" s="376"/>
    </row>
    <row r="57058" spans="1:100">
      <c r="A57058" s="374"/>
      <c r="C57058" s="374"/>
      <c r="CV57058" s="376"/>
    </row>
    <row r="57059" spans="1:100">
      <c r="A57059" s="374"/>
      <c r="C57059" s="374"/>
      <c r="CV57059" s="376"/>
    </row>
    <row r="57060" spans="1:100">
      <c r="A57060" s="374"/>
      <c r="C57060" s="374"/>
      <c r="CV57060" s="376"/>
    </row>
    <row r="57061" spans="1:100">
      <c r="A57061" s="374"/>
      <c r="C57061" s="374"/>
      <c r="CV57061" s="376"/>
    </row>
    <row r="57062" spans="1:100">
      <c r="A57062" s="374"/>
      <c r="C57062" s="374"/>
      <c r="CV57062" s="376"/>
    </row>
    <row r="57063" spans="1:100">
      <c r="A57063" s="374"/>
      <c r="C57063" s="374"/>
      <c r="CV57063" s="376"/>
    </row>
    <row r="57064" spans="1:100">
      <c r="A57064" s="374"/>
      <c r="C57064" s="374"/>
      <c r="CV57064" s="376"/>
    </row>
    <row r="57065" spans="1:100">
      <c r="A57065" s="374"/>
      <c r="C57065" s="374"/>
      <c r="CV57065" s="376"/>
    </row>
    <row r="57066" spans="1:100">
      <c r="A57066" s="374"/>
      <c r="C57066" s="374"/>
      <c r="CV57066" s="376"/>
    </row>
    <row r="57067" spans="1:100">
      <c r="A57067" s="374"/>
      <c r="C57067" s="374"/>
      <c r="CV57067" s="376"/>
    </row>
    <row r="57068" spans="1:100">
      <c r="A57068" s="374"/>
      <c r="C57068" s="374"/>
      <c r="CV57068" s="376"/>
    </row>
    <row r="57069" spans="1:100">
      <c r="A57069" s="374"/>
      <c r="C57069" s="374"/>
      <c r="CV57069" s="376"/>
    </row>
    <row r="57070" spans="1:100">
      <c r="A57070" s="374"/>
      <c r="C57070" s="374"/>
      <c r="CV57070" s="376"/>
    </row>
    <row r="57071" spans="1:100">
      <c r="A57071" s="374"/>
      <c r="C57071" s="374"/>
      <c r="CV57071" s="376"/>
    </row>
    <row r="57072" spans="1:100">
      <c r="A57072" s="374"/>
      <c r="C57072" s="374"/>
      <c r="CV57072" s="376"/>
    </row>
    <row r="57073" spans="1:100">
      <c r="A57073" s="374"/>
      <c r="C57073" s="374"/>
      <c r="CV57073" s="376"/>
    </row>
    <row r="57074" spans="1:100">
      <c r="A57074" s="374"/>
      <c r="C57074" s="374"/>
      <c r="CV57074" s="376"/>
    </row>
    <row r="57075" spans="1:100">
      <c r="A57075" s="374"/>
      <c r="C57075" s="374"/>
      <c r="CV57075" s="376"/>
    </row>
    <row r="57076" spans="1:100">
      <c r="A57076" s="374"/>
      <c r="C57076" s="374"/>
      <c r="CV57076" s="376"/>
    </row>
    <row r="57077" spans="1:100">
      <c r="A57077" s="374"/>
      <c r="C57077" s="374"/>
      <c r="CV57077" s="376"/>
    </row>
    <row r="57078" spans="1:100">
      <c r="A57078" s="374"/>
      <c r="C57078" s="374"/>
      <c r="CV57078" s="376"/>
    </row>
    <row r="57079" spans="1:100">
      <c r="A57079" s="374"/>
      <c r="C57079" s="374"/>
      <c r="CV57079" s="376"/>
    </row>
    <row r="57080" spans="1:100">
      <c r="A57080" s="374"/>
      <c r="C57080" s="374"/>
      <c r="CV57080" s="376"/>
    </row>
    <row r="57081" spans="1:100">
      <c r="A57081" s="374"/>
      <c r="C57081" s="374"/>
      <c r="CV57081" s="376"/>
    </row>
    <row r="57082" spans="1:100">
      <c r="A57082" s="374"/>
      <c r="C57082" s="374"/>
      <c r="CV57082" s="376"/>
    </row>
    <row r="57083" spans="1:100">
      <c r="A57083" s="374"/>
      <c r="C57083" s="374"/>
      <c r="CV57083" s="376"/>
    </row>
    <row r="57084" spans="1:100">
      <c r="A57084" s="374"/>
      <c r="C57084" s="374"/>
      <c r="CV57084" s="376"/>
    </row>
    <row r="57085" spans="1:100">
      <c r="A57085" s="374"/>
      <c r="C57085" s="374"/>
      <c r="CV57085" s="376"/>
    </row>
    <row r="57086" spans="1:100">
      <c r="A57086" s="374"/>
      <c r="C57086" s="374"/>
      <c r="CV57086" s="376"/>
    </row>
    <row r="57087" spans="1:100">
      <c r="A57087" s="374"/>
      <c r="C57087" s="374"/>
      <c r="CV57087" s="376"/>
    </row>
    <row r="57088" spans="1:100">
      <c r="A57088" s="374"/>
      <c r="C57088" s="374"/>
      <c r="CV57088" s="376"/>
    </row>
    <row r="57089" spans="1:100">
      <c r="A57089" s="374"/>
      <c r="C57089" s="374"/>
      <c r="CV57089" s="376"/>
    </row>
    <row r="57090" spans="1:100">
      <c r="A57090" s="374"/>
      <c r="C57090" s="374"/>
      <c r="CV57090" s="376"/>
    </row>
    <row r="57091" spans="1:100">
      <c r="A57091" s="374"/>
      <c r="C57091" s="374"/>
      <c r="CV57091" s="376"/>
    </row>
    <row r="57092" spans="1:100">
      <c r="A57092" s="374"/>
      <c r="C57092" s="374"/>
      <c r="CV57092" s="376"/>
    </row>
    <row r="57093" spans="1:100">
      <c r="A57093" s="374"/>
      <c r="C57093" s="374"/>
      <c r="CV57093" s="376"/>
    </row>
    <row r="57094" spans="1:100">
      <c r="A57094" s="374"/>
      <c r="C57094" s="374"/>
      <c r="CV57094" s="376"/>
    </row>
    <row r="57095" spans="1:100">
      <c r="A57095" s="374"/>
      <c r="C57095" s="374"/>
      <c r="CV57095" s="376"/>
    </row>
    <row r="57096" spans="1:100">
      <c r="A57096" s="374"/>
      <c r="C57096" s="374"/>
      <c r="CV57096" s="376"/>
    </row>
    <row r="57097" spans="1:100">
      <c r="A57097" s="374"/>
      <c r="C57097" s="374"/>
      <c r="CV57097" s="376"/>
    </row>
    <row r="57098" spans="1:100">
      <c r="A57098" s="374"/>
      <c r="C57098" s="374"/>
      <c r="CV57098" s="376"/>
    </row>
    <row r="57099" spans="1:100">
      <c r="A57099" s="374"/>
      <c r="C57099" s="374"/>
      <c r="CV57099" s="376"/>
    </row>
    <row r="57100" spans="1:100">
      <c r="A57100" s="374"/>
      <c r="C57100" s="374"/>
      <c r="CV57100" s="376"/>
    </row>
    <row r="57101" spans="1:100">
      <c r="A57101" s="374"/>
      <c r="C57101" s="374"/>
      <c r="CV57101" s="376"/>
    </row>
    <row r="57102" spans="1:100">
      <c r="A57102" s="374"/>
      <c r="C57102" s="374"/>
      <c r="CV57102" s="376"/>
    </row>
    <row r="57103" spans="1:100">
      <c r="A57103" s="374"/>
      <c r="C57103" s="374"/>
      <c r="CV57103" s="376"/>
    </row>
    <row r="57104" spans="1:100">
      <c r="A57104" s="374"/>
      <c r="C57104" s="374"/>
      <c r="CV57104" s="376"/>
    </row>
    <row r="57105" spans="1:100">
      <c r="A57105" s="374"/>
      <c r="C57105" s="374"/>
      <c r="CV57105" s="376"/>
    </row>
    <row r="57106" spans="1:100">
      <c r="A57106" s="374"/>
      <c r="C57106" s="374"/>
      <c r="CV57106" s="376"/>
    </row>
    <row r="57107" spans="1:100">
      <c r="A57107" s="374"/>
      <c r="C57107" s="374"/>
      <c r="CV57107" s="376"/>
    </row>
    <row r="57108" spans="1:100">
      <c r="A57108" s="374"/>
      <c r="C57108" s="374"/>
      <c r="CV57108" s="376"/>
    </row>
    <row r="57109" spans="1:100">
      <c r="A57109" s="374"/>
      <c r="C57109" s="374"/>
      <c r="CV57109" s="376"/>
    </row>
    <row r="57110" spans="1:100">
      <c r="A57110" s="374"/>
      <c r="C57110" s="374"/>
      <c r="CV57110" s="376"/>
    </row>
    <row r="57111" spans="1:100">
      <c r="A57111" s="374"/>
      <c r="C57111" s="374"/>
      <c r="CV57111" s="376"/>
    </row>
    <row r="57112" spans="1:100">
      <c r="A57112" s="374"/>
      <c r="C57112" s="374"/>
      <c r="CV57112" s="376"/>
    </row>
    <row r="57113" spans="1:100">
      <c r="A57113" s="374"/>
      <c r="C57113" s="374"/>
      <c r="CV57113" s="376"/>
    </row>
    <row r="57114" spans="1:100">
      <c r="A57114" s="374"/>
      <c r="C57114" s="374"/>
      <c r="CV57114" s="376"/>
    </row>
    <row r="57115" spans="1:100">
      <c r="A57115" s="374"/>
      <c r="C57115" s="374"/>
      <c r="CV57115" s="376"/>
    </row>
    <row r="57116" spans="1:100">
      <c r="A57116" s="374"/>
      <c r="C57116" s="374"/>
      <c r="CV57116" s="376"/>
    </row>
    <row r="57117" spans="1:100">
      <c r="A57117" s="374"/>
      <c r="C57117" s="374"/>
      <c r="CV57117" s="376"/>
    </row>
    <row r="57118" spans="1:100">
      <c r="A57118" s="374"/>
      <c r="C57118" s="374"/>
      <c r="CV57118" s="376"/>
    </row>
    <row r="57119" spans="1:100">
      <c r="A57119" s="374"/>
      <c r="C57119" s="374"/>
      <c r="CV57119" s="376"/>
    </row>
    <row r="57120" spans="1:100">
      <c r="A57120" s="374"/>
      <c r="C57120" s="374"/>
      <c r="CV57120" s="376"/>
    </row>
    <row r="57121" spans="1:100">
      <c r="A57121" s="374"/>
      <c r="C57121" s="374"/>
      <c r="CV57121" s="376"/>
    </row>
    <row r="57122" spans="1:100">
      <c r="A57122" s="374"/>
      <c r="C57122" s="374"/>
      <c r="CV57122" s="376"/>
    </row>
    <row r="57123" spans="1:100">
      <c r="A57123" s="374"/>
      <c r="C57123" s="374"/>
      <c r="CV57123" s="376"/>
    </row>
    <row r="57124" spans="1:100">
      <c r="A57124" s="374"/>
      <c r="C57124" s="374"/>
      <c r="CV57124" s="376"/>
    </row>
    <row r="57125" spans="1:100">
      <c r="A57125" s="374"/>
      <c r="C57125" s="374"/>
      <c r="CV57125" s="376"/>
    </row>
    <row r="57126" spans="1:100">
      <c r="A57126" s="374"/>
      <c r="C57126" s="374"/>
      <c r="CV57126" s="376"/>
    </row>
    <row r="57127" spans="1:100">
      <c r="A57127" s="374"/>
      <c r="C57127" s="374"/>
      <c r="CV57127" s="376"/>
    </row>
    <row r="57128" spans="1:100">
      <c r="A57128" s="374"/>
      <c r="C57128" s="374"/>
      <c r="CV57128" s="376"/>
    </row>
    <row r="57129" spans="1:100">
      <c r="A57129" s="374"/>
      <c r="C57129" s="374"/>
      <c r="CV57129" s="376"/>
    </row>
    <row r="57130" spans="1:100">
      <c r="A57130" s="374"/>
      <c r="C57130" s="374"/>
      <c r="CV57130" s="376"/>
    </row>
    <row r="57131" spans="1:100">
      <c r="A57131" s="374"/>
      <c r="C57131" s="374"/>
      <c r="CV57131" s="376"/>
    </row>
    <row r="57132" spans="1:100">
      <c r="A57132" s="374"/>
      <c r="C57132" s="374"/>
      <c r="CV57132" s="376"/>
    </row>
    <row r="57133" spans="1:100">
      <c r="A57133" s="374"/>
      <c r="C57133" s="374"/>
      <c r="CV57133" s="376"/>
    </row>
    <row r="57134" spans="1:100">
      <c r="A57134" s="374"/>
      <c r="C57134" s="374"/>
      <c r="CV57134" s="376"/>
    </row>
    <row r="57135" spans="1:100">
      <c r="A57135" s="374"/>
      <c r="C57135" s="374"/>
      <c r="CV57135" s="376"/>
    </row>
    <row r="57136" spans="1:100">
      <c r="A57136" s="374"/>
      <c r="C57136" s="374"/>
      <c r="CV57136" s="376"/>
    </row>
    <row r="57137" spans="1:100">
      <c r="A57137" s="374"/>
      <c r="C57137" s="374"/>
      <c r="CV57137" s="376"/>
    </row>
    <row r="57138" spans="1:100">
      <c r="A57138" s="374"/>
      <c r="C57138" s="374"/>
      <c r="CV57138" s="376"/>
    </row>
    <row r="57139" spans="1:100">
      <c r="A57139" s="374"/>
      <c r="C57139" s="374"/>
      <c r="CV57139" s="376"/>
    </row>
    <row r="57140" spans="1:100">
      <c r="A57140" s="374"/>
      <c r="C57140" s="374"/>
      <c r="CV57140" s="376"/>
    </row>
    <row r="57141" spans="1:100">
      <c r="A57141" s="374"/>
      <c r="C57141" s="374"/>
      <c r="CV57141" s="376"/>
    </row>
    <row r="57142" spans="1:100">
      <c r="A57142" s="374"/>
      <c r="C57142" s="374"/>
      <c r="CV57142" s="376"/>
    </row>
    <row r="57143" spans="1:100">
      <c r="A57143" s="374"/>
      <c r="C57143" s="374"/>
      <c r="CV57143" s="376"/>
    </row>
    <row r="57144" spans="1:100">
      <c r="A57144" s="374"/>
      <c r="C57144" s="374"/>
      <c r="CV57144" s="376"/>
    </row>
    <row r="57145" spans="1:100">
      <c r="A57145" s="374"/>
      <c r="C57145" s="374"/>
      <c r="CV57145" s="376"/>
    </row>
    <row r="57146" spans="1:100">
      <c r="A57146" s="374"/>
      <c r="C57146" s="374"/>
      <c r="CV57146" s="376"/>
    </row>
    <row r="57147" spans="1:100">
      <c r="A57147" s="374"/>
      <c r="C57147" s="374"/>
      <c r="CV57147" s="376"/>
    </row>
    <row r="57148" spans="1:100">
      <c r="A57148" s="374"/>
      <c r="C57148" s="374"/>
      <c r="CV57148" s="376"/>
    </row>
    <row r="57149" spans="1:100">
      <c r="A57149" s="374"/>
      <c r="C57149" s="374"/>
      <c r="CV57149" s="376"/>
    </row>
    <row r="57150" spans="1:100">
      <c r="A57150" s="374"/>
      <c r="C57150" s="374"/>
      <c r="CV57150" s="376"/>
    </row>
    <row r="57151" spans="1:100">
      <c r="A57151" s="374"/>
      <c r="C57151" s="374"/>
      <c r="CV57151" s="376"/>
    </row>
    <row r="57152" spans="1:100">
      <c r="A57152" s="374"/>
      <c r="C57152" s="374"/>
      <c r="CV57152" s="376"/>
    </row>
    <row r="57153" spans="1:100">
      <c r="A57153" s="374"/>
      <c r="C57153" s="374"/>
      <c r="CV57153" s="376"/>
    </row>
    <row r="57154" spans="1:100">
      <c r="A57154" s="374"/>
      <c r="C57154" s="374"/>
      <c r="CV57154" s="376"/>
    </row>
    <row r="57155" spans="1:100">
      <c r="A57155" s="374"/>
      <c r="C57155" s="374"/>
      <c r="CV57155" s="376"/>
    </row>
    <row r="57156" spans="1:100">
      <c r="A57156" s="374"/>
      <c r="C57156" s="374"/>
      <c r="CV57156" s="376"/>
    </row>
    <row r="57157" spans="1:100">
      <c r="A57157" s="374"/>
      <c r="C57157" s="374"/>
      <c r="CV57157" s="376"/>
    </row>
    <row r="57158" spans="1:100">
      <c r="A57158" s="374"/>
      <c r="C57158" s="374"/>
      <c r="CV57158" s="376"/>
    </row>
    <row r="57159" spans="1:100">
      <c r="A57159" s="374"/>
      <c r="C57159" s="374"/>
      <c r="CV57159" s="376"/>
    </row>
    <row r="57160" spans="1:100">
      <c r="A57160" s="374"/>
      <c r="C57160" s="374"/>
      <c r="CV57160" s="376"/>
    </row>
    <row r="57161" spans="1:100">
      <c r="A57161" s="374"/>
      <c r="C57161" s="374"/>
      <c r="CV57161" s="376"/>
    </row>
    <row r="57162" spans="1:100">
      <c r="A57162" s="374"/>
      <c r="C57162" s="374"/>
      <c r="CV57162" s="376"/>
    </row>
    <row r="57163" spans="1:100">
      <c r="A57163" s="374"/>
      <c r="C57163" s="374"/>
      <c r="CV57163" s="376"/>
    </row>
    <row r="57164" spans="1:100">
      <c r="A57164" s="374"/>
      <c r="C57164" s="374"/>
      <c r="CV57164" s="376"/>
    </row>
    <row r="57165" spans="1:100">
      <c r="A57165" s="374"/>
      <c r="C57165" s="374"/>
      <c r="CV57165" s="376"/>
    </row>
    <row r="57166" spans="1:100">
      <c r="A57166" s="374"/>
      <c r="C57166" s="374"/>
      <c r="CV57166" s="376"/>
    </row>
    <row r="57167" spans="1:100">
      <c r="A57167" s="374"/>
      <c r="C57167" s="374"/>
      <c r="CV57167" s="376"/>
    </row>
    <row r="57168" spans="1:100">
      <c r="A57168" s="374"/>
      <c r="C57168" s="374"/>
      <c r="CV57168" s="376"/>
    </row>
    <row r="57169" spans="1:100">
      <c r="A57169" s="374"/>
      <c r="C57169" s="374"/>
      <c r="CV57169" s="376"/>
    </row>
    <row r="57170" spans="1:100">
      <c r="A57170" s="374"/>
      <c r="C57170" s="374"/>
      <c r="CV57170" s="376"/>
    </row>
    <row r="57171" spans="1:100">
      <c r="A57171" s="374"/>
      <c r="C57171" s="374"/>
      <c r="CV57171" s="376"/>
    </row>
    <row r="57172" spans="1:100">
      <c r="A57172" s="374"/>
      <c r="C57172" s="374"/>
      <c r="CV57172" s="376"/>
    </row>
    <row r="57173" spans="1:100">
      <c r="A57173" s="374"/>
      <c r="C57173" s="374"/>
      <c r="CV57173" s="376"/>
    </row>
    <row r="57174" spans="1:100">
      <c r="A57174" s="374"/>
      <c r="C57174" s="374"/>
      <c r="CV57174" s="376"/>
    </row>
    <row r="57175" spans="1:100">
      <c r="A57175" s="374"/>
      <c r="C57175" s="374"/>
      <c r="CV57175" s="376"/>
    </row>
    <row r="57176" spans="1:100">
      <c r="A57176" s="374"/>
      <c r="C57176" s="374"/>
      <c r="CV57176" s="376"/>
    </row>
    <row r="57177" spans="1:100">
      <c r="A57177" s="374"/>
      <c r="C57177" s="374"/>
      <c r="CV57177" s="376"/>
    </row>
    <row r="57178" spans="1:100">
      <c r="A57178" s="374"/>
      <c r="C57178" s="374"/>
      <c r="CV57178" s="376"/>
    </row>
    <row r="57179" spans="1:100">
      <c r="A57179" s="374"/>
      <c r="C57179" s="374"/>
      <c r="CV57179" s="376"/>
    </row>
    <row r="57180" spans="1:100">
      <c r="A57180" s="374"/>
      <c r="C57180" s="374"/>
      <c r="CV57180" s="376"/>
    </row>
    <row r="57181" spans="1:100">
      <c r="A57181" s="374"/>
      <c r="C57181" s="374"/>
      <c r="CV57181" s="376"/>
    </row>
    <row r="57182" spans="1:100">
      <c r="A57182" s="374"/>
      <c r="C57182" s="374"/>
      <c r="CV57182" s="376"/>
    </row>
    <row r="57183" spans="1:100">
      <c r="A57183" s="374"/>
      <c r="C57183" s="374"/>
      <c r="CV57183" s="376"/>
    </row>
    <row r="57184" spans="1:100">
      <c r="A57184" s="374"/>
      <c r="C57184" s="374"/>
      <c r="CV57184" s="376"/>
    </row>
    <row r="57185" spans="1:100">
      <c r="A57185" s="374"/>
      <c r="C57185" s="374"/>
      <c r="CV57185" s="376"/>
    </row>
    <row r="57186" spans="1:100">
      <c r="A57186" s="374"/>
      <c r="C57186" s="374"/>
      <c r="CV57186" s="376"/>
    </row>
    <row r="57187" spans="1:100">
      <c r="A57187" s="374"/>
      <c r="C57187" s="374"/>
      <c r="CV57187" s="376"/>
    </row>
    <row r="57188" spans="1:100">
      <c r="A57188" s="374"/>
      <c r="C57188" s="374"/>
      <c r="CV57188" s="376"/>
    </row>
    <row r="57189" spans="1:100">
      <c r="A57189" s="374"/>
      <c r="C57189" s="374"/>
      <c r="CV57189" s="376"/>
    </row>
    <row r="57190" spans="1:100">
      <c r="A57190" s="374"/>
      <c r="C57190" s="374"/>
      <c r="CV57190" s="376"/>
    </row>
    <row r="57191" spans="1:100">
      <c r="A57191" s="374"/>
      <c r="C57191" s="374"/>
      <c r="CV57191" s="376"/>
    </row>
    <row r="57192" spans="1:100">
      <c r="A57192" s="374"/>
      <c r="C57192" s="374"/>
      <c r="CV57192" s="376"/>
    </row>
    <row r="57193" spans="1:100">
      <c r="A57193" s="374"/>
      <c r="C57193" s="374"/>
      <c r="CV57193" s="376"/>
    </row>
    <row r="57194" spans="1:100">
      <c r="A57194" s="374"/>
      <c r="C57194" s="374"/>
      <c r="CV57194" s="376"/>
    </row>
    <row r="57195" spans="1:100">
      <c r="A57195" s="374"/>
      <c r="C57195" s="374"/>
      <c r="CV57195" s="376"/>
    </row>
    <row r="57196" spans="1:100">
      <c r="A57196" s="374"/>
      <c r="C57196" s="374"/>
      <c r="CV57196" s="376"/>
    </row>
    <row r="57197" spans="1:100">
      <c r="A57197" s="374"/>
      <c r="C57197" s="374"/>
      <c r="CV57197" s="376"/>
    </row>
    <row r="57198" spans="1:100">
      <c r="A57198" s="374"/>
      <c r="C57198" s="374"/>
      <c r="CV57198" s="376"/>
    </row>
    <row r="57199" spans="1:100">
      <c r="A57199" s="374"/>
      <c r="C57199" s="374"/>
      <c r="CV57199" s="376"/>
    </row>
    <row r="57200" spans="1:100">
      <c r="A57200" s="374"/>
      <c r="C57200" s="374"/>
      <c r="CV57200" s="376"/>
    </row>
    <row r="57201" spans="1:100">
      <c r="A57201" s="374"/>
      <c r="C57201" s="374"/>
      <c r="CV57201" s="376"/>
    </row>
    <row r="57202" spans="1:100">
      <c r="A57202" s="374"/>
      <c r="C57202" s="374"/>
      <c r="CV57202" s="376"/>
    </row>
    <row r="57203" spans="1:100">
      <c r="A57203" s="374"/>
      <c r="C57203" s="374"/>
      <c r="CV57203" s="376"/>
    </row>
    <row r="57204" spans="1:100">
      <c r="A57204" s="374"/>
      <c r="C57204" s="374"/>
      <c r="CV57204" s="376"/>
    </row>
    <row r="57205" spans="1:100">
      <c r="A57205" s="374"/>
      <c r="C57205" s="374"/>
      <c r="CV57205" s="376"/>
    </row>
    <row r="57206" spans="1:100">
      <c r="A57206" s="374"/>
      <c r="C57206" s="374"/>
      <c r="CV57206" s="376"/>
    </row>
    <row r="57207" spans="1:100">
      <c r="A57207" s="374"/>
      <c r="C57207" s="374"/>
      <c r="CV57207" s="376"/>
    </row>
    <row r="57208" spans="1:100">
      <c r="A57208" s="374"/>
      <c r="C57208" s="374"/>
      <c r="CV57208" s="376"/>
    </row>
    <row r="57209" spans="1:100">
      <c r="A57209" s="374"/>
      <c r="C57209" s="374"/>
      <c r="CV57209" s="376"/>
    </row>
    <row r="57210" spans="1:100">
      <c r="A57210" s="374"/>
      <c r="C57210" s="374"/>
      <c r="CV57210" s="376"/>
    </row>
    <row r="57211" spans="1:100">
      <c r="A57211" s="374"/>
      <c r="C57211" s="374"/>
      <c r="CV57211" s="376"/>
    </row>
    <row r="57212" spans="1:100">
      <c r="A57212" s="374"/>
      <c r="C57212" s="374"/>
      <c r="CV57212" s="376"/>
    </row>
    <row r="57213" spans="1:100">
      <c r="A57213" s="374"/>
      <c r="C57213" s="374"/>
      <c r="CV57213" s="376"/>
    </row>
    <row r="57214" spans="1:100">
      <c r="A57214" s="374"/>
      <c r="C57214" s="374"/>
      <c r="CV57214" s="376"/>
    </row>
    <row r="57215" spans="1:100">
      <c r="A57215" s="374"/>
      <c r="C57215" s="374"/>
      <c r="CV57215" s="376"/>
    </row>
    <row r="57216" spans="1:100">
      <c r="A57216" s="374"/>
      <c r="C57216" s="374"/>
      <c r="CV57216" s="376"/>
    </row>
    <row r="57217" spans="1:100">
      <c r="A57217" s="374"/>
      <c r="C57217" s="374"/>
      <c r="CV57217" s="376"/>
    </row>
    <row r="57218" spans="1:100">
      <c r="A57218" s="374"/>
      <c r="C57218" s="374"/>
      <c r="CV57218" s="376"/>
    </row>
    <row r="57219" spans="1:100">
      <c r="A57219" s="374"/>
      <c r="C57219" s="374"/>
      <c r="CV57219" s="376"/>
    </row>
    <row r="57220" spans="1:100">
      <c r="A57220" s="374"/>
      <c r="C57220" s="374"/>
      <c r="CV57220" s="376"/>
    </row>
    <row r="57221" spans="1:100">
      <c r="A57221" s="374"/>
      <c r="C57221" s="374"/>
      <c r="CV57221" s="376"/>
    </row>
    <row r="57222" spans="1:100">
      <c r="A57222" s="374"/>
      <c r="C57222" s="374"/>
      <c r="CV57222" s="376"/>
    </row>
    <row r="57223" spans="1:100">
      <c r="A57223" s="374"/>
      <c r="C57223" s="374"/>
      <c r="CV57223" s="376"/>
    </row>
    <row r="57224" spans="1:100">
      <c r="A57224" s="374"/>
      <c r="C57224" s="374"/>
      <c r="CV57224" s="376"/>
    </row>
    <row r="57225" spans="1:100">
      <c r="A57225" s="374"/>
      <c r="C57225" s="374"/>
      <c r="CV57225" s="376"/>
    </row>
    <row r="57226" spans="1:100">
      <c r="A57226" s="374"/>
      <c r="C57226" s="374"/>
      <c r="CV57226" s="376"/>
    </row>
    <row r="57227" spans="1:100">
      <c r="A57227" s="374"/>
      <c r="C57227" s="374"/>
      <c r="CV57227" s="376"/>
    </row>
    <row r="57228" spans="1:100">
      <c r="A57228" s="374"/>
      <c r="C57228" s="374"/>
      <c r="CV57228" s="376"/>
    </row>
    <row r="57229" spans="1:100">
      <c r="A57229" s="374"/>
      <c r="C57229" s="374"/>
      <c r="CV57229" s="376"/>
    </row>
    <row r="57230" spans="1:100">
      <c r="A57230" s="374"/>
      <c r="C57230" s="374"/>
      <c r="CV57230" s="376"/>
    </row>
    <row r="57231" spans="1:100">
      <c r="A57231" s="374"/>
      <c r="C57231" s="374"/>
      <c r="CV57231" s="376"/>
    </row>
    <row r="57232" spans="1:100">
      <c r="A57232" s="374"/>
      <c r="C57232" s="374"/>
      <c r="CV57232" s="376"/>
    </row>
    <row r="57233" spans="1:100">
      <c r="A57233" s="374"/>
      <c r="C57233" s="374"/>
      <c r="CV57233" s="376"/>
    </row>
    <row r="57234" spans="1:100">
      <c r="A57234" s="374"/>
      <c r="C57234" s="374"/>
      <c r="CV57234" s="376"/>
    </row>
    <row r="57235" spans="1:100">
      <c r="A57235" s="374"/>
      <c r="C57235" s="374"/>
      <c r="CV57235" s="376"/>
    </row>
    <row r="57236" spans="1:100">
      <c r="A57236" s="374"/>
      <c r="C57236" s="374"/>
      <c r="CV57236" s="376"/>
    </row>
    <row r="57237" spans="1:100">
      <c r="A57237" s="374"/>
      <c r="C57237" s="374"/>
      <c r="CV57237" s="376"/>
    </row>
    <row r="57238" spans="1:100">
      <c r="A57238" s="374"/>
      <c r="C57238" s="374"/>
      <c r="CV57238" s="376"/>
    </row>
    <row r="57239" spans="1:100">
      <c r="A57239" s="374"/>
      <c r="C57239" s="374"/>
      <c r="CV57239" s="376"/>
    </row>
    <row r="57240" spans="1:100">
      <c r="A57240" s="374"/>
      <c r="C57240" s="374"/>
      <c r="CV57240" s="376"/>
    </row>
    <row r="57241" spans="1:100">
      <c r="A57241" s="374"/>
      <c r="C57241" s="374"/>
      <c r="CV57241" s="376"/>
    </row>
    <row r="57242" spans="1:100">
      <c r="A57242" s="374"/>
      <c r="C57242" s="374"/>
      <c r="CV57242" s="376"/>
    </row>
    <row r="57243" spans="1:100">
      <c r="A57243" s="374"/>
      <c r="C57243" s="374"/>
      <c r="CV57243" s="376"/>
    </row>
    <row r="57244" spans="1:100">
      <c r="A57244" s="374"/>
      <c r="C57244" s="374"/>
      <c r="CV57244" s="376"/>
    </row>
    <row r="57245" spans="1:100">
      <c r="A57245" s="374"/>
      <c r="C57245" s="374"/>
      <c r="CV57245" s="376"/>
    </row>
    <row r="57246" spans="1:100">
      <c r="A57246" s="374"/>
      <c r="C57246" s="374"/>
      <c r="CV57246" s="376"/>
    </row>
    <row r="57247" spans="1:100">
      <c r="A57247" s="374"/>
      <c r="C57247" s="374"/>
      <c r="CV57247" s="376"/>
    </row>
    <row r="57248" spans="1:100">
      <c r="A57248" s="374"/>
      <c r="C57248" s="374"/>
      <c r="CV57248" s="376"/>
    </row>
    <row r="57249" spans="1:100">
      <c r="A57249" s="374"/>
      <c r="C57249" s="374"/>
      <c r="CV57249" s="376"/>
    </row>
    <row r="57250" spans="1:100">
      <c r="A57250" s="374"/>
      <c r="C57250" s="374"/>
      <c r="CV57250" s="376"/>
    </row>
    <row r="57251" spans="1:100">
      <c r="A57251" s="374"/>
      <c r="C57251" s="374"/>
      <c r="CV57251" s="376"/>
    </row>
    <row r="57252" spans="1:100">
      <c r="A57252" s="374"/>
      <c r="C57252" s="374"/>
      <c r="CV57252" s="376"/>
    </row>
    <row r="57253" spans="1:100">
      <c r="A57253" s="374"/>
      <c r="C57253" s="374"/>
      <c r="CV57253" s="376"/>
    </row>
    <row r="57254" spans="1:100">
      <c r="A57254" s="374"/>
      <c r="C57254" s="374"/>
      <c r="CV57254" s="376"/>
    </row>
    <row r="57255" spans="1:100">
      <c r="A57255" s="374"/>
      <c r="C57255" s="374"/>
      <c r="CV57255" s="376"/>
    </row>
    <row r="57256" spans="1:100">
      <c r="A57256" s="374"/>
      <c r="C57256" s="374"/>
      <c r="CV57256" s="376"/>
    </row>
    <row r="57257" spans="1:100">
      <c r="A57257" s="374"/>
      <c r="C57257" s="374"/>
      <c r="CV57257" s="376"/>
    </row>
    <row r="57258" spans="1:100">
      <c r="A57258" s="374"/>
      <c r="C57258" s="374"/>
      <c r="CV57258" s="376"/>
    </row>
    <row r="57259" spans="1:100">
      <c r="A57259" s="374"/>
      <c r="C57259" s="374"/>
      <c r="CV57259" s="376"/>
    </row>
    <row r="57260" spans="1:100">
      <c r="A57260" s="374"/>
      <c r="C57260" s="374"/>
      <c r="CV57260" s="376"/>
    </row>
    <row r="57261" spans="1:100">
      <c r="A57261" s="374"/>
      <c r="C57261" s="374"/>
      <c r="CV57261" s="376"/>
    </row>
    <row r="57262" spans="1:100">
      <c r="A57262" s="374"/>
      <c r="C57262" s="374"/>
      <c r="CV57262" s="376"/>
    </row>
    <row r="57263" spans="1:100">
      <c r="A57263" s="374"/>
      <c r="C57263" s="374"/>
      <c r="CV57263" s="376"/>
    </row>
    <row r="57264" spans="1:100">
      <c r="A57264" s="374"/>
      <c r="C57264" s="374"/>
      <c r="CV57264" s="376"/>
    </row>
    <row r="57265" spans="1:100">
      <c r="A57265" s="374"/>
      <c r="C57265" s="374"/>
      <c r="CV57265" s="376"/>
    </row>
    <row r="57266" spans="1:100">
      <c r="A57266" s="374"/>
      <c r="C57266" s="374"/>
      <c r="CV57266" s="376"/>
    </row>
    <row r="57267" spans="1:100">
      <c r="A57267" s="374"/>
      <c r="C57267" s="374"/>
      <c r="CV57267" s="376"/>
    </row>
    <row r="57268" spans="1:100">
      <c r="A57268" s="374"/>
      <c r="C57268" s="374"/>
      <c r="CV57268" s="376"/>
    </row>
    <row r="57269" spans="1:100">
      <c r="A57269" s="374"/>
      <c r="C57269" s="374"/>
      <c r="CV57269" s="376"/>
    </row>
    <row r="57270" spans="1:100">
      <c r="A57270" s="374"/>
      <c r="C57270" s="374"/>
      <c r="CV57270" s="376"/>
    </row>
    <row r="57271" spans="1:100">
      <c r="A57271" s="374"/>
      <c r="C57271" s="374"/>
      <c r="CV57271" s="376"/>
    </row>
    <row r="57272" spans="1:100">
      <c r="A57272" s="374"/>
      <c r="C57272" s="374"/>
      <c r="CV57272" s="376"/>
    </row>
    <row r="57273" spans="1:100">
      <c r="A57273" s="374"/>
      <c r="C57273" s="374"/>
      <c r="CV57273" s="376"/>
    </row>
    <row r="57274" spans="1:100">
      <c r="A57274" s="374"/>
      <c r="C57274" s="374"/>
      <c r="CV57274" s="376"/>
    </row>
    <row r="57275" spans="1:100">
      <c r="A57275" s="374"/>
      <c r="C57275" s="374"/>
      <c r="CV57275" s="376"/>
    </row>
    <row r="57276" spans="1:100">
      <c r="A57276" s="374"/>
      <c r="C57276" s="374"/>
      <c r="CV57276" s="376"/>
    </row>
    <row r="57277" spans="1:100">
      <c r="A57277" s="374"/>
      <c r="C57277" s="374"/>
      <c r="CV57277" s="376"/>
    </row>
    <row r="57278" spans="1:100">
      <c r="A57278" s="374"/>
      <c r="C57278" s="374"/>
      <c r="CV57278" s="376"/>
    </row>
    <row r="57279" spans="1:100">
      <c r="A57279" s="374"/>
      <c r="C57279" s="374"/>
      <c r="CV57279" s="376"/>
    </row>
    <row r="57280" spans="1:100">
      <c r="A57280" s="374"/>
      <c r="C57280" s="374"/>
      <c r="CV57280" s="376"/>
    </row>
    <row r="57281" spans="1:100">
      <c r="A57281" s="374"/>
      <c r="C57281" s="374"/>
      <c r="CV57281" s="376"/>
    </row>
    <row r="57282" spans="1:100">
      <c r="A57282" s="374"/>
      <c r="C57282" s="374"/>
      <c r="CV57282" s="376"/>
    </row>
    <row r="57283" spans="1:100">
      <c r="A57283" s="374"/>
      <c r="C57283" s="374"/>
      <c r="CV57283" s="376"/>
    </row>
    <row r="57284" spans="1:100">
      <c r="A57284" s="374"/>
      <c r="C57284" s="374"/>
      <c r="CV57284" s="376"/>
    </row>
    <row r="57285" spans="1:100">
      <c r="A57285" s="374"/>
      <c r="C57285" s="374"/>
      <c r="CV57285" s="376"/>
    </row>
    <row r="57286" spans="1:100">
      <c r="A57286" s="374"/>
      <c r="C57286" s="374"/>
      <c r="CV57286" s="376"/>
    </row>
    <row r="57287" spans="1:100">
      <c r="A57287" s="374"/>
      <c r="C57287" s="374"/>
      <c r="CV57287" s="376"/>
    </row>
    <row r="57288" spans="1:100">
      <c r="A57288" s="374"/>
      <c r="C57288" s="374"/>
      <c r="CV57288" s="376"/>
    </row>
    <row r="57289" spans="1:100">
      <c r="A57289" s="374"/>
      <c r="C57289" s="374"/>
      <c r="CV57289" s="376"/>
    </row>
    <row r="57290" spans="1:100">
      <c r="A57290" s="374"/>
      <c r="C57290" s="374"/>
      <c r="CV57290" s="376"/>
    </row>
    <row r="57291" spans="1:100">
      <c r="A57291" s="374"/>
      <c r="C57291" s="374"/>
      <c r="CV57291" s="376"/>
    </row>
    <row r="57292" spans="1:100">
      <c r="A57292" s="374"/>
      <c r="C57292" s="374"/>
      <c r="CV57292" s="376"/>
    </row>
    <row r="57293" spans="1:100">
      <c r="A57293" s="374"/>
      <c r="C57293" s="374"/>
      <c r="CV57293" s="376"/>
    </row>
    <row r="57294" spans="1:100">
      <c r="A57294" s="374"/>
      <c r="C57294" s="374"/>
      <c r="CV57294" s="376"/>
    </row>
    <row r="57295" spans="1:100">
      <c r="A57295" s="374"/>
      <c r="C57295" s="374"/>
      <c r="CV57295" s="376"/>
    </row>
    <row r="57296" spans="1:100">
      <c r="A57296" s="374"/>
      <c r="C57296" s="374"/>
      <c r="CV57296" s="376"/>
    </row>
    <row r="57297" spans="1:100">
      <c r="A57297" s="374"/>
      <c r="C57297" s="374"/>
      <c r="CV57297" s="376"/>
    </row>
    <row r="57298" spans="1:100">
      <c r="A57298" s="374"/>
      <c r="C57298" s="374"/>
      <c r="CV57298" s="376"/>
    </row>
    <row r="57299" spans="1:100">
      <c r="A57299" s="374"/>
      <c r="C57299" s="374"/>
      <c r="CV57299" s="376"/>
    </row>
    <row r="57300" spans="1:100">
      <c r="A57300" s="374"/>
      <c r="C57300" s="374"/>
      <c r="CV57300" s="376"/>
    </row>
    <row r="57301" spans="1:100">
      <c r="A57301" s="374"/>
      <c r="C57301" s="374"/>
      <c r="CV57301" s="376"/>
    </row>
    <row r="57302" spans="1:100">
      <c r="A57302" s="374"/>
      <c r="C57302" s="374"/>
      <c r="CV57302" s="376"/>
    </row>
    <row r="57303" spans="1:100">
      <c r="A57303" s="374"/>
      <c r="C57303" s="374"/>
      <c r="CV57303" s="376"/>
    </row>
    <row r="57304" spans="1:100">
      <c r="A57304" s="374"/>
      <c r="C57304" s="374"/>
      <c r="CV57304" s="376"/>
    </row>
    <row r="57305" spans="1:100">
      <c r="A57305" s="374"/>
      <c r="C57305" s="374"/>
      <c r="CV57305" s="376"/>
    </row>
    <row r="57306" spans="1:100">
      <c r="A57306" s="374"/>
      <c r="C57306" s="374"/>
      <c r="CV57306" s="376"/>
    </row>
    <row r="57307" spans="1:100">
      <c r="A57307" s="374"/>
      <c r="C57307" s="374"/>
      <c r="CV57307" s="376"/>
    </row>
    <row r="57308" spans="1:100">
      <c r="A57308" s="374"/>
      <c r="C57308" s="374"/>
      <c r="CV57308" s="376"/>
    </row>
    <row r="57309" spans="1:100">
      <c r="A57309" s="374"/>
      <c r="C57309" s="374"/>
      <c r="CV57309" s="376"/>
    </row>
    <row r="57310" spans="1:100">
      <c r="A57310" s="374"/>
      <c r="C57310" s="374"/>
      <c r="CV57310" s="376"/>
    </row>
    <row r="57311" spans="1:100">
      <c r="A57311" s="374"/>
      <c r="C57311" s="374"/>
      <c r="CV57311" s="376"/>
    </row>
    <row r="57312" spans="1:100">
      <c r="A57312" s="374"/>
      <c r="C57312" s="374"/>
      <c r="CV57312" s="376"/>
    </row>
    <row r="57313" spans="1:100">
      <c r="A57313" s="374"/>
      <c r="C57313" s="374"/>
      <c r="CV57313" s="376"/>
    </row>
    <row r="57314" spans="1:100">
      <c r="A57314" s="374"/>
      <c r="C57314" s="374"/>
      <c r="CV57314" s="376"/>
    </row>
    <row r="57315" spans="1:100">
      <c r="A57315" s="374"/>
      <c r="C57315" s="374"/>
      <c r="CV57315" s="376"/>
    </row>
    <row r="57316" spans="1:100">
      <c r="A57316" s="374"/>
      <c r="C57316" s="374"/>
      <c r="CV57316" s="376"/>
    </row>
    <row r="57317" spans="1:100">
      <c r="A57317" s="374"/>
      <c r="C57317" s="374"/>
      <c r="CV57317" s="376"/>
    </row>
    <row r="57318" spans="1:100">
      <c r="A57318" s="374"/>
      <c r="C57318" s="374"/>
      <c r="CV57318" s="376"/>
    </row>
    <row r="57319" spans="1:100">
      <c r="A57319" s="374"/>
      <c r="C57319" s="374"/>
      <c r="CV57319" s="376"/>
    </row>
    <row r="57320" spans="1:100">
      <c r="A57320" s="374"/>
      <c r="C57320" s="374"/>
      <c r="CV57320" s="376"/>
    </row>
    <row r="57321" spans="1:100">
      <c r="A57321" s="374"/>
      <c r="C57321" s="374"/>
      <c r="CV57321" s="376"/>
    </row>
    <row r="57322" spans="1:100">
      <c r="A57322" s="374"/>
      <c r="C57322" s="374"/>
      <c r="CV57322" s="376"/>
    </row>
    <row r="57323" spans="1:100">
      <c r="A57323" s="374"/>
      <c r="C57323" s="374"/>
      <c r="CV57323" s="376"/>
    </row>
    <row r="57324" spans="1:100">
      <c r="A57324" s="374"/>
      <c r="C57324" s="374"/>
      <c r="CV57324" s="376"/>
    </row>
    <row r="57325" spans="1:100">
      <c r="A57325" s="374"/>
      <c r="C57325" s="374"/>
      <c r="CV57325" s="376"/>
    </row>
    <row r="57326" spans="1:100">
      <c r="A57326" s="374"/>
      <c r="C57326" s="374"/>
      <c r="CV57326" s="376"/>
    </row>
    <row r="57327" spans="1:100">
      <c r="A57327" s="374"/>
      <c r="C57327" s="374"/>
      <c r="CV57327" s="376"/>
    </row>
    <row r="57328" spans="1:100">
      <c r="A57328" s="374"/>
      <c r="C57328" s="374"/>
      <c r="CV57328" s="376"/>
    </row>
    <row r="57329" spans="1:100">
      <c r="A57329" s="374"/>
      <c r="C57329" s="374"/>
      <c r="CV57329" s="376"/>
    </row>
    <row r="57330" spans="1:100">
      <c r="A57330" s="374"/>
      <c r="C57330" s="374"/>
      <c r="CV57330" s="376"/>
    </row>
    <row r="57331" spans="1:100">
      <c r="A57331" s="374"/>
      <c r="C57331" s="374"/>
      <c r="CV57331" s="376"/>
    </row>
    <row r="57332" spans="1:100">
      <c r="A57332" s="374"/>
      <c r="C57332" s="374"/>
      <c r="CV57332" s="376"/>
    </row>
    <row r="57333" spans="1:100">
      <c r="A57333" s="374"/>
      <c r="C57333" s="374"/>
      <c r="CV57333" s="376"/>
    </row>
    <row r="57334" spans="1:100">
      <c r="A57334" s="374"/>
      <c r="C57334" s="374"/>
      <c r="CV57334" s="376"/>
    </row>
    <row r="57335" spans="1:100">
      <c r="A57335" s="374"/>
      <c r="C57335" s="374"/>
      <c r="CV57335" s="376"/>
    </row>
    <row r="57336" spans="1:100">
      <c r="A57336" s="374"/>
      <c r="C57336" s="374"/>
      <c r="CV57336" s="376"/>
    </row>
    <row r="57337" spans="1:100">
      <c r="A57337" s="374"/>
      <c r="C57337" s="374"/>
      <c r="CV57337" s="376"/>
    </row>
    <row r="57338" spans="1:100">
      <c r="A57338" s="374"/>
      <c r="C57338" s="374"/>
      <c r="CV57338" s="376"/>
    </row>
    <row r="57339" spans="1:100">
      <c r="A57339" s="374"/>
      <c r="C57339" s="374"/>
      <c r="CV57339" s="376"/>
    </row>
    <row r="57340" spans="1:100">
      <c r="A57340" s="374"/>
      <c r="C57340" s="374"/>
      <c r="CV57340" s="376"/>
    </row>
    <row r="57341" spans="1:100">
      <c r="A57341" s="374"/>
      <c r="C57341" s="374"/>
      <c r="CV57341" s="376"/>
    </row>
    <row r="57342" spans="1:100">
      <c r="A57342" s="374"/>
      <c r="C57342" s="374"/>
      <c r="CV57342" s="376"/>
    </row>
    <row r="57343" spans="1:100">
      <c r="A57343" s="374"/>
      <c r="C57343" s="374"/>
      <c r="CV57343" s="376"/>
    </row>
    <row r="57344" spans="1:100">
      <c r="A57344" s="374"/>
      <c r="C57344" s="374"/>
      <c r="CV57344" s="376"/>
    </row>
    <row r="57345" spans="1:100">
      <c r="A57345" s="374"/>
      <c r="C57345" s="374"/>
      <c r="CV57345" s="376"/>
    </row>
    <row r="57346" spans="1:100">
      <c r="A57346" s="374"/>
      <c r="C57346" s="374"/>
      <c r="CV57346" s="376"/>
    </row>
    <row r="57347" spans="1:100">
      <c r="A57347" s="374"/>
      <c r="C57347" s="374"/>
      <c r="CV57347" s="376"/>
    </row>
    <row r="57348" spans="1:100">
      <c r="A57348" s="374"/>
      <c r="C57348" s="374"/>
      <c r="CV57348" s="376"/>
    </row>
    <row r="57349" spans="1:100">
      <c r="A57349" s="374"/>
      <c r="C57349" s="374"/>
      <c r="CV57349" s="376"/>
    </row>
    <row r="57350" spans="1:100">
      <c r="A57350" s="374"/>
      <c r="C57350" s="374"/>
      <c r="CV57350" s="376"/>
    </row>
    <row r="57351" spans="1:100">
      <c r="A57351" s="374"/>
      <c r="C57351" s="374"/>
      <c r="CV57351" s="376"/>
    </row>
    <row r="57352" spans="1:100">
      <c r="A57352" s="374"/>
      <c r="C57352" s="374"/>
      <c r="CV57352" s="376"/>
    </row>
    <row r="57353" spans="1:100">
      <c r="A57353" s="374"/>
      <c r="C57353" s="374"/>
      <c r="CV57353" s="376"/>
    </row>
    <row r="57354" spans="1:100">
      <c r="A57354" s="374"/>
      <c r="C57354" s="374"/>
      <c r="CV57354" s="376"/>
    </row>
    <row r="57355" spans="1:100">
      <c r="A57355" s="374"/>
      <c r="C57355" s="374"/>
      <c r="CV57355" s="376"/>
    </row>
    <row r="57356" spans="1:100">
      <c r="A57356" s="374"/>
      <c r="C57356" s="374"/>
      <c r="CV57356" s="376"/>
    </row>
    <row r="57357" spans="1:100">
      <c r="A57357" s="374"/>
      <c r="C57357" s="374"/>
      <c r="CV57357" s="376"/>
    </row>
    <row r="57358" spans="1:100">
      <c r="A57358" s="374"/>
      <c r="C57358" s="374"/>
      <c r="CV57358" s="376"/>
    </row>
    <row r="57359" spans="1:100">
      <c r="A57359" s="374"/>
      <c r="C57359" s="374"/>
      <c r="CV57359" s="376"/>
    </row>
    <row r="57360" spans="1:100">
      <c r="A57360" s="374"/>
      <c r="C57360" s="374"/>
      <c r="CV57360" s="376"/>
    </row>
    <row r="57361" spans="1:100">
      <c r="A57361" s="374"/>
      <c r="C57361" s="374"/>
      <c r="CV57361" s="376"/>
    </row>
    <row r="57362" spans="1:100">
      <c r="A57362" s="374"/>
      <c r="C57362" s="374"/>
      <c r="CV57362" s="376"/>
    </row>
    <row r="57363" spans="1:100">
      <c r="A57363" s="374"/>
      <c r="C57363" s="374"/>
      <c r="CV57363" s="376"/>
    </row>
    <row r="57364" spans="1:100">
      <c r="A57364" s="374"/>
      <c r="C57364" s="374"/>
      <c r="CV57364" s="376"/>
    </row>
    <row r="57365" spans="1:100">
      <c r="A57365" s="374"/>
      <c r="C57365" s="374"/>
      <c r="CV57365" s="376"/>
    </row>
    <row r="57366" spans="1:100">
      <c r="A57366" s="374"/>
      <c r="C57366" s="374"/>
      <c r="CV57366" s="376"/>
    </row>
    <row r="57367" spans="1:100">
      <c r="A57367" s="374"/>
      <c r="C57367" s="374"/>
      <c r="CV57367" s="376"/>
    </row>
    <row r="57368" spans="1:100">
      <c r="A57368" s="374"/>
      <c r="C57368" s="374"/>
      <c r="CV57368" s="376"/>
    </row>
    <row r="57369" spans="1:100">
      <c r="A57369" s="374"/>
      <c r="C57369" s="374"/>
      <c r="CV57369" s="376"/>
    </row>
    <row r="57370" spans="1:100">
      <c r="A57370" s="374"/>
      <c r="C57370" s="374"/>
      <c r="CV57370" s="376"/>
    </row>
    <row r="57371" spans="1:100">
      <c r="A57371" s="374"/>
      <c r="C57371" s="374"/>
      <c r="CV57371" s="376"/>
    </row>
    <row r="57372" spans="1:100">
      <c r="A57372" s="374"/>
      <c r="C57372" s="374"/>
      <c r="CV57372" s="376"/>
    </row>
    <row r="57373" spans="1:100">
      <c r="A57373" s="374"/>
      <c r="C57373" s="374"/>
      <c r="CV57373" s="376"/>
    </row>
    <row r="57374" spans="1:100">
      <c r="A57374" s="374"/>
      <c r="C57374" s="374"/>
      <c r="CV57374" s="376"/>
    </row>
    <row r="57375" spans="1:100">
      <c r="A57375" s="374"/>
      <c r="C57375" s="374"/>
      <c r="CV57375" s="376"/>
    </row>
    <row r="57376" spans="1:100">
      <c r="A57376" s="374"/>
      <c r="C57376" s="374"/>
      <c r="CV57376" s="376"/>
    </row>
    <row r="57377" spans="1:100">
      <c r="A57377" s="374"/>
      <c r="C57377" s="374"/>
      <c r="CV57377" s="376"/>
    </row>
    <row r="57378" spans="1:100">
      <c r="A57378" s="374"/>
      <c r="C57378" s="374"/>
      <c r="CV57378" s="376"/>
    </row>
    <row r="57379" spans="1:100">
      <c r="A57379" s="374"/>
      <c r="C57379" s="374"/>
      <c r="CV57379" s="376"/>
    </row>
    <row r="57380" spans="1:100">
      <c r="A57380" s="374"/>
      <c r="C57380" s="374"/>
      <c r="CV57380" s="376"/>
    </row>
    <row r="57381" spans="1:100">
      <c r="A57381" s="374"/>
      <c r="C57381" s="374"/>
      <c r="CV57381" s="376"/>
    </row>
    <row r="57382" spans="1:100">
      <c r="A57382" s="374"/>
      <c r="C57382" s="374"/>
      <c r="CV57382" s="376"/>
    </row>
    <row r="57383" spans="1:100">
      <c r="A57383" s="374"/>
      <c r="C57383" s="374"/>
      <c r="CV57383" s="376"/>
    </row>
    <row r="57384" spans="1:100">
      <c r="A57384" s="374"/>
      <c r="C57384" s="374"/>
      <c r="CV57384" s="376"/>
    </row>
    <row r="57385" spans="1:100">
      <c r="A57385" s="374"/>
      <c r="C57385" s="374"/>
      <c r="CV57385" s="376"/>
    </row>
    <row r="57386" spans="1:100">
      <c r="A57386" s="374"/>
      <c r="C57386" s="374"/>
      <c r="CV57386" s="376"/>
    </row>
    <row r="57387" spans="1:100">
      <c r="A57387" s="374"/>
      <c r="C57387" s="374"/>
      <c r="CV57387" s="376"/>
    </row>
    <row r="57388" spans="1:100">
      <c r="A57388" s="374"/>
      <c r="C57388" s="374"/>
      <c r="CV57388" s="376"/>
    </row>
    <row r="57389" spans="1:100">
      <c r="A57389" s="374"/>
      <c r="C57389" s="374"/>
      <c r="CV57389" s="376"/>
    </row>
    <row r="57390" spans="1:100">
      <c r="A57390" s="374"/>
      <c r="C57390" s="374"/>
      <c r="CV57390" s="376"/>
    </row>
    <row r="57391" spans="1:100">
      <c r="A57391" s="374"/>
      <c r="C57391" s="374"/>
      <c r="CV57391" s="376"/>
    </row>
    <row r="57392" spans="1:100">
      <c r="A57392" s="374"/>
      <c r="C57392" s="374"/>
      <c r="CV57392" s="376"/>
    </row>
    <row r="57393" spans="1:100">
      <c r="A57393" s="374"/>
      <c r="C57393" s="374"/>
      <c r="CV57393" s="376"/>
    </row>
    <row r="57394" spans="1:100">
      <c r="A57394" s="374"/>
      <c r="C57394" s="374"/>
      <c r="CV57394" s="376"/>
    </row>
    <row r="57395" spans="1:100">
      <c r="A57395" s="374"/>
      <c r="C57395" s="374"/>
      <c r="CV57395" s="376"/>
    </row>
    <row r="57396" spans="1:100">
      <c r="A57396" s="374"/>
      <c r="C57396" s="374"/>
      <c r="CV57396" s="376"/>
    </row>
    <row r="57397" spans="1:100">
      <c r="A57397" s="374"/>
      <c r="C57397" s="374"/>
      <c r="CV57397" s="376"/>
    </row>
    <row r="57398" spans="1:100">
      <c r="A57398" s="374"/>
      <c r="C57398" s="374"/>
      <c r="CV57398" s="376"/>
    </row>
    <row r="57399" spans="1:100">
      <c r="A57399" s="374"/>
      <c r="C57399" s="374"/>
      <c r="CV57399" s="376"/>
    </row>
    <row r="57400" spans="1:100">
      <c r="A57400" s="374"/>
      <c r="C57400" s="374"/>
      <c r="CV57400" s="376"/>
    </row>
    <row r="57401" spans="1:100">
      <c r="A57401" s="374"/>
      <c r="C57401" s="374"/>
      <c r="CV57401" s="376"/>
    </row>
    <row r="57402" spans="1:100">
      <c r="A57402" s="374"/>
      <c r="C57402" s="374"/>
      <c r="CV57402" s="376"/>
    </row>
    <row r="57403" spans="1:100">
      <c r="A57403" s="374"/>
      <c r="C57403" s="374"/>
      <c r="CV57403" s="376"/>
    </row>
    <row r="57404" spans="1:100">
      <c r="A57404" s="374"/>
      <c r="C57404" s="374"/>
      <c r="CV57404" s="376"/>
    </row>
    <row r="57405" spans="1:100">
      <c r="A57405" s="374"/>
      <c r="C57405" s="374"/>
      <c r="CV57405" s="376"/>
    </row>
    <row r="57406" spans="1:100">
      <c r="A57406" s="374"/>
      <c r="C57406" s="374"/>
      <c r="CV57406" s="376"/>
    </row>
    <row r="57407" spans="1:100">
      <c r="A57407" s="374"/>
      <c r="C57407" s="374"/>
      <c r="CV57407" s="376"/>
    </row>
    <row r="57408" spans="1:100">
      <c r="A57408" s="374"/>
      <c r="C57408" s="374"/>
      <c r="CV57408" s="376"/>
    </row>
    <row r="57409" spans="1:100">
      <c r="A57409" s="374"/>
      <c r="C57409" s="374"/>
      <c r="CV57409" s="376"/>
    </row>
    <row r="57410" spans="1:100">
      <c r="A57410" s="374"/>
      <c r="C57410" s="374"/>
      <c r="CV57410" s="376"/>
    </row>
    <row r="57411" spans="1:100">
      <c r="A57411" s="374"/>
      <c r="C57411" s="374"/>
      <c r="CV57411" s="376"/>
    </row>
    <row r="57412" spans="1:100">
      <c r="A57412" s="374"/>
      <c r="C57412" s="374"/>
      <c r="CV57412" s="376"/>
    </row>
    <row r="57413" spans="1:100">
      <c r="A57413" s="374"/>
      <c r="C57413" s="374"/>
      <c r="CV57413" s="376"/>
    </row>
    <row r="57414" spans="1:100">
      <c r="A57414" s="374"/>
      <c r="C57414" s="374"/>
      <c r="CV57414" s="376"/>
    </row>
    <row r="57415" spans="1:100">
      <c r="A57415" s="374"/>
      <c r="C57415" s="374"/>
      <c r="CV57415" s="376"/>
    </row>
    <row r="57416" spans="1:100">
      <c r="A57416" s="374"/>
      <c r="C57416" s="374"/>
      <c r="CV57416" s="376"/>
    </row>
    <row r="57417" spans="1:100">
      <c r="A57417" s="374"/>
      <c r="C57417" s="374"/>
      <c r="CV57417" s="376"/>
    </row>
    <row r="57418" spans="1:100">
      <c r="A57418" s="374"/>
      <c r="C57418" s="374"/>
      <c r="CV57418" s="376"/>
    </row>
    <row r="57419" spans="1:100">
      <c r="A57419" s="374"/>
      <c r="C57419" s="374"/>
      <c r="CV57419" s="376"/>
    </row>
    <row r="57420" spans="1:100">
      <c r="A57420" s="374"/>
      <c r="C57420" s="374"/>
      <c r="CV57420" s="376"/>
    </row>
    <row r="57421" spans="1:100">
      <c r="A57421" s="374"/>
      <c r="C57421" s="374"/>
      <c r="CV57421" s="376"/>
    </row>
    <row r="57422" spans="1:100">
      <c r="A57422" s="374"/>
      <c r="C57422" s="374"/>
      <c r="CV57422" s="376"/>
    </row>
    <row r="57423" spans="1:100">
      <c r="A57423" s="374"/>
      <c r="C57423" s="374"/>
      <c r="CV57423" s="376"/>
    </row>
    <row r="57424" spans="1:100">
      <c r="A57424" s="374"/>
      <c r="C57424" s="374"/>
      <c r="CV57424" s="376"/>
    </row>
    <row r="57425" spans="1:100">
      <c r="A57425" s="374"/>
      <c r="C57425" s="374"/>
      <c r="CV57425" s="376"/>
    </row>
    <row r="57426" spans="1:100">
      <c r="A57426" s="374"/>
      <c r="C57426" s="374"/>
      <c r="CV57426" s="376"/>
    </row>
    <row r="57427" spans="1:100">
      <c r="A57427" s="374"/>
      <c r="C57427" s="374"/>
      <c r="CV57427" s="376"/>
    </row>
    <row r="57428" spans="1:100">
      <c r="A57428" s="374"/>
      <c r="C57428" s="374"/>
      <c r="CV57428" s="376"/>
    </row>
    <row r="57429" spans="1:100">
      <c r="A57429" s="374"/>
      <c r="C57429" s="374"/>
      <c r="CV57429" s="376"/>
    </row>
    <row r="57430" spans="1:100">
      <c r="A57430" s="374"/>
      <c r="C57430" s="374"/>
      <c r="CV57430" s="376"/>
    </row>
    <row r="57431" spans="1:100">
      <c r="A57431" s="374"/>
      <c r="C57431" s="374"/>
      <c r="CV57431" s="376"/>
    </row>
    <row r="57432" spans="1:100">
      <c r="A57432" s="374"/>
      <c r="C57432" s="374"/>
      <c r="CV57432" s="376"/>
    </row>
    <row r="57433" spans="1:100">
      <c r="A57433" s="374"/>
      <c r="C57433" s="374"/>
      <c r="CV57433" s="376"/>
    </row>
    <row r="57434" spans="1:100">
      <c r="A57434" s="374"/>
      <c r="C57434" s="374"/>
      <c r="CV57434" s="376"/>
    </row>
    <row r="57435" spans="1:100">
      <c r="A57435" s="374"/>
      <c r="C57435" s="374"/>
      <c r="CV57435" s="376"/>
    </row>
    <row r="57436" spans="1:100">
      <c r="A57436" s="374"/>
      <c r="C57436" s="374"/>
      <c r="CV57436" s="376"/>
    </row>
    <row r="57437" spans="1:100">
      <c r="A57437" s="374"/>
      <c r="C57437" s="374"/>
      <c r="CV57437" s="376"/>
    </row>
    <row r="57438" spans="1:100">
      <c r="A57438" s="374"/>
      <c r="C57438" s="374"/>
      <c r="CV57438" s="376"/>
    </row>
    <row r="57439" spans="1:100">
      <c r="A57439" s="374"/>
      <c r="C57439" s="374"/>
      <c r="CV57439" s="376"/>
    </row>
    <row r="57440" spans="1:100">
      <c r="A57440" s="374"/>
      <c r="C57440" s="374"/>
      <c r="CV57440" s="376"/>
    </row>
    <row r="57441" spans="1:100">
      <c r="A57441" s="374"/>
      <c r="C57441" s="374"/>
      <c r="CV57441" s="376"/>
    </row>
    <row r="57442" spans="1:100">
      <c r="A57442" s="374"/>
      <c r="C57442" s="374"/>
      <c r="CV57442" s="376"/>
    </row>
    <row r="57443" spans="1:100">
      <c r="A57443" s="374"/>
      <c r="C57443" s="374"/>
      <c r="CV57443" s="376"/>
    </row>
    <row r="57444" spans="1:100">
      <c r="A57444" s="374"/>
      <c r="C57444" s="374"/>
      <c r="CV57444" s="376"/>
    </row>
    <row r="57445" spans="1:100">
      <c r="A57445" s="374"/>
      <c r="C57445" s="374"/>
      <c r="CV57445" s="376"/>
    </row>
    <row r="57446" spans="1:100">
      <c r="A57446" s="374"/>
      <c r="C57446" s="374"/>
      <c r="CV57446" s="376"/>
    </row>
    <row r="57447" spans="1:100">
      <c r="A57447" s="374"/>
      <c r="C57447" s="374"/>
      <c r="CV57447" s="376"/>
    </row>
    <row r="57448" spans="1:100">
      <c r="A57448" s="374"/>
      <c r="C57448" s="374"/>
      <c r="CV57448" s="376"/>
    </row>
    <row r="57449" spans="1:100">
      <c r="A57449" s="374"/>
      <c r="C57449" s="374"/>
      <c r="CV57449" s="376"/>
    </row>
    <row r="57450" spans="1:100">
      <c r="A57450" s="374"/>
      <c r="C57450" s="374"/>
      <c r="CV57450" s="376"/>
    </row>
    <row r="57451" spans="1:100">
      <c r="A57451" s="374"/>
      <c r="C57451" s="374"/>
      <c r="CV57451" s="376"/>
    </row>
    <row r="57452" spans="1:100">
      <c r="A57452" s="374"/>
      <c r="C57452" s="374"/>
      <c r="CV57452" s="376"/>
    </row>
    <row r="57453" spans="1:100">
      <c r="A57453" s="374"/>
      <c r="C57453" s="374"/>
      <c r="CV57453" s="376"/>
    </row>
    <row r="57454" spans="1:100">
      <c r="A57454" s="374"/>
      <c r="C57454" s="374"/>
      <c r="CV57454" s="376"/>
    </row>
    <row r="57455" spans="1:100">
      <c r="A57455" s="374"/>
      <c r="C57455" s="374"/>
      <c r="CV57455" s="376"/>
    </row>
    <row r="57456" spans="1:100">
      <c r="A57456" s="374"/>
      <c r="C57456" s="374"/>
      <c r="CV57456" s="376"/>
    </row>
    <row r="57457" spans="1:100">
      <c r="A57457" s="374"/>
      <c r="C57457" s="374"/>
      <c r="CV57457" s="376"/>
    </row>
    <row r="57458" spans="1:100">
      <c r="A57458" s="374"/>
      <c r="C57458" s="374"/>
      <c r="CV57458" s="376"/>
    </row>
    <row r="57459" spans="1:100">
      <c r="A57459" s="374"/>
      <c r="C57459" s="374"/>
      <c r="CV57459" s="376"/>
    </row>
    <row r="57460" spans="1:100">
      <c r="A57460" s="374"/>
      <c r="C57460" s="374"/>
      <c r="CV57460" s="376"/>
    </row>
    <row r="57461" spans="1:100">
      <c r="A57461" s="374"/>
      <c r="C57461" s="374"/>
      <c r="CV57461" s="376"/>
    </row>
    <row r="57462" spans="1:100">
      <c r="A57462" s="374"/>
      <c r="C57462" s="374"/>
      <c r="CV57462" s="376"/>
    </row>
    <row r="57463" spans="1:100">
      <c r="A57463" s="374"/>
      <c r="C57463" s="374"/>
      <c r="CV57463" s="376"/>
    </row>
    <row r="57464" spans="1:100">
      <c r="A57464" s="374"/>
      <c r="C57464" s="374"/>
      <c r="CV57464" s="376"/>
    </row>
    <row r="57465" spans="1:100">
      <c r="A57465" s="374"/>
      <c r="C57465" s="374"/>
      <c r="CV57465" s="376"/>
    </row>
    <row r="57466" spans="1:100">
      <c r="A57466" s="374"/>
      <c r="C57466" s="374"/>
      <c r="CV57466" s="376"/>
    </row>
    <row r="57467" spans="1:100">
      <c r="A57467" s="374"/>
      <c r="C57467" s="374"/>
      <c r="CV57467" s="376"/>
    </row>
    <row r="57468" spans="1:100">
      <c r="A57468" s="374"/>
      <c r="C57468" s="374"/>
      <c r="CV57468" s="376"/>
    </row>
    <row r="57469" spans="1:100">
      <c r="A57469" s="374"/>
      <c r="C57469" s="374"/>
      <c r="CV57469" s="376"/>
    </row>
    <row r="57470" spans="1:100">
      <c r="A57470" s="374"/>
      <c r="C57470" s="374"/>
      <c r="CV57470" s="376"/>
    </row>
    <row r="57471" spans="1:100">
      <c r="A57471" s="374"/>
      <c r="C57471" s="374"/>
      <c r="CV57471" s="376"/>
    </row>
    <row r="57472" spans="1:100">
      <c r="A57472" s="374"/>
      <c r="C57472" s="374"/>
      <c r="CV57472" s="376"/>
    </row>
    <row r="57473" spans="1:100">
      <c r="A57473" s="374"/>
      <c r="C57473" s="374"/>
      <c r="CV57473" s="376"/>
    </row>
    <row r="57474" spans="1:100">
      <c r="A57474" s="374"/>
      <c r="C57474" s="374"/>
      <c r="CV57474" s="376"/>
    </row>
    <row r="57475" spans="1:100">
      <c r="A57475" s="374"/>
      <c r="C57475" s="374"/>
      <c r="CV57475" s="376"/>
    </row>
    <row r="57476" spans="1:100">
      <c r="A57476" s="374"/>
      <c r="C57476" s="374"/>
      <c r="CV57476" s="376"/>
    </row>
    <row r="57477" spans="1:100">
      <c r="A57477" s="374"/>
      <c r="C57477" s="374"/>
      <c r="CV57477" s="376"/>
    </row>
    <row r="57478" spans="1:100">
      <c r="A57478" s="374"/>
      <c r="C57478" s="374"/>
      <c r="CV57478" s="376"/>
    </row>
    <row r="57479" spans="1:100">
      <c r="A57479" s="374"/>
      <c r="C57479" s="374"/>
      <c r="CV57479" s="376"/>
    </row>
    <row r="57480" spans="1:100">
      <c r="A57480" s="374"/>
      <c r="C57480" s="374"/>
      <c r="CV57480" s="376"/>
    </row>
    <row r="57481" spans="1:100">
      <c r="A57481" s="374"/>
      <c r="C57481" s="374"/>
      <c r="CV57481" s="376"/>
    </row>
    <row r="57482" spans="1:100">
      <c r="A57482" s="374"/>
      <c r="C57482" s="374"/>
      <c r="CV57482" s="376"/>
    </row>
    <row r="57483" spans="1:100">
      <c r="A57483" s="374"/>
      <c r="C57483" s="374"/>
      <c r="CV57483" s="376"/>
    </row>
    <row r="57484" spans="1:100">
      <c r="A57484" s="374"/>
      <c r="C57484" s="374"/>
      <c r="CV57484" s="376"/>
    </row>
    <row r="57485" spans="1:100">
      <c r="A57485" s="374"/>
      <c r="C57485" s="374"/>
      <c r="CV57485" s="376"/>
    </row>
    <row r="57486" spans="1:100">
      <c r="A57486" s="374"/>
      <c r="C57486" s="374"/>
      <c r="CV57486" s="376"/>
    </row>
    <row r="57487" spans="1:100">
      <c r="A57487" s="374"/>
      <c r="C57487" s="374"/>
      <c r="CV57487" s="376"/>
    </row>
    <row r="57488" spans="1:100">
      <c r="A57488" s="374"/>
      <c r="C57488" s="374"/>
      <c r="CV57488" s="376"/>
    </row>
    <row r="57489" spans="1:100">
      <c r="A57489" s="374"/>
      <c r="C57489" s="374"/>
      <c r="CV57489" s="376"/>
    </row>
    <row r="57490" spans="1:100">
      <c r="A57490" s="374"/>
      <c r="C57490" s="374"/>
      <c r="CV57490" s="376"/>
    </row>
    <row r="57491" spans="1:100">
      <c r="A57491" s="374"/>
      <c r="C57491" s="374"/>
      <c r="CV57491" s="376"/>
    </row>
    <row r="57492" spans="1:100">
      <c r="A57492" s="374"/>
      <c r="C57492" s="374"/>
      <c r="CV57492" s="376"/>
    </row>
    <row r="57493" spans="1:100">
      <c r="A57493" s="374"/>
      <c r="C57493" s="374"/>
      <c r="CV57493" s="376"/>
    </row>
    <row r="57494" spans="1:100">
      <c r="A57494" s="374"/>
      <c r="C57494" s="374"/>
      <c r="CV57494" s="376"/>
    </row>
    <row r="57495" spans="1:100">
      <c r="A57495" s="374"/>
      <c r="C57495" s="374"/>
      <c r="CV57495" s="376"/>
    </row>
    <row r="57496" spans="1:100">
      <c r="A57496" s="374"/>
      <c r="C57496" s="374"/>
      <c r="CV57496" s="376"/>
    </row>
    <row r="57497" spans="1:100">
      <c r="A57497" s="374"/>
      <c r="C57497" s="374"/>
      <c r="CV57497" s="376"/>
    </row>
    <row r="57498" spans="1:100">
      <c r="A57498" s="374"/>
      <c r="C57498" s="374"/>
      <c r="CV57498" s="376"/>
    </row>
    <row r="57499" spans="1:100">
      <c r="A57499" s="374"/>
      <c r="C57499" s="374"/>
      <c r="CV57499" s="376"/>
    </row>
    <row r="57500" spans="1:100">
      <c r="A57500" s="374"/>
      <c r="C57500" s="374"/>
      <c r="CV57500" s="376"/>
    </row>
    <row r="57501" spans="1:100">
      <c r="A57501" s="374"/>
      <c r="C57501" s="374"/>
      <c r="CV57501" s="376"/>
    </row>
    <row r="57502" spans="1:100">
      <c r="A57502" s="374"/>
      <c r="C57502" s="374"/>
      <c r="CV57502" s="376"/>
    </row>
    <row r="57503" spans="1:100">
      <c r="A57503" s="374"/>
      <c r="C57503" s="374"/>
      <c r="CV57503" s="376"/>
    </row>
    <row r="57504" spans="1:100">
      <c r="A57504" s="374"/>
      <c r="C57504" s="374"/>
      <c r="CV57504" s="376"/>
    </row>
    <row r="57505" spans="1:100">
      <c r="A57505" s="374"/>
      <c r="C57505" s="374"/>
      <c r="CV57505" s="376"/>
    </row>
    <row r="57506" spans="1:100">
      <c r="A57506" s="374"/>
      <c r="C57506" s="374"/>
      <c r="CV57506" s="376"/>
    </row>
    <row r="57507" spans="1:100">
      <c r="A57507" s="374"/>
      <c r="C57507" s="374"/>
      <c r="CV57507" s="376"/>
    </row>
    <row r="57508" spans="1:100">
      <c r="A57508" s="374"/>
      <c r="C57508" s="374"/>
      <c r="CV57508" s="376"/>
    </row>
    <row r="57509" spans="1:100">
      <c r="A57509" s="374"/>
      <c r="C57509" s="374"/>
      <c r="CV57509" s="376"/>
    </row>
    <row r="57510" spans="1:100">
      <c r="A57510" s="374"/>
      <c r="C57510" s="374"/>
      <c r="CV57510" s="376"/>
    </row>
    <row r="57511" spans="1:100">
      <c r="A57511" s="374"/>
      <c r="C57511" s="374"/>
      <c r="CV57511" s="376"/>
    </row>
    <row r="57512" spans="1:100">
      <c r="A57512" s="374"/>
      <c r="C57512" s="374"/>
      <c r="CV57512" s="376"/>
    </row>
    <row r="57513" spans="1:100">
      <c r="A57513" s="374"/>
      <c r="C57513" s="374"/>
      <c r="CV57513" s="376"/>
    </row>
    <row r="57514" spans="1:100">
      <c r="A57514" s="374"/>
      <c r="C57514" s="374"/>
      <c r="CV57514" s="376"/>
    </row>
    <row r="57515" spans="1:100">
      <c r="A57515" s="374"/>
      <c r="C57515" s="374"/>
      <c r="CV57515" s="376"/>
    </row>
    <row r="57516" spans="1:100">
      <c r="A57516" s="374"/>
      <c r="C57516" s="374"/>
      <c r="CV57516" s="376"/>
    </row>
    <row r="57517" spans="1:100">
      <c r="A57517" s="374"/>
      <c r="C57517" s="374"/>
      <c r="CV57517" s="376"/>
    </row>
    <row r="57518" spans="1:100">
      <c r="A57518" s="374"/>
      <c r="C57518" s="374"/>
      <c r="CV57518" s="376"/>
    </row>
    <row r="57519" spans="1:100">
      <c r="A57519" s="374"/>
      <c r="C57519" s="374"/>
      <c r="CV57519" s="376"/>
    </row>
    <row r="57520" spans="1:100">
      <c r="A57520" s="374"/>
      <c r="C57520" s="374"/>
      <c r="CV57520" s="376"/>
    </row>
    <row r="57521" spans="1:100">
      <c r="A57521" s="374"/>
      <c r="C57521" s="374"/>
      <c r="CV57521" s="376"/>
    </row>
    <row r="57522" spans="1:100">
      <c r="A57522" s="374"/>
      <c r="C57522" s="374"/>
      <c r="CV57522" s="376"/>
    </row>
    <row r="57523" spans="1:100">
      <c r="A57523" s="374"/>
      <c r="C57523" s="374"/>
      <c r="CV57523" s="376"/>
    </row>
    <row r="57524" spans="1:100">
      <c r="A57524" s="374"/>
      <c r="C57524" s="374"/>
      <c r="CV57524" s="376"/>
    </row>
    <row r="57525" spans="1:100">
      <c r="A57525" s="374"/>
      <c r="C57525" s="374"/>
      <c r="CV57525" s="376"/>
    </row>
    <row r="57526" spans="1:100">
      <c r="A57526" s="374"/>
      <c r="C57526" s="374"/>
      <c r="CV57526" s="376"/>
    </row>
    <row r="57527" spans="1:100">
      <c r="A57527" s="374"/>
      <c r="C57527" s="374"/>
      <c r="CV57527" s="376"/>
    </row>
    <row r="57528" spans="1:100">
      <c r="A57528" s="374"/>
      <c r="C57528" s="374"/>
      <c r="CV57528" s="376"/>
    </row>
    <row r="57529" spans="1:100">
      <c r="A57529" s="374"/>
      <c r="C57529" s="374"/>
      <c r="CV57529" s="376"/>
    </row>
    <row r="57530" spans="1:100">
      <c r="A57530" s="374"/>
      <c r="C57530" s="374"/>
      <c r="CV57530" s="376"/>
    </row>
    <row r="57531" spans="1:100">
      <c r="A57531" s="374"/>
      <c r="C57531" s="374"/>
      <c r="CV57531" s="376"/>
    </row>
    <row r="57532" spans="1:100">
      <c r="A57532" s="374"/>
      <c r="C57532" s="374"/>
      <c r="CV57532" s="376"/>
    </row>
    <row r="57533" spans="1:100">
      <c r="A57533" s="374"/>
      <c r="C57533" s="374"/>
      <c r="CV57533" s="376"/>
    </row>
    <row r="57534" spans="1:100">
      <c r="A57534" s="374"/>
      <c r="C57534" s="374"/>
      <c r="CV57534" s="376"/>
    </row>
    <row r="57535" spans="1:100">
      <c r="A57535" s="374"/>
      <c r="C57535" s="374"/>
      <c r="CV57535" s="376"/>
    </row>
    <row r="57536" spans="1:100">
      <c r="A57536" s="374"/>
      <c r="C57536" s="374"/>
      <c r="CV57536" s="376"/>
    </row>
    <row r="57537" spans="1:100">
      <c r="A57537" s="374"/>
      <c r="C57537" s="374"/>
      <c r="CV57537" s="376"/>
    </row>
    <row r="57538" spans="1:100">
      <c r="A57538" s="374"/>
      <c r="C57538" s="374"/>
      <c r="CV57538" s="376"/>
    </row>
    <row r="57539" spans="1:100">
      <c r="A57539" s="374"/>
      <c r="C57539" s="374"/>
      <c r="CV57539" s="376"/>
    </row>
    <row r="57540" spans="1:100">
      <c r="A57540" s="374"/>
      <c r="C57540" s="374"/>
      <c r="CV57540" s="376"/>
    </row>
    <row r="57541" spans="1:100">
      <c r="A57541" s="374"/>
      <c r="C57541" s="374"/>
      <c r="CV57541" s="376"/>
    </row>
    <row r="57542" spans="1:100">
      <c r="A57542" s="374"/>
      <c r="C57542" s="374"/>
      <c r="CV57542" s="376"/>
    </row>
    <row r="57543" spans="1:100">
      <c r="A57543" s="374"/>
      <c r="C57543" s="374"/>
      <c r="CV57543" s="376"/>
    </row>
    <row r="57544" spans="1:100">
      <c r="A57544" s="374"/>
      <c r="C57544" s="374"/>
      <c r="CV57544" s="376"/>
    </row>
    <row r="57545" spans="1:100">
      <c r="A57545" s="374"/>
      <c r="C57545" s="374"/>
      <c r="CV57545" s="376"/>
    </row>
    <row r="57546" spans="1:100">
      <c r="A57546" s="374"/>
      <c r="C57546" s="374"/>
      <c r="CV57546" s="376"/>
    </row>
    <row r="57547" spans="1:100">
      <c r="A57547" s="374"/>
      <c r="C57547" s="374"/>
      <c r="CV57547" s="376"/>
    </row>
    <row r="57548" spans="1:100">
      <c r="A57548" s="374"/>
      <c r="C57548" s="374"/>
      <c r="CV57548" s="376"/>
    </row>
    <row r="57549" spans="1:100">
      <c r="A57549" s="374"/>
      <c r="C57549" s="374"/>
      <c r="CV57549" s="376"/>
    </row>
    <row r="57550" spans="1:100">
      <c r="A57550" s="374"/>
      <c r="C57550" s="374"/>
      <c r="CV57550" s="376"/>
    </row>
    <row r="57551" spans="1:100">
      <c r="A57551" s="374"/>
      <c r="C57551" s="374"/>
      <c r="CV57551" s="376"/>
    </row>
    <row r="57552" spans="1:100">
      <c r="A57552" s="374"/>
      <c r="C57552" s="374"/>
      <c r="CV57552" s="376"/>
    </row>
    <row r="57553" spans="1:100">
      <c r="A57553" s="374"/>
      <c r="C57553" s="374"/>
      <c r="CV57553" s="376"/>
    </row>
    <row r="57554" spans="1:100">
      <c r="A57554" s="374"/>
      <c r="C57554" s="374"/>
      <c r="CV57554" s="376"/>
    </row>
    <row r="57555" spans="1:100">
      <c r="A57555" s="374"/>
      <c r="C57555" s="374"/>
      <c r="CV57555" s="376"/>
    </row>
    <row r="57556" spans="1:100">
      <c r="A57556" s="374"/>
      <c r="C57556" s="374"/>
      <c r="CV57556" s="376"/>
    </row>
    <row r="57557" spans="1:100">
      <c r="A57557" s="374"/>
      <c r="C57557" s="374"/>
      <c r="CV57557" s="376"/>
    </row>
    <row r="57558" spans="1:100">
      <c r="A57558" s="374"/>
      <c r="C57558" s="374"/>
      <c r="CV57558" s="376"/>
    </row>
    <row r="57559" spans="1:100">
      <c r="A57559" s="374"/>
      <c r="C57559" s="374"/>
      <c r="CV57559" s="376"/>
    </row>
    <row r="57560" spans="1:100">
      <c r="A57560" s="374"/>
      <c r="C57560" s="374"/>
      <c r="CV57560" s="376"/>
    </row>
    <row r="57561" spans="1:100">
      <c r="A57561" s="374"/>
      <c r="C57561" s="374"/>
      <c r="CV57561" s="376"/>
    </row>
    <row r="57562" spans="1:100">
      <c r="A57562" s="374"/>
      <c r="C57562" s="374"/>
      <c r="CV57562" s="376"/>
    </row>
    <row r="57563" spans="1:100">
      <c r="A57563" s="374"/>
      <c r="C57563" s="374"/>
      <c r="CV57563" s="376"/>
    </row>
    <row r="57564" spans="1:100">
      <c r="A57564" s="374"/>
      <c r="C57564" s="374"/>
      <c r="CV57564" s="376"/>
    </row>
    <row r="57565" spans="1:100">
      <c r="A57565" s="374"/>
      <c r="C57565" s="374"/>
      <c r="CV57565" s="376"/>
    </row>
    <row r="57566" spans="1:100">
      <c r="A57566" s="374"/>
      <c r="C57566" s="374"/>
      <c r="CV57566" s="376"/>
    </row>
    <row r="57567" spans="1:100">
      <c r="A57567" s="374"/>
      <c r="C57567" s="374"/>
      <c r="CV57567" s="376"/>
    </row>
    <row r="57568" spans="1:100">
      <c r="A57568" s="374"/>
      <c r="C57568" s="374"/>
      <c r="CV57568" s="376"/>
    </row>
    <row r="57569" spans="1:100">
      <c r="A57569" s="374"/>
      <c r="C57569" s="374"/>
      <c r="CV57569" s="376"/>
    </row>
    <row r="57570" spans="1:100">
      <c r="A57570" s="374"/>
      <c r="C57570" s="374"/>
      <c r="CV57570" s="376"/>
    </row>
    <row r="57571" spans="1:100">
      <c r="A57571" s="374"/>
      <c r="C57571" s="374"/>
      <c r="CV57571" s="376"/>
    </row>
    <row r="57572" spans="1:100">
      <c r="A57572" s="374"/>
      <c r="C57572" s="374"/>
      <c r="CV57572" s="376"/>
    </row>
    <row r="57573" spans="1:100">
      <c r="A57573" s="374"/>
      <c r="C57573" s="374"/>
      <c r="CV57573" s="376"/>
    </row>
    <row r="57574" spans="1:100">
      <c r="A57574" s="374"/>
      <c r="C57574" s="374"/>
      <c r="CV57574" s="376"/>
    </row>
    <row r="57575" spans="1:100">
      <c r="A57575" s="374"/>
      <c r="C57575" s="374"/>
      <c r="CV57575" s="376"/>
    </row>
    <row r="57576" spans="1:100">
      <c r="A57576" s="374"/>
      <c r="C57576" s="374"/>
      <c r="CV57576" s="376"/>
    </row>
    <row r="57577" spans="1:100">
      <c r="A57577" s="374"/>
      <c r="C57577" s="374"/>
      <c r="CV57577" s="376"/>
    </row>
    <row r="57578" spans="1:100">
      <c r="A57578" s="374"/>
      <c r="C57578" s="374"/>
      <c r="CV57578" s="376"/>
    </row>
    <row r="57579" spans="1:100">
      <c r="A57579" s="374"/>
      <c r="C57579" s="374"/>
      <c r="CV57579" s="376"/>
    </row>
    <row r="57580" spans="1:100">
      <c r="A57580" s="374"/>
      <c r="C57580" s="374"/>
      <c r="CV57580" s="376"/>
    </row>
    <row r="57581" spans="1:100">
      <c r="A57581" s="374"/>
      <c r="C57581" s="374"/>
      <c r="CV57581" s="376"/>
    </row>
    <row r="57582" spans="1:100">
      <c r="A57582" s="374"/>
      <c r="C57582" s="374"/>
      <c r="CV57582" s="376"/>
    </row>
    <row r="57583" spans="1:100">
      <c r="A57583" s="374"/>
      <c r="C57583" s="374"/>
      <c r="CV57583" s="376"/>
    </row>
    <row r="57584" spans="1:100">
      <c r="A57584" s="374"/>
      <c r="C57584" s="374"/>
      <c r="CV57584" s="376"/>
    </row>
    <row r="57585" spans="1:100">
      <c r="A57585" s="374"/>
      <c r="C57585" s="374"/>
      <c r="CV57585" s="376"/>
    </row>
    <row r="57586" spans="1:100">
      <c r="A57586" s="374"/>
      <c r="C57586" s="374"/>
      <c r="CV57586" s="376"/>
    </row>
    <row r="57587" spans="1:100">
      <c r="A57587" s="374"/>
      <c r="C57587" s="374"/>
      <c r="CV57587" s="376"/>
    </row>
    <row r="57588" spans="1:100">
      <c r="A57588" s="374"/>
      <c r="C57588" s="374"/>
      <c r="CV57588" s="376"/>
    </row>
    <row r="57589" spans="1:100">
      <c r="A57589" s="374"/>
      <c r="C57589" s="374"/>
      <c r="CV57589" s="376"/>
    </row>
    <row r="57590" spans="1:100">
      <c r="A57590" s="374"/>
      <c r="C57590" s="374"/>
      <c r="CV57590" s="376"/>
    </row>
    <row r="57591" spans="1:100">
      <c r="A57591" s="374"/>
      <c r="C57591" s="374"/>
      <c r="CV57591" s="376"/>
    </row>
    <row r="57592" spans="1:100">
      <c r="A57592" s="374"/>
      <c r="C57592" s="374"/>
      <c r="CV57592" s="376"/>
    </row>
    <row r="57593" spans="1:100">
      <c r="A57593" s="374"/>
      <c r="C57593" s="374"/>
      <c r="CV57593" s="376"/>
    </row>
    <row r="57594" spans="1:100">
      <c r="A57594" s="374"/>
      <c r="C57594" s="374"/>
      <c r="CV57594" s="376"/>
    </row>
    <row r="57595" spans="1:100">
      <c r="A57595" s="374"/>
      <c r="C57595" s="374"/>
      <c r="CV57595" s="376"/>
    </row>
    <row r="57596" spans="1:100">
      <c r="A57596" s="374"/>
      <c r="C57596" s="374"/>
      <c r="CV57596" s="376"/>
    </row>
    <row r="57597" spans="1:100">
      <c r="A57597" s="374"/>
      <c r="C57597" s="374"/>
      <c r="CV57597" s="376"/>
    </row>
    <row r="57598" spans="1:100">
      <c r="A57598" s="374"/>
      <c r="C57598" s="374"/>
      <c r="CV57598" s="376"/>
    </row>
    <row r="57599" spans="1:100">
      <c r="A57599" s="374"/>
      <c r="C57599" s="374"/>
      <c r="CV57599" s="376"/>
    </row>
    <row r="57600" spans="1:100">
      <c r="A57600" s="374"/>
      <c r="C57600" s="374"/>
      <c r="CV57600" s="376"/>
    </row>
    <row r="57601" spans="1:100">
      <c r="A57601" s="374"/>
      <c r="C57601" s="374"/>
      <c r="CV57601" s="376"/>
    </row>
    <row r="57602" spans="1:100">
      <c r="A57602" s="374"/>
      <c r="C57602" s="374"/>
      <c r="CV57602" s="376"/>
    </row>
    <row r="57603" spans="1:100">
      <c r="A57603" s="374"/>
      <c r="C57603" s="374"/>
      <c r="CV57603" s="376"/>
    </row>
    <row r="57604" spans="1:100">
      <c r="A57604" s="374"/>
      <c r="C57604" s="374"/>
      <c r="CV57604" s="376"/>
    </row>
    <row r="57605" spans="1:100">
      <c r="A57605" s="374"/>
      <c r="C57605" s="374"/>
      <c r="CV57605" s="376"/>
    </row>
    <row r="57606" spans="1:100">
      <c r="A57606" s="374"/>
      <c r="C57606" s="374"/>
      <c r="CV57606" s="376"/>
    </row>
    <row r="57607" spans="1:100">
      <c r="A57607" s="374"/>
      <c r="C57607" s="374"/>
      <c r="CV57607" s="376"/>
    </row>
    <row r="57608" spans="1:100">
      <c r="A57608" s="374"/>
      <c r="C57608" s="374"/>
      <c r="CV57608" s="376"/>
    </row>
    <row r="57609" spans="1:100">
      <c r="A57609" s="374"/>
      <c r="C57609" s="374"/>
      <c r="CV57609" s="376"/>
    </row>
    <row r="57610" spans="1:100">
      <c r="A57610" s="374"/>
      <c r="C57610" s="374"/>
      <c r="CV57610" s="376"/>
    </row>
    <row r="57611" spans="1:100">
      <c r="A57611" s="374"/>
      <c r="C57611" s="374"/>
      <c r="CV57611" s="376"/>
    </row>
    <row r="57612" spans="1:100">
      <c r="A57612" s="374"/>
      <c r="C57612" s="374"/>
      <c r="CV57612" s="376"/>
    </row>
    <row r="57613" spans="1:100">
      <c r="A57613" s="374"/>
      <c r="C57613" s="374"/>
      <c r="CV57613" s="376"/>
    </row>
    <row r="57614" spans="1:100">
      <c r="A57614" s="374"/>
      <c r="C57614" s="374"/>
      <c r="CV57614" s="376"/>
    </row>
    <row r="57615" spans="1:100">
      <c r="A57615" s="374"/>
      <c r="C57615" s="374"/>
      <c r="CV57615" s="376"/>
    </row>
    <row r="57616" spans="1:100">
      <c r="A57616" s="374"/>
      <c r="C57616" s="374"/>
      <c r="CV57616" s="376"/>
    </row>
    <row r="57617" spans="1:100">
      <c r="A57617" s="374"/>
      <c r="C57617" s="374"/>
      <c r="CV57617" s="376"/>
    </row>
    <row r="57618" spans="1:100">
      <c r="A57618" s="374"/>
      <c r="C57618" s="374"/>
      <c r="CV57618" s="376"/>
    </row>
    <row r="57619" spans="1:100">
      <c r="A57619" s="374"/>
      <c r="C57619" s="374"/>
      <c r="CV57619" s="376"/>
    </row>
    <row r="57620" spans="1:100">
      <c r="A57620" s="374"/>
      <c r="C57620" s="374"/>
      <c r="CV57620" s="376"/>
    </row>
    <row r="57621" spans="1:100">
      <c r="A57621" s="374"/>
      <c r="C57621" s="374"/>
      <c r="CV57621" s="376"/>
    </row>
    <row r="57622" spans="1:100">
      <c r="A57622" s="374"/>
      <c r="C57622" s="374"/>
      <c r="CV57622" s="376"/>
    </row>
    <row r="57623" spans="1:100">
      <c r="A57623" s="374"/>
      <c r="C57623" s="374"/>
      <c r="CV57623" s="376"/>
    </row>
    <row r="57624" spans="1:100">
      <c r="A57624" s="374"/>
      <c r="C57624" s="374"/>
      <c r="CV57624" s="376"/>
    </row>
    <row r="57625" spans="1:100">
      <c r="A57625" s="374"/>
      <c r="C57625" s="374"/>
      <c r="CV57625" s="376"/>
    </row>
    <row r="57626" spans="1:100">
      <c r="A57626" s="374"/>
      <c r="C57626" s="374"/>
      <c r="CV57626" s="376"/>
    </row>
    <row r="57627" spans="1:100">
      <c r="A57627" s="374"/>
      <c r="C57627" s="374"/>
      <c r="CV57627" s="376"/>
    </row>
    <row r="57628" spans="1:100">
      <c r="A57628" s="374"/>
      <c r="C57628" s="374"/>
      <c r="CV57628" s="376"/>
    </row>
    <row r="57629" spans="1:100">
      <c r="A57629" s="374"/>
      <c r="C57629" s="374"/>
      <c r="CV57629" s="376"/>
    </row>
    <row r="57630" spans="1:100">
      <c r="A57630" s="374"/>
      <c r="C57630" s="374"/>
      <c r="CV57630" s="376"/>
    </row>
    <row r="57631" spans="1:100">
      <c r="A57631" s="374"/>
      <c r="C57631" s="374"/>
      <c r="CV57631" s="376"/>
    </row>
    <row r="57632" spans="1:100">
      <c r="A57632" s="374"/>
      <c r="C57632" s="374"/>
      <c r="CV57632" s="376"/>
    </row>
    <row r="57633" spans="1:100">
      <c r="A57633" s="374"/>
      <c r="C57633" s="374"/>
      <c r="CV57633" s="376"/>
    </row>
    <row r="57634" spans="1:100">
      <c r="A57634" s="374"/>
      <c r="C57634" s="374"/>
      <c r="CV57634" s="376"/>
    </row>
    <row r="57635" spans="1:100">
      <c r="A57635" s="374"/>
      <c r="C57635" s="374"/>
      <c r="CV57635" s="376"/>
    </row>
    <row r="57636" spans="1:100">
      <c r="A57636" s="374"/>
      <c r="C57636" s="374"/>
      <c r="CV57636" s="376"/>
    </row>
    <row r="57637" spans="1:100">
      <c r="A57637" s="374"/>
      <c r="C57637" s="374"/>
      <c r="CV57637" s="376"/>
    </row>
    <row r="57638" spans="1:100">
      <c r="A57638" s="374"/>
      <c r="C57638" s="374"/>
      <c r="CV57638" s="376"/>
    </row>
    <row r="57639" spans="1:100">
      <c r="A57639" s="374"/>
      <c r="C57639" s="374"/>
      <c r="CV57639" s="376"/>
    </row>
    <row r="57640" spans="1:100">
      <c r="A57640" s="374"/>
      <c r="C57640" s="374"/>
      <c r="CV57640" s="376"/>
    </row>
    <row r="57641" spans="1:100">
      <c r="A57641" s="374"/>
      <c r="C57641" s="374"/>
      <c r="CV57641" s="376"/>
    </row>
    <row r="57642" spans="1:100">
      <c r="A57642" s="374"/>
      <c r="C57642" s="374"/>
      <c r="CV57642" s="376"/>
    </row>
    <row r="57643" spans="1:100">
      <c r="A57643" s="374"/>
      <c r="C57643" s="374"/>
      <c r="CV57643" s="376"/>
    </row>
    <row r="57644" spans="1:100">
      <c r="A57644" s="374"/>
      <c r="C57644" s="374"/>
      <c r="CV57644" s="376"/>
    </row>
    <row r="57645" spans="1:100">
      <c r="A57645" s="374"/>
      <c r="C57645" s="374"/>
      <c r="CV57645" s="376"/>
    </row>
    <row r="57646" spans="1:100">
      <c r="A57646" s="374"/>
      <c r="C57646" s="374"/>
      <c r="CV57646" s="376"/>
    </row>
    <row r="57647" spans="1:100">
      <c r="A57647" s="374"/>
      <c r="C57647" s="374"/>
      <c r="CV57647" s="376"/>
    </row>
    <row r="57648" spans="1:100">
      <c r="A57648" s="374"/>
      <c r="C57648" s="374"/>
      <c r="CV57648" s="376"/>
    </row>
    <row r="57649" spans="1:100">
      <c r="A57649" s="374"/>
      <c r="C57649" s="374"/>
      <c r="CV57649" s="376"/>
    </row>
    <row r="57650" spans="1:100">
      <c r="A57650" s="374"/>
      <c r="C57650" s="374"/>
      <c r="CV57650" s="376"/>
    </row>
    <row r="57651" spans="1:100">
      <c r="A57651" s="374"/>
      <c r="C57651" s="374"/>
      <c r="CV57651" s="376"/>
    </row>
    <row r="57652" spans="1:100">
      <c r="A57652" s="374"/>
      <c r="C57652" s="374"/>
      <c r="CV57652" s="376"/>
    </row>
    <row r="57653" spans="1:100">
      <c r="A57653" s="374"/>
      <c r="C57653" s="374"/>
      <c r="CV57653" s="376"/>
    </row>
    <row r="57654" spans="1:100">
      <c r="A57654" s="374"/>
      <c r="C57654" s="374"/>
      <c r="CV57654" s="376"/>
    </row>
    <row r="57655" spans="1:100">
      <c r="A57655" s="374"/>
      <c r="C57655" s="374"/>
      <c r="CV57655" s="376"/>
    </row>
    <row r="57656" spans="1:100">
      <c r="A57656" s="374"/>
      <c r="C57656" s="374"/>
      <c r="CV57656" s="376"/>
    </row>
    <row r="57657" spans="1:100">
      <c r="A57657" s="374"/>
      <c r="C57657" s="374"/>
      <c r="CV57657" s="376"/>
    </row>
    <row r="57658" spans="1:100">
      <c r="A57658" s="374"/>
      <c r="C57658" s="374"/>
      <c r="CV57658" s="376"/>
    </row>
    <row r="57659" spans="1:100">
      <c r="A57659" s="374"/>
      <c r="C57659" s="374"/>
      <c r="CV57659" s="376"/>
    </row>
    <row r="57660" spans="1:100">
      <c r="A57660" s="374"/>
      <c r="C57660" s="374"/>
      <c r="CV57660" s="376"/>
    </row>
    <row r="57661" spans="1:100">
      <c r="A57661" s="374"/>
      <c r="C57661" s="374"/>
      <c r="CV57661" s="376"/>
    </row>
    <row r="57662" spans="1:100">
      <c r="A57662" s="374"/>
      <c r="C57662" s="374"/>
      <c r="CV57662" s="376"/>
    </row>
    <row r="57663" spans="1:100">
      <c r="A57663" s="374"/>
      <c r="C57663" s="374"/>
      <c r="CV57663" s="376"/>
    </row>
    <row r="57664" spans="1:100">
      <c r="A57664" s="374"/>
      <c r="C57664" s="374"/>
      <c r="CV57664" s="376"/>
    </row>
    <row r="57665" spans="1:100">
      <c r="A57665" s="374"/>
      <c r="C57665" s="374"/>
      <c r="CV57665" s="376"/>
    </row>
    <row r="57666" spans="1:100">
      <c r="A57666" s="374"/>
      <c r="C57666" s="374"/>
      <c r="CV57666" s="376"/>
    </row>
    <row r="57667" spans="1:100">
      <c r="A57667" s="374"/>
      <c r="C57667" s="374"/>
      <c r="CV57667" s="376"/>
    </row>
    <row r="57668" spans="1:100">
      <c r="A57668" s="374"/>
      <c r="C57668" s="374"/>
      <c r="CV57668" s="376"/>
    </row>
    <row r="57669" spans="1:100">
      <c r="A57669" s="374"/>
      <c r="C57669" s="374"/>
      <c r="CV57669" s="376"/>
    </row>
    <row r="57670" spans="1:100">
      <c r="A57670" s="374"/>
      <c r="C57670" s="374"/>
      <c r="CV57670" s="376"/>
    </row>
    <row r="57671" spans="1:100">
      <c r="A57671" s="374"/>
      <c r="C57671" s="374"/>
      <c r="CV57671" s="376"/>
    </row>
    <row r="57672" spans="1:100">
      <c r="A57672" s="374"/>
      <c r="C57672" s="374"/>
      <c r="CV57672" s="376"/>
    </row>
    <row r="57673" spans="1:100">
      <c r="A57673" s="374"/>
      <c r="C57673" s="374"/>
      <c r="CV57673" s="376"/>
    </row>
    <row r="57674" spans="1:100">
      <c r="A57674" s="374"/>
      <c r="C57674" s="374"/>
      <c r="CV57674" s="376"/>
    </row>
    <row r="57675" spans="1:100">
      <c r="A57675" s="374"/>
      <c r="C57675" s="374"/>
      <c r="CV57675" s="376"/>
    </row>
    <row r="57676" spans="1:100">
      <c r="A57676" s="374"/>
      <c r="C57676" s="374"/>
      <c r="CV57676" s="376"/>
    </row>
    <row r="57677" spans="1:100">
      <c r="A57677" s="374"/>
      <c r="C57677" s="374"/>
      <c r="CV57677" s="376"/>
    </row>
    <row r="57678" spans="1:100">
      <c r="A57678" s="374"/>
      <c r="C57678" s="374"/>
      <c r="CV57678" s="376"/>
    </row>
    <row r="57679" spans="1:100">
      <c r="A57679" s="374"/>
      <c r="C57679" s="374"/>
      <c r="CV57679" s="376"/>
    </row>
    <row r="57680" spans="1:100">
      <c r="A57680" s="374"/>
      <c r="C57680" s="374"/>
      <c r="CV57680" s="376"/>
    </row>
    <row r="57681" spans="1:100">
      <c r="A57681" s="374"/>
      <c r="C57681" s="374"/>
      <c r="CV57681" s="376"/>
    </row>
    <row r="57682" spans="1:100">
      <c r="A57682" s="374"/>
      <c r="C57682" s="374"/>
      <c r="CV57682" s="376"/>
    </row>
    <row r="57683" spans="1:100">
      <c r="A57683" s="374"/>
      <c r="C57683" s="374"/>
      <c r="CV57683" s="376"/>
    </row>
    <row r="57684" spans="1:100">
      <c r="A57684" s="374"/>
      <c r="C57684" s="374"/>
      <c r="CV57684" s="376"/>
    </row>
    <row r="57685" spans="1:100">
      <c r="A57685" s="374"/>
      <c r="C57685" s="374"/>
      <c r="CV57685" s="376"/>
    </row>
    <row r="57686" spans="1:100">
      <c r="A57686" s="374"/>
      <c r="C57686" s="374"/>
      <c r="CV57686" s="376"/>
    </row>
    <row r="57687" spans="1:100">
      <c r="A57687" s="374"/>
      <c r="C57687" s="374"/>
      <c r="CV57687" s="376"/>
    </row>
    <row r="57688" spans="1:100">
      <c r="A57688" s="374"/>
      <c r="C57688" s="374"/>
      <c r="CV57688" s="376"/>
    </row>
    <row r="57689" spans="1:100">
      <c r="A57689" s="374"/>
      <c r="C57689" s="374"/>
      <c r="CV57689" s="376"/>
    </row>
    <row r="57690" spans="1:100">
      <c r="A57690" s="374"/>
      <c r="C57690" s="374"/>
      <c r="CV57690" s="376"/>
    </row>
    <row r="57691" spans="1:100">
      <c r="A57691" s="374"/>
      <c r="C57691" s="374"/>
      <c r="CV57691" s="376"/>
    </row>
    <row r="57692" spans="1:100">
      <c r="A57692" s="374"/>
      <c r="C57692" s="374"/>
      <c r="CV57692" s="376"/>
    </row>
    <row r="57693" spans="1:100">
      <c r="A57693" s="374"/>
      <c r="C57693" s="374"/>
      <c r="CV57693" s="376"/>
    </row>
    <row r="57694" spans="1:100">
      <c r="A57694" s="374"/>
      <c r="C57694" s="374"/>
      <c r="CV57694" s="376"/>
    </row>
    <row r="57695" spans="1:100">
      <c r="A57695" s="374"/>
      <c r="C57695" s="374"/>
      <c r="CV57695" s="376"/>
    </row>
    <row r="57696" spans="1:100">
      <c r="A57696" s="374"/>
      <c r="C57696" s="374"/>
      <c r="CV57696" s="376"/>
    </row>
    <row r="57697" spans="1:100">
      <c r="A57697" s="374"/>
      <c r="C57697" s="374"/>
      <c r="CV57697" s="376"/>
    </row>
    <row r="57698" spans="1:100">
      <c r="A57698" s="374"/>
      <c r="C57698" s="374"/>
      <c r="CV57698" s="376"/>
    </row>
    <row r="57699" spans="1:100">
      <c r="A57699" s="374"/>
      <c r="C57699" s="374"/>
      <c r="CV57699" s="376"/>
    </row>
    <row r="57700" spans="1:100">
      <c r="A57700" s="374"/>
      <c r="C57700" s="374"/>
      <c r="CV57700" s="376"/>
    </row>
    <row r="57701" spans="1:100">
      <c r="A57701" s="374"/>
      <c r="C57701" s="374"/>
      <c r="CV57701" s="376"/>
    </row>
    <row r="57702" spans="1:100">
      <c r="A57702" s="374"/>
      <c r="C57702" s="374"/>
      <c r="CV57702" s="376"/>
    </row>
    <row r="57703" spans="1:100">
      <c r="A57703" s="374"/>
      <c r="C57703" s="374"/>
      <c r="CV57703" s="376"/>
    </row>
    <row r="57704" spans="1:100">
      <c r="A57704" s="374"/>
      <c r="C57704" s="374"/>
      <c r="CV57704" s="376"/>
    </row>
    <row r="57705" spans="1:100">
      <c r="A57705" s="374"/>
      <c r="C57705" s="374"/>
      <c r="CV57705" s="376"/>
    </row>
    <row r="57706" spans="1:100">
      <c r="A57706" s="374"/>
      <c r="C57706" s="374"/>
      <c r="CV57706" s="376"/>
    </row>
    <row r="57707" spans="1:100">
      <c r="A57707" s="374"/>
      <c r="C57707" s="374"/>
      <c r="CV57707" s="376"/>
    </row>
    <row r="57708" spans="1:100">
      <c r="A57708" s="374"/>
      <c r="C57708" s="374"/>
      <c r="CV57708" s="376"/>
    </row>
    <row r="57709" spans="1:100">
      <c r="A57709" s="374"/>
      <c r="C57709" s="374"/>
      <c r="CV57709" s="376"/>
    </row>
    <row r="57710" spans="1:100">
      <c r="A57710" s="374"/>
      <c r="C57710" s="374"/>
      <c r="CV57710" s="376"/>
    </row>
    <row r="57711" spans="1:100">
      <c r="A57711" s="374"/>
      <c r="C57711" s="374"/>
      <c r="CV57711" s="376"/>
    </row>
    <row r="57712" spans="1:100">
      <c r="A57712" s="374"/>
      <c r="C57712" s="374"/>
      <c r="CV57712" s="376"/>
    </row>
    <row r="57713" spans="1:100">
      <c r="A57713" s="374"/>
      <c r="C57713" s="374"/>
      <c r="CV57713" s="376"/>
    </row>
    <row r="57714" spans="1:100">
      <c r="A57714" s="374"/>
      <c r="C57714" s="374"/>
      <c r="CV57714" s="376"/>
    </row>
    <row r="57715" spans="1:100">
      <c r="A57715" s="374"/>
      <c r="C57715" s="374"/>
      <c r="CV57715" s="376"/>
    </row>
    <row r="57716" spans="1:100">
      <c r="A57716" s="374"/>
      <c r="C57716" s="374"/>
      <c r="CV57716" s="376"/>
    </row>
    <row r="57717" spans="1:100">
      <c r="A57717" s="374"/>
      <c r="C57717" s="374"/>
      <c r="CV57717" s="376"/>
    </row>
    <row r="57718" spans="1:100">
      <c r="A57718" s="374"/>
      <c r="C57718" s="374"/>
      <c r="CV57718" s="376"/>
    </row>
    <row r="57719" spans="1:100">
      <c r="A57719" s="374"/>
      <c r="C57719" s="374"/>
      <c r="CV57719" s="376"/>
    </row>
    <row r="57720" spans="1:100">
      <c r="A57720" s="374"/>
      <c r="C57720" s="374"/>
      <c r="CV57720" s="376"/>
    </row>
    <row r="57721" spans="1:100">
      <c r="A57721" s="374"/>
      <c r="C57721" s="374"/>
      <c r="CV57721" s="376"/>
    </row>
    <row r="57722" spans="1:100">
      <c r="A57722" s="374"/>
      <c r="C57722" s="374"/>
      <c r="CV57722" s="376"/>
    </row>
    <row r="57723" spans="1:100">
      <c r="A57723" s="374"/>
      <c r="C57723" s="374"/>
      <c r="CV57723" s="376"/>
    </row>
    <row r="57724" spans="1:100">
      <c r="A57724" s="374"/>
      <c r="C57724" s="374"/>
      <c r="CV57724" s="376"/>
    </row>
    <row r="57725" spans="1:100">
      <c r="A57725" s="374"/>
      <c r="C57725" s="374"/>
      <c r="CV57725" s="376"/>
    </row>
    <row r="57726" spans="1:100">
      <c r="A57726" s="374"/>
      <c r="C57726" s="374"/>
      <c r="CV57726" s="376"/>
    </row>
    <row r="57727" spans="1:100">
      <c r="A57727" s="374"/>
      <c r="C57727" s="374"/>
      <c r="CV57727" s="376"/>
    </row>
    <row r="57728" spans="1:100">
      <c r="A57728" s="374"/>
      <c r="C57728" s="374"/>
      <c r="CV57728" s="376"/>
    </row>
    <row r="57729" spans="1:100">
      <c r="A57729" s="374"/>
      <c r="C57729" s="374"/>
      <c r="CV57729" s="376"/>
    </row>
    <row r="57730" spans="1:100">
      <c r="A57730" s="374"/>
      <c r="C57730" s="374"/>
      <c r="CV57730" s="376"/>
    </row>
    <row r="57731" spans="1:100">
      <c r="A57731" s="374"/>
      <c r="C57731" s="374"/>
      <c r="CV57731" s="376"/>
    </row>
    <row r="57732" spans="1:100">
      <c r="A57732" s="374"/>
      <c r="C57732" s="374"/>
      <c r="CV57732" s="376"/>
    </row>
    <row r="57733" spans="1:100">
      <c r="A57733" s="374"/>
      <c r="C57733" s="374"/>
      <c r="CV57733" s="376"/>
    </row>
    <row r="57734" spans="1:100">
      <c r="A57734" s="374"/>
      <c r="C57734" s="374"/>
      <c r="CV57734" s="376"/>
    </row>
    <row r="57735" spans="1:100">
      <c r="A57735" s="374"/>
      <c r="C57735" s="374"/>
      <c r="CV57735" s="376"/>
    </row>
    <row r="57736" spans="1:100">
      <c r="A57736" s="374"/>
      <c r="C57736" s="374"/>
      <c r="CV57736" s="376"/>
    </row>
    <row r="57737" spans="1:100">
      <c r="A57737" s="374"/>
      <c r="C57737" s="374"/>
      <c r="CV57737" s="376"/>
    </row>
    <row r="57738" spans="1:100">
      <c r="A57738" s="374"/>
      <c r="C57738" s="374"/>
      <c r="CV57738" s="376"/>
    </row>
    <row r="57739" spans="1:100">
      <c r="A57739" s="374"/>
      <c r="C57739" s="374"/>
      <c r="CV57739" s="376"/>
    </row>
    <row r="57740" spans="1:100">
      <c r="A57740" s="374"/>
      <c r="C57740" s="374"/>
      <c r="CV57740" s="376"/>
    </row>
    <row r="57741" spans="1:100">
      <c r="A57741" s="374"/>
      <c r="C57741" s="374"/>
      <c r="CV57741" s="376"/>
    </row>
    <row r="57742" spans="1:100">
      <c r="A57742" s="374"/>
      <c r="C57742" s="374"/>
      <c r="CV57742" s="376"/>
    </row>
    <row r="57743" spans="1:100">
      <c r="A57743" s="374"/>
      <c r="C57743" s="374"/>
      <c r="CV57743" s="376"/>
    </row>
    <row r="57744" spans="1:100">
      <c r="A57744" s="374"/>
      <c r="C57744" s="374"/>
      <c r="CV57744" s="376"/>
    </row>
    <row r="57745" spans="1:100">
      <c r="A57745" s="374"/>
      <c r="C57745" s="374"/>
      <c r="CV57745" s="376"/>
    </row>
    <row r="57746" spans="1:100">
      <c r="A57746" s="374"/>
      <c r="C57746" s="374"/>
      <c r="CV57746" s="376"/>
    </row>
    <row r="57747" spans="1:100">
      <c r="A57747" s="374"/>
      <c r="C57747" s="374"/>
      <c r="CV57747" s="376"/>
    </row>
    <row r="57748" spans="1:100">
      <c r="A57748" s="374"/>
      <c r="C57748" s="374"/>
      <c r="CV57748" s="376"/>
    </row>
    <row r="57749" spans="1:100">
      <c r="A57749" s="374"/>
      <c r="C57749" s="374"/>
      <c r="CV57749" s="376"/>
    </row>
    <row r="57750" spans="1:100">
      <c r="A57750" s="374"/>
      <c r="C57750" s="374"/>
      <c r="CV57750" s="376"/>
    </row>
    <row r="57751" spans="1:100">
      <c r="A57751" s="374"/>
      <c r="C57751" s="374"/>
      <c r="CV57751" s="376"/>
    </row>
    <row r="57752" spans="1:100">
      <c r="A57752" s="374"/>
      <c r="C57752" s="374"/>
      <c r="CV57752" s="376"/>
    </row>
    <row r="57753" spans="1:100">
      <c r="A57753" s="374"/>
      <c r="C57753" s="374"/>
      <c r="CV57753" s="376"/>
    </row>
    <row r="57754" spans="1:100">
      <c r="A57754" s="374"/>
      <c r="C57754" s="374"/>
      <c r="CV57754" s="376"/>
    </row>
    <row r="57755" spans="1:100">
      <c r="A57755" s="374"/>
      <c r="C57755" s="374"/>
      <c r="CV57755" s="376"/>
    </row>
    <row r="57756" spans="1:100">
      <c r="A57756" s="374"/>
      <c r="C57756" s="374"/>
      <c r="CV57756" s="376"/>
    </row>
    <row r="57757" spans="1:100">
      <c r="A57757" s="374"/>
      <c r="C57757" s="374"/>
      <c r="CV57757" s="376"/>
    </row>
    <row r="57758" spans="1:100">
      <c r="A57758" s="374"/>
      <c r="C57758" s="374"/>
      <c r="CV57758" s="376"/>
    </row>
    <row r="57759" spans="1:100">
      <c r="A57759" s="374"/>
      <c r="C57759" s="374"/>
      <c r="CV57759" s="376"/>
    </row>
    <row r="57760" spans="1:100">
      <c r="A57760" s="374"/>
      <c r="C57760" s="374"/>
      <c r="CV57760" s="376"/>
    </row>
    <row r="57761" spans="1:100">
      <c r="A57761" s="374"/>
      <c r="C57761" s="374"/>
      <c r="CV57761" s="376"/>
    </row>
    <row r="57762" spans="1:100">
      <c r="A57762" s="374"/>
      <c r="C57762" s="374"/>
      <c r="CV57762" s="376"/>
    </row>
    <row r="57763" spans="1:100">
      <c r="A57763" s="374"/>
      <c r="C57763" s="374"/>
      <c r="CV57763" s="376"/>
    </row>
    <row r="57764" spans="1:100">
      <c r="A57764" s="374"/>
      <c r="C57764" s="374"/>
      <c r="CV57764" s="376"/>
    </row>
    <row r="57765" spans="1:100">
      <c r="A57765" s="374"/>
      <c r="C57765" s="374"/>
      <c r="CV57765" s="376"/>
    </row>
    <row r="57766" spans="1:100">
      <c r="A57766" s="374"/>
      <c r="C57766" s="374"/>
      <c r="CV57766" s="376"/>
    </row>
    <row r="57767" spans="1:100">
      <c r="A57767" s="374"/>
      <c r="C57767" s="374"/>
      <c r="CV57767" s="376"/>
    </row>
    <row r="57768" spans="1:100">
      <c r="A57768" s="374"/>
      <c r="C57768" s="374"/>
      <c r="CV57768" s="376"/>
    </row>
    <row r="57769" spans="1:100">
      <c r="A57769" s="374"/>
      <c r="C57769" s="374"/>
      <c r="CV57769" s="376"/>
    </row>
    <row r="57770" spans="1:100">
      <c r="A57770" s="374"/>
      <c r="C57770" s="374"/>
      <c r="CV57770" s="376"/>
    </row>
    <row r="57771" spans="1:100">
      <c r="A57771" s="374"/>
      <c r="C57771" s="374"/>
      <c r="CV57771" s="376"/>
    </row>
    <row r="57772" spans="1:100">
      <c r="A57772" s="374"/>
      <c r="C57772" s="374"/>
      <c r="CV57772" s="376"/>
    </row>
    <row r="57773" spans="1:100">
      <c r="A57773" s="374"/>
      <c r="C57773" s="374"/>
      <c r="CV57773" s="376"/>
    </row>
    <row r="57774" spans="1:100">
      <c r="A57774" s="374"/>
      <c r="C57774" s="374"/>
      <c r="CV57774" s="376"/>
    </row>
    <row r="57775" spans="1:100">
      <c r="A57775" s="374"/>
      <c r="C57775" s="374"/>
      <c r="CV57775" s="376"/>
    </row>
    <row r="57776" spans="1:100">
      <c r="A57776" s="374"/>
      <c r="C57776" s="374"/>
      <c r="CV57776" s="376"/>
    </row>
    <row r="57777" spans="1:100">
      <c r="A57777" s="374"/>
      <c r="C57777" s="374"/>
      <c r="CV57777" s="376"/>
    </row>
    <row r="57778" spans="1:100">
      <c r="A57778" s="374"/>
      <c r="C57778" s="374"/>
      <c r="CV57778" s="376"/>
    </row>
    <row r="57779" spans="1:100">
      <c r="A57779" s="374"/>
      <c r="C57779" s="374"/>
      <c r="CV57779" s="376"/>
    </row>
    <row r="57780" spans="1:100">
      <c r="A57780" s="374"/>
      <c r="C57780" s="374"/>
      <c r="CV57780" s="376"/>
    </row>
    <row r="57781" spans="1:100">
      <c r="A57781" s="374"/>
      <c r="C57781" s="374"/>
      <c r="CV57781" s="376"/>
    </row>
    <row r="57782" spans="1:100">
      <c r="A57782" s="374"/>
      <c r="C57782" s="374"/>
      <c r="CV57782" s="376"/>
    </row>
    <row r="57783" spans="1:100">
      <c r="A57783" s="374"/>
      <c r="C57783" s="374"/>
      <c r="CV57783" s="376"/>
    </row>
    <row r="57784" spans="1:100">
      <c r="A57784" s="374"/>
      <c r="C57784" s="374"/>
      <c r="CV57784" s="376"/>
    </row>
    <row r="57785" spans="1:100">
      <c r="A57785" s="374"/>
      <c r="C57785" s="374"/>
      <c r="CV57785" s="376"/>
    </row>
    <row r="57786" spans="1:100">
      <c r="A57786" s="374"/>
      <c r="C57786" s="374"/>
      <c r="CV57786" s="376"/>
    </row>
    <row r="57787" spans="1:100">
      <c r="A57787" s="374"/>
      <c r="C57787" s="374"/>
      <c r="CV57787" s="376"/>
    </row>
    <row r="57788" spans="1:100">
      <c r="A57788" s="374"/>
      <c r="C57788" s="374"/>
      <c r="CV57788" s="376"/>
    </row>
    <row r="57789" spans="1:100">
      <c r="A57789" s="374"/>
      <c r="C57789" s="374"/>
      <c r="CV57789" s="376"/>
    </row>
    <row r="57790" spans="1:100">
      <c r="A57790" s="374"/>
      <c r="C57790" s="374"/>
      <c r="CV57790" s="376"/>
    </row>
    <row r="57791" spans="1:100">
      <c r="A57791" s="374"/>
      <c r="C57791" s="374"/>
      <c r="CV57791" s="376"/>
    </row>
    <row r="57792" spans="1:100">
      <c r="A57792" s="374"/>
      <c r="C57792" s="374"/>
      <c r="CV57792" s="376"/>
    </row>
    <row r="57793" spans="1:100">
      <c r="A57793" s="374"/>
      <c r="C57793" s="374"/>
      <c r="CV57793" s="376"/>
    </row>
    <row r="57794" spans="1:100">
      <c r="A57794" s="374"/>
      <c r="C57794" s="374"/>
      <c r="CV57794" s="376"/>
    </row>
    <row r="57795" spans="1:100">
      <c r="A57795" s="374"/>
      <c r="C57795" s="374"/>
      <c r="CV57795" s="376"/>
    </row>
    <row r="57796" spans="1:100">
      <c r="A57796" s="374"/>
      <c r="C57796" s="374"/>
      <c r="CV57796" s="376"/>
    </row>
    <row r="57797" spans="1:100">
      <c r="A57797" s="374"/>
      <c r="C57797" s="374"/>
      <c r="CV57797" s="376"/>
    </row>
    <row r="57798" spans="1:100">
      <c r="A57798" s="374"/>
      <c r="C57798" s="374"/>
      <c r="CV57798" s="376"/>
    </row>
    <row r="57799" spans="1:100">
      <c r="A57799" s="374"/>
      <c r="C57799" s="374"/>
      <c r="CV57799" s="376"/>
    </row>
    <row r="57800" spans="1:100">
      <c r="A57800" s="374"/>
      <c r="C57800" s="374"/>
      <c r="CV57800" s="376"/>
    </row>
    <row r="57801" spans="1:100">
      <c r="A57801" s="374"/>
      <c r="C57801" s="374"/>
      <c r="CV57801" s="376"/>
    </row>
    <row r="57802" spans="1:100">
      <c r="A57802" s="374"/>
      <c r="C57802" s="374"/>
      <c r="CV57802" s="376"/>
    </row>
    <row r="57803" spans="1:100">
      <c r="A57803" s="374"/>
      <c r="C57803" s="374"/>
      <c r="CV57803" s="376"/>
    </row>
    <row r="57804" spans="1:100">
      <c r="A57804" s="374"/>
      <c r="C57804" s="374"/>
      <c r="CV57804" s="376"/>
    </row>
    <row r="57805" spans="1:100">
      <c r="A57805" s="374"/>
      <c r="C57805" s="374"/>
      <c r="CV57805" s="376"/>
    </row>
    <row r="57806" spans="1:100">
      <c r="A57806" s="374"/>
      <c r="C57806" s="374"/>
      <c r="CV57806" s="376"/>
    </row>
    <row r="57807" spans="1:100">
      <c r="A57807" s="374"/>
      <c r="C57807" s="374"/>
      <c r="CV57807" s="376"/>
    </row>
    <row r="57808" spans="1:100">
      <c r="A57808" s="374"/>
      <c r="C57808" s="374"/>
      <c r="CV57808" s="376"/>
    </row>
    <row r="57809" spans="1:100">
      <c r="A57809" s="374"/>
      <c r="C57809" s="374"/>
      <c r="CV57809" s="376"/>
    </row>
    <row r="57810" spans="1:100">
      <c r="A57810" s="374"/>
      <c r="C57810" s="374"/>
      <c r="CV57810" s="376"/>
    </row>
    <row r="57811" spans="1:100">
      <c r="A57811" s="374"/>
      <c r="C57811" s="374"/>
      <c r="CV57811" s="376"/>
    </row>
    <row r="57812" spans="1:100">
      <c r="A57812" s="374"/>
      <c r="C57812" s="374"/>
      <c r="CV57812" s="376"/>
    </row>
    <row r="57813" spans="1:100">
      <c r="A57813" s="374"/>
      <c r="C57813" s="374"/>
      <c r="CV57813" s="376"/>
    </row>
    <row r="57814" spans="1:100">
      <c r="A57814" s="374"/>
      <c r="C57814" s="374"/>
      <c r="CV57814" s="376"/>
    </row>
    <row r="57815" spans="1:100">
      <c r="A57815" s="374"/>
      <c r="C57815" s="374"/>
      <c r="CV57815" s="376"/>
    </row>
    <row r="57816" spans="1:100">
      <c r="A57816" s="374"/>
      <c r="C57816" s="374"/>
      <c r="CV57816" s="376"/>
    </row>
    <row r="57817" spans="1:100">
      <c r="A57817" s="374"/>
      <c r="C57817" s="374"/>
      <c r="CV57817" s="376"/>
    </row>
    <row r="57818" spans="1:100">
      <c r="A57818" s="374"/>
      <c r="C57818" s="374"/>
      <c r="CV57818" s="376"/>
    </row>
    <row r="57819" spans="1:100">
      <c r="A57819" s="374"/>
      <c r="C57819" s="374"/>
      <c r="CV57819" s="376"/>
    </row>
    <row r="57820" spans="1:100">
      <c r="A57820" s="374"/>
      <c r="C57820" s="374"/>
      <c r="CV57820" s="376"/>
    </row>
    <row r="57821" spans="1:100">
      <c r="A57821" s="374"/>
      <c r="C57821" s="374"/>
      <c r="CV57821" s="376"/>
    </row>
    <row r="57822" spans="1:100">
      <c r="A57822" s="374"/>
      <c r="C57822" s="374"/>
      <c r="CV57822" s="376"/>
    </row>
    <row r="57823" spans="1:100">
      <c r="A57823" s="374"/>
      <c r="C57823" s="374"/>
      <c r="CV57823" s="376"/>
    </row>
    <row r="57824" spans="1:100">
      <c r="A57824" s="374"/>
      <c r="C57824" s="374"/>
      <c r="CV57824" s="376"/>
    </row>
    <row r="57825" spans="1:100">
      <c r="A57825" s="374"/>
      <c r="C57825" s="374"/>
      <c r="CV57825" s="376"/>
    </row>
    <row r="57826" spans="1:100">
      <c r="A57826" s="374"/>
      <c r="C57826" s="374"/>
      <c r="CV57826" s="376"/>
    </row>
    <row r="57827" spans="1:100">
      <c r="A57827" s="374"/>
      <c r="C57827" s="374"/>
      <c r="CV57827" s="376"/>
    </row>
    <row r="57828" spans="1:100">
      <c r="A57828" s="374"/>
      <c r="C57828" s="374"/>
      <c r="CV57828" s="376"/>
    </row>
    <row r="57829" spans="1:100">
      <c r="A57829" s="374"/>
      <c r="C57829" s="374"/>
      <c r="CV57829" s="376"/>
    </row>
    <row r="57830" spans="1:100">
      <c r="A57830" s="374"/>
      <c r="C57830" s="374"/>
      <c r="CV57830" s="376"/>
    </row>
    <row r="57831" spans="1:100">
      <c r="A57831" s="374"/>
      <c r="C57831" s="374"/>
      <c r="CV57831" s="376"/>
    </row>
    <row r="57832" spans="1:100">
      <c r="A57832" s="374"/>
      <c r="C57832" s="374"/>
      <c r="CV57832" s="376"/>
    </row>
    <row r="57833" spans="1:100">
      <c r="A57833" s="374"/>
      <c r="C57833" s="374"/>
      <c r="CV57833" s="376"/>
    </row>
    <row r="57834" spans="1:100">
      <c r="A57834" s="374"/>
      <c r="C57834" s="374"/>
      <c r="CV57834" s="376"/>
    </row>
    <row r="57835" spans="1:100">
      <c r="A57835" s="374"/>
      <c r="C57835" s="374"/>
      <c r="CV57835" s="376"/>
    </row>
    <row r="57836" spans="1:100">
      <c r="A57836" s="374"/>
      <c r="C57836" s="374"/>
      <c r="CV57836" s="376"/>
    </row>
    <row r="57837" spans="1:100">
      <c r="A57837" s="374"/>
      <c r="C57837" s="374"/>
      <c r="CV57837" s="376"/>
    </row>
    <row r="57838" spans="1:100">
      <c r="A57838" s="374"/>
      <c r="C57838" s="374"/>
      <c r="CV57838" s="376"/>
    </row>
    <row r="57839" spans="1:100">
      <c r="A57839" s="374"/>
      <c r="C57839" s="374"/>
      <c r="CV57839" s="376"/>
    </row>
    <row r="57840" spans="1:100">
      <c r="A57840" s="374"/>
      <c r="C57840" s="374"/>
      <c r="CV57840" s="376"/>
    </row>
    <row r="57841" spans="1:100">
      <c r="A57841" s="374"/>
      <c r="C57841" s="374"/>
      <c r="CV57841" s="376"/>
    </row>
    <row r="57842" spans="1:100">
      <c r="A57842" s="374"/>
      <c r="C57842" s="374"/>
      <c r="CV57842" s="376"/>
    </row>
    <row r="57843" spans="1:100">
      <c r="A57843" s="374"/>
      <c r="C57843" s="374"/>
      <c r="CV57843" s="376"/>
    </row>
    <row r="57844" spans="1:100">
      <c r="A57844" s="374"/>
      <c r="C57844" s="374"/>
      <c r="CV57844" s="376"/>
    </row>
    <row r="57845" spans="1:100">
      <c r="A57845" s="374"/>
      <c r="C57845" s="374"/>
      <c r="CV57845" s="376"/>
    </row>
    <row r="57846" spans="1:100">
      <c r="A57846" s="374"/>
      <c r="C57846" s="374"/>
      <c r="CV57846" s="376"/>
    </row>
    <row r="57847" spans="1:100">
      <c r="A57847" s="374"/>
      <c r="C57847" s="374"/>
      <c r="CV57847" s="376"/>
    </row>
    <row r="57848" spans="1:100">
      <c r="A57848" s="374"/>
      <c r="C57848" s="374"/>
      <c r="CV57848" s="376"/>
    </row>
    <row r="57849" spans="1:100">
      <c r="A57849" s="374"/>
      <c r="C57849" s="374"/>
      <c r="CV57849" s="376"/>
    </row>
    <row r="57850" spans="1:100">
      <c r="A57850" s="374"/>
      <c r="C57850" s="374"/>
      <c r="CV57850" s="376"/>
    </row>
    <row r="57851" spans="1:100">
      <c r="A57851" s="374"/>
      <c r="C57851" s="374"/>
      <c r="CV57851" s="376"/>
    </row>
    <row r="57852" spans="1:100">
      <c r="A57852" s="374"/>
      <c r="C57852" s="374"/>
      <c r="CV57852" s="376"/>
    </row>
    <row r="57853" spans="1:100">
      <c r="A57853" s="374"/>
      <c r="C57853" s="374"/>
      <c r="CV57853" s="376"/>
    </row>
    <row r="57854" spans="1:100">
      <c r="A57854" s="374"/>
      <c r="C57854" s="374"/>
      <c r="CV57854" s="376"/>
    </row>
    <row r="57855" spans="1:100">
      <c r="A57855" s="374"/>
      <c r="C57855" s="374"/>
      <c r="CV57855" s="376"/>
    </row>
    <row r="57856" spans="1:100">
      <c r="A57856" s="374"/>
      <c r="C57856" s="374"/>
      <c r="CV57856" s="376"/>
    </row>
    <row r="57857" spans="1:100">
      <c r="A57857" s="374"/>
      <c r="C57857" s="374"/>
      <c r="CV57857" s="376"/>
    </row>
    <row r="57858" spans="1:100">
      <c r="A57858" s="374"/>
      <c r="C57858" s="374"/>
      <c r="CV57858" s="376"/>
    </row>
    <row r="57859" spans="1:100">
      <c r="A57859" s="374"/>
      <c r="C57859" s="374"/>
      <c r="CV57859" s="376"/>
    </row>
    <row r="57860" spans="1:100">
      <c r="A57860" s="374"/>
      <c r="C57860" s="374"/>
      <c r="CV57860" s="376"/>
    </row>
    <row r="57861" spans="1:100">
      <c r="A57861" s="374"/>
      <c r="C57861" s="374"/>
      <c r="CV57861" s="376"/>
    </row>
    <row r="57862" spans="1:100">
      <c r="A57862" s="374"/>
      <c r="C57862" s="374"/>
      <c r="CV57862" s="376"/>
    </row>
    <row r="57863" spans="1:100">
      <c r="A57863" s="374"/>
      <c r="C57863" s="374"/>
      <c r="CV57863" s="376"/>
    </row>
    <row r="57864" spans="1:100">
      <c r="A57864" s="374"/>
      <c r="C57864" s="374"/>
      <c r="CV57864" s="376"/>
    </row>
    <row r="57865" spans="1:100">
      <c r="A57865" s="374"/>
      <c r="C57865" s="374"/>
      <c r="CV57865" s="376"/>
    </row>
    <row r="57866" spans="1:100">
      <c r="A57866" s="374"/>
      <c r="C57866" s="374"/>
      <c r="CV57866" s="376"/>
    </row>
    <row r="57867" spans="1:100">
      <c r="A57867" s="374"/>
      <c r="C57867" s="374"/>
      <c r="CV57867" s="376"/>
    </row>
    <row r="57868" spans="1:100">
      <c r="A57868" s="374"/>
      <c r="C57868" s="374"/>
      <c r="CV57868" s="376"/>
    </row>
    <row r="57869" spans="1:100">
      <c r="A57869" s="374"/>
      <c r="C57869" s="374"/>
      <c r="CV57869" s="376"/>
    </row>
    <row r="57870" spans="1:100">
      <c r="A57870" s="374"/>
      <c r="C57870" s="374"/>
      <c r="CV57870" s="376"/>
    </row>
    <row r="57871" spans="1:100">
      <c r="A57871" s="374"/>
      <c r="C57871" s="374"/>
      <c r="CV57871" s="376"/>
    </row>
    <row r="57872" spans="1:100">
      <c r="A57872" s="374"/>
      <c r="C57872" s="374"/>
      <c r="CV57872" s="376"/>
    </row>
    <row r="57873" spans="1:100">
      <c r="A57873" s="374"/>
      <c r="C57873" s="374"/>
      <c r="CV57873" s="376"/>
    </row>
    <row r="57874" spans="1:100">
      <c r="A57874" s="374"/>
      <c r="C57874" s="374"/>
      <c r="CV57874" s="376"/>
    </row>
    <row r="57875" spans="1:100">
      <c r="A57875" s="374"/>
      <c r="C57875" s="374"/>
      <c r="CV57875" s="376"/>
    </row>
    <row r="57876" spans="1:100">
      <c r="A57876" s="374"/>
      <c r="C57876" s="374"/>
      <c r="CV57876" s="376"/>
    </row>
    <row r="57877" spans="1:100">
      <c r="A57877" s="374"/>
      <c r="C57877" s="374"/>
      <c r="CV57877" s="376"/>
    </row>
    <row r="57878" spans="1:100">
      <c r="A57878" s="374"/>
      <c r="C57878" s="374"/>
      <c r="CV57878" s="376"/>
    </row>
    <row r="57879" spans="1:100">
      <c r="A57879" s="374"/>
      <c r="C57879" s="374"/>
      <c r="CV57879" s="376"/>
    </row>
    <row r="57880" spans="1:100">
      <c r="A57880" s="374"/>
      <c r="C57880" s="374"/>
      <c r="CV57880" s="376"/>
    </row>
    <row r="57881" spans="1:100">
      <c r="A57881" s="374"/>
      <c r="C57881" s="374"/>
      <c r="CV57881" s="376"/>
    </row>
    <row r="57882" spans="1:100">
      <c r="A57882" s="374"/>
      <c r="C57882" s="374"/>
      <c r="CV57882" s="376"/>
    </row>
    <row r="57883" spans="1:100">
      <c r="A57883" s="374"/>
      <c r="C57883" s="374"/>
      <c r="CV57883" s="376"/>
    </row>
    <row r="57884" spans="1:100">
      <c r="A57884" s="374"/>
      <c r="C57884" s="374"/>
      <c r="CV57884" s="376"/>
    </row>
    <row r="57885" spans="1:100">
      <c r="A57885" s="374"/>
      <c r="C57885" s="374"/>
      <c r="CV57885" s="376"/>
    </row>
    <row r="57886" spans="1:100">
      <c r="A57886" s="374"/>
      <c r="C57886" s="374"/>
      <c r="CV57886" s="376"/>
    </row>
    <row r="57887" spans="1:100">
      <c r="A57887" s="374"/>
      <c r="C57887" s="374"/>
      <c r="CV57887" s="376"/>
    </row>
    <row r="57888" spans="1:100">
      <c r="A57888" s="374"/>
      <c r="C57888" s="374"/>
      <c r="CV57888" s="376"/>
    </row>
    <row r="57889" spans="1:100">
      <c r="A57889" s="374"/>
      <c r="C57889" s="374"/>
      <c r="CV57889" s="376"/>
    </row>
    <row r="57890" spans="1:100">
      <c r="A57890" s="374"/>
      <c r="C57890" s="374"/>
      <c r="CV57890" s="376"/>
    </row>
    <row r="57891" spans="1:100">
      <c r="A57891" s="374"/>
      <c r="C57891" s="374"/>
      <c r="CV57891" s="376"/>
    </row>
    <row r="57892" spans="1:100">
      <c r="A57892" s="374"/>
      <c r="C57892" s="374"/>
      <c r="CV57892" s="376"/>
    </row>
    <row r="57893" spans="1:100">
      <c r="A57893" s="374"/>
      <c r="C57893" s="374"/>
      <c r="CV57893" s="376"/>
    </row>
    <row r="57894" spans="1:100">
      <c r="A57894" s="374"/>
      <c r="C57894" s="374"/>
      <c r="CV57894" s="376"/>
    </row>
    <row r="57895" spans="1:100">
      <c r="A57895" s="374"/>
      <c r="C57895" s="374"/>
      <c r="CV57895" s="376"/>
    </row>
    <row r="57896" spans="1:100">
      <c r="A57896" s="374"/>
      <c r="C57896" s="374"/>
      <c r="CV57896" s="376"/>
    </row>
    <row r="57897" spans="1:100">
      <c r="A57897" s="374"/>
      <c r="C57897" s="374"/>
      <c r="CV57897" s="376"/>
    </row>
    <row r="57898" spans="1:100">
      <c r="A57898" s="374"/>
      <c r="C57898" s="374"/>
      <c r="CV57898" s="376"/>
    </row>
    <row r="57899" spans="1:100">
      <c r="A57899" s="374"/>
      <c r="C57899" s="374"/>
      <c r="CV57899" s="376"/>
    </row>
    <row r="57900" spans="1:100">
      <c r="A57900" s="374"/>
      <c r="C57900" s="374"/>
      <c r="CV57900" s="376"/>
    </row>
    <row r="57901" spans="1:100">
      <c r="A57901" s="374"/>
      <c r="C57901" s="374"/>
      <c r="CV57901" s="376"/>
    </row>
    <row r="57902" spans="1:100">
      <c r="A57902" s="374"/>
      <c r="C57902" s="374"/>
      <c r="CV57902" s="376"/>
    </row>
    <row r="57903" spans="1:100">
      <c r="A57903" s="374"/>
      <c r="C57903" s="374"/>
      <c r="CV57903" s="376"/>
    </row>
    <row r="57904" spans="1:100">
      <c r="A57904" s="374"/>
      <c r="C57904" s="374"/>
      <c r="CV57904" s="376"/>
    </row>
    <row r="57905" spans="1:100">
      <c r="A57905" s="374"/>
      <c r="C57905" s="374"/>
      <c r="CV57905" s="376"/>
    </row>
    <row r="57906" spans="1:100">
      <c r="A57906" s="374"/>
      <c r="C57906" s="374"/>
      <c r="CV57906" s="376"/>
    </row>
    <row r="57907" spans="1:100">
      <c r="A57907" s="374"/>
      <c r="C57907" s="374"/>
      <c r="CV57907" s="376"/>
    </row>
    <row r="57908" spans="1:100">
      <c r="A57908" s="374"/>
      <c r="C57908" s="374"/>
      <c r="CV57908" s="376"/>
    </row>
    <row r="57909" spans="1:100">
      <c r="A57909" s="374"/>
      <c r="C57909" s="374"/>
      <c r="CV57909" s="376"/>
    </row>
    <row r="57910" spans="1:100">
      <c r="A57910" s="374"/>
      <c r="C57910" s="374"/>
      <c r="CV57910" s="376"/>
    </row>
    <row r="57911" spans="1:100">
      <c r="A57911" s="374"/>
      <c r="C57911" s="374"/>
      <c r="CV57911" s="376"/>
    </row>
    <row r="57912" spans="1:100">
      <c r="A57912" s="374"/>
      <c r="C57912" s="374"/>
      <c r="CV57912" s="376"/>
    </row>
    <row r="57913" spans="1:100">
      <c r="A57913" s="374"/>
      <c r="C57913" s="374"/>
      <c r="CV57913" s="376"/>
    </row>
    <row r="57914" spans="1:100">
      <c r="A57914" s="374"/>
      <c r="C57914" s="374"/>
      <c r="CV57914" s="376"/>
    </row>
    <row r="57915" spans="1:100">
      <c r="A57915" s="374"/>
      <c r="C57915" s="374"/>
      <c r="CV57915" s="376"/>
    </row>
    <row r="57916" spans="1:100">
      <c r="A57916" s="374"/>
      <c r="C57916" s="374"/>
      <c r="CV57916" s="376"/>
    </row>
    <row r="57917" spans="1:100">
      <c r="A57917" s="374"/>
      <c r="C57917" s="374"/>
      <c r="CV57917" s="376"/>
    </row>
    <row r="57918" spans="1:100">
      <c r="A57918" s="374"/>
      <c r="C57918" s="374"/>
      <c r="CV57918" s="376"/>
    </row>
    <row r="57919" spans="1:100">
      <c r="A57919" s="374"/>
      <c r="C57919" s="374"/>
      <c r="CV57919" s="376"/>
    </row>
    <row r="57920" spans="1:100">
      <c r="A57920" s="374"/>
      <c r="C57920" s="374"/>
      <c r="CV57920" s="376"/>
    </row>
    <row r="57921" spans="1:100">
      <c r="A57921" s="374"/>
      <c r="C57921" s="374"/>
      <c r="CV57921" s="376"/>
    </row>
    <row r="57922" spans="1:100">
      <c r="A57922" s="374"/>
      <c r="C57922" s="374"/>
      <c r="CV57922" s="376"/>
    </row>
    <row r="57923" spans="1:100">
      <c r="A57923" s="374"/>
      <c r="C57923" s="374"/>
      <c r="CV57923" s="376"/>
    </row>
    <row r="57924" spans="1:100">
      <c r="A57924" s="374"/>
      <c r="C57924" s="374"/>
      <c r="CV57924" s="376"/>
    </row>
    <row r="57925" spans="1:100">
      <c r="A57925" s="374"/>
      <c r="C57925" s="374"/>
      <c r="CV57925" s="376"/>
    </row>
    <row r="57926" spans="1:100">
      <c r="A57926" s="374"/>
      <c r="C57926" s="374"/>
      <c r="CV57926" s="376"/>
    </row>
    <row r="57927" spans="1:100">
      <c r="A57927" s="374"/>
      <c r="C57927" s="374"/>
      <c r="CV57927" s="376"/>
    </row>
    <row r="57928" spans="1:100">
      <c r="A57928" s="374"/>
      <c r="C57928" s="374"/>
      <c r="CV57928" s="376"/>
    </row>
    <row r="57929" spans="1:100">
      <c r="A57929" s="374"/>
      <c r="C57929" s="374"/>
      <c r="CV57929" s="376"/>
    </row>
    <row r="57930" spans="1:100">
      <c r="A57930" s="374"/>
      <c r="C57930" s="374"/>
      <c r="CV57930" s="376"/>
    </row>
    <row r="57931" spans="1:100">
      <c r="A57931" s="374"/>
      <c r="C57931" s="374"/>
      <c r="CV57931" s="376"/>
    </row>
    <row r="57932" spans="1:100">
      <c r="A57932" s="374"/>
      <c r="C57932" s="374"/>
      <c r="CV57932" s="376"/>
    </row>
    <row r="57933" spans="1:100">
      <c r="A57933" s="374"/>
      <c r="C57933" s="374"/>
      <c r="CV57933" s="376"/>
    </row>
    <row r="57934" spans="1:100">
      <c r="A57934" s="374"/>
      <c r="C57934" s="374"/>
      <c r="CV57934" s="376"/>
    </row>
    <row r="57935" spans="1:100">
      <c r="A57935" s="374"/>
      <c r="C57935" s="374"/>
      <c r="CV57935" s="376"/>
    </row>
    <row r="57936" spans="1:100">
      <c r="A57936" s="374"/>
      <c r="C57936" s="374"/>
      <c r="CV57936" s="376"/>
    </row>
    <row r="57937" spans="1:100">
      <c r="A57937" s="374"/>
      <c r="C57937" s="374"/>
      <c r="CV57937" s="376"/>
    </row>
    <row r="57938" spans="1:100">
      <c r="A57938" s="374"/>
      <c r="C57938" s="374"/>
      <c r="CV57938" s="376"/>
    </row>
    <row r="57939" spans="1:100">
      <c r="A57939" s="374"/>
      <c r="C57939" s="374"/>
      <c r="CV57939" s="376"/>
    </row>
    <row r="57940" spans="1:100">
      <c r="A57940" s="374"/>
      <c r="C57940" s="374"/>
      <c r="CV57940" s="376"/>
    </row>
    <row r="57941" spans="1:100">
      <c r="A57941" s="374"/>
      <c r="C57941" s="374"/>
      <c r="CV57941" s="376"/>
    </row>
    <row r="57942" spans="1:100">
      <c r="A57942" s="374"/>
      <c r="C57942" s="374"/>
      <c r="CV57942" s="376"/>
    </row>
    <row r="57943" spans="1:100">
      <c r="A57943" s="374"/>
      <c r="C57943" s="374"/>
      <c r="CV57943" s="376"/>
    </row>
    <row r="57944" spans="1:100">
      <c r="A57944" s="374"/>
      <c r="C57944" s="374"/>
      <c r="CV57944" s="376"/>
    </row>
    <row r="57945" spans="1:100">
      <c r="A57945" s="374"/>
      <c r="C57945" s="374"/>
      <c r="CV57945" s="376"/>
    </row>
    <row r="57946" spans="1:100">
      <c r="A57946" s="374"/>
      <c r="C57946" s="374"/>
      <c r="CV57946" s="376"/>
    </row>
    <row r="57947" spans="1:100">
      <c r="A57947" s="374"/>
      <c r="C57947" s="374"/>
      <c r="CV57947" s="376"/>
    </row>
    <row r="57948" spans="1:100">
      <c r="A57948" s="374"/>
      <c r="C57948" s="374"/>
      <c r="CV57948" s="376"/>
    </row>
    <row r="57949" spans="1:100">
      <c r="A57949" s="374"/>
      <c r="C57949" s="374"/>
      <c r="CV57949" s="376"/>
    </row>
    <row r="57950" spans="1:100">
      <c r="A57950" s="374"/>
      <c r="C57950" s="374"/>
      <c r="CV57950" s="376"/>
    </row>
    <row r="57951" spans="1:100">
      <c r="A57951" s="374"/>
      <c r="C57951" s="374"/>
      <c r="CV57951" s="376"/>
    </row>
    <row r="57952" spans="1:100">
      <c r="A57952" s="374"/>
      <c r="C57952" s="374"/>
      <c r="CV57952" s="376"/>
    </row>
    <row r="57953" spans="1:100">
      <c r="A57953" s="374"/>
      <c r="C57953" s="374"/>
      <c r="CV57953" s="376"/>
    </row>
    <row r="57954" spans="1:100">
      <c r="A57954" s="374"/>
      <c r="C57954" s="374"/>
      <c r="CV57954" s="376"/>
    </row>
    <row r="57955" spans="1:100">
      <c r="A57955" s="374"/>
      <c r="C57955" s="374"/>
      <c r="CV57955" s="376"/>
    </row>
    <row r="57956" spans="1:100">
      <c r="A57956" s="374"/>
      <c r="C57956" s="374"/>
      <c r="CV57956" s="376"/>
    </row>
    <row r="57957" spans="1:100">
      <c r="A57957" s="374"/>
      <c r="C57957" s="374"/>
      <c r="CV57957" s="376"/>
    </row>
    <row r="57958" spans="1:100">
      <c r="A57958" s="374"/>
      <c r="C57958" s="374"/>
      <c r="CV57958" s="376"/>
    </row>
    <row r="57959" spans="1:100">
      <c r="A57959" s="374"/>
      <c r="C57959" s="374"/>
      <c r="CV57959" s="376"/>
    </row>
    <row r="57960" spans="1:100">
      <c r="A57960" s="374"/>
      <c r="C57960" s="374"/>
      <c r="CV57960" s="376"/>
    </row>
    <row r="57961" spans="1:100">
      <c r="A57961" s="374"/>
      <c r="C57961" s="374"/>
      <c r="CV57961" s="376"/>
    </row>
    <row r="57962" spans="1:100">
      <c r="A57962" s="374"/>
      <c r="C57962" s="374"/>
      <c r="CV57962" s="376"/>
    </row>
    <row r="57963" spans="1:100">
      <c r="A57963" s="374"/>
      <c r="C57963" s="374"/>
      <c r="CV57963" s="376"/>
    </row>
    <row r="57964" spans="1:100">
      <c r="A57964" s="374"/>
      <c r="C57964" s="374"/>
      <c r="CV57964" s="376"/>
    </row>
    <row r="57965" spans="1:100">
      <c r="A57965" s="374"/>
      <c r="C57965" s="374"/>
      <c r="CV57965" s="376"/>
    </row>
    <row r="57966" spans="1:100">
      <c r="A57966" s="374"/>
      <c r="C57966" s="374"/>
      <c r="CV57966" s="376"/>
    </row>
    <row r="57967" spans="1:100">
      <c r="A57967" s="374"/>
      <c r="C57967" s="374"/>
      <c r="CV57967" s="376"/>
    </row>
    <row r="57968" spans="1:100">
      <c r="A57968" s="374"/>
      <c r="C57968" s="374"/>
      <c r="CV57968" s="376"/>
    </row>
    <row r="57969" spans="1:100">
      <c r="A57969" s="374"/>
      <c r="C57969" s="374"/>
      <c r="CV57969" s="376"/>
    </row>
    <row r="57970" spans="1:100">
      <c r="A57970" s="374"/>
      <c r="C57970" s="374"/>
      <c r="CV57970" s="376"/>
    </row>
    <row r="57971" spans="1:100">
      <c r="A57971" s="374"/>
      <c r="C57971" s="374"/>
      <c r="CV57971" s="376"/>
    </row>
    <row r="57972" spans="1:100">
      <c r="A57972" s="374"/>
      <c r="C57972" s="374"/>
      <c r="CV57972" s="376"/>
    </row>
    <row r="57973" spans="1:100">
      <c r="A57973" s="374"/>
      <c r="C57973" s="374"/>
      <c r="CV57973" s="376"/>
    </row>
    <row r="57974" spans="1:100">
      <c r="A57974" s="374"/>
      <c r="C57974" s="374"/>
      <c r="CV57974" s="376"/>
    </row>
    <row r="57975" spans="1:100">
      <c r="A57975" s="374"/>
      <c r="C57975" s="374"/>
      <c r="CV57975" s="376"/>
    </row>
    <row r="57976" spans="1:100">
      <c r="A57976" s="374"/>
      <c r="C57976" s="374"/>
      <c r="CV57976" s="376"/>
    </row>
    <row r="57977" spans="1:100">
      <c r="A57977" s="374"/>
      <c r="C57977" s="374"/>
      <c r="CV57977" s="376"/>
    </row>
    <row r="57978" spans="1:100">
      <c r="A57978" s="374"/>
      <c r="C57978" s="374"/>
      <c r="CV57978" s="376"/>
    </row>
    <row r="57979" spans="1:100">
      <c r="A57979" s="374"/>
      <c r="C57979" s="374"/>
      <c r="CV57979" s="376"/>
    </row>
    <row r="57980" spans="1:100">
      <c r="A57980" s="374"/>
      <c r="C57980" s="374"/>
      <c r="CV57980" s="376"/>
    </row>
    <row r="57981" spans="1:100">
      <c r="A57981" s="374"/>
      <c r="C57981" s="374"/>
      <c r="CV57981" s="376"/>
    </row>
    <row r="57982" spans="1:100">
      <c r="A57982" s="374"/>
      <c r="C57982" s="374"/>
      <c r="CV57982" s="376"/>
    </row>
    <row r="57983" spans="1:100">
      <c r="A57983" s="374"/>
      <c r="C57983" s="374"/>
      <c r="CV57983" s="376"/>
    </row>
    <row r="57984" spans="1:100">
      <c r="A57984" s="374"/>
      <c r="C57984" s="374"/>
      <c r="CV57984" s="376"/>
    </row>
    <row r="57985" spans="1:100">
      <c r="A57985" s="374"/>
      <c r="C57985" s="374"/>
      <c r="CV57985" s="376"/>
    </row>
    <row r="57986" spans="1:100">
      <c r="A57986" s="374"/>
      <c r="C57986" s="374"/>
      <c r="CV57986" s="376"/>
    </row>
    <row r="57987" spans="1:100">
      <c r="A57987" s="374"/>
      <c r="C57987" s="374"/>
      <c r="CV57987" s="376"/>
    </row>
    <row r="57988" spans="1:100">
      <c r="A57988" s="374"/>
      <c r="C57988" s="374"/>
      <c r="CV57988" s="376"/>
    </row>
    <row r="57989" spans="1:100">
      <c r="A57989" s="374"/>
      <c r="C57989" s="374"/>
      <c r="CV57989" s="376"/>
    </row>
    <row r="57990" spans="1:100">
      <c r="A57990" s="374"/>
      <c r="C57990" s="374"/>
      <c r="CV57990" s="376"/>
    </row>
    <row r="57991" spans="1:100">
      <c r="A57991" s="374"/>
      <c r="C57991" s="374"/>
      <c r="CV57991" s="376"/>
    </row>
    <row r="57992" spans="1:100">
      <c r="A57992" s="374"/>
      <c r="C57992" s="374"/>
      <c r="CV57992" s="376"/>
    </row>
    <row r="57993" spans="1:100">
      <c r="A57993" s="374"/>
      <c r="C57993" s="374"/>
      <c r="CV57993" s="376"/>
    </row>
    <row r="57994" spans="1:100">
      <c r="A57994" s="374"/>
      <c r="C57994" s="374"/>
      <c r="CV57994" s="376"/>
    </row>
    <row r="57995" spans="1:100">
      <c r="A57995" s="374"/>
      <c r="C57995" s="374"/>
      <c r="CV57995" s="376"/>
    </row>
    <row r="57996" spans="1:100">
      <c r="A57996" s="374"/>
      <c r="C57996" s="374"/>
      <c r="CV57996" s="376"/>
    </row>
    <row r="57997" spans="1:100">
      <c r="A57997" s="374"/>
      <c r="C57997" s="374"/>
      <c r="CV57997" s="376"/>
    </row>
    <row r="57998" spans="1:100">
      <c r="A57998" s="374"/>
      <c r="C57998" s="374"/>
      <c r="CV57998" s="376"/>
    </row>
    <row r="57999" spans="1:100">
      <c r="A57999" s="374"/>
      <c r="C57999" s="374"/>
      <c r="CV57999" s="376"/>
    </row>
    <row r="58000" spans="1:100">
      <c r="A58000" s="374"/>
      <c r="C58000" s="374"/>
      <c r="CV58000" s="376"/>
    </row>
    <row r="58001" spans="1:100">
      <c r="A58001" s="374"/>
      <c r="C58001" s="374"/>
      <c r="CV58001" s="376"/>
    </row>
    <row r="58002" spans="1:100">
      <c r="A58002" s="374"/>
      <c r="C58002" s="374"/>
      <c r="CV58002" s="376"/>
    </row>
    <row r="58003" spans="1:100">
      <c r="A58003" s="374"/>
      <c r="C58003" s="374"/>
      <c r="CV58003" s="376"/>
    </row>
    <row r="58004" spans="1:100">
      <c r="A58004" s="374"/>
      <c r="C58004" s="374"/>
      <c r="CV58004" s="376"/>
    </row>
    <row r="58005" spans="1:100">
      <c r="A58005" s="374"/>
      <c r="C58005" s="374"/>
      <c r="CV58005" s="376"/>
    </row>
    <row r="58006" spans="1:100">
      <c r="A58006" s="374"/>
      <c r="C58006" s="374"/>
      <c r="CV58006" s="376"/>
    </row>
    <row r="58007" spans="1:100">
      <c r="A58007" s="374"/>
      <c r="C58007" s="374"/>
      <c r="CV58007" s="376"/>
    </row>
    <row r="58008" spans="1:100">
      <c r="A58008" s="374"/>
      <c r="C58008" s="374"/>
      <c r="CV58008" s="376"/>
    </row>
    <row r="58009" spans="1:100">
      <c r="A58009" s="374"/>
      <c r="C58009" s="374"/>
      <c r="CV58009" s="376"/>
    </row>
    <row r="58010" spans="1:100">
      <c r="A58010" s="374"/>
      <c r="C58010" s="374"/>
      <c r="CV58010" s="376"/>
    </row>
    <row r="58011" spans="1:100">
      <c r="A58011" s="374"/>
      <c r="C58011" s="374"/>
      <c r="CV58011" s="376"/>
    </row>
    <row r="58012" spans="1:100">
      <c r="A58012" s="374"/>
      <c r="C58012" s="374"/>
      <c r="CV58012" s="376"/>
    </row>
    <row r="58013" spans="1:100">
      <c r="A58013" s="374"/>
      <c r="C58013" s="374"/>
      <c r="CV58013" s="376"/>
    </row>
    <row r="58014" spans="1:100">
      <c r="A58014" s="374"/>
      <c r="C58014" s="374"/>
      <c r="CV58014" s="376"/>
    </row>
    <row r="58015" spans="1:100">
      <c r="A58015" s="374"/>
      <c r="C58015" s="374"/>
      <c r="CV58015" s="376"/>
    </row>
    <row r="58016" spans="1:100">
      <c r="A58016" s="374"/>
      <c r="C58016" s="374"/>
      <c r="CV58016" s="376"/>
    </row>
    <row r="58017" spans="1:100">
      <c r="A58017" s="374"/>
      <c r="C58017" s="374"/>
      <c r="CV58017" s="376"/>
    </row>
    <row r="58018" spans="1:100">
      <c r="A58018" s="374"/>
      <c r="C58018" s="374"/>
      <c r="CV58018" s="376"/>
    </row>
    <row r="58019" spans="1:100">
      <c r="A58019" s="374"/>
      <c r="C58019" s="374"/>
      <c r="CV58019" s="376"/>
    </row>
    <row r="58020" spans="1:100">
      <c r="A58020" s="374"/>
      <c r="C58020" s="374"/>
      <c r="CV58020" s="376"/>
    </row>
    <row r="58021" spans="1:100">
      <c r="A58021" s="374"/>
      <c r="C58021" s="374"/>
      <c r="CV58021" s="376"/>
    </row>
    <row r="58022" spans="1:100">
      <c r="A58022" s="374"/>
      <c r="C58022" s="374"/>
      <c r="CV58022" s="376"/>
    </row>
    <row r="58023" spans="1:100">
      <c r="A58023" s="374"/>
      <c r="C58023" s="374"/>
      <c r="CV58023" s="376"/>
    </row>
    <row r="58024" spans="1:100">
      <c r="A58024" s="374"/>
      <c r="C58024" s="374"/>
      <c r="CV58024" s="376"/>
    </row>
    <row r="58025" spans="1:100">
      <c r="A58025" s="374"/>
      <c r="C58025" s="374"/>
      <c r="CV58025" s="376"/>
    </row>
    <row r="58026" spans="1:100">
      <c r="A58026" s="374"/>
      <c r="C58026" s="374"/>
      <c r="CV58026" s="376"/>
    </row>
    <row r="58027" spans="1:100">
      <c r="A58027" s="374"/>
      <c r="C58027" s="374"/>
      <c r="CV58027" s="376"/>
    </row>
    <row r="58028" spans="1:100">
      <c r="A58028" s="374"/>
      <c r="C58028" s="374"/>
      <c r="CV58028" s="376"/>
    </row>
    <row r="58029" spans="1:100">
      <c r="A58029" s="374"/>
      <c r="C58029" s="374"/>
      <c r="CV58029" s="376"/>
    </row>
    <row r="58030" spans="1:100">
      <c r="A58030" s="374"/>
      <c r="C58030" s="374"/>
      <c r="CV58030" s="376"/>
    </row>
    <row r="58031" spans="1:100">
      <c r="A58031" s="374"/>
      <c r="C58031" s="374"/>
      <c r="CV58031" s="376"/>
    </row>
    <row r="58032" spans="1:100">
      <c r="A58032" s="374"/>
      <c r="C58032" s="374"/>
      <c r="CV58032" s="376"/>
    </row>
    <row r="58033" spans="1:100">
      <c r="A58033" s="374"/>
      <c r="C58033" s="374"/>
      <c r="CV58033" s="376"/>
    </row>
    <row r="58034" spans="1:100">
      <c r="A58034" s="374"/>
      <c r="C58034" s="374"/>
      <c r="CV58034" s="376"/>
    </row>
    <row r="58035" spans="1:100">
      <c r="A58035" s="374"/>
      <c r="C58035" s="374"/>
      <c r="CV58035" s="376"/>
    </row>
    <row r="58036" spans="1:100">
      <c r="A58036" s="374"/>
      <c r="C58036" s="374"/>
      <c r="CV58036" s="376"/>
    </row>
    <row r="58037" spans="1:100">
      <c r="A58037" s="374"/>
      <c r="C58037" s="374"/>
      <c r="CV58037" s="376"/>
    </row>
    <row r="58038" spans="1:100">
      <c r="A58038" s="374"/>
      <c r="C58038" s="374"/>
      <c r="CV58038" s="376"/>
    </row>
    <row r="58039" spans="1:100">
      <c r="A58039" s="374"/>
      <c r="C58039" s="374"/>
      <c r="CV58039" s="376"/>
    </row>
    <row r="58040" spans="1:100">
      <c r="A58040" s="374"/>
      <c r="C58040" s="374"/>
      <c r="CV58040" s="376"/>
    </row>
    <row r="58041" spans="1:100">
      <c r="A58041" s="374"/>
      <c r="C58041" s="374"/>
      <c r="CV58041" s="376"/>
    </row>
    <row r="58042" spans="1:100">
      <c r="A58042" s="374"/>
      <c r="C58042" s="374"/>
      <c r="CV58042" s="376"/>
    </row>
    <row r="58043" spans="1:100">
      <c r="A58043" s="374"/>
      <c r="C58043" s="374"/>
      <c r="CV58043" s="376"/>
    </row>
    <row r="58044" spans="1:100">
      <c r="A58044" s="374"/>
      <c r="C58044" s="374"/>
      <c r="CV58044" s="376"/>
    </row>
    <row r="58045" spans="1:100">
      <c r="A58045" s="374"/>
      <c r="C58045" s="374"/>
      <c r="CV58045" s="376"/>
    </row>
    <row r="58046" spans="1:100">
      <c r="A58046" s="374"/>
      <c r="C58046" s="374"/>
      <c r="CV58046" s="376"/>
    </row>
    <row r="58047" spans="1:100">
      <c r="A58047" s="374"/>
      <c r="C58047" s="374"/>
      <c r="CV58047" s="376"/>
    </row>
    <row r="58048" spans="1:100">
      <c r="A58048" s="374"/>
      <c r="C58048" s="374"/>
      <c r="CV58048" s="376"/>
    </row>
    <row r="58049" spans="1:100">
      <c r="A58049" s="374"/>
      <c r="C58049" s="374"/>
      <c r="CV58049" s="376"/>
    </row>
    <row r="58050" spans="1:100">
      <c r="A58050" s="374"/>
      <c r="C58050" s="374"/>
      <c r="CV58050" s="376"/>
    </row>
    <row r="58051" spans="1:100">
      <c r="A58051" s="374"/>
      <c r="C58051" s="374"/>
      <c r="CV58051" s="376"/>
    </row>
    <row r="58052" spans="1:100">
      <c r="A58052" s="374"/>
      <c r="C58052" s="374"/>
      <c r="CV58052" s="376"/>
    </row>
    <row r="58053" spans="1:100">
      <c r="A58053" s="374"/>
      <c r="C58053" s="374"/>
      <c r="CV58053" s="376"/>
    </row>
    <row r="58054" spans="1:100">
      <c r="A58054" s="374"/>
      <c r="C58054" s="374"/>
      <c r="CV58054" s="376"/>
    </row>
    <row r="58055" spans="1:100">
      <c r="A58055" s="374"/>
      <c r="C58055" s="374"/>
      <c r="CV58055" s="376"/>
    </row>
    <row r="58056" spans="1:100">
      <c r="A58056" s="374"/>
      <c r="C58056" s="374"/>
      <c r="CV58056" s="376"/>
    </row>
    <row r="58057" spans="1:100">
      <c r="A58057" s="374"/>
      <c r="C58057" s="374"/>
      <c r="CV58057" s="376"/>
    </row>
    <row r="58058" spans="1:100">
      <c r="A58058" s="374"/>
      <c r="C58058" s="374"/>
      <c r="CV58058" s="376"/>
    </row>
    <row r="58059" spans="1:100">
      <c r="A58059" s="374"/>
      <c r="C58059" s="374"/>
      <c r="CV58059" s="376"/>
    </row>
    <row r="58060" spans="1:100">
      <c r="A58060" s="374"/>
      <c r="C58060" s="374"/>
      <c r="CV58060" s="376"/>
    </row>
    <row r="58061" spans="1:100">
      <c r="A58061" s="374"/>
      <c r="C58061" s="374"/>
      <c r="CV58061" s="376"/>
    </row>
    <row r="58062" spans="1:100">
      <c r="A58062" s="374"/>
      <c r="C58062" s="374"/>
      <c r="CV58062" s="376"/>
    </row>
    <row r="58063" spans="1:100">
      <c r="A58063" s="374"/>
      <c r="C58063" s="374"/>
      <c r="CV58063" s="376"/>
    </row>
    <row r="58064" spans="1:100">
      <c r="A58064" s="374"/>
      <c r="C58064" s="374"/>
      <c r="CV58064" s="376"/>
    </row>
    <row r="58065" spans="1:100">
      <c r="A58065" s="374"/>
      <c r="C58065" s="374"/>
      <c r="CV58065" s="376"/>
    </row>
    <row r="58066" spans="1:100">
      <c r="A58066" s="374"/>
      <c r="C58066" s="374"/>
      <c r="CV58066" s="376"/>
    </row>
    <row r="58067" spans="1:100">
      <c r="A58067" s="374"/>
      <c r="C58067" s="374"/>
      <c r="CV58067" s="376"/>
    </row>
    <row r="58068" spans="1:100">
      <c r="A58068" s="374"/>
      <c r="C58068" s="374"/>
      <c r="CV58068" s="376"/>
    </row>
    <row r="58069" spans="1:100">
      <c r="A58069" s="374"/>
      <c r="C58069" s="374"/>
      <c r="CV58069" s="376"/>
    </row>
    <row r="58070" spans="1:100">
      <c r="A58070" s="374"/>
      <c r="C58070" s="374"/>
      <c r="CV58070" s="376"/>
    </row>
    <row r="58071" spans="1:100">
      <c r="A58071" s="374"/>
      <c r="C58071" s="374"/>
      <c r="CV58071" s="376"/>
    </row>
    <row r="58072" spans="1:100">
      <c r="A58072" s="374"/>
      <c r="C58072" s="374"/>
      <c r="CV58072" s="376"/>
    </row>
    <row r="58073" spans="1:100">
      <c r="A58073" s="374"/>
      <c r="C58073" s="374"/>
      <c r="CV58073" s="376"/>
    </row>
    <row r="58074" spans="1:100">
      <c r="A58074" s="374"/>
      <c r="C58074" s="374"/>
      <c r="CV58074" s="376"/>
    </row>
    <row r="58075" spans="1:100">
      <c r="A58075" s="374"/>
      <c r="C58075" s="374"/>
      <c r="CV58075" s="376"/>
    </row>
    <row r="58076" spans="1:100">
      <c r="A58076" s="374"/>
      <c r="C58076" s="374"/>
      <c r="CV58076" s="376"/>
    </row>
    <row r="58077" spans="1:100">
      <c r="A58077" s="374"/>
      <c r="C58077" s="374"/>
      <c r="CV58077" s="376"/>
    </row>
    <row r="58078" spans="1:100">
      <c r="A58078" s="374"/>
      <c r="C58078" s="374"/>
      <c r="CV58078" s="376"/>
    </row>
    <row r="58079" spans="1:100">
      <c r="A58079" s="374"/>
      <c r="C58079" s="374"/>
      <c r="CV58079" s="376"/>
    </row>
    <row r="58080" spans="1:100">
      <c r="A58080" s="374"/>
      <c r="C58080" s="374"/>
      <c r="CV58080" s="376"/>
    </row>
    <row r="58081" spans="1:100">
      <c r="A58081" s="374"/>
      <c r="C58081" s="374"/>
      <c r="CV58081" s="376"/>
    </row>
    <row r="58082" spans="1:100">
      <c r="A58082" s="374"/>
      <c r="C58082" s="374"/>
      <c r="CV58082" s="376"/>
    </row>
    <row r="58083" spans="1:100">
      <c r="A58083" s="374"/>
      <c r="C58083" s="374"/>
      <c r="CV58083" s="376"/>
    </row>
    <row r="58084" spans="1:100">
      <c r="A58084" s="374"/>
      <c r="C58084" s="374"/>
      <c r="CV58084" s="376"/>
    </row>
    <row r="58085" spans="1:100">
      <c r="A58085" s="374"/>
      <c r="C58085" s="374"/>
      <c r="CV58085" s="376"/>
    </row>
    <row r="58086" spans="1:100">
      <c r="A58086" s="374"/>
      <c r="C58086" s="374"/>
      <c r="CV58086" s="376"/>
    </row>
    <row r="58087" spans="1:100">
      <c r="A58087" s="374"/>
      <c r="C58087" s="374"/>
      <c r="CV58087" s="376"/>
    </row>
    <row r="58088" spans="1:100">
      <c r="A58088" s="374"/>
      <c r="C58088" s="374"/>
      <c r="CV58088" s="376"/>
    </row>
    <row r="58089" spans="1:100">
      <c r="A58089" s="374"/>
      <c r="C58089" s="374"/>
      <c r="CV58089" s="376"/>
    </row>
    <row r="58090" spans="1:100">
      <c r="A58090" s="374"/>
      <c r="C58090" s="374"/>
      <c r="CV58090" s="376"/>
    </row>
    <row r="58091" spans="1:100">
      <c r="A58091" s="374"/>
      <c r="C58091" s="374"/>
      <c r="CV58091" s="376"/>
    </row>
    <row r="58092" spans="1:100">
      <c r="A58092" s="374"/>
      <c r="C58092" s="374"/>
      <c r="CV58092" s="376"/>
    </row>
    <row r="58093" spans="1:100">
      <c r="A58093" s="374"/>
      <c r="C58093" s="374"/>
      <c r="CV58093" s="376"/>
    </row>
    <row r="58094" spans="1:100">
      <c r="A58094" s="374"/>
      <c r="C58094" s="374"/>
      <c r="CV58094" s="376"/>
    </row>
    <row r="58095" spans="1:100">
      <c r="A58095" s="374"/>
      <c r="C58095" s="374"/>
      <c r="CV58095" s="376"/>
    </row>
    <row r="58096" spans="1:100">
      <c r="A58096" s="374"/>
      <c r="C58096" s="374"/>
      <c r="CV58096" s="376"/>
    </row>
    <row r="58097" spans="1:100">
      <c r="A58097" s="374"/>
      <c r="C58097" s="374"/>
      <c r="CV58097" s="376"/>
    </row>
    <row r="58098" spans="1:100">
      <c r="A58098" s="374"/>
      <c r="C58098" s="374"/>
      <c r="CV58098" s="376"/>
    </row>
    <row r="58099" spans="1:100">
      <c r="A58099" s="374"/>
      <c r="C58099" s="374"/>
      <c r="CV58099" s="376"/>
    </row>
    <row r="58100" spans="1:100">
      <c r="A58100" s="374"/>
      <c r="C58100" s="374"/>
      <c r="CV58100" s="376"/>
    </row>
    <row r="58101" spans="1:100">
      <c r="A58101" s="374"/>
      <c r="C58101" s="374"/>
      <c r="CV58101" s="376"/>
    </row>
    <row r="58102" spans="1:100">
      <c r="A58102" s="374"/>
      <c r="C58102" s="374"/>
      <c r="CV58102" s="376"/>
    </row>
    <row r="58103" spans="1:100">
      <c r="A58103" s="374"/>
      <c r="C58103" s="374"/>
      <c r="CV58103" s="376"/>
    </row>
    <row r="58104" spans="1:100">
      <c r="A58104" s="374"/>
      <c r="C58104" s="374"/>
      <c r="CV58104" s="376"/>
    </row>
    <row r="58105" spans="1:100">
      <c r="A58105" s="374"/>
      <c r="C58105" s="374"/>
      <c r="CV58105" s="376"/>
    </row>
    <row r="58106" spans="1:100">
      <c r="A58106" s="374"/>
      <c r="C58106" s="374"/>
      <c r="CV58106" s="376"/>
    </row>
    <row r="58107" spans="1:100">
      <c r="A58107" s="374"/>
      <c r="C58107" s="374"/>
      <c r="CV58107" s="376"/>
    </row>
    <row r="58108" spans="1:100">
      <c r="A58108" s="374"/>
      <c r="C58108" s="374"/>
      <c r="CV58108" s="376"/>
    </row>
    <row r="58109" spans="1:100">
      <c r="A58109" s="374"/>
      <c r="C58109" s="374"/>
      <c r="CV58109" s="376"/>
    </row>
    <row r="58110" spans="1:100">
      <c r="A58110" s="374"/>
      <c r="C58110" s="374"/>
      <c r="CV58110" s="376"/>
    </row>
    <row r="58111" spans="1:100">
      <c r="A58111" s="374"/>
      <c r="C58111" s="374"/>
      <c r="CV58111" s="376"/>
    </row>
    <row r="58112" spans="1:100">
      <c r="A58112" s="374"/>
      <c r="C58112" s="374"/>
      <c r="CV58112" s="376"/>
    </row>
    <row r="58113" spans="1:100">
      <c r="A58113" s="374"/>
      <c r="C58113" s="374"/>
      <c r="CV58113" s="376"/>
    </row>
    <row r="58114" spans="1:100">
      <c r="A58114" s="374"/>
      <c r="C58114" s="374"/>
      <c r="CV58114" s="376"/>
    </row>
    <row r="58115" spans="1:100">
      <c r="A58115" s="374"/>
      <c r="C58115" s="374"/>
      <c r="CV58115" s="376"/>
    </row>
    <row r="58116" spans="1:100">
      <c r="A58116" s="374"/>
      <c r="C58116" s="374"/>
      <c r="CV58116" s="376"/>
    </row>
    <row r="58117" spans="1:100">
      <c r="A58117" s="374"/>
      <c r="C58117" s="374"/>
      <c r="CV58117" s="376"/>
    </row>
    <row r="58118" spans="1:100">
      <c r="A58118" s="374"/>
      <c r="C58118" s="374"/>
      <c r="CV58118" s="376"/>
    </row>
    <row r="58119" spans="1:100">
      <c r="A58119" s="374"/>
      <c r="C58119" s="374"/>
      <c r="CV58119" s="376"/>
    </row>
    <row r="58120" spans="1:100">
      <c r="A58120" s="374"/>
      <c r="C58120" s="374"/>
      <c r="CV58120" s="376"/>
    </row>
    <row r="58121" spans="1:100">
      <c r="A58121" s="374"/>
      <c r="C58121" s="374"/>
      <c r="CV58121" s="376"/>
    </row>
    <row r="58122" spans="1:100">
      <c r="A58122" s="374"/>
      <c r="C58122" s="374"/>
      <c r="CV58122" s="376"/>
    </row>
    <row r="58123" spans="1:100">
      <c r="A58123" s="374"/>
      <c r="C58123" s="374"/>
      <c r="CV58123" s="376"/>
    </row>
    <row r="58124" spans="1:100">
      <c r="A58124" s="374"/>
      <c r="C58124" s="374"/>
      <c r="CV58124" s="376"/>
    </row>
    <row r="58125" spans="1:100">
      <c r="A58125" s="374"/>
      <c r="C58125" s="374"/>
      <c r="CV58125" s="376"/>
    </row>
    <row r="58126" spans="1:100">
      <c r="A58126" s="374"/>
      <c r="C58126" s="374"/>
      <c r="CV58126" s="376"/>
    </row>
    <row r="58127" spans="1:100">
      <c r="A58127" s="374"/>
      <c r="C58127" s="374"/>
      <c r="CV58127" s="376"/>
    </row>
    <row r="58128" spans="1:100">
      <c r="A58128" s="374"/>
      <c r="C58128" s="374"/>
      <c r="CV58128" s="376"/>
    </row>
    <row r="58129" spans="1:100">
      <c r="A58129" s="374"/>
      <c r="C58129" s="374"/>
      <c r="CV58129" s="376"/>
    </row>
    <row r="58130" spans="1:100">
      <c r="A58130" s="374"/>
      <c r="C58130" s="374"/>
      <c r="CV58130" s="376"/>
    </row>
    <row r="58131" spans="1:100">
      <c r="A58131" s="374"/>
      <c r="C58131" s="374"/>
      <c r="CV58131" s="376"/>
    </row>
    <row r="58132" spans="1:100">
      <c r="A58132" s="374"/>
      <c r="C58132" s="374"/>
      <c r="CV58132" s="376"/>
    </row>
    <row r="58133" spans="1:100">
      <c r="A58133" s="374"/>
      <c r="C58133" s="374"/>
      <c r="CV58133" s="376"/>
    </row>
    <row r="58134" spans="1:100">
      <c r="A58134" s="374"/>
      <c r="C58134" s="374"/>
      <c r="CV58134" s="376"/>
    </row>
    <row r="58135" spans="1:100">
      <c r="A58135" s="374"/>
      <c r="C58135" s="374"/>
      <c r="CV58135" s="376"/>
    </row>
    <row r="58136" spans="1:100">
      <c r="A58136" s="374"/>
      <c r="C58136" s="374"/>
      <c r="CV58136" s="376"/>
    </row>
    <row r="58137" spans="1:100">
      <c r="A58137" s="374"/>
      <c r="C58137" s="374"/>
      <c r="CV58137" s="376"/>
    </row>
    <row r="58138" spans="1:100">
      <c r="A58138" s="374"/>
      <c r="C58138" s="374"/>
      <c r="CV58138" s="376"/>
    </row>
    <row r="58139" spans="1:100">
      <c r="A58139" s="374"/>
      <c r="C58139" s="374"/>
      <c r="CV58139" s="376"/>
    </row>
    <row r="58140" spans="1:100">
      <c r="A58140" s="374"/>
      <c r="C58140" s="374"/>
      <c r="CV58140" s="376"/>
    </row>
    <row r="58141" spans="1:100">
      <c r="A58141" s="374"/>
      <c r="C58141" s="374"/>
      <c r="CV58141" s="376"/>
    </row>
    <row r="58142" spans="1:100">
      <c r="A58142" s="374"/>
      <c r="C58142" s="374"/>
      <c r="CV58142" s="376"/>
    </row>
    <row r="58143" spans="1:100">
      <c r="A58143" s="374"/>
      <c r="C58143" s="374"/>
      <c r="CV58143" s="376"/>
    </row>
    <row r="58144" spans="1:100">
      <c r="A58144" s="374"/>
      <c r="C58144" s="374"/>
      <c r="CV58144" s="376"/>
    </row>
    <row r="58145" spans="1:100">
      <c r="A58145" s="374"/>
      <c r="C58145" s="374"/>
      <c r="CV58145" s="376"/>
    </row>
    <row r="58146" spans="1:100">
      <c r="A58146" s="374"/>
      <c r="C58146" s="374"/>
      <c r="CV58146" s="376"/>
    </row>
    <row r="58147" spans="1:100">
      <c r="A58147" s="374"/>
      <c r="C58147" s="374"/>
      <c r="CV58147" s="376"/>
    </row>
    <row r="58148" spans="1:100">
      <c r="A58148" s="374"/>
      <c r="C58148" s="374"/>
      <c r="CV58148" s="376"/>
    </row>
    <row r="58149" spans="1:100">
      <c r="A58149" s="374"/>
      <c r="C58149" s="374"/>
      <c r="CV58149" s="376"/>
    </row>
    <row r="58150" spans="1:100">
      <c r="A58150" s="374"/>
      <c r="C58150" s="374"/>
      <c r="CV58150" s="376"/>
    </row>
    <row r="58151" spans="1:100">
      <c r="A58151" s="374"/>
      <c r="C58151" s="374"/>
      <c r="CV58151" s="376"/>
    </row>
    <row r="58152" spans="1:100">
      <c r="A58152" s="374"/>
      <c r="C58152" s="374"/>
      <c r="CV58152" s="376"/>
    </row>
    <row r="58153" spans="1:100">
      <c r="A58153" s="374"/>
      <c r="C58153" s="374"/>
      <c r="CV58153" s="376"/>
    </row>
    <row r="58154" spans="1:100">
      <c r="A58154" s="374"/>
      <c r="C58154" s="374"/>
      <c r="CV58154" s="376"/>
    </row>
    <row r="58155" spans="1:100">
      <c r="A58155" s="374"/>
      <c r="C58155" s="374"/>
      <c r="CV58155" s="376"/>
    </row>
    <row r="58156" spans="1:100">
      <c r="A58156" s="374"/>
      <c r="C58156" s="374"/>
      <c r="CV58156" s="376"/>
    </row>
    <row r="58157" spans="1:100">
      <c r="A58157" s="374"/>
      <c r="C58157" s="374"/>
      <c r="CV58157" s="376"/>
    </row>
    <row r="58158" spans="1:100">
      <c r="A58158" s="374"/>
      <c r="C58158" s="374"/>
      <c r="CV58158" s="376"/>
    </row>
    <row r="58159" spans="1:100">
      <c r="A58159" s="374"/>
      <c r="C58159" s="374"/>
      <c r="CV58159" s="376"/>
    </row>
    <row r="58160" spans="1:100">
      <c r="A58160" s="374"/>
      <c r="C58160" s="374"/>
      <c r="CV58160" s="376"/>
    </row>
    <row r="58161" spans="1:100">
      <c r="A58161" s="374"/>
      <c r="C58161" s="374"/>
      <c r="CV58161" s="376"/>
    </row>
    <row r="58162" spans="1:100">
      <c r="A58162" s="374"/>
      <c r="C58162" s="374"/>
      <c r="CV58162" s="376"/>
    </row>
    <row r="58163" spans="1:100">
      <c r="A58163" s="374"/>
      <c r="C58163" s="374"/>
      <c r="CV58163" s="376"/>
    </row>
    <row r="58164" spans="1:100">
      <c r="A58164" s="374"/>
      <c r="C58164" s="374"/>
      <c r="CV58164" s="376"/>
    </row>
    <row r="58165" spans="1:100">
      <c r="A58165" s="374"/>
      <c r="C58165" s="374"/>
      <c r="CV58165" s="376"/>
    </row>
    <row r="58166" spans="1:100">
      <c r="A58166" s="374"/>
      <c r="C58166" s="374"/>
      <c r="CV58166" s="376"/>
    </row>
    <row r="58167" spans="1:100">
      <c r="A58167" s="374"/>
      <c r="C58167" s="374"/>
      <c r="CV58167" s="376"/>
    </row>
    <row r="58168" spans="1:100">
      <c r="A58168" s="374"/>
      <c r="C58168" s="374"/>
      <c r="CV58168" s="376"/>
    </row>
    <row r="58169" spans="1:100">
      <c r="A58169" s="374"/>
      <c r="C58169" s="374"/>
      <c r="CV58169" s="376"/>
    </row>
    <row r="58170" spans="1:100">
      <c r="A58170" s="374"/>
      <c r="C58170" s="374"/>
      <c r="CV58170" s="376"/>
    </row>
    <row r="58171" spans="1:100">
      <c r="A58171" s="374"/>
      <c r="C58171" s="374"/>
      <c r="CV58171" s="376"/>
    </row>
    <row r="58172" spans="1:100">
      <c r="A58172" s="374"/>
      <c r="C58172" s="374"/>
      <c r="CV58172" s="376"/>
    </row>
    <row r="58173" spans="1:100">
      <c r="A58173" s="374"/>
      <c r="C58173" s="374"/>
      <c r="CV58173" s="376"/>
    </row>
    <row r="58174" spans="1:100">
      <c r="A58174" s="374"/>
      <c r="C58174" s="374"/>
      <c r="CV58174" s="376"/>
    </row>
    <row r="58175" spans="1:100">
      <c r="A58175" s="374"/>
      <c r="C58175" s="374"/>
      <c r="CV58175" s="376"/>
    </row>
    <row r="58176" spans="1:100">
      <c r="A58176" s="374"/>
      <c r="C58176" s="374"/>
      <c r="CV58176" s="376"/>
    </row>
    <row r="58177" spans="1:100">
      <c r="A58177" s="374"/>
      <c r="C58177" s="374"/>
      <c r="CV58177" s="376"/>
    </row>
    <row r="58178" spans="1:100">
      <c r="A58178" s="374"/>
      <c r="C58178" s="374"/>
      <c r="CV58178" s="376"/>
    </row>
    <row r="58179" spans="1:100">
      <c r="A58179" s="374"/>
      <c r="C58179" s="374"/>
      <c r="CV58179" s="376"/>
    </row>
    <row r="58180" spans="1:100">
      <c r="A58180" s="374"/>
      <c r="C58180" s="374"/>
      <c r="CV58180" s="376"/>
    </row>
    <row r="58181" spans="1:100">
      <c r="A58181" s="374"/>
      <c r="C58181" s="374"/>
      <c r="CV58181" s="376"/>
    </row>
    <row r="58182" spans="1:100">
      <c r="A58182" s="374"/>
      <c r="C58182" s="374"/>
      <c r="CV58182" s="376"/>
    </row>
    <row r="58183" spans="1:100">
      <c r="A58183" s="374"/>
      <c r="C58183" s="374"/>
      <c r="CV58183" s="376"/>
    </row>
    <row r="58184" spans="1:100">
      <c r="A58184" s="374"/>
      <c r="C58184" s="374"/>
      <c r="CV58184" s="376"/>
    </row>
    <row r="58185" spans="1:100">
      <c r="A58185" s="374"/>
      <c r="C58185" s="374"/>
      <c r="CV58185" s="376"/>
    </row>
    <row r="58186" spans="1:100">
      <c r="A58186" s="374"/>
      <c r="C58186" s="374"/>
      <c r="CV58186" s="376"/>
    </row>
    <row r="58187" spans="1:100">
      <c r="A58187" s="374"/>
      <c r="C58187" s="374"/>
      <c r="CV58187" s="376"/>
    </row>
    <row r="58188" spans="1:100">
      <c r="A58188" s="374"/>
      <c r="C58188" s="374"/>
      <c r="CV58188" s="376"/>
    </row>
    <row r="58189" spans="1:100">
      <c r="A58189" s="374"/>
      <c r="C58189" s="374"/>
      <c r="CV58189" s="376"/>
    </row>
    <row r="58190" spans="1:100">
      <c r="A58190" s="374"/>
      <c r="C58190" s="374"/>
      <c r="CV58190" s="376"/>
    </row>
    <row r="58191" spans="1:100">
      <c r="A58191" s="374"/>
      <c r="C58191" s="374"/>
      <c r="CV58191" s="376"/>
    </row>
    <row r="58192" spans="1:100">
      <c r="A58192" s="374"/>
      <c r="C58192" s="374"/>
      <c r="CV58192" s="376"/>
    </row>
    <row r="58193" spans="1:100">
      <c r="A58193" s="374"/>
      <c r="C58193" s="374"/>
      <c r="CV58193" s="376"/>
    </row>
    <row r="58194" spans="1:100">
      <c r="A58194" s="374"/>
      <c r="C58194" s="374"/>
      <c r="CV58194" s="376"/>
    </row>
    <row r="58195" spans="1:100">
      <c r="A58195" s="374"/>
      <c r="C58195" s="374"/>
      <c r="CV58195" s="376"/>
    </row>
    <row r="58196" spans="1:100">
      <c r="A58196" s="374"/>
      <c r="C58196" s="374"/>
      <c r="CV58196" s="376"/>
    </row>
    <row r="58197" spans="1:100">
      <c r="A58197" s="374"/>
      <c r="C58197" s="374"/>
      <c r="CV58197" s="376"/>
    </row>
    <row r="58198" spans="1:100">
      <c r="A58198" s="374"/>
      <c r="C58198" s="374"/>
      <c r="CV58198" s="376"/>
    </row>
    <row r="58199" spans="1:100">
      <c r="A58199" s="374"/>
      <c r="C58199" s="374"/>
      <c r="CV58199" s="376"/>
    </row>
    <row r="58200" spans="1:100">
      <c r="A58200" s="374"/>
      <c r="C58200" s="374"/>
      <c r="CV58200" s="376"/>
    </row>
    <row r="58201" spans="1:100">
      <c r="A58201" s="374"/>
      <c r="C58201" s="374"/>
      <c r="CV58201" s="376"/>
    </row>
    <row r="58202" spans="1:100">
      <c r="A58202" s="374"/>
      <c r="C58202" s="374"/>
      <c r="CV58202" s="376"/>
    </row>
    <row r="58203" spans="1:100">
      <c r="A58203" s="374"/>
      <c r="C58203" s="374"/>
      <c r="CV58203" s="376"/>
    </row>
    <row r="58204" spans="1:100">
      <c r="A58204" s="374"/>
      <c r="C58204" s="374"/>
      <c r="CV58204" s="376"/>
    </row>
    <row r="58205" spans="1:100">
      <c r="A58205" s="374"/>
      <c r="C58205" s="374"/>
      <c r="CV58205" s="376"/>
    </row>
    <row r="58206" spans="1:100">
      <c r="A58206" s="374"/>
      <c r="C58206" s="374"/>
      <c r="CV58206" s="376"/>
    </row>
    <row r="58207" spans="1:100">
      <c r="A58207" s="374"/>
      <c r="C58207" s="374"/>
      <c r="CV58207" s="376"/>
    </row>
    <row r="58208" spans="1:100">
      <c r="A58208" s="374"/>
      <c r="C58208" s="374"/>
      <c r="CV58208" s="376"/>
    </row>
    <row r="58209" spans="1:100">
      <c r="A58209" s="374"/>
      <c r="C58209" s="374"/>
      <c r="CV58209" s="376"/>
    </row>
    <row r="58210" spans="1:100">
      <c r="A58210" s="374"/>
      <c r="C58210" s="374"/>
      <c r="CV58210" s="376"/>
    </row>
    <row r="58211" spans="1:100">
      <c r="A58211" s="374"/>
      <c r="C58211" s="374"/>
      <c r="CV58211" s="376"/>
    </row>
    <row r="58212" spans="1:100">
      <c r="A58212" s="374"/>
      <c r="C58212" s="374"/>
      <c r="CV58212" s="376"/>
    </row>
    <row r="58213" spans="1:100">
      <c r="A58213" s="374"/>
      <c r="C58213" s="374"/>
      <c r="CV58213" s="376"/>
    </row>
    <row r="58214" spans="1:100">
      <c r="A58214" s="374"/>
      <c r="C58214" s="374"/>
      <c r="CV58214" s="376"/>
    </row>
    <row r="58215" spans="1:100">
      <c r="A58215" s="374"/>
      <c r="C58215" s="374"/>
      <c r="CV58215" s="376"/>
    </row>
    <row r="58216" spans="1:100">
      <c r="A58216" s="374"/>
      <c r="C58216" s="374"/>
      <c r="CV58216" s="376"/>
    </row>
    <row r="58217" spans="1:100">
      <c r="A58217" s="374"/>
      <c r="C58217" s="374"/>
      <c r="CV58217" s="376"/>
    </row>
    <row r="58218" spans="1:100">
      <c r="A58218" s="374"/>
      <c r="C58218" s="374"/>
      <c r="CV58218" s="376"/>
    </row>
    <row r="58219" spans="1:100">
      <c r="A58219" s="374"/>
      <c r="C58219" s="374"/>
      <c r="CV58219" s="376"/>
    </row>
    <row r="58220" spans="1:100">
      <c r="A58220" s="374"/>
      <c r="C58220" s="374"/>
      <c r="CV58220" s="376"/>
    </row>
    <row r="58221" spans="1:100">
      <c r="A58221" s="374"/>
      <c r="C58221" s="374"/>
      <c r="CV58221" s="376"/>
    </row>
    <row r="58222" spans="1:100">
      <c r="A58222" s="374"/>
      <c r="C58222" s="374"/>
      <c r="CV58222" s="376"/>
    </row>
    <row r="58223" spans="1:100">
      <c r="A58223" s="374"/>
      <c r="C58223" s="374"/>
      <c r="CV58223" s="376"/>
    </row>
    <row r="58224" spans="1:100">
      <c r="A58224" s="374"/>
      <c r="C58224" s="374"/>
      <c r="CV58224" s="376"/>
    </row>
    <row r="58225" spans="1:100">
      <c r="A58225" s="374"/>
      <c r="C58225" s="374"/>
      <c r="CV58225" s="376"/>
    </row>
    <row r="58226" spans="1:100">
      <c r="A58226" s="374"/>
      <c r="C58226" s="374"/>
      <c r="CV58226" s="376"/>
    </row>
    <row r="58227" spans="1:100">
      <c r="A58227" s="374"/>
      <c r="C58227" s="374"/>
      <c r="CV58227" s="376"/>
    </row>
    <row r="58228" spans="1:100">
      <c r="A58228" s="374"/>
      <c r="C58228" s="374"/>
      <c r="CV58228" s="376"/>
    </row>
    <row r="58229" spans="1:100">
      <c r="A58229" s="374"/>
      <c r="C58229" s="374"/>
      <c r="CV58229" s="376"/>
    </row>
    <row r="58230" spans="1:100">
      <c r="A58230" s="374"/>
      <c r="C58230" s="374"/>
      <c r="CV58230" s="376"/>
    </row>
    <row r="58231" spans="1:100">
      <c r="A58231" s="374"/>
      <c r="C58231" s="374"/>
      <c r="CV58231" s="376"/>
    </row>
    <row r="58232" spans="1:100">
      <c r="A58232" s="374"/>
      <c r="C58232" s="374"/>
      <c r="CV58232" s="376"/>
    </row>
    <row r="58233" spans="1:100">
      <c r="A58233" s="374"/>
      <c r="C58233" s="374"/>
      <c r="CV58233" s="376"/>
    </row>
    <row r="58234" spans="1:100">
      <c r="A58234" s="374"/>
      <c r="C58234" s="374"/>
      <c r="CV58234" s="376"/>
    </row>
    <row r="58235" spans="1:100">
      <c r="A58235" s="374"/>
      <c r="C58235" s="374"/>
      <c r="CV58235" s="376"/>
    </row>
    <row r="58236" spans="1:100">
      <c r="A58236" s="374"/>
      <c r="C58236" s="374"/>
      <c r="CV58236" s="376"/>
    </row>
    <row r="58237" spans="1:100">
      <c r="A58237" s="374"/>
      <c r="C58237" s="374"/>
      <c r="CV58237" s="376"/>
    </row>
    <row r="58238" spans="1:100">
      <c r="A58238" s="374"/>
      <c r="C58238" s="374"/>
      <c r="CV58238" s="376"/>
    </row>
    <row r="58239" spans="1:100">
      <c r="A58239" s="374"/>
      <c r="C58239" s="374"/>
      <c r="CV58239" s="376"/>
    </row>
    <row r="58240" spans="1:100">
      <c r="A58240" s="374"/>
      <c r="C58240" s="374"/>
      <c r="CV58240" s="376"/>
    </row>
    <row r="58241" spans="1:100">
      <c r="A58241" s="374"/>
      <c r="C58241" s="374"/>
      <c r="CV58241" s="376"/>
    </row>
    <row r="58242" spans="1:100">
      <c r="A58242" s="374"/>
      <c r="C58242" s="374"/>
      <c r="CV58242" s="376"/>
    </row>
    <row r="58243" spans="1:100">
      <c r="A58243" s="374"/>
      <c r="C58243" s="374"/>
      <c r="CV58243" s="376"/>
    </row>
    <row r="58244" spans="1:100">
      <c r="A58244" s="374"/>
      <c r="C58244" s="374"/>
      <c r="CV58244" s="376"/>
    </row>
    <row r="58245" spans="1:100">
      <c r="A58245" s="374"/>
      <c r="C58245" s="374"/>
      <c r="CV58245" s="376"/>
    </row>
    <row r="58246" spans="1:100">
      <c r="A58246" s="374"/>
      <c r="C58246" s="374"/>
      <c r="CV58246" s="376"/>
    </row>
    <row r="58247" spans="1:100">
      <c r="A58247" s="374"/>
      <c r="C58247" s="374"/>
      <c r="CV58247" s="376"/>
    </row>
    <row r="58248" spans="1:100">
      <c r="A58248" s="374"/>
      <c r="C58248" s="374"/>
      <c r="CV58248" s="376"/>
    </row>
    <row r="58249" spans="1:100">
      <c r="A58249" s="374"/>
      <c r="C58249" s="374"/>
      <c r="CV58249" s="376"/>
    </row>
    <row r="58250" spans="1:100">
      <c r="A58250" s="374"/>
      <c r="C58250" s="374"/>
      <c r="CV58250" s="376"/>
    </row>
    <row r="58251" spans="1:100">
      <c r="A58251" s="374"/>
      <c r="C58251" s="374"/>
      <c r="CV58251" s="376"/>
    </row>
    <row r="58252" spans="1:100">
      <c r="A58252" s="374"/>
      <c r="C58252" s="374"/>
      <c r="CV58252" s="376"/>
    </row>
    <row r="58253" spans="1:100">
      <c r="A58253" s="374"/>
      <c r="C58253" s="374"/>
      <c r="CV58253" s="376"/>
    </row>
    <row r="58254" spans="1:100">
      <c r="A58254" s="374"/>
      <c r="C58254" s="374"/>
      <c r="CV58254" s="376"/>
    </row>
    <row r="58255" spans="1:100">
      <c r="A58255" s="374"/>
      <c r="C58255" s="374"/>
      <c r="CV58255" s="376"/>
    </row>
    <row r="58256" spans="1:100">
      <c r="A58256" s="374"/>
      <c r="C58256" s="374"/>
      <c r="CV58256" s="376"/>
    </row>
    <row r="58257" spans="1:100">
      <c r="A58257" s="374"/>
      <c r="C58257" s="374"/>
      <c r="CV58257" s="376"/>
    </row>
    <row r="58258" spans="1:100">
      <c r="A58258" s="374"/>
      <c r="C58258" s="374"/>
      <c r="CV58258" s="376"/>
    </row>
    <row r="58259" spans="1:100">
      <c r="A58259" s="374"/>
      <c r="C58259" s="374"/>
      <c r="CV58259" s="376"/>
    </row>
    <row r="58260" spans="1:100">
      <c r="A58260" s="374"/>
      <c r="C58260" s="374"/>
      <c r="CV58260" s="376"/>
    </row>
    <row r="58261" spans="1:100">
      <c r="A58261" s="374"/>
      <c r="C58261" s="374"/>
      <c r="CV58261" s="376"/>
    </row>
    <row r="58262" spans="1:100">
      <c r="A58262" s="374"/>
      <c r="C58262" s="374"/>
      <c r="CV58262" s="376"/>
    </row>
    <row r="58263" spans="1:100">
      <c r="A58263" s="374"/>
      <c r="C58263" s="374"/>
      <c r="CV58263" s="376"/>
    </row>
    <row r="58264" spans="1:100">
      <c r="A58264" s="374"/>
      <c r="C58264" s="374"/>
      <c r="CV58264" s="376"/>
    </row>
    <row r="58265" spans="1:100">
      <c r="A58265" s="374"/>
      <c r="C58265" s="374"/>
      <c r="CV58265" s="376"/>
    </row>
    <row r="58266" spans="1:100">
      <c r="A58266" s="374"/>
      <c r="C58266" s="374"/>
      <c r="CV58266" s="376"/>
    </row>
    <row r="58267" spans="1:100">
      <c r="A58267" s="374"/>
      <c r="C58267" s="374"/>
      <c r="CV58267" s="376"/>
    </row>
    <row r="58268" spans="1:100">
      <c r="A58268" s="374"/>
      <c r="C58268" s="374"/>
      <c r="CV58268" s="376"/>
    </row>
    <row r="58269" spans="1:100">
      <c r="A58269" s="374"/>
      <c r="C58269" s="374"/>
      <c r="CV58269" s="376"/>
    </row>
    <row r="58270" spans="1:100">
      <c r="A58270" s="374"/>
      <c r="C58270" s="374"/>
      <c r="CV58270" s="376"/>
    </row>
    <row r="58271" spans="1:100">
      <c r="A58271" s="374"/>
      <c r="C58271" s="374"/>
      <c r="CV58271" s="376"/>
    </row>
    <row r="58272" spans="1:100">
      <c r="A58272" s="374"/>
      <c r="C58272" s="374"/>
      <c r="CV58272" s="376"/>
    </row>
    <row r="58273" spans="1:100">
      <c r="A58273" s="374"/>
      <c r="C58273" s="374"/>
      <c r="CV58273" s="376"/>
    </row>
    <row r="58274" spans="1:100">
      <c r="A58274" s="374"/>
      <c r="C58274" s="374"/>
      <c r="CV58274" s="376"/>
    </row>
    <row r="58275" spans="1:100">
      <c r="A58275" s="374"/>
      <c r="C58275" s="374"/>
      <c r="CV58275" s="376"/>
    </row>
    <row r="58276" spans="1:100">
      <c r="A58276" s="374"/>
      <c r="C58276" s="374"/>
      <c r="CV58276" s="376"/>
    </row>
    <row r="58277" spans="1:100">
      <c r="A58277" s="374"/>
      <c r="C58277" s="374"/>
      <c r="CV58277" s="376"/>
    </row>
    <row r="58278" spans="1:100">
      <c r="A58278" s="374"/>
      <c r="C58278" s="374"/>
      <c r="CV58278" s="376"/>
    </row>
    <row r="58279" spans="1:100">
      <c r="A58279" s="374"/>
      <c r="C58279" s="374"/>
      <c r="CV58279" s="376"/>
    </row>
    <row r="58280" spans="1:100">
      <c r="A58280" s="374"/>
      <c r="C58280" s="374"/>
      <c r="CV58280" s="376"/>
    </row>
    <row r="58281" spans="1:100">
      <c r="A58281" s="374"/>
      <c r="C58281" s="374"/>
      <c r="CV58281" s="376"/>
    </row>
    <row r="58282" spans="1:100">
      <c r="A58282" s="374"/>
      <c r="C58282" s="374"/>
      <c r="CV58282" s="376"/>
    </row>
    <row r="58283" spans="1:100">
      <c r="A58283" s="374"/>
      <c r="C58283" s="374"/>
      <c r="CV58283" s="376"/>
    </row>
    <row r="58284" spans="1:100">
      <c r="A58284" s="374"/>
      <c r="C58284" s="374"/>
      <c r="CV58284" s="376"/>
    </row>
    <row r="58285" spans="1:100">
      <c r="A58285" s="374"/>
      <c r="C58285" s="374"/>
      <c r="CV58285" s="376"/>
    </row>
    <row r="58286" spans="1:100">
      <c r="A58286" s="374"/>
      <c r="C58286" s="374"/>
      <c r="CV58286" s="376"/>
    </row>
    <row r="58287" spans="1:100">
      <c r="A58287" s="374"/>
      <c r="C58287" s="374"/>
      <c r="CV58287" s="376"/>
    </row>
    <row r="58288" spans="1:100">
      <c r="A58288" s="374"/>
      <c r="C58288" s="374"/>
      <c r="CV58288" s="376"/>
    </row>
    <row r="58289" spans="1:100">
      <c r="A58289" s="374"/>
      <c r="C58289" s="374"/>
      <c r="CV58289" s="376"/>
    </row>
    <row r="58290" spans="1:100">
      <c r="A58290" s="374"/>
      <c r="C58290" s="374"/>
      <c r="CV58290" s="376"/>
    </row>
    <row r="58291" spans="1:100">
      <c r="A58291" s="374"/>
      <c r="C58291" s="374"/>
      <c r="CV58291" s="376"/>
    </row>
    <row r="58292" spans="1:100">
      <c r="A58292" s="374"/>
      <c r="C58292" s="374"/>
      <c r="CV58292" s="376"/>
    </row>
    <row r="58293" spans="1:100">
      <c r="A58293" s="374"/>
      <c r="C58293" s="374"/>
      <c r="CV58293" s="376"/>
    </row>
    <row r="58294" spans="1:100">
      <c r="A58294" s="374"/>
      <c r="C58294" s="374"/>
      <c r="CV58294" s="376"/>
    </row>
    <row r="58295" spans="1:100">
      <c r="A58295" s="374"/>
      <c r="C58295" s="374"/>
      <c r="CV58295" s="376"/>
    </row>
    <row r="58296" spans="1:100">
      <c r="A58296" s="374"/>
      <c r="C58296" s="374"/>
      <c r="CV58296" s="376"/>
    </row>
    <row r="58297" spans="1:100">
      <c r="A58297" s="374"/>
      <c r="C58297" s="374"/>
      <c r="CV58297" s="376"/>
    </row>
    <row r="58298" spans="1:100">
      <c r="A58298" s="374"/>
      <c r="C58298" s="374"/>
      <c r="CV58298" s="376"/>
    </row>
    <row r="58299" spans="1:100">
      <c r="A58299" s="374"/>
      <c r="C58299" s="374"/>
      <c r="CV58299" s="376"/>
    </row>
    <row r="58300" spans="1:100">
      <c r="A58300" s="374"/>
      <c r="C58300" s="374"/>
      <c r="CV58300" s="376"/>
    </row>
    <row r="58301" spans="1:100">
      <c r="A58301" s="374"/>
      <c r="C58301" s="374"/>
      <c r="CV58301" s="376"/>
    </row>
    <row r="58302" spans="1:100">
      <c r="A58302" s="374"/>
      <c r="C58302" s="374"/>
      <c r="CV58302" s="376"/>
    </row>
    <row r="58303" spans="1:100">
      <c r="A58303" s="374"/>
      <c r="C58303" s="374"/>
      <c r="CV58303" s="376"/>
    </row>
    <row r="58304" spans="1:100">
      <c r="A58304" s="374"/>
      <c r="C58304" s="374"/>
      <c r="CV58304" s="376"/>
    </row>
    <row r="58305" spans="1:100">
      <c r="A58305" s="374"/>
      <c r="C58305" s="374"/>
      <c r="CV58305" s="376"/>
    </row>
    <row r="58306" spans="1:100">
      <c r="A58306" s="374"/>
      <c r="C58306" s="374"/>
      <c r="CV58306" s="376"/>
    </row>
    <row r="58307" spans="1:100">
      <c r="A58307" s="374"/>
      <c r="C58307" s="374"/>
      <c r="CV58307" s="376"/>
    </row>
    <row r="58308" spans="1:100">
      <c r="A58308" s="374"/>
      <c r="C58308" s="374"/>
      <c r="CV58308" s="376"/>
    </row>
    <row r="58309" spans="1:100">
      <c r="A58309" s="374"/>
      <c r="C58309" s="374"/>
      <c r="CV58309" s="376"/>
    </row>
    <row r="58310" spans="1:100">
      <c r="A58310" s="374"/>
      <c r="C58310" s="374"/>
      <c r="CV58310" s="376"/>
    </row>
    <row r="58311" spans="1:100">
      <c r="A58311" s="374"/>
      <c r="C58311" s="374"/>
      <c r="CV58311" s="376"/>
    </row>
    <row r="58312" spans="1:100">
      <c r="A58312" s="374"/>
      <c r="C58312" s="374"/>
      <c r="CV58312" s="376"/>
    </row>
    <row r="58313" spans="1:100">
      <c r="A58313" s="374"/>
      <c r="C58313" s="374"/>
      <c r="CV58313" s="376"/>
    </row>
    <row r="58314" spans="1:100">
      <c r="A58314" s="374"/>
      <c r="C58314" s="374"/>
      <c r="CV58314" s="376"/>
    </row>
    <row r="58315" spans="1:100">
      <c r="A58315" s="374"/>
      <c r="C58315" s="374"/>
      <c r="CV58315" s="376"/>
    </row>
    <row r="58316" spans="1:100">
      <c r="A58316" s="374"/>
      <c r="C58316" s="374"/>
      <c r="CV58316" s="376"/>
    </row>
    <row r="58317" spans="1:100">
      <c r="A58317" s="374"/>
      <c r="C58317" s="374"/>
      <c r="CV58317" s="376"/>
    </row>
    <row r="58318" spans="1:100">
      <c r="A58318" s="374"/>
      <c r="C58318" s="374"/>
      <c r="CV58318" s="376"/>
    </row>
    <row r="58319" spans="1:100">
      <c r="A58319" s="374"/>
      <c r="C58319" s="374"/>
      <c r="CV58319" s="376"/>
    </row>
    <row r="58320" spans="1:100">
      <c r="A58320" s="374"/>
      <c r="C58320" s="374"/>
      <c r="CV58320" s="376"/>
    </row>
    <row r="58321" spans="1:100">
      <c r="A58321" s="374"/>
      <c r="C58321" s="374"/>
      <c r="CV58321" s="376"/>
    </row>
    <row r="58322" spans="1:100">
      <c r="A58322" s="374"/>
      <c r="C58322" s="374"/>
      <c r="CV58322" s="376"/>
    </row>
    <row r="58323" spans="1:100">
      <c r="A58323" s="374"/>
      <c r="C58323" s="374"/>
      <c r="CV58323" s="376"/>
    </row>
    <row r="58324" spans="1:100">
      <c r="A58324" s="374"/>
      <c r="C58324" s="374"/>
      <c r="CV58324" s="376"/>
    </row>
    <row r="58325" spans="1:100">
      <c r="A58325" s="374"/>
      <c r="C58325" s="374"/>
      <c r="CV58325" s="376"/>
    </row>
    <row r="58326" spans="1:100">
      <c r="A58326" s="374"/>
      <c r="C58326" s="374"/>
      <c r="CV58326" s="376"/>
    </row>
    <row r="58327" spans="1:100">
      <c r="A58327" s="374"/>
      <c r="C58327" s="374"/>
      <c r="CV58327" s="376"/>
    </row>
    <row r="58328" spans="1:100">
      <c r="A58328" s="374"/>
      <c r="C58328" s="374"/>
      <c r="CV58328" s="376"/>
    </row>
    <row r="58329" spans="1:100">
      <c r="A58329" s="374"/>
      <c r="C58329" s="374"/>
      <c r="CV58329" s="376"/>
    </row>
    <row r="58330" spans="1:100">
      <c r="A58330" s="374"/>
      <c r="C58330" s="374"/>
      <c r="CV58330" s="376"/>
    </row>
    <row r="58331" spans="1:100">
      <c r="A58331" s="374"/>
      <c r="C58331" s="374"/>
      <c r="CV58331" s="376"/>
    </row>
    <row r="58332" spans="1:100">
      <c r="A58332" s="374"/>
      <c r="C58332" s="374"/>
      <c r="CV58332" s="376"/>
    </row>
    <row r="58333" spans="1:100">
      <c r="A58333" s="374"/>
      <c r="C58333" s="374"/>
      <c r="CV58333" s="376"/>
    </row>
    <row r="58334" spans="1:100">
      <c r="A58334" s="374"/>
      <c r="C58334" s="374"/>
      <c r="CV58334" s="376"/>
    </row>
    <row r="58335" spans="1:100">
      <c r="A58335" s="374"/>
      <c r="C58335" s="374"/>
      <c r="CV58335" s="376"/>
    </row>
    <row r="58336" spans="1:100">
      <c r="A58336" s="374"/>
      <c r="C58336" s="374"/>
      <c r="CV58336" s="376"/>
    </row>
    <row r="58337" spans="1:100">
      <c r="A58337" s="374"/>
      <c r="C58337" s="374"/>
      <c r="CV58337" s="376"/>
    </row>
    <row r="58338" spans="1:100">
      <c r="A58338" s="374"/>
      <c r="C58338" s="374"/>
      <c r="CV58338" s="376"/>
    </row>
    <row r="58339" spans="1:100">
      <c r="A58339" s="374"/>
      <c r="C58339" s="374"/>
      <c r="CV58339" s="376"/>
    </row>
    <row r="58340" spans="1:100">
      <c r="A58340" s="374"/>
      <c r="C58340" s="374"/>
      <c r="CV58340" s="376"/>
    </row>
    <row r="58341" spans="1:100">
      <c r="A58341" s="374"/>
      <c r="C58341" s="374"/>
      <c r="CV58341" s="376"/>
    </row>
    <row r="58342" spans="1:100">
      <c r="A58342" s="374"/>
      <c r="C58342" s="374"/>
      <c r="CV58342" s="376"/>
    </row>
    <row r="58343" spans="1:100">
      <c r="A58343" s="374"/>
      <c r="C58343" s="374"/>
      <c r="CV58343" s="376"/>
    </row>
    <row r="58344" spans="1:100">
      <c r="A58344" s="374"/>
      <c r="C58344" s="374"/>
      <c r="CV58344" s="376"/>
    </row>
    <row r="58345" spans="1:100">
      <c r="A58345" s="374"/>
      <c r="C58345" s="374"/>
      <c r="CV58345" s="376"/>
    </row>
    <row r="58346" spans="1:100">
      <c r="A58346" s="374"/>
      <c r="C58346" s="374"/>
      <c r="CV58346" s="376"/>
    </row>
    <row r="58347" spans="1:100">
      <c r="A58347" s="374"/>
      <c r="C58347" s="374"/>
      <c r="CV58347" s="376"/>
    </row>
    <row r="58348" spans="1:100">
      <c r="A58348" s="374"/>
      <c r="C58348" s="374"/>
      <c r="CV58348" s="376"/>
    </row>
    <row r="58349" spans="1:100">
      <c r="A58349" s="374"/>
      <c r="C58349" s="374"/>
      <c r="CV58349" s="376"/>
    </row>
    <row r="58350" spans="1:100">
      <c r="A58350" s="374"/>
      <c r="C58350" s="374"/>
      <c r="CV58350" s="376"/>
    </row>
    <row r="58351" spans="1:100">
      <c r="A58351" s="374"/>
      <c r="C58351" s="374"/>
      <c r="CV58351" s="376"/>
    </row>
    <row r="58352" spans="1:100">
      <c r="A58352" s="374"/>
      <c r="C58352" s="374"/>
      <c r="CV58352" s="376"/>
    </row>
    <row r="58353" spans="1:100">
      <c r="A58353" s="374"/>
      <c r="C58353" s="374"/>
      <c r="CV58353" s="376"/>
    </row>
    <row r="58354" spans="1:100">
      <c r="A58354" s="374"/>
      <c r="C58354" s="374"/>
      <c r="CV58354" s="376"/>
    </row>
    <row r="58355" spans="1:100">
      <c r="A58355" s="374"/>
      <c r="C58355" s="374"/>
      <c r="CV58355" s="376"/>
    </row>
    <row r="58356" spans="1:100">
      <c r="A58356" s="374"/>
      <c r="C58356" s="374"/>
      <c r="CV58356" s="376"/>
    </row>
    <row r="58357" spans="1:100">
      <c r="A58357" s="374"/>
      <c r="C58357" s="374"/>
      <c r="CV58357" s="376"/>
    </row>
    <row r="58358" spans="1:100">
      <c r="A58358" s="374"/>
      <c r="C58358" s="374"/>
      <c r="CV58358" s="376"/>
    </row>
    <row r="58359" spans="1:100">
      <c r="A58359" s="374"/>
      <c r="C58359" s="374"/>
      <c r="CV58359" s="376"/>
    </row>
    <row r="58360" spans="1:100">
      <c r="A58360" s="374"/>
      <c r="C58360" s="374"/>
      <c r="CV58360" s="376"/>
    </row>
    <row r="58361" spans="1:100">
      <c r="A58361" s="374"/>
      <c r="C58361" s="374"/>
      <c r="CV58361" s="376"/>
    </row>
    <row r="58362" spans="1:100">
      <c r="A58362" s="374"/>
      <c r="C58362" s="374"/>
      <c r="CV58362" s="376"/>
    </row>
    <row r="58363" spans="1:100">
      <c r="A58363" s="374"/>
      <c r="C58363" s="374"/>
      <c r="CV58363" s="376"/>
    </row>
    <row r="58364" spans="1:100">
      <c r="A58364" s="374"/>
      <c r="C58364" s="374"/>
      <c r="CV58364" s="376"/>
    </row>
    <row r="58365" spans="1:100">
      <c r="A58365" s="374"/>
      <c r="C58365" s="374"/>
      <c r="CV58365" s="376"/>
    </row>
    <row r="58366" spans="1:100">
      <c r="A58366" s="374"/>
      <c r="C58366" s="374"/>
      <c r="CV58366" s="376"/>
    </row>
    <row r="58367" spans="1:100">
      <c r="A58367" s="374"/>
      <c r="C58367" s="374"/>
      <c r="CV58367" s="376"/>
    </row>
    <row r="58368" spans="1:100">
      <c r="A58368" s="374"/>
      <c r="C58368" s="374"/>
      <c r="CV58368" s="376"/>
    </row>
    <row r="58369" spans="1:100">
      <c r="A58369" s="374"/>
      <c r="C58369" s="374"/>
      <c r="CV58369" s="376"/>
    </row>
    <row r="58370" spans="1:100">
      <c r="A58370" s="374"/>
      <c r="C58370" s="374"/>
      <c r="CV58370" s="376"/>
    </row>
    <row r="58371" spans="1:100">
      <c r="A58371" s="374"/>
      <c r="C58371" s="374"/>
      <c r="CV58371" s="376"/>
    </row>
    <row r="58372" spans="1:100">
      <c r="A58372" s="374"/>
      <c r="C58372" s="374"/>
      <c r="CV58372" s="376"/>
    </row>
    <row r="58373" spans="1:100">
      <c r="A58373" s="374"/>
      <c r="C58373" s="374"/>
      <c r="CV58373" s="376"/>
    </row>
    <row r="58374" spans="1:100">
      <c r="A58374" s="374"/>
      <c r="C58374" s="374"/>
      <c r="CV58374" s="376"/>
    </row>
    <row r="58375" spans="1:100">
      <c r="A58375" s="374"/>
      <c r="C58375" s="374"/>
      <c r="CV58375" s="376"/>
    </row>
    <row r="58376" spans="1:100">
      <c r="A58376" s="374"/>
      <c r="C58376" s="374"/>
      <c r="CV58376" s="376"/>
    </row>
    <row r="58377" spans="1:100">
      <c r="A58377" s="374"/>
      <c r="C58377" s="374"/>
      <c r="CV58377" s="376"/>
    </row>
    <row r="58378" spans="1:100">
      <c r="A58378" s="374"/>
      <c r="C58378" s="374"/>
      <c r="CV58378" s="376"/>
    </row>
    <row r="58379" spans="1:100">
      <c r="A58379" s="374"/>
      <c r="C58379" s="374"/>
      <c r="CV58379" s="376"/>
    </row>
    <row r="58380" spans="1:100">
      <c r="A58380" s="374"/>
      <c r="C58380" s="374"/>
      <c r="CV58380" s="376"/>
    </row>
    <row r="58381" spans="1:100">
      <c r="A58381" s="374"/>
      <c r="C58381" s="374"/>
      <c r="CV58381" s="376"/>
    </row>
    <row r="58382" spans="1:100">
      <c r="A58382" s="374"/>
      <c r="C58382" s="374"/>
      <c r="CV58382" s="376"/>
    </row>
    <row r="58383" spans="1:100">
      <c r="A58383" s="374"/>
      <c r="C58383" s="374"/>
      <c r="CV58383" s="376"/>
    </row>
    <row r="58384" spans="1:100">
      <c r="A58384" s="374"/>
      <c r="C58384" s="374"/>
      <c r="CV58384" s="376"/>
    </row>
    <row r="58385" spans="1:100">
      <c r="A58385" s="374"/>
      <c r="C58385" s="374"/>
      <c r="CV58385" s="376"/>
    </row>
    <row r="58386" spans="1:100">
      <c r="A58386" s="374"/>
      <c r="C58386" s="374"/>
      <c r="CV58386" s="376"/>
    </row>
    <row r="58387" spans="1:100">
      <c r="A58387" s="374"/>
      <c r="C58387" s="374"/>
      <c r="CV58387" s="376"/>
    </row>
    <row r="58388" spans="1:100">
      <c r="A58388" s="374"/>
      <c r="C58388" s="374"/>
      <c r="CV58388" s="376"/>
    </row>
    <row r="58389" spans="1:100">
      <c r="A58389" s="374"/>
      <c r="C58389" s="374"/>
      <c r="CV58389" s="376"/>
    </row>
    <row r="58390" spans="1:100">
      <c r="A58390" s="374"/>
      <c r="C58390" s="374"/>
      <c r="CV58390" s="376"/>
    </row>
    <row r="58391" spans="1:100">
      <c r="A58391" s="374"/>
      <c r="C58391" s="374"/>
      <c r="CV58391" s="376"/>
    </row>
    <row r="58392" spans="1:100">
      <c r="A58392" s="374"/>
      <c r="C58392" s="374"/>
      <c r="CV58392" s="376"/>
    </row>
    <row r="58393" spans="1:100">
      <c r="A58393" s="374"/>
      <c r="C58393" s="374"/>
      <c r="CV58393" s="376"/>
    </row>
    <row r="58394" spans="1:100">
      <c r="A58394" s="374"/>
      <c r="C58394" s="374"/>
      <c r="CV58394" s="376"/>
    </row>
    <row r="58395" spans="1:100">
      <c r="A58395" s="374"/>
      <c r="C58395" s="374"/>
      <c r="CV58395" s="376"/>
    </row>
    <row r="58396" spans="1:100">
      <c r="A58396" s="374"/>
      <c r="C58396" s="374"/>
      <c r="CV58396" s="376"/>
    </row>
    <row r="58397" spans="1:100">
      <c r="A58397" s="374"/>
      <c r="C58397" s="374"/>
      <c r="CV58397" s="376"/>
    </row>
    <row r="58398" spans="1:100">
      <c r="A58398" s="374"/>
      <c r="C58398" s="374"/>
      <c r="CV58398" s="376"/>
    </row>
    <row r="58399" spans="1:100">
      <c r="A58399" s="374"/>
      <c r="C58399" s="374"/>
      <c r="CV58399" s="376"/>
    </row>
    <row r="58400" spans="1:100">
      <c r="A58400" s="374"/>
      <c r="C58400" s="374"/>
      <c r="CV58400" s="376"/>
    </row>
    <row r="58401" spans="1:100">
      <c r="A58401" s="374"/>
      <c r="C58401" s="374"/>
      <c r="CV58401" s="376"/>
    </row>
    <row r="58402" spans="1:100">
      <c r="A58402" s="374"/>
      <c r="C58402" s="374"/>
      <c r="CV58402" s="376"/>
    </row>
    <row r="58403" spans="1:100">
      <c r="A58403" s="374"/>
      <c r="C58403" s="374"/>
      <c r="CV58403" s="376"/>
    </row>
    <row r="58404" spans="1:100">
      <c r="A58404" s="374"/>
      <c r="C58404" s="374"/>
      <c r="CV58404" s="376"/>
    </row>
    <row r="58405" spans="1:100">
      <c r="A58405" s="374"/>
      <c r="C58405" s="374"/>
      <c r="CV58405" s="376"/>
    </row>
    <row r="58406" spans="1:100">
      <c r="A58406" s="374"/>
      <c r="C58406" s="374"/>
      <c r="CV58406" s="376"/>
    </row>
    <row r="58407" spans="1:100">
      <c r="A58407" s="374"/>
      <c r="C58407" s="374"/>
      <c r="CV58407" s="376"/>
    </row>
    <row r="58408" spans="1:100">
      <c r="A58408" s="374"/>
      <c r="C58408" s="374"/>
      <c r="CV58408" s="376"/>
    </row>
    <row r="58409" spans="1:100">
      <c r="A58409" s="374"/>
      <c r="C58409" s="374"/>
      <c r="CV58409" s="376"/>
    </row>
    <row r="58410" spans="1:100">
      <c r="A58410" s="374"/>
      <c r="C58410" s="374"/>
      <c r="CV58410" s="376"/>
    </row>
    <row r="58411" spans="1:100">
      <c r="A58411" s="374"/>
      <c r="C58411" s="374"/>
      <c r="CV58411" s="376"/>
    </row>
    <row r="58412" spans="1:100">
      <c r="A58412" s="374"/>
      <c r="C58412" s="374"/>
      <c r="CV58412" s="376"/>
    </row>
    <row r="58413" spans="1:100">
      <c r="A58413" s="374"/>
      <c r="C58413" s="374"/>
      <c r="CV58413" s="376"/>
    </row>
    <row r="58414" spans="1:100">
      <c r="A58414" s="374"/>
      <c r="C58414" s="374"/>
      <c r="CV58414" s="376"/>
    </row>
    <row r="58415" spans="1:100">
      <c r="A58415" s="374"/>
      <c r="C58415" s="374"/>
      <c r="CV58415" s="376"/>
    </row>
    <row r="58416" spans="1:100">
      <c r="A58416" s="374"/>
      <c r="C58416" s="374"/>
      <c r="CV58416" s="376"/>
    </row>
    <row r="58417" spans="1:100">
      <c r="A58417" s="374"/>
      <c r="C58417" s="374"/>
      <c r="CV58417" s="376"/>
    </row>
    <row r="58418" spans="1:100">
      <c r="A58418" s="374"/>
      <c r="C58418" s="374"/>
      <c r="CV58418" s="376"/>
    </row>
    <row r="58419" spans="1:100">
      <c r="A58419" s="374"/>
      <c r="C58419" s="374"/>
      <c r="CV58419" s="376"/>
    </row>
    <row r="58420" spans="1:100">
      <c r="A58420" s="374"/>
      <c r="C58420" s="374"/>
      <c r="CV58420" s="376"/>
    </row>
    <row r="58421" spans="1:100">
      <c r="A58421" s="374"/>
      <c r="C58421" s="374"/>
      <c r="CV58421" s="376"/>
    </row>
    <row r="58422" spans="1:100">
      <c r="A58422" s="374"/>
      <c r="C58422" s="374"/>
      <c r="CV58422" s="376"/>
    </row>
    <row r="58423" spans="1:100">
      <c r="A58423" s="374"/>
      <c r="C58423" s="374"/>
      <c r="CV58423" s="376"/>
    </row>
    <row r="58424" spans="1:100">
      <c r="A58424" s="374"/>
      <c r="C58424" s="374"/>
      <c r="CV58424" s="376"/>
    </row>
    <row r="58425" spans="1:100">
      <c r="A58425" s="374"/>
      <c r="C58425" s="374"/>
      <c r="CV58425" s="376"/>
    </row>
    <row r="58426" spans="1:100">
      <c r="A58426" s="374"/>
      <c r="C58426" s="374"/>
      <c r="CV58426" s="376"/>
    </row>
    <row r="58427" spans="1:100">
      <c r="A58427" s="374"/>
      <c r="C58427" s="374"/>
      <c r="CV58427" s="376"/>
    </row>
    <row r="58428" spans="1:100">
      <c r="A58428" s="374"/>
      <c r="C58428" s="374"/>
      <c r="CV58428" s="376"/>
    </row>
    <row r="58429" spans="1:100">
      <c r="A58429" s="374"/>
      <c r="C58429" s="374"/>
      <c r="CV58429" s="376"/>
    </row>
    <row r="58430" spans="1:100">
      <c r="A58430" s="374"/>
      <c r="C58430" s="374"/>
      <c r="CV58430" s="376"/>
    </row>
    <row r="58431" spans="1:100">
      <c r="A58431" s="374"/>
      <c r="C58431" s="374"/>
      <c r="CV58431" s="376"/>
    </row>
    <row r="58432" spans="1:100">
      <c r="A58432" s="374"/>
      <c r="C58432" s="374"/>
      <c r="CV58432" s="376"/>
    </row>
    <row r="58433" spans="1:100">
      <c r="A58433" s="374"/>
      <c r="C58433" s="374"/>
      <c r="CV58433" s="376"/>
    </row>
    <row r="58434" spans="1:100">
      <c r="A58434" s="374"/>
      <c r="C58434" s="374"/>
      <c r="CV58434" s="376"/>
    </row>
    <row r="58435" spans="1:100">
      <c r="A58435" s="374"/>
      <c r="C58435" s="374"/>
      <c r="CV58435" s="376"/>
    </row>
    <row r="58436" spans="1:100">
      <c r="A58436" s="374"/>
      <c r="C58436" s="374"/>
      <c r="CV58436" s="376"/>
    </row>
    <row r="58437" spans="1:100">
      <c r="A58437" s="374"/>
      <c r="C58437" s="374"/>
      <c r="CV58437" s="376"/>
    </row>
    <row r="58438" spans="1:100">
      <c r="A58438" s="374"/>
      <c r="C58438" s="374"/>
      <c r="CV58438" s="376"/>
    </row>
    <row r="58439" spans="1:100">
      <c r="A58439" s="374"/>
      <c r="C58439" s="374"/>
      <c r="CV58439" s="376"/>
    </row>
    <row r="58440" spans="1:100">
      <c r="A58440" s="374"/>
      <c r="C58440" s="374"/>
      <c r="CV58440" s="376"/>
    </row>
    <row r="58441" spans="1:100">
      <c r="A58441" s="374"/>
      <c r="C58441" s="374"/>
      <c r="CV58441" s="376"/>
    </row>
    <row r="58442" spans="1:100">
      <c r="A58442" s="374"/>
      <c r="C58442" s="374"/>
      <c r="CV58442" s="376"/>
    </row>
    <row r="58443" spans="1:100">
      <c r="A58443" s="374"/>
      <c r="C58443" s="374"/>
      <c r="CV58443" s="376"/>
    </row>
    <row r="58444" spans="1:100">
      <c r="A58444" s="374"/>
      <c r="C58444" s="374"/>
      <c r="CV58444" s="376"/>
    </row>
    <row r="58445" spans="1:100">
      <c r="A58445" s="374"/>
      <c r="C58445" s="374"/>
      <c r="CV58445" s="376"/>
    </row>
    <row r="58446" spans="1:100">
      <c r="A58446" s="374"/>
      <c r="C58446" s="374"/>
      <c r="CV58446" s="376"/>
    </row>
    <row r="58447" spans="1:100">
      <c r="A58447" s="374"/>
      <c r="C58447" s="374"/>
      <c r="CV58447" s="376"/>
    </row>
    <row r="58448" spans="1:100">
      <c r="A58448" s="374"/>
      <c r="C58448" s="374"/>
      <c r="CV58448" s="376"/>
    </row>
    <row r="58449" spans="1:100">
      <c r="A58449" s="374"/>
      <c r="C58449" s="374"/>
      <c r="CV58449" s="376"/>
    </row>
    <row r="58450" spans="1:100">
      <c r="A58450" s="374"/>
      <c r="C58450" s="374"/>
      <c r="CV58450" s="376"/>
    </row>
    <row r="58451" spans="1:100">
      <c r="A58451" s="374"/>
      <c r="C58451" s="374"/>
      <c r="CV58451" s="376"/>
    </row>
    <row r="58452" spans="1:100">
      <c r="A58452" s="374"/>
      <c r="C58452" s="374"/>
      <c r="CV58452" s="376"/>
    </row>
    <row r="58453" spans="1:100">
      <c r="A58453" s="374"/>
      <c r="C58453" s="374"/>
      <c r="CV58453" s="376"/>
    </row>
    <row r="58454" spans="1:100">
      <c r="A58454" s="374"/>
      <c r="C58454" s="374"/>
      <c r="CV58454" s="376"/>
    </row>
    <row r="58455" spans="1:100">
      <c r="A58455" s="374"/>
      <c r="C58455" s="374"/>
      <c r="CV58455" s="376"/>
    </row>
    <row r="58456" spans="1:100">
      <c r="A58456" s="374"/>
      <c r="C58456" s="374"/>
      <c r="CV58456" s="376"/>
    </row>
    <row r="58457" spans="1:100">
      <c r="A58457" s="374"/>
      <c r="C58457" s="374"/>
      <c r="CV58457" s="376"/>
    </row>
    <row r="58458" spans="1:100">
      <c r="A58458" s="374"/>
      <c r="C58458" s="374"/>
      <c r="CV58458" s="376"/>
    </row>
    <row r="58459" spans="1:100">
      <c r="A58459" s="374"/>
      <c r="C58459" s="374"/>
      <c r="CV58459" s="376"/>
    </row>
    <row r="58460" spans="1:100">
      <c r="A58460" s="374"/>
      <c r="C58460" s="374"/>
      <c r="CV58460" s="376"/>
    </row>
    <row r="58461" spans="1:100">
      <c r="A58461" s="374"/>
      <c r="C58461" s="374"/>
      <c r="CV58461" s="376"/>
    </row>
    <row r="58462" spans="1:100">
      <c r="A58462" s="374"/>
      <c r="C58462" s="374"/>
      <c r="CV58462" s="376"/>
    </row>
    <row r="58463" spans="1:100">
      <c r="A58463" s="374"/>
      <c r="C58463" s="374"/>
      <c r="CV58463" s="376"/>
    </row>
    <row r="58464" spans="1:100">
      <c r="A58464" s="374"/>
      <c r="C58464" s="374"/>
      <c r="CV58464" s="376"/>
    </row>
    <row r="58465" spans="1:100">
      <c r="A58465" s="374"/>
      <c r="C58465" s="374"/>
      <c r="CV58465" s="376"/>
    </row>
    <row r="58466" spans="1:100">
      <c r="A58466" s="374"/>
      <c r="C58466" s="374"/>
      <c r="CV58466" s="376"/>
    </row>
    <row r="58467" spans="1:100">
      <c r="A58467" s="374"/>
      <c r="C58467" s="374"/>
      <c r="CV58467" s="376"/>
    </row>
    <row r="58468" spans="1:100">
      <c r="A58468" s="374"/>
      <c r="C58468" s="374"/>
      <c r="CV58468" s="376"/>
    </row>
    <row r="58469" spans="1:100">
      <c r="A58469" s="374"/>
      <c r="C58469" s="374"/>
      <c r="CV58469" s="376"/>
    </row>
    <row r="58470" spans="1:100">
      <c r="A58470" s="374"/>
      <c r="C58470" s="374"/>
      <c r="CV58470" s="376"/>
    </row>
    <row r="58471" spans="1:100">
      <c r="A58471" s="374"/>
      <c r="C58471" s="374"/>
      <c r="CV58471" s="376"/>
    </row>
    <row r="58472" spans="1:100">
      <c r="A58472" s="374"/>
      <c r="C58472" s="374"/>
      <c r="CV58472" s="376"/>
    </row>
    <row r="58473" spans="1:100">
      <c r="A58473" s="374"/>
      <c r="C58473" s="374"/>
      <c r="CV58473" s="376"/>
    </row>
    <row r="58474" spans="1:100">
      <c r="A58474" s="374"/>
      <c r="C58474" s="374"/>
      <c r="CV58474" s="376"/>
    </row>
    <row r="58475" spans="1:100">
      <c r="A58475" s="374"/>
      <c r="C58475" s="374"/>
      <c r="CV58475" s="376"/>
    </row>
    <row r="58476" spans="1:100">
      <c r="A58476" s="374"/>
      <c r="C58476" s="374"/>
      <c r="CV58476" s="376"/>
    </row>
    <row r="58477" spans="1:100">
      <c r="A58477" s="374"/>
      <c r="C58477" s="374"/>
      <c r="CV58477" s="376"/>
    </row>
    <row r="58478" spans="1:100">
      <c r="A58478" s="374"/>
      <c r="C58478" s="374"/>
      <c r="CV58478" s="376"/>
    </row>
    <row r="58479" spans="1:100">
      <c r="A58479" s="374"/>
      <c r="C58479" s="374"/>
      <c r="CV58479" s="376"/>
    </row>
    <row r="58480" spans="1:100">
      <c r="A58480" s="374"/>
      <c r="C58480" s="374"/>
      <c r="CV58480" s="376"/>
    </row>
    <row r="58481" spans="1:100">
      <c r="A58481" s="374"/>
      <c r="C58481" s="374"/>
      <c r="CV58481" s="376"/>
    </row>
    <row r="58482" spans="1:100">
      <c r="A58482" s="374"/>
      <c r="C58482" s="374"/>
      <c r="CV58482" s="376"/>
    </row>
    <row r="58483" spans="1:100">
      <c r="A58483" s="374"/>
      <c r="C58483" s="374"/>
      <c r="CV58483" s="376"/>
    </row>
    <row r="58484" spans="1:100">
      <c r="A58484" s="374"/>
      <c r="C58484" s="374"/>
      <c r="CV58484" s="376"/>
    </row>
    <row r="58485" spans="1:100">
      <c r="A58485" s="374"/>
      <c r="C58485" s="374"/>
      <c r="CV58485" s="376"/>
    </row>
    <row r="58486" spans="1:100">
      <c r="A58486" s="374"/>
      <c r="C58486" s="374"/>
      <c r="CV58486" s="376"/>
    </row>
    <row r="58487" spans="1:100">
      <c r="A58487" s="374"/>
      <c r="C58487" s="374"/>
      <c r="CV58487" s="376"/>
    </row>
    <row r="58488" spans="1:100">
      <c r="A58488" s="374"/>
      <c r="C58488" s="374"/>
      <c r="CV58488" s="376"/>
    </row>
    <row r="58489" spans="1:100">
      <c r="A58489" s="374"/>
      <c r="C58489" s="374"/>
      <c r="CV58489" s="376"/>
    </row>
    <row r="58490" spans="1:100">
      <c r="A58490" s="374"/>
      <c r="C58490" s="374"/>
      <c r="CV58490" s="376"/>
    </row>
    <row r="58491" spans="1:100">
      <c r="A58491" s="374"/>
      <c r="C58491" s="374"/>
      <c r="CV58491" s="376"/>
    </row>
    <row r="58492" spans="1:100">
      <c r="A58492" s="374"/>
      <c r="C58492" s="374"/>
      <c r="CV58492" s="376"/>
    </row>
    <row r="58493" spans="1:100">
      <c r="A58493" s="374"/>
      <c r="C58493" s="374"/>
      <c r="CV58493" s="376"/>
    </row>
    <row r="58494" spans="1:100">
      <c r="A58494" s="374"/>
      <c r="C58494" s="374"/>
      <c r="CV58494" s="376"/>
    </row>
    <row r="58495" spans="1:100">
      <c r="A58495" s="374"/>
      <c r="C58495" s="374"/>
      <c r="CV58495" s="376"/>
    </row>
    <row r="58496" spans="1:100">
      <c r="A58496" s="374"/>
      <c r="C58496" s="374"/>
      <c r="CV58496" s="376"/>
    </row>
    <row r="58497" spans="1:100">
      <c r="A58497" s="374"/>
      <c r="C58497" s="374"/>
      <c r="CV58497" s="376"/>
    </row>
    <row r="58498" spans="1:100">
      <c r="A58498" s="374"/>
      <c r="C58498" s="374"/>
      <c r="CV58498" s="376"/>
    </row>
    <row r="58499" spans="1:100">
      <c r="A58499" s="374"/>
      <c r="C58499" s="374"/>
      <c r="CV58499" s="376"/>
    </row>
    <row r="58500" spans="1:100">
      <c r="A58500" s="374"/>
      <c r="C58500" s="374"/>
      <c r="CV58500" s="376"/>
    </row>
    <row r="58501" spans="1:100">
      <c r="A58501" s="374"/>
      <c r="C58501" s="374"/>
      <c r="CV58501" s="376"/>
    </row>
    <row r="58502" spans="1:100">
      <c r="A58502" s="374"/>
      <c r="C58502" s="374"/>
      <c r="CV58502" s="376"/>
    </row>
    <row r="58503" spans="1:100">
      <c r="A58503" s="374"/>
      <c r="C58503" s="374"/>
      <c r="CV58503" s="376"/>
    </row>
    <row r="58504" spans="1:100">
      <c r="A58504" s="374"/>
      <c r="C58504" s="374"/>
      <c r="CV58504" s="376"/>
    </row>
    <row r="58505" spans="1:100">
      <c r="A58505" s="374"/>
      <c r="C58505" s="374"/>
      <c r="CV58505" s="376"/>
    </row>
    <row r="58506" spans="1:100">
      <c r="A58506" s="374"/>
      <c r="C58506" s="374"/>
      <c r="CV58506" s="376"/>
    </row>
    <row r="58507" spans="1:100">
      <c r="A58507" s="374"/>
      <c r="C58507" s="374"/>
      <c r="CV58507" s="376"/>
    </row>
    <row r="58508" spans="1:100">
      <c r="A58508" s="374"/>
      <c r="C58508" s="374"/>
      <c r="CV58508" s="376"/>
    </row>
    <row r="58509" spans="1:100">
      <c r="A58509" s="374"/>
      <c r="C58509" s="374"/>
      <c r="CV58509" s="376"/>
    </row>
    <row r="58510" spans="1:100">
      <c r="A58510" s="374"/>
      <c r="C58510" s="374"/>
      <c r="CV58510" s="376"/>
    </row>
    <row r="58511" spans="1:100">
      <c r="A58511" s="374"/>
      <c r="C58511" s="374"/>
      <c r="CV58511" s="376"/>
    </row>
    <row r="58512" spans="1:100">
      <c r="A58512" s="374"/>
      <c r="C58512" s="374"/>
      <c r="CV58512" s="376"/>
    </row>
    <row r="58513" spans="1:100">
      <c r="A58513" s="374"/>
      <c r="C58513" s="374"/>
      <c r="CV58513" s="376"/>
    </row>
    <row r="58514" spans="1:100">
      <c r="A58514" s="374"/>
      <c r="C58514" s="374"/>
      <c r="CV58514" s="376"/>
    </row>
    <row r="58515" spans="1:100">
      <c r="A58515" s="374"/>
      <c r="C58515" s="374"/>
      <c r="CV58515" s="376"/>
    </row>
    <row r="58516" spans="1:100">
      <c r="A58516" s="374"/>
      <c r="C58516" s="374"/>
      <c r="CV58516" s="376"/>
    </row>
    <row r="58517" spans="1:100">
      <c r="A58517" s="374"/>
      <c r="C58517" s="374"/>
      <c r="CV58517" s="376"/>
    </row>
    <row r="58518" spans="1:100">
      <c r="A58518" s="374"/>
      <c r="C58518" s="374"/>
      <c r="CV58518" s="376"/>
    </row>
    <row r="58519" spans="1:100">
      <c r="A58519" s="374"/>
      <c r="C58519" s="374"/>
      <c r="CV58519" s="376"/>
    </row>
    <row r="58520" spans="1:100">
      <c r="A58520" s="374"/>
      <c r="C58520" s="374"/>
      <c r="CV58520" s="376"/>
    </row>
    <row r="58521" spans="1:100">
      <c r="A58521" s="374"/>
      <c r="C58521" s="374"/>
      <c r="CV58521" s="376"/>
    </row>
    <row r="58522" spans="1:100">
      <c r="A58522" s="374"/>
      <c r="C58522" s="374"/>
      <c r="CV58522" s="376"/>
    </row>
    <row r="58523" spans="1:100">
      <c r="A58523" s="374"/>
      <c r="C58523" s="374"/>
      <c r="CV58523" s="376"/>
    </row>
    <row r="58524" spans="1:100">
      <c r="A58524" s="374"/>
      <c r="C58524" s="374"/>
      <c r="CV58524" s="376"/>
    </row>
    <row r="58525" spans="1:100">
      <c r="A58525" s="374"/>
      <c r="C58525" s="374"/>
      <c r="CV58525" s="376"/>
    </row>
    <row r="58526" spans="1:100">
      <c r="A58526" s="374"/>
      <c r="C58526" s="374"/>
      <c r="CV58526" s="376"/>
    </row>
    <row r="58527" spans="1:100">
      <c r="A58527" s="374"/>
      <c r="C58527" s="374"/>
      <c r="CV58527" s="376"/>
    </row>
    <row r="58528" spans="1:100">
      <c r="A58528" s="374"/>
      <c r="C58528" s="374"/>
      <c r="CV58528" s="376"/>
    </row>
    <row r="58529" spans="1:100">
      <c r="A58529" s="374"/>
      <c r="C58529" s="374"/>
      <c r="CV58529" s="376"/>
    </row>
    <row r="58530" spans="1:100">
      <c r="A58530" s="374"/>
      <c r="C58530" s="374"/>
      <c r="CV58530" s="376"/>
    </row>
    <row r="58531" spans="1:100">
      <c r="A58531" s="374"/>
      <c r="C58531" s="374"/>
      <c r="CV58531" s="376"/>
    </row>
    <row r="58532" spans="1:100">
      <c r="A58532" s="374"/>
      <c r="C58532" s="374"/>
      <c r="CV58532" s="376"/>
    </row>
    <row r="58533" spans="1:100">
      <c r="A58533" s="374"/>
      <c r="C58533" s="374"/>
      <c r="CV58533" s="376"/>
    </row>
    <row r="58534" spans="1:100">
      <c r="A58534" s="374"/>
      <c r="C58534" s="374"/>
      <c r="CV58534" s="376"/>
    </row>
    <row r="58535" spans="1:100">
      <c r="A58535" s="374"/>
      <c r="C58535" s="374"/>
      <c r="CV58535" s="376"/>
    </row>
    <row r="58536" spans="1:100">
      <c r="A58536" s="374"/>
      <c r="C58536" s="374"/>
      <c r="CV58536" s="376"/>
    </row>
    <row r="58537" spans="1:100">
      <c r="A58537" s="374"/>
      <c r="C58537" s="374"/>
      <c r="CV58537" s="376"/>
    </row>
    <row r="58538" spans="1:100">
      <c r="A58538" s="374"/>
      <c r="C58538" s="374"/>
      <c r="CV58538" s="376"/>
    </row>
    <row r="58539" spans="1:100">
      <c r="A58539" s="374"/>
      <c r="C58539" s="374"/>
      <c r="CV58539" s="376"/>
    </row>
    <row r="58540" spans="1:100">
      <c r="A58540" s="374"/>
      <c r="C58540" s="374"/>
      <c r="CV58540" s="376"/>
    </row>
    <row r="58541" spans="1:100">
      <c r="A58541" s="374"/>
      <c r="C58541" s="374"/>
      <c r="CV58541" s="376"/>
    </row>
    <row r="58542" spans="1:100">
      <c r="A58542" s="374"/>
      <c r="C58542" s="374"/>
      <c r="CV58542" s="376"/>
    </row>
    <row r="58543" spans="1:100">
      <c r="A58543" s="374"/>
      <c r="C58543" s="374"/>
      <c r="CV58543" s="376"/>
    </row>
    <row r="58544" spans="1:100">
      <c r="A58544" s="374"/>
      <c r="C58544" s="374"/>
      <c r="CV58544" s="376"/>
    </row>
    <row r="58545" spans="1:100">
      <c r="A58545" s="374"/>
      <c r="C58545" s="374"/>
      <c r="CV58545" s="376"/>
    </row>
    <row r="58546" spans="1:100">
      <c r="A58546" s="374"/>
      <c r="C58546" s="374"/>
      <c r="CV58546" s="376"/>
    </row>
    <row r="58547" spans="1:100">
      <c r="A58547" s="374"/>
      <c r="C58547" s="374"/>
      <c r="CV58547" s="376"/>
    </row>
    <row r="58548" spans="1:100">
      <c r="A58548" s="374"/>
      <c r="C58548" s="374"/>
      <c r="CV58548" s="376"/>
    </row>
    <row r="58549" spans="1:100">
      <c r="A58549" s="374"/>
      <c r="C58549" s="374"/>
      <c r="CV58549" s="376"/>
    </row>
    <row r="58550" spans="1:100">
      <c r="A58550" s="374"/>
      <c r="C58550" s="374"/>
      <c r="CV58550" s="376"/>
    </row>
    <row r="58551" spans="1:100">
      <c r="A58551" s="374"/>
      <c r="C58551" s="374"/>
      <c r="CV58551" s="376"/>
    </row>
    <row r="58552" spans="1:100">
      <c r="A58552" s="374"/>
      <c r="C58552" s="374"/>
      <c r="CV58552" s="376"/>
    </row>
    <row r="58553" spans="1:100">
      <c r="A58553" s="374"/>
      <c r="C58553" s="374"/>
      <c r="CV58553" s="376"/>
    </row>
    <row r="58554" spans="1:100">
      <c r="A58554" s="374"/>
      <c r="C58554" s="374"/>
      <c r="CV58554" s="376"/>
    </row>
    <row r="58555" spans="1:100">
      <c r="A58555" s="374"/>
      <c r="C58555" s="374"/>
      <c r="CV58555" s="376"/>
    </row>
    <row r="58556" spans="1:100">
      <c r="A58556" s="374"/>
      <c r="C58556" s="374"/>
      <c r="CV58556" s="376"/>
    </row>
    <row r="58557" spans="1:100">
      <c r="A58557" s="374"/>
      <c r="C58557" s="374"/>
      <c r="CV58557" s="376"/>
    </row>
    <row r="58558" spans="1:100">
      <c r="A58558" s="374"/>
      <c r="C58558" s="374"/>
      <c r="CV58558" s="376"/>
    </row>
    <row r="58559" spans="1:100">
      <c r="A58559" s="374"/>
      <c r="C58559" s="374"/>
      <c r="CV58559" s="376"/>
    </row>
    <row r="58560" spans="1:100">
      <c r="A58560" s="374"/>
      <c r="C58560" s="374"/>
      <c r="CV58560" s="376"/>
    </row>
    <row r="58561" spans="1:100">
      <c r="A58561" s="374"/>
      <c r="C58561" s="374"/>
      <c r="CV58561" s="376"/>
    </row>
    <row r="58562" spans="1:100">
      <c r="A58562" s="374"/>
      <c r="C58562" s="374"/>
      <c r="CV58562" s="376"/>
    </row>
    <row r="58563" spans="1:100">
      <c r="A58563" s="374"/>
      <c r="C58563" s="374"/>
      <c r="CV58563" s="376"/>
    </row>
    <row r="58564" spans="1:100">
      <c r="A58564" s="374"/>
      <c r="C58564" s="374"/>
      <c r="CV58564" s="376"/>
    </row>
    <row r="58565" spans="1:100">
      <c r="A58565" s="374"/>
      <c r="C58565" s="374"/>
      <c r="CV58565" s="376"/>
    </row>
    <row r="58566" spans="1:100">
      <c r="A58566" s="374"/>
      <c r="C58566" s="374"/>
      <c r="CV58566" s="376"/>
    </row>
    <row r="58567" spans="1:100">
      <c r="A58567" s="374"/>
      <c r="C58567" s="374"/>
      <c r="CV58567" s="376"/>
    </row>
    <row r="58568" spans="1:100">
      <c r="A58568" s="374"/>
      <c r="C58568" s="374"/>
      <c r="CV58568" s="376"/>
    </row>
    <row r="58569" spans="1:100">
      <c r="A58569" s="374"/>
      <c r="C58569" s="374"/>
      <c r="CV58569" s="376"/>
    </row>
    <row r="58570" spans="1:100">
      <c r="A58570" s="374"/>
      <c r="C58570" s="374"/>
      <c r="CV58570" s="376"/>
    </row>
    <row r="58571" spans="1:100">
      <c r="A58571" s="374"/>
      <c r="C58571" s="374"/>
      <c r="CV58571" s="376"/>
    </row>
    <row r="58572" spans="1:100">
      <c r="A58572" s="374"/>
      <c r="C58572" s="374"/>
      <c r="CV58572" s="376"/>
    </row>
    <row r="58573" spans="1:100">
      <c r="A58573" s="374"/>
      <c r="C58573" s="374"/>
      <c r="CV58573" s="376"/>
    </row>
    <row r="58574" spans="1:100">
      <c r="A58574" s="374"/>
      <c r="C58574" s="374"/>
      <c r="CV58574" s="376"/>
    </row>
    <row r="58575" spans="1:100">
      <c r="A58575" s="374"/>
      <c r="C58575" s="374"/>
      <c r="CV58575" s="376"/>
    </row>
    <row r="58576" spans="1:100">
      <c r="A58576" s="374"/>
      <c r="C58576" s="374"/>
      <c r="CV58576" s="376"/>
    </row>
    <row r="58577" spans="1:100">
      <c r="A58577" s="374"/>
      <c r="C58577" s="374"/>
      <c r="CV58577" s="376"/>
    </row>
    <row r="58578" spans="1:100">
      <c r="A58578" s="374"/>
      <c r="C58578" s="374"/>
      <c r="CV58578" s="376"/>
    </row>
    <row r="58579" spans="1:100">
      <c r="A58579" s="374"/>
      <c r="C58579" s="374"/>
      <c r="CV58579" s="376"/>
    </row>
    <row r="58580" spans="1:100">
      <c r="A58580" s="374"/>
      <c r="C58580" s="374"/>
      <c r="CV58580" s="376"/>
    </row>
    <row r="58581" spans="1:100">
      <c r="A58581" s="374"/>
      <c r="C58581" s="374"/>
      <c r="CV58581" s="376"/>
    </row>
    <row r="58582" spans="1:100">
      <c r="A58582" s="374"/>
      <c r="C58582" s="374"/>
      <c r="CV58582" s="376"/>
    </row>
    <row r="58583" spans="1:100">
      <c r="A58583" s="374"/>
      <c r="C58583" s="374"/>
      <c r="CV58583" s="376"/>
    </row>
    <row r="58584" spans="1:100">
      <c r="A58584" s="374"/>
      <c r="C58584" s="374"/>
      <c r="CV58584" s="376"/>
    </row>
    <row r="58585" spans="1:100">
      <c r="A58585" s="374"/>
      <c r="C58585" s="374"/>
      <c r="CV58585" s="376"/>
    </row>
    <row r="58586" spans="1:100">
      <c r="A58586" s="374"/>
      <c r="C58586" s="374"/>
      <c r="CV58586" s="376"/>
    </row>
    <row r="58587" spans="1:100">
      <c r="A58587" s="374"/>
      <c r="C58587" s="374"/>
      <c r="CV58587" s="376"/>
    </row>
    <row r="58588" spans="1:100">
      <c r="A58588" s="374"/>
      <c r="C58588" s="374"/>
      <c r="CV58588" s="376"/>
    </row>
    <row r="58589" spans="1:100">
      <c r="A58589" s="374"/>
      <c r="C58589" s="374"/>
      <c r="CV58589" s="376"/>
    </row>
    <row r="58590" spans="1:100">
      <c r="A58590" s="374"/>
      <c r="C58590" s="374"/>
      <c r="CV58590" s="376"/>
    </row>
    <row r="58591" spans="1:100">
      <c r="A58591" s="374"/>
      <c r="C58591" s="374"/>
      <c r="CV58591" s="376"/>
    </row>
    <row r="58592" spans="1:100">
      <c r="A58592" s="374"/>
      <c r="C58592" s="374"/>
      <c r="CV58592" s="376"/>
    </row>
    <row r="58593" spans="1:100">
      <c r="A58593" s="374"/>
      <c r="C58593" s="374"/>
      <c r="CV58593" s="376"/>
    </row>
    <row r="58594" spans="1:100">
      <c r="A58594" s="374"/>
      <c r="C58594" s="374"/>
      <c r="CV58594" s="376"/>
    </row>
    <row r="58595" spans="1:100">
      <c r="A58595" s="374"/>
      <c r="C58595" s="374"/>
      <c r="CV58595" s="376"/>
    </row>
    <row r="58596" spans="1:100">
      <c r="A58596" s="374"/>
      <c r="C58596" s="374"/>
      <c r="CV58596" s="376"/>
    </row>
    <row r="58597" spans="1:100">
      <c r="A58597" s="374"/>
      <c r="C58597" s="374"/>
      <c r="CV58597" s="376"/>
    </row>
    <row r="58598" spans="1:100">
      <c r="A58598" s="374"/>
      <c r="C58598" s="374"/>
      <c r="CV58598" s="376"/>
    </row>
    <row r="58599" spans="1:100">
      <c r="A58599" s="374"/>
      <c r="C58599" s="374"/>
      <c r="CV58599" s="376"/>
    </row>
    <row r="58600" spans="1:100">
      <c r="A58600" s="374"/>
      <c r="C58600" s="374"/>
      <c r="CV58600" s="376"/>
    </row>
    <row r="58601" spans="1:100">
      <c r="A58601" s="374"/>
      <c r="C58601" s="374"/>
      <c r="CV58601" s="376"/>
    </row>
    <row r="58602" spans="1:100">
      <c r="A58602" s="374"/>
      <c r="C58602" s="374"/>
      <c r="CV58602" s="376"/>
    </row>
    <row r="58603" spans="1:100">
      <c r="A58603" s="374"/>
      <c r="C58603" s="374"/>
      <c r="CV58603" s="376"/>
    </row>
    <row r="58604" spans="1:100">
      <c r="A58604" s="374"/>
      <c r="C58604" s="374"/>
      <c r="CV58604" s="376"/>
    </row>
    <row r="58605" spans="1:100">
      <c r="A58605" s="374"/>
      <c r="C58605" s="374"/>
      <c r="CV58605" s="376"/>
    </row>
    <row r="58606" spans="1:100">
      <c r="A58606" s="374"/>
      <c r="C58606" s="374"/>
      <c r="CV58606" s="376"/>
    </row>
    <row r="58607" spans="1:100">
      <c r="A58607" s="374"/>
      <c r="C58607" s="374"/>
      <c r="CV58607" s="376"/>
    </row>
    <row r="58608" spans="1:100">
      <c r="A58608" s="374"/>
      <c r="C58608" s="374"/>
      <c r="CV58608" s="376"/>
    </row>
    <row r="58609" spans="1:100">
      <c r="A58609" s="374"/>
      <c r="C58609" s="374"/>
      <c r="CV58609" s="376"/>
    </row>
    <row r="58610" spans="1:100">
      <c r="A58610" s="374"/>
      <c r="C58610" s="374"/>
      <c r="CV58610" s="376"/>
    </row>
    <row r="58611" spans="1:100">
      <c r="A58611" s="374"/>
      <c r="C58611" s="374"/>
      <c r="CV58611" s="376"/>
    </row>
    <row r="58612" spans="1:100">
      <c r="A58612" s="374"/>
      <c r="C58612" s="374"/>
      <c r="CV58612" s="376"/>
    </row>
    <row r="58613" spans="1:100">
      <c r="A58613" s="374"/>
      <c r="C58613" s="374"/>
      <c r="CV58613" s="376"/>
    </row>
    <row r="58614" spans="1:100">
      <c r="A58614" s="374"/>
      <c r="C58614" s="374"/>
      <c r="CV58614" s="376"/>
    </row>
    <row r="58615" spans="1:100">
      <c r="A58615" s="374"/>
      <c r="C58615" s="374"/>
      <c r="CV58615" s="376"/>
    </row>
    <row r="58616" spans="1:100">
      <c r="A58616" s="374"/>
      <c r="C58616" s="374"/>
      <c r="CV58616" s="376"/>
    </row>
    <row r="58617" spans="1:100">
      <c r="A58617" s="374"/>
      <c r="C58617" s="374"/>
      <c r="CV58617" s="376"/>
    </row>
    <row r="58618" spans="1:100">
      <c r="A58618" s="374"/>
      <c r="C58618" s="374"/>
      <c r="CV58618" s="376"/>
    </row>
    <row r="58619" spans="1:100">
      <c r="A58619" s="374"/>
      <c r="C58619" s="374"/>
      <c r="CV58619" s="376"/>
    </row>
    <row r="58620" spans="1:100">
      <c r="A58620" s="374"/>
      <c r="C58620" s="374"/>
      <c r="CV58620" s="376"/>
    </row>
    <row r="58621" spans="1:100">
      <c r="A58621" s="374"/>
      <c r="C58621" s="374"/>
      <c r="CV58621" s="376"/>
    </row>
    <row r="58622" spans="1:100">
      <c r="A58622" s="374"/>
      <c r="C58622" s="374"/>
      <c r="CV58622" s="376"/>
    </row>
    <row r="58623" spans="1:100">
      <c r="A58623" s="374"/>
      <c r="C58623" s="374"/>
      <c r="CV58623" s="376"/>
    </row>
    <row r="58624" spans="1:100">
      <c r="A58624" s="374"/>
      <c r="C58624" s="374"/>
      <c r="CV58624" s="376"/>
    </row>
    <row r="58625" spans="1:100">
      <c r="A58625" s="374"/>
      <c r="C58625" s="374"/>
      <c r="CV58625" s="376"/>
    </row>
    <row r="58626" spans="1:100">
      <c r="A58626" s="374"/>
      <c r="C58626" s="374"/>
      <c r="CV58626" s="376"/>
    </row>
    <row r="58627" spans="1:100">
      <c r="A58627" s="374"/>
      <c r="C58627" s="374"/>
      <c r="CV58627" s="376"/>
    </row>
    <row r="58628" spans="1:100">
      <c r="A58628" s="374"/>
      <c r="C58628" s="374"/>
      <c r="CV58628" s="376"/>
    </row>
    <row r="58629" spans="1:100">
      <c r="A58629" s="374"/>
      <c r="C58629" s="374"/>
      <c r="CV58629" s="376"/>
    </row>
    <row r="58630" spans="1:100">
      <c r="A58630" s="374"/>
      <c r="C58630" s="374"/>
      <c r="CV58630" s="376"/>
    </row>
    <row r="58631" spans="1:100">
      <c r="A58631" s="374"/>
      <c r="C58631" s="374"/>
      <c r="CV58631" s="376"/>
    </row>
    <row r="58632" spans="1:100">
      <c r="A58632" s="374"/>
      <c r="C58632" s="374"/>
      <c r="CV58632" s="376"/>
    </row>
    <row r="58633" spans="1:100">
      <c r="A58633" s="374"/>
      <c r="C58633" s="374"/>
      <c r="CV58633" s="376"/>
    </row>
    <row r="58634" spans="1:100">
      <c r="A58634" s="374"/>
      <c r="C58634" s="374"/>
      <c r="CV58634" s="376"/>
    </row>
    <row r="58635" spans="1:100">
      <c r="A58635" s="374"/>
      <c r="C58635" s="374"/>
      <c r="CV58635" s="376"/>
    </row>
    <row r="58636" spans="1:100">
      <c r="A58636" s="374"/>
      <c r="C58636" s="374"/>
      <c r="CV58636" s="376"/>
    </row>
    <row r="58637" spans="1:100">
      <c r="A58637" s="374"/>
      <c r="C58637" s="374"/>
      <c r="CV58637" s="376"/>
    </row>
    <row r="58638" spans="1:100">
      <c r="A58638" s="374"/>
      <c r="C58638" s="374"/>
      <c r="CV58638" s="376"/>
    </row>
    <row r="58639" spans="1:100">
      <c r="A58639" s="374"/>
      <c r="C58639" s="374"/>
      <c r="CV58639" s="376"/>
    </row>
    <row r="58640" spans="1:100">
      <c r="A58640" s="374"/>
      <c r="C58640" s="374"/>
      <c r="CV58640" s="376"/>
    </row>
    <row r="58641" spans="1:100">
      <c r="A58641" s="374"/>
      <c r="C58641" s="374"/>
      <c r="CV58641" s="376"/>
    </row>
    <row r="58642" spans="1:100">
      <c r="A58642" s="374"/>
      <c r="C58642" s="374"/>
      <c r="CV58642" s="376"/>
    </row>
    <row r="58643" spans="1:100">
      <c r="A58643" s="374"/>
      <c r="C58643" s="374"/>
      <c r="CV58643" s="376"/>
    </row>
    <row r="58644" spans="1:100">
      <c r="A58644" s="374"/>
      <c r="C58644" s="374"/>
      <c r="CV58644" s="376"/>
    </row>
    <row r="58645" spans="1:100">
      <c r="A58645" s="374"/>
      <c r="C58645" s="374"/>
      <c r="CV58645" s="376"/>
    </row>
    <row r="58646" spans="1:100">
      <c r="A58646" s="374"/>
      <c r="C58646" s="374"/>
      <c r="CV58646" s="376"/>
    </row>
    <row r="58647" spans="1:100">
      <c r="A58647" s="374"/>
      <c r="C58647" s="374"/>
      <c r="CV58647" s="376"/>
    </row>
    <row r="58648" spans="1:100">
      <c r="A58648" s="374"/>
      <c r="C58648" s="374"/>
      <c r="CV58648" s="376"/>
    </row>
    <row r="58649" spans="1:100">
      <c r="A58649" s="374"/>
      <c r="C58649" s="374"/>
      <c r="CV58649" s="376"/>
    </row>
    <row r="58650" spans="1:100">
      <c r="A58650" s="374"/>
      <c r="C58650" s="374"/>
      <c r="CV58650" s="376"/>
    </row>
    <row r="58651" spans="1:100">
      <c r="A58651" s="374"/>
      <c r="C58651" s="374"/>
      <c r="CV58651" s="376"/>
    </row>
    <row r="58652" spans="1:100">
      <c r="A58652" s="374"/>
      <c r="C58652" s="374"/>
      <c r="CV58652" s="376"/>
    </row>
    <row r="58653" spans="1:100">
      <c r="A58653" s="374"/>
      <c r="C58653" s="374"/>
      <c r="CV58653" s="376"/>
    </row>
    <row r="58654" spans="1:100">
      <c r="A58654" s="374"/>
      <c r="C58654" s="374"/>
      <c r="CV58654" s="376"/>
    </row>
    <row r="58655" spans="1:100">
      <c r="A58655" s="374"/>
      <c r="C58655" s="374"/>
      <c r="CV58655" s="376"/>
    </row>
    <row r="58656" spans="1:100">
      <c r="A58656" s="374"/>
      <c r="C58656" s="374"/>
      <c r="CV58656" s="376"/>
    </row>
    <row r="58657" spans="1:100">
      <c r="A58657" s="374"/>
      <c r="C58657" s="374"/>
      <c r="CV58657" s="376"/>
    </row>
    <row r="58658" spans="1:100">
      <c r="A58658" s="374"/>
      <c r="C58658" s="374"/>
      <c r="CV58658" s="376"/>
    </row>
    <row r="58659" spans="1:100">
      <c r="A58659" s="374"/>
      <c r="C58659" s="374"/>
      <c r="CV58659" s="376"/>
    </row>
    <row r="58660" spans="1:100">
      <c r="A58660" s="374"/>
      <c r="C58660" s="374"/>
      <c r="CV58660" s="376"/>
    </row>
    <row r="58661" spans="1:100">
      <c r="A58661" s="374"/>
      <c r="C58661" s="374"/>
      <c r="CV58661" s="376"/>
    </row>
    <row r="58662" spans="1:100">
      <c r="A58662" s="374"/>
      <c r="C58662" s="374"/>
      <c r="CV58662" s="376"/>
    </row>
    <row r="58663" spans="1:100">
      <c r="A58663" s="374"/>
      <c r="C58663" s="374"/>
      <c r="CV58663" s="376"/>
    </row>
    <row r="58664" spans="1:100">
      <c r="A58664" s="374"/>
      <c r="C58664" s="374"/>
      <c r="CV58664" s="376"/>
    </row>
    <row r="58665" spans="1:100">
      <c r="A58665" s="374"/>
      <c r="C58665" s="374"/>
      <c r="CV58665" s="376"/>
    </row>
    <row r="58666" spans="1:100">
      <c r="A58666" s="374"/>
      <c r="C58666" s="374"/>
      <c r="CV58666" s="376"/>
    </row>
    <row r="58667" spans="1:100">
      <c r="A58667" s="374"/>
      <c r="C58667" s="374"/>
      <c r="CV58667" s="376"/>
    </row>
    <row r="58668" spans="1:100">
      <c r="A58668" s="374"/>
      <c r="C58668" s="374"/>
      <c r="CV58668" s="376"/>
    </row>
    <row r="58669" spans="1:100">
      <c r="A58669" s="374"/>
      <c r="C58669" s="374"/>
      <c r="CV58669" s="376"/>
    </row>
    <row r="58670" spans="1:100">
      <c r="A58670" s="374"/>
      <c r="C58670" s="374"/>
      <c r="CV58670" s="376"/>
    </row>
    <row r="58671" spans="1:100">
      <c r="A58671" s="374"/>
      <c r="C58671" s="374"/>
      <c r="CV58671" s="376"/>
    </row>
    <row r="58672" spans="1:100">
      <c r="A58672" s="374"/>
      <c r="C58672" s="374"/>
      <c r="CV58672" s="376"/>
    </row>
    <row r="58673" spans="1:100">
      <c r="A58673" s="374"/>
      <c r="C58673" s="374"/>
      <c r="CV58673" s="376"/>
    </row>
    <row r="58674" spans="1:100">
      <c r="A58674" s="374"/>
      <c r="C58674" s="374"/>
      <c r="CV58674" s="376"/>
    </row>
    <row r="58675" spans="1:100">
      <c r="A58675" s="374"/>
      <c r="C58675" s="374"/>
      <c r="CV58675" s="376"/>
    </row>
    <row r="58676" spans="1:100">
      <c r="A58676" s="374"/>
      <c r="C58676" s="374"/>
      <c r="CV58676" s="376"/>
    </row>
    <row r="58677" spans="1:100">
      <c r="A58677" s="374"/>
      <c r="C58677" s="374"/>
      <c r="CV58677" s="376"/>
    </row>
    <row r="58678" spans="1:100">
      <c r="A58678" s="374"/>
      <c r="C58678" s="374"/>
      <c r="CV58678" s="376"/>
    </row>
    <row r="58679" spans="1:100">
      <c r="A58679" s="374"/>
      <c r="C58679" s="374"/>
      <c r="CV58679" s="376"/>
    </row>
    <row r="58680" spans="1:100">
      <c r="A58680" s="374"/>
      <c r="C58680" s="374"/>
      <c r="CV58680" s="376"/>
    </row>
    <row r="58681" spans="1:100">
      <c r="A58681" s="374"/>
      <c r="C58681" s="374"/>
      <c r="CV58681" s="376"/>
    </row>
    <row r="58682" spans="1:100">
      <c r="A58682" s="374"/>
      <c r="C58682" s="374"/>
      <c r="CV58682" s="376"/>
    </row>
    <row r="58683" spans="1:100">
      <c r="A58683" s="374"/>
      <c r="C58683" s="374"/>
      <c r="CV58683" s="376"/>
    </row>
    <row r="58684" spans="1:100">
      <c r="A58684" s="374"/>
      <c r="C58684" s="374"/>
      <c r="CV58684" s="376"/>
    </row>
    <row r="58685" spans="1:100">
      <c r="A58685" s="374"/>
      <c r="C58685" s="374"/>
      <c r="CV58685" s="376"/>
    </row>
    <row r="58686" spans="1:100">
      <c r="A58686" s="374"/>
      <c r="C58686" s="374"/>
      <c r="CV58686" s="376"/>
    </row>
    <row r="58687" spans="1:100">
      <c r="A58687" s="374"/>
      <c r="C58687" s="374"/>
      <c r="CV58687" s="376"/>
    </row>
    <row r="58688" spans="1:100">
      <c r="A58688" s="374"/>
      <c r="C58688" s="374"/>
      <c r="CV58688" s="376"/>
    </row>
    <row r="58689" spans="1:100">
      <c r="A58689" s="374"/>
      <c r="C58689" s="374"/>
      <c r="CV58689" s="376"/>
    </row>
    <row r="58690" spans="1:100">
      <c r="A58690" s="374"/>
      <c r="C58690" s="374"/>
      <c r="CV58690" s="376"/>
    </row>
    <row r="58691" spans="1:100">
      <c r="A58691" s="374"/>
      <c r="C58691" s="374"/>
      <c r="CV58691" s="376"/>
    </row>
    <row r="58692" spans="1:100">
      <c r="A58692" s="374"/>
      <c r="C58692" s="374"/>
      <c r="CV58692" s="376"/>
    </row>
    <row r="58693" spans="1:100">
      <c r="A58693" s="374"/>
      <c r="C58693" s="374"/>
      <c r="CV58693" s="376"/>
    </row>
    <row r="58694" spans="1:100">
      <c r="A58694" s="374"/>
      <c r="C58694" s="374"/>
      <c r="CV58694" s="376"/>
    </row>
    <row r="58695" spans="1:100">
      <c r="A58695" s="374"/>
      <c r="C58695" s="374"/>
      <c r="CV58695" s="376"/>
    </row>
    <row r="58696" spans="1:100">
      <c r="A58696" s="374"/>
      <c r="C58696" s="374"/>
      <c r="CV58696" s="376"/>
    </row>
    <row r="58697" spans="1:100">
      <c r="A58697" s="374"/>
      <c r="C58697" s="374"/>
      <c r="CV58697" s="376"/>
    </row>
    <row r="58698" spans="1:100">
      <c r="A58698" s="374"/>
      <c r="C58698" s="374"/>
      <c r="CV58698" s="376"/>
    </row>
    <row r="58699" spans="1:100">
      <c r="A58699" s="374"/>
      <c r="C58699" s="374"/>
      <c r="CV58699" s="376"/>
    </row>
    <row r="58700" spans="1:100">
      <c r="A58700" s="374"/>
      <c r="C58700" s="374"/>
      <c r="CV58700" s="376"/>
    </row>
    <row r="58701" spans="1:100">
      <c r="A58701" s="374"/>
      <c r="C58701" s="374"/>
      <c r="CV58701" s="376"/>
    </row>
    <row r="58702" spans="1:100">
      <c r="A58702" s="374"/>
      <c r="C58702" s="374"/>
      <c r="CV58702" s="376"/>
    </row>
    <row r="58703" spans="1:100">
      <c r="A58703" s="374"/>
      <c r="C58703" s="374"/>
      <c r="CV58703" s="376"/>
    </row>
    <row r="58704" spans="1:100">
      <c r="A58704" s="374"/>
      <c r="C58704" s="374"/>
      <c r="CV58704" s="376"/>
    </row>
    <row r="58705" spans="1:100">
      <c r="A58705" s="374"/>
      <c r="C58705" s="374"/>
      <c r="CV58705" s="376"/>
    </row>
    <row r="58706" spans="1:100">
      <c r="A58706" s="374"/>
      <c r="C58706" s="374"/>
      <c r="CV58706" s="376"/>
    </row>
    <row r="58707" spans="1:100">
      <c r="A58707" s="374"/>
      <c r="C58707" s="374"/>
      <c r="CV58707" s="376"/>
    </row>
    <row r="58708" spans="1:100">
      <c r="A58708" s="374"/>
      <c r="C58708" s="374"/>
      <c r="CV58708" s="376"/>
    </row>
    <row r="58709" spans="1:100">
      <c r="A58709" s="374"/>
      <c r="C58709" s="374"/>
      <c r="CV58709" s="376"/>
    </row>
    <row r="58710" spans="1:100">
      <c r="A58710" s="374"/>
      <c r="C58710" s="374"/>
      <c r="CV58710" s="376"/>
    </row>
    <row r="58711" spans="1:100">
      <c r="A58711" s="374"/>
      <c r="C58711" s="374"/>
      <c r="CV58711" s="376"/>
    </row>
    <row r="58712" spans="1:100">
      <c r="A58712" s="374"/>
      <c r="C58712" s="374"/>
      <c r="CV58712" s="376"/>
    </row>
    <row r="58713" spans="1:100">
      <c r="A58713" s="374"/>
      <c r="C58713" s="374"/>
      <c r="CV58713" s="376"/>
    </row>
    <row r="58714" spans="1:100">
      <c r="A58714" s="374"/>
      <c r="C58714" s="374"/>
      <c r="CV58714" s="376"/>
    </row>
    <row r="58715" spans="1:100">
      <c r="A58715" s="374"/>
      <c r="C58715" s="374"/>
      <c r="CV58715" s="376"/>
    </row>
    <row r="58716" spans="1:100">
      <c r="A58716" s="374"/>
      <c r="C58716" s="374"/>
      <c r="CV58716" s="376"/>
    </row>
    <row r="58717" spans="1:100">
      <c r="A58717" s="374"/>
      <c r="C58717" s="374"/>
      <c r="CV58717" s="376"/>
    </row>
    <row r="58718" spans="1:100">
      <c r="A58718" s="374"/>
      <c r="C58718" s="374"/>
      <c r="CV58718" s="376"/>
    </row>
    <row r="58719" spans="1:100">
      <c r="A58719" s="374"/>
      <c r="C58719" s="374"/>
      <c r="CV58719" s="376"/>
    </row>
    <row r="58720" spans="1:100">
      <c r="A58720" s="374"/>
      <c r="C58720" s="374"/>
      <c r="CV58720" s="376"/>
    </row>
    <row r="58721" spans="1:100">
      <c r="A58721" s="374"/>
      <c r="C58721" s="374"/>
      <c r="CV58721" s="376"/>
    </row>
    <row r="58722" spans="1:100">
      <c r="A58722" s="374"/>
      <c r="C58722" s="374"/>
      <c r="CV58722" s="376"/>
    </row>
    <row r="58723" spans="1:100">
      <c r="A58723" s="374"/>
      <c r="C58723" s="374"/>
      <c r="CV58723" s="376"/>
    </row>
    <row r="58724" spans="1:100">
      <c r="A58724" s="374"/>
      <c r="C58724" s="374"/>
      <c r="CV58724" s="376"/>
    </row>
    <row r="58725" spans="1:100">
      <c r="A58725" s="374"/>
      <c r="C58725" s="374"/>
      <c r="CV58725" s="376"/>
    </row>
    <row r="58726" spans="1:100">
      <c r="A58726" s="374"/>
      <c r="C58726" s="374"/>
      <c r="CV58726" s="376"/>
    </row>
    <row r="58727" spans="1:100">
      <c r="A58727" s="374"/>
      <c r="C58727" s="374"/>
      <c r="CV58727" s="376"/>
    </row>
    <row r="58728" spans="1:100">
      <c r="A58728" s="374"/>
      <c r="C58728" s="374"/>
      <c r="CV58728" s="376"/>
    </row>
    <row r="58729" spans="1:100">
      <c r="A58729" s="374"/>
      <c r="C58729" s="374"/>
      <c r="CV58729" s="376"/>
    </row>
    <row r="58730" spans="1:100">
      <c r="A58730" s="374"/>
      <c r="C58730" s="374"/>
      <c r="CV58730" s="376"/>
    </row>
    <row r="58731" spans="1:100">
      <c r="A58731" s="374"/>
      <c r="C58731" s="374"/>
      <c r="CV58731" s="376"/>
    </row>
    <row r="58732" spans="1:100">
      <c r="A58732" s="374"/>
      <c r="C58732" s="374"/>
      <c r="CV58732" s="376"/>
    </row>
    <row r="58733" spans="1:100">
      <c r="A58733" s="374"/>
      <c r="C58733" s="374"/>
      <c r="CV58733" s="376"/>
    </row>
    <row r="58734" spans="1:100">
      <c r="A58734" s="374"/>
      <c r="C58734" s="374"/>
      <c r="CV58734" s="376"/>
    </row>
    <row r="58735" spans="1:100">
      <c r="A58735" s="374"/>
      <c r="C58735" s="374"/>
      <c r="CV58735" s="376"/>
    </row>
    <row r="58736" spans="1:100">
      <c r="A58736" s="374"/>
      <c r="C58736" s="374"/>
      <c r="CV58736" s="376"/>
    </row>
    <row r="58737" spans="1:100">
      <c r="A58737" s="374"/>
      <c r="C58737" s="374"/>
      <c r="CV58737" s="376"/>
    </row>
    <row r="58738" spans="1:100">
      <c r="A58738" s="374"/>
      <c r="C58738" s="374"/>
      <c r="CV58738" s="376"/>
    </row>
    <row r="58739" spans="1:100">
      <c r="A58739" s="374"/>
      <c r="C58739" s="374"/>
      <c r="CV58739" s="376"/>
    </row>
    <row r="58740" spans="1:100">
      <c r="A58740" s="374"/>
      <c r="C58740" s="374"/>
      <c r="CV58740" s="376"/>
    </row>
    <row r="58741" spans="1:100">
      <c r="A58741" s="374"/>
      <c r="C58741" s="374"/>
      <c r="CV58741" s="376"/>
    </row>
    <row r="58742" spans="1:100">
      <c r="A58742" s="374"/>
      <c r="C58742" s="374"/>
      <c r="CV58742" s="376"/>
    </row>
    <row r="58743" spans="1:100">
      <c r="A58743" s="374"/>
      <c r="C58743" s="374"/>
      <c r="CV58743" s="376"/>
    </row>
    <row r="58744" spans="1:100">
      <c r="A58744" s="374"/>
      <c r="C58744" s="374"/>
      <c r="CV58744" s="376"/>
    </row>
    <row r="58745" spans="1:100">
      <c r="A58745" s="374"/>
      <c r="C58745" s="374"/>
      <c r="CV58745" s="376"/>
    </row>
    <row r="58746" spans="1:100">
      <c r="A58746" s="374"/>
      <c r="C58746" s="374"/>
      <c r="CV58746" s="376"/>
    </row>
    <row r="58747" spans="1:100">
      <c r="A58747" s="374"/>
      <c r="C58747" s="374"/>
      <c r="CV58747" s="376"/>
    </row>
    <row r="58748" spans="1:100">
      <c r="A58748" s="374"/>
      <c r="C58748" s="374"/>
      <c r="CV58748" s="376"/>
    </row>
    <row r="58749" spans="1:100">
      <c r="A58749" s="374"/>
      <c r="C58749" s="374"/>
      <c r="CV58749" s="376"/>
    </row>
    <row r="58750" spans="1:100">
      <c r="A58750" s="374"/>
      <c r="C58750" s="374"/>
      <c r="CV58750" s="376"/>
    </row>
    <row r="58751" spans="1:100">
      <c r="A58751" s="374"/>
      <c r="C58751" s="374"/>
      <c r="CV58751" s="376"/>
    </row>
    <row r="58752" spans="1:100">
      <c r="A58752" s="374"/>
      <c r="C58752" s="374"/>
      <c r="CV58752" s="376"/>
    </row>
    <row r="58753" spans="1:100">
      <c r="A58753" s="374"/>
      <c r="C58753" s="374"/>
      <c r="CV58753" s="376"/>
    </row>
    <row r="58754" spans="1:100">
      <c r="A58754" s="374"/>
      <c r="C58754" s="374"/>
      <c r="CV58754" s="376"/>
    </row>
    <row r="58755" spans="1:100">
      <c r="A58755" s="374"/>
      <c r="C58755" s="374"/>
      <c r="CV58755" s="376"/>
    </row>
    <row r="58756" spans="1:100">
      <c r="A58756" s="374"/>
      <c r="C58756" s="374"/>
      <c r="CV58756" s="376"/>
    </row>
    <row r="58757" spans="1:100">
      <c r="A58757" s="374"/>
      <c r="C58757" s="374"/>
      <c r="CV58757" s="376"/>
    </row>
    <row r="58758" spans="1:100">
      <c r="A58758" s="374"/>
      <c r="C58758" s="374"/>
      <c r="CV58758" s="376"/>
    </row>
    <row r="58759" spans="1:100">
      <c r="A58759" s="374"/>
      <c r="C58759" s="374"/>
      <c r="CV58759" s="376"/>
    </row>
    <row r="58760" spans="1:100">
      <c r="A58760" s="374"/>
      <c r="C58760" s="374"/>
      <c r="CV58760" s="376"/>
    </row>
    <row r="58761" spans="1:100">
      <c r="A58761" s="374"/>
      <c r="C58761" s="374"/>
      <c r="CV58761" s="376"/>
    </row>
    <row r="58762" spans="1:100">
      <c r="A58762" s="374"/>
      <c r="C58762" s="374"/>
      <c r="CV58762" s="376"/>
    </row>
    <row r="58763" spans="1:100">
      <c r="A58763" s="374"/>
      <c r="C58763" s="374"/>
      <c r="CV58763" s="376"/>
    </row>
    <row r="58764" spans="1:100">
      <c r="A58764" s="374"/>
      <c r="C58764" s="374"/>
      <c r="CV58764" s="376"/>
    </row>
    <row r="58765" spans="1:100">
      <c r="A58765" s="374"/>
      <c r="C58765" s="374"/>
      <c r="CV58765" s="376"/>
    </row>
    <row r="58766" spans="1:100">
      <c r="A58766" s="374"/>
      <c r="C58766" s="374"/>
      <c r="CV58766" s="376"/>
    </row>
    <row r="58767" spans="1:100">
      <c r="A58767" s="374"/>
      <c r="C58767" s="374"/>
      <c r="CV58767" s="376"/>
    </row>
    <row r="58768" spans="1:100">
      <c r="A58768" s="374"/>
      <c r="C58768" s="374"/>
      <c r="CV58768" s="376"/>
    </row>
    <row r="58769" spans="1:100">
      <c r="A58769" s="374"/>
      <c r="C58769" s="374"/>
      <c r="CV58769" s="376"/>
    </row>
    <row r="58770" spans="1:100">
      <c r="A58770" s="374"/>
      <c r="C58770" s="374"/>
      <c r="CV58770" s="376"/>
    </row>
    <row r="58771" spans="1:100">
      <c r="A58771" s="374"/>
      <c r="C58771" s="374"/>
      <c r="CV58771" s="376"/>
    </row>
    <row r="58772" spans="1:100">
      <c r="A58772" s="374"/>
      <c r="C58772" s="374"/>
      <c r="CV58772" s="376"/>
    </row>
    <row r="58773" spans="1:100">
      <c r="A58773" s="374"/>
      <c r="C58773" s="374"/>
      <c r="CV58773" s="376"/>
    </row>
    <row r="58774" spans="1:100">
      <c r="A58774" s="374"/>
      <c r="C58774" s="374"/>
      <c r="CV58774" s="376"/>
    </row>
    <row r="58775" spans="1:100">
      <c r="A58775" s="374"/>
      <c r="C58775" s="374"/>
      <c r="CV58775" s="376"/>
    </row>
    <row r="58776" spans="1:100">
      <c r="A58776" s="374"/>
      <c r="C58776" s="374"/>
      <c r="CV58776" s="376"/>
    </row>
    <row r="58777" spans="1:100">
      <c r="A58777" s="374"/>
      <c r="C58777" s="374"/>
      <c r="CV58777" s="376"/>
    </row>
    <row r="58778" spans="1:100">
      <c r="A58778" s="374"/>
      <c r="C58778" s="374"/>
      <c r="CV58778" s="376"/>
    </row>
    <row r="58779" spans="1:100">
      <c r="A58779" s="374"/>
      <c r="C58779" s="374"/>
      <c r="CV58779" s="376"/>
    </row>
    <row r="58780" spans="1:100">
      <c r="A58780" s="374"/>
      <c r="C58780" s="374"/>
      <c r="CV58780" s="376"/>
    </row>
    <row r="58781" spans="1:100">
      <c r="A58781" s="374"/>
      <c r="C58781" s="374"/>
      <c r="CV58781" s="376"/>
    </row>
    <row r="58782" spans="1:100">
      <c r="A58782" s="374"/>
      <c r="C58782" s="374"/>
      <c r="CV58782" s="376"/>
    </row>
    <row r="58783" spans="1:100">
      <c r="A58783" s="374"/>
      <c r="C58783" s="374"/>
      <c r="CV58783" s="376"/>
    </row>
    <row r="58784" spans="1:100">
      <c r="A58784" s="374"/>
      <c r="C58784" s="374"/>
      <c r="CV58784" s="376"/>
    </row>
    <row r="58785" spans="1:100">
      <c r="A58785" s="374"/>
      <c r="C58785" s="374"/>
      <c r="CV58785" s="376"/>
    </row>
    <row r="58786" spans="1:100">
      <c r="A58786" s="374"/>
      <c r="C58786" s="374"/>
      <c r="CV58786" s="376"/>
    </row>
    <row r="58787" spans="1:100">
      <c r="A58787" s="374"/>
      <c r="C58787" s="374"/>
      <c r="CV58787" s="376"/>
    </row>
    <row r="58788" spans="1:100">
      <c r="A58788" s="374"/>
      <c r="C58788" s="374"/>
      <c r="CV58788" s="376"/>
    </row>
    <row r="58789" spans="1:100">
      <c r="A58789" s="374"/>
      <c r="C58789" s="374"/>
      <c r="CV58789" s="376"/>
    </row>
    <row r="58790" spans="1:100">
      <c r="A58790" s="374"/>
      <c r="C58790" s="374"/>
      <c r="CV58790" s="376"/>
    </row>
    <row r="58791" spans="1:100">
      <c r="A58791" s="374"/>
      <c r="C58791" s="374"/>
      <c r="CV58791" s="376"/>
    </row>
    <row r="58792" spans="1:100">
      <c r="A58792" s="374"/>
      <c r="C58792" s="374"/>
      <c r="CV58792" s="376"/>
    </row>
    <row r="58793" spans="1:100">
      <c r="A58793" s="374"/>
      <c r="C58793" s="374"/>
      <c r="CV58793" s="376"/>
    </row>
    <row r="58794" spans="1:100">
      <c r="A58794" s="374"/>
      <c r="C58794" s="374"/>
      <c r="CV58794" s="376"/>
    </row>
    <row r="58795" spans="1:100">
      <c r="A58795" s="374"/>
      <c r="C58795" s="374"/>
      <c r="CV58795" s="376"/>
    </row>
    <row r="58796" spans="1:100">
      <c r="A58796" s="374"/>
      <c r="C58796" s="374"/>
      <c r="CV58796" s="376"/>
    </row>
    <row r="58797" spans="1:100">
      <c r="A58797" s="374"/>
      <c r="C58797" s="374"/>
      <c r="CV58797" s="376"/>
    </row>
    <row r="58798" spans="1:100">
      <c r="A58798" s="374"/>
      <c r="C58798" s="374"/>
      <c r="CV58798" s="376"/>
    </row>
    <row r="58799" spans="1:100">
      <c r="A58799" s="374"/>
      <c r="C58799" s="374"/>
      <c r="CV58799" s="376"/>
    </row>
    <row r="58800" spans="1:100">
      <c r="A58800" s="374"/>
      <c r="C58800" s="374"/>
      <c r="CV58800" s="376"/>
    </row>
    <row r="58801" spans="1:100">
      <c r="A58801" s="374"/>
      <c r="C58801" s="374"/>
      <c r="CV58801" s="376"/>
    </row>
    <row r="58802" spans="1:100">
      <c r="A58802" s="374"/>
      <c r="C58802" s="374"/>
      <c r="CV58802" s="376"/>
    </row>
    <row r="58803" spans="1:100">
      <c r="A58803" s="374"/>
      <c r="C58803" s="374"/>
      <c r="CV58803" s="376"/>
    </row>
    <row r="58804" spans="1:100">
      <c r="A58804" s="374"/>
      <c r="C58804" s="374"/>
      <c r="CV58804" s="376"/>
    </row>
    <row r="58805" spans="1:100">
      <c r="A58805" s="374"/>
      <c r="C58805" s="374"/>
      <c r="CV58805" s="376"/>
    </row>
    <row r="58806" spans="1:100">
      <c r="A58806" s="374"/>
      <c r="C58806" s="374"/>
      <c r="CV58806" s="376"/>
    </row>
    <row r="58807" spans="1:100">
      <c r="A58807" s="374"/>
      <c r="C58807" s="374"/>
      <c r="CV58807" s="376"/>
    </row>
    <row r="58808" spans="1:100">
      <c r="A58808" s="374"/>
      <c r="C58808" s="374"/>
      <c r="CV58808" s="376"/>
    </row>
    <row r="58809" spans="1:100">
      <c r="A58809" s="374"/>
      <c r="C58809" s="374"/>
      <c r="CV58809" s="376"/>
    </row>
    <row r="58810" spans="1:100">
      <c r="A58810" s="374"/>
      <c r="C58810" s="374"/>
      <c r="CV58810" s="376"/>
    </row>
    <row r="58811" spans="1:100">
      <c r="A58811" s="374"/>
      <c r="C58811" s="374"/>
      <c r="CV58811" s="376"/>
    </row>
    <row r="58812" spans="1:100">
      <c r="A58812" s="374"/>
      <c r="C58812" s="374"/>
      <c r="CV58812" s="376"/>
    </row>
    <row r="58813" spans="1:100">
      <c r="A58813" s="374"/>
      <c r="C58813" s="374"/>
      <c r="CV58813" s="376"/>
    </row>
    <row r="58814" spans="1:100">
      <c r="A58814" s="374"/>
      <c r="C58814" s="374"/>
      <c r="CV58814" s="376"/>
    </row>
    <row r="58815" spans="1:100">
      <c r="A58815" s="374"/>
      <c r="C58815" s="374"/>
      <c r="CV58815" s="376"/>
    </row>
    <row r="58816" spans="1:100">
      <c r="A58816" s="374"/>
      <c r="C58816" s="374"/>
      <c r="CV58816" s="376"/>
    </row>
    <row r="58817" spans="1:100">
      <c r="A58817" s="374"/>
      <c r="C58817" s="374"/>
      <c r="CV58817" s="376"/>
    </row>
    <row r="58818" spans="1:100">
      <c r="A58818" s="374"/>
      <c r="C58818" s="374"/>
      <c r="CV58818" s="376"/>
    </row>
    <row r="58819" spans="1:100">
      <c r="A58819" s="374"/>
      <c r="C58819" s="374"/>
      <c r="CV58819" s="376"/>
    </row>
    <row r="58820" spans="1:100">
      <c r="A58820" s="374"/>
      <c r="C58820" s="374"/>
      <c r="CV58820" s="376"/>
    </row>
    <row r="58821" spans="1:100">
      <c r="A58821" s="374"/>
      <c r="C58821" s="374"/>
      <c r="CV58821" s="376"/>
    </row>
    <row r="58822" spans="1:100">
      <c r="A58822" s="374"/>
      <c r="C58822" s="374"/>
      <c r="CV58822" s="376"/>
    </row>
    <row r="58823" spans="1:100">
      <c r="A58823" s="374"/>
      <c r="C58823" s="374"/>
      <c r="CV58823" s="376"/>
    </row>
    <row r="58824" spans="1:100">
      <c r="A58824" s="374"/>
      <c r="C58824" s="374"/>
      <c r="CV58824" s="376"/>
    </row>
    <row r="58825" spans="1:100">
      <c r="A58825" s="374"/>
      <c r="C58825" s="374"/>
      <c r="CV58825" s="376"/>
    </row>
    <row r="58826" spans="1:100">
      <c r="A58826" s="374"/>
      <c r="C58826" s="374"/>
      <c r="CV58826" s="376"/>
    </row>
    <row r="58827" spans="1:100">
      <c r="A58827" s="374"/>
      <c r="C58827" s="374"/>
      <c r="CV58827" s="376"/>
    </row>
    <row r="58828" spans="1:100">
      <c r="A58828" s="374"/>
      <c r="C58828" s="374"/>
      <c r="CV58828" s="376"/>
    </row>
    <row r="58829" spans="1:100">
      <c r="A58829" s="374"/>
      <c r="C58829" s="374"/>
      <c r="CV58829" s="376"/>
    </row>
    <row r="58830" spans="1:100">
      <c r="A58830" s="374"/>
      <c r="C58830" s="374"/>
      <c r="CV58830" s="376"/>
    </row>
    <row r="58831" spans="1:100">
      <c r="A58831" s="374"/>
      <c r="C58831" s="374"/>
      <c r="CV58831" s="376"/>
    </row>
    <row r="58832" spans="1:100">
      <c r="A58832" s="374"/>
      <c r="C58832" s="374"/>
      <c r="CV58832" s="376"/>
    </row>
    <row r="58833" spans="1:100">
      <c r="A58833" s="374"/>
      <c r="C58833" s="374"/>
      <c r="CV58833" s="376"/>
    </row>
    <row r="58834" spans="1:100">
      <c r="A58834" s="374"/>
      <c r="C58834" s="374"/>
      <c r="CV58834" s="376"/>
    </row>
    <row r="58835" spans="1:100">
      <c r="A58835" s="374"/>
      <c r="C58835" s="374"/>
      <c r="CV58835" s="376"/>
    </row>
    <row r="58836" spans="1:100">
      <c r="A58836" s="374"/>
      <c r="C58836" s="374"/>
      <c r="CV58836" s="376"/>
    </row>
    <row r="58837" spans="1:100">
      <c r="A58837" s="374"/>
      <c r="C58837" s="374"/>
      <c r="CV58837" s="376"/>
    </row>
    <row r="58838" spans="1:100">
      <c r="A58838" s="374"/>
      <c r="C58838" s="374"/>
      <c r="CV58838" s="376"/>
    </row>
    <row r="58839" spans="1:100">
      <c r="A58839" s="374"/>
      <c r="C58839" s="374"/>
      <c r="CV58839" s="376"/>
    </row>
    <row r="58840" spans="1:100">
      <c r="A58840" s="374"/>
      <c r="C58840" s="374"/>
      <c r="CV58840" s="376"/>
    </row>
    <row r="58841" spans="1:100">
      <c r="A58841" s="374"/>
      <c r="C58841" s="374"/>
      <c r="CV58841" s="376"/>
    </row>
    <row r="58842" spans="1:100">
      <c r="A58842" s="374"/>
      <c r="C58842" s="374"/>
      <c r="CV58842" s="376"/>
    </row>
    <row r="58843" spans="1:100">
      <c r="A58843" s="374"/>
      <c r="C58843" s="374"/>
      <c r="CV58843" s="376"/>
    </row>
    <row r="58844" spans="1:100">
      <c r="A58844" s="374"/>
      <c r="C58844" s="374"/>
      <c r="CV58844" s="376"/>
    </row>
    <row r="58845" spans="1:100">
      <c r="A58845" s="374"/>
      <c r="C58845" s="374"/>
      <c r="CV58845" s="376"/>
    </row>
    <row r="58846" spans="1:100">
      <c r="A58846" s="374"/>
      <c r="C58846" s="374"/>
      <c r="CV58846" s="376"/>
    </row>
    <row r="58847" spans="1:100">
      <c r="A58847" s="374"/>
      <c r="C58847" s="374"/>
      <c r="CV58847" s="376"/>
    </row>
    <row r="58848" spans="1:100">
      <c r="A58848" s="374"/>
      <c r="C58848" s="374"/>
      <c r="CV58848" s="376"/>
    </row>
    <row r="58849" spans="1:100">
      <c r="A58849" s="374"/>
      <c r="C58849" s="374"/>
      <c r="CV58849" s="376"/>
    </row>
    <row r="58850" spans="1:100">
      <c r="A58850" s="374"/>
      <c r="C58850" s="374"/>
      <c r="CV58850" s="376"/>
    </row>
    <row r="58851" spans="1:100">
      <c r="A58851" s="374"/>
      <c r="C58851" s="374"/>
      <c r="CV58851" s="376"/>
    </row>
    <row r="58852" spans="1:100">
      <c r="A58852" s="374"/>
      <c r="C58852" s="374"/>
      <c r="CV58852" s="376"/>
    </row>
    <row r="58853" spans="1:100">
      <c r="A58853" s="374"/>
      <c r="C58853" s="374"/>
      <c r="CV58853" s="376"/>
    </row>
    <row r="58854" spans="1:100">
      <c r="A58854" s="374"/>
      <c r="C58854" s="374"/>
      <c r="CV58854" s="376"/>
    </row>
    <row r="58855" spans="1:100">
      <c r="A58855" s="374"/>
      <c r="C58855" s="374"/>
      <c r="CV58855" s="376"/>
    </row>
    <row r="58856" spans="1:100">
      <c r="A58856" s="374"/>
      <c r="C58856" s="374"/>
      <c r="CV58856" s="376"/>
    </row>
    <row r="58857" spans="1:100">
      <c r="A58857" s="374"/>
      <c r="C58857" s="374"/>
      <c r="CV58857" s="376"/>
    </row>
    <row r="58858" spans="1:100">
      <c r="A58858" s="374"/>
      <c r="C58858" s="374"/>
      <c r="CV58858" s="376"/>
    </row>
    <row r="58859" spans="1:100">
      <c r="A58859" s="374"/>
      <c r="C58859" s="374"/>
      <c r="CV58859" s="376"/>
    </row>
    <row r="58860" spans="1:100">
      <c r="A58860" s="374"/>
      <c r="C58860" s="374"/>
      <c r="CV58860" s="376"/>
    </row>
    <row r="58861" spans="1:100">
      <c r="A58861" s="374"/>
      <c r="C58861" s="374"/>
      <c r="CV58861" s="376"/>
    </row>
    <row r="58862" spans="1:100">
      <c r="A58862" s="374"/>
      <c r="C58862" s="374"/>
      <c r="CV58862" s="376"/>
    </row>
    <row r="58863" spans="1:100">
      <c r="A58863" s="374"/>
      <c r="C58863" s="374"/>
      <c r="CV58863" s="376"/>
    </row>
    <row r="58864" spans="1:100">
      <c r="A58864" s="374"/>
      <c r="C58864" s="374"/>
      <c r="CV58864" s="376"/>
    </row>
    <row r="58865" spans="1:100">
      <c r="A58865" s="374"/>
      <c r="C58865" s="374"/>
      <c r="CV58865" s="376"/>
    </row>
    <row r="58866" spans="1:100">
      <c r="A58866" s="374"/>
      <c r="C58866" s="374"/>
      <c r="CV58866" s="376"/>
    </row>
    <row r="58867" spans="1:100">
      <c r="A58867" s="374"/>
      <c r="C58867" s="374"/>
      <c r="CV58867" s="376"/>
    </row>
    <row r="58868" spans="1:100">
      <c r="A58868" s="374"/>
      <c r="C58868" s="374"/>
      <c r="CV58868" s="376"/>
    </row>
    <row r="58869" spans="1:100">
      <c r="A58869" s="374"/>
      <c r="C58869" s="374"/>
      <c r="CV58869" s="376"/>
    </row>
    <row r="58870" spans="1:100">
      <c r="A58870" s="374"/>
      <c r="C58870" s="374"/>
      <c r="CV58870" s="376"/>
    </row>
    <row r="58871" spans="1:100">
      <c r="A58871" s="374"/>
      <c r="C58871" s="374"/>
      <c r="CV58871" s="376"/>
    </row>
    <row r="58872" spans="1:100">
      <c r="A58872" s="374"/>
      <c r="C58872" s="374"/>
      <c r="CV58872" s="376"/>
    </row>
    <row r="58873" spans="1:100">
      <c r="A58873" s="374"/>
      <c r="C58873" s="374"/>
      <c r="CV58873" s="376"/>
    </row>
    <row r="58874" spans="1:100">
      <c r="A58874" s="374"/>
      <c r="C58874" s="374"/>
      <c r="CV58874" s="376"/>
    </row>
    <row r="58875" spans="1:100">
      <c r="A58875" s="374"/>
      <c r="C58875" s="374"/>
      <c r="CV58875" s="376"/>
    </row>
    <row r="58876" spans="1:100">
      <c r="A58876" s="374"/>
      <c r="C58876" s="374"/>
      <c r="CV58876" s="376"/>
    </row>
    <row r="58877" spans="1:100">
      <c r="A58877" s="374"/>
      <c r="C58877" s="374"/>
      <c r="CV58877" s="376"/>
    </row>
    <row r="58878" spans="1:100">
      <c r="A58878" s="374"/>
      <c r="C58878" s="374"/>
      <c r="CV58878" s="376"/>
    </row>
    <row r="58879" spans="1:100">
      <c r="A58879" s="374"/>
      <c r="C58879" s="374"/>
      <c r="CV58879" s="376"/>
    </row>
    <row r="58880" spans="1:100">
      <c r="A58880" s="374"/>
      <c r="C58880" s="374"/>
      <c r="CV58880" s="376"/>
    </row>
    <row r="58881" spans="1:100">
      <c r="A58881" s="374"/>
      <c r="C58881" s="374"/>
      <c r="CV58881" s="376"/>
    </row>
    <row r="58882" spans="1:100">
      <c r="A58882" s="374"/>
      <c r="C58882" s="374"/>
      <c r="CV58882" s="376"/>
    </row>
    <row r="58883" spans="1:100">
      <c r="A58883" s="374"/>
      <c r="C58883" s="374"/>
      <c r="CV58883" s="376"/>
    </row>
    <row r="58884" spans="1:100">
      <c r="A58884" s="374"/>
      <c r="C58884" s="374"/>
      <c r="CV58884" s="376"/>
    </row>
    <row r="58885" spans="1:100">
      <c r="A58885" s="374"/>
      <c r="C58885" s="374"/>
      <c r="CV58885" s="376"/>
    </row>
    <row r="58886" spans="1:100">
      <c r="A58886" s="374"/>
      <c r="C58886" s="374"/>
      <c r="CV58886" s="376"/>
    </row>
    <row r="58887" spans="1:100">
      <c r="A58887" s="374"/>
      <c r="C58887" s="374"/>
      <c r="CV58887" s="376"/>
    </row>
    <row r="58888" spans="1:100">
      <c r="A58888" s="374"/>
      <c r="C58888" s="374"/>
      <c r="CV58888" s="376"/>
    </row>
    <row r="58889" spans="1:100">
      <c r="A58889" s="374"/>
      <c r="C58889" s="374"/>
      <c r="CV58889" s="376"/>
    </row>
    <row r="58890" spans="1:100">
      <c r="A58890" s="374"/>
      <c r="C58890" s="374"/>
      <c r="CV58890" s="376"/>
    </row>
    <row r="58891" spans="1:100">
      <c r="A58891" s="374"/>
      <c r="C58891" s="374"/>
      <c r="CV58891" s="376"/>
    </row>
    <row r="58892" spans="1:100">
      <c r="A58892" s="374"/>
      <c r="C58892" s="374"/>
      <c r="CV58892" s="376"/>
    </row>
    <row r="58893" spans="1:100">
      <c r="A58893" s="374"/>
      <c r="C58893" s="374"/>
      <c r="CV58893" s="376"/>
    </row>
    <row r="58894" spans="1:100">
      <c r="A58894" s="374"/>
      <c r="C58894" s="374"/>
      <c r="CV58894" s="376"/>
    </row>
    <row r="58895" spans="1:100">
      <c r="A58895" s="374"/>
      <c r="C58895" s="374"/>
      <c r="CV58895" s="376"/>
    </row>
    <row r="58896" spans="1:100">
      <c r="A58896" s="374"/>
      <c r="C58896" s="374"/>
      <c r="CV58896" s="376"/>
    </row>
    <row r="58897" spans="1:100">
      <c r="A58897" s="374"/>
      <c r="C58897" s="374"/>
      <c r="CV58897" s="376"/>
    </row>
    <row r="58898" spans="1:100">
      <c r="A58898" s="374"/>
      <c r="C58898" s="374"/>
      <c r="CV58898" s="376"/>
    </row>
    <row r="58899" spans="1:100">
      <c r="A58899" s="374"/>
      <c r="C58899" s="374"/>
      <c r="CV58899" s="376"/>
    </row>
    <row r="58900" spans="1:100">
      <c r="A58900" s="374"/>
      <c r="C58900" s="374"/>
      <c r="CV58900" s="376"/>
    </row>
    <row r="58901" spans="1:100">
      <c r="A58901" s="374"/>
      <c r="C58901" s="374"/>
      <c r="CV58901" s="376"/>
    </row>
    <row r="58902" spans="1:100">
      <c r="A58902" s="374"/>
      <c r="C58902" s="374"/>
      <c r="CV58902" s="376"/>
    </row>
    <row r="58903" spans="1:100">
      <c r="A58903" s="374"/>
      <c r="C58903" s="374"/>
      <c r="CV58903" s="376"/>
    </row>
    <row r="58904" spans="1:100">
      <c r="A58904" s="374"/>
      <c r="C58904" s="374"/>
      <c r="CV58904" s="376"/>
    </row>
    <row r="58905" spans="1:100">
      <c r="A58905" s="374"/>
      <c r="C58905" s="374"/>
      <c r="CV58905" s="376"/>
    </row>
    <row r="58906" spans="1:100">
      <c r="A58906" s="374"/>
      <c r="C58906" s="374"/>
      <c r="CV58906" s="376"/>
    </row>
    <row r="58907" spans="1:100">
      <c r="A58907" s="374"/>
      <c r="C58907" s="374"/>
      <c r="CV58907" s="376"/>
    </row>
    <row r="58908" spans="1:100">
      <c r="A58908" s="374"/>
      <c r="C58908" s="374"/>
      <c r="CV58908" s="376"/>
    </row>
    <row r="58909" spans="1:100">
      <c r="A58909" s="374"/>
      <c r="C58909" s="374"/>
      <c r="CV58909" s="376"/>
    </row>
    <row r="58910" spans="1:100">
      <c r="A58910" s="374"/>
      <c r="C58910" s="374"/>
      <c r="CV58910" s="376"/>
    </row>
    <row r="58911" spans="1:100">
      <c r="A58911" s="374"/>
      <c r="C58911" s="374"/>
      <c r="CV58911" s="376"/>
    </row>
    <row r="58912" spans="1:100">
      <c r="A58912" s="374"/>
      <c r="C58912" s="374"/>
      <c r="CV58912" s="376"/>
    </row>
    <row r="58913" spans="1:100">
      <c r="A58913" s="374"/>
      <c r="C58913" s="374"/>
      <c r="CV58913" s="376"/>
    </row>
    <row r="58914" spans="1:100">
      <c r="A58914" s="374"/>
      <c r="C58914" s="374"/>
      <c r="CV58914" s="376"/>
    </row>
    <row r="58915" spans="1:100">
      <c r="A58915" s="374"/>
      <c r="C58915" s="374"/>
      <c r="CV58915" s="376"/>
    </row>
    <row r="58916" spans="1:100">
      <c r="A58916" s="374"/>
      <c r="C58916" s="374"/>
      <c r="CV58916" s="376"/>
    </row>
    <row r="58917" spans="1:100">
      <c r="A58917" s="374"/>
      <c r="C58917" s="374"/>
      <c r="CV58917" s="376"/>
    </row>
    <row r="58918" spans="1:100">
      <c r="A58918" s="374"/>
      <c r="C58918" s="374"/>
      <c r="CV58918" s="376"/>
    </row>
    <row r="58919" spans="1:100">
      <c r="A58919" s="374"/>
      <c r="C58919" s="374"/>
      <c r="CV58919" s="376"/>
    </row>
    <row r="58920" spans="1:100">
      <c r="A58920" s="374"/>
      <c r="C58920" s="374"/>
      <c r="CV58920" s="376"/>
    </row>
    <row r="58921" spans="1:100">
      <c r="A58921" s="374"/>
      <c r="C58921" s="374"/>
      <c r="CV58921" s="376"/>
    </row>
    <row r="58922" spans="1:100">
      <c r="A58922" s="374"/>
      <c r="C58922" s="374"/>
      <c r="CV58922" s="376"/>
    </row>
    <row r="58923" spans="1:100">
      <c r="A58923" s="374"/>
      <c r="C58923" s="374"/>
      <c r="CV58923" s="376"/>
    </row>
    <row r="58924" spans="1:100">
      <c r="A58924" s="374"/>
      <c r="C58924" s="374"/>
      <c r="CV58924" s="376"/>
    </row>
    <row r="58925" spans="1:100">
      <c r="A58925" s="374"/>
      <c r="C58925" s="374"/>
      <c r="CV58925" s="376"/>
    </row>
    <row r="58926" spans="1:100">
      <c r="A58926" s="374"/>
      <c r="C58926" s="374"/>
      <c r="CV58926" s="376"/>
    </row>
    <row r="58927" spans="1:100">
      <c r="A58927" s="374"/>
      <c r="C58927" s="374"/>
      <c r="CV58927" s="376"/>
    </row>
    <row r="58928" spans="1:100">
      <c r="A58928" s="374"/>
      <c r="C58928" s="374"/>
      <c r="CV58928" s="376"/>
    </row>
    <row r="58929" spans="1:100">
      <c r="A58929" s="374"/>
      <c r="C58929" s="374"/>
      <c r="CV58929" s="376"/>
    </row>
    <row r="58930" spans="1:100">
      <c r="A58930" s="374"/>
      <c r="C58930" s="374"/>
      <c r="CV58930" s="376"/>
    </row>
    <row r="58931" spans="1:100">
      <c r="A58931" s="374"/>
      <c r="C58931" s="374"/>
      <c r="CV58931" s="376"/>
    </row>
    <row r="58932" spans="1:100">
      <c r="A58932" s="374"/>
      <c r="C58932" s="374"/>
      <c r="CV58932" s="376"/>
    </row>
    <row r="58933" spans="1:100">
      <c r="A58933" s="374"/>
      <c r="C58933" s="374"/>
      <c r="CV58933" s="376"/>
    </row>
    <row r="58934" spans="1:100">
      <c r="A58934" s="374"/>
      <c r="C58934" s="374"/>
      <c r="CV58934" s="376"/>
    </row>
    <row r="58935" spans="1:100">
      <c r="A58935" s="374"/>
      <c r="C58935" s="374"/>
      <c r="CV58935" s="376"/>
    </row>
    <row r="58936" spans="1:100">
      <c r="A58936" s="374"/>
      <c r="C58936" s="374"/>
      <c r="CV58936" s="376"/>
    </row>
    <row r="58937" spans="1:100">
      <c r="A58937" s="374"/>
      <c r="C58937" s="374"/>
      <c r="CV58937" s="376"/>
    </row>
    <row r="58938" spans="1:100">
      <c r="A58938" s="374"/>
      <c r="C58938" s="374"/>
      <c r="CV58938" s="376"/>
    </row>
    <row r="58939" spans="1:100">
      <c r="A58939" s="374"/>
      <c r="C58939" s="374"/>
      <c r="CV58939" s="376"/>
    </row>
    <row r="58940" spans="1:100">
      <c r="A58940" s="374"/>
      <c r="C58940" s="374"/>
      <c r="CV58940" s="376"/>
    </row>
    <row r="58941" spans="1:100">
      <c r="A58941" s="374"/>
      <c r="C58941" s="374"/>
      <c r="CV58941" s="376"/>
    </row>
    <row r="58942" spans="1:100">
      <c r="A58942" s="374"/>
      <c r="C58942" s="374"/>
      <c r="CV58942" s="376"/>
    </row>
    <row r="58943" spans="1:100">
      <c r="A58943" s="374"/>
      <c r="C58943" s="374"/>
      <c r="CV58943" s="376"/>
    </row>
    <row r="58944" spans="1:100">
      <c r="A58944" s="374"/>
      <c r="C58944" s="374"/>
      <c r="CV58944" s="376"/>
    </row>
    <row r="58945" spans="1:100">
      <c r="A58945" s="374"/>
      <c r="C58945" s="374"/>
      <c r="CV58945" s="376"/>
    </row>
    <row r="58946" spans="1:100">
      <c r="A58946" s="374"/>
      <c r="C58946" s="374"/>
      <c r="CV58946" s="376"/>
    </row>
    <row r="58947" spans="1:100">
      <c r="A58947" s="374"/>
      <c r="C58947" s="374"/>
      <c r="CV58947" s="376"/>
    </row>
    <row r="58948" spans="1:100">
      <c r="A58948" s="374"/>
      <c r="C58948" s="374"/>
      <c r="CV58948" s="376"/>
    </row>
    <row r="58949" spans="1:100">
      <c r="A58949" s="374"/>
      <c r="C58949" s="374"/>
      <c r="CV58949" s="376"/>
    </row>
    <row r="58950" spans="1:100">
      <c r="A58950" s="374"/>
      <c r="C58950" s="374"/>
      <c r="CV58950" s="376"/>
    </row>
    <row r="58951" spans="1:100">
      <c r="A58951" s="374"/>
      <c r="C58951" s="374"/>
      <c r="CV58951" s="376"/>
    </row>
    <row r="58952" spans="1:100">
      <c r="A58952" s="374"/>
      <c r="C58952" s="374"/>
      <c r="CV58952" s="376"/>
    </row>
    <row r="58953" spans="1:100">
      <c r="A58953" s="374"/>
      <c r="C58953" s="374"/>
      <c r="CV58953" s="376"/>
    </row>
    <row r="58954" spans="1:100">
      <c r="A58954" s="374"/>
      <c r="C58954" s="374"/>
      <c r="CV58954" s="376"/>
    </row>
    <row r="58955" spans="1:100">
      <c r="A58955" s="374"/>
      <c r="C58955" s="374"/>
      <c r="CV58955" s="376"/>
    </row>
    <row r="58956" spans="1:100">
      <c r="A58956" s="374"/>
      <c r="C58956" s="374"/>
      <c r="CV58956" s="376"/>
    </row>
    <row r="58957" spans="1:100">
      <c r="A58957" s="374"/>
      <c r="C58957" s="374"/>
      <c r="CV58957" s="376"/>
    </row>
    <row r="58958" spans="1:100">
      <c r="A58958" s="374"/>
      <c r="C58958" s="374"/>
      <c r="CV58958" s="376"/>
    </row>
    <row r="58959" spans="1:100">
      <c r="A58959" s="374"/>
      <c r="C58959" s="374"/>
      <c r="CV58959" s="376"/>
    </row>
    <row r="58960" spans="1:100">
      <c r="A58960" s="374"/>
      <c r="C58960" s="374"/>
      <c r="CV58960" s="376"/>
    </row>
    <row r="58961" spans="1:100">
      <c r="A58961" s="374"/>
      <c r="C58961" s="374"/>
      <c r="CV58961" s="376"/>
    </row>
    <row r="58962" spans="1:100">
      <c r="A58962" s="374"/>
      <c r="C58962" s="374"/>
      <c r="CV58962" s="376"/>
    </row>
    <row r="58963" spans="1:100">
      <c r="A58963" s="374"/>
      <c r="C58963" s="374"/>
      <c r="CV58963" s="376"/>
    </row>
    <row r="58964" spans="1:100">
      <c r="A58964" s="374"/>
      <c r="C58964" s="374"/>
      <c r="CV58964" s="376"/>
    </row>
    <row r="58965" spans="1:100">
      <c r="A58965" s="374"/>
      <c r="C58965" s="374"/>
      <c r="CV58965" s="376"/>
    </row>
    <row r="58966" spans="1:100">
      <c r="A58966" s="374"/>
      <c r="C58966" s="374"/>
      <c r="CV58966" s="376"/>
    </row>
    <row r="58967" spans="1:100">
      <c r="A58967" s="374"/>
      <c r="C58967" s="374"/>
      <c r="CV58967" s="376"/>
    </row>
    <row r="58968" spans="1:100">
      <c r="A58968" s="374"/>
      <c r="C58968" s="374"/>
      <c r="CV58968" s="376"/>
    </row>
    <row r="58969" spans="1:100">
      <c r="A58969" s="374"/>
      <c r="C58969" s="374"/>
      <c r="CV58969" s="376"/>
    </row>
    <row r="58970" spans="1:100">
      <c r="A58970" s="374"/>
      <c r="C58970" s="374"/>
      <c r="CV58970" s="376"/>
    </row>
    <row r="58971" spans="1:100">
      <c r="A58971" s="374"/>
      <c r="C58971" s="374"/>
      <c r="CV58971" s="376"/>
    </row>
    <row r="58972" spans="1:100">
      <c r="A58972" s="374"/>
      <c r="C58972" s="374"/>
      <c r="CV58972" s="376"/>
    </row>
    <row r="58973" spans="1:100">
      <c r="A58973" s="374"/>
      <c r="C58973" s="374"/>
      <c r="CV58973" s="376"/>
    </row>
    <row r="58974" spans="1:100">
      <c r="A58974" s="374"/>
      <c r="C58974" s="374"/>
      <c r="CV58974" s="376"/>
    </row>
    <row r="58975" spans="1:100">
      <c r="A58975" s="374"/>
      <c r="C58975" s="374"/>
      <c r="CV58975" s="376"/>
    </row>
    <row r="58976" spans="1:100">
      <c r="A58976" s="374"/>
      <c r="C58976" s="374"/>
      <c r="CV58976" s="376"/>
    </row>
    <row r="58977" spans="1:100">
      <c r="A58977" s="374"/>
      <c r="C58977" s="374"/>
      <c r="CV58977" s="376"/>
    </row>
    <row r="58978" spans="1:100">
      <c r="A58978" s="374"/>
      <c r="C58978" s="374"/>
      <c r="CV58978" s="376"/>
    </row>
    <row r="58979" spans="1:100">
      <c r="A58979" s="374"/>
      <c r="C58979" s="374"/>
      <c r="CV58979" s="376"/>
    </row>
    <row r="58980" spans="1:100">
      <c r="A58980" s="374"/>
      <c r="C58980" s="374"/>
      <c r="CV58980" s="376"/>
    </row>
    <row r="58981" spans="1:100">
      <c r="A58981" s="374"/>
      <c r="C58981" s="374"/>
      <c r="CV58981" s="376"/>
    </row>
    <row r="58982" spans="1:100">
      <c r="A58982" s="374"/>
      <c r="C58982" s="374"/>
      <c r="CV58982" s="376"/>
    </row>
    <row r="58983" spans="1:100">
      <c r="A58983" s="374"/>
      <c r="C58983" s="374"/>
      <c r="CV58983" s="376"/>
    </row>
    <row r="58984" spans="1:100">
      <c r="A58984" s="374"/>
      <c r="C58984" s="374"/>
      <c r="CV58984" s="376"/>
    </row>
    <row r="58985" spans="1:100">
      <c r="A58985" s="374"/>
      <c r="C58985" s="374"/>
      <c r="CV58985" s="376"/>
    </row>
    <row r="58986" spans="1:100">
      <c r="A58986" s="374"/>
      <c r="C58986" s="374"/>
      <c r="CV58986" s="376"/>
    </row>
    <row r="58987" spans="1:100">
      <c r="A58987" s="374"/>
      <c r="C58987" s="374"/>
      <c r="CV58987" s="376"/>
    </row>
    <row r="58988" spans="1:100">
      <c r="A58988" s="374"/>
      <c r="C58988" s="374"/>
      <c r="CV58988" s="376"/>
    </row>
    <row r="58989" spans="1:100">
      <c r="A58989" s="374"/>
      <c r="C58989" s="374"/>
      <c r="CV58989" s="376"/>
    </row>
    <row r="58990" spans="1:100">
      <c r="A58990" s="374"/>
      <c r="C58990" s="374"/>
      <c r="CV58990" s="376"/>
    </row>
    <row r="58991" spans="1:100">
      <c r="A58991" s="374"/>
      <c r="C58991" s="374"/>
      <c r="CV58991" s="376"/>
    </row>
    <row r="58992" spans="1:100">
      <c r="A58992" s="374"/>
      <c r="C58992" s="374"/>
      <c r="CV58992" s="376"/>
    </row>
    <row r="58993" spans="1:100">
      <c r="A58993" s="374"/>
      <c r="C58993" s="374"/>
      <c r="CV58993" s="376"/>
    </row>
    <row r="58994" spans="1:100">
      <c r="A58994" s="374"/>
      <c r="C58994" s="374"/>
      <c r="CV58994" s="376"/>
    </row>
    <row r="58995" spans="1:100">
      <c r="A58995" s="374"/>
      <c r="C58995" s="374"/>
      <c r="CV58995" s="376"/>
    </row>
    <row r="58996" spans="1:100">
      <c r="A58996" s="374"/>
      <c r="C58996" s="374"/>
      <c r="CV58996" s="376"/>
    </row>
    <row r="58997" spans="1:100">
      <c r="A58997" s="374"/>
      <c r="C58997" s="374"/>
      <c r="CV58997" s="376"/>
    </row>
    <row r="58998" spans="1:100">
      <c r="A58998" s="374"/>
      <c r="C58998" s="374"/>
      <c r="CV58998" s="376"/>
    </row>
    <row r="58999" spans="1:100">
      <c r="A58999" s="374"/>
      <c r="C58999" s="374"/>
      <c r="CV58999" s="376"/>
    </row>
    <row r="59000" spans="1:100">
      <c r="A59000" s="374"/>
      <c r="C59000" s="374"/>
      <c r="CV59000" s="376"/>
    </row>
    <row r="59001" spans="1:100">
      <c r="A59001" s="374"/>
      <c r="C59001" s="374"/>
      <c r="CV59001" s="376"/>
    </row>
    <row r="59002" spans="1:100">
      <c r="A59002" s="374"/>
      <c r="C59002" s="374"/>
      <c r="CV59002" s="376"/>
    </row>
    <row r="59003" spans="1:100">
      <c r="A59003" s="374"/>
      <c r="C59003" s="374"/>
      <c r="CV59003" s="376"/>
    </row>
    <row r="59004" spans="1:100">
      <c r="A59004" s="374"/>
      <c r="C59004" s="374"/>
      <c r="CV59004" s="376"/>
    </row>
    <row r="59005" spans="1:100">
      <c r="A59005" s="374"/>
      <c r="C59005" s="374"/>
      <c r="CV59005" s="376"/>
    </row>
    <row r="59006" spans="1:100">
      <c r="A59006" s="374"/>
      <c r="C59006" s="374"/>
      <c r="CV59006" s="376"/>
    </row>
    <row r="59007" spans="1:100">
      <c r="A59007" s="374"/>
      <c r="C59007" s="374"/>
      <c r="CV59007" s="376"/>
    </row>
    <row r="59008" spans="1:100">
      <c r="A59008" s="374"/>
      <c r="C59008" s="374"/>
      <c r="CV59008" s="376"/>
    </row>
    <row r="59009" spans="1:100">
      <c r="A59009" s="374"/>
      <c r="C59009" s="374"/>
      <c r="CV59009" s="376"/>
    </row>
    <row r="59010" spans="1:100">
      <c r="A59010" s="374"/>
      <c r="C59010" s="374"/>
      <c r="CV59010" s="376"/>
    </row>
    <row r="59011" spans="1:100">
      <c r="A59011" s="374"/>
      <c r="C59011" s="374"/>
      <c r="CV59011" s="376"/>
    </row>
    <row r="59012" spans="1:100">
      <c r="A59012" s="374"/>
      <c r="C59012" s="374"/>
      <c r="CV59012" s="376"/>
    </row>
    <row r="59013" spans="1:100">
      <c r="A59013" s="374"/>
      <c r="C59013" s="374"/>
      <c r="CV59013" s="376"/>
    </row>
    <row r="59014" spans="1:100">
      <c r="A59014" s="374"/>
      <c r="C59014" s="374"/>
      <c r="CV59014" s="376"/>
    </row>
    <row r="59015" spans="1:100">
      <c r="A59015" s="374"/>
      <c r="C59015" s="374"/>
      <c r="CV59015" s="376"/>
    </row>
    <row r="59016" spans="1:100">
      <c r="A59016" s="374"/>
      <c r="C59016" s="374"/>
      <c r="CV59016" s="376"/>
    </row>
    <row r="59017" spans="1:100">
      <c r="A59017" s="374"/>
      <c r="C59017" s="374"/>
      <c r="CV59017" s="376"/>
    </row>
    <row r="59018" spans="1:100">
      <c r="A59018" s="374"/>
      <c r="C59018" s="374"/>
      <c r="CV59018" s="376"/>
    </row>
    <row r="59019" spans="1:100">
      <c r="A59019" s="374"/>
      <c r="C59019" s="374"/>
      <c r="CV59019" s="376"/>
    </row>
    <row r="59020" spans="1:100">
      <c r="A59020" s="374"/>
      <c r="C59020" s="374"/>
      <c r="CV59020" s="376"/>
    </row>
    <row r="59021" spans="1:100">
      <c r="A59021" s="374"/>
      <c r="C59021" s="374"/>
      <c r="CV59021" s="376"/>
    </row>
    <row r="59022" spans="1:100">
      <c r="A59022" s="374"/>
      <c r="C59022" s="374"/>
      <c r="CV59022" s="376"/>
    </row>
    <row r="59023" spans="1:100">
      <c r="A59023" s="374"/>
      <c r="C59023" s="374"/>
      <c r="CV59023" s="376"/>
    </row>
    <row r="59024" spans="1:100">
      <c r="A59024" s="374"/>
      <c r="C59024" s="374"/>
      <c r="CV59024" s="376"/>
    </row>
    <row r="59025" spans="1:100">
      <c r="A59025" s="374"/>
      <c r="C59025" s="374"/>
      <c r="CV59025" s="376"/>
    </row>
    <row r="59026" spans="1:100">
      <c r="A59026" s="374"/>
      <c r="C59026" s="374"/>
      <c r="CV59026" s="376"/>
    </row>
    <row r="59027" spans="1:100">
      <c r="A59027" s="374"/>
      <c r="C59027" s="374"/>
      <c r="CV59027" s="376"/>
    </row>
    <row r="59028" spans="1:100">
      <c r="A59028" s="374"/>
      <c r="C59028" s="374"/>
      <c r="CV59028" s="376"/>
    </row>
    <row r="59029" spans="1:100">
      <c r="A59029" s="374"/>
      <c r="C59029" s="374"/>
      <c r="CV59029" s="376"/>
    </row>
    <row r="59030" spans="1:100">
      <c r="A59030" s="374"/>
      <c r="C59030" s="374"/>
      <c r="CV59030" s="376"/>
    </row>
    <row r="59031" spans="1:100">
      <c r="A59031" s="374"/>
      <c r="C59031" s="374"/>
      <c r="CV59031" s="376"/>
    </row>
    <row r="59032" spans="1:100">
      <c r="A59032" s="374"/>
      <c r="C59032" s="374"/>
      <c r="CV59032" s="376"/>
    </row>
    <row r="59033" spans="1:100">
      <c r="A59033" s="374"/>
      <c r="C59033" s="374"/>
      <c r="CV59033" s="376"/>
    </row>
    <row r="59034" spans="1:100">
      <c r="A59034" s="374"/>
      <c r="C59034" s="374"/>
      <c r="CV59034" s="376"/>
    </row>
    <row r="59035" spans="1:100">
      <c r="A59035" s="374"/>
      <c r="C59035" s="374"/>
      <c r="CV59035" s="376"/>
    </row>
    <row r="59036" spans="1:100">
      <c r="A59036" s="374"/>
      <c r="C59036" s="374"/>
      <c r="CV59036" s="376"/>
    </row>
    <row r="59037" spans="1:100">
      <c r="A59037" s="374"/>
      <c r="C59037" s="374"/>
      <c r="CV59037" s="376"/>
    </row>
    <row r="59038" spans="1:100">
      <c r="A59038" s="374"/>
      <c r="C59038" s="374"/>
      <c r="CV59038" s="376"/>
    </row>
    <row r="59039" spans="1:100">
      <c r="A59039" s="374"/>
      <c r="C59039" s="374"/>
      <c r="CV59039" s="376"/>
    </row>
    <row r="59040" spans="1:100">
      <c r="A59040" s="374"/>
      <c r="C59040" s="374"/>
      <c r="CV59040" s="376"/>
    </row>
    <row r="59041" spans="1:100">
      <c r="A59041" s="374"/>
      <c r="C59041" s="374"/>
      <c r="CV59041" s="376"/>
    </row>
    <row r="59042" spans="1:100">
      <c r="A59042" s="374"/>
      <c r="C59042" s="374"/>
      <c r="CV59042" s="376"/>
    </row>
    <row r="59043" spans="1:100">
      <c r="A59043" s="374"/>
      <c r="C59043" s="374"/>
      <c r="CV59043" s="376"/>
    </row>
    <row r="59044" spans="1:100">
      <c r="A59044" s="374"/>
      <c r="C59044" s="374"/>
      <c r="CV59044" s="376"/>
    </row>
    <row r="59045" spans="1:100">
      <c r="A59045" s="374"/>
      <c r="C59045" s="374"/>
      <c r="CV59045" s="376"/>
    </row>
    <row r="59046" spans="1:100">
      <c r="A59046" s="374"/>
      <c r="C59046" s="374"/>
      <c r="CV59046" s="376"/>
    </row>
    <row r="59047" spans="1:100">
      <c r="A59047" s="374"/>
      <c r="C59047" s="374"/>
      <c r="CV59047" s="376"/>
    </row>
    <row r="59048" spans="1:100">
      <c r="A59048" s="374"/>
      <c r="C59048" s="374"/>
      <c r="CV59048" s="376"/>
    </row>
    <row r="59049" spans="1:100">
      <c r="A59049" s="374"/>
      <c r="C59049" s="374"/>
      <c r="CV59049" s="376"/>
    </row>
    <row r="59050" spans="1:100">
      <c r="A59050" s="374"/>
      <c r="C59050" s="374"/>
      <c r="CV59050" s="376"/>
    </row>
    <row r="59051" spans="1:100">
      <c r="A59051" s="374"/>
      <c r="C59051" s="374"/>
      <c r="CV59051" s="376"/>
    </row>
    <row r="59052" spans="1:100">
      <c r="A59052" s="374"/>
      <c r="C59052" s="374"/>
      <c r="CV59052" s="376"/>
    </row>
    <row r="59053" spans="1:100">
      <c r="A59053" s="374"/>
      <c r="C59053" s="374"/>
      <c r="CV59053" s="376"/>
    </row>
    <row r="59054" spans="1:100">
      <c r="A59054" s="374"/>
      <c r="C59054" s="374"/>
      <c r="CV59054" s="376"/>
    </row>
    <row r="59055" spans="1:100">
      <c r="A59055" s="374"/>
      <c r="C59055" s="374"/>
      <c r="CV59055" s="376"/>
    </row>
    <row r="59056" spans="1:100">
      <c r="A59056" s="374"/>
      <c r="C59056" s="374"/>
      <c r="CV59056" s="376"/>
    </row>
    <row r="59057" spans="1:100">
      <c r="A59057" s="374"/>
      <c r="C59057" s="374"/>
      <c r="CV59057" s="376"/>
    </row>
    <row r="59058" spans="1:100">
      <c r="A59058" s="374"/>
      <c r="C59058" s="374"/>
      <c r="CV59058" s="376"/>
    </row>
    <row r="59059" spans="1:100">
      <c r="A59059" s="374"/>
      <c r="C59059" s="374"/>
      <c r="CV59059" s="376"/>
    </row>
    <row r="59060" spans="1:100">
      <c r="A59060" s="374"/>
      <c r="C59060" s="374"/>
      <c r="CV59060" s="376"/>
    </row>
    <row r="59061" spans="1:100">
      <c r="A59061" s="374"/>
      <c r="C59061" s="374"/>
      <c r="CV59061" s="376"/>
    </row>
    <row r="59062" spans="1:100">
      <c r="A59062" s="374"/>
      <c r="C59062" s="374"/>
      <c r="CV59062" s="376"/>
    </row>
    <row r="59063" spans="1:100">
      <c r="A59063" s="374"/>
      <c r="C59063" s="374"/>
      <c r="CV59063" s="376"/>
    </row>
    <row r="59064" spans="1:100">
      <c r="A59064" s="374"/>
      <c r="C59064" s="374"/>
      <c r="CV59064" s="376"/>
    </row>
    <row r="59065" spans="1:100">
      <c r="A59065" s="374"/>
      <c r="C59065" s="374"/>
      <c r="CV59065" s="376"/>
    </row>
    <row r="59066" spans="1:100">
      <c r="A59066" s="374"/>
      <c r="C59066" s="374"/>
      <c r="CV59066" s="376"/>
    </row>
    <row r="59067" spans="1:100">
      <c r="A59067" s="374"/>
      <c r="C59067" s="374"/>
      <c r="CV59067" s="376"/>
    </row>
    <row r="59068" spans="1:100">
      <c r="A59068" s="374"/>
      <c r="C59068" s="374"/>
      <c r="CV59068" s="376"/>
    </row>
    <row r="59069" spans="1:100">
      <c r="A59069" s="374"/>
      <c r="C59069" s="374"/>
      <c r="CV59069" s="376"/>
    </row>
    <row r="59070" spans="1:100">
      <c r="A59070" s="374"/>
      <c r="C59070" s="374"/>
      <c r="CV59070" s="376"/>
    </row>
    <row r="59071" spans="1:100">
      <c r="A59071" s="374"/>
      <c r="C59071" s="374"/>
      <c r="CV59071" s="376"/>
    </row>
    <row r="59072" spans="1:100">
      <c r="A59072" s="374"/>
      <c r="C59072" s="374"/>
      <c r="CV59072" s="376"/>
    </row>
    <row r="59073" spans="1:100">
      <c r="A59073" s="374"/>
      <c r="C59073" s="374"/>
      <c r="CV59073" s="376"/>
    </row>
    <row r="59074" spans="1:100">
      <c r="A59074" s="374"/>
      <c r="C59074" s="374"/>
      <c r="CV59074" s="376"/>
    </row>
    <row r="59075" spans="1:100">
      <c r="A59075" s="374"/>
      <c r="C59075" s="374"/>
      <c r="CV59075" s="376"/>
    </row>
    <row r="59076" spans="1:100">
      <c r="A59076" s="374"/>
      <c r="C59076" s="374"/>
      <c r="CV59076" s="376"/>
    </row>
    <row r="59077" spans="1:100">
      <c r="A59077" s="374"/>
      <c r="C59077" s="374"/>
      <c r="CV59077" s="376"/>
    </row>
    <row r="59078" spans="1:100">
      <c r="A59078" s="374"/>
      <c r="C59078" s="374"/>
      <c r="CV59078" s="376"/>
    </row>
    <row r="59079" spans="1:100">
      <c r="A59079" s="374"/>
      <c r="C59079" s="374"/>
      <c r="CV59079" s="376"/>
    </row>
    <row r="59080" spans="1:100">
      <c r="A59080" s="374"/>
      <c r="C59080" s="374"/>
      <c r="CV59080" s="376"/>
    </row>
    <row r="59081" spans="1:100">
      <c r="A59081" s="374"/>
      <c r="C59081" s="374"/>
      <c r="CV59081" s="376"/>
    </row>
    <row r="59082" spans="1:100">
      <c r="A59082" s="374"/>
      <c r="C59082" s="374"/>
      <c r="CV59082" s="376"/>
    </row>
    <row r="59083" spans="1:100">
      <c r="A59083" s="374"/>
      <c r="C59083" s="374"/>
      <c r="CV59083" s="376"/>
    </row>
    <row r="59084" spans="1:100">
      <c r="A59084" s="374"/>
      <c r="C59084" s="374"/>
      <c r="CV59084" s="376"/>
    </row>
    <row r="59085" spans="1:100">
      <c r="A59085" s="374"/>
      <c r="C59085" s="374"/>
      <c r="CV59085" s="376"/>
    </row>
    <row r="59086" spans="1:100">
      <c r="A59086" s="374"/>
      <c r="C59086" s="374"/>
      <c r="CV59086" s="376"/>
    </row>
    <row r="59087" spans="1:100">
      <c r="A59087" s="374"/>
      <c r="C59087" s="374"/>
      <c r="CV59087" s="376"/>
    </row>
    <row r="59088" spans="1:100">
      <c r="A59088" s="374"/>
      <c r="C59088" s="374"/>
      <c r="CV59088" s="376"/>
    </row>
    <row r="59089" spans="1:100">
      <c r="A59089" s="374"/>
      <c r="C59089" s="374"/>
      <c r="CV59089" s="376"/>
    </row>
    <row r="59090" spans="1:100">
      <c r="A59090" s="374"/>
      <c r="C59090" s="374"/>
      <c r="CV59090" s="376"/>
    </row>
    <row r="59091" spans="1:100">
      <c r="A59091" s="374"/>
      <c r="C59091" s="374"/>
      <c r="CV59091" s="376"/>
    </row>
    <row r="59092" spans="1:100">
      <c r="A59092" s="374"/>
      <c r="C59092" s="374"/>
      <c r="CV59092" s="376"/>
    </row>
    <row r="59093" spans="1:100">
      <c r="A59093" s="374"/>
      <c r="C59093" s="374"/>
      <c r="CV59093" s="376"/>
    </row>
    <row r="59094" spans="1:100">
      <c r="A59094" s="374"/>
      <c r="C59094" s="374"/>
      <c r="CV59094" s="376"/>
    </row>
    <row r="59095" spans="1:100">
      <c r="A59095" s="374"/>
      <c r="C59095" s="374"/>
      <c r="CV59095" s="376"/>
    </row>
    <row r="59096" spans="1:100">
      <c r="A59096" s="374"/>
      <c r="C59096" s="374"/>
      <c r="CV59096" s="376"/>
    </row>
    <row r="59097" spans="1:100">
      <c r="A59097" s="374"/>
      <c r="C59097" s="374"/>
      <c r="CV59097" s="376"/>
    </row>
    <row r="59098" spans="1:100">
      <c r="A59098" s="374"/>
      <c r="C59098" s="374"/>
      <c r="CV59098" s="376"/>
    </row>
    <row r="59099" spans="1:100">
      <c r="A59099" s="374"/>
      <c r="C59099" s="374"/>
      <c r="CV59099" s="376"/>
    </row>
    <row r="59100" spans="1:100">
      <c r="A59100" s="374"/>
      <c r="C59100" s="374"/>
      <c r="CV59100" s="376"/>
    </row>
    <row r="59101" spans="1:100">
      <c r="A59101" s="374"/>
      <c r="C59101" s="374"/>
      <c r="CV59101" s="376"/>
    </row>
    <row r="59102" spans="1:100">
      <c r="A59102" s="374"/>
      <c r="C59102" s="374"/>
      <c r="CV59102" s="376"/>
    </row>
    <row r="59103" spans="1:100">
      <c r="A59103" s="374"/>
      <c r="C59103" s="374"/>
      <c r="CV59103" s="376"/>
    </row>
    <row r="59104" spans="1:100">
      <c r="A59104" s="374"/>
      <c r="C59104" s="374"/>
      <c r="CV59104" s="376"/>
    </row>
    <row r="59105" spans="1:100">
      <c r="A59105" s="374"/>
      <c r="C59105" s="374"/>
      <c r="CV59105" s="376"/>
    </row>
    <row r="59106" spans="1:100">
      <c r="A59106" s="374"/>
      <c r="C59106" s="374"/>
      <c r="CV59106" s="376"/>
    </row>
    <row r="59107" spans="1:100">
      <c r="A59107" s="374"/>
      <c r="C59107" s="374"/>
      <c r="CV59107" s="376"/>
    </row>
    <row r="59108" spans="1:100">
      <c r="A59108" s="374"/>
      <c r="C59108" s="374"/>
      <c r="CV59108" s="376"/>
    </row>
    <row r="59109" spans="1:100">
      <c r="A59109" s="374"/>
      <c r="C59109" s="374"/>
      <c r="CV59109" s="376"/>
    </row>
    <row r="59110" spans="1:100">
      <c r="A59110" s="374"/>
      <c r="C59110" s="374"/>
      <c r="CV59110" s="376"/>
    </row>
    <row r="59111" spans="1:100">
      <c r="A59111" s="374"/>
      <c r="C59111" s="374"/>
      <c r="CV59111" s="376"/>
    </row>
    <row r="59112" spans="1:100">
      <c r="A59112" s="374"/>
      <c r="C59112" s="374"/>
      <c r="CV59112" s="376"/>
    </row>
    <row r="59113" spans="1:100">
      <c r="A59113" s="374"/>
      <c r="C59113" s="374"/>
      <c r="CV59113" s="376"/>
    </row>
    <row r="59114" spans="1:100">
      <c r="A59114" s="374"/>
      <c r="C59114" s="374"/>
      <c r="CV59114" s="376"/>
    </row>
    <row r="59115" spans="1:100">
      <c r="A59115" s="374"/>
      <c r="C59115" s="374"/>
      <c r="CV59115" s="376"/>
    </row>
    <row r="59116" spans="1:100">
      <c r="A59116" s="374"/>
      <c r="C59116" s="374"/>
      <c r="CV59116" s="376"/>
    </row>
    <row r="59117" spans="1:100">
      <c r="A59117" s="374"/>
      <c r="C59117" s="374"/>
      <c r="CV59117" s="376"/>
    </row>
    <row r="59118" spans="1:100">
      <c r="A59118" s="374"/>
      <c r="C59118" s="374"/>
      <c r="CV59118" s="376"/>
    </row>
    <row r="59119" spans="1:100">
      <c r="A59119" s="374"/>
      <c r="C59119" s="374"/>
      <c r="CV59119" s="376"/>
    </row>
    <row r="59120" spans="1:100">
      <c r="A59120" s="374"/>
      <c r="C59120" s="374"/>
      <c r="CV59120" s="376"/>
    </row>
    <row r="59121" spans="1:100">
      <c r="A59121" s="374"/>
      <c r="C59121" s="374"/>
      <c r="CV59121" s="376"/>
    </row>
    <row r="59122" spans="1:100">
      <c r="A59122" s="374"/>
      <c r="C59122" s="374"/>
      <c r="CV59122" s="376"/>
    </row>
    <row r="59123" spans="1:100">
      <c r="A59123" s="374"/>
      <c r="C59123" s="374"/>
      <c r="CV59123" s="376"/>
    </row>
    <row r="59124" spans="1:100">
      <c r="A59124" s="374"/>
      <c r="C59124" s="374"/>
      <c r="CV59124" s="376"/>
    </row>
    <row r="59125" spans="1:100">
      <c r="A59125" s="374"/>
      <c r="C59125" s="374"/>
      <c r="CV59125" s="376"/>
    </row>
    <row r="59126" spans="1:100">
      <c r="A59126" s="374"/>
      <c r="C59126" s="374"/>
      <c r="CV59126" s="376"/>
    </row>
    <row r="59127" spans="1:100">
      <c r="A59127" s="374"/>
      <c r="C59127" s="374"/>
      <c r="CV59127" s="376"/>
    </row>
    <row r="59128" spans="1:100">
      <c r="A59128" s="374"/>
      <c r="C59128" s="374"/>
      <c r="CV59128" s="376"/>
    </row>
    <row r="59129" spans="1:100">
      <c r="A59129" s="374"/>
      <c r="C59129" s="374"/>
      <c r="CV59129" s="376"/>
    </row>
    <row r="59130" spans="1:100">
      <c r="A59130" s="374"/>
      <c r="C59130" s="374"/>
      <c r="CV59130" s="376"/>
    </row>
    <row r="59131" spans="1:100">
      <c r="A59131" s="374"/>
      <c r="C59131" s="374"/>
      <c r="CV59131" s="376"/>
    </row>
    <row r="59132" spans="1:100">
      <c r="A59132" s="374"/>
      <c r="C59132" s="374"/>
      <c r="CV59132" s="376"/>
    </row>
    <row r="59133" spans="1:100">
      <c r="A59133" s="374"/>
      <c r="C59133" s="374"/>
      <c r="CV59133" s="376"/>
    </row>
    <row r="59134" spans="1:100">
      <c r="A59134" s="374"/>
      <c r="C59134" s="374"/>
      <c r="CV59134" s="376"/>
    </row>
    <row r="59135" spans="1:100">
      <c r="A59135" s="374"/>
      <c r="C59135" s="374"/>
      <c r="CV59135" s="376"/>
    </row>
    <row r="59136" spans="1:100">
      <c r="A59136" s="374"/>
      <c r="C59136" s="374"/>
      <c r="CV59136" s="376"/>
    </row>
    <row r="59137" spans="1:100">
      <c r="A59137" s="374"/>
      <c r="C59137" s="374"/>
      <c r="CV59137" s="376"/>
    </row>
    <row r="59138" spans="1:100">
      <c r="A59138" s="374"/>
      <c r="C59138" s="374"/>
      <c r="CV59138" s="376"/>
    </row>
    <row r="59139" spans="1:100">
      <c r="A59139" s="374"/>
      <c r="C59139" s="374"/>
      <c r="CV59139" s="376"/>
    </row>
    <row r="59140" spans="1:100">
      <c r="A59140" s="374"/>
      <c r="C59140" s="374"/>
      <c r="CV59140" s="376"/>
    </row>
    <row r="59141" spans="1:100">
      <c r="A59141" s="374"/>
      <c r="C59141" s="374"/>
      <c r="CV59141" s="376"/>
    </row>
    <row r="59142" spans="1:100">
      <c r="A59142" s="374"/>
      <c r="C59142" s="374"/>
      <c r="CV59142" s="376"/>
    </row>
    <row r="59143" spans="1:100">
      <c r="A59143" s="374"/>
      <c r="C59143" s="374"/>
      <c r="CV59143" s="376"/>
    </row>
    <row r="59144" spans="1:100">
      <c r="A59144" s="374"/>
      <c r="C59144" s="374"/>
      <c r="CV59144" s="376"/>
    </row>
    <row r="59145" spans="1:100">
      <c r="A59145" s="374"/>
      <c r="C59145" s="374"/>
      <c r="CV59145" s="376"/>
    </row>
    <row r="59146" spans="1:100">
      <c r="A59146" s="374"/>
      <c r="C59146" s="374"/>
      <c r="CV59146" s="376"/>
    </row>
    <row r="59147" spans="1:100">
      <c r="A59147" s="374"/>
      <c r="C59147" s="374"/>
      <c r="CV59147" s="376"/>
    </row>
    <row r="59148" spans="1:100">
      <c r="A59148" s="374"/>
      <c r="C59148" s="374"/>
      <c r="CV59148" s="376"/>
    </row>
    <row r="59149" spans="1:100">
      <c r="A59149" s="374"/>
      <c r="C59149" s="374"/>
      <c r="CV59149" s="376"/>
    </row>
    <row r="59150" spans="1:100">
      <c r="A59150" s="374"/>
      <c r="C59150" s="374"/>
      <c r="CV59150" s="376"/>
    </row>
    <row r="59151" spans="1:100">
      <c r="A59151" s="374"/>
      <c r="C59151" s="374"/>
      <c r="CV59151" s="376"/>
    </row>
    <row r="59152" spans="1:100">
      <c r="A59152" s="374"/>
      <c r="C59152" s="374"/>
      <c r="CV59152" s="376"/>
    </row>
    <row r="59153" spans="1:100">
      <c r="A59153" s="374"/>
      <c r="C59153" s="374"/>
      <c r="CV59153" s="376"/>
    </row>
    <row r="59154" spans="1:100">
      <c r="A59154" s="374"/>
      <c r="C59154" s="374"/>
      <c r="CV59154" s="376"/>
    </row>
    <row r="59155" spans="1:100">
      <c r="A59155" s="374"/>
      <c r="C59155" s="374"/>
      <c r="CV59155" s="376"/>
    </row>
    <row r="59156" spans="1:100">
      <c r="A59156" s="374"/>
      <c r="C59156" s="374"/>
      <c r="CV59156" s="376"/>
    </row>
    <row r="59157" spans="1:100">
      <c r="A59157" s="374"/>
      <c r="C59157" s="374"/>
      <c r="CV59157" s="376"/>
    </row>
    <row r="59158" spans="1:100">
      <c r="A59158" s="374"/>
      <c r="C59158" s="374"/>
      <c r="CV59158" s="376"/>
    </row>
    <row r="59159" spans="1:100">
      <c r="A59159" s="374"/>
      <c r="C59159" s="374"/>
      <c r="CV59159" s="376"/>
    </row>
    <row r="59160" spans="1:100">
      <c r="A59160" s="374"/>
      <c r="C59160" s="374"/>
      <c r="CV59160" s="376"/>
    </row>
    <row r="59161" spans="1:100">
      <c r="A59161" s="374"/>
      <c r="C59161" s="374"/>
      <c r="CV59161" s="376"/>
    </row>
    <row r="59162" spans="1:100">
      <c r="A59162" s="374"/>
      <c r="C59162" s="374"/>
      <c r="CV59162" s="376"/>
    </row>
    <row r="59163" spans="1:100">
      <c r="A59163" s="374"/>
      <c r="C59163" s="374"/>
      <c r="CV59163" s="376"/>
    </row>
    <row r="59164" spans="1:100">
      <c r="A59164" s="374"/>
      <c r="C59164" s="374"/>
      <c r="CV59164" s="376"/>
    </row>
    <row r="59165" spans="1:100">
      <c r="A59165" s="374"/>
      <c r="C59165" s="374"/>
      <c r="CV59165" s="376"/>
    </row>
    <row r="59166" spans="1:100">
      <c r="A59166" s="374"/>
      <c r="C59166" s="374"/>
      <c r="CV59166" s="376"/>
    </row>
    <row r="59167" spans="1:100">
      <c r="A59167" s="374"/>
      <c r="C59167" s="374"/>
      <c r="CV59167" s="376"/>
    </row>
    <row r="59168" spans="1:100">
      <c r="A59168" s="374"/>
      <c r="C59168" s="374"/>
      <c r="CV59168" s="376"/>
    </row>
    <row r="59169" spans="1:100">
      <c r="A59169" s="374"/>
      <c r="C59169" s="374"/>
      <c r="CV59169" s="376"/>
    </row>
    <row r="59170" spans="1:100">
      <c r="A59170" s="374"/>
      <c r="C59170" s="374"/>
      <c r="CV59170" s="376"/>
    </row>
    <row r="59171" spans="1:100">
      <c r="A59171" s="374"/>
      <c r="C59171" s="374"/>
      <c r="CV59171" s="376"/>
    </row>
    <row r="59172" spans="1:100">
      <c r="A59172" s="374"/>
      <c r="C59172" s="374"/>
      <c r="CV59172" s="376"/>
    </row>
    <row r="59173" spans="1:100">
      <c r="A59173" s="374"/>
      <c r="C59173" s="374"/>
      <c r="CV59173" s="376"/>
    </row>
    <row r="59174" spans="1:100">
      <c r="A59174" s="374"/>
      <c r="C59174" s="374"/>
      <c r="CV59174" s="376"/>
    </row>
    <row r="59175" spans="1:100">
      <c r="A59175" s="374"/>
      <c r="C59175" s="374"/>
      <c r="CV59175" s="376"/>
    </row>
    <row r="59176" spans="1:100">
      <c r="A59176" s="374"/>
      <c r="C59176" s="374"/>
      <c r="CV59176" s="376"/>
    </row>
    <row r="59177" spans="1:100">
      <c r="A59177" s="374"/>
      <c r="C59177" s="374"/>
      <c r="CV59177" s="376"/>
    </row>
    <row r="59178" spans="1:100">
      <c r="A59178" s="374"/>
      <c r="C59178" s="374"/>
      <c r="CV59178" s="376"/>
    </row>
    <row r="59179" spans="1:100">
      <c r="A59179" s="374"/>
      <c r="C59179" s="374"/>
      <c r="CV59179" s="376"/>
    </row>
    <row r="59180" spans="1:100">
      <c r="A59180" s="374"/>
      <c r="C59180" s="374"/>
      <c r="CV59180" s="376"/>
    </row>
    <row r="59181" spans="1:100">
      <c r="A59181" s="374"/>
      <c r="C59181" s="374"/>
      <c r="CV59181" s="376"/>
    </row>
    <row r="59182" spans="1:100">
      <c r="A59182" s="374"/>
      <c r="C59182" s="374"/>
      <c r="CV59182" s="376"/>
    </row>
    <row r="59183" spans="1:100">
      <c r="A59183" s="374"/>
      <c r="C59183" s="374"/>
      <c r="CV59183" s="376"/>
    </row>
    <row r="59184" spans="1:100">
      <c r="A59184" s="374"/>
      <c r="C59184" s="374"/>
      <c r="CV59184" s="376"/>
    </row>
    <row r="59185" spans="1:100">
      <c r="A59185" s="374"/>
      <c r="C59185" s="374"/>
      <c r="CV59185" s="376"/>
    </row>
    <row r="59186" spans="1:100">
      <c r="A59186" s="374"/>
      <c r="C59186" s="374"/>
      <c r="CV59186" s="376"/>
    </row>
    <row r="59187" spans="1:100">
      <c r="A59187" s="374"/>
      <c r="C59187" s="374"/>
      <c r="CV59187" s="376"/>
    </row>
    <row r="59188" spans="1:100">
      <c r="A59188" s="374"/>
      <c r="C59188" s="374"/>
      <c r="CV59188" s="376"/>
    </row>
    <row r="59189" spans="1:100">
      <c r="A59189" s="374"/>
      <c r="C59189" s="374"/>
      <c r="CV59189" s="376"/>
    </row>
    <row r="59190" spans="1:100">
      <c r="A59190" s="374"/>
      <c r="C59190" s="374"/>
      <c r="CV59190" s="376"/>
    </row>
    <row r="59191" spans="1:100">
      <c r="A59191" s="374"/>
      <c r="C59191" s="374"/>
      <c r="CV59191" s="376"/>
    </row>
    <row r="59192" spans="1:100">
      <c r="A59192" s="374"/>
      <c r="C59192" s="374"/>
      <c r="CV59192" s="376"/>
    </row>
    <row r="59193" spans="1:100">
      <c r="A59193" s="374"/>
      <c r="C59193" s="374"/>
      <c r="CV59193" s="376"/>
    </row>
    <row r="59194" spans="1:100">
      <c r="A59194" s="374"/>
      <c r="C59194" s="374"/>
      <c r="CV59194" s="376"/>
    </row>
    <row r="59195" spans="1:100">
      <c r="A59195" s="374"/>
      <c r="C59195" s="374"/>
      <c r="CV59195" s="376"/>
    </row>
    <row r="59196" spans="1:100">
      <c r="A59196" s="374"/>
      <c r="C59196" s="374"/>
      <c r="CV59196" s="376"/>
    </row>
    <row r="59197" spans="1:100">
      <c r="A59197" s="374"/>
      <c r="C59197" s="374"/>
      <c r="CV59197" s="376"/>
    </row>
    <row r="59198" spans="1:100">
      <c r="A59198" s="374"/>
      <c r="C59198" s="374"/>
      <c r="CV59198" s="376"/>
    </row>
    <row r="59199" spans="1:100">
      <c r="A59199" s="374"/>
      <c r="C59199" s="374"/>
      <c r="CV59199" s="376"/>
    </row>
    <row r="59200" spans="1:100">
      <c r="A59200" s="374"/>
      <c r="C59200" s="374"/>
      <c r="CV59200" s="376"/>
    </row>
    <row r="59201" spans="1:100">
      <c r="A59201" s="374"/>
      <c r="C59201" s="374"/>
      <c r="CV59201" s="376"/>
    </row>
    <row r="59202" spans="1:100">
      <c r="A59202" s="374"/>
      <c r="C59202" s="374"/>
      <c r="CV59202" s="376"/>
    </row>
    <row r="59203" spans="1:100">
      <c r="A59203" s="374"/>
      <c r="C59203" s="374"/>
      <c r="CV59203" s="376"/>
    </row>
    <row r="59204" spans="1:100">
      <c r="A59204" s="374"/>
      <c r="C59204" s="374"/>
      <c r="CV59204" s="376"/>
    </row>
    <row r="59205" spans="1:100">
      <c r="A59205" s="374"/>
      <c r="C59205" s="374"/>
      <c r="CV59205" s="376"/>
    </row>
    <row r="59206" spans="1:100">
      <c r="A59206" s="374"/>
      <c r="C59206" s="374"/>
      <c r="CV59206" s="376"/>
    </row>
    <row r="59207" spans="1:100">
      <c r="A59207" s="374"/>
      <c r="C59207" s="374"/>
      <c r="CV59207" s="376"/>
    </row>
    <row r="59208" spans="1:100">
      <c r="A59208" s="374"/>
      <c r="C59208" s="374"/>
      <c r="CV59208" s="376"/>
    </row>
    <row r="59209" spans="1:100">
      <c r="A59209" s="374"/>
      <c r="C59209" s="374"/>
      <c r="CV59209" s="376"/>
    </row>
    <row r="59210" spans="1:100">
      <c r="A59210" s="374"/>
      <c r="C59210" s="374"/>
      <c r="CV59210" s="376"/>
    </row>
    <row r="59211" spans="1:100">
      <c r="A59211" s="374"/>
      <c r="C59211" s="374"/>
      <c r="CV59211" s="376"/>
    </row>
    <row r="59212" spans="1:100">
      <c r="A59212" s="374"/>
      <c r="C59212" s="374"/>
      <c r="CV59212" s="376"/>
    </row>
    <row r="59213" spans="1:100">
      <c r="A59213" s="374"/>
      <c r="C59213" s="374"/>
      <c r="CV59213" s="376"/>
    </row>
    <row r="59214" spans="1:100">
      <c r="A59214" s="374"/>
      <c r="C59214" s="374"/>
      <c r="CV59214" s="376"/>
    </row>
    <row r="59215" spans="1:100">
      <c r="A59215" s="374"/>
      <c r="C59215" s="374"/>
      <c r="CV59215" s="376"/>
    </row>
    <row r="59216" spans="1:100">
      <c r="A59216" s="374"/>
      <c r="C59216" s="374"/>
      <c r="CV59216" s="376"/>
    </row>
    <row r="59217" spans="1:100">
      <c r="A59217" s="374"/>
      <c r="C59217" s="374"/>
      <c r="CV59217" s="376"/>
    </row>
    <row r="59218" spans="1:100">
      <c r="A59218" s="374"/>
      <c r="C59218" s="374"/>
      <c r="CV59218" s="376"/>
    </row>
    <row r="59219" spans="1:100">
      <c r="A59219" s="374"/>
      <c r="C59219" s="374"/>
      <c r="CV59219" s="376"/>
    </row>
    <row r="59220" spans="1:100">
      <c r="A59220" s="374"/>
      <c r="C59220" s="374"/>
      <c r="CV59220" s="376"/>
    </row>
    <row r="59221" spans="1:100">
      <c r="A59221" s="374"/>
      <c r="C59221" s="374"/>
      <c r="CV59221" s="376"/>
    </row>
    <row r="59222" spans="1:100">
      <c r="A59222" s="374"/>
      <c r="C59222" s="374"/>
      <c r="CV59222" s="376"/>
    </row>
    <row r="59223" spans="1:100">
      <c r="A59223" s="374"/>
      <c r="C59223" s="374"/>
      <c r="CV59223" s="376"/>
    </row>
    <row r="59224" spans="1:100">
      <c r="A59224" s="374"/>
      <c r="C59224" s="374"/>
      <c r="CV59224" s="376"/>
    </row>
    <row r="59225" spans="1:100">
      <c r="A59225" s="374"/>
      <c r="C59225" s="374"/>
      <c r="CV59225" s="376"/>
    </row>
    <row r="59226" spans="1:100">
      <c r="A59226" s="374"/>
      <c r="C59226" s="374"/>
      <c r="CV59226" s="376"/>
    </row>
    <row r="59227" spans="1:100">
      <c r="A59227" s="374"/>
      <c r="C59227" s="374"/>
      <c r="CV59227" s="376"/>
    </row>
    <row r="59228" spans="1:100">
      <c r="A59228" s="374"/>
      <c r="C59228" s="374"/>
      <c r="CV59228" s="376"/>
    </row>
    <row r="59229" spans="1:100">
      <c r="A59229" s="374"/>
      <c r="C59229" s="374"/>
      <c r="CV59229" s="376"/>
    </row>
    <row r="59230" spans="1:100">
      <c r="A59230" s="374"/>
      <c r="C59230" s="374"/>
      <c r="CV59230" s="376"/>
    </row>
    <row r="59231" spans="1:100">
      <c r="A59231" s="374"/>
      <c r="C59231" s="374"/>
      <c r="CV59231" s="376"/>
    </row>
    <row r="59232" spans="1:100">
      <c r="A59232" s="374"/>
      <c r="C59232" s="374"/>
      <c r="CV59232" s="376"/>
    </row>
    <row r="59233" spans="1:100">
      <c r="A59233" s="374"/>
      <c r="C59233" s="374"/>
      <c r="CV59233" s="376"/>
    </row>
    <row r="59234" spans="1:100">
      <c r="A59234" s="374"/>
      <c r="C59234" s="374"/>
      <c r="CV59234" s="376"/>
    </row>
    <row r="59235" spans="1:100">
      <c r="A59235" s="374"/>
      <c r="C59235" s="374"/>
      <c r="CV59235" s="376"/>
    </row>
    <row r="59236" spans="1:100">
      <c r="A59236" s="374"/>
      <c r="C59236" s="374"/>
      <c r="CV59236" s="376"/>
    </row>
    <row r="59237" spans="1:100">
      <c r="A59237" s="374"/>
      <c r="C59237" s="374"/>
      <c r="CV59237" s="376"/>
    </row>
    <row r="59238" spans="1:100">
      <c r="A59238" s="374"/>
      <c r="C59238" s="374"/>
      <c r="CV59238" s="376"/>
    </row>
    <row r="59239" spans="1:100">
      <c r="A59239" s="374"/>
      <c r="C59239" s="374"/>
      <c r="CV59239" s="376"/>
    </row>
    <row r="59240" spans="1:100">
      <c r="A59240" s="374"/>
      <c r="C59240" s="374"/>
      <c r="CV59240" s="376"/>
    </row>
    <row r="59241" spans="1:100">
      <c r="A59241" s="374"/>
      <c r="C59241" s="374"/>
      <c r="CV59241" s="376"/>
    </row>
    <row r="59242" spans="1:100">
      <c r="A59242" s="374"/>
      <c r="C59242" s="374"/>
      <c r="CV59242" s="376"/>
    </row>
    <row r="59243" spans="1:100">
      <c r="A59243" s="374"/>
      <c r="C59243" s="374"/>
      <c r="CV59243" s="376"/>
    </row>
    <row r="59244" spans="1:100">
      <c r="A59244" s="374"/>
      <c r="C59244" s="374"/>
      <c r="CV59244" s="376"/>
    </row>
    <row r="59245" spans="1:100">
      <c r="A59245" s="374"/>
      <c r="C59245" s="374"/>
      <c r="CV59245" s="376"/>
    </row>
    <row r="59246" spans="1:100">
      <c r="A59246" s="374"/>
      <c r="C59246" s="374"/>
      <c r="CV59246" s="376"/>
    </row>
    <row r="59247" spans="1:100">
      <c r="A59247" s="374"/>
      <c r="C59247" s="374"/>
      <c r="CV59247" s="376"/>
    </row>
    <row r="59248" spans="1:100">
      <c r="A59248" s="374"/>
      <c r="C59248" s="374"/>
      <c r="CV59248" s="376"/>
    </row>
    <row r="59249" spans="1:100">
      <c r="A59249" s="374"/>
      <c r="C59249" s="374"/>
      <c r="CV59249" s="376"/>
    </row>
    <row r="59250" spans="1:100">
      <c r="A59250" s="374"/>
      <c r="C59250" s="374"/>
      <c r="CV59250" s="376"/>
    </row>
    <row r="59251" spans="1:100">
      <c r="A59251" s="374"/>
      <c r="C59251" s="374"/>
      <c r="CV59251" s="376"/>
    </row>
    <row r="59252" spans="1:100">
      <c r="A59252" s="374"/>
      <c r="C59252" s="374"/>
      <c r="CV59252" s="376"/>
    </row>
    <row r="59253" spans="1:100">
      <c r="A59253" s="374"/>
      <c r="C59253" s="374"/>
      <c r="CV59253" s="376"/>
    </row>
    <row r="59254" spans="1:100">
      <c r="A59254" s="374"/>
      <c r="C59254" s="374"/>
      <c r="CV59254" s="376"/>
    </row>
    <row r="59255" spans="1:100">
      <c r="A59255" s="374"/>
      <c r="C59255" s="374"/>
      <c r="CV59255" s="376"/>
    </row>
    <row r="59256" spans="1:100">
      <c r="A59256" s="374"/>
      <c r="C59256" s="374"/>
      <c r="CV59256" s="376"/>
    </row>
    <row r="59257" spans="1:100">
      <c r="A59257" s="374"/>
      <c r="C59257" s="374"/>
      <c r="CV59257" s="376"/>
    </row>
    <row r="59258" spans="1:100">
      <c r="A59258" s="374"/>
      <c r="C59258" s="374"/>
      <c r="CV59258" s="376"/>
    </row>
    <row r="59259" spans="1:100">
      <c r="A59259" s="374"/>
      <c r="C59259" s="374"/>
      <c r="CV59259" s="376"/>
    </row>
    <row r="59260" spans="1:100">
      <c r="A59260" s="374"/>
      <c r="C59260" s="374"/>
      <c r="CV59260" s="376"/>
    </row>
    <row r="59261" spans="1:100">
      <c r="A59261" s="374"/>
      <c r="C59261" s="374"/>
      <c r="CV59261" s="376"/>
    </row>
    <row r="59262" spans="1:100">
      <c r="A59262" s="374"/>
      <c r="C59262" s="374"/>
      <c r="CV59262" s="376"/>
    </row>
    <row r="59263" spans="1:100">
      <c r="A59263" s="374"/>
      <c r="C59263" s="374"/>
      <c r="CV59263" s="376"/>
    </row>
    <row r="59264" spans="1:100">
      <c r="A59264" s="374"/>
      <c r="C59264" s="374"/>
      <c r="CV59264" s="376"/>
    </row>
    <row r="59265" spans="1:100">
      <c r="A59265" s="374"/>
      <c r="C59265" s="374"/>
      <c r="CV59265" s="376"/>
    </row>
    <row r="59266" spans="1:100">
      <c r="A59266" s="374"/>
      <c r="C59266" s="374"/>
      <c r="CV59266" s="376"/>
    </row>
    <row r="59267" spans="1:100">
      <c r="A59267" s="374"/>
      <c r="C59267" s="374"/>
      <c r="CV59267" s="376"/>
    </row>
    <row r="59268" spans="1:100">
      <c r="A59268" s="374"/>
      <c r="C59268" s="374"/>
      <c r="CV59268" s="376"/>
    </row>
    <row r="59269" spans="1:100">
      <c r="A59269" s="374"/>
      <c r="C59269" s="374"/>
      <c r="CV59269" s="376"/>
    </row>
    <row r="59270" spans="1:100">
      <c r="A59270" s="374"/>
      <c r="C59270" s="374"/>
      <c r="CV59270" s="376"/>
    </row>
    <row r="59271" spans="1:100">
      <c r="A59271" s="374"/>
      <c r="C59271" s="374"/>
      <c r="CV59271" s="376"/>
    </row>
    <row r="59272" spans="1:100">
      <c r="A59272" s="374"/>
      <c r="C59272" s="374"/>
      <c r="CV59272" s="376"/>
    </row>
    <row r="59273" spans="1:100">
      <c r="A59273" s="374"/>
      <c r="C59273" s="374"/>
      <c r="CV59273" s="376"/>
    </row>
    <row r="59274" spans="1:100">
      <c r="A59274" s="374"/>
      <c r="C59274" s="374"/>
      <c r="CV59274" s="376"/>
    </row>
    <row r="59275" spans="1:100">
      <c r="A59275" s="374"/>
      <c r="C59275" s="374"/>
      <c r="CV59275" s="376"/>
    </row>
    <row r="59276" spans="1:100">
      <c r="A59276" s="374"/>
      <c r="C59276" s="374"/>
      <c r="CV59276" s="376"/>
    </row>
    <row r="59277" spans="1:100">
      <c r="A59277" s="374"/>
      <c r="C59277" s="374"/>
      <c r="CV59277" s="376"/>
    </row>
    <row r="59278" spans="1:100">
      <c r="A59278" s="374"/>
      <c r="C59278" s="374"/>
      <c r="CV59278" s="376"/>
    </row>
    <row r="59279" spans="1:100">
      <c r="A59279" s="374"/>
      <c r="C59279" s="374"/>
      <c r="CV59279" s="376"/>
    </row>
    <row r="59280" spans="1:100">
      <c r="A59280" s="374"/>
      <c r="C59280" s="374"/>
      <c r="CV59280" s="376"/>
    </row>
    <row r="59281" spans="1:100">
      <c r="A59281" s="374"/>
      <c r="C59281" s="374"/>
      <c r="CV59281" s="376"/>
    </row>
    <row r="59282" spans="1:100">
      <c r="A59282" s="374"/>
      <c r="C59282" s="374"/>
      <c r="CV59282" s="376"/>
    </row>
    <row r="59283" spans="1:100">
      <c r="A59283" s="374"/>
      <c r="C59283" s="374"/>
      <c r="CV59283" s="376"/>
    </row>
    <row r="59284" spans="1:100">
      <c r="A59284" s="374"/>
      <c r="C59284" s="374"/>
      <c r="CV59284" s="376"/>
    </row>
    <row r="59285" spans="1:100">
      <c r="A59285" s="374"/>
      <c r="C59285" s="374"/>
      <c r="CV59285" s="376"/>
    </row>
    <row r="59286" spans="1:100">
      <c r="A59286" s="374"/>
      <c r="C59286" s="374"/>
      <c r="CV59286" s="376"/>
    </row>
    <row r="59287" spans="1:100">
      <c r="A59287" s="374"/>
      <c r="C59287" s="374"/>
      <c r="CV59287" s="376"/>
    </row>
    <row r="59288" spans="1:100">
      <c r="A59288" s="374"/>
      <c r="C59288" s="374"/>
      <c r="CV59288" s="376"/>
    </row>
    <row r="59289" spans="1:100">
      <c r="A59289" s="374"/>
      <c r="C59289" s="374"/>
      <c r="CV59289" s="376"/>
    </row>
    <row r="59290" spans="1:100">
      <c r="A59290" s="374"/>
      <c r="C59290" s="374"/>
      <c r="CV59290" s="376"/>
    </row>
    <row r="59291" spans="1:100">
      <c r="A59291" s="374"/>
      <c r="C59291" s="374"/>
      <c r="CV59291" s="376"/>
    </row>
    <row r="59292" spans="1:100">
      <c r="A59292" s="374"/>
      <c r="C59292" s="374"/>
      <c r="CV59292" s="376"/>
    </row>
    <row r="59293" spans="1:100">
      <c r="A59293" s="374"/>
      <c r="C59293" s="374"/>
      <c r="CV59293" s="376"/>
    </row>
    <row r="59294" spans="1:100">
      <c r="A59294" s="374"/>
      <c r="C59294" s="374"/>
      <c r="CV59294" s="376"/>
    </row>
    <row r="59295" spans="1:100">
      <c r="A59295" s="374"/>
      <c r="C59295" s="374"/>
      <c r="CV59295" s="376"/>
    </row>
    <row r="59296" spans="1:100">
      <c r="A59296" s="374"/>
      <c r="C59296" s="374"/>
      <c r="CV59296" s="376"/>
    </row>
    <row r="59297" spans="1:100">
      <c r="A59297" s="374"/>
      <c r="C59297" s="374"/>
      <c r="CV59297" s="376"/>
    </row>
    <row r="59298" spans="1:100">
      <c r="A59298" s="374"/>
      <c r="C59298" s="374"/>
      <c r="CV59298" s="376"/>
    </row>
    <row r="59299" spans="1:100">
      <c r="A59299" s="374"/>
      <c r="C59299" s="374"/>
      <c r="CV59299" s="376"/>
    </row>
    <row r="59300" spans="1:100">
      <c r="A59300" s="374"/>
      <c r="C59300" s="374"/>
      <c r="CV59300" s="376"/>
    </row>
    <row r="59301" spans="1:100">
      <c r="A59301" s="374"/>
      <c r="C59301" s="374"/>
      <c r="CV59301" s="376"/>
    </row>
    <row r="59302" spans="1:100">
      <c r="A59302" s="374"/>
      <c r="C59302" s="374"/>
      <c r="CV59302" s="376"/>
    </row>
    <row r="59303" spans="1:100">
      <c r="A59303" s="374"/>
      <c r="C59303" s="374"/>
      <c r="CV59303" s="376"/>
    </row>
    <row r="59304" spans="1:100">
      <c r="A59304" s="374"/>
      <c r="C59304" s="374"/>
      <c r="CV59304" s="376"/>
    </row>
    <row r="59305" spans="1:100">
      <c r="A59305" s="374"/>
      <c r="C59305" s="374"/>
      <c r="CV59305" s="376"/>
    </row>
    <row r="59306" spans="1:100">
      <c r="A59306" s="374"/>
      <c r="C59306" s="374"/>
      <c r="CV59306" s="376"/>
    </row>
    <row r="59307" spans="1:100">
      <c r="A59307" s="374"/>
      <c r="C59307" s="374"/>
      <c r="CV59307" s="376"/>
    </row>
    <row r="59308" spans="1:100">
      <c r="A59308" s="374"/>
      <c r="C59308" s="374"/>
      <c r="CV59308" s="376"/>
    </row>
    <row r="59309" spans="1:100">
      <c r="A59309" s="374"/>
      <c r="C59309" s="374"/>
      <c r="CV59309" s="376"/>
    </row>
    <row r="59310" spans="1:100">
      <c r="A59310" s="374"/>
      <c r="C59310" s="374"/>
      <c r="CV59310" s="376"/>
    </row>
    <row r="59311" spans="1:100">
      <c r="A59311" s="374"/>
      <c r="C59311" s="374"/>
      <c r="CV59311" s="376"/>
    </row>
    <row r="59312" spans="1:100">
      <c r="A59312" s="374"/>
      <c r="C59312" s="374"/>
      <c r="CV59312" s="376"/>
    </row>
    <row r="59313" spans="1:100">
      <c r="A59313" s="374"/>
      <c r="C59313" s="374"/>
      <c r="CV59313" s="376"/>
    </row>
    <row r="59314" spans="1:100">
      <c r="A59314" s="374"/>
      <c r="C59314" s="374"/>
      <c r="CV59314" s="376"/>
    </row>
    <row r="59315" spans="1:100">
      <c r="A59315" s="374"/>
      <c r="C59315" s="374"/>
      <c r="CV59315" s="376"/>
    </row>
    <row r="59316" spans="1:100">
      <c r="A59316" s="374"/>
      <c r="C59316" s="374"/>
      <c r="CV59316" s="376"/>
    </row>
    <row r="59317" spans="1:100">
      <c r="A59317" s="374"/>
      <c r="C59317" s="374"/>
      <c r="CV59317" s="376"/>
    </row>
    <row r="59318" spans="1:100">
      <c r="A59318" s="374"/>
      <c r="C59318" s="374"/>
      <c r="CV59318" s="376"/>
    </row>
    <row r="59319" spans="1:100">
      <c r="A59319" s="374"/>
      <c r="C59319" s="374"/>
      <c r="CV59319" s="376"/>
    </row>
    <row r="59320" spans="1:100">
      <c r="A59320" s="374"/>
      <c r="C59320" s="374"/>
      <c r="CV59320" s="376"/>
    </row>
    <row r="59321" spans="1:100">
      <c r="A59321" s="374"/>
      <c r="C59321" s="374"/>
      <c r="CV59321" s="376"/>
    </row>
    <row r="59322" spans="1:100">
      <c r="A59322" s="374"/>
      <c r="C59322" s="374"/>
      <c r="CV59322" s="376"/>
    </row>
    <row r="59323" spans="1:100">
      <c r="A59323" s="374"/>
      <c r="C59323" s="374"/>
      <c r="CV59323" s="376"/>
    </row>
    <row r="59324" spans="1:100">
      <c r="A59324" s="374"/>
      <c r="C59324" s="374"/>
      <c r="CV59324" s="376"/>
    </row>
    <row r="59325" spans="1:100">
      <c r="A59325" s="374"/>
      <c r="C59325" s="374"/>
      <c r="CV59325" s="376"/>
    </row>
    <row r="59326" spans="1:100">
      <c r="A59326" s="374"/>
      <c r="C59326" s="374"/>
      <c r="CV59326" s="376"/>
    </row>
    <row r="59327" spans="1:100">
      <c r="A59327" s="374"/>
      <c r="C59327" s="374"/>
      <c r="CV59327" s="376"/>
    </row>
    <row r="59328" spans="1:100">
      <c r="A59328" s="374"/>
      <c r="C59328" s="374"/>
      <c r="CV59328" s="376"/>
    </row>
    <row r="59329" spans="1:100">
      <c r="A59329" s="374"/>
      <c r="C59329" s="374"/>
      <c r="CV59329" s="376"/>
    </row>
    <row r="59330" spans="1:100">
      <c r="A59330" s="374"/>
      <c r="C59330" s="374"/>
      <c r="CV59330" s="376"/>
    </row>
    <row r="59331" spans="1:100">
      <c r="A59331" s="374"/>
      <c r="C59331" s="374"/>
      <c r="CV59331" s="376"/>
    </row>
    <row r="59332" spans="1:100">
      <c r="A59332" s="374"/>
      <c r="C59332" s="374"/>
      <c r="CV59332" s="376"/>
    </row>
    <row r="59333" spans="1:100">
      <c r="A59333" s="374"/>
      <c r="C59333" s="374"/>
      <c r="CV59333" s="376"/>
    </row>
    <row r="59334" spans="1:100">
      <c r="A59334" s="374"/>
      <c r="C59334" s="374"/>
      <c r="CV59334" s="376"/>
    </row>
    <row r="59335" spans="1:100">
      <c r="A59335" s="374"/>
      <c r="C59335" s="374"/>
      <c r="CV59335" s="376"/>
    </row>
    <row r="59336" spans="1:100">
      <c r="A59336" s="374"/>
      <c r="C59336" s="374"/>
      <c r="CV59336" s="376"/>
    </row>
    <row r="59337" spans="1:100">
      <c r="A59337" s="374"/>
      <c r="C59337" s="374"/>
      <c r="CV59337" s="376"/>
    </row>
    <row r="59338" spans="1:100">
      <c r="A59338" s="374"/>
      <c r="C59338" s="374"/>
      <c r="CV59338" s="376"/>
    </row>
    <row r="59339" spans="1:100">
      <c r="A59339" s="374"/>
      <c r="C59339" s="374"/>
      <c r="CV59339" s="376"/>
    </row>
    <row r="59340" spans="1:100">
      <c r="A59340" s="374"/>
      <c r="C59340" s="374"/>
      <c r="CV59340" s="376"/>
    </row>
    <row r="59341" spans="1:100">
      <c r="A59341" s="374"/>
      <c r="C59341" s="374"/>
      <c r="CV59341" s="376"/>
    </row>
    <row r="59342" spans="1:100">
      <c r="A59342" s="374"/>
      <c r="C59342" s="374"/>
      <c r="CV59342" s="376"/>
    </row>
    <row r="59343" spans="1:100">
      <c r="A59343" s="374"/>
      <c r="C59343" s="374"/>
      <c r="CV59343" s="376"/>
    </row>
    <row r="59344" spans="1:100">
      <c r="A59344" s="374"/>
      <c r="C59344" s="374"/>
      <c r="CV59344" s="376"/>
    </row>
    <row r="59345" spans="1:100">
      <c r="A59345" s="374"/>
      <c r="C59345" s="374"/>
      <c r="CV59345" s="376"/>
    </row>
    <row r="59346" spans="1:100">
      <c r="A59346" s="374"/>
      <c r="C59346" s="374"/>
      <c r="CV59346" s="376"/>
    </row>
    <row r="59347" spans="1:100">
      <c r="A59347" s="374"/>
      <c r="C59347" s="374"/>
      <c r="CV59347" s="376"/>
    </row>
    <row r="59348" spans="1:100">
      <c r="A59348" s="374"/>
      <c r="C59348" s="374"/>
      <c r="CV59348" s="376"/>
    </row>
    <row r="59349" spans="1:100">
      <c r="A59349" s="374"/>
      <c r="C59349" s="374"/>
      <c r="CV59349" s="376"/>
    </row>
    <row r="59350" spans="1:100">
      <c r="A59350" s="374"/>
      <c r="C59350" s="374"/>
      <c r="CV59350" s="376"/>
    </row>
    <row r="59351" spans="1:100">
      <c r="A59351" s="374"/>
      <c r="C59351" s="374"/>
      <c r="CV59351" s="376"/>
    </row>
    <row r="59352" spans="1:100">
      <c r="A59352" s="374"/>
      <c r="C59352" s="374"/>
      <c r="CV59352" s="376"/>
    </row>
    <row r="59353" spans="1:100">
      <c r="A59353" s="374"/>
      <c r="C59353" s="374"/>
      <c r="CV59353" s="376"/>
    </row>
    <row r="59354" spans="1:100">
      <c r="A59354" s="374"/>
      <c r="C59354" s="374"/>
      <c r="CV59354" s="376"/>
    </row>
    <row r="59355" spans="1:100">
      <c r="A59355" s="374"/>
      <c r="C59355" s="374"/>
      <c r="CV59355" s="376"/>
    </row>
    <row r="59356" spans="1:100">
      <c r="A59356" s="374"/>
      <c r="C59356" s="374"/>
      <c r="CV59356" s="376"/>
    </row>
    <row r="59357" spans="1:100">
      <c r="A59357" s="374"/>
      <c r="C59357" s="374"/>
      <c r="CV59357" s="376"/>
    </row>
    <row r="59358" spans="1:100">
      <c r="A59358" s="374"/>
      <c r="C59358" s="374"/>
      <c r="CV59358" s="376"/>
    </row>
    <row r="59359" spans="1:100">
      <c r="A59359" s="374"/>
      <c r="C59359" s="374"/>
      <c r="CV59359" s="376"/>
    </row>
    <row r="59360" spans="1:100">
      <c r="A59360" s="374"/>
      <c r="C59360" s="374"/>
      <c r="CV59360" s="376"/>
    </row>
    <row r="59361" spans="1:100">
      <c r="A59361" s="374"/>
      <c r="C59361" s="374"/>
      <c r="CV59361" s="376"/>
    </row>
    <row r="59362" spans="1:100">
      <c r="A59362" s="374"/>
      <c r="C59362" s="374"/>
      <c r="CV59362" s="376"/>
    </row>
    <row r="59363" spans="1:100">
      <c r="A59363" s="374"/>
      <c r="C59363" s="374"/>
      <c r="CV59363" s="376"/>
    </row>
    <row r="59364" spans="1:100">
      <c r="A59364" s="374"/>
      <c r="C59364" s="374"/>
      <c r="CV59364" s="376"/>
    </row>
    <row r="59365" spans="1:100">
      <c r="A59365" s="374"/>
      <c r="C59365" s="374"/>
      <c r="CV59365" s="376"/>
    </row>
    <row r="59366" spans="1:100">
      <c r="A59366" s="374"/>
      <c r="C59366" s="374"/>
      <c r="CV59366" s="376"/>
    </row>
    <row r="59367" spans="1:100">
      <c r="A59367" s="374"/>
      <c r="C59367" s="374"/>
      <c r="CV59367" s="376"/>
    </row>
    <row r="59368" spans="1:100">
      <c r="A59368" s="374"/>
      <c r="C59368" s="374"/>
      <c r="CV59368" s="376"/>
    </row>
    <row r="59369" spans="1:100">
      <c r="A59369" s="374"/>
      <c r="C59369" s="374"/>
      <c r="CV59369" s="376"/>
    </row>
    <row r="59370" spans="1:100">
      <c r="A59370" s="374"/>
      <c r="C59370" s="374"/>
      <c r="CV59370" s="376"/>
    </row>
    <row r="59371" spans="1:100">
      <c r="A59371" s="374"/>
      <c r="C59371" s="374"/>
      <c r="CV59371" s="376"/>
    </row>
    <row r="59372" spans="1:100">
      <c r="A59372" s="374"/>
      <c r="C59372" s="374"/>
      <c r="CV59372" s="376"/>
    </row>
    <row r="59373" spans="1:100">
      <c r="A59373" s="374"/>
      <c r="C59373" s="374"/>
      <c r="CV59373" s="376"/>
    </row>
    <row r="59374" spans="1:100">
      <c r="A59374" s="374"/>
      <c r="C59374" s="374"/>
      <c r="CV59374" s="376"/>
    </row>
    <row r="59375" spans="1:100">
      <c r="A59375" s="374"/>
      <c r="C59375" s="374"/>
      <c r="CV59375" s="376"/>
    </row>
    <row r="59376" spans="1:100">
      <c r="A59376" s="374"/>
      <c r="C59376" s="374"/>
      <c r="CV59376" s="376"/>
    </row>
    <row r="59377" spans="1:100">
      <c r="A59377" s="374"/>
      <c r="C59377" s="374"/>
      <c r="CV59377" s="376"/>
    </row>
    <row r="59378" spans="1:100">
      <c r="A59378" s="374"/>
      <c r="C59378" s="374"/>
      <c r="CV59378" s="376"/>
    </row>
    <row r="59379" spans="1:100">
      <c r="A59379" s="374"/>
      <c r="C59379" s="374"/>
      <c r="CV59379" s="376"/>
    </row>
    <row r="59380" spans="1:100">
      <c r="A59380" s="374"/>
      <c r="C59380" s="374"/>
      <c r="CV59380" s="376"/>
    </row>
    <row r="59381" spans="1:100">
      <c r="A59381" s="374"/>
      <c r="C59381" s="374"/>
      <c r="CV59381" s="376"/>
    </row>
    <row r="59382" spans="1:100">
      <c r="A59382" s="374"/>
      <c r="C59382" s="374"/>
      <c r="CV59382" s="376"/>
    </row>
    <row r="59383" spans="1:100">
      <c r="A59383" s="374"/>
      <c r="C59383" s="374"/>
      <c r="CV59383" s="376"/>
    </row>
    <row r="59384" spans="1:100">
      <c r="A59384" s="374"/>
      <c r="C59384" s="374"/>
      <c r="CV59384" s="376"/>
    </row>
    <row r="59385" spans="1:100">
      <c r="A59385" s="374"/>
      <c r="C59385" s="374"/>
      <c r="CV59385" s="376"/>
    </row>
    <row r="59386" spans="1:100">
      <c r="A59386" s="374"/>
      <c r="C59386" s="374"/>
      <c r="CV59386" s="376"/>
    </row>
    <row r="59387" spans="1:100">
      <c r="A59387" s="374"/>
      <c r="C59387" s="374"/>
      <c r="CV59387" s="376"/>
    </row>
    <row r="59388" spans="1:100">
      <c r="A59388" s="374"/>
      <c r="C59388" s="374"/>
      <c r="CV59388" s="376"/>
    </row>
    <row r="59389" spans="1:100">
      <c r="A59389" s="374"/>
      <c r="C59389" s="374"/>
      <c r="CV59389" s="376"/>
    </row>
    <row r="59390" spans="1:100">
      <c r="A59390" s="374"/>
      <c r="C59390" s="374"/>
      <c r="CV59390" s="376"/>
    </row>
    <row r="59391" spans="1:100">
      <c r="A59391" s="374"/>
      <c r="C59391" s="374"/>
      <c r="CV59391" s="376"/>
    </row>
    <row r="59392" spans="1:100">
      <c r="A59392" s="374"/>
      <c r="C59392" s="374"/>
      <c r="CV59392" s="376"/>
    </row>
    <row r="59393" spans="1:100">
      <c r="A59393" s="374"/>
      <c r="C59393" s="374"/>
      <c r="CV59393" s="376"/>
    </row>
    <row r="59394" spans="1:100">
      <c r="A59394" s="374"/>
      <c r="C59394" s="374"/>
      <c r="CV59394" s="376"/>
    </row>
    <row r="59395" spans="1:100">
      <c r="A59395" s="374"/>
      <c r="C59395" s="374"/>
      <c r="CV59395" s="376"/>
    </row>
    <row r="59396" spans="1:100">
      <c r="A59396" s="374"/>
      <c r="C59396" s="374"/>
      <c r="CV59396" s="376"/>
    </row>
    <row r="59397" spans="1:100">
      <c r="A59397" s="374"/>
      <c r="C59397" s="374"/>
      <c r="CV59397" s="376"/>
    </row>
    <row r="59398" spans="1:100">
      <c r="A59398" s="374"/>
      <c r="C59398" s="374"/>
      <c r="CV59398" s="376"/>
    </row>
    <row r="59399" spans="1:100">
      <c r="A59399" s="374"/>
      <c r="C59399" s="374"/>
      <c r="CV59399" s="376"/>
    </row>
    <row r="59400" spans="1:100">
      <c r="A59400" s="374"/>
      <c r="C59400" s="374"/>
      <c r="CV59400" s="376"/>
    </row>
    <row r="59401" spans="1:100">
      <c r="A59401" s="374"/>
      <c r="C59401" s="374"/>
      <c r="CV59401" s="376"/>
    </row>
    <row r="59402" spans="1:100">
      <c r="A59402" s="374"/>
      <c r="C59402" s="374"/>
      <c r="CV59402" s="376"/>
    </row>
    <row r="59403" spans="1:100">
      <c r="A59403" s="374"/>
      <c r="C59403" s="374"/>
      <c r="CV59403" s="376"/>
    </row>
    <row r="59404" spans="1:100">
      <c r="A59404" s="374"/>
      <c r="C59404" s="374"/>
      <c r="CV59404" s="376"/>
    </row>
    <row r="59405" spans="1:100">
      <c r="A59405" s="374"/>
      <c r="C59405" s="374"/>
      <c r="CV59405" s="376"/>
    </row>
    <row r="59406" spans="1:100">
      <c r="A59406" s="374"/>
      <c r="C59406" s="374"/>
      <c r="CV59406" s="376"/>
    </row>
    <row r="59407" spans="1:100">
      <c r="A59407" s="374"/>
      <c r="C59407" s="374"/>
      <c r="CV59407" s="376"/>
    </row>
    <row r="59408" spans="1:100">
      <c r="A59408" s="374"/>
      <c r="C59408" s="374"/>
      <c r="CV59408" s="376"/>
    </row>
    <row r="59409" spans="1:100">
      <c r="A59409" s="374"/>
      <c r="C59409" s="374"/>
      <c r="CV59409" s="376"/>
    </row>
    <row r="59410" spans="1:100">
      <c r="A59410" s="374"/>
      <c r="C59410" s="374"/>
      <c r="CV59410" s="376"/>
    </row>
    <row r="59411" spans="1:100">
      <c r="A59411" s="374"/>
      <c r="C59411" s="374"/>
      <c r="CV59411" s="376"/>
    </row>
    <row r="59412" spans="1:100">
      <c r="A59412" s="374"/>
      <c r="C59412" s="374"/>
      <c r="CV59412" s="376"/>
    </row>
    <row r="59413" spans="1:100">
      <c r="A59413" s="374"/>
      <c r="C59413" s="374"/>
      <c r="CV59413" s="376"/>
    </row>
    <row r="59414" spans="1:100">
      <c r="A59414" s="374"/>
      <c r="C59414" s="374"/>
      <c r="CV59414" s="376"/>
    </row>
    <row r="59415" spans="1:100">
      <c r="A59415" s="374"/>
      <c r="C59415" s="374"/>
      <c r="CV59415" s="376"/>
    </row>
    <row r="59416" spans="1:100">
      <c r="A59416" s="374"/>
      <c r="C59416" s="374"/>
      <c r="CV59416" s="376"/>
    </row>
    <row r="59417" spans="1:100">
      <c r="A59417" s="374"/>
      <c r="C59417" s="374"/>
      <c r="CV59417" s="376"/>
    </row>
    <row r="59418" spans="1:100">
      <c r="A59418" s="374"/>
      <c r="C59418" s="374"/>
      <c r="CV59418" s="376"/>
    </row>
    <row r="59419" spans="1:100">
      <c r="A59419" s="374"/>
      <c r="C59419" s="374"/>
      <c r="CV59419" s="376"/>
    </row>
    <row r="59420" spans="1:100">
      <c r="A59420" s="374"/>
      <c r="C59420" s="374"/>
      <c r="CV59420" s="376"/>
    </row>
    <row r="59421" spans="1:100">
      <c r="A59421" s="374"/>
      <c r="C59421" s="374"/>
      <c r="CV59421" s="376"/>
    </row>
    <row r="59422" spans="1:100">
      <c r="A59422" s="374"/>
      <c r="C59422" s="374"/>
      <c r="CV59422" s="376"/>
    </row>
    <row r="59423" spans="1:100">
      <c r="A59423" s="374"/>
      <c r="C59423" s="374"/>
      <c r="CV59423" s="376"/>
    </row>
    <row r="59424" spans="1:100">
      <c r="A59424" s="374"/>
      <c r="C59424" s="374"/>
      <c r="CV59424" s="376"/>
    </row>
    <row r="59425" spans="1:100">
      <c r="A59425" s="374"/>
      <c r="C59425" s="374"/>
      <c r="CV59425" s="376"/>
    </row>
    <row r="59426" spans="1:100">
      <c r="A59426" s="374"/>
      <c r="C59426" s="374"/>
      <c r="CV59426" s="376"/>
    </row>
    <row r="59427" spans="1:100">
      <c r="A59427" s="374"/>
      <c r="C59427" s="374"/>
      <c r="CV59427" s="376"/>
    </row>
    <row r="59428" spans="1:100">
      <c r="A59428" s="374"/>
      <c r="C59428" s="374"/>
      <c r="CV59428" s="376"/>
    </row>
    <row r="59429" spans="1:100">
      <c r="A59429" s="374"/>
      <c r="C59429" s="374"/>
      <c r="CV59429" s="376"/>
    </row>
    <row r="59430" spans="1:100">
      <c r="A59430" s="374"/>
      <c r="C59430" s="374"/>
      <c r="CV59430" s="376"/>
    </row>
    <row r="59431" spans="1:100">
      <c r="A59431" s="374"/>
      <c r="C59431" s="374"/>
      <c r="CV59431" s="376"/>
    </row>
    <row r="59432" spans="1:100">
      <c r="A59432" s="374"/>
      <c r="C59432" s="374"/>
      <c r="CV59432" s="376"/>
    </row>
    <row r="59433" spans="1:100">
      <c r="A59433" s="374"/>
      <c r="C59433" s="374"/>
      <c r="CV59433" s="376"/>
    </row>
    <row r="59434" spans="1:100">
      <c r="A59434" s="374"/>
      <c r="C59434" s="374"/>
      <c r="CV59434" s="376"/>
    </row>
    <row r="59435" spans="1:100">
      <c r="A59435" s="374"/>
      <c r="C59435" s="374"/>
      <c r="CV59435" s="376"/>
    </row>
    <row r="59436" spans="1:100">
      <c r="A59436" s="374"/>
      <c r="C59436" s="374"/>
      <c r="CV59436" s="376"/>
    </row>
    <row r="59437" spans="1:100">
      <c r="A59437" s="374"/>
      <c r="C59437" s="374"/>
      <c r="CV59437" s="376"/>
    </row>
    <row r="59438" spans="1:100">
      <c r="A59438" s="374"/>
      <c r="C59438" s="374"/>
      <c r="CV59438" s="376"/>
    </row>
    <row r="59439" spans="1:100">
      <c r="A59439" s="374"/>
      <c r="C59439" s="374"/>
      <c r="CV59439" s="376"/>
    </row>
    <row r="59440" spans="1:100">
      <c r="A59440" s="374"/>
      <c r="C59440" s="374"/>
      <c r="CV59440" s="376"/>
    </row>
    <row r="59441" spans="1:100">
      <c r="A59441" s="374"/>
      <c r="C59441" s="374"/>
      <c r="CV59441" s="376"/>
    </row>
    <row r="59442" spans="1:100">
      <c r="A59442" s="374"/>
      <c r="C59442" s="374"/>
      <c r="CV59442" s="376"/>
    </row>
    <row r="59443" spans="1:100">
      <c r="A59443" s="374"/>
      <c r="C59443" s="374"/>
      <c r="CV59443" s="376"/>
    </row>
    <row r="59444" spans="1:100">
      <c r="A59444" s="374"/>
      <c r="C59444" s="374"/>
      <c r="CV59444" s="376"/>
    </row>
    <row r="59445" spans="1:100">
      <c r="A59445" s="374"/>
      <c r="C59445" s="374"/>
      <c r="CV59445" s="376"/>
    </row>
    <row r="59446" spans="1:100">
      <c r="A59446" s="374"/>
      <c r="C59446" s="374"/>
      <c r="CV59446" s="376"/>
    </row>
    <row r="59447" spans="1:100">
      <c r="A59447" s="374"/>
      <c r="C59447" s="374"/>
      <c r="CV59447" s="376"/>
    </row>
    <row r="59448" spans="1:100">
      <c r="A59448" s="374"/>
      <c r="C59448" s="374"/>
      <c r="CV59448" s="376"/>
    </row>
    <row r="59449" spans="1:100">
      <c r="A59449" s="374"/>
      <c r="C59449" s="374"/>
      <c r="CV59449" s="376"/>
    </row>
    <row r="59450" spans="1:100">
      <c r="A59450" s="374"/>
      <c r="C59450" s="374"/>
      <c r="CV59450" s="376"/>
    </row>
    <row r="59451" spans="1:100">
      <c r="A59451" s="374"/>
      <c r="C59451" s="374"/>
      <c r="CV59451" s="376"/>
    </row>
    <row r="59452" spans="1:100">
      <c r="A59452" s="374"/>
      <c r="C59452" s="374"/>
      <c r="CV59452" s="376"/>
    </row>
    <row r="59453" spans="1:100">
      <c r="A59453" s="374"/>
      <c r="C59453" s="374"/>
      <c r="CV59453" s="376"/>
    </row>
    <row r="59454" spans="1:100">
      <c r="A59454" s="374"/>
      <c r="C59454" s="374"/>
      <c r="CV59454" s="376"/>
    </row>
    <row r="59455" spans="1:100">
      <c r="A59455" s="374"/>
      <c r="C59455" s="374"/>
      <c r="CV59455" s="376"/>
    </row>
    <row r="59456" spans="1:100">
      <c r="A59456" s="374"/>
      <c r="C59456" s="374"/>
      <c r="CV59456" s="376"/>
    </row>
    <row r="59457" spans="1:100">
      <c r="A59457" s="374"/>
      <c r="C59457" s="374"/>
      <c r="CV59457" s="376"/>
    </row>
    <row r="59458" spans="1:100">
      <c r="A59458" s="374"/>
      <c r="C59458" s="374"/>
      <c r="CV59458" s="376"/>
    </row>
    <row r="59459" spans="1:100">
      <c r="A59459" s="374"/>
      <c r="C59459" s="374"/>
      <c r="CV59459" s="376"/>
    </row>
    <row r="59460" spans="1:100">
      <c r="A59460" s="374"/>
      <c r="C59460" s="374"/>
      <c r="CV59460" s="376"/>
    </row>
    <row r="59461" spans="1:100">
      <c r="A59461" s="374"/>
      <c r="C59461" s="374"/>
      <c r="CV59461" s="376"/>
    </row>
    <row r="59462" spans="1:100">
      <c r="A59462" s="374"/>
      <c r="C59462" s="374"/>
      <c r="CV59462" s="376"/>
    </row>
    <row r="59463" spans="1:100">
      <c r="A59463" s="374"/>
      <c r="C59463" s="374"/>
      <c r="CV59463" s="376"/>
    </row>
    <row r="59464" spans="1:100">
      <c r="A59464" s="374"/>
      <c r="C59464" s="374"/>
      <c r="CV59464" s="376"/>
    </row>
    <row r="59465" spans="1:100">
      <c r="A59465" s="374"/>
      <c r="C59465" s="374"/>
      <c r="CV59465" s="376"/>
    </row>
    <row r="59466" spans="1:100">
      <c r="A59466" s="374"/>
      <c r="C59466" s="374"/>
      <c r="CV59466" s="376"/>
    </row>
    <row r="59467" spans="1:100">
      <c r="A59467" s="374"/>
      <c r="C59467" s="374"/>
      <c r="CV59467" s="376"/>
    </row>
    <row r="59468" spans="1:100">
      <c r="A59468" s="374"/>
      <c r="C59468" s="374"/>
      <c r="CV59468" s="376"/>
    </row>
    <row r="59469" spans="1:100">
      <c r="A59469" s="374"/>
      <c r="C59469" s="374"/>
      <c r="CV59469" s="376"/>
    </row>
    <row r="59470" spans="1:100">
      <c r="A59470" s="374"/>
      <c r="C59470" s="374"/>
      <c r="CV59470" s="376"/>
    </row>
    <row r="59471" spans="1:100">
      <c r="A59471" s="374"/>
      <c r="C59471" s="374"/>
      <c r="CV59471" s="376"/>
    </row>
    <row r="59472" spans="1:100">
      <c r="A59472" s="374"/>
      <c r="C59472" s="374"/>
      <c r="CV59472" s="376"/>
    </row>
    <row r="59473" spans="1:100">
      <c r="A59473" s="374"/>
      <c r="C59473" s="374"/>
      <c r="CV59473" s="376"/>
    </row>
    <row r="59474" spans="1:100">
      <c r="A59474" s="374"/>
      <c r="C59474" s="374"/>
      <c r="CV59474" s="376"/>
    </row>
    <row r="59475" spans="1:100">
      <c r="A59475" s="374"/>
      <c r="C59475" s="374"/>
      <c r="CV59475" s="376"/>
    </row>
    <row r="59476" spans="1:100">
      <c r="A59476" s="374"/>
      <c r="C59476" s="374"/>
      <c r="CV59476" s="376"/>
    </row>
    <row r="59477" spans="1:100">
      <c r="A59477" s="374"/>
      <c r="C59477" s="374"/>
      <c r="CV59477" s="376"/>
    </row>
    <row r="59478" spans="1:100">
      <c r="A59478" s="374"/>
      <c r="C59478" s="374"/>
      <c r="CV59478" s="376"/>
    </row>
    <row r="59479" spans="1:100">
      <c r="A59479" s="374"/>
      <c r="C59479" s="374"/>
      <c r="CV59479" s="376"/>
    </row>
    <row r="59480" spans="1:100">
      <c r="A59480" s="374"/>
      <c r="C59480" s="374"/>
      <c r="CV59480" s="376"/>
    </row>
    <row r="59481" spans="1:100">
      <c r="A59481" s="374"/>
      <c r="C59481" s="374"/>
      <c r="CV59481" s="376"/>
    </row>
    <row r="59482" spans="1:100">
      <c r="A59482" s="374"/>
      <c r="C59482" s="374"/>
      <c r="CV59482" s="376"/>
    </row>
    <row r="59483" spans="1:100">
      <c r="A59483" s="374"/>
      <c r="C59483" s="374"/>
      <c r="CV59483" s="376"/>
    </row>
    <row r="59484" spans="1:100">
      <c r="A59484" s="374"/>
      <c r="C59484" s="374"/>
      <c r="CV59484" s="376"/>
    </row>
    <row r="59485" spans="1:100">
      <c r="A59485" s="374"/>
      <c r="C59485" s="374"/>
      <c r="CV59485" s="376"/>
    </row>
    <row r="59486" spans="1:100">
      <c r="A59486" s="374"/>
      <c r="C59486" s="374"/>
      <c r="CV59486" s="376"/>
    </row>
    <row r="59487" spans="1:100">
      <c r="A59487" s="374"/>
      <c r="C59487" s="374"/>
      <c r="CV59487" s="376"/>
    </row>
    <row r="59488" spans="1:100">
      <c r="A59488" s="374"/>
      <c r="C59488" s="374"/>
      <c r="CV59488" s="376"/>
    </row>
    <row r="59489" spans="1:100">
      <c r="A59489" s="374"/>
      <c r="C59489" s="374"/>
      <c r="CV59489" s="376"/>
    </row>
    <row r="59490" spans="1:100">
      <c r="A59490" s="374"/>
      <c r="C59490" s="374"/>
      <c r="CV59490" s="376"/>
    </row>
    <row r="59491" spans="1:100">
      <c r="A59491" s="374"/>
      <c r="C59491" s="374"/>
      <c r="CV59491" s="376"/>
    </row>
    <row r="59492" spans="1:100">
      <c r="A59492" s="374"/>
      <c r="C59492" s="374"/>
      <c r="CV59492" s="376"/>
    </row>
    <row r="59493" spans="1:100">
      <c r="A59493" s="374"/>
      <c r="C59493" s="374"/>
      <c r="CV59493" s="376"/>
    </row>
    <row r="59494" spans="1:100">
      <c r="A59494" s="374"/>
      <c r="C59494" s="374"/>
      <c r="CV59494" s="376"/>
    </row>
    <row r="59495" spans="1:100">
      <c r="A59495" s="374"/>
      <c r="C59495" s="374"/>
      <c r="CV59495" s="376"/>
    </row>
    <row r="59496" spans="1:100">
      <c r="A59496" s="374"/>
      <c r="C59496" s="374"/>
      <c r="CV59496" s="376"/>
    </row>
    <row r="59497" spans="1:100">
      <c r="A59497" s="374"/>
      <c r="C59497" s="374"/>
      <c r="CV59497" s="376"/>
    </row>
    <row r="59498" spans="1:100">
      <c r="A59498" s="374"/>
      <c r="C59498" s="374"/>
      <c r="CV59498" s="376"/>
    </row>
    <row r="59499" spans="1:100">
      <c r="A59499" s="374"/>
      <c r="C59499" s="374"/>
      <c r="CV59499" s="376"/>
    </row>
    <row r="59500" spans="1:100">
      <c r="A59500" s="374"/>
      <c r="C59500" s="374"/>
      <c r="CV59500" s="376"/>
    </row>
    <row r="59501" spans="1:100">
      <c r="A59501" s="374"/>
      <c r="C59501" s="374"/>
      <c r="CV59501" s="376"/>
    </row>
    <row r="59502" spans="1:100">
      <c r="A59502" s="374"/>
      <c r="C59502" s="374"/>
      <c r="CV59502" s="376"/>
    </row>
    <row r="59503" spans="1:100">
      <c r="A59503" s="374"/>
      <c r="C59503" s="374"/>
      <c r="CV59503" s="376"/>
    </row>
    <row r="59504" spans="1:100">
      <c r="A59504" s="374"/>
      <c r="C59504" s="374"/>
      <c r="CV59504" s="376"/>
    </row>
    <row r="59505" spans="1:100">
      <c r="A59505" s="374"/>
      <c r="C59505" s="374"/>
      <c r="CV59505" s="376"/>
    </row>
    <row r="59506" spans="1:100">
      <c r="A59506" s="374"/>
      <c r="C59506" s="374"/>
      <c r="CV59506" s="376"/>
    </row>
    <row r="59507" spans="1:100">
      <c r="A59507" s="374"/>
      <c r="C59507" s="374"/>
      <c r="CV59507" s="376"/>
    </row>
    <row r="59508" spans="1:100">
      <c r="A59508" s="374"/>
      <c r="C59508" s="374"/>
      <c r="CV59508" s="376"/>
    </row>
    <row r="59509" spans="1:100">
      <c r="A59509" s="374"/>
      <c r="C59509" s="374"/>
      <c r="CV59509" s="376"/>
    </row>
    <row r="59510" spans="1:100">
      <c r="A59510" s="374"/>
      <c r="C59510" s="374"/>
      <c r="CV59510" s="376"/>
    </row>
    <row r="59511" spans="1:100">
      <c r="A59511" s="374"/>
      <c r="C59511" s="374"/>
      <c r="CV59511" s="376"/>
    </row>
    <row r="59512" spans="1:100">
      <c r="A59512" s="374"/>
      <c r="C59512" s="374"/>
      <c r="CV59512" s="376"/>
    </row>
    <row r="59513" spans="1:100">
      <c r="A59513" s="374"/>
      <c r="C59513" s="374"/>
      <c r="CV59513" s="376"/>
    </row>
    <row r="59514" spans="1:100">
      <c r="A59514" s="374"/>
      <c r="C59514" s="374"/>
      <c r="CV59514" s="376"/>
    </row>
    <row r="59515" spans="1:100">
      <c r="A59515" s="374"/>
      <c r="C59515" s="374"/>
      <c r="CV59515" s="376"/>
    </row>
    <row r="59516" spans="1:100">
      <c r="A59516" s="374"/>
      <c r="C59516" s="374"/>
      <c r="CV59516" s="376"/>
    </row>
    <row r="59517" spans="1:100">
      <c r="A59517" s="374"/>
      <c r="C59517" s="374"/>
      <c r="CV59517" s="376"/>
    </row>
    <row r="59518" spans="1:100">
      <c r="A59518" s="374"/>
      <c r="C59518" s="374"/>
      <c r="CV59518" s="376"/>
    </row>
    <row r="59519" spans="1:100">
      <c r="A59519" s="374"/>
      <c r="C59519" s="374"/>
      <c r="CV59519" s="376"/>
    </row>
    <row r="59520" spans="1:100">
      <c r="A59520" s="374"/>
      <c r="C59520" s="374"/>
      <c r="CV59520" s="376"/>
    </row>
    <row r="59521" spans="1:100">
      <c r="A59521" s="374"/>
      <c r="C59521" s="374"/>
      <c r="CV59521" s="376"/>
    </row>
    <row r="59522" spans="1:100">
      <c r="A59522" s="374"/>
      <c r="C59522" s="374"/>
      <c r="CV59522" s="376"/>
    </row>
    <row r="59523" spans="1:100">
      <c r="A59523" s="374"/>
      <c r="C59523" s="374"/>
      <c r="CV59523" s="376"/>
    </row>
    <row r="59524" spans="1:100">
      <c r="A59524" s="374"/>
      <c r="C59524" s="374"/>
      <c r="CV59524" s="376"/>
    </row>
    <row r="59525" spans="1:100">
      <c r="A59525" s="374"/>
      <c r="C59525" s="374"/>
      <c r="CV59525" s="376"/>
    </row>
    <row r="59526" spans="1:100">
      <c r="A59526" s="374"/>
      <c r="C59526" s="374"/>
      <c r="CV59526" s="376"/>
    </row>
    <row r="59527" spans="1:100">
      <c r="A59527" s="374"/>
      <c r="C59527" s="374"/>
      <c r="CV59527" s="376"/>
    </row>
    <row r="59528" spans="1:100">
      <c r="A59528" s="374"/>
      <c r="C59528" s="374"/>
      <c r="CV59528" s="376"/>
    </row>
    <row r="59529" spans="1:100">
      <c r="A59529" s="374"/>
      <c r="C59529" s="374"/>
      <c r="CV59529" s="376"/>
    </row>
    <row r="59530" spans="1:100">
      <c r="A59530" s="374"/>
      <c r="C59530" s="374"/>
      <c r="CV59530" s="376"/>
    </row>
    <row r="59531" spans="1:100">
      <c r="A59531" s="374"/>
      <c r="C59531" s="374"/>
      <c r="CV59531" s="376"/>
    </row>
    <row r="59532" spans="1:100">
      <c r="A59532" s="374"/>
      <c r="C59532" s="374"/>
      <c r="CV59532" s="376"/>
    </row>
    <row r="59533" spans="1:100">
      <c r="A59533" s="374"/>
      <c r="C59533" s="374"/>
      <c r="CV59533" s="376"/>
    </row>
    <row r="59534" spans="1:100">
      <c r="A59534" s="374"/>
      <c r="C59534" s="374"/>
      <c r="CV59534" s="376"/>
    </row>
    <row r="59535" spans="1:100">
      <c r="A59535" s="374"/>
      <c r="C59535" s="374"/>
      <c r="CV59535" s="376"/>
    </row>
    <row r="59536" spans="1:100">
      <c r="A59536" s="374"/>
      <c r="C59536" s="374"/>
      <c r="CV59536" s="376"/>
    </row>
    <row r="59537" spans="1:100">
      <c r="A59537" s="374"/>
      <c r="C59537" s="374"/>
      <c r="CV59537" s="376"/>
    </row>
    <row r="59538" spans="1:100">
      <c r="A59538" s="374"/>
      <c r="C59538" s="374"/>
      <c r="CV59538" s="376"/>
    </row>
    <row r="59539" spans="1:100">
      <c r="A59539" s="374"/>
      <c r="C59539" s="374"/>
      <c r="CV59539" s="376"/>
    </row>
    <row r="59540" spans="1:100">
      <c r="A59540" s="374"/>
      <c r="C59540" s="374"/>
      <c r="CV59540" s="376"/>
    </row>
    <row r="59541" spans="1:100">
      <c r="A59541" s="374"/>
      <c r="C59541" s="374"/>
      <c r="CV59541" s="376"/>
    </row>
    <row r="59542" spans="1:100">
      <c r="A59542" s="374"/>
      <c r="C59542" s="374"/>
      <c r="CV59542" s="376"/>
    </row>
    <row r="59543" spans="1:100">
      <c r="A59543" s="374"/>
      <c r="C59543" s="374"/>
      <c r="CV59543" s="376"/>
    </row>
    <row r="59544" spans="1:100">
      <c r="A59544" s="374"/>
      <c r="C59544" s="374"/>
      <c r="CV59544" s="376"/>
    </row>
    <row r="59545" spans="1:100">
      <c r="A59545" s="374"/>
      <c r="C59545" s="374"/>
      <c r="CV59545" s="376"/>
    </row>
    <row r="59546" spans="1:100">
      <c r="A59546" s="374"/>
      <c r="C59546" s="374"/>
      <c r="CV59546" s="376"/>
    </row>
    <row r="59547" spans="1:100">
      <c r="A59547" s="374"/>
      <c r="C59547" s="374"/>
      <c r="CV59547" s="376"/>
    </row>
    <row r="59548" spans="1:100">
      <c r="A59548" s="374"/>
      <c r="C59548" s="374"/>
      <c r="CV59548" s="376"/>
    </row>
    <row r="59549" spans="1:100">
      <c r="A59549" s="374"/>
      <c r="C59549" s="374"/>
      <c r="CV59549" s="376"/>
    </row>
    <row r="59550" spans="1:100">
      <c r="A59550" s="374"/>
      <c r="C59550" s="374"/>
      <c r="CV59550" s="376"/>
    </row>
    <row r="59551" spans="1:100">
      <c r="A59551" s="374"/>
      <c r="C59551" s="374"/>
      <c r="CV59551" s="376"/>
    </row>
    <row r="59552" spans="1:100">
      <c r="A59552" s="374"/>
      <c r="C59552" s="374"/>
      <c r="CV59552" s="376"/>
    </row>
    <row r="59553" spans="1:100">
      <c r="A59553" s="374"/>
      <c r="C59553" s="374"/>
      <c r="CV59553" s="376"/>
    </row>
    <row r="59554" spans="1:100">
      <c r="A59554" s="374"/>
      <c r="C59554" s="374"/>
      <c r="CV59554" s="376"/>
    </row>
    <row r="59555" spans="1:100">
      <c r="A59555" s="374"/>
      <c r="C59555" s="374"/>
      <c r="CV59555" s="376"/>
    </row>
    <row r="59556" spans="1:100">
      <c r="A59556" s="374"/>
      <c r="C59556" s="374"/>
      <c r="CV59556" s="376"/>
    </row>
    <row r="59557" spans="1:100">
      <c r="A59557" s="374"/>
      <c r="C59557" s="374"/>
      <c r="CV59557" s="376"/>
    </row>
    <row r="59558" spans="1:100">
      <c r="A59558" s="374"/>
      <c r="C59558" s="374"/>
      <c r="CV59558" s="376"/>
    </row>
    <row r="59559" spans="1:100">
      <c r="A59559" s="374"/>
      <c r="C59559" s="374"/>
      <c r="CV59559" s="376"/>
    </row>
    <row r="59560" spans="1:100">
      <c r="A59560" s="374"/>
      <c r="C59560" s="374"/>
      <c r="CV59560" s="376"/>
    </row>
    <row r="59561" spans="1:100">
      <c r="A59561" s="374"/>
      <c r="C59561" s="374"/>
      <c r="CV59561" s="376"/>
    </row>
    <row r="59562" spans="1:100">
      <c r="A59562" s="374"/>
      <c r="C59562" s="374"/>
      <c r="CV59562" s="376"/>
    </row>
    <row r="59563" spans="1:100">
      <c r="A59563" s="374"/>
      <c r="C59563" s="374"/>
      <c r="CV59563" s="376"/>
    </row>
    <row r="59564" spans="1:100">
      <c r="A59564" s="374"/>
      <c r="C59564" s="374"/>
      <c r="CV59564" s="376"/>
    </row>
    <row r="59565" spans="1:100">
      <c r="A59565" s="374"/>
      <c r="C59565" s="374"/>
      <c r="CV59565" s="376"/>
    </row>
    <row r="59566" spans="1:100">
      <c r="A59566" s="374"/>
      <c r="C59566" s="374"/>
      <c r="CV59566" s="376"/>
    </row>
    <row r="59567" spans="1:100">
      <c r="A59567" s="374"/>
      <c r="C59567" s="374"/>
      <c r="CV59567" s="376"/>
    </row>
    <row r="59568" spans="1:100">
      <c r="A59568" s="374"/>
      <c r="C59568" s="374"/>
      <c r="CV59568" s="376"/>
    </row>
    <row r="59569" spans="1:100">
      <c r="A59569" s="374"/>
      <c r="C59569" s="374"/>
      <c r="CV59569" s="376"/>
    </row>
    <row r="59570" spans="1:100">
      <c r="A59570" s="374"/>
      <c r="C59570" s="374"/>
      <c r="CV59570" s="376"/>
    </row>
    <row r="59571" spans="1:100">
      <c r="A59571" s="374"/>
      <c r="C59571" s="374"/>
      <c r="CV59571" s="376"/>
    </row>
    <row r="59572" spans="1:100">
      <c r="A59572" s="374"/>
      <c r="C59572" s="374"/>
      <c r="CV59572" s="376"/>
    </row>
    <row r="59573" spans="1:100">
      <c r="A59573" s="374"/>
      <c r="C59573" s="374"/>
      <c r="CV59573" s="376"/>
    </row>
    <row r="59574" spans="1:100">
      <c r="A59574" s="374"/>
      <c r="C59574" s="374"/>
      <c r="CV59574" s="376"/>
    </row>
    <row r="59575" spans="1:100">
      <c r="A59575" s="374"/>
      <c r="C59575" s="374"/>
      <c r="CV59575" s="376"/>
    </row>
    <row r="59576" spans="1:100">
      <c r="A59576" s="374"/>
      <c r="C59576" s="374"/>
      <c r="CV59576" s="376"/>
    </row>
    <row r="59577" spans="1:100">
      <c r="A59577" s="374"/>
      <c r="C59577" s="374"/>
      <c r="CV59577" s="376"/>
    </row>
    <row r="59578" spans="1:100">
      <c r="A59578" s="374"/>
      <c r="C59578" s="374"/>
      <c r="CV59578" s="376"/>
    </row>
    <row r="59579" spans="1:100">
      <c r="A59579" s="374"/>
      <c r="C59579" s="374"/>
      <c r="CV59579" s="376"/>
    </row>
    <row r="59580" spans="1:100">
      <c r="A59580" s="374"/>
      <c r="C59580" s="374"/>
      <c r="CV59580" s="376"/>
    </row>
    <row r="59581" spans="1:100">
      <c r="A59581" s="374"/>
      <c r="C59581" s="374"/>
      <c r="CV59581" s="376"/>
    </row>
    <row r="59582" spans="1:100">
      <c r="A59582" s="374"/>
      <c r="C59582" s="374"/>
      <c r="CV59582" s="376"/>
    </row>
    <row r="59583" spans="1:100">
      <c r="A59583" s="374"/>
      <c r="C59583" s="374"/>
      <c r="CV59583" s="376"/>
    </row>
    <row r="59584" spans="1:100">
      <c r="A59584" s="374"/>
      <c r="C59584" s="374"/>
      <c r="CV59584" s="376"/>
    </row>
    <row r="59585" spans="1:100">
      <c r="A59585" s="374"/>
      <c r="C59585" s="374"/>
      <c r="CV59585" s="376"/>
    </row>
    <row r="59586" spans="1:100">
      <c r="A59586" s="374"/>
      <c r="C59586" s="374"/>
      <c r="CV59586" s="376"/>
    </row>
    <row r="59587" spans="1:100">
      <c r="A59587" s="374"/>
      <c r="C59587" s="374"/>
      <c r="CV59587" s="376"/>
    </row>
    <row r="59588" spans="1:100">
      <c r="A59588" s="374"/>
      <c r="C59588" s="374"/>
      <c r="CV59588" s="376"/>
    </row>
    <row r="59589" spans="1:100">
      <c r="A59589" s="374"/>
      <c r="C59589" s="374"/>
      <c r="CV59589" s="376"/>
    </row>
    <row r="59590" spans="1:100">
      <c r="A59590" s="374"/>
      <c r="C59590" s="374"/>
      <c r="CV59590" s="376"/>
    </row>
    <row r="59591" spans="1:100">
      <c r="A59591" s="374"/>
      <c r="C59591" s="374"/>
      <c r="CV59591" s="376"/>
    </row>
    <row r="59592" spans="1:100">
      <c r="A59592" s="374"/>
      <c r="C59592" s="374"/>
      <c r="CV59592" s="376"/>
    </row>
    <row r="59593" spans="1:100">
      <c r="A59593" s="374"/>
      <c r="C59593" s="374"/>
      <c r="CV59593" s="376"/>
    </row>
    <row r="59594" spans="1:100">
      <c r="A59594" s="374"/>
      <c r="C59594" s="374"/>
      <c r="CV59594" s="376"/>
    </row>
    <row r="59595" spans="1:100">
      <c r="A59595" s="374"/>
      <c r="C59595" s="374"/>
      <c r="CV59595" s="376"/>
    </row>
    <row r="59596" spans="1:100">
      <c r="A59596" s="374"/>
      <c r="C59596" s="374"/>
      <c r="CV59596" s="376"/>
    </row>
    <row r="59597" spans="1:100">
      <c r="A59597" s="374"/>
      <c r="C59597" s="374"/>
      <c r="CV59597" s="376"/>
    </row>
    <row r="59598" spans="1:100">
      <c r="A59598" s="374"/>
      <c r="C59598" s="374"/>
      <c r="CV59598" s="376"/>
    </row>
    <row r="59599" spans="1:100">
      <c r="A59599" s="374"/>
      <c r="C59599" s="374"/>
      <c r="CV59599" s="376"/>
    </row>
    <row r="59600" spans="1:100">
      <c r="A59600" s="374"/>
      <c r="C59600" s="374"/>
      <c r="CV59600" s="376"/>
    </row>
    <row r="59601" spans="1:100">
      <c r="A59601" s="374"/>
      <c r="C59601" s="374"/>
      <c r="CV59601" s="376"/>
    </row>
    <row r="59602" spans="1:100">
      <c r="A59602" s="374"/>
      <c r="C59602" s="374"/>
      <c r="CV59602" s="376"/>
    </row>
    <row r="59603" spans="1:100">
      <c r="A59603" s="374"/>
      <c r="C59603" s="374"/>
      <c r="CV59603" s="376"/>
    </row>
    <row r="59604" spans="1:100">
      <c r="A59604" s="374"/>
      <c r="C59604" s="374"/>
      <c r="CV59604" s="376"/>
    </row>
    <row r="59605" spans="1:100">
      <c r="A59605" s="374"/>
      <c r="C59605" s="374"/>
      <c r="CV59605" s="376"/>
    </row>
    <row r="59606" spans="1:100">
      <c r="A59606" s="374"/>
      <c r="C59606" s="374"/>
      <c r="CV59606" s="376"/>
    </row>
    <row r="59607" spans="1:100">
      <c r="A59607" s="374"/>
      <c r="C59607" s="374"/>
      <c r="CV59607" s="376"/>
    </row>
    <row r="59608" spans="1:100">
      <c r="A59608" s="374"/>
      <c r="C59608" s="374"/>
      <c r="CV59608" s="376"/>
    </row>
    <row r="59609" spans="1:100">
      <c r="A59609" s="374"/>
      <c r="C59609" s="374"/>
      <c r="CV59609" s="376"/>
    </row>
    <row r="59610" spans="1:100">
      <c r="A59610" s="374"/>
      <c r="C59610" s="374"/>
      <c r="CV59610" s="376"/>
    </row>
    <row r="59611" spans="1:100">
      <c r="A59611" s="374"/>
      <c r="C59611" s="374"/>
      <c r="CV59611" s="376"/>
    </row>
    <row r="59612" spans="1:100">
      <c r="A59612" s="374"/>
      <c r="C59612" s="374"/>
      <c r="CV59612" s="376"/>
    </row>
    <row r="59613" spans="1:100">
      <c r="A59613" s="374"/>
      <c r="C59613" s="374"/>
      <c r="CV59613" s="376"/>
    </row>
    <row r="59614" spans="1:100">
      <c r="A59614" s="374"/>
      <c r="C59614" s="374"/>
      <c r="CV59614" s="376"/>
    </row>
    <row r="59615" spans="1:100">
      <c r="A59615" s="374"/>
      <c r="C59615" s="374"/>
      <c r="CV59615" s="376"/>
    </row>
    <row r="59616" spans="1:100">
      <c r="A59616" s="374"/>
      <c r="C59616" s="374"/>
      <c r="CV59616" s="376"/>
    </row>
    <row r="59617" spans="1:100">
      <c r="A59617" s="374"/>
      <c r="C59617" s="374"/>
      <c r="CV59617" s="376"/>
    </row>
    <row r="59618" spans="1:100">
      <c r="A59618" s="374"/>
      <c r="C59618" s="374"/>
      <c r="CV59618" s="376"/>
    </row>
    <row r="59619" spans="1:100">
      <c r="A59619" s="374"/>
      <c r="C59619" s="374"/>
      <c r="CV59619" s="376"/>
    </row>
    <row r="59620" spans="1:100">
      <c r="A59620" s="374"/>
      <c r="C59620" s="374"/>
      <c r="CV59620" s="376"/>
    </row>
    <row r="59621" spans="1:100">
      <c r="A59621" s="374"/>
      <c r="C59621" s="374"/>
      <c r="CV59621" s="376"/>
    </row>
    <row r="59622" spans="1:100">
      <c r="A59622" s="374"/>
      <c r="C59622" s="374"/>
      <c r="CV59622" s="376"/>
    </row>
    <row r="59623" spans="1:100">
      <c r="A59623" s="374"/>
      <c r="C59623" s="374"/>
      <c r="CV59623" s="376"/>
    </row>
    <row r="59624" spans="1:100">
      <c r="A59624" s="374"/>
      <c r="C59624" s="374"/>
      <c r="CV59624" s="376"/>
    </row>
    <row r="59625" spans="1:100">
      <c r="A59625" s="374"/>
      <c r="C59625" s="374"/>
      <c r="CV59625" s="376"/>
    </row>
    <row r="59626" spans="1:100">
      <c r="A59626" s="374"/>
      <c r="C59626" s="374"/>
      <c r="CV59626" s="376"/>
    </row>
    <row r="59627" spans="1:100">
      <c r="A59627" s="374"/>
      <c r="C59627" s="374"/>
      <c r="CV59627" s="376"/>
    </row>
    <row r="59628" spans="1:100">
      <c r="A59628" s="374"/>
      <c r="C59628" s="374"/>
      <c r="CV59628" s="376"/>
    </row>
    <row r="59629" spans="1:100">
      <c r="A59629" s="374"/>
      <c r="C59629" s="374"/>
      <c r="CV59629" s="376"/>
    </row>
    <row r="59630" spans="1:100">
      <c r="A59630" s="374"/>
      <c r="C59630" s="374"/>
      <c r="CV59630" s="376"/>
    </row>
    <row r="59631" spans="1:100">
      <c r="A59631" s="374"/>
      <c r="C59631" s="374"/>
      <c r="CV59631" s="376"/>
    </row>
    <row r="59632" spans="1:100">
      <c r="A59632" s="374"/>
      <c r="C59632" s="374"/>
      <c r="CV59632" s="376"/>
    </row>
    <row r="59633" spans="1:100">
      <c r="A59633" s="374"/>
      <c r="C59633" s="374"/>
      <c r="CV59633" s="376"/>
    </row>
    <row r="59634" spans="1:100">
      <c r="A59634" s="374"/>
      <c r="C59634" s="374"/>
      <c r="CV59634" s="376"/>
    </row>
    <row r="59635" spans="1:100">
      <c r="A59635" s="374"/>
      <c r="C59635" s="374"/>
      <c r="CV59635" s="376"/>
    </row>
    <row r="59636" spans="1:100">
      <c r="A59636" s="374"/>
      <c r="C59636" s="374"/>
      <c r="CV59636" s="376"/>
    </row>
    <row r="59637" spans="1:100">
      <c r="A59637" s="374"/>
      <c r="C59637" s="374"/>
      <c r="CV59637" s="376"/>
    </row>
    <row r="59638" spans="1:100">
      <c r="A59638" s="374"/>
      <c r="C59638" s="374"/>
      <c r="CV59638" s="376"/>
    </row>
    <row r="59639" spans="1:100">
      <c r="A59639" s="374"/>
      <c r="C59639" s="374"/>
      <c r="CV59639" s="376"/>
    </row>
    <row r="59640" spans="1:100">
      <c r="A59640" s="374"/>
      <c r="C59640" s="374"/>
      <c r="CV59640" s="376"/>
    </row>
    <row r="59641" spans="1:100">
      <c r="A59641" s="374"/>
      <c r="C59641" s="374"/>
      <c r="CV59641" s="376"/>
    </row>
    <row r="59642" spans="1:100">
      <c r="A59642" s="374"/>
      <c r="C59642" s="374"/>
      <c r="CV59642" s="376"/>
    </row>
    <row r="59643" spans="1:100">
      <c r="A59643" s="374"/>
      <c r="C59643" s="374"/>
      <c r="CV59643" s="376"/>
    </row>
    <row r="59644" spans="1:100">
      <c r="A59644" s="374"/>
      <c r="C59644" s="374"/>
      <c r="CV59644" s="376"/>
    </row>
    <row r="59645" spans="1:100">
      <c r="A59645" s="374"/>
      <c r="C59645" s="374"/>
      <c r="CV59645" s="376"/>
    </row>
    <row r="59646" spans="1:100">
      <c r="A59646" s="374"/>
      <c r="C59646" s="374"/>
      <c r="CV59646" s="376"/>
    </row>
    <row r="59647" spans="1:100">
      <c r="A59647" s="374"/>
      <c r="C59647" s="374"/>
      <c r="CV59647" s="376"/>
    </row>
    <row r="59648" spans="1:100">
      <c r="A59648" s="374"/>
      <c r="C59648" s="374"/>
      <c r="CV59648" s="376"/>
    </row>
    <row r="59649" spans="1:100">
      <c r="A59649" s="374"/>
      <c r="C59649" s="374"/>
      <c r="CV59649" s="376"/>
    </row>
    <row r="59650" spans="1:100">
      <c r="A59650" s="374"/>
      <c r="C59650" s="374"/>
      <c r="CV59650" s="376"/>
    </row>
    <row r="59651" spans="1:100">
      <c r="A59651" s="374"/>
      <c r="C59651" s="374"/>
      <c r="CV59651" s="376"/>
    </row>
    <row r="59652" spans="1:100">
      <c r="A59652" s="374"/>
      <c r="C59652" s="374"/>
      <c r="CV59652" s="376"/>
    </row>
    <row r="59653" spans="1:100">
      <c r="A59653" s="374"/>
      <c r="C59653" s="374"/>
      <c r="CV59653" s="376"/>
    </row>
    <row r="59654" spans="1:100">
      <c r="A59654" s="374"/>
      <c r="C59654" s="374"/>
      <c r="CV59654" s="376"/>
    </row>
    <row r="59655" spans="1:100">
      <c r="A59655" s="374"/>
      <c r="C59655" s="374"/>
      <c r="CV59655" s="376"/>
    </row>
    <row r="59656" spans="1:100">
      <c r="A59656" s="374"/>
      <c r="C59656" s="374"/>
      <c r="CV59656" s="376"/>
    </row>
    <row r="59657" spans="1:100">
      <c r="A59657" s="374"/>
      <c r="C59657" s="374"/>
      <c r="CV59657" s="376"/>
    </row>
    <row r="59658" spans="1:100">
      <c r="A59658" s="374"/>
      <c r="C59658" s="374"/>
      <c r="CV59658" s="376"/>
    </row>
    <row r="59659" spans="1:100">
      <c r="A59659" s="374"/>
      <c r="C59659" s="374"/>
      <c r="CV59659" s="376"/>
    </row>
    <row r="59660" spans="1:100">
      <c r="A59660" s="374"/>
      <c r="C59660" s="374"/>
      <c r="CV59660" s="376"/>
    </row>
    <row r="59661" spans="1:100">
      <c r="A59661" s="374"/>
      <c r="C59661" s="374"/>
      <c r="CV59661" s="376"/>
    </row>
    <row r="59662" spans="1:100">
      <c r="A59662" s="374"/>
      <c r="C59662" s="374"/>
      <c r="CV59662" s="376"/>
    </row>
    <row r="59663" spans="1:100">
      <c r="A59663" s="374"/>
      <c r="C59663" s="374"/>
      <c r="CV59663" s="376"/>
    </row>
    <row r="59664" spans="1:100">
      <c r="A59664" s="374"/>
      <c r="C59664" s="374"/>
      <c r="CV59664" s="376"/>
    </row>
    <row r="59665" spans="1:100">
      <c r="A59665" s="374"/>
      <c r="C59665" s="374"/>
      <c r="CV59665" s="376"/>
    </row>
    <row r="59666" spans="1:100">
      <c r="A59666" s="374"/>
      <c r="C59666" s="374"/>
      <c r="CV59666" s="376"/>
    </row>
    <row r="59667" spans="1:100">
      <c r="A59667" s="374"/>
      <c r="C59667" s="374"/>
      <c r="CV59667" s="376"/>
    </row>
    <row r="59668" spans="1:100">
      <c r="A59668" s="374"/>
      <c r="C59668" s="374"/>
      <c r="CV59668" s="376"/>
    </row>
    <row r="59669" spans="1:100">
      <c r="A59669" s="374"/>
      <c r="C59669" s="374"/>
      <c r="CV59669" s="376"/>
    </row>
    <row r="59670" spans="1:100">
      <c r="A59670" s="374"/>
      <c r="C59670" s="374"/>
      <c r="CV59670" s="376"/>
    </row>
    <row r="59671" spans="1:100">
      <c r="A59671" s="374"/>
      <c r="C59671" s="374"/>
      <c r="CV59671" s="376"/>
    </row>
    <row r="59672" spans="1:100">
      <c r="A59672" s="374"/>
      <c r="C59672" s="374"/>
      <c r="CV59672" s="376"/>
    </row>
    <row r="59673" spans="1:100">
      <c r="A59673" s="374"/>
      <c r="C59673" s="374"/>
      <c r="CV59673" s="376"/>
    </row>
    <row r="59674" spans="1:100">
      <c r="A59674" s="374"/>
      <c r="C59674" s="374"/>
      <c r="CV59674" s="376"/>
    </row>
    <row r="59675" spans="1:100">
      <c r="A59675" s="374"/>
      <c r="C59675" s="374"/>
      <c r="CV59675" s="376"/>
    </row>
    <row r="59676" spans="1:100">
      <c r="A59676" s="374"/>
      <c r="C59676" s="374"/>
      <c r="CV59676" s="376"/>
    </row>
    <row r="59677" spans="1:100">
      <c r="A59677" s="374"/>
      <c r="C59677" s="374"/>
      <c r="CV59677" s="376"/>
    </row>
    <row r="59678" spans="1:100">
      <c r="A59678" s="374"/>
      <c r="C59678" s="374"/>
      <c r="CV59678" s="376"/>
    </row>
    <row r="59679" spans="1:100">
      <c r="A59679" s="374"/>
      <c r="C59679" s="374"/>
      <c r="CV59679" s="376"/>
    </row>
    <row r="59680" spans="1:100">
      <c r="A59680" s="374"/>
      <c r="C59680" s="374"/>
      <c r="CV59680" s="376"/>
    </row>
    <row r="59681" spans="1:100">
      <c r="A59681" s="374"/>
      <c r="C59681" s="374"/>
      <c r="CV59681" s="376"/>
    </row>
    <row r="59682" spans="1:100">
      <c r="A59682" s="374"/>
      <c r="C59682" s="374"/>
      <c r="CV59682" s="376"/>
    </row>
    <row r="59683" spans="1:100">
      <c r="A59683" s="374"/>
      <c r="C59683" s="374"/>
      <c r="CV59683" s="376"/>
    </row>
    <row r="59684" spans="1:100">
      <c r="A59684" s="374"/>
      <c r="C59684" s="374"/>
      <c r="CV59684" s="376"/>
    </row>
    <row r="59685" spans="1:100">
      <c r="A59685" s="374"/>
      <c r="C59685" s="374"/>
      <c r="CV59685" s="376"/>
    </row>
    <row r="59686" spans="1:100">
      <c r="A59686" s="374"/>
      <c r="C59686" s="374"/>
      <c r="CV59686" s="376"/>
    </row>
    <row r="59687" spans="1:100">
      <c r="A59687" s="374"/>
      <c r="C59687" s="374"/>
      <c r="CV59687" s="376"/>
    </row>
    <row r="59688" spans="1:100">
      <c r="A59688" s="374"/>
      <c r="C59688" s="374"/>
      <c r="CV59688" s="376"/>
    </row>
    <row r="59689" spans="1:100">
      <c r="A59689" s="374"/>
      <c r="C59689" s="374"/>
      <c r="CV59689" s="376"/>
    </row>
    <row r="59690" spans="1:100">
      <c r="A59690" s="374"/>
      <c r="C59690" s="374"/>
      <c r="CV59690" s="376"/>
    </row>
    <row r="59691" spans="1:100">
      <c r="A59691" s="374"/>
      <c r="C59691" s="374"/>
      <c r="CV59691" s="376"/>
    </row>
    <row r="59692" spans="1:100">
      <c r="A59692" s="374"/>
      <c r="C59692" s="374"/>
      <c r="CV59692" s="376"/>
    </row>
    <row r="59693" spans="1:100">
      <c r="A59693" s="374"/>
      <c r="C59693" s="374"/>
      <c r="CV59693" s="376"/>
    </row>
    <row r="59694" spans="1:100">
      <c r="A59694" s="374"/>
      <c r="C59694" s="374"/>
      <c r="CV59694" s="376"/>
    </row>
    <row r="59695" spans="1:100">
      <c r="A59695" s="374"/>
      <c r="C59695" s="374"/>
      <c r="CV59695" s="376"/>
    </row>
    <row r="59696" spans="1:100">
      <c r="A59696" s="374"/>
      <c r="C59696" s="374"/>
      <c r="CV59696" s="376"/>
    </row>
    <row r="59697" spans="1:100">
      <c r="A59697" s="374"/>
      <c r="C59697" s="374"/>
      <c r="CV59697" s="376"/>
    </row>
    <row r="59698" spans="1:100">
      <c r="A59698" s="374"/>
      <c r="C59698" s="374"/>
      <c r="CV59698" s="376"/>
    </row>
    <row r="59699" spans="1:100">
      <c r="A59699" s="374"/>
      <c r="C59699" s="374"/>
      <c r="CV59699" s="376"/>
    </row>
    <row r="59700" spans="1:100">
      <c r="A59700" s="374"/>
      <c r="C59700" s="374"/>
      <c r="CV59700" s="376"/>
    </row>
    <row r="59701" spans="1:100">
      <c r="A59701" s="374"/>
      <c r="C59701" s="374"/>
      <c r="CV59701" s="376"/>
    </row>
    <row r="59702" spans="1:100">
      <c r="A59702" s="374"/>
      <c r="C59702" s="374"/>
      <c r="CV59702" s="376"/>
    </row>
    <row r="59703" spans="1:100">
      <c r="A59703" s="374"/>
      <c r="C59703" s="374"/>
      <c r="CV59703" s="376"/>
    </row>
    <row r="59704" spans="1:100">
      <c r="A59704" s="374"/>
      <c r="C59704" s="374"/>
      <c r="CV59704" s="376"/>
    </row>
    <row r="59705" spans="1:100">
      <c r="A59705" s="374"/>
      <c r="C59705" s="374"/>
      <c r="CV59705" s="376"/>
    </row>
    <row r="59706" spans="1:100">
      <c r="A59706" s="374"/>
      <c r="C59706" s="374"/>
      <c r="CV59706" s="376"/>
    </row>
    <row r="59707" spans="1:100">
      <c r="A59707" s="374"/>
      <c r="C59707" s="374"/>
      <c r="CV59707" s="376"/>
    </row>
    <row r="59708" spans="1:100">
      <c r="A59708" s="374"/>
      <c r="C59708" s="374"/>
      <c r="CV59708" s="376"/>
    </row>
    <row r="59709" spans="1:100">
      <c r="A59709" s="374"/>
      <c r="C59709" s="374"/>
      <c r="CV59709" s="376"/>
    </row>
    <row r="59710" spans="1:100">
      <c r="A59710" s="374"/>
      <c r="C59710" s="374"/>
      <c r="CV59710" s="376"/>
    </row>
    <row r="59711" spans="1:100">
      <c r="A59711" s="374"/>
      <c r="C59711" s="374"/>
      <c r="CV59711" s="376"/>
    </row>
    <row r="59712" spans="1:100">
      <c r="A59712" s="374"/>
      <c r="C59712" s="374"/>
      <c r="CV59712" s="376"/>
    </row>
    <row r="59713" spans="1:100">
      <c r="A59713" s="374"/>
      <c r="C59713" s="374"/>
      <c r="CV59713" s="376"/>
    </row>
    <row r="59714" spans="1:100">
      <c r="A59714" s="374"/>
      <c r="C59714" s="374"/>
      <c r="CV59714" s="376"/>
    </row>
    <row r="59715" spans="1:100">
      <c r="A59715" s="374"/>
      <c r="C59715" s="374"/>
      <c r="CV59715" s="376"/>
    </row>
    <row r="59716" spans="1:100">
      <c r="A59716" s="374"/>
      <c r="C59716" s="374"/>
      <c r="CV59716" s="376"/>
    </row>
    <row r="59717" spans="1:100">
      <c r="A59717" s="374"/>
      <c r="C59717" s="374"/>
      <c r="CV59717" s="376"/>
    </row>
    <row r="59718" spans="1:100">
      <c r="A59718" s="374"/>
      <c r="C59718" s="374"/>
      <c r="CV59718" s="376"/>
    </row>
    <row r="59719" spans="1:100">
      <c r="A59719" s="374"/>
      <c r="C59719" s="374"/>
      <c r="CV59719" s="376"/>
    </row>
    <row r="59720" spans="1:100">
      <c r="A59720" s="374"/>
      <c r="C59720" s="374"/>
      <c r="CV59720" s="376"/>
    </row>
    <row r="59721" spans="1:100">
      <c r="A59721" s="374"/>
      <c r="C59721" s="374"/>
      <c r="CV59721" s="376"/>
    </row>
    <row r="59722" spans="1:100">
      <c r="A59722" s="374"/>
      <c r="C59722" s="374"/>
      <c r="CV59722" s="376"/>
    </row>
    <row r="59723" spans="1:100">
      <c r="A59723" s="374"/>
      <c r="C59723" s="374"/>
      <c r="CV59723" s="376"/>
    </row>
    <row r="59724" spans="1:100">
      <c r="A59724" s="374"/>
      <c r="C59724" s="374"/>
      <c r="CV59724" s="376"/>
    </row>
    <row r="59725" spans="1:100">
      <c r="A59725" s="374"/>
      <c r="C59725" s="374"/>
      <c r="CV59725" s="376"/>
    </row>
    <row r="59726" spans="1:100">
      <c r="A59726" s="374"/>
      <c r="C59726" s="374"/>
      <c r="CV59726" s="376"/>
    </row>
    <row r="59727" spans="1:100">
      <c r="A59727" s="374"/>
      <c r="C59727" s="374"/>
      <c r="CV59727" s="376"/>
    </row>
    <row r="59728" spans="1:100">
      <c r="A59728" s="374"/>
      <c r="C59728" s="374"/>
      <c r="CV59728" s="376"/>
    </row>
    <row r="59729" spans="1:100">
      <c r="A59729" s="374"/>
      <c r="C59729" s="374"/>
      <c r="CV59729" s="376"/>
    </row>
    <row r="59730" spans="1:100">
      <c r="A59730" s="374"/>
      <c r="C59730" s="374"/>
      <c r="CV59730" s="376"/>
    </row>
    <row r="59731" spans="1:100">
      <c r="A59731" s="374"/>
      <c r="C59731" s="374"/>
      <c r="CV59731" s="376"/>
    </row>
    <row r="59732" spans="1:100">
      <c r="A59732" s="374"/>
      <c r="C59732" s="374"/>
      <c r="CV59732" s="376"/>
    </row>
    <row r="59733" spans="1:100">
      <c r="A59733" s="374"/>
      <c r="C59733" s="374"/>
      <c r="CV59733" s="376"/>
    </row>
    <row r="59734" spans="1:100">
      <c r="A59734" s="374"/>
      <c r="C59734" s="374"/>
      <c r="CV59734" s="376"/>
    </row>
    <row r="59735" spans="1:100">
      <c r="A59735" s="374"/>
      <c r="C59735" s="374"/>
      <c r="CV59735" s="376"/>
    </row>
    <row r="59736" spans="1:100">
      <c r="A59736" s="374"/>
      <c r="C59736" s="374"/>
      <c r="CV59736" s="376"/>
    </row>
    <row r="59737" spans="1:100">
      <c r="A59737" s="374"/>
      <c r="C59737" s="374"/>
      <c r="CV59737" s="376"/>
    </row>
    <row r="59738" spans="1:100">
      <c r="A59738" s="374"/>
      <c r="C59738" s="374"/>
      <c r="CV59738" s="376"/>
    </row>
    <row r="59739" spans="1:100">
      <c r="A59739" s="374"/>
      <c r="C59739" s="374"/>
      <c r="CV59739" s="376"/>
    </row>
    <row r="59740" spans="1:100">
      <c r="A59740" s="374"/>
      <c r="C59740" s="374"/>
      <c r="CV59740" s="376"/>
    </row>
    <row r="59741" spans="1:100">
      <c r="A59741" s="374"/>
      <c r="C59741" s="374"/>
      <c r="CV59741" s="376"/>
    </row>
    <row r="59742" spans="1:100">
      <c r="A59742" s="374"/>
      <c r="C59742" s="374"/>
      <c r="CV59742" s="376"/>
    </row>
    <row r="59743" spans="1:100">
      <c r="A59743" s="374"/>
      <c r="C59743" s="374"/>
      <c r="CV59743" s="376"/>
    </row>
    <row r="59744" spans="1:100">
      <c r="A59744" s="374"/>
      <c r="C59744" s="374"/>
      <c r="CV59744" s="376"/>
    </row>
    <row r="59745" spans="1:100">
      <c r="A59745" s="374"/>
      <c r="C59745" s="374"/>
      <c r="CV59745" s="376"/>
    </row>
    <row r="59746" spans="1:100">
      <c r="A59746" s="374"/>
      <c r="C59746" s="374"/>
      <c r="CV59746" s="376"/>
    </row>
    <row r="59747" spans="1:100">
      <c r="A59747" s="374"/>
      <c r="C59747" s="374"/>
      <c r="CV59747" s="376"/>
    </row>
    <row r="59748" spans="1:100">
      <c r="A59748" s="374"/>
      <c r="C59748" s="374"/>
      <c r="CV59748" s="376"/>
    </row>
    <row r="59749" spans="1:100">
      <c r="A59749" s="374"/>
      <c r="C59749" s="374"/>
      <c r="CV59749" s="376"/>
    </row>
    <row r="59750" spans="1:100">
      <c r="A59750" s="374"/>
      <c r="C59750" s="374"/>
      <c r="CV59750" s="376"/>
    </row>
    <row r="59751" spans="1:100">
      <c r="A59751" s="374"/>
      <c r="C59751" s="374"/>
      <c r="CV59751" s="376"/>
    </row>
    <row r="59752" spans="1:100">
      <c r="A59752" s="374"/>
      <c r="C59752" s="374"/>
      <c r="CV59752" s="376"/>
    </row>
    <row r="59753" spans="1:100">
      <c r="A59753" s="374"/>
      <c r="C59753" s="374"/>
      <c r="CV59753" s="376"/>
    </row>
    <row r="59754" spans="1:100">
      <c r="A59754" s="374"/>
      <c r="C59754" s="374"/>
      <c r="CV59754" s="376"/>
    </row>
    <row r="59755" spans="1:100">
      <c r="A59755" s="374"/>
      <c r="C59755" s="374"/>
      <c r="CV59755" s="376"/>
    </row>
    <row r="59756" spans="1:100">
      <c r="A59756" s="374"/>
      <c r="C59756" s="374"/>
      <c r="CV59756" s="376"/>
    </row>
    <row r="59757" spans="1:100">
      <c r="A59757" s="374"/>
      <c r="C59757" s="374"/>
      <c r="CV59757" s="376"/>
    </row>
    <row r="59758" spans="1:100">
      <c r="A59758" s="374"/>
      <c r="C59758" s="374"/>
      <c r="CV59758" s="376"/>
    </row>
    <row r="59759" spans="1:100">
      <c r="A59759" s="374"/>
      <c r="C59759" s="374"/>
      <c r="CV59759" s="376"/>
    </row>
    <row r="59760" spans="1:100">
      <c r="A59760" s="374"/>
      <c r="C59760" s="374"/>
      <c r="CV59760" s="376"/>
    </row>
    <row r="59761" spans="1:100">
      <c r="A59761" s="374"/>
      <c r="C59761" s="374"/>
      <c r="CV59761" s="376"/>
    </row>
    <row r="59762" spans="1:100">
      <c r="A59762" s="374"/>
      <c r="C59762" s="374"/>
      <c r="CV59762" s="376"/>
    </row>
    <row r="59763" spans="1:100">
      <c r="A59763" s="374"/>
      <c r="C59763" s="374"/>
      <c r="CV59763" s="376"/>
    </row>
    <row r="59764" spans="1:100">
      <c r="A59764" s="374"/>
      <c r="C59764" s="374"/>
      <c r="CV59764" s="376"/>
    </row>
    <row r="59765" spans="1:100">
      <c r="A59765" s="374"/>
      <c r="C59765" s="374"/>
      <c r="CV59765" s="376"/>
    </row>
    <row r="59766" spans="1:100">
      <c r="A59766" s="374"/>
      <c r="C59766" s="374"/>
      <c r="CV59766" s="376"/>
    </row>
    <row r="59767" spans="1:100">
      <c r="A59767" s="374"/>
      <c r="C59767" s="374"/>
      <c r="CV59767" s="376"/>
    </row>
    <row r="59768" spans="1:100">
      <c r="A59768" s="374"/>
      <c r="C59768" s="374"/>
      <c r="CV59768" s="376"/>
    </row>
    <row r="59769" spans="1:100">
      <c r="A59769" s="374"/>
      <c r="C59769" s="374"/>
      <c r="CV59769" s="376"/>
    </row>
    <row r="59770" spans="1:100">
      <c r="A59770" s="374"/>
      <c r="C59770" s="374"/>
      <c r="CV59770" s="376"/>
    </row>
    <row r="59771" spans="1:100">
      <c r="A59771" s="374"/>
      <c r="C59771" s="374"/>
      <c r="CV59771" s="376"/>
    </row>
    <row r="59772" spans="1:100">
      <c r="A59772" s="374"/>
      <c r="C59772" s="374"/>
      <c r="CV59772" s="376"/>
    </row>
    <row r="59773" spans="1:100">
      <c r="A59773" s="374"/>
      <c r="C59773" s="374"/>
      <c r="CV59773" s="376"/>
    </row>
    <row r="59774" spans="1:100">
      <c r="A59774" s="374"/>
      <c r="C59774" s="374"/>
      <c r="CV59774" s="376"/>
    </row>
    <row r="59775" spans="1:100">
      <c r="A59775" s="374"/>
      <c r="C59775" s="374"/>
      <c r="CV59775" s="376"/>
    </row>
    <row r="59776" spans="1:100">
      <c r="A59776" s="374"/>
      <c r="C59776" s="374"/>
      <c r="CV59776" s="376"/>
    </row>
    <row r="59777" spans="1:100">
      <c r="A59777" s="374"/>
      <c r="C59777" s="374"/>
      <c r="CV59777" s="376"/>
    </row>
    <row r="59778" spans="1:100">
      <c r="A59778" s="374"/>
      <c r="C59778" s="374"/>
      <c r="CV59778" s="376"/>
    </row>
    <row r="59779" spans="1:100">
      <c r="A59779" s="374"/>
      <c r="C59779" s="374"/>
      <c r="CV59779" s="376"/>
    </row>
    <row r="59780" spans="1:100">
      <c r="A59780" s="374"/>
      <c r="C59780" s="374"/>
      <c r="CV59780" s="376"/>
    </row>
    <row r="59781" spans="1:100">
      <c r="A59781" s="374"/>
      <c r="C59781" s="374"/>
      <c r="CV59781" s="376"/>
    </row>
    <row r="59782" spans="1:100">
      <c r="A59782" s="374"/>
      <c r="C59782" s="374"/>
      <c r="CV59782" s="376"/>
    </row>
    <row r="59783" spans="1:100">
      <c r="A59783" s="374"/>
      <c r="C59783" s="374"/>
      <c r="CV59783" s="376"/>
    </row>
    <row r="59784" spans="1:100">
      <c r="A59784" s="374"/>
      <c r="C59784" s="374"/>
      <c r="CV59784" s="376"/>
    </row>
    <row r="59785" spans="1:100">
      <c r="A59785" s="374"/>
      <c r="C59785" s="374"/>
      <c r="CV59785" s="376"/>
    </row>
    <row r="59786" spans="1:100">
      <c r="A59786" s="374"/>
      <c r="C59786" s="374"/>
      <c r="CV59786" s="376"/>
    </row>
    <row r="59787" spans="1:100">
      <c r="A59787" s="374"/>
      <c r="C59787" s="374"/>
      <c r="CV59787" s="376"/>
    </row>
    <row r="59788" spans="1:100">
      <c r="A59788" s="374"/>
      <c r="C59788" s="374"/>
      <c r="CV59788" s="376"/>
    </row>
    <row r="59789" spans="1:100">
      <c r="A59789" s="374"/>
      <c r="C59789" s="374"/>
      <c r="CV59789" s="376"/>
    </row>
    <row r="59790" spans="1:100">
      <c r="A59790" s="374"/>
      <c r="C59790" s="374"/>
      <c r="CV59790" s="376"/>
    </row>
    <row r="59791" spans="1:100">
      <c r="A59791" s="374"/>
      <c r="C59791" s="374"/>
      <c r="CV59791" s="376"/>
    </row>
    <row r="59792" spans="1:100">
      <c r="A59792" s="374"/>
      <c r="C59792" s="374"/>
      <c r="CV59792" s="376"/>
    </row>
    <row r="59793" spans="1:100">
      <c r="A59793" s="374"/>
      <c r="C59793" s="374"/>
      <c r="CV59793" s="376"/>
    </row>
    <row r="59794" spans="1:100">
      <c r="A59794" s="374"/>
      <c r="C59794" s="374"/>
      <c r="CV59794" s="376"/>
    </row>
    <row r="59795" spans="1:100">
      <c r="A59795" s="374"/>
      <c r="C59795" s="374"/>
      <c r="CV59795" s="376"/>
    </row>
    <row r="59796" spans="1:100">
      <c r="A59796" s="374"/>
      <c r="C59796" s="374"/>
      <c r="CV59796" s="376"/>
    </row>
    <row r="59797" spans="1:100">
      <c r="A59797" s="374"/>
      <c r="C59797" s="374"/>
      <c r="CV59797" s="376"/>
    </row>
    <row r="59798" spans="1:100">
      <c r="A59798" s="374"/>
      <c r="C59798" s="374"/>
      <c r="CV59798" s="376"/>
    </row>
    <row r="59799" spans="1:100">
      <c r="A59799" s="374"/>
      <c r="C59799" s="374"/>
      <c r="CV59799" s="376"/>
    </row>
    <row r="59800" spans="1:100">
      <c r="A59800" s="374"/>
      <c r="C59800" s="374"/>
      <c r="CV59800" s="376"/>
    </row>
    <row r="59801" spans="1:100">
      <c r="A59801" s="374"/>
      <c r="C59801" s="374"/>
      <c r="CV59801" s="376"/>
    </row>
    <row r="59802" spans="1:100">
      <c r="A59802" s="374"/>
      <c r="C59802" s="374"/>
      <c r="CV59802" s="376"/>
    </row>
    <row r="59803" spans="1:100">
      <c r="A59803" s="374"/>
      <c r="C59803" s="374"/>
      <c r="CV59803" s="376"/>
    </row>
    <row r="59804" spans="1:100">
      <c r="A59804" s="374"/>
      <c r="C59804" s="374"/>
      <c r="CV59804" s="376"/>
    </row>
    <row r="59805" spans="1:100">
      <c r="A59805" s="374"/>
      <c r="C59805" s="374"/>
      <c r="CV59805" s="376"/>
    </row>
    <row r="59806" spans="1:100">
      <c r="A59806" s="374"/>
      <c r="C59806" s="374"/>
      <c r="CV59806" s="376"/>
    </row>
    <row r="59807" spans="1:100">
      <c r="A59807" s="374"/>
      <c r="C59807" s="374"/>
      <c r="CV59807" s="376"/>
    </row>
    <row r="59808" spans="1:100">
      <c r="A59808" s="374"/>
      <c r="C59808" s="374"/>
      <c r="CV59808" s="376"/>
    </row>
    <row r="59809" spans="1:100">
      <c r="A59809" s="374"/>
      <c r="C59809" s="374"/>
      <c r="CV59809" s="376"/>
    </row>
    <row r="59810" spans="1:100">
      <c r="A59810" s="374"/>
      <c r="C59810" s="374"/>
      <c r="CV59810" s="376"/>
    </row>
    <row r="59811" spans="1:100">
      <c r="A59811" s="374"/>
      <c r="C59811" s="374"/>
      <c r="CV59811" s="376"/>
    </row>
    <row r="59812" spans="1:100">
      <c r="A59812" s="374"/>
      <c r="C59812" s="374"/>
      <c r="CV59812" s="376"/>
    </row>
    <row r="59813" spans="1:100">
      <c r="A59813" s="374"/>
      <c r="C59813" s="374"/>
      <c r="CV59813" s="376"/>
    </row>
    <row r="59814" spans="1:100">
      <c r="A59814" s="374"/>
      <c r="C59814" s="374"/>
      <c r="CV59814" s="376"/>
    </row>
    <row r="59815" spans="1:100">
      <c r="A59815" s="374"/>
      <c r="C59815" s="374"/>
      <c r="CV59815" s="376"/>
    </row>
    <row r="59816" spans="1:100">
      <c r="A59816" s="374"/>
      <c r="C59816" s="374"/>
      <c r="CV59816" s="376"/>
    </row>
    <row r="59817" spans="1:100">
      <c r="A59817" s="374"/>
      <c r="C59817" s="374"/>
      <c r="CV59817" s="376"/>
    </row>
    <row r="59818" spans="1:100">
      <c r="A59818" s="374"/>
      <c r="C59818" s="374"/>
      <c r="CV59818" s="376"/>
    </row>
    <row r="59819" spans="1:100">
      <c r="A59819" s="374"/>
      <c r="C59819" s="374"/>
      <c r="CV59819" s="376"/>
    </row>
    <row r="59820" spans="1:100">
      <c r="A59820" s="374"/>
      <c r="C59820" s="374"/>
      <c r="CV59820" s="376"/>
    </row>
    <row r="59821" spans="1:100">
      <c r="A59821" s="374"/>
      <c r="C59821" s="374"/>
      <c r="CV59821" s="376"/>
    </row>
    <row r="59822" spans="1:100">
      <c r="A59822" s="374"/>
      <c r="C59822" s="374"/>
      <c r="CV59822" s="376"/>
    </row>
    <row r="59823" spans="1:100">
      <c r="A59823" s="374"/>
      <c r="C59823" s="374"/>
      <c r="CV59823" s="376"/>
    </row>
    <row r="59824" spans="1:100">
      <c r="A59824" s="374"/>
      <c r="C59824" s="374"/>
      <c r="CV59824" s="376"/>
    </row>
    <row r="59825" spans="1:100">
      <c r="A59825" s="374"/>
      <c r="C59825" s="374"/>
      <c r="CV59825" s="376"/>
    </row>
    <row r="59826" spans="1:100">
      <c r="A59826" s="374"/>
      <c r="C59826" s="374"/>
      <c r="CV59826" s="376"/>
    </row>
    <row r="59827" spans="1:100">
      <c r="A59827" s="374"/>
      <c r="C59827" s="374"/>
      <c r="CV59827" s="376"/>
    </row>
    <row r="59828" spans="1:100">
      <c r="A59828" s="374"/>
      <c r="C59828" s="374"/>
      <c r="CV59828" s="376"/>
    </row>
    <row r="59829" spans="1:100">
      <c r="A59829" s="374"/>
      <c r="C59829" s="374"/>
      <c r="CV59829" s="376"/>
    </row>
    <row r="59830" spans="1:100">
      <c r="A59830" s="374"/>
      <c r="C59830" s="374"/>
      <c r="CV59830" s="376"/>
    </row>
    <row r="59831" spans="1:100">
      <c r="A59831" s="374"/>
      <c r="C59831" s="374"/>
      <c r="CV59831" s="376"/>
    </row>
    <row r="59832" spans="1:100">
      <c r="A59832" s="374"/>
      <c r="C59832" s="374"/>
      <c r="CV59832" s="376"/>
    </row>
    <row r="59833" spans="1:100">
      <c r="A59833" s="374"/>
      <c r="C59833" s="374"/>
      <c r="CV59833" s="376"/>
    </row>
    <row r="59834" spans="1:100">
      <c r="A59834" s="374"/>
      <c r="C59834" s="374"/>
      <c r="CV59834" s="376"/>
    </row>
    <row r="59835" spans="1:100">
      <c r="A59835" s="374"/>
      <c r="C59835" s="374"/>
      <c r="CV59835" s="376"/>
    </row>
    <row r="59836" spans="1:100">
      <c r="A59836" s="374"/>
      <c r="C59836" s="374"/>
      <c r="CV59836" s="376"/>
    </row>
    <row r="59837" spans="1:100">
      <c r="A59837" s="374"/>
      <c r="C59837" s="374"/>
      <c r="CV59837" s="376"/>
    </row>
    <row r="59838" spans="1:100">
      <c r="A59838" s="374"/>
      <c r="C59838" s="374"/>
      <c r="CV59838" s="376"/>
    </row>
    <row r="59839" spans="1:100">
      <c r="A59839" s="374"/>
      <c r="C59839" s="374"/>
      <c r="CV59839" s="376"/>
    </row>
    <row r="59840" spans="1:100">
      <c r="A59840" s="374"/>
      <c r="C59840" s="374"/>
      <c r="CV59840" s="376"/>
    </row>
    <row r="59841" spans="1:100">
      <c r="A59841" s="374"/>
      <c r="C59841" s="374"/>
      <c r="CV59841" s="376"/>
    </row>
    <row r="59842" spans="1:100">
      <c r="A59842" s="374"/>
      <c r="C59842" s="374"/>
      <c r="CV59842" s="376"/>
    </row>
    <row r="59843" spans="1:100">
      <c r="A59843" s="374"/>
      <c r="C59843" s="374"/>
      <c r="CV59843" s="376"/>
    </row>
    <row r="59844" spans="1:100">
      <c r="A59844" s="374"/>
      <c r="C59844" s="374"/>
      <c r="CV59844" s="376"/>
    </row>
    <row r="59845" spans="1:100">
      <c r="A59845" s="374"/>
      <c r="C59845" s="374"/>
      <c r="CV59845" s="376"/>
    </row>
    <row r="59846" spans="1:100">
      <c r="A59846" s="374"/>
      <c r="C59846" s="374"/>
      <c r="CV59846" s="376"/>
    </row>
    <row r="59847" spans="1:100">
      <c r="A59847" s="374"/>
      <c r="C59847" s="374"/>
      <c r="CV59847" s="376"/>
    </row>
    <row r="59848" spans="1:100">
      <c r="A59848" s="374"/>
      <c r="C59848" s="374"/>
      <c r="CV59848" s="376"/>
    </row>
    <row r="59849" spans="1:100">
      <c r="A59849" s="374"/>
      <c r="C59849" s="374"/>
      <c r="CV59849" s="376"/>
    </row>
    <row r="59850" spans="1:100">
      <c r="A59850" s="374"/>
      <c r="C59850" s="374"/>
      <c r="CV59850" s="376"/>
    </row>
    <row r="59851" spans="1:100">
      <c r="A59851" s="374"/>
      <c r="C59851" s="374"/>
      <c r="CV59851" s="376"/>
    </row>
    <row r="59852" spans="1:100">
      <c r="A59852" s="374"/>
      <c r="C59852" s="374"/>
      <c r="CV59852" s="376"/>
    </row>
    <row r="59853" spans="1:100">
      <c r="A59853" s="374"/>
      <c r="C59853" s="374"/>
      <c r="CV59853" s="376"/>
    </row>
    <row r="59854" spans="1:100">
      <c r="A59854" s="374"/>
      <c r="C59854" s="374"/>
      <c r="CV59854" s="376"/>
    </row>
    <row r="59855" spans="1:100">
      <c r="A59855" s="374"/>
      <c r="C59855" s="374"/>
      <c r="CV59855" s="376"/>
    </row>
    <row r="59856" spans="1:100">
      <c r="A59856" s="374"/>
      <c r="C59856" s="374"/>
      <c r="CV59856" s="376"/>
    </row>
    <row r="59857" spans="1:100">
      <c r="A59857" s="374"/>
      <c r="C59857" s="374"/>
      <c r="CV59857" s="376"/>
    </row>
    <row r="59858" spans="1:100">
      <c r="A59858" s="374"/>
      <c r="C59858" s="374"/>
      <c r="CV59858" s="376"/>
    </row>
    <row r="59859" spans="1:100">
      <c r="A59859" s="374"/>
      <c r="C59859" s="374"/>
      <c r="CV59859" s="376"/>
    </row>
    <row r="59860" spans="1:100">
      <c r="A59860" s="374"/>
      <c r="C59860" s="374"/>
      <c r="CV59860" s="376"/>
    </row>
    <row r="59861" spans="1:100">
      <c r="A59861" s="374"/>
      <c r="C59861" s="374"/>
      <c r="CV59861" s="376"/>
    </row>
    <row r="59862" spans="1:100">
      <c r="A59862" s="374"/>
      <c r="C59862" s="374"/>
      <c r="CV59862" s="376"/>
    </row>
    <row r="59863" spans="1:100">
      <c r="A59863" s="374"/>
      <c r="C59863" s="374"/>
      <c r="CV59863" s="376"/>
    </row>
    <row r="59864" spans="1:100">
      <c r="A59864" s="374"/>
      <c r="C59864" s="374"/>
      <c r="CV59864" s="376"/>
    </row>
    <row r="59865" spans="1:100">
      <c r="A59865" s="374"/>
      <c r="C59865" s="374"/>
      <c r="CV59865" s="376"/>
    </row>
    <row r="59866" spans="1:100">
      <c r="A59866" s="374"/>
      <c r="C59866" s="374"/>
      <c r="CV59866" s="376"/>
    </row>
    <row r="59867" spans="1:100">
      <c r="A59867" s="374"/>
      <c r="C59867" s="374"/>
      <c r="CV59867" s="376"/>
    </row>
    <row r="59868" spans="1:100">
      <c r="A59868" s="374"/>
      <c r="C59868" s="374"/>
      <c r="CV59868" s="376"/>
    </row>
    <row r="59869" spans="1:100">
      <c r="A59869" s="374"/>
      <c r="C59869" s="374"/>
      <c r="CV59869" s="376"/>
    </row>
    <row r="59870" spans="1:100">
      <c r="A59870" s="374"/>
      <c r="C59870" s="374"/>
      <c r="CV59870" s="376"/>
    </row>
    <row r="59871" spans="1:100">
      <c r="A59871" s="374"/>
      <c r="C59871" s="374"/>
      <c r="CV59871" s="376"/>
    </row>
    <row r="59872" spans="1:100">
      <c r="A59872" s="374"/>
      <c r="C59872" s="374"/>
      <c r="CV59872" s="376"/>
    </row>
    <row r="59873" spans="1:100">
      <c r="A59873" s="374"/>
      <c r="C59873" s="374"/>
      <c r="CV59873" s="376"/>
    </row>
    <row r="59874" spans="1:100">
      <c r="A59874" s="374"/>
      <c r="C59874" s="374"/>
      <c r="CV59874" s="376"/>
    </row>
    <row r="59875" spans="1:100">
      <c r="A59875" s="374"/>
      <c r="C59875" s="374"/>
      <c r="CV59875" s="376"/>
    </row>
    <row r="59876" spans="1:100">
      <c r="A59876" s="374"/>
      <c r="C59876" s="374"/>
      <c r="CV59876" s="376"/>
    </row>
    <row r="59877" spans="1:100">
      <c r="A59877" s="374"/>
      <c r="C59877" s="374"/>
      <c r="CV59877" s="376"/>
    </row>
    <row r="59878" spans="1:100">
      <c r="A59878" s="374"/>
      <c r="C59878" s="374"/>
      <c r="CV59878" s="376"/>
    </row>
    <row r="59879" spans="1:100">
      <c r="A59879" s="374"/>
      <c r="C59879" s="374"/>
      <c r="CV59879" s="376"/>
    </row>
    <row r="59880" spans="1:100">
      <c r="A59880" s="374"/>
      <c r="C59880" s="374"/>
      <c r="CV59880" s="376"/>
    </row>
    <row r="59881" spans="1:100">
      <c r="A59881" s="374"/>
      <c r="C59881" s="374"/>
      <c r="CV59881" s="376"/>
    </row>
    <row r="59882" spans="1:100">
      <c r="A59882" s="374"/>
      <c r="C59882" s="374"/>
      <c r="CV59882" s="376"/>
    </row>
    <row r="59883" spans="1:100">
      <c r="A59883" s="374"/>
      <c r="C59883" s="374"/>
      <c r="CV59883" s="376"/>
    </row>
    <row r="59884" spans="1:100">
      <c r="A59884" s="374"/>
      <c r="C59884" s="374"/>
      <c r="CV59884" s="376"/>
    </row>
    <row r="59885" spans="1:100">
      <c r="A59885" s="374"/>
      <c r="C59885" s="374"/>
      <c r="CV59885" s="376"/>
    </row>
    <row r="59886" spans="1:100">
      <c r="A59886" s="374"/>
      <c r="C59886" s="374"/>
      <c r="CV59886" s="376"/>
    </row>
    <row r="59887" spans="1:100">
      <c r="A59887" s="374"/>
      <c r="C59887" s="374"/>
      <c r="CV59887" s="376"/>
    </row>
    <row r="59888" spans="1:100">
      <c r="A59888" s="374"/>
      <c r="C59888" s="374"/>
      <c r="CV59888" s="376"/>
    </row>
    <row r="59889" spans="1:100">
      <c r="A59889" s="374"/>
      <c r="C59889" s="374"/>
      <c r="CV59889" s="376"/>
    </row>
    <row r="59890" spans="1:100">
      <c r="A59890" s="374"/>
      <c r="C59890" s="374"/>
      <c r="CV59890" s="376"/>
    </row>
    <row r="59891" spans="1:100">
      <c r="A59891" s="374"/>
      <c r="C59891" s="374"/>
      <c r="CV59891" s="376"/>
    </row>
    <row r="59892" spans="1:100">
      <c r="A59892" s="374"/>
      <c r="C59892" s="374"/>
      <c r="CV59892" s="376"/>
    </row>
    <row r="59893" spans="1:100">
      <c r="A59893" s="374"/>
      <c r="C59893" s="374"/>
      <c r="CV59893" s="376"/>
    </row>
    <row r="59894" spans="1:100">
      <c r="A59894" s="374"/>
      <c r="C59894" s="374"/>
      <c r="CV59894" s="376"/>
    </row>
    <row r="59895" spans="1:100">
      <c r="A59895" s="374"/>
      <c r="C59895" s="374"/>
      <c r="CV59895" s="376"/>
    </row>
    <row r="59896" spans="1:100">
      <c r="A59896" s="374"/>
      <c r="C59896" s="374"/>
      <c r="CV59896" s="376"/>
    </row>
    <row r="59897" spans="1:100">
      <c r="A59897" s="374"/>
      <c r="C59897" s="374"/>
      <c r="CV59897" s="376"/>
    </row>
    <row r="59898" spans="1:100">
      <c r="A59898" s="374"/>
      <c r="C59898" s="374"/>
      <c r="CV59898" s="376"/>
    </row>
    <row r="59899" spans="1:100">
      <c r="A59899" s="374"/>
      <c r="C59899" s="374"/>
      <c r="CV59899" s="376"/>
    </row>
    <row r="59900" spans="1:100">
      <c r="A59900" s="374"/>
      <c r="C59900" s="374"/>
      <c r="CV59900" s="376"/>
    </row>
    <row r="59901" spans="1:100">
      <c r="A59901" s="374"/>
      <c r="C59901" s="374"/>
      <c r="CV59901" s="376"/>
    </row>
    <row r="59902" spans="1:100">
      <c r="A59902" s="374"/>
      <c r="C59902" s="374"/>
      <c r="CV59902" s="376"/>
    </row>
    <row r="59903" spans="1:100">
      <c r="A59903" s="374"/>
      <c r="C59903" s="374"/>
      <c r="CV59903" s="376"/>
    </row>
    <row r="59904" spans="1:100">
      <c r="A59904" s="374"/>
      <c r="C59904" s="374"/>
      <c r="CV59904" s="376"/>
    </row>
    <row r="59905" spans="1:100">
      <c r="A59905" s="374"/>
      <c r="C59905" s="374"/>
      <c r="CV59905" s="376"/>
    </row>
    <row r="59906" spans="1:100">
      <c r="A59906" s="374"/>
      <c r="C59906" s="374"/>
      <c r="CV59906" s="376"/>
    </row>
    <row r="59907" spans="1:100">
      <c r="A59907" s="374"/>
      <c r="C59907" s="374"/>
      <c r="CV59907" s="376"/>
    </row>
    <row r="59908" spans="1:100">
      <c r="A59908" s="374"/>
      <c r="C59908" s="374"/>
      <c r="CV59908" s="376"/>
    </row>
    <row r="59909" spans="1:100">
      <c r="A59909" s="374"/>
      <c r="C59909" s="374"/>
      <c r="CV59909" s="376"/>
    </row>
    <row r="59910" spans="1:100">
      <c r="A59910" s="374"/>
      <c r="C59910" s="374"/>
      <c r="CV59910" s="376"/>
    </row>
    <row r="59911" spans="1:100">
      <c r="A59911" s="374"/>
      <c r="C59911" s="374"/>
      <c r="CV59911" s="376"/>
    </row>
    <row r="59912" spans="1:100">
      <c r="A59912" s="374"/>
      <c r="C59912" s="374"/>
      <c r="CV59912" s="376"/>
    </row>
    <row r="59913" spans="1:100">
      <c r="A59913" s="374"/>
      <c r="C59913" s="374"/>
      <c r="CV59913" s="376"/>
    </row>
    <row r="59914" spans="1:100">
      <c r="A59914" s="374"/>
      <c r="C59914" s="374"/>
      <c r="CV59914" s="376"/>
    </row>
    <row r="59915" spans="1:100">
      <c r="A59915" s="374"/>
      <c r="C59915" s="374"/>
      <c r="CV59915" s="376"/>
    </row>
    <row r="59916" spans="1:100">
      <c r="A59916" s="374"/>
      <c r="C59916" s="374"/>
      <c r="CV59916" s="376"/>
    </row>
    <row r="59917" spans="1:100">
      <c r="A59917" s="374"/>
      <c r="C59917" s="374"/>
      <c r="CV59917" s="376"/>
    </row>
    <row r="59918" spans="1:100">
      <c r="A59918" s="374"/>
      <c r="C59918" s="374"/>
      <c r="CV59918" s="376"/>
    </row>
    <row r="59919" spans="1:100">
      <c r="A59919" s="374"/>
      <c r="C59919" s="374"/>
      <c r="CV59919" s="376"/>
    </row>
    <row r="59920" spans="1:100">
      <c r="A59920" s="374"/>
      <c r="C59920" s="374"/>
      <c r="CV59920" s="376"/>
    </row>
    <row r="59921" spans="1:100">
      <c r="A59921" s="374"/>
      <c r="C59921" s="374"/>
      <c r="CV59921" s="376"/>
    </row>
    <row r="59922" spans="1:100">
      <c r="A59922" s="374"/>
      <c r="C59922" s="374"/>
      <c r="CV59922" s="376"/>
    </row>
    <row r="59923" spans="1:100">
      <c r="A59923" s="374"/>
      <c r="C59923" s="374"/>
      <c r="CV59923" s="376"/>
    </row>
    <row r="59924" spans="1:100">
      <c r="A59924" s="374"/>
      <c r="C59924" s="374"/>
      <c r="CV59924" s="376"/>
    </row>
    <row r="59925" spans="1:100">
      <c r="A59925" s="374"/>
      <c r="C59925" s="374"/>
      <c r="CV59925" s="376"/>
    </row>
    <row r="59926" spans="1:100">
      <c r="A59926" s="374"/>
      <c r="C59926" s="374"/>
      <c r="CV59926" s="376"/>
    </row>
    <row r="59927" spans="1:100">
      <c r="A59927" s="374"/>
      <c r="C59927" s="374"/>
      <c r="CV59927" s="376"/>
    </row>
    <row r="59928" spans="1:100">
      <c r="A59928" s="374"/>
      <c r="C59928" s="374"/>
      <c r="CV59928" s="376"/>
    </row>
    <row r="59929" spans="1:100">
      <c r="A59929" s="374"/>
      <c r="C59929" s="374"/>
      <c r="CV59929" s="376"/>
    </row>
    <row r="59930" spans="1:100">
      <c r="A59930" s="374"/>
      <c r="C59930" s="374"/>
      <c r="CV59930" s="376"/>
    </row>
    <row r="59931" spans="1:100">
      <c r="A59931" s="374"/>
      <c r="C59931" s="374"/>
      <c r="CV59931" s="376"/>
    </row>
    <row r="59932" spans="1:100">
      <c r="A59932" s="374"/>
      <c r="C59932" s="374"/>
      <c r="CV59932" s="376"/>
    </row>
    <row r="59933" spans="1:100">
      <c r="A59933" s="374"/>
      <c r="C59933" s="374"/>
      <c r="CV59933" s="376"/>
    </row>
    <row r="59934" spans="1:100">
      <c r="A59934" s="374"/>
      <c r="C59934" s="374"/>
      <c r="CV59934" s="376"/>
    </row>
    <row r="59935" spans="1:100">
      <c r="A59935" s="374"/>
      <c r="C59935" s="374"/>
      <c r="CV59935" s="376"/>
    </row>
    <row r="59936" spans="1:100">
      <c r="A59936" s="374"/>
      <c r="C59936" s="374"/>
      <c r="CV59936" s="376"/>
    </row>
    <row r="59937" spans="1:100">
      <c r="A59937" s="374"/>
      <c r="C59937" s="374"/>
      <c r="CV59937" s="376"/>
    </row>
    <row r="59938" spans="1:100">
      <c r="A59938" s="374"/>
      <c r="C59938" s="374"/>
      <c r="CV59938" s="376"/>
    </row>
    <row r="59939" spans="1:100">
      <c r="A59939" s="374"/>
      <c r="C59939" s="374"/>
      <c r="CV59939" s="376"/>
    </row>
    <row r="59940" spans="1:100">
      <c r="A59940" s="374"/>
      <c r="C59940" s="374"/>
      <c r="CV59940" s="376"/>
    </row>
    <row r="59941" spans="1:100">
      <c r="A59941" s="374"/>
      <c r="C59941" s="374"/>
      <c r="CV59941" s="376"/>
    </row>
    <row r="59942" spans="1:100">
      <c r="A59942" s="374"/>
      <c r="C59942" s="374"/>
      <c r="CV59942" s="376"/>
    </row>
    <row r="59943" spans="1:100">
      <c r="A59943" s="374"/>
      <c r="C59943" s="374"/>
      <c r="CV59943" s="376"/>
    </row>
    <row r="59944" spans="1:100">
      <c r="A59944" s="374"/>
      <c r="C59944" s="374"/>
      <c r="CV59944" s="376"/>
    </row>
    <row r="59945" spans="1:100">
      <c r="A59945" s="374"/>
      <c r="C59945" s="374"/>
      <c r="CV59945" s="376"/>
    </row>
    <row r="59946" spans="1:100">
      <c r="A59946" s="374"/>
      <c r="C59946" s="374"/>
      <c r="CV59946" s="376"/>
    </row>
    <row r="59947" spans="1:100">
      <c r="A59947" s="374"/>
      <c r="C59947" s="374"/>
      <c r="CV59947" s="376"/>
    </row>
    <row r="59948" spans="1:100">
      <c r="A59948" s="374"/>
      <c r="C59948" s="374"/>
      <c r="CV59948" s="376"/>
    </row>
    <row r="59949" spans="1:100">
      <c r="A59949" s="374"/>
      <c r="C59949" s="374"/>
      <c r="CV59949" s="376"/>
    </row>
    <row r="59950" spans="1:100">
      <c r="A59950" s="374"/>
      <c r="C59950" s="374"/>
      <c r="CV59950" s="376"/>
    </row>
    <row r="59951" spans="1:100">
      <c r="A59951" s="374"/>
      <c r="C59951" s="374"/>
      <c r="CV59951" s="376"/>
    </row>
    <row r="59952" spans="1:100">
      <c r="A59952" s="374"/>
      <c r="C59952" s="374"/>
      <c r="CV59952" s="376"/>
    </row>
    <row r="59953" spans="1:100">
      <c r="A59953" s="374"/>
      <c r="C59953" s="374"/>
      <c r="CV59953" s="376"/>
    </row>
    <row r="59954" spans="1:100">
      <c r="A59954" s="374"/>
      <c r="C59954" s="374"/>
      <c r="CV59954" s="376"/>
    </row>
    <row r="59955" spans="1:100">
      <c r="A59955" s="374"/>
      <c r="C59955" s="374"/>
      <c r="CV59955" s="376"/>
    </row>
    <row r="59956" spans="1:100">
      <c r="A59956" s="374"/>
      <c r="C59956" s="374"/>
      <c r="CV59956" s="376"/>
    </row>
    <row r="59957" spans="1:100">
      <c r="A59957" s="374"/>
      <c r="C59957" s="374"/>
      <c r="CV59957" s="376"/>
    </row>
    <row r="59958" spans="1:100">
      <c r="A59958" s="374"/>
      <c r="C59958" s="374"/>
      <c r="CV59958" s="376"/>
    </row>
    <row r="59959" spans="1:100">
      <c r="A59959" s="374"/>
      <c r="C59959" s="374"/>
      <c r="CV59959" s="376"/>
    </row>
    <row r="59960" spans="1:100">
      <c r="A59960" s="374"/>
      <c r="C59960" s="374"/>
      <c r="CV59960" s="376"/>
    </row>
    <row r="59961" spans="1:100">
      <c r="A59961" s="374"/>
      <c r="C59961" s="374"/>
      <c r="CV59961" s="376"/>
    </row>
    <row r="59962" spans="1:100">
      <c r="A59962" s="374"/>
      <c r="C59962" s="374"/>
      <c r="CV59962" s="376"/>
    </row>
    <row r="59963" spans="1:100">
      <c r="A59963" s="374"/>
      <c r="C59963" s="374"/>
      <c r="CV59963" s="376"/>
    </row>
    <row r="59964" spans="1:100">
      <c r="A59964" s="374"/>
      <c r="C59964" s="374"/>
      <c r="CV59964" s="376"/>
    </row>
    <row r="59965" spans="1:100">
      <c r="A59965" s="374"/>
      <c r="C59965" s="374"/>
      <c r="CV59965" s="376"/>
    </row>
    <row r="59966" spans="1:100">
      <c r="A59966" s="374"/>
      <c r="C59966" s="374"/>
      <c r="CV59966" s="376"/>
    </row>
    <row r="59967" spans="1:100">
      <c r="A59967" s="374"/>
      <c r="C59967" s="374"/>
      <c r="CV59967" s="376"/>
    </row>
    <row r="59968" spans="1:100">
      <c r="A59968" s="374"/>
      <c r="C59968" s="374"/>
      <c r="CV59968" s="376"/>
    </row>
    <row r="59969" spans="1:100">
      <c r="A59969" s="374"/>
      <c r="C59969" s="374"/>
      <c r="CV59969" s="376"/>
    </row>
    <row r="59970" spans="1:100">
      <c r="A59970" s="374"/>
      <c r="C59970" s="374"/>
      <c r="CV59970" s="376"/>
    </row>
    <row r="59971" spans="1:100">
      <c r="A59971" s="374"/>
      <c r="C59971" s="374"/>
      <c r="CV59971" s="376"/>
    </row>
    <row r="59972" spans="1:100">
      <c r="A59972" s="374"/>
      <c r="C59972" s="374"/>
      <c r="CV59972" s="376"/>
    </row>
    <row r="59973" spans="1:100">
      <c r="A59973" s="374"/>
      <c r="C59973" s="374"/>
      <c r="CV59973" s="376"/>
    </row>
    <row r="59974" spans="1:100">
      <c r="A59974" s="374"/>
      <c r="C59974" s="374"/>
      <c r="CV59974" s="376"/>
    </row>
    <row r="59975" spans="1:100">
      <c r="A59975" s="374"/>
      <c r="C59975" s="374"/>
      <c r="CV59975" s="376"/>
    </row>
    <row r="59976" spans="1:100">
      <c r="A59976" s="374"/>
      <c r="C59976" s="374"/>
      <c r="CV59976" s="376"/>
    </row>
    <row r="59977" spans="1:100">
      <c r="A59977" s="374"/>
      <c r="C59977" s="374"/>
      <c r="CV59977" s="376"/>
    </row>
    <row r="59978" spans="1:100">
      <c r="A59978" s="374"/>
      <c r="C59978" s="374"/>
      <c r="CV59978" s="376"/>
    </row>
    <row r="59979" spans="1:100">
      <c r="A59979" s="374"/>
      <c r="C59979" s="374"/>
      <c r="CV59979" s="376"/>
    </row>
    <row r="59980" spans="1:100">
      <c r="A59980" s="374"/>
      <c r="C59980" s="374"/>
      <c r="CV59980" s="376"/>
    </row>
    <row r="59981" spans="1:100">
      <c r="A59981" s="374"/>
      <c r="C59981" s="374"/>
      <c r="CV59981" s="376"/>
    </row>
    <row r="59982" spans="1:100">
      <c r="A59982" s="374"/>
      <c r="C59982" s="374"/>
      <c r="CV59982" s="376"/>
    </row>
    <row r="59983" spans="1:100">
      <c r="A59983" s="374"/>
      <c r="C59983" s="374"/>
      <c r="CV59983" s="376"/>
    </row>
    <row r="59984" spans="1:100">
      <c r="A59984" s="374"/>
      <c r="C59984" s="374"/>
      <c r="CV59984" s="376"/>
    </row>
    <row r="59985" spans="1:100">
      <c r="A59985" s="374"/>
      <c r="C59985" s="374"/>
      <c r="CV59985" s="376"/>
    </row>
    <row r="59986" spans="1:100">
      <c r="A59986" s="374"/>
      <c r="C59986" s="374"/>
      <c r="CV59986" s="376"/>
    </row>
    <row r="59987" spans="1:100">
      <c r="A59987" s="374"/>
      <c r="C59987" s="374"/>
      <c r="CV59987" s="376"/>
    </row>
    <row r="59988" spans="1:100">
      <c r="A59988" s="374"/>
      <c r="C59988" s="374"/>
      <c r="CV59988" s="376"/>
    </row>
    <row r="59989" spans="1:100">
      <c r="A59989" s="374"/>
      <c r="C59989" s="374"/>
      <c r="CV59989" s="376"/>
    </row>
    <row r="59990" spans="1:100">
      <c r="A59990" s="374"/>
      <c r="C59990" s="374"/>
      <c r="CV59990" s="376"/>
    </row>
    <row r="59991" spans="1:100">
      <c r="A59991" s="374"/>
      <c r="C59991" s="374"/>
      <c r="CV59991" s="376"/>
    </row>
    <row r="59992" spans="1:100">
      <c r="A59992" s="374"/>
      <c r="C59992" s="374"/>
      <c r="CV59992" s="376"/>
    </row>
    <row r="59993" spans="1:100">
      <c r="A59993" s="374"/>
      <c r="C59993" s="374"/>
      <c r="CV59993" s="376"/>
    </row>
    <row r="59994" spans="1:100">
      <c r="A59994" s="374"/>
      <c r="C59994" s="374"/>
      <c r="CV59994" s="376"/>
    </row>
    <row r="59995" spans="1:100">
      <c r="A59995" s="374"/>
      <c r="C59995" s="374"/>
      <c r="CV59995" s="376"/>
    </row>
    <row r="59996" spans="1:100">
      <c r="A59996" s="374"/>
      <c r="C59996" s="374"/>
      <c r="CV59996" s="376"/>
    </row>
    <row r="59997" spans="1:100">
      <c r="A59997" s="374"/>
      <c r="C59997" s="374"/>
      <c r="CV59997" s="376"/>
    </row>
    <row r="59998" spans="1:100">
      <c r="A59998" s="374"/>
      <c r="C59998" s="374"/>
      <c r="CV59998" s="376"/>
    </row>
    <row r="59999" spans="1:100">
      <c r="A59999" s="374"/>
      <c r="C59999" s="374"/>
      <c r="CV59999" s="376"/>
    </row>
    <row r="60000" spans="1:100">
      <c r="A60000" s="374"/>
      <c r="C60000" s="374"/>
      <c r="CV60000" s="376"/>
    </row>
    <row r="60001" spans="1:100">
      <c r="A60001" s="374"/>
      <c r="C60001" s="374"/>
      <c r="CV60001" s="376"/>
    </row>
    <row r="60002" spans="1:100">
      <c r="A60002" s="374"/>
      <c r="C60002" s="374"/>
      <c r="CV60002" s="376"/>
    </row>
    <row r="60003" spans="1:100">
      <c r="A60003" s="374"/>
      <c r="C60003" s="374"/>
      <c r="CV60003" s="376"/>
    </row>
    <row r="60004" spans="1:100">
      <c r="A60004" s="374"/>
      <c r="C60004" s="374"/>
      <c r="CV60004" s="376"/>
    </row>
    <row r="60005" spans="1:100">
      <c r="A60005" s="374"/>
      <c r="C60005" s="374"/>
      <c r="CV60005" s="376"/>
    </row>
    <row r="60006" spans="1:100">
      <c r="A60006" s="374"/>
      <c r="C60006" s="374"/>
      <c r="CV60006" s="376"/>
    </row>
    <row r="60007" spans="1:100">
      <c r="A60007" s="374"/>
      <c r="C60007" s="374"/>
      <c r="CV60007" s="376"/>
    </row>
    <row r="60008" spans="1:100">
      <c r="A60008" s="374"/>
      <c r="C60008" s="374"/>
      <c r="CV60008" s="376"/>
    </row>
    <row r="60009" spans="1:100">
      <c r="A60009" s="374"/>
      <c r="C60009" s="374"/>
      <c r="CV60009" s="376"/>
    </row>
    <row r="60010" spans="1:100">
      <c r="A60010" s="374"/>
      <c r="C60010" s="374"/>
      <c r="CV60010" s="376"/>
    </row>
    <row r="60011" spans="1:100">
      <c r="A60011" s="374"/>
      <c r="C60011" s="374"/>
      <c r="CV60011" s="376"/>
    </row>
    <row r="60012" spans="1:100">
      <c r="A60012" s="374"/>
      <c r="C60012" s="374"/>
      <c r="CV60012" s="376"/>
    </row>
    <row r="60013" spans="1:100">
      <c r="A60013" s="374"/>
      <c r="C60013" s="374"/>
      <c r="CV60013" s="376"/>
    </row>
    <row r="60014" spans="1:100">
      <c r="A60014" s="374"/>
      <c r="C60014" s="374"/>
      <c r="CV60014" s="376"/>
    </row>
    <row r="60015" spans="1:100">
      <c r="A60015" s="374"/>
      <c r="C60015" s="374"/>
      <c r="CV60015" s="376"/>
    </row>
    <row r="60016" spans="1:100">
      <c r="A60016" s="374"/>
      <c r="C60016" s="374"/>
      <c r="CV60016" s="376"/>
    </row>
    <row r="60017" spans="1:100">
      <c r="A60017" s="374"/>
      <c r="C60017" s="374"/>
      <c r="CV60017" s="376"/>
    </row>
    <row r="60018" spans="1:100">
      <c r="A60018" s="374"/>
      <c r="C60018" s="374"/>
      <c r="CV60018" s="376"/>
    </row>
    <row r="60019" spans="1:100">
      <c r="A60019" s="374"/>
      <c r="C60019" s="374"/>
      <c r="CV60019" s="376"/>
    </row>
    <row r="60020" spans="1:100">
      <c r="A60020" s="374"/>
      <c r="C60020" s="374"/>
      <c r="CV60020" s="376"/>
    </row>
    <row r="60021" spans="1:100">
      <c r="A60021" s="374"/>
      <c r="C60021" s="374"/>
      <c r="CV60021" s="376"/>
    </row>
    <row r="60022" spans="1:100">
      <c r="A60022" s="374"/>
      <c r="C60022" s="374"/>
      <c r="CV60022" s="376"/>
    </row>
    <row r="60023" spans="1:100">
      <c r="A60023" s="374"/>
      <c r="C60023" s="374"/>
      <c r="CV60023" s="376"/>
    </row>
    <row r="60024" spans="1:100">
      <c r="A60024" s="374"/>
      <c r="C60024" s="374"/>
      <c r="CV60024" s="376"/>
    </row>
    <row r="60025" spans="1:100">
      <c r="A60025" s="374"/>
      <c r="C60025" s="374"/>
      <c r="CV60025" s="376"/>
    </row>
    <row r="60026" spans="1:100">
      <c r="A60026" s="374"/>
      <c r="C60026" s="374"/>
      <c r="CV60026" s="376"/>
    </row>
    <row r="60027" spans="1:100">
      <c r="A60027" s="374"/>
      <c r="C60027" s="374"/>
      <c r="CV60027" s="376"/>
    </row>
    <row r="60028" spans="1:100">
      <c r="A60028" s="374"/>
      <c r="C60028" s="374"/>
      <c r="CV60028" s="376"/>
    </row>
    <row r="60029" spans="1:100">
      <c r="A60029" s="374"/>
      <c r="C60029" s="374"/>
      <c r="CV60029" s="376"/>
    </row>
    <row r="60030" spans="1:100">
      <c r="A60030" s="374"/>
      <c r="C60030" s="374"/>
      <c r="CV60030" s="376"/>
    </row>
    <row r="60031" spans="1:100">
      <c r="A60031" s="374"/>
      <c r="C60031" s="374"/>
      <c r="CV60031" s="376"/>
    </row>
    <row r="60032" spans="1:100">
      <c r="A60032" s="374"/>
      <c r="C60032" s="374"/>
      <c r="CV60032" s="376"/>
    </row>
    <row r="60033" spans="1:100">
      <c r="A60033" s="374"/>
      <c r="C60033" s="374"/>
      <c r="CV60033" s="376"/>
    </row>
    <row r="60034" spans="1:100">
      <c r="A60034" s="374"/>
      <c r="C60034" s="374"/>
      <c r="CV60034" s="376"/>
    </row>
    <row r="60035" spans="1:100">
      <c r="A60035" s="374"/>
      <c r="C60035" s="374"/>
      <c r="CV60035" s="376"/>
    </row>
    <row r="60036" spans="1:100">
      <c r="A60036" s="374"/>
      <c r="C60036" s="374"/>
      <c r="CV60036" s="376"/>
    </row>
    <row r="60037" spans="1:100">
      <c r="A60037" s="374"/>
      <c r="C60037" s="374"/>
      <c r="CV60037" s="376"/>
    </row>
    <row r="60038" spans="1:100">
      <c r="A60038" s="374"/>
      <c r="C60038" s="374"/>
      <c r="CV60038" s="376"/>
    </row>
    <row r="60039" spans="1:100">
      <c r="A60039" s="374"/>
      <c r="C60039" s="374"/>
      <c r="CV60039" s="376"/>
    </row>
    <row r="60040" spans="1:100">
      <c r="A60040" s="374"/>
      <c r="C60040" s="374"/>
      <c r="CV60040" s="376"/>
    </row>
    <row r="60041" spans="1:100">
      <c r="A60041" s="374"/>
      <c r="C60041" s="374"/>
      <c r="CV60041" s="376"/>
    </row>
    <row r="60042" spans="1:100">
      <c r="A60042" s="374"/>
      <c r="C60042" s="374"/>
      <c r="CV60042" s="376"/>
    </row>
    <row r="60043" spans="1:100">
      <c r="A60043" s="374"/>
      <c r="C60043" s="374"/>
      <c r="CV60043" s="376"/>
    </row>
    <row r="60044" spans="1:100">
      <c r="A60044" s="374"/>
      <c r="C60044" s="374"/>
      <c r="CV60044" s="376"/>
    </row>
    <row r="60045" spans="1:100">
      <c r="A60045" s="374"/>
      <c r="C60045" s="374"/>
      <c r="CV60045" s="376"/>
    </row>
    <row r="60046" spans="1:100">
      <c r="A60046" s="374"/>
      <c r="C60046" s="374"/>
      <c r="CV60046" s="376"/>
    </row>
    <row r="60047" spans="1:100">
      <c r="A60047" s="374"/>
      <c r="C60047" s="374"/>
      <c r="CV60047" s="376"/>
    </row>
    <row r="60048" spans="1:100">
      <c r="A60048" s="374"/>
      <c r="C60048" s="374"/>
      <c r="CV60048" s="376"/>
    </row>
    <row r="60049" spans="1:100">
      <c r="A60049" s="374"/>
      <c r="C60049" s="374"/>
      <c r="CV60049" s="376"/>
    </row>
    <row r="60050" spans="1:100">
      <c r="A60050" s="374"/>
      <c r="C60050" s="374"/>
      <c r="CV60050" s="376"/>
    </row>
    <row r="60051" spans="1:100">
      <c r="A60051" s="374"/>
      <c r="C60051" s="374"/>
      <c r="CV60051" s="376"/>
    </row>
    <row r="60052" spans="1:100">
      <c r="A60052" s="374"/>
      <c r="C60052" s="374"/>
      <c r="CV60052" s="376"/>
    </row>
    <row r="60053" spans="1:100">
      <c r="A60053" s="374"/>
      <c r="C60053" s="374"/>
      <c r="CV60053" s="376"/>
    </row>
    <row r="60054" spans="1:100">
      <c r="A60054" s="374"/>
      <c r="C60054" s="374"/>
      <c r="CV60054" s="376"/>
    </row>
    <row r="60055" spans="1:100">
      <c r="A60055" s="374"/>
      <c r="C60055" s="374"/>
      <c r="CV60055" s="376"/>
    </row>
    <row r="60056" spans="1:100">
      <c r="A60056" s="374"/>
      <c r="C60056" s="374"/>
      <c r="CV60056" s="376"/>
    </row>
    <row r="60057" spans="1:100">
      <c r="A60057" s="374"/>
      <c r="C60057" s="374"/>
      <c r="CV60057" s="376"/>
    </row>
    <row r="60058" spans="1:100">
      <c r="A60058" s="374"/>
      <c r="C60058" s="374"/>
      <c r="CV60058" s="376"/>
    </row>
    <row r="60059" spans="1:100">
      <c r="A60059" s="374"/>
      <c r="C60059" s="374"/>
      <c r="CV60059" s="376"/>
    </row>
    <row r="60060" spans="1:100">
      <c r="A60060" s="374"/>
      <c r="C60060" s="374"/>
      <c r="CV60060" s="376"/>
    </row>
    <row r="60061" spans="1:100">
      <c r="A60061" s="374"/>
      <c r="C60061" s="374"/>
      <c r="CV60061" s="376"/>
    </row>
    <row r="60062" spans="1:100">
      <c r="A60062" s="374"/>
      <c r="C60062" s="374"/>
      <c r="CV60062" s="376"/>
    </row>
    <row r="60063" spans="1:100">
      <c r="A60063" s="374"/>
      <c r="C60063" s="374"/>
      <c r="CV60063" s="376"/>
    </row>
    <row r="60064" spans="1:100">
      <c r="A60064" s="374"/>
      <c r="C60064" s="374"/>
      <c r="CV60064" s="376"/>
    </row>
    <row r="60065" spans="1:100">
      <c r="A60065" s="374"/>
      <c r="C60065" s="374"/>
      <c r="CV60065" s="376"/>
    </row>
    <row r="60066" spans="1:100">
      <c r="A60066" s="374"/>
      <c r="C60066" s="374"/>
      <c r="CV60066" s="376"/>
    </row>
    <row r="60067" spans="1:100">
      <c r="A60067" s="374"/>
      <c r="C60067" s="374"/>
      <c r="CV60067" s="376"/>
    </row>
    <row r="60068" spans="1:100">
      <c r="A60068" s="374"/>
      <c r="C60068" s="374"/>
      <c r="CV60068" s="376"/>
    </row>
    <row r="60069" spans="1:100">
      <c r="A60069" s="374"/>
      <c r="C60069" s="374"/>
      <c r="CV60069" s="376"/>
    </row>
    <row r="60070" spans="1:100">
      <c r="A60070" s="374"/>
      <c r="C60070" s="374"/>
      <c r="CV60070" s="376"/>
    </row>
    <row r="60071" spans="1:100">
      <c r="A60071" s="374"/>
      <c r="C60071" s="374"/>
      <c r="CV60071" s="376"/>
    </row>
    <row r="60072" spans="1:100">
      <c r="A60072" s="374"/>
      <c r="C60072" s="374"/>
      <c r="CV60072" s="376"/>
    </row>
    <row r="60073" spans="1:100">
      <c r="A60073" s="374"/>
      <c r="C60073" s="374"/>
      <c r="CV60073" s="376"/>
    </row>
    <row r="60074" spans="1:100">
      <c r="A60074" s="374"/>
      <c r="C60074" s="374"/>
      <c r="CV60074" s="376"/>
    </row>
    <row r="60075" spans="1:100">
      <c r="A60075" s="374"/>
      <c r="C60075" s="374"/>
      <c r="CV60075" s="376"/>
    </row>
    <row r="60076" spans="1:100">
      <c r="A60076" s="374"/>
      <c r="C60076" s="374"/>
      <c r="CV60076" s="376"/>
    </row>
    <row r="60077" spans="1:100">
      <c r="A60077" s="374"/>
      <c r="C60077" s="374"/>
      <c r="CV60077" s="376"/>
    </row>
    <row r="60078" spans="1:100">
      <c r="A60078" s="374"/>
      <c r="C60078" s="374"/>
      <c r="CV60078" s="376"/>
    </row>
    <row r="60079" spans="1:100">
      <c r="A60079" s="374"/>
      <c r="C60079" s="374"/>
      <c r="CV60079" s="376"/>
    </row>
    <row r="60080" spans="1:100">
      <c r="A60080" s="374"/>
      <c r="C60080" s="374"/>
      <c r="CV60080" s="376"/>
    </row>
    <row r="60081" spans="1:100">
      <c r="A60081" s="374"/>
      <c r="C60081" s="374"/>
      <c r="CV60081" s="376"/>
    </row>
    <row r="60082" spans="1:100">
      <c r="A60082" s="374"/>
      <c r="C60082" s="374"/>
      <c r="CV60082" s="376"/>
    </row>
    <row r="60083" spans="1:100">
      <c r="A60083" s="374"/>
      <c r="C60083" s="374"/>
      <c r="CV60083" s="376"/>
    </row>
    <row r="60084" spans="1:100">
      <c r="A60084" s="374"/>
      <c r="C60084" s="374"/>
      <c r="CV60084" s="376"/>
    </row>
    <row r="60085" spans="1:100">
      <c r="A60085" s="374"/>
      <c r="C60085" s="374"/>
      <c r="CV60085" s="376"/>
    </row>
    <row r="60086" spans="1:100">
      <c r="A60086" s="374"/>
      <c r="C60086" s="374"/>
      <c r="CV60086" s="376"/>
    </row>
    <row r="60087" spans="1:100">
      <c r="A60087" s="374"/>
      <c r="C60087" s="374"/>
      <c r="CV60087" s="376"/>
    </row>
    <row r="60088" spans="1:100">
      <c r="A60088" s="374"/>
      <c r="C60088" s="374"/>
      <c r="CV60088" s="376"/>
    </row>
    <row r="60089" spans="1:100">
      <c r="A60089" s="374"/>
      <c r="C60089" s="374"/>
      <c r="CV60089" s="376"/>
    </row>
    <row r="60090" spans="1:100">
      <c r="A60090" s="374"/>
      <c r="C60090" s="374"/>
      <c r="CV60090" s="376"/>
    </row>
    <row r="60091" spans="1:100">
      <c r="A60091" s="374"/>
      <c r="C60091" s="374"/>
      <c r="CV60091" s="376"/>
    </row>
    <row r="60092" spans="1:100">
      <c r="A60092" s="374"/>
      <c r="C60092" s="374"/>
      <c r="CV60092" s="376"/>
    </row>
    <row r="60093" spans="1:100">
      <c r="A60093" s="374"/>
      <c r="C60093" s="374"/>
      <c r="CV60093" s="376"/>
    </row>
    <row r="60094" spans="1:100">
      <c r="A60094" s="374"/>
      <c r="C60094" s="374"/>
      <c r="CV60094" s="376"/>
    </row>
    <row r="60095" spans="1:100">
      <c r="A60095" s="374"/>
      <c r="C60095" s="374"/>
      <c r="CV60095" s="376"/>
    </row>
    <row r="60096" spans="1:100">
      <c r="A60096" s="374"/>
      <c r="C60096" s="374"/>
      <c r="CV60096" s="376"/>
    </row>
    <row r="60097" spans="1:100">
      <c r="A60097" s="374"/>
      <c r="C60097" s="374"/>
      <c r="CV60097" s="376"/>
    </row>
    <row r="60098" spans="1:100">
      <c r="A60098" s="374"/>
      <c r="C60098" s="374"/>
      <c r="CV60098" s="376"/>
    </row>
    <row r="60099" spans="1:100">
      <c r="A60099" s="374"/>
      <c r="C60099" s="374"/>
      <c r="CV60099" s="376"/>
    </row>
    <row r="60100" spans="1:100">
      <c r="A60100" s="374"/>
      <c r="C60100" s="374"/>
      <c r="CV60100" s="376"/>
    </row>
    <row r="60101" spans="1:100">
      <c r="A60101" s="374"/>
      <c r="C60101" s="374"/>
      <c r="CV60101" s="376"/>
    </row>
    <row r="60102" spans="1:100">
      <c r="A60102" s="374"/>
      <c r="C60102" s="374"/>
      <c r="CV60102" s="376"/>
    </row>
    <row r="60103" spans="1:100">
      <c r="A60103" s="374"/>
      <c r="C60103" s="374"/>
      <c r="CV60103" s="376"/>
    </row>
    <row r="60104" spans="1:100">
      <c r="A60104" s="374"/>
      <c r="C60104" s="374"/>
      <c r="CV60104" s="376"/>
    </row>
    <row r="60105" spans="1:100">
      <c r="A60105" s="374"/>
      <c r="C60105" s="374"/>
      <c r="CV60105" s="376"/>
    </row>
    <row r="60106" spans="1:100">
      <c r="A60106" s="374"/>
      <c r="C60106" s="374"/>
      <c r="CV60106" s="376"/>
    </row>
    <row r="60107" spans="1:100">
      <c r="A60107" s="374"/>
      <c r="C60107" s="374"/>
      <c r="CV60107" s="376"/>
    </row>
    <row r="60108" spans="1:100">
      <c r="A60108" s="374"/>
      <c r="C60108" s="374"/>
      <c r="CV60108" s="376"/>
    </row>
    <row r="60109" spans="1:100">
      <c r="A60109" s="374"/>
      <c r="C60109" s="374"/>
      <c r="CV60109" s="376"/>
    </row>
    <row r="60110" spans="1:100">
      <c r="A60110" s="374"/>
      <c r="C60110" s="374"/>
      <c r="CV60110" s="376"/>
    </row>
    <row r="60111" spans="1:100">
      <c r="A60111" s="374"/>
      <c r="C60111" s="374"/>
      <c r="CV60111" s="376"/>
    </row>
    <row r="60112" spans="1:100">
      <c r="A60112" s="374"/>
      <c r="C60112" s="374"/>
      <c r="CV60112" s="376"/>
    </row>
    <row r="60113" spans="1:100">
      <c r="A60113" s="374"/>
      <c r="C60113" s="374"/>
      <c r="CV60113" s="376"/>
    </row>
    <row r="60114" spans="1:100">
      <c r="A60114" s="374"/>
      <c r="C60114" s="374"/>
      <c r="CV60114" s="376"/>
    </row>
    <row r="60115" spans="1:100">
      <c r="A60115" s="374"/>
      <c r="C60115" s="374"/>
      <c r="CV60115" s="376"/>
    </row>
    <row r="60116" spans="1:100">
      <c r="A60116" s="374"/>
      <c r="C60116" s="374"/>
      <c r="CV60116" s="376"/>
    </row>
    <row r="60117" spans="1:100">
      <c r="A60117" s="374"/>
      <c r="C60117" s="374"/>
      <c r="CV60117" s="376"/>
    </row>
    <row r="60118" spans="1:100">
      <c r="A60118" s="374"/>
      <c r="C60118" s="374"/>
      <c r="CV60118" s="376"/>
    </row>
    <row r="60119" spans="1:100">
      <c r="A60119" s="374"/>
      <c r="C60119" s="374"/>
      <c r="CV60119" s="376"/>
    </row>
    <row r="60120" spans="1:100">
      <c r="A60120" s="374"/>
      <c r="C60120" s="374"/>
      <c r="CV60120" s="376"/>
    </row>
    <row r="60121" spans="1:100">
      <c r="A60121" s="374"/>
      <c r="C60121" s="374"/>
      <c r="CV60121" s="376"/>
    </row>
    <row r="60122" spans="1:100">
      <c r="A60122" s="374"/>
      <c r="C60122" s="374"/>
      <c r="CV60122" s="376"/>
    </row>
    <row r="60123" spans="1:100">
      <c r="A60123" s="374"/>
      <c r="C60123" s="374"/>
      <c r="CV60123" s="376"/>
    </row>
    <row r="60124" spans="1:100">
      <c r="A60124" s="374"/>
      <c r="C60124" s="374"/>
      <c r="CV60124" s="376"/>
    </row>
    <row r="60125" spans="1:100">
      <c r="A60125" s="374"/>
      <c r="C60125" s="374"/>
      <c r="CV60125" s="376"/>
    </row>
    <row r="60126" spans="1:100">
      <c r="A60126" s="374"/>
      <c r="C60126" s="374"/>
      <c r="CV60126" s="376"/>
    </row>
    <row r="60127" spans="1:100">
      <c r="A60127" s="374"/>
      <c r="C60127" s="374"/>
      <c r="CV60127" s="376"/>
    </row>
    <row r="60128" spans="1:100">
      <c r="A60128" s="374"/>
      <c r="C60128" s="374"/>
      <c r="CV60128" s="376"/>
    </row>
    <row r="60129" spans="1:100">
      <c r="A60129" s="374"/>
      <c r="C60129" s="374"/>
      <c r="CV60129" s="376"/>
    </row>
    <row r="60130" spans="1:100">
      <c r="A60130" s="374"/>
      <c r="C60130" s="374"/>
      <c r="CV60130" s="376"/>
    </row>
    <row r="60131" spans="1:100">
      <c r="A60131" s="374"/>
      <c r="C60131" s="374"/>
      <c r="CV60131" s="376"/>
    </row>
    <row r="60132" spans="1:100">
      <c r="A60132" s="374"/>
      <c r="C60132" s="374"/>
      <c r="CV60132" s="376"/>
    </row>
    <row r="60133" spans="1:100">
      <c r="A60133" s="374"/>
      <c r="C60133" s="374"/>
      <c r="CV60133" s="376"/>
    </row>
    <row r="60134" spans="1:100">
      <c r="A60134" s="374"/>
      <c r="C60134" s="374"/>
      <c r="CV60134" s="376"/>
    </row>
    <row r="60135" spans="1:100">
      <c r="A60135" s="374"/>
      <c r="C60135" s="374"/>
      <c r="CV60135" s="376"/>
    </row>
    <row r="60136" spans="1:100">
      <c r="A60136" s="374"/>
      <c r="C60136" s="374"/>
      <c r="CV60136" s="376"/>
    </row>
    <row r="60137" spans="1:100">
      <c r="A60137" s="374"/>
      <c r="C60137" s="374"/>
      <c r="CV60137" s="376"/>
    </row>
    <row r="60138" spans="1:100">
      <c r="A60138" s="374"/>
      <c r="C60138" s="374"/>
      <c r="CV60138" s="376"/>
    </row>
    <row r="60139" spans="1:100">
      <c r="A60139" s="374"/>
      <c r="C60139" s="374"/>
      <c r="CV60139" s="376"/>
    </row>
    <row r="60140" spans="1:100">
      <c r="A60140" s="374"/>
      <c r="C60140" s="374"/>
      <c r="CV60140" s="376"/>
    </row>
    <row r="60141" spans="1:100">
      <c r="A60141" s="374"/>
      <c r="C60141" s="374"/>
      <c r="CV60141" s="376"/>
    </row>
    <row r="60142" spans="1:100">
      <c r="A60142" s="374"/>
      <c r="C60142" s="374"/>
      <c r="CV60142" s="376"/>
    </row>
    <row r="60143" spans="1:100">
      <c r="A60143" s="374"/>
      <c r="C60143" s="374"/>
      <c r="CV60143" s="376"/>
    </row>
    <row r="60144" spans="1:100">
      <c r="A60144" s="374"/>
      <c r="C60144" s="374"/>
      <c r="CV60144" s="376"/>
    </row>
    <row r="60145" spans="1:100">
      <c r="A60145" s="374"/>
      <c r="C60145" s="374"/>
      <c r="CV60145" s="376"/>
    </row>
    <row r="60146" spans="1:100">
      <c r="A60146" s="374"/>
      <c r="C60146" s="374"/>
      <c r="CV60146" s="376"/>
    </row>
    <row r="60147" spans="1:100">
      <c r="A60147" s="374"/>
      <c r="C60147" s="374"/>
      <c r="CV60147" s="376"/>
    </row>
    <row r="60148" spans="1:100">
      <c r="A60148" s="374"/>
      <c r="C60148" s="374"/>
      <c r="CV60148" s="376"/>
    </row>
    <row r="60149" spans="1:100">
      <c r="A60149" s="374"/>
      <c r="C60149" s="374"/>
      <c r="CV60149" s="376"/>
    </row>
    <row r="60150" spans="1:100">
      <c r="A60150" s="374"/>
      <c r="C60150" s="374"/>
      <c r="CV60150" s="376"/>
    </row>
    <row r="60151" spans="1:100">
      <c r="A60151" s="374"/>
      <c r="C60151" s="374"/>
      <c r="CV60151" s="376"/>
    </row>
    <row r="60152" spans="1:100">
      <c r="A60152" s="374"/>
      <c r="C60152" s="374"/>
      <c r="CV60152" s="376"/>
    </row>
    <row r="60153" spans="1:100">
      <c r="A60153" s="374"/>
      <c r="C60153" s="374"/>
      <c r="CV60153" s="376"/>
    </row>
    <row r="60154" spans="1:100">
      <c r="A60154" s="374"/>
      <c r="C60154" s="374"/>
      <c r="CV60154" s="376"/>
    </row>
    <row r="60155" spans="1:100">
      <c r="A60155" s="374"/>
      <c r="C60155" s="374"/>
      <c r="CV60155" s="376"/>
    </row>
    <row r="60156" spans="1:100">
      <c r="A60156" s="374"/>
      <c r="C60156" s="374"/>
      <c r="CV60156" s="376"/>
    </row>
    <row r="60157" spans="1:100">
      <c r="A60157" s="374"/>
      <c r="C60157" s="374"/>
      <c r="CV60157" s="376"/>
    </row>
    <row r="60158" spans="1:100">
      <c r="A60158" s="374"/>
      <c r="C60158" s="374"/>
      <c r="CV60158" s="376"/>
    </row>
    <row r="60159" spans="1:100">
      <c r="A60159" s="374"/>
      <c r="C60159" s="374"/>
      <c r="CV60159" s="376"/>
    </row>
    <row r="60160" spans="1:100">
      <c r="A60160" s="374"/>
      <c r="C60160" s="374"/>
      <c r="CV60160" s="376"/>
    </row>
    <row r="60161" spans="1:100">
      <c r="A60161" s="374"/>
      <c r="C60161" s="374"/>
      <c r="CV60161" s="376"/>
    </row>
    <row r="60162" spans="1:100">
      <c r="A60162" s="374"/>
      <c r="C60162" s="374"/>
      <c r="CV60162" s="376"/>
    </row>
    <row r="60163" spans="1:100">
      <c r="A60163" s="374"/>
      <c r="C60163" s="374"/>
      <c r="CV60163" s="376"/>
    </row>
    <row r="60164" spans="1:100">
      <c r="A60164" s="374"/>
      <c r="C60164" s="374"/>
      <c r="CV60164" s="376"/>
    </row>
    <row r="60165" spans="1:100">
      <c r="A60165" s="374"/>
      <c r="C60165" s="374"/>
      <c r="CV60165" s="376"/>
    </row>
    <row r="60166" spans="1:100">
      <c r="A60166" s="374"/>
      <c r="C60166" s="374"/>
      <c r="CV60166" s="376"/>
    </row>
    <row r="60167" spans="1:100">
      <c r="A60167" s="374"/>
      <c r="C60167" s="374"/>
      <c r="CV60167" s="376"/>
    </row>
    <row r="60168" spans="1:100">
      <c r="A60168" s="374"/>
      <c r="C60168" s="374"/>
      <c r="CV60168" s="376"/>
    </row>
    <row r="60169" spans="1:100">
      <c r="A60169" s="374"/>
      <c r="C60169" s="374"/>
      <c r="CV60169" s="376"/>
    </row>
    <row r="60170" spans="1:100">
      <c r="A60170" s="374"/>
      <c r="C60170" s="374"/>
      <c r="CV60170" s="376"/>
    </row>
    <row r="60171" spans="1:100">
      <c r="A60171" s="374"/>
      <c r="C60171" s="374"/>
      <c r="CV60171" s="376"/>
    </row>
    <row r="60172" spans="1:100">
      <c r="A60172" s="374"/>
      <c r="C60172" s="374"/>
      <c r="CV60172" s="376"/>
    </row>
    <row r="60173" spans="1:100">
      <c r="A60173" s="374"/>
      <c r="C60173" s="374"/>
      <c r="CV60173" s="376"/>
    </row>
    <row r="60174" spans="1:100">
      <c r="A60174" s="374"/>
      <c r="C60174" s="374"/>
      <c r="CV60174" s="376"/>
    </row>
    <row r="60175" spans="1:100">
      <c r="A60175" s="374"/>
      <c r="C60175" s="374"/>
      <c r="CV60175" s="376"/>
    </row>
    <row r="60176" spans="1:100">
      <c r="A60176" s="374"/>
      <c r="C60176" s="374"/>
      <c r="CV60176" s="376"/>
    </row>
    <row r="60177" spans="1:100">
      <c r="A60177" s="374"/>
      <c r="C60177" s="374"/>
      <c r="CV60177" s="376"/>
    </row>
    <row r="60178" spans="1:100">
      <c r="A60178" s="374"/>
      <c r="C60178" s="374"/>
      <c r="CV60178" s="376"/>
    </row>
    <row r="60179" spans="1:100">
      <c r="A60179" s="374"/>
      <c r="C60179" s="374"/>
      <c r="CV60179" s="376"/>
    </row>
    <row r="60180" spans="1:100">
      <c r="A60180" s="374"/>
      <c r="C60180" s="374"/>
      <c r="CV60180" s="376"/>
    </row>
    <row r="60181" spans="1:100">
      <c r="A60181" s="374"/>
      <c r="C60181" s="374"/>
      <c r="CV60181" s="376"/>
    </row>
    <row r="60182" spans="1:100">
      <c r="A60182" s="374"/>
      <c r="C60182" s="374"/>
      <c r="CV60182" s="376"/>
    </row>
    <row r="60183" spans="1:100">
      <c r="A60183" s="374"/>
      <c r="C60183" s="374"/>
      <c r="CV60183" s="376"/>
    </row>
    <row r="60184" spans="1:100">
      <c r="A60184" s="374"/>
      <c r="C60184" s="374"/>
      <c r="CV60184" s="376"/>
    </row>
    <row r="60185" spans="1:100">
      <c r="A60185" s="374"/>
      <c r="C60185" s="374"/>
      <c r="CV60185" s="376"/>
    </row>
    <row r="60186" spans="1:100">
      <c r="A60186" s="374"/>
      <c r="C60186" s="374"/>
      <c r="CV60186" s="376"/>
    </row>
    <row r="60187" spans="1:100">
      <c r="A60187" s="374"/>
      <c r="C60187" s="374"/>
      <c r="CV60187" s="376"/>
    </row>
    <row r="60188" spans="1:100">
      <c r="A60188" s="374"/>
      <c r="C60188" s="374"/>
      <c r="CV60188" s="376"/>
    </row>
    <row r="60189" spans="1:100">
      <c r="A60189" s="374"/>
      <c r="C60189" s="374"/>
      <c r="CV60189" s="376"/>
    </row>
    <row r="60190" spans="1:100">
      <c r="A60190" s="374"/>
      <c r="C60190" s="374"/>
      <c r="CV60190" s="376"/>
    </row>
    <row r="60191" spans="1:100">
      <c r="A60191" s="374"/>
      <c r="C60191" s="374"/>
      <c r="CV60191" s="376"/>
    </row>
    <row r="60192" spans="1:100">
      <c r="A60192" s="374"/>
      <c r="C60192" s="374"/>
      <c r="CV60192" s="376"/>
    </row>
    <row r="60193" spans="1:100">
      <c r="A60193" s="374"/>
      <c r="C60193" s="374"/>
      <c r="CV60193" s="376"/>
    </row>
    <row r="60194" spans="1:100">
      <c r="A60194" s="374"/>
      <c r="C60194" s="374"/>
      <c r="CV60194" s="376"/>
    </row>
    <row r="60195" spans="1:100">
      <c r="A60195" s="374"/>
      <c r="C60195" s="374"/>
      <c r="CV60195" s="376"/>
    </row>
    <row r="60196" spans="1:100">
      <c r="A60196" s="374"/>
      <c r="C60196" s="374"/>
      <c r="CV60196" s="376"/>
    </row>
    <row r="60197" spans="1:100">
      <c r="A60197" s="374"/>
      <c r="C60197" s="374"/>
      <c r="CV60197" s="376"/>
    </row>
    <row r="60198" spans="1:100">
      <c r="A60198" s="374"/>
      <c r="C60198" s="374"/>
      <c r="CV60198" s="376"/>
    </row>
    <row r="60199" spans="1:100">
      <c r="A60199" s="374"/>
      <c r="C60199" s="374"/>
      <c r="CV60199" s="376"/>
    </row>
    <row r="60200" spans="1:100">
      <c r="A60200" s="374"/>
      <c r="C60200" s="374"/>
      <c r="CV60200" s="376"/>
    </row>
    <row r="60201" spans="1:100">
      <c r="A60201" s="374"/>
      <c r="C60201" s="374"/>
      <c r="CV60201" s="376"/>
    </row>
    <row r="60202" spans="1:100">
      <c r="A60202" s="374"/>
      <c r="C60202" s="374"/>
      <c r="CV60202" s="376"/>
    </row>
    <row r="60203" spans="1:100">
      <c r="A60203" s="374"/>
      <c r="C60203" s="374"/>
      <c r="CV60203" s="376"/>
    </row>
    <row r="60204" spans="1:100">
      <c r="A60204" s="374"/>
      <c r="C60204" s="374"/>
      <c r="CV60204" s="376"/>
    </row>
    <row r="60205" spans="1:100">
      <c r="A60205" s="374"/>
      <c r="C60205" s="374"/>
      <c r="CV60205" s="376"/>
    </row>
    <row r="60206" spans="1:100">
      <c r="A60206" s="374"/>
      <c r="C60206" s="374"/>
      <c r="CV60206" s="376"/>
    </row>
    <row r="60207" spans="1:100">
      <c r="A60207" s="374"/>
      <c r="C60207" s="374"/>
      <c r="CV60207" s="376"/>
    </row>
    <row r="60208" spans="1:100">
      <c r="A60208" s="374"/>
      <c r="C60208" s="374"/>
      <c r="CV60208" s="376"/>
    </row>
    <row r="60209" spans="1:100">
      <c r="A60209" s="374"/>
      <c r="C60209" s="374"/>
      <c r="CV60209" s="376"/>
    </row>
    <row r="60210" spans="1:100">
      <c r="A60210" s="374"/>
      <c r="C60210" s="374"/>
      <c r="CV60210" s="376"/>
    </row>
    <row r="60211" spans="1:100">
      <c r="A60211" s="374"/>
      <c r="C60211" s="374"/>
      <c r="CV60211" s="376"/>
    </row>
    <row r="60212" spans="1:100">
      <c r="A60212" s="374"/>
      <c r="C60212" s="374"/>
      <c r="CV60212" s="376"/>
    </row>
    <row r="60213" spans="1:100">
      <c r="A60213" s="374"/>
      <c r="C60213" s="374"/>
      <c r="CV60213" s="376"/>
    </row>
    <row r="60214" spans="1:100">
      <c r="A60214" s="374"/>
      <c r="C60214" s="374"/>
      <c r="CV60214" s="376"/>
    </row>
    <row r="60215" spans="1:100">
      <c r="A60215" s="374"/>
      <c r="C60215" s="374"/>
      <c r="CV60215" s="376"/>
    </row>
    <row r="60216" spans="1:100">
      <c r="A60216" s="374"/>
      <c r="C60216" s="374"/>
      <c r="CV60216" s="376"/>
    </row>
    <row r="60217" spans="1:100">
      <c r="A60217" s="374"/>
      <c r="C60217" s="374"/>
      <c r="CV60217" s="376"/>
    </row>
    <row r="60218" spans="1:100">
      <c r="A60218" s="374"/>
      <c r="C60218" s="374"/>
      <c r="CV60218" s="376"/>
    </row>
    <row r="60219" spans="1:100">
      <c r="A60219" s="374"/>
      <c r="C60219" s="374"/>
      <c r="CV60219" s="376"/>
    </row>
    <row r="60220" spans="1:100">
      <c r="A60220" s="374"/>
      <c r="C60220" s="374"/>
      <c r="CV60220" s="376"/>
    </row>
    <row r="60221" spans="1:100">
      <c r="A60221" s="374"/>
      <c r="C60221" s="374"/>
      <c r="CV60221" s="376"/>
    </row>
    <row r="60222" spans="1:100">
      <c r="A60222" s="374"/>
      <c r="C60222" s="374"/>
      <c r="CV60222" s="376"/>
    </row>
    <row r="60223" spans="1:100">
      <c r="A60223" s="374"/>
      <c r="C60223" s="374"/>
      <c r="CV60223" s="376"/>
    </row>
    <row r="60224" spans="1:100">
      <c r="A60224" s="374"/>
      <c r="C60224" s="374"/>
      <c r="CV60224" s="376"/>
    </row>
    <row r="60225" spans="1:100">
      <c r="A60225" s="374"/>
      <c r="C60225" s="374"/>
      <c r="CV60225" s="376"/>
    </row>
    <row r="60226" spans="1:100">
      <c r="A60226" s="374"/>
      <c r="C60226" s="374"/>
      <c r="CV60226" s="376"/>
    </row>
    <row r="60227" spans="1:100">
      <c r="A60227" s="374"/>
      <c r="C60227" s="374"/>
      <c r="CV60227" s="376"/>
    </row>
    <row r="60228" spans="1:100">
      <c r="A60228" s="374"/>
      <c r="C60228" s="374"/>
      <c r="CV60228" s="376"/>
    </row>
    <row r="60229" spans="1:100">
      <c r="A60229" s="374"/>
      <c r="C60229" s="374"/>
      <c r="CV60229" s="376"/>
    </row>
    <row r="60230" spans="1:100">
      <c r="A60230" s="374"/>
      <c r="C60230" s="374"/>
      <c r="CV60230" s="376"/>
    </row>
    <row r="60231" spans="1:100">
      <c r="A60231" s="374"/>
      <c r="C60231" s="374"/>
      <c r="CV60231" s="376"/>
    </row>
    <row r="60232" spans="1:100">
      <c r="A60232" s="374"/>
      <c r="C60232" s="374"/>
      <c r="CV60232" s="376"/>
    </row>
    <row r="60233" spans="1:100">
      <c r="A60233" s="374"/>
      <c r="C60233" s="374"/>
      <c r="CV60233" s="376"/>
    </row>
    <row r="60234" spans="1:100">
      <c r="A60234" s="374"/>
      <c r="C60234" s="374"/>
      <c r="CV60234" s="376"/>
    </row>
    <row r="60235" spans="1:100">
      <c r="A60235" s="374"/>
      <c r="C60235" s="374"/>
      <c r="CV60235" s="376"/>
    </row>
    <row r="60236" spans="1:100">
      <c r="A60236" s="374"/>
      <c r="C60236" s="374"/>
      <c r="CV60236" s="376"/>
    </row>
    <row r="60237" spans="1:100">
      <c r="A60237" s="374"/>
      <c r="C60237" s="374"/>
      <c r="CV60237" s="376"/>
    </row>
    <row r="60238" spans="1:100">
      <c r="A60238" s="374"/>
      <c r="C60238" s="374"/>
      <c r="CV60238" s="376"/>
    </row>
    <row r="60239" spans="1:100">
      <c r="A60239" s="374"/>
      <c r="C60239" s="374"/>
      <c r="CV60239" s="376"/>
    </row>
    <row r="60240" spans="1:100">
      <c r="A60240" s="374"/>
      <c r="C60240" s="374"/>
      <c r="CV60240" s="376"/>
    </row>
    <row r="60241" spans="1:100">
      <c r="A60241" s="374"/>
      <c r="C60241" s="374"/>
      <c r="CV60241" s="376"/>
    </row>
    <row r="60242" spans="1:100">
      <c r="A60242" s="374"/>
      <c r="C60242" s="374"/>
      <c r="CV60242" s="376"/>
    </row>
    <row r="60243" spans="1:100">
      <c r="A60243" s="374"/>
      <c r="C60243" s="374"/>
      <c r="CV60243" s="376"/>
    </row>
    <row r="60244" spans="1:100">
      <c r="A60244" s="374"/>
      <c r="C60244" s="374"/>
      <c r="CV60244" s="376"/>
    </row>
    <row r="60245" spans="1:100">
      <c r="A60245" s="374"/>
      <c r="C60245" s="374"/>
      <c r="CV60245" s="376"/>
    </row>
    <row r="60246" spans="1:100">
      <c r="A60246" s="374"/>
      <c r="C60246" s="374"/>
      <c r="CV60246" s="376"/>
    </row>
    <row r="60247" spans="1:100">
      <c r="A60247" s="374"/>
      <c r="C60247" s="374"/>
      <c r="CV60247" s="376"/>
    </row>
    <row r="60248" spans="1:100">
      <c r="A60248" s="374"/>
      <c r="C60248" s="374"/>
      <c r="CV60248" s="376"/>
    </row>
    <row r="60249" spans="1:100">
      <c r="A60249" s="374"/>
      <c r="C60249" s="374"/>
      <c r="CV60249" s="376"/>
    </row>
    <row r="60250" spans="1:100">
      <c r="A60250" s="374"/>
      <c r="C60250" s="374"/>
      <c r="CV60250" s="376"/>
    </row>
    <row r="60251" spans="1:100">
      <c r="A60251" s="374"/>
      <c r="C60251" s="374"/>
      <c r="CV60251" s="376"/>
    </row>
    <row r="60252" spans="1:100">
      <c r="A60252" s="374"/>
      <c r="C60252" s="374"/>
      <c r="CV60252" s="376"/>
    </row>
    <row r="60253" spans="1:100">
      <c r="A60253" s="374"/>
      <c r="C60253" s="374"/>
      <c r="CV60253" s="376"/>
    </row>
    <row r="60254" spans="1:100">
      <c r="A60254" s="374"/>
      <c r="C60254" s="374"/>
      <c r="CV60254" s="376"/>
    </row>
    <row r="60255" spans="1:100">
      <c r="A60255" s="374"/>
      <c r="C60255" s="374"/>
      <c r="CV60255" s="376"/>
    </row>
    <row r="60256" spans="1:100">
      <c r="A60256" s="374"/>
      <c r="C60256" s="374"/>
      <c r="CV60256" s="376"/>
    </row>
    <row r="60257" spans="1:100">
      <c r="A60257" s="374"/>
      <c r="C60257" s="374"/>
      <c r="CV60257" s="376"/>
    </row>
    <row r="60258" spans="1:100">
      <c r="A60258" s="374"/>
      <c r="C60258" s="374"/>
      <c r="CV60258" s="376"/>
    </row>
    <row r="60259" spans="1:100">
      <c r="A60259" s="374"/>
      <c r="C60259" s="374"/>
      <c r="CV60259" s="376"/>
    </row>
    <row r="60260" spans="1:100">
      <c r="A60260" s="374"/>
      <c r="C60260" s="374"/>
      <c r="CV60260" s="376"/>
    </row>
    <row r="60261" spans="1:100">
      <c r="A60261" s="374"/>
      <c r="C60261" s="374"/>
      <c r="CV60261" s="376"/>
    </row>
    <row r="60262" spans="1:100">
      <c r="A60262" s="374"/>
      <c r="C60262" s="374"/>
      <c r="CV60262" s="376"/>
    </row>
    <row r="60263" spans="1:100">
      <c r="A60263" s="374"/>
      <c r="C60263" s="374"/>
      <c r="CV60263" s="376"/>
    </row>
    <row r="60264" spans="1:100">
      <c r="A60264" s="374"/>
      <c r="C60264" s="374"/>
      <c r="CV60264" s="376"/>
    </row>
    <row r="60265" spans="1:100">
      <c r="A60265" s="374"/>
      <c r="C60265" s="374"/>
      <c r="CV60265" s="376"/>
    </row>
    <row r="60266" spans="1:100">
      <c r="A60266" s="374"/>
      <c r="C60266" s="374"/>
      <c r="CV60266" s="376"/>
    </row>
    <row r="60267" spans="1:100">
      <c r="A60267" s="374"/>
      <c r="C60267" s="374"/>
      <c r="CV60267" s="376"/>
    </row>
    <row r="60268" spans="1:100">
      <c r="A60268" s="374"/>
      <c r="C60268" s="374"/>
      <c r="CV60268" s="376"/>
    </row>
    <row r="60269" spans="1:100">
      <c r="A60269" s="374"/>
      <c r="C60269" s="374"/>
      <c r="CV60269" s="376"/>
    </row>
    <row r="60270" spans="1:100">
      <c r="A60270" s="374"/>
      <c r="C60270" s="374"/>
      <c r="CV60270" s="376"/>
    </row>
    <row r="60271" spans="1:100">
      <c r="A60271" s="374"/>
      <c r="C60271" s="374"/>
      <c r="CV60271" s="376"/>
    </row>
    <row r="60272" spans="1:100">
      <c r="A60272" s="374"/>
      <c r="C60272" s="374"/>
      <c r="CV60272" s="376"/>
    </row>
    <row r="60273" spans="1:100">
      <c r="A60273" s="374"/>
      <c r="C60273" s="374"/>
      <c r="CV60273" s="376"/>
    </row>
    <row r="60274" spans="1:100">
      <c r="A60274" s="374"/>
      <c r="C60274" s="374"/>
      <c r="CV60274" s="376"/>
    </row>
    <row r="60275" spans="1:100">
      <c r="A60275" s="374"/>
      <c r="C60275" s="374"/>
      <c r="CV60275" s="376"/>
    </row>
    <row r="60276" spans="1:100">
      <c r="A60276" s="374"/>
      <c r="C60276" s="374"/>
      <c r="CV60276" s="376"/>
    </row>
    <row r="60277" spans="1:100">
      <c r="A60277" s="374"/>
      <c r="C60277" s="374"/>
      <c r="CV60277" s="376"/>
    </row>
    <row r="60278" spans="1:100">
      <c r="A60278" s="374"/>
      <c r="C60278" s="374"/>
      <c r="CV60278" s="376"/>
    </row>
    <row r="60279" spans="1:100">
      <c r="A60279" s="374"/>
      <c r="C60279" s="374"/>
      <c r="CV60279" s="376"/>
    </row>
    <row r="60280" spans="1:100">
      <c r="A60280" s="374"/>
      <c r="C60280" s="374"/>
      <c r="CV60280" s="376"/>
    </row>
    <row r="60281" spans="1:100">
      <c r="A60281" s="374"/>
      <c r="C60281" s="374"/>
      <c r="CV60281" s="376"/>
    </row>
    <row r="60282" spans="1:100">
      <c r="A60282" s="374"/>
      <c r="C60282" s="374"/>
      <c r="CV60282" s="376"/>
    </row>
    <row r="60283" spans="1:100">
      <c r="A60283" s="374"/>
      <c r="C60283" s="374"/>
      <c r="CV60283" s="376"/>
    </row>
    <row r="60284" spans="1:100">
      <c r="A60284" s="374"/>
      <c r="C60284" s="374"/>
      <c r="CV60284" s="376"/>
    </row>
    <row r="60285" spans="1:100">
      <c r="A60285" s="374"/>
      <c r="C60285" s="374"/>
      <c r="CV60285" s="376"/>
    </row>
    <row r="60286" spans="1:100">
      <c r="A60286" s="374"/>
      <c r="C60286" s="374"/>
      <c r="CV60286" s="376"/>
    </row>
    <row r="60287" spans="1:100">
      <c r="A60287" s="374"/>
      <c r="C60287" s="374"/>
      <c r="CV60287" s="376"/>
    </row>
    <row r="60288" spans="1:100">
      <c r="A60288" s="374"/>
      <c r="C60288" s="374"/>
      <c r="CV60288" s="376"/>
    </row>
    <row r="60289" spans="1:100">
      <c r="A60289" s="374"/>
      <c r="C60289" s="374"/>
      <c r="CV60289" s="376"/>
    </row>
    <row r="60290" spans="1:100">
      <c r="A60290" s="374"/>
      <c r="C60290" s="374"/>
      <c r="CV60290" s="376"/>
    </row>
    <row r="60291" spans="1:100">
      <c r="A60291" s="374"/>
      <c r="C60291" s="374"/>
      <c r="CV60291" s="376"/>
    </row>
    <row r="60292" spans="1:100">
      <c r="A60292" s="374"/>
      <c r="C60292" s="374"/>
      <c r="CV60292" s="376"/>
    </row>
    <row r="60293" spans="1:100">
      <c r="A60293" s="374"/>
      <c r="C60293" s="374"/>
      <c r="CV60293" s="376"/>
    </row>
    <row r="60294" spans="1:100">
      <c r="A60294" s="374"/>
      <c r="C60294" s="374"/>
      <c r="CV60294" s="376"/>
    </row>
    <row r="60295" spans="1:100">
      <c r="A60295" s="374"/>
      <c r="C60295" s="374"/>
      <c r="CV60295" s="376"/>
    </row>
    <row r="60296" spans="1:100">
      <c r="A60296" s="374"/>
      <c r="C60296" s="374"/>
      <c r="CV60296" s="376"/>
    </row>
    <row r="60297" spans="1:100">
      <c r="A60297" s="374"/>
      <c r="C60297" s="374"/>
      <c r="CV60297" s="376"/>
    </row>
    <row r="60298" spans="1:100">
      <c r="A60298" s="374"/>
      <c r="C60298" s="374"/>
      <c r="CV60298" s="376"/>
    </row>
    <row r="60299" spans="1:100">
      <c r="A60299" s="374"/>
      <c r="C60299" s="374"/>
      <c r="CV60299" s="376"/>
    </row>
    <row r="60300" spans="1:100">
      <c r="A60300" s="374"/>
      <c r="C60300" s="374"/>
      <c r="CV60300" s="376"/>
    </row>
    <row r="60301" spans="1:100">
      <c r="A60301" s="374"/>
      <c r="C60301" s="374"/>
      <c r="CV60301" s="376"/>
    </row>
    <row r="60302" spans="1:100">
      <c r="A60302" s="374"/>
      <c r="C60302" s="374"/>
      <c r="CV60302" s="376"/>
    </row>
    <row r="60303" spans="1:100">
      <c r="A60303" s="374"/>
      <c r="C60303" s="374"/>
      <c r="CV60303" s="376"/>
    </row>
    <row r="60304" spans="1:100">
      <c r="A60304" s="374"/>
      <c r="C60304" s="374"/>
      <c r="CV60304" s="376"/>
    </row>
    <row r="60305" spans="1:100">
      <c r="A60305" s="374"/>
      <c r="C60305" s="374"/>
      <c r="CV60305" s="376"/>
    </row>
    <row r="60306" spans="1:100">
      <c r="A60306" s="374"/>
      <c r="C60306" s="374"/>
      <c r="CV60306" s="376"/>
    </row>
    <row r="60307" spans="1:100">
      <c r="A60307" s="374"/>
      <c r="C60307" s="374"/>
      <c r="CV60307" s="376"/>
    </row>
    <row r="60308" spans="1:100">
      <c r="A60308" s="374"/>
      <c r="C60308" s="374"/>
      <c r="CV60308" s="376"/>
    </row>
    <row r="60309" spans="1:100">
      <c r="A60309" s="374"/>
      <c r="C60309" s="374"/>
      <c r="CV60309" s="376"/>
    </row>
    <row r="60310" spans="1:100">
      <c r="A60310" s="374"/>
      <c r="C60310" s="374"/>
      <c r="CV60310" s="376"/>
    </row>
    <row r="60311" spans="1:100">
      <c r="A60311" s="374"/>
      <c r="C60311" s="374"/>
      <c r="CV60311" s="376"/>
    </row>
    <row r="60312" spans="1:100">
      <c r="A60312" s="374"/>
      <c r="C60312" s="374"/>
      <c r="CV60312" s="376"/>
    </row>
    <row r="60313" spans="1:100">
      <c r="A60313" s="374"/>
      <c r="C60313" s="374"/>
      <c r="CV60313" s="376"/>
    </row>
    <row r="60314" spans="1:100">
      <c r="A60314" s="374"/>
      <c r="C60314" s="374"/>
      <c r="CV60314" s="376"/>
    </row>
    <row r="60315" spans="1:100">
      <c r="A60315" s="374"/>
      <c r="C60315" s="374"/>
      <c r="CV60315" s="376"/>
    </row>
    <row r="60316" spans="1:100">
      <c r="A60316" s="374"/>
      <c r="C60316" s="374"/>
      <c r="CV60316" s="376"/>
    </row>
    <row r="60317" spans="1:100">
      <c r="A60317" s="374"/>
      <c r="C60317" s="374"/>
      <c r="CV60317" s="376"/>
    </row>
    <row r="60318" spans="1:100">
      <c r="A60318" s="374"/>
      <c r="C60318" s="374"/>
      <c r="CV60318" s="376"/>
    </row>
    <row r="60319" spans="1:100">
      <c r="A60319" s="374"/>
      <c r="C60319" s="374"/>
      <c r="CV60319" s="376"/>
    </row>
    <row r="60320" spans="1:100">
      <c r="A60320" s="374"/>
      <c r="C60320" s="374"/>
      <c r="CV60320" s="376"/>
    </row>
    <row r="60321" spans="1:100">
      <c r="A60321" s="374"/>
      <c r="C60321" s="374"/>
      <c r="CV60321" s="376"/>
    </row>
    <row r="60322" spans="1:100">
      <c r="A60322" s="374"/>
      <c r="C60322" s="374"/>
      <c r="CV60322" s="376"/>
    </row>
    <row r="60323" spans="1:100">
      <c r="A60323" s="374"/>
      <c r="C60323" s="374"/>
      <c r="CV60323" s="376"/>
    </row>
    <row r="60324" spans="1:100">
      <c r="A60324" s="374"/>
      <c r="C60324" s="374"/>
      <c r="CV60324" s="376"/>
    </row>
    <row r="60325" spans="1:100">
      <c r="A60325" s="374"/>
      <c r="C60325" s="374"/>
      <c r="CV60325" s="376"/>
    </row>
    <row r="60326" spans="1:100">
      <c r="A60326" s="374"/>
      <c r="C60326" s="374"/>
      <c r="CV60326" s="376"/>
    </row>
    <row r="60327" spans="1:100">
      <c r="A60327" s="374"/>
      <c r="C60327" s="374"/>
      <c r="CV60327" s="376"/>
    </row>
    <row r="60328" spans="1:100">
      <c r="A60328" s="374"/>
      <c r="C60328" s="374"/>
      <c r="CV60328" s="376"/>
    </row>
    <row r="60329" spans="1:100">
      <c r="A60329" s="374"/>
      <c r="C60329" s="374"/>
      <c r="CV60329" s="376"/>
    </row>
    <row r="60330" spans="1:100">
      <c r="A60330" s="374"/>
      <c r="C60330" s="374"/>
      <c r="CV60330" s="376"/>
    </row>
    <row r="60331" spans="1:100">
      <c r="A60331" s="374"/>
      <c r="C60331" s="374"/>
      <c r="CV60331" s="376"/>
    </row>
    <row r="60332" spans="1:100">
      <c r="A60332" s="374"/>
      <c r="C60332" s="374"/>
      <c r="CV60332" s="376"/>
    </row>
    <row r="60333" spans="1:100">
      <c r="A60333" s="374"/>
      <c r="C60333" s="374"/>
      <c r="CV60333" s="376"/>
    </row>
    <row r="60334" spans="1:100">
      <c r="A60334" s="374"/>
      <c r="C60334" s="374"/>
      <c r="CV60334" s="376"/>
    </row>
    <row r="60335" spans="1:100">
      <c r="A60335" s="374"/>
      <c r="C60335" s="374"/>
      <c r="CV60335" s="376"/>
    </row>
    <row r="60336" spans="1:100">
      <c r="A60336" s="374"/>
      <c r="C60336" s="374"/>
      <c r="CV60336" s="376"/>
    </row>
    <row r="60337" spans="1:100">
      <c r="A60337" s="374"/>
      <c r="C60337" s="374"/>
      <c r="CV60337" s="376"/>
    </row>
    <row r="60338" spans="1:100">
      <c r="A60338" s="374"/>
      <c r="C60338" s="374"/>
      <c r="CV60338" s="376"/>
    </row>
    <row r="60339" spans="1:100">
      <c r="A60339" s="374"/>
      <c r="C60339" s="374"/>
      <c r="CV60339" s="376"/>
    </row>
    <row r="60340" spans="1:100">
      <c r="A60340" s="374"/>
      <c r="C60340" s="374"/>
      <c r="CV60340" s="376"/>
    </row>
    <row r="60341" spans="1:100">
      <c r="A60341" s="374"/>
      <c r="C60341" s="374"/>
      <c r="CV60341" s="376"/>
    </row>
    <row r="60342" spans="1:100">
      <c r="A60342" s="374"/>
      <c r="C60342" s="374"/>
      <c r="CV60342" s="376"/>
    </row>
    <row r="60343" spans="1:100">
      <c r="A60343" s="374"/>
      <c r="C60343" s="374"/>
      <c r="CV60343" s="376"/>
    </row>
    <row r="60344" spans="1:100">
      <c r="A60344" s="374"/>
      <c r="C60344" s="374"/>
      <c r="CV60344" s="376"/>
    </row>
    <row r="60345" spans="1:100">
      <c r="A60345" s="374"/>
      <c r="C60345" s="374"/>
      <c r="CV60345" s="376"/>
    </row>
    <row r="60346" spans="1:100">
      <c r="A60346" s="374"/>
      <c r="C60346" s="374"/>
      <c r="CV60346" s="376"/>
    </row>
    <row r="60347" spans="1:100">
      <c r="A60347" s="374"/>
      <c r="C60347" s="374"/>
      <c r="CV60347" s="376"/>
    </row>
    <row r="60348" spans="1:100">
      <c r="A60348" s="374"/>
      <c r="C60348" s="374"/>
      <c r="CV60348" s="376"/>
    </row>
    <row r="60349" spans="1:100">
      <c r="A60349" s="374"/>
      <c r="C60349" s="374"/>
      <c r="CV60349" s="376"/>
    </row>
    <row r="60350" spans="1:100">
      <c r="A60350" s="374"/>
      <c r="C60350" s="374"/>
      <c r="CV60350" s="376"/>
    </row>
    <row r="60351" spans="1:100">
      <c r="A60351" s="374"/>
      <c r="C60351" s="374"/>
      <c r="CV60351" s="376"/>
    </row>
    <row r="60352" spans="1:100">
      <c r="A60352" s="374"/>
      <c r="C60352" s="374"/>
      <c r="CV60352" s="376"/>
    </row>
    <row r="60353" spans="1:100">
      <c r="A60353" s="374"/>
      <c r="C60353" s="374"/>
      <c r="CV60353" s="376"/>
    </row>
    <row r="60354" spans="1:100">
      <c r="A60354" s="374"/>
      <c r="C60354" s="374"/>
      <c r="CV60354" s="376"/>
    </row>
    <row r="60355" spans="1:100">
      <c r="A60355" s="374"/>
      <c r="C60355" s="374"/>
      <c r="CV60355" s="376"/>
    </row>
    <row r="60356" spans="1:100">
      <c r="A60356" s="374"/>
      <c r="C60356" s="374"/>
      <c r="CV60356" s="376"/>
    </row>
    <row r="60357" spans="1:100">
      <c r="A60357" s="374"/>
      <c r="C60357" s="374"/>
      <c r="CV60357" s="376"/>
    </row>
    <row r="60358" spans="1:100">
      <c r="A60358" s="374"/>
      <c r="C60358" s="374"/>
      <c r="CV60358" s="376"/>
    </row>
    <row r="60359" spans="1:100">
      <c r="A60359" s="374"/>
      <c r="C60359" s="374"/>
      <c r="CV60359" s="376"/>
    </row>
    <row r="60360" spans="1:100">
      <c r="A60360" s="374"/>
      <c r="C60360" s="374"/>
      <c r="CV60360" s="376"/>
    </row>
    <row r="60361" spans="1:100">
      <c r="A60361" s="374"/>
      <c r="C60361" s="374"/>
      <c r="CV60361" s="376"/>
    </row>
    <row r="60362" spans="1:100">
      <c r="A60362" s="374"/>
      <c r="C60362" s="374"/>
      <c r="CV60362" s="376"/>
    </row>
    <row r="60363" spans="1:100">
      <c r="A60363" s="374"/>
      <c r="C60363" s="374"/>
      <c r="CV60363" s="376"/>
    </row>
    <row r="60364" spans="1:100">
      <c r="A60364" s="374"/>
      <c r="C60364" s="374"/>
      <c r="CV60364" s="376"/>
    </row>
    <row r="60365" spans="1:100">
      <c r="A60365" s="374"/>
      <c r="C60365" s="374"/>
      <c r="CV60365" s="376"/>
    </row>
    <row r="60366" spans="1:100">
      <c r="A60366" s="374"/>
      <c r="C60366" s="374"/>
      <c r="CV60366" s="376"/>
    </row>
    <row r="60367" spans="1:100">
      <c r="A60367" s="374"/>
      <c r="C60367" s="374"/>
      <c r="CV60367" s="376"/>
    </row>
    <row r="60368" spans="1:100">
      <c r="A60368" s="374"/>
      <c r="C60368" s="374"/>
      <c r="CV60368" s="376"/>
    </row>
    <row r="60369" spans="1:100">
      <c r="A60369" s="374"/>
      <c r="C60369" s="374"/>
      <c r="CV60369" s="376"/>
    </row>
    <row r="60370" spans="1:100">
      <c r="A60370" s="374"/>
      <c r="C60370" s="374"/>
      <c r="CV60370" s="376"/>
    </row>
    <row r="60371" spans="1:100">
      <c r="A60371" s="374"/>
      <c r="C60371" s="374"/>
      <c r="CV60371" s="376"/>
    </row>
    <row r="60372" spans="1:100">
      <c r="A60372" s="374"/>
      <c r="C60372" s="374"/>
      <c r="CV60372" s="376"/>
    </row>
    <row r="60373" spans="1:100">
      <c r="A60373" s="374"/>
      <c r="C60373" s="374"/>
      <c r="CV60373" s="376"/>
    </row>
    <row r="60374" spans="1:100">
      <c r="A60374" s="374"/>
      <c r="C60374" s="374"/>
      <c r="CV60374" s="376"/>
    </row>
    <row r="60375" spans="1:100">
      <c r="A60375" s="374"/>
      <c r="C60375" s="374"/>
      <c r="CV60375" s="376"/>
    </row>
    <row r="60376" spans="1:100">
      <c r="A60376" s="374"/>
      <c r="C60376" s="374"/>
      <c r="CV60376" s="376"/>
    </row>
    <row r="60377" spans="1:100">
      <c r="A60377" s="374"/>
      <c r="C60377" s="374"/>
      <c r="CV60377" s="376"/>
    </row>
    <row r="60378" spans="1:100">
      <c r="A60378" s="374"/>
      <c r="C60378" s="374"/>
      <c r="CV60378" s="376"/>
    </row>
    <row r="60379" spans="1:100">
      <c r="A60379" s="374"/>
      <c r="C60379" s="374"/>
      <c r="CV60379" s="376"/>
    </row>
    <row r="60380" spans="1:100">
      <c r="A60380" s="374"/>
      <c r="C60380" s="374"/>
      <c r="CV60380" s="376"/>
    </row>
    <row r="60381" spans="1:100">
      <c r="A60381" s="374"/>
      <c r="C60381" s="374"/>
      <c r="CV60381" s="376"/>
    </row>
    <row r="60382" spans="1:100">
      <c r="A60382" s="374"/>
      <c r="C60382" s="374"/>
      <c r="CV60382" s="376"/>
    </row>
    <row r="60383" spans="1:100">
      <c r="A60383" s="374"/>
      <c r="C60383" s="374"/>
      <c r="CV60383" s="376"/>
    </row>
    <row r="60384" spans="1:100">
      <c r="A60384" s="374"/>
      <c r="C60384" s="374"/>
      <c r="CV60384" s="376"/>
    </row>
    <row r="60385" spans="1:100">
      <c r="A60385" s="374"/>
      <c r="C60385" s="374"/>
      <c r="CV60385" s="376"/>
    </row>
    <row r="60386" spans="1:100">
      <c r="A60386" s="374"/>
      <c r="C60386" s="374"/>
      <c r="CV60386" s="376"/>
    </row>
    <row r="60387" spans="1:100">
      <c r="A60387" s="374"/>
      <c r="C60387" s="374"/>
      <c r="CV60387" s="376"/>
    </row>
    <row r="60388" spans="1:100">
      <c r="A60388" s="374"/>
      <c r="C60388" s="374"/>
      <c r="CV60388" s="376"/>
    </row>
    <row r="60389" spans="1:100">
      <c r="A60389" s="374"/>
      <c r="C60389" s="374"/>
      <c r="CV60389" s="376"/>
    </row>
    <row r="60390" spans="1:100">
      <c r="A60390" s="374"/>
      <c r="C60390" s="374"/>
      <c r="CV60390" s="376"/>
    </row>
    <row r="60391" spans="1:100">
      <c r="A60391" s="374"/>
      <c r="C60391" s="374"/>
      <c r="CV60391" s="376"/>
    </row>
    <row r="60392" spans="1:100">
      <c r="A60392" s="374"/>
      <c r="C60392" s="374"/>
      <c r="CV60392" s="376"/>
    </row>
    <row r="60393" spans="1:100">
      <c r="A60393" s="374"/>
      <c r="C60393" s="374"/>
      <c r="CV60393" s="376"/>
    </row>
    <row r="60394" spans="1:100">
      <c r="A60394" s="374"/>
      <c r="C60394" s="374"/>
      <c r="CV60394" s="376"/>
    </row>
    <row r="60395" spans="1:100">
      <c r="A60395" s="374"/>
      <c r="C60395" s="374"/>
      <c r="CV60395" s="376"/>
    </row>
    <row r="60396" spans="1:100">
      <c r="A60396" s="374"/>
      <c r="C60396" s="374"/>
      <c r="CV60396" s="376"/>
    </row>
    <row r="60397" spans="1:100">
      <c r="A60397" s="374"/>
      <c r="C60397" s="374"/>
      <c r="CV60397" s="376"/>
    </row>
    <row r="60398" spans="1:100">
      <c r="A60398" s="374"/>
      <c r="C60398" s="374"/>
      <c r="CV60398" s="376"/>
    </row>
    <row r="60399" spans="1:100">
      <c r="A60399" s="374"/>
      <c r="C60399" s="374"/>
      <c r="CV60399" s="376"/>
    </row>
    <row r="60400" spans="1:100">
      <c r="A60400" s="374"/>
      <c r="C60400" s="374"/>
      <c r="CV60400" s="376"/>
    </row>
    <row r="60401" spans="1:100">
      <c r="A60401" s="374"/>
      <c r="C60401" s="374"/>
      <c r="CV60401" s="376"/>
    </row>
    <row r="60402" spans="1:100">
      <c r="A60402" s="374"/>
      <c r="C60402" s="374"/>
      <c r="CV60402" s="376"/>
    </row>
    <row r="60403" spans="1:100">
      <c r="A60403" s="374"/>
      <c r="C60403" s="374"/>
      <c r="CV60403" s="376"/>
    </row>
    <row r="60404" spans="1:100">
      <c r="A60404" s="374"/>
      <c r="C60404" s="374"/>
      <c r="CV60404" s="376"/>
    </row>
    <row r="60405" spans="1:100">
      <c r="A60405" s="374"/>
      <c r="C60405" s="374"/>
      <c r="CV60405" s="376"/>
    </row>
    <row r="60406" spans="1:100">
      <c r="A60406" s="374"/>
      <c r="C60406" s="374"/>
      <c r="CV60406" s="376"/>
    </row>
    <row r="60407" spans="1:100">
      <c r="A60407" s="374"/>
      <c r="C60407" s="374"/>
      <c r="CV60407" s="376"/>
    </row>
    <row r="60408" spans="1:100">
      <c r="A60408" s="374"/>
      <c r="C60408" s="374"/>
      <c r="CV60408" s="376"/>
    </row>
    <row r="60409" spans="1:100">
      <c r="A60409" s="374"/>
      <c r="C60409" s="374"/>
      <c r="CV60409" s="376"/>
    </row>
    <row r="60410" spans="1:100">
      <c r="A60410" s="374"/>
      <c r="C60410" s="374"/>
      <c r="CV60410" s="376"/>
    </row>
    <row r="60411" spans="1:100">
      <c r="A60411" s="374"/>
      <c r="C60411" s="374"/>
      <c r="CV60411" s="376"/>
    </row>
    <row r="60412" spans="1:100">
      <c r="A60412" s="374"/>
      <c r="C60412" s="374"/>
      <c r="CV60412" s="376"/>
    </row>
    <row r="60413" spans="1:100">
      <c r="A60413" s="374"/>
      <c r="C60413" s="374"/>
      <c r="CV60413" s="376"/>
    </row>
    <row r="60414" spans="1:100">
      <c r="A60414" s="374"/>
      <c r="C60414" s="374"/>
      <c r="CV60414" s="376"/>
    </row>
    <row r="60415" spans="1:100">
      <c r="A60415" s="374"/>
      <c r="C60415" s="374"/>
      <c r="CV60415" s="376"/>
    </row>
    <row r="60416" spans="1:100">
      <c r="A60416" s="374"/>
      <c r="C60416" s="374"/>
      <c r="CV60416" s="376"/>
    </row>
    <row r="60417" spans="1:100">
      <c r="A60417" s="374"/>
      <c r="C60417" s="374"/>
      <c r="CV60417" s="376"/>
    </row>
    <row r="60418" spans="1:100">
      <c r="A60418" s="374"/>
      <c r="C60418" s="374"/>
      <c r="CV60418" s="376"/>
    </row>
    <row r="60419" spans="1:100">
      <c r="A60419" s="374"/>
      <c r="C60419" s="374"/>
      <c r="CV60419" s="376"/>
    </row>
    <row r="60420" spans="1:100">
      <c r="A60420" s="374"/>
      <c r="C60420" s="374"/>
      <c r="CV60420" s="376"/>
    </row>
    <row r="60421" spans="1:100">
      <c r="A60421" s="374"/>
      <c r="C60421" s="374"/>
      <c r="CV60421" s="376"/>
    </row>
    <row r="60422" spans="1:100">
      <c r="A60422" s="374"/>
      <c r="C60422" s="374"/>
      <c r="CV60422" s="376"/>
    </row>
    <row r="60423" spans="1:100">
      <c r="A60423" s="374"/>
      <c r="C60423" s="374"/>
      <c r="CV60423" s="376"/>
    </row>
    <row r="60424" spans="1:100">
      <c r="A60424" s="374"/>
      <c r="C60424" s="374"/>
      <c r="CV60424" s="376"/>
    </row>
    <row r="60425" spans="1:100">
      <c r="A60425" s="374"/>
      <c r="C60425" s="374"/>
      <c r="CV60425" s="376"/>
    </row>
    <row r="60426" spans="1:100">
      <c r="A60426" s="374"/>
      <c r="C60426" s="374"/>
      <c r="CV60426" s="376"/>
    </row>
    <row r="60427" spans="1:100">
      <c r="A60427" s="374"/>
      <c r="C60427" s="374"/>
      <c r="CV60427" s="376"/>
    </row>
    <row r="60428" spans="1:100">
      <c r="A60428" s="374"/>
      <c r="C60428" s="374"/>
      <c r="CV60428" s="376"/>
    </row>
    <row r="60429" spans="1:100">
      <c r="A60429" s="374"/>
      <c r="C60429" s="374"/>
      <c r="CV60429" s="376"/>
    </row>
    <row r="60430" spans="1:100">
      <c r="A60430" s="374"/>
      <c r="C60430" s="374"/>
      <c r="CV60430" s="376"/>
    </row>
    <row r="60431" spans="1:100">
      <c r="A60431" s="374"/>
      <c r="C60431" s="374"/>
      <c r="CV60431" s="376"/>
    </row>
    <row r="60432" spans="1:100">
      <c r="A60432" s="374"/>
      <c r="C60432" s="374"/>
      <c r="CV60432" s="376"/>
    </row>
    <row r="60433" spans="1:100">
      <c r="A60433" s="374"/>
      <c r="C60433" s="374"/>
      <c r="CV60433" s="376"/>
    </row>
    <row r="60434" spans="1:100">
      <c r="A60434" s="374"/>
      <c r="C60434" s="374"/>
      <c r="CV60434" s="376"/>
    </row>
    <row r="60435" spans="1:100">
      <c r="A60435" s="374"/>
      <c r="C60435" s="374"/>
      <c r="CV60435" s="376"/>
    </row>
    <row r="60436" spans="1:100">
      <c r="A60436" s="374"/>
      <c r="C60436" s="374"/>
      <c r="CV60436" s="376"/>
    </row>
    <row r="60437" spans="1:100">
      <c r="A60437" s="374"/>
      <c r="C60437" s="374"/>
      <c r="CV60437" s="376"/>
    </row>
    <row r="60438" spans="1:100">
      <c r="A60438" s="374"/>
      <c r="C60438" s="374"/>
      <c r="CV60438" s="376"/>
    </row>
    <row r="60439" spans="1:100">
      <c r="A60439" s="374"/>
      <c r="C60439" s="374"/>
      <c r="CV60439" s="376"/>
    </row>
    <row r="60440" spans="1:100">
      <c r="A60440" s="374"/>
      <c r="C60440" s="374"/>
      <c r="CV60440" s="376"/>
    </row>
    <row r="60441" spans="1:100">
      <c r="A60441" s="374"/>
      <c r="C60441" s="374"/>
      <c r="CV60441" s="376"/>
    </row>
    <row r="60442" spans="1:100">
      <c r="A60442" s="374"/>
      <c r="C60442" s="374"/>
      <c r="CV60442" s="376"/>
    </row>
    <row r="60443" spans="1:100">
      <c r="A60443" s="374"/>
      <c r="C60443" s="374"/>
      <c r="CV60443" s="376"/>
    </row>
    <row r="60444" spans="1:100">
      <c r="A60444" s="374"/>
      <c r="C60444" s="374"/>
      <c r="CV60444" s="376"/>
    </row>
    <row r="60445" spans="1:100">
      <c r="A60445" s="374"/>
      <c r="C60445" s="374"/>
      <c r="CV60445" s="376"/>
    </row>
    <row r="60446" spans="1:100">
      <c r="A60446" s="374"/>
      <c r="C60446" s="374"/>
      <c r="CV60446" s="376"/>
    </row>
    <row r="60447" spans="1:100">
      <c r="A60447" s="374"/>
      <c r="C60447" s="374"/>
      <c r="CV60447" s="376"/>
    </row>
    <row r="60448" spans="1:100">
      <c r="A60448" s="374"/>
      <c r="C60448" s="374"/>
      <c r="CV60448" s="376"/>
    </row>
    <row r="60449" spans="1:100">
      <c r="A60449" s="374"/>
      <c r="C60449" s="374"/>
      <c r="CV60449" s="376"/>
    </row>
    <row r="60450" spans="1:100">
      <c r="A60450" s="374"/>
      <c r="C60450" s="374"/>
      <c r="CV60450" s="376"/>
    </row>
    <row r="60451" spans="1:100">
      <c r="A60451" s="374"/>
      <c r="C60451" s="374"/>
      <c r="CV60451" s="376"/>
    </row>
    <row r="60452" spans="1:100">
      <c r="A60452" s="374"/>
      <c r="C60452" s="374"/>
      <c r="CV60452" s="376"/>
    </row>
    <row r="60453" spans="1:100">
      <c r="A60453" s="374"/>
      <c r="C60453" s="374"/>
      <c r="CV60453" s="376"/>
    </row>
    <row r="60454" spans="1:100">
      <c r="A60454" s="374"/>
      <c r="C60454" s="374"/>
      <c r="CV60454" s="376"/>
    </row>
    <row r="60455" spans="1:100">
      <c r="A60455" s="374"/>
      <c r="C60455" s="374"/>
      <c r="CV60455" s="376"/>
    </row>
    <row r="60456" spans="1:100">
      <c r="A60456" s="374"/>
      <c r="C60456" s="374"/>
      <c r="CV60456" s="376"/>
    </row>
    <row r="60457" spans="1:100">
      <c r="A60457" s="374"/>
      <c r="C60457" s="374"/>
      <c r="CV60457" s="376"/>
    </row>
    <row r="60458" spans="1:100">
      <c r="A60458" s="374"/>
      <c r="C60458" s="374"/>
      <c r="CV60458" s="376"/>
    </row>
    <row r="60459" spans="1:100">
      <c r="A60459" s="374"/>
      <c r="C60459" s="374"/>
      <c r="CV60459" s="376"/>
    </row>
    <row r="60460" spans="1:100">
      <c r="A60460" s="374"/>
      <c r="C60460" s="374"/>
      <c r="CV60460" s="376"/>
    </row>
    <row r="60461" spans="1:100">
      <c r="A60461" s="374"/>
      <c r="C60461" s="374"/>
      <c r="CV60461" s="376"/>
    </row>
    <row r="60462" spans="1:100">
      <c r="A60462" s="374"/>
      <c r="C60462" s="374"/>
      <c r="CV60462" s="376"/>
    </row>
    <row r="60463" spans="1:100">
      <c r="A60463" s="374"/>
      <c r="C60463" s="374"/>
      <c r="CV60463" s="376"/>
    </row>
    <row r="60464" spans="1:100">
      <c r="A60464" s="374"/>
      <c r="C60464" s="374"/>
      <c r="CV60464" s="376"/>
    </row>
    <row r="60465" spans="1:100">
      <c r="A60465" s="374"/>
      <c r="C60465" s="374"/>
      <c r="CV60465" s="376"/>
    </row>
    <row r="60466" spans="1:100">
      <c r="A60466" s="374"/>
      <c r="C60466" s="374"/>
      <c r="CV60466" s="376"/>
    </row>
    <row r="60467" spans="1:100">
      <c r="A60467" s="374"/>
      <c r="C60467" s="374"/>
      <c r="CV60467" s="376"/>
    </row>
    <row r="60468" spans="1:100">
      <c r="A60468" s="374"/>
      <c r="C60468" s="374"/>
      <c r="CV60468" s="376"/>
    </row>
    <row r="60469" spans="1:100">
      <c r="A60469" s="374"/>
      <c r="C60469" s="374"/>
      <c r="CV60469" s="376"/>
    </row>
    <row r="60470" spans="1:100">
      <c r="A60470" s="374"/>
      <c r="C60470" s="374"/>
      <c r="CV60470" s="376"/>
    </row>
    <row r="60471" spans="1:100">
      <c r="A60471" s="374"/>
      <c r="C60471" s="374"/>
      <c r="CV60471" s="376"/>
    </row>
    <row r="60472" spans="1:100">
      <c r="A60472" s="374"/>
      <c r="C60472" s="374"/>
      <c r="CV60472" s="376"/>
    </row>
    <row r="60473" spans="1:100">
      <c r="A60473" s="374"/>
      <c r="C60473" s="374"/>
      <c r="CV60473" s="376"/>
    </row>
    <row r="60474" spans="1:100">
      <c r="A60474" s="374"/>
      <c r="C60474" s="374"/>
      <c r="CV60474" s="376"/>
    </row>
    <row r="60475" spans="1:100">
      <c r="A60475" s="374"/>
      <c r="C60475" s="374"/>
      <c r="CV60475" s="376"/>
    </row>
    <row r="60476" spans="1:100">
      <c r="A60476" s="374"/>
      <c r="C60476" s="374"/>
      <c r="CV60476" s="376"/>
    </row>
    <row r="60477" spans="1:100">
      <c r="A60477" s="374"/>
      <c r="C60477" s="374"/>
      <c r="CV60477" s="376"/>
    </row>
    <row r="60478" spans="1:100">
      <c r="A60478" s="374"/>
      <c r="C60478" s="374"/>
      <c r="CV60478" s="376"/>
    </row>
    <row r="60479" spans="1:100">
      <c r="A60479" s="374"/>
      <c r="C60479" s="374"/>
      <c r="CV60479" s="376"/>
    </row>
    <row r="60480" spans="1:100">
      <c r="A60480" s="374"/>
      <c r="C60480" s="374"/>
      <c r="CV60480" s="376"/>
    </row>
    <row r="60481" spans="1:100">
      <c r="A60481" s="374"/>
      <c r="C60481" s="374"/>
      <c r="CV60481" s="376"/>
    </row>
    <row r="60482" spans="1:100">
      <c r="A60482" s="374"/>
      <c r="C60482" s="374"/>
      <c r="CV60482" s="376"/>
    </row>
    <row r="60483" spans="1:100">
      <c r="A60483" s="374"/>
      <c r="C60483" s="374"/>
      <c r="CV60483" s="376"/>
    </row>
    <row r="60484" spans="1:100">
      <c r="A60484" s="374"/>
      <c r="C60484" s="374"/>
      <c r="CV60484" s="376"/>
    </row>
    <row r="60485" spans="1:100">
      <c r="A60485" s="374"/>
      <c r="C60485" s="374"/>
      <c r="CV60485" s="376"/>
    </row>
    <row r="60486" spans="1:100">
      <c r="A60486" s="374"/>
      <c r="C60486" s="374"/>
      <c r="CV60486" s="376"/>
    </row>
    <row r="60487" spans="1:100">
      <c r="A60487" s="374"/>
      <c r="C60487" s="374"/>
      <c r="CV60487" s="376"/>
    </row>
    <row r="60488" spans="1:100">
      <c r="A60488" s="374"/>
      <c r="C60488" s="374"/>
      <c r="CV60488" s="376"/>
    </row>
    <row r="60489" spans="1:100">
      <c r="A60489" s="374"/>
      <c r="C60489" s="374"/>
      <c r="CV60489" s="376"/>
    </row>
    <row r="60490" spans="1:100">
      <c r="A60490" s="374"/>
      <c r="C60490" s="374"/>
      <c r="CV60490" s="376"/>
    </row>
    <row r="60491" spans="1:100">
      <c r="A60491" s="374"/>
      <c r="C60491" s="374"/>
      <c r="CV60491" s="376"/>
    </row>
    <row r="60492" spans="1:100">
      <c r="A60492" s="374"/>
      <c r="C60492" s="374"/>
      <c r="CV60492" s="376"/>
    </row>
    <row r="60493" spans="1:100">
      <c r="A60493" s="374"/>
      <c r="C60493" s="374"/>
      <c r="CV60493" s="376"/>
    </row>
    <row r="60494" spans="1:100">
      <c r="A60494" s="374"/>
      <c r="C60494" s="374"/>
      <c r="CV60494" s="376"/>
    </row>
    <row r="60495" spans="1:100">
      <c r="A60495" s="374"/>
      <c r="C60495" s="374"/>
      <c r="CV60495" s="376"/>
    </row>
    <row r="60496" spans="1:100">
      <c r="A60496" s="374"/>
      <c r="C60496" s="374"/>
      <c r="CV60496" s="376"/>
    </row>
    <row r="60497" spans="1:100">
      <c r="A60497" s="374"/>
      <c r="C60497" s="374"/>
      <c r="CV60497" s="376"/>
    </row>
    <row r="60498" spans="1:100">
      <c r="A60498" s="374"/>
      <c r="C60498" s="374"/>
      <c r="CV60498" s="376"/>
    </row>
    <row r="60499" spans="1:100">
      <c r="A60499" s="374"/>
      <c r="C60499" s="374"/>
      <c r="CV60499" s="376"/>
    </row>
    <row r="60500" spans="1:100">
      <c r="A60500" s="374"/>
      <c r="C60500" s="374"/>
      <c r="CV60500" s="376"/>
    </row>
    <row r="60501" spans="1:100">
      <c r="A60501" s="374"/>
      <c r="C60501" s="374"/>
      <c r="CV60501" s="376"/>
    </row>
    <row r="60502" spans="1:100">
      <c r="A60502" s="374"/>
      <c r="C60502" s="374"/>
      <c r="CV60502" s="376"/>
    </row>
    <row r="60503" spans="1:100">
      <c r="A60503" s="374"/>
      <c r="C60503" s="374"/>
      <c r="CV60503" s="376"/>
    </row>
    <row r="60504" spans="1:100">
      <c r="A60504" s="374"/>
      <c r="C60504" s="374"/>
      <c r="CV60504" s="376"/>
    </row>
    <row r="60505" spans="1:100">
      <c r="A60505" s="374"/>
      <c r="C60505" s="374"/>
      <c r="CV60505" s="376"/>
    </row>
    <row r="60506" spans="1:100">
      <c r="A60506" s="374"/>
      <c r="C60506" s="374"/>
      <c r="CV60506" s="376"/>
    </row>
    <row r="60507" spans="1:100">
      <c r="A60507" s="374"/>
      <c r="C60507" s="374"/>
      <c r="CV60507" s="376"/>
    </row>
    <row r="60508" spans="1:100">
      <c r="A60508" s="374"/>
      <c r="C60508" s="374"/>
      <c r="CV60508" s="376"/>
    </row>
    <row r="60509" spans="1:100">
      <c r="A60509" s="374"/>
      <c r="C60509" s="374"/>
      <c r="CV60509" s="376"/>
    </row>
    <row r="60510" spans="1:100">
      <c r="A60510" s="374"/>
      <c r="C60510" s="374"/>
      <c r="CV60510" s="376"/>
    </row>
    <row r="60511" spans="1:100">
      <c r="A60511" s="374"/>
      <c r="C60511" s="374"/>
      <c r="CV60511" s="376"/>
    </row>
    <row r="60512" spans="1:100">
      <c r="A60512" s="374"/>
      <c r="C60512" s="374"/>
      <c r="CV60512" s="376"/>
    </row>
    <row r="60513" spans="1:100">
      <c r="A60513" s="374"/>
      <c r="C60513" s="374"/>
      <c r="CV60513" s="376"/>
    </row>
    <row r="60514" spans="1:100">
      <c r="A60514" s="374"/>
      <c r="C60514" s="374"/>
      <c r="CV60514" s="376"/>
    </row>
    <row r="60515" spans="1:100">
      <c r="A60515" s="374"/>
      <c r="C60515" s="374"/>
      <c r="CV60515" s="376"/>
    </row>
    <row r="60516" spans="1:100">
      <c r="A60516" s="374"/>
      <c r="C60516" s="374"/>
      <c r="CV60516" s="376"/>
    </row>
    <row r="60517" spans="1:100">
      <c r="A60517" s="374"/>
      <c r="C60517" s="374"/>
      <c r="CV60517" s="376"/>
    </row>
    <row r="60518" spans="1:100">
      <c r="A60518" s="374"/>
      <c r="C60518" s="374"/>
      <c r="CV60518" s="376"/>
    </row>
    <row r="60519" spans="1:100">
      <c r="A60519" s="374"/>
      <c r="C60519" s="374"/>
      <c r="CV60519" s="376"/>
    </row>
    <row r="60520" spans="1:100">
      <c r="A60520" s="374"/>
      <c r="C60520" s="374"/>
      <c r="CV60520" s="376"/>
    </row>
    <row r="60521" spans="1:100">
      <c r="A60521" s="374"/>
      <c r="C60521" s="374"/>
      <c r="CV60521" s="376"/>
    </row>
    <row r="60522" spans="1:100">
      <c r="A60522" s="374"/>
      <c r="C60522" s="374"/>
      <c r="CV60522" s="376"/>
    </row>
    <row r="60523" spans="1:100">
      <c r="A60523" s="374"/>
      <c r="C60523" s="374"/>
      <c r="CV60523" s="376"/>
    </row>
    <row r="60524" spans="1:100">
      <c r="A60524" s="374"/>
      <c r="C60524" s="374"/>
      <c r="CV60524" s="376"/>
    </row>
    <row r="60525" spans="1:100">
      <c r="A60525" s="374"/>
      <c r="C60525" s="374"/>
      <c r="CV60525" s="376"/>
    </row>
    <row r="60526" spans="1:100">
      <c r="A60526" s="374"/>
      <c r="C60526" s="374"/>
      <c r="CV60526" s="376"/>
    </row>
    <row r="60527" spans="1:100">
      <c r="A60527" s="374"/>
      <c r="C60527" s="374"/>
      <c r="CV60527" s="376"/>
    </row>
    <row r="60528" spans="1:100">
      <c r="A60528" s="374"/>
      <c r="C60528" s="374"/>
      <c r="CV60528" s="376"/>
    </row>
    <row r="60529" spans="1:100">
      <c r="A60529" s="374"/>
      <c r="C60529" s="374"/>
      <c r="CV60529" s="376"/>
    </row>
    <row r="60530" spans="1:100">
      <c r="A60530" s="374"/>
      <c r="C60530" s="374"/>
      <c r="CV60530" s="376"/>
    </row>
    <row r="60531" spans="1:100">
      <c r="A60531" s="374"/>
      <c r="C60531" s="374"/>
      <c r="CV60531" s="376"/>
    </row>
    <row r="60532" spans="1:100">
      <c r="A60532" s="374"/>
      <c r="C60532" s="374"/>
      <c r="CV60532" s="376"/>
    </row>
    <row r="60533" spans="1:100">
      <c r="A60533" s="374"/>
      <c r="C60533" s="374"/>
      <c r="CV60533" s="376"/>
    </row>
    <row r="60534" spans="1:100">
      <c r="A60534" s="374"/>
      <c r="C60534" s="374"/>
      <c r="CV60534" s="376"/>
    </row>
    <row r="60535" spans="1:100">
      <c r="A60535" s="374"/>
      <c r="C60535" s="374"/>
      <c r="CV60535" s="376"/>
    </row>
    <row r="60536" spans="1:100">
      <c r="A60536" s="374"/>
      <c r="C60536" s="374"/>
      <c r="CV60536" s="376"/>
    </row>
    <row r="60537" spans="1:100">
      <c r="A60537" s="374"/>
      <c r="C60537" s="374"/>
      <c r="CV60537" s="376"/>
    </row>
    <row r="60538" spans="1:100">
      <c r="A60538" s="374"/>
      <c r="C60538" s="374"/>
      <c r="CV60538" s="376"/>
    </row>
    <row r="60539" spans="1:100">
      <c r="A60539" s="374"/>
      <c r="C60539" s="374"/>
      <c r="CV60539" s="376"/>
    </row>
    <row r="60540" spans="1:100">
      <c r="A60540" s="374"/>
      <c r="C60540" s="374"/>
      <c r="CV60540" s="376"/>
    </row>
    <row r="60541" spans="1:100">
      <c r="A60541" s="374"/>
      <c r="C60541" s="374"/>
      <c r="CV60541" s="376"/>
    </row>
    <row r="60542" spans="1:100">
      <c r="A60542" s="374"/>
      <c r="C60542" s="374"/>
      <c r="CV60542" s="376"/>
    </row>
    <row r="60543" spans="1:100">
      <c r="A60543" s="374"/>
      <c r="C60543" s="374"/>
      <c r="CV60543" s="376"/>
    </row>
    <row r="60544" spans="1:100">
      <c r="A60544" s="374"/>
      <c r="C60544" s="374"/>
      <c r="CV60544" s="376"/>
    </row>
    <row r="60545" spans="1:100">
      <c r="A60545" s="374"/>
      <c r="C60545" s="374"/>
      <c r="CV60545" s="376"/>
    </row>
    <row r="60546" spans="1:100">
      <c r="A60546" s="374"/>
      <c r="C60546" s="374"/>
      <c r="CV60546" s="376"/>
    </row>
    <row r="60547" spans="1:100">
      <c r="A60547" s="374"/>
      <c r="C60547" s="374"/>
      <c r="CV60547" s="376"/>
    </row>
    <row r="60548" spans="1:100">
      <c r="A60548" s="374"/>
      <c r="C60548" s="374"/>
      <c r="CV60548" s="376"/>
    </row>
    <row r="60549" spans="1:100">
      <c r="A60549" s="374"/>
      <c r="C60549" s="374"/>
      <c r="CV60549" s="376"/>
    </row>
    <row r="60550" spans="1:100">
      <c r="A60550" s="374"/>
      <c r="C60550" s="374"/>
      <c r="CV60550" s="376"/>
    </row>
    <row r="60551" spans="1:100">
      <c r="A60551" s="374"/>
      <c r="C60551" s="374"/>
      <c r="CV60551" s="376"/>
    </row>
    <row r="60552" spans="1:100">
      <c r="A60552" s="374"/>
      <c r="C60552" s="374"/>
      <c r="CV60552" s="376"/>
    </row>
    <row r="60553" spans="1:100">
      <c r="A60553" s="374"/>
      <c r="C60553" s="374"/>
      <c r="CV60553" s="376"/>
    </row>
    <row r="60554" spans="1:100">
      <c r="A60554" s="374"/>
      <c r="C60554" s="374"/>
      <c r="CV60554" s="376"/>
    </row>
    <row r="60555" spans="1:100">
      <c r="A60555" s="374"/>
      <c r="C60555" s="374"/>
      <c r="CV60555" s="376"/>
    </row>
    <row r="60556" spans="1:100">
      <c r="A60556" s="374"/>
      <c r="C60556" s="374"/>
      <c r="CV60556" s="376"/>
    </row>
    <row r="60557" spans="1:100">
      <c r="A60557" s="374"/>
      <c r="C60557" s="374"/>
      <c r="CV60557" s="376"/>
    </row>
    <row r="60558" spans="1:100">
      <c r="A60558" s="374"/>
      <c r="C60558" s="374"/>
      <c r="CV60558" s="376"/>
    </row>
    <row r="60559" spans="1:100">
      <c r="A60559" s="374"/>
      <c r="C60559" s="374"/>
      <c r="CV60559" s="376"/>
    </row>
    <row r="60560" spans="1:100">
      <c r="A60560" s="374"/>
      <c r="C60560" s="374"/>
      <c r="CV60560" s="376"/>
    </row>
    <row r="60561" spans="1:100">
      <c r="A60561" s="374"/>
      <c r="C60561" s="374"/>
      <c r="CV60561" s="376"/>
    </row>
    <row r="60562" spans="1:100">
      <c r="A60562" s="374"/>
      <c r="C60562" s="374"/>
      <c r="CV60562" s="376"/>
    </row>
    <row r="60563" spans="1:100">
      <c r="A60563" s="374"/>
      <c r="C60563" s="374"/>
      <c r="CV60563" s="376"/>
    </row>
    <row r="60564" spans="1:100">
      <c r="A60564" s="374"/>
      <c r="C60564" s="374"/>
      <c r="CV60564" s="376"/>
    </row>
    <row r="60565" spans="1:100">
      <c r="A60565" s="374"/>
      <c r="C60565" s="374"/>
      <c r="CV60565" s="376"/>
    </row>
    <row r="60566" spans="1:100">
      <c r="A60566" s="374"/>
      <c r="C60566" s="374"/>
      <c r="CV60566" s="376"/>
    </row>
    <row r="60567" spans="1:100">
      <c r="A60567" s="374"/>
      <c r="C60567" s="374"/>
      <c r="CV60567" s="376"/>
    </row>
    <row r="60568" spans="1:100">
      <c r="A60568" s="374"/>
      <c r="C60568" s="374"/>
      <c r="CV60568" s="376"/>
    </row>
    <row r="60569" spans="1:100">
      <c r="A60569" s="374"/>
      <c r="C60569" s="374"/>
      <c r="CV60569" s="376"/>
    </row>
    <row r="60570" spans="1:100">
      <c r="A60570" s="374"/>
      <c r="C60570" s="374"/>
      <c r="CV60570" s="376"/>
    </row>
    <row r="60571" spans="1:100">
      <c r="A60571" s="374"/>
      <c r="C60571" s="374"/>
      <c r="CV60571" s="376"/>
    </row>
    <row r="60572" spans="1:100">
      <c r="A60572" s="374"/>
      <c r="C60572" s="374"/>
      <c r="CV60572" s="376"/>
    </row>
    <row r="60573" spans="1:100">
      <c r="A60573" s="374"/>
      <c r="C60573" s="374"/>
      <c r="CV60573" s="376"/>
    </row>
    <row r="60574" spans="1:100">
      <c r="A60574" s="374"/>
      <c r="C60574" s="374"/>
      <c r="CV60574" s="376"/>
    </row>
    <row r="60575" spans="1:100">
      <c r="A60575" s="374"/>
      <c r="C60575" s="374"/>
      <c r="CV60575" s="376"/>
    </row>
    <row r="60576" spans="1:100">
      <c r="A60576" s="374"/>
      <c r="C60576" s="374"/>
      <c r="CV60576" s="376"/>
    </row>
    <row r="60577" spans="1:100">
      <c r="A60577" s="374"/>
      <c r="C60577" s="374"/>
      <c r="CV60577" s="376"/>
    </row>
    <row r="60578" spans="1:100">
      <c r="A60578" s="374"/>
      <c r="C60578" s="374"/>
      <c r="CV60578" s="376"/>
    </row>
    <row r="60579" spans="1:100">
      <c r="A60579" s="374"/>
      <c r="C60579" s="374"/>
      <c r="CV60579" s="376"/>
    </row>
    <row r="60580" spans="1:100">
      <c r="A60580" s="374"/>
      <c r="C60580" s="374"/>
      <c r="CV60580" s="376"/>
    </row>
    <row r="60581" spans="1:100">
      <c r="A60581" s="374"/>
      <c r="C60581" s="374"/>
      <c r="CV60581" s="376"/>
    </row>
    <row r="60582" spans="1:100">
      <c r="A60582" s="374"/>
      <c r="C60582" s="374"/>
      <c r="CV60582" s="376"/>
    </row>
    <row r="60583" spans="1:100">
      <c r="A60583" s="374"/>
      <c r="C60583" s="374"/>
      <c r="CV60583" s="376"/>
    </row>
    <row r="60584" spans="1:100">
      <c r="A60584" s="374"/>
      <c r="C60584" s="374"/>
      <c r="CV60584" s="376"/>
    </row>
    <row r="60585" spans="1:100">
      <c r="A60585" s="374"/>
      <c r="C60585" s="374"/>
      <c r="CV60585" s="376"/>
    </row>
    <row r="60586" spans="1:100">
      <c r="A60586" s="374"/>
      <c r="C60586" s="374"/>
      <c r="CV60586" s="376"/>
    </row>
    <row r="60587" spans="1:100">
      <c r="A60587" s="374"/>
      <c r="C60587" s="374"/>
      <c r="CV60587" s="376"/>
    </row>
    <row r="60588" spans="1:100">
      <c r="A60588" s="374"/>
      <c r="C60588" s="374"/>
      <c r="CV60588" s="376"/>
    </row>
    <row r="60589" spans="1:100">
      <c r="A60589" s="374"/>
      <c r="C60589" s="374"/>
      <c r="CV60589" s="376"/>
    </row>
    <row r="60590" spans="1:100">
      <c r="A60590" s="374"/>
      <c r="C60590" s="374"/>
      <c r="CV60590" s="376"/>
    </row>
    <row r="60591" spans="1:100">
      <c r="A60591" s="374"/>
      <c r="C60591" s="374"/>
      <c r="CV60591" s="376"/>
    </row>
    <row r="60592" spans="1:100">
      <c r="A60592" s="374"/>
      <c r="C60592" s="374"/>
      <c r="CV60592" s="376"/>
    </row>
    <row r="60593" spans="1:100">
      <c r="A60593" s="374"/>
      <c r="C60593" s="374"/>
      <c r="CV60593" s="376"/>
    </row>
    <row r="60594" spans="1:100">
      <c r="A60594" s="374"/>
      <c r="C60594" s="374"/>
      <c r="CV60594" s="376"/>
    </row>
    <row r="60595" spans="1:100">
      <c r="A60595" s="374"/>
      <c r="C60595" s="374"/>
      <c r="CV60595" s="376"/>
    </row>
    <row r="60596" spans="1:100">
      <c r="A60596" s="374"/>
      <c r="C60596" s="374"/>
      <c r="CV60596" s="376"/>
    </row>
    <row r="60597" spans="1:100">
      <c r="A60597" s="374"/>
      <c r="C60597" s="374"/>
      <c r="CV60597" s="376"/>
    </row>
    <row r="60598" spans="1:100">
      <c r="A60598" s="374"/>
      <c r="C60598" s="374"/>
      <c r="CV60598" s="376"/>
    </row>
    <row r="60599" spans="1:100">
      <c r="A60599" s="374"/>
      <c r="C60599" s="374"/>
      <c r="CV60599" s="376"/>
    </row>
    <row r="60600" spans="1:100">
      <c r="A60600" s="374"/>
      <c r="C60600" s="374"/>
      <c r="CV60600" s="376"/>
    </row>
    <row r="60601" spans="1:100">
      <c r="A60601" s="374"/>
      <c r="C60601" s="374"/>
      <c r="CV60601" s="376"/>
    </row>
    <row r="60602" spans="1:100">
      <c r="A60602" s="374"/>
      <c r="C60602" s="374"/>
      <c r="CV60602" s="376"/>
    </row>
    <row r="60603" spans="1:100">
      <c r="A60603" s="374"/>
      <c r="C60603" s="374"/>
      <c r="CV60603" s="376"/>
    </row>
    <row r="60604" spans="1:100">
      <c r="A60604" s="374"/>
      <c r="C60604" s="374"/>
      <c r="CV60604" s="376"/>
    </row>
    <row r="60605" spans="1:100">
      <c r="A60605" s="374"/>
      <c r="C60605" s="374"/>
      <c r="CV60605" s="376"/>
    </row>
    <row r="60606" spans="1:100">
      <c r="A60606" s="374"/>
      <c r="C60606" s="374"/>
      <c r="CV60606" s="376"/>
    </row>
    <row r="60607" spans="1:100">
      <c r="A60607" s="374"/>
      <c r="C60607" s="374"/>
      <c r="CV60607" s="376"/>
    </row>
    <row r="60608" spans="1:100">
      <c r="A60608" s="374"/>
      <c r="C60608" s="374"/>
      <c r="CV60608" s="376"/>
    </row>
    <row r="60609" spans="1:100">
      <c r="A60609" s="374"/>
      <c r="C60609" s="374"/>
      <c r="CV60609" s="376"/>
    </row>
    <row r="60610" spans="1:100">
      <c r="A60610" s="374"/>
      <c r="C60610" s="374"/>
      <c r="CV60610" s="376"/>
    </row>
    <row r="60611" spans="1:100">
      <c r="A60611" s="374"/>
      <c r="C60611" s="374"/>
      <c r="CV60611" s="376"/>
    </row>
    <row r="60612" spans="1:100">
      <c r="A60612" s="374"/>
      <c r="C60612" s="374"/>
      <c r="CV60612" s="376"/>
    </row>
    <row r="60613" spans="1:100">
      <c r="A60613" s="374"/>
      <c r="C60613" s="374"/>
      <c r="CV60613" s="376"/>
    </row>
    <row r="60614" spans="1:100">
      <c r="A60614" s="374"/>
      <c r="C60614" s="374"/>
      <c r="CV60614" s="376"/>
    </row>
    <row r="60615" spans="1:100">
      <c r="A60615" s="374"/>
      <c r="C60615" s="374"/>
      <c r="CV60615" s="376"/>
    </row>
    <row r="60616" spans="1:100">
      <c r="A60616" s="374"/>
      <c r="C60616" s="374"/>
      <c r="CV60616" s="376"/>
    </row>
    <row r="60617" spans="1:100">
      <c r="A60617" s="374"/>
      <c r="C60617" s="374"/>
      <c r="CV60617" s="376"/>
    </row>
    <row r="60618" spans="1:100">
      <c r="A60618" s="374"/>
      <c r="C60618" s="374"/>
      <c r="CV60618" s="376"/>
    </row>
    <row r="60619" spans="1:100">
      <c r="A60619" s="374"/>
      <c r="C60619" s="374"/>
      <c r="CV60619" s="376"/>
    </row>
    <row r="60620" spans="1:100">
      <c r="A60620" s="374"/>
      <c r="C60620" s="374"/>
      <c r="CV60620" s="376"/>
    </row>
    <row r="60621" spans="1:100">
      <c r="A60621" s="374"/>
      <c r="C60621" s="374"/>
      <c r="CV60621" s="376"/>
    </row>
    <row r="60622" spans="1:100">
      <c r="A60622" s="374"/>
      <c r="C60622" s="374"/>
      <c r="CV60622" s="376"/>
    </row>
    <row r="60623" spans="1:100">
      <c r="A60623" s="374"/>
      <c r="C60623" s="374"/>
      <c r="CV60623" s="376"/>
    </row>
    <row r="60624" spans="1:100">
      <c r="A60624" s="374"/>
      <c r="C60624" s="374"/>
      <c r="CV60624" s="376"/>
    </row>
    <row r="60625" spans="1:100">
      <c r="A60625" s="374"/>
      <c r="C60625" s="374"/>
      <c r="CV60625" s="376"/>
    </row>
    <row r="60626" spans="1:100">
      <c r="A60626" s="374"/>
      <c r="C60626" s="374"/>
      <c r="CV60626" s="376"/>
    </row>
    <row r="60627" spans="1:100">
      <c r="A60627" s="374"/>
      <c r="C60627" s="374"/>
      <c r="CV60627" s="376"/>
    </row>
    <row r="60628" spans="1:100">
      <c r="A60628" s="374"/>
      <c r="C60628" s="374"/>
      <c r="CV60628" s="376"/>
    </row>
    <row r="60629" spans="1:100">
      <c r="A60629" s="374"/>
      <c r="C60629" s="374"/>
      <c r="CV60629" s="376"/>
    </row>
    <row r="60630" spans="1:100">
      <c r="A60630" s="374"/>
      <c r="C60630" s="374"/>
      <c r="CV60630" s="376"/>
    </row>
    <row r="60631" spans="1:100">
      <c r="A60631" s="374"/>
      <c r="C60631" s="374"/>
      <c r="CV60631" s="376"/>
    </row>
    <row r="60632" spans="1:100">
      <c r="A60632" s="374"/>
      <c r="C60632" s="374"/>
      <c r="CV60632" s="376"/>
    </row>
    <row r="60633" spans="1:100">
      <c r="A60633" s="374"/>
      <c r="C60633" s="374"/>
      <c r="CV60633" s="376"/>
    </row>
    <row r="60634" spans="1:100">
      <c r="A60634" s="374"/>
      <c r="C60634" s="374"/>
      <c r="CV60634" s="376"/>
    </row>
    <row r="60635" spans="1:100">
      <c r="A60635" s="374"/>
      <c r="C60635" s="374"/>
      <c r="CV60635" s="376"/>
    </row>
    <row r="60636" spans="1:100">
      <c r="A60636" s="374"/>
      <c r="C60636" s="374"/>
      <c r="CV60636" s="376"/>
    </row>
    <row r="60637" spans="1:100">
      <c r="A60637" s="374"/>
      <c r="C60637" s="374"/>
      <c r="CV60637" s="376"/>
    </row>
    <row r="60638" spans="1:100">
      <c r="A60638" s="374"/>
      <c r="C60638" s="374"/>
      <c r="CV60638" s="376"/>
    </row>
    <row r="60639" spans="1:100">
      <c r="A60639" s="374"/>
      <c r="C60639" s="374"/>
      <c r="CV60639" s="376"/>
    </row>
    <row r="60640" spans="1:100">
      <c r="A60640" s="374"/>
      <c r="C60640" s="374"/>
      <c r="CV60640" s="376"/>
    </row>
    <row r="60641" spans="1:100">
      <c r="A60641" s="374"/>
      <c r="C60641" s="374"/>
      <c r="CV60641" s="376"/>
    </row>
    <row r="60642" spans="1:100">
      <c r="A60642" s="374"/>
      <c r="C60642" s="374"/>
      <c r="CV60642" s="376"/>
    </row>
    <row r="60643" spans="1:100">
      <c r="A60643" s="374"/>
      <c r="C60643" s="374"/>
      <c r="CV60643" s="376"/>
    </row>
    <row r="60644" spans="1:100">
      <c r="A60644" s="374"/>
      <c r="C60644" s="374"/>
      <c r="CV60644" s="376"/>
    </row>
    <row r="60645" spans="1:100">
      <c r="A60645" s="374"/>
      <c r="C60645" s="374"/>
      <c r="CV60645" s="376"/>
    </row>
    <row r="60646" spans="1:100">
      <c r="A60646" s="374"/>
      <c r="C60646" s="374"/>
      <c r="CV60646" s="376"/>
    </row>
    <row r="60647" spans="1:100">
      <c r="A60647" s="374"/>
      <c r="C60647" s="374"/>
      <c r="CV60647" s="376"/>
    </row>
    <row r="60648" spans="1:100">
      <c r="A60648" s="374"/>
      <c r="C60648" s="374"/>
      <c r="CV60648" s="376"/>
    </row>
    <row r="60649" spans="1:100">
      <c r="A60649" s="374"/>
      <c r="C60649" s="374"/>
      <c r="CV60649" s="376"/>
    </row>
    <row r="60650" spans="1:100">
      <c r="A60650" s="374"/>
      <c r="C60650" s="374"/>
      <c r="CV60650" s="376"/>
    </row>
    <row r="60651" spans="1:100">
      <c r="A60651" s="374"/>
      <c r="C60651" s="374"/>
      <c r="CV60651" s="376"/>
    </row>
    <row r="60652" spans="1:100">
      <c r="A60652" s="374"/>
      <c r="C60652" s="374"/>
      <c r="CV60652" s="376"/>
    </row>
    <row r="60653" spans="1:100">
      <c r="A60653" s="374"/>
      <c r="C60653" s="374"/>
      <c r="CV60653" s="376"/>
    </row>
    <row r="60654" spans="1:100">
      <c r="A60654" s="374"/>
      <c r="C60654" s="374"/>
      <c r="CV60654" s="376"/>
    </row>
    <row r="60655" spans="1:100">
      <c r="A60655" s="374"/>
      <c r="C60655" s="374"/>
      <c r="CV60655" s="376"/>
    </row>
    <row r="60656" spans="1:100">
      <c r="A60656" s="374"/>
      <c r="C60656" s="374"/>
      <c r="CV60656" s="376"/>
    </row>
    <row r="60657" spans="1:100">
      <c r="A60657" s="374"/>
      <c r="C60657" s="374"/>
      <c r="CV60657" s="376"/>
    </row>
    <row r="60658" spans="1:100">
      <c r="A60658" s="374"/>
      <c r="C60658" s="374"/>
      <c r="CV60658" s="376"/>
    </row>
    <row r="60659" spans="1:100">
      <c r="A60659" s="374"/>
      <c r="C60659" s="374"/>
      <c r="CV60659" s="376"/>
    </row>
    <row r="60660" spans="1:100">
      <c r="A60660" s="374"/>
      <c r="C60660" s="374"/>
      <c r="CV60660" s="376"/>
    </row>
    <row r="60661" spans="1:100">
      <c r="A60661" s="374"/>
      <c r="C60661" s="374"/>
      <c r="CV60661" s="376"/>
    </row>
    <row r="60662" spans="1:100">
      <c r="A60662" s="374"/>
      <c r="C60662" s="374"/>
      <c r="CV60662" s="376"/>
    </row>
    <row r="60663" spans="1:100">
      <c r="A60663" s="374"/>
      <c r="C60663" s="374"/>
      <c r="CV60663" s="376"/>
    </row>
    <row r="60664" spans="1:100">
      <c r="A60664" s="374"/>
      <c r="C60664" s="374"/>
      <c r="CV60664" s="376"/>
    </row>
    <row r="60665" spans="1:100">
      <c r="A60665" s="374"/>
      <c r="C60665" s="374"/>
      <c r="CV60665" s="376"/>
    </row>
    <row r="60666" spans="1:100">
      <c r="A60666" s="374"/>
      <c r="C60666" s="374"/>
      <c r="CV60666" s="376"/>
    </row>
    <row r="60667" spans="1:100">
      <c r="A60667" s="374"/>
      <c r="C60667" s="374"/>
      <c r="CV60667" s="376"/>
    </row>
    <row r="60668" spans="1:100">
      <c r="A60668" s="374"/>
      <c r="C60668" s="374"/>
      <c r="CV60668" s="376"/>
    </row>
    <row r="60669" spans="1:100">
      <c r="A60669" s="374"/>
      <c r="C60669" s="374"/>
      <c r="CV60669" s="376"/>
    </row>
    <row r="60670" spans="1:100">
      <c r="A60670" s="374"/>
      <c r="C60670" s="374"/>
      <c r="CV60670" s="376"/>
    </row>
    <row r="60671" spans="1:100">
      <c r="A60671" s="374"/>
      <c r="C60671" s="374"/>
      <c r="CV60671" s="376"/>
    </row>
    <row r="60672" spans="1:100">
      <c r="A60672" s="374"/>
      <c r="C60672" s="374"/>
      <c r="CV60672" s="376"/>
    </row>
    <row r="60673" spans="1:100">
      <c r="A60673" s="374"/>
      <c r="C60673" s="374"/>
      <c r="CV60673" s="376"/>
    </row>
    <row r="60674" spans="1:100">
      <c r="A60674" s="374"/>
      <c r="C60674" s="374"/>
      <c r="CV60674" s="376"/>
    </row>
    <row r="60675" spans="1:100">
      <c r="A60675" s="374"/>
      <c r="C60675" s="374"/>
      <c r="CV60675" s="376"/>
    </row>
    <row r="60676" spans="1:100">
      <c r="A60676" s="374"/>
      <c r="C60676" s="374"/>
      <c r="CV60676" s="376"/>
    </row>
    <row r="60677" spans="1:100">
      <c r="A60677" s="374"/>
      <c r="C60677" s="374"/>
      <c r="CV60677" s="376"/>
    </row>
    <row r="60678" spans="1:100">
      <c r="A60678" s="374"/>
      <c r="C60678" s="374"/>
      <c r="CV60678" s="376"/>
    </row>
    <row r="60679" spans="1:100">
      <c r="A60679" s="374"/>
      <c r="C60679" s="374"/>
      <c r="CV60679" s="376"/>
    </row>
    <row r="60680" spans="1:100">
      <c r="A60680" s="374"/>
      <c r="C60680" s="374"/>
      <c r="CV60680" s="376"/>
    </row>
    <row r="60681" spans="1:100">
      <c r="A60681" s="374"/>
      <c r="C60681" s="374"/>
      <c r="CV60681" s="376"/>
    </row>
    <row r="60682" spans="1:100">
      <c r="A60682" s="374"/>
      <c r="C60682" s="374"/>
      <c r="CV60682" s="376"/>
    </row>
    <row r="60683" spans="1:100">
      <c r="A60683" s="374"/>
      <c r="C60683" s="374"/>
      <c r="CV60683" s="376"/>
    </row>
    <row r="60684" spans="1:100">
      <c r="A60684" s="374"/>
      <c r="C60684" s="374"/>
      <c r="CV60684" s="376"/>
    </row>
    <row r="60685" spans="1:100">
      <c r="A60685" s="374"/>
      <c r="C60685" s="374"/>
      <c r="CV60685" s="376"/>
    </row>
    <row r="60686" spans="1:100">
      <c r="A60686" s="374"/>
      <c r="C60686" s="374"/>
      <c r="CV60686" s="376"/>
    </row>
    <row r="60687" spans="1:100">
      <c r="A60687" s="374"/>
      <c r="C60687" s="374"/>
      <c r="CV60687" s="376"/>
    </row>
    <row r="60688" spans="1:100">
      <c r="A60688" s="374"/>
      <c r="C60688" s="374"/>
      <c r="CV60688" s="376"/>
    </row>
    <row r="60689" spans="1:100">
      <c r="A60689" s="374"/>
      <c r="C60689" s="374"/>
      <c r="CV60689" s="376"/>
    </row>
    <row r="60690" spans="1:100">
      <c r="A60690" s="374"/>
      <c r="C60690" s="374"/>
      <c r="CV60690" s="376"/>
    </row>
    <row r="60691" spans="1:100">
      <c r="A60691" s="374"/>
      <c r="C60691" s="374"/>
      <c r="CV60691" s="376"/>
    </row>
    <row r="60692" spans="1:100">
      <c r="A60692" s="374"/>
      <c r="C60692" s="374"/>
      <c r="CV60692" s="376"/>
    </row>
    <row r="60693" spans="1:100">
      <c r="A60693" s="374"/>
      <c r="C60693" s="374"/>
      <c r="CV60693" s="376"/>
    </row>
    <row r="60694" spans="1:100">
      <c r="A60694" s="374"/>
      <c r="C60694" s="374"/>
      <c r="CV60694" s="376"/>
    </row>
    <row r="60695" spans="1:100">
      <c r="A60695" s="374"/>
      <c r="C60695" s="374"/>
      <c r="CV60695" s="376"/>
    </row>
    <row r="60696" spans="1:100">
      <c r="A60696" s="374"/>
      <c r="C60696" s="374"/>
      <c r="CV60696" s="376"/>
    </row>
    <row r="60697" spans="1:100">
      <c r="A60697" s="374"/>
      <c r="C60697" s="374"/>
      <c r="CV60697" s="376"/>
    </row>
    <row r="60698" spans="1:100">
      <c r="A60698" s="374"/>
      <c r="C60698" s="374"/>
      <c r="CV60698" s="376"/>
    </row>
    <row r="60699" spans="1:100">
      <c r="A60699" s="374"/>
      <c r="C60699" s="374"/>
      <c r="CV60699" s="376"/>
    </row>
    <row r="60700" spans="1:100">
      <c r="A60700" s="374"/>
      <c r="C60700" s="374"/>
      <c r="CV60700" s="376"/>
    </row>
    <row r="60701" spans="1:100">
      <c r="A60701" s="374"/>
      <c r="C60701" s="374"/>
      <c r="CV60701" s="376"/>
    </row>
    <row r="60702" spans="1:100">
      <c r="A60702" s="374"/>
      <c r="C60702" s="374"/>
      <c r="CV60702" s="376"/>
    </row>
    <row r="60703" spans="1:100">
      <c r="A60703" s="374"/>
      <c r="C60703" s="374"/>
      <c r="CV60703" s="376"/>
    </row>
    <row r="60704" spans="1:100">
      <c r="A60704" s="374"/>
      <c r="C60704" s="374"/>
      <c r="CV60704" s="376"/>
    </row>
    <row r="60705" spans="1:100">
      <c r="A60705" s="374"/>
      <c r="C60705" s="374"/>
      <c r="CV60705" s="376"/>
    </row>
    <row r="60706" spans="1:100">
      <c r="A60706" s="374"/>
      <c r="C60706" s="374"/>
      <c r="CV60706" s="376"/>
    </row>
    <row r="60707" spans="1:100">
      <c r="A60707" s="374"/>
      <c r="C60707" s="374"/>
      <c r="CV60707" s="376"/>
    </row>
    <row r="60708" spans="1:100">
      <c r="A60708" s="374"/>
      <c r="C60708" s="374"/>
      <c r="CV60708" s="376"/>
    </row>
    <row r="60709" spans="1:100">
      <c r="A60709" s="374"/>
      <c r="C60709" s="374"/>
      <c r="CV60709" s="376"/>
    </row>
    <row r="60710" spans="1:100">
      <c r="A60710" s="374"/>
      <c r="C60710" s="374"/>
      <c r="CV60710" s="376"/>
    </row>
    <row r="60711" spans="1:100">
      <c r="A60711" s="374"/>
      <c r="C60711" s="374"/>
      <c r="CV60711" s="376"/>
    </row>
    <row r="60712" spans="1:100">
      <c r="A60712" s="374"/>
      <c r="C60712" s="374"/>
      <c r="CV60712" s="376"/>
    </row>
    <row r="60713" spans="1:100">
      <c r="A60713" s="374"/>
      <c r="C60713" s="374"/>
      <c r="CV60713" s="376"/>
    </row>
    <row r="60714" spans="1:100">
      <c r="A60714" s="374"/>
      <c r="C60714" s="374"/>
      <c r="CV60714" s="376"/>
    </row>
    <row r="60715" spans="1:100">
      <c r="A60715" s="374"/>
      <c r="C60715" s="374"/>
      <c r="CV60715" s="376"/>
    </row>
    <row r="60716" spans="1:100">
      <c r="A60716" s="374"/>
      <c r="C60716" s="374"/>
      <c r="CV60716" s="376"/>
    </row>
    <row r="60717" spans="1:100">
      <c r="A60717" s="374"/>
      <c r="C60717" s="374"/>
      <c r="CV60717" s="376"/>
    </row>
    <row r="60718" spans="1:100">
      <c r="A60718" s="374"/>
      <c r="C60718" s="374"/>
      <c r="CV60718" s="376"/>
    </row>
    <row r="60719" spans="1:100">
      <c r="A60719" s="374"/>
      <c r="C60719" s="374"/>
      <c r="CV60719" s="376"/>
    </row>
    <row r="60720" spans="1:100">
      <c r="A60720" s="374"/>
      <c r="C60720" s="374"/>
      <c r="CV60720" s="376"/>
    </row>
    <row r="60721" spans="1:100">
      <c r="A60721" s="374"/>
      <c r="C60721" s="374"/>
      <c r="CV60721" s="376"/>
    </row>
    <row r="60722" spans="1:100">
      <c r="A60722" s="374"/>
      <c r="C60722" s="374"/>
      <c r="CV60722" s="376"/>
    </row>
    <row r="60723" spans="1:100">
      <c r="A60723" s="374"/>
      <c r="C60723" s="374"/>
      <c r="CV60723" s="376"/>
    </row>
    <row r="60724" spans="1:100">
      <c r="A60724" s="374"/>
      <c r="C60724" s="374"/>
      <c r="CV60724" s="376"/>
    </row>
    <row r="60725" spans="1:100">
      <c r="A60725" s="374"/>
      <c r="C60725" s="374"/>
      <c r="CV60725" s="376"/>
    </row>
    <row r="60726" spans="1:100">
      <c r="A60726" s="374"/>
      <c r="C60726" s="374"/>
      <c r="CV60726" s="376"/>
    </row>
    <row r="60727" spans="1:100">
      <c r="A60727" s="374"/>
      <c r="C60727" s="374"/>
      <c r="CV60727" s="376"/>
    </row>
    <row r="60728" spans="1:100">
      <c r="A60728" s="374"/>
      <c r="C60728" s="374"/>
      <c r="CV60728" s="376"/>
    </row>
    <row r="60729" spans="1:100">
      <c r="A60729" s="374"/>
      <c r="C60729" s="374"/>
      <c r="CV60729" s="376"/>
    </row>
    <row r="60730" spans="1:100">
      <c r="A60730" s="374"/>
      <c r="C60730" s="374"/>
      <c r="CV60730" s="376"/>
    </row>
    <row r="60731" spans="1:100">
      <c r="A60731" s="374"/>
      <c r="C60731" s="374"/>
      <c r="CV60731" s="376"/>
    </row>
    <row r="60732" spans="1:100">
      <c r="A60732" s="374"/>
      <c r="C60732" s="374"/>
      <c r="CV60732" s="376"/>
    </row>
    <row r="60733" spans="1:100">
      <c r="A60733" s="374"/>
      <c r="C60733" s="374"/>
      <c r="CV60733" s="376"/>
    </row>
    <row r="60734" spans="1:100">
      <c r="A60734" s="374"/>
      <c r="C60734" s="374"/>
      <c r="CV60734" s="376"/>
    </row>
    <row r="60735" spans="1:100">
      <c r="A60735" s="374"/>
      <c r="C60735" s="374"/>
      <c r="CV60735" s="376"/>
    </row>
    <row r="60736" spans="1:100">
      <c r="A60736" s="374"/>
      <c r="C60736" s="374"/>
      <c r="CV60736" s="376"/>
    </row>
    <row r="60737" spans="1:100">
      <c r="A60737" s="374"/>
      <c r="C60737" s="374"/>
      <c r="CV60737" s="376"/>
    </row>
    <row r="60738" spans="1:100">
      <c r="A60738" s="374"/>
      <c r="C60738" s="374"/>
      <c r="CV60738" s="376"/>
    </row>
    <row r="60739" spans="1:100">
      <c r="A60739" s="374"/>
      <c r="C60739" s="374"/>
      <c r="CV60739" s="376"/>
    </row>
    <row r="60740" spans="1:100">
      <c r="A60740" s="374"/>
      <c r="C60740" s="374"/>
      <c r="CV60740" s="376"/>
    </row>
    <row r="60741" spans="1:100">
      <c r="A60741" s="374"/>
      <c r="C60741" s="374"/>
      <c r="CV60741" s="376"/>
    </row>
    <row r="60742" spans="1:100">
      <c r="A60742" s="374"/>
      <c r="C60742" s="374"/>
      <c r="CV60742" s="376"/>
    </row>
    <row r="60743" spans="1:100">
      <c r="A60743" s="374"/>
      <c r="C60743" s="374"/>
      <c r="CV60743" s="376"/>
    </row>
    <row r="60744" spans="1:100">
      <c r="A60744" s="374"/>
      <c r="C60744" s="374"/>
      <c r="CV60744" s="376"/>
    </row>
    <row r="60745" spans="1:100">
      <c r="A60745" s="374"/>
      <c r="C60745" s="374"/>
      <c r="CV60745" s="376"/>
    </row>
    <row r="60746" spans="1:100">
      <c r="A60746" s="374"/>
      <c r="C60746" s="374"/>
      <c r="CV60746" s="376"/>
    </row>
    <row r="60747" spans="1:100">
      <c r="A60747" s="374"/>
      <c r="C60747" s="374"/>
      <c r="CV60747" s="376"/>
    </row>
    <row r="60748" spans="1:100">
      <c r="A60748" s="374"/>
      <c r="C60748" s="374"/>
      <c r="CV60748" s="376"/>
    </row>
    <row r="60749" spans="1:100">
      <c r="A60749" s="374"/>
      <c r="C60749" s="374"/>
      <c r="CV60749" s="376"/>
    </row>
    <row r="60750" spans="1:100">
      <c r="A60750" s="374"/>
      <c r="C60750" s="374"/>
      <c r="CV60750" s="376"/>
    </row>
    <row r="60751" spans="1:100">
      <c r="A60751" s="374"/>
      <c r="C60751" s="374"/>
      <c r="CV60751" s="376"/>
    </row>
    <row r="60752" spans="1:100">
      <c r="A60752" s="374"/>
      <c r="C60752" s="374"/>
      <c r="CV60752" s="376"/>
    </row>
    <row r="60753" spans="1:100">
      <c r="A60753" s="374"/>
      <c r="C60753" s="374"/>
      <c r="CV60753" s="376"/>
    </row>
    <row r="60754" spans="1:100">
      <c r="A60754" s="374"/>
      <c r="C60754" s="374"/>
      <c r="CV60754" s="376"/>
    </row>
    <row r="60755" spans="1:100">
      <c r="A60755" s="374"/>
      <c r="C60755" s="374"/>
      <c r="CV60755" s="376"/>
    </row>
    <row r="60756" spans="1:100">
      <c r="A60756" s="374"/>
      <c r="C60756" s="374"/>
      <c r="CV60756" s="376"/>
    </row>
    <row r="60757" spans="1:100">
      <c r="A60757" s="374"/>
      <c r="C60757" s="374"/>
      <c r="CV60757" s="376"/>
    </row>
    <row r="60758" spans="1:100">
      <c r="A60758" s="374"/>
      <c r="C60758" s="374"/>
      <c r="CV60758" s="376"/>
    </row>
    <row r="60759" spans="1:100">
      <c r="A60759" s="374"/>
      <c r="C60759" s="374"/>
      <c r="CV60759" s="376"/>
    </row>
    <row r="60760" spans="1:100">
      <c r="A60760" s="374"/>
      <c r="C60760" s="374"/>
      <c r="CV60760" s="376"/>
    </row>
    <row r="60761" spans="1:100">
      <c r="A60761" s="374"/>
      <c r="C60761" s="374"/>
      <c r="CV60761" s="376"/>
    </row>
    <row r="60762" spans="1:100">
      <c r="A60762" s="374"/>
      <c r="C60762" s="374"/>
      <c r="CV60762" s="376"/>
    </row>
    <row r="60763" spans="1:100">
      <c r="A60763" s="374"/>
      <c r="C60763" s="374"/>
      <c r="CV60763" s="376"/>
    </row>
    <row r="60764" spans="1:100">
      <c r="A60764" s="374"/>
      <c r="C60764" s="374"/>
      <c r="CV60764" s="376"/>
    </row>
    <row r="60765" spans="1:100">
      <c r="A60765" s="374"/>
      <c r="C60765" s="374"/>
      <c r="CV60765" s="376"/>
    </row>
    <row r="60766" spans="1:100">
      <c r="A60766" s="374"/>
      <c r="C60766" s="374"/>
      <c r="CV60766" s="376"/>
    </row>
    <row r="60767" spans="1:100">
      <c r="A60767" s="374"/>
      <c r="C60767" s="374"/>
      <c r="CV60767" s="376"/>
    </row>
    <row r="60768" spans="1:100">
      <c r="A60768" s="374"/>
      <c r="C60768" s="374"/>
      <c r="CV60768" s="376"/>
    </row>
    <row r="60769" spans="1:100">
      <c r="A60769" s="374"/>
      <c r="C60769" s="374"/>
      <c r="CV60769" s="376"/>
    </row>
    <row r="60770" spans="1:100">
      <c r="A60770" s="374"/>
      <c r="C60770" s="374"/>
      <c r="CV60770" s="376"/>
    </row>
    <row r="60771" spans="1:100">
      <c r="A60771" s="374"/>
      <c r="C60771" s="374"/>
      <c r="CV60771" s="376"/>
    </row>
    <row r="60772" spans="1:100">
      <c r="A60772" s="374"/>
      <c r="C60772" s="374"/>
      <c r="CV60772" s="376"/>
    </row>
    <row r="60773" spans="1:100">
      <c r="A60773" s="374"/>
      <c r="C60773" s="374"/>
      <c r="CV60773" s="376"/>
    </row>
    <row r="60774" spans="1:100">
      <c r="A60774" s="374"/>
      <c r="C60774" s="374"/>
      <c r="CV60774" s="376"/>
    </row>
    <row r="60775" spans="1:100">
      <c r="A60775" s="374"/>
      <c r="C60775" s="374"/>
      <c r="CV60775" s="376"/>
    </row>
    <row r="60776" spans="1:100">
      <c r="A60776" s="374"/>
      <c r="C60776" s="374"/>
      <c r="CV60776" s="376"/>
    </row>
    <row r="60777" spans="1:100">
      <c r="A60777" s="374"/>
      <c r="C60777" s="374"/>
      <c r="CV60777" s="376"/>
    </row>
    <row r="60778" spans="1:100">
      <c r="A60778" s="374"/>
      <c r="C60778" s="374"/>
      <c r="CV60778" s="376"/>
    </row>
    <row r="60779" spans="1:100">
      <c r="A60779" s="374"/>
      <c r="C60779" s="374"/>
      <c r="CV60779" s="376"/>
    </row>
    <row r="60780" spans="1:100">
      <c r="A60780" s="374"/>
      <c r="C60780" s="374"/>
      <c r="CV60780" s="376"/>
    </row>
    <row r="60781" spans="1:100">
      <c r="A60781" s="374"/>
      <c r="C60781" s="374"/>
      <c r="CV60781" s="376"/>
    </row>
    <row r="60782" spans="1:100">
      <c r="A60782" s="374"/>
      <c r="C60782" s="374"/>
      <c r="CV60782" s="376"/>
    </row>
    <row r="60783" spans="1:100">
      <c r="A60783" s="374"/>
      <c r="C60783" s="374"/>
      <c r="CV60783" s="376"/>
    </row>
    <row r="60784" spans="1:100">
      <c r="A60784" s="374"/>
      <c r="C60784" s="374"/>
      <c r="CV60784" s="376"/>
    </row>
    <row r="60785" spans="1:100">
      <c r="A60785" s="374"/>
      <c r="C60785" s="374"/>
      <c r="CV60785" s="376"/>
    </row>
    <row r="60786" spans="1:100">
      <c r="A60786" s="374"/>
      <c r="C60786" s="374"/>
      <c r="CV60786" s="376"/>
    </row>
    <row r="60787" spans="1:100">
      <c r="A60787" s="374"/>
      <c r="C60787" s="374"/>
      <c r="CV60787" s="376"/>
    </row>
    <row r="60788" spans="1:100">
      <c r="A60788" s="374"/>
      <c r="C60788" s="374"/>
      <c r="CV60788" s="376"/>
    </row>
    <row r="60789" spans="1:100">
      <c r="A60789" s="374"/>
      <c r="C60789" s="374"/>
      <c r="CV60789" s="376"/>
    </row>
    <row r="60790" spans="1:100">
      <c r="A60790" s="374"/>
      <c r="C60790" s="374"/>
      <c r="CV60790" s="376"/>
    </row>
    <row r="60791" spans="1:100">
      <c r="A60791" s="374"/>
      <c r="C60791" s="374"/>
      <c r="CV60791" s="376"/>
    </row>
    <row r="60792" spans="1:100">
      <c r="A60792" s="374"/>
      <c r="C60792" s="374"/>
      <c r="CV60792" s="376"/>
    </row>
    <row r="60793" spans="1:100">
      <c r="A60793" s="374"/>
      <c r="C60793" s="374"/>
      <c r="CV60793" s="376"/>
    </row>
    <row r="60794" spans="1:100">
      <c r="A60794" s="374"/>
      <c r="C60794" s="374"/>
      <c r="CV60794" s="376"/>
    </row>
    <row r="60795" spans="1:100">
      <c r="A60795" s="374"/>
      <c r="C60795" s="374"/>
      <c r="CV60795" s="376"/>
    </row>
    <row r="60796" spans="1:100">
      <c r="A60796" s="374"/>
      <c r="C60796" s="374"/>
      <c r="CV60796" s="376"/>
    </row>
    <row r="60797" spans="1:100">
      <c r="A60797" s="374"/>
      <c r="C60797" s="374"/>
      <c r="CV60797" s="376"/>
    </row>
    <row r="60798" spans="1:100">
      <c r="A60798" s="374"/>
      <c r="C60798" s="374"/>
      <c r="CV60798" s="376"/>
    </row>
    <row r="60799" spans="1:100">
      <c r="A60799" s="374"/>
      <c r="C60799" s="374"/>
      <c r="CV60799" s="376"/>
    </row>
    <row r="60800" spans="1:100">
      <c r="A60800" s="374"/>
      <c r="C60800" s="374"/>
      <c r="CV60800" s="376"/>
    </row>
    <row r="60801" spans="1:100">
      <c r="A60801" s="374"/>
      <c r="C60801" s="374"/>
      <c r="CV60801" s="376"/>
    </row>
    <row r="60802" spans="1:100">
      <c r="A60802" s="374"/>
      <c r="C60802" s="374"/>
      <c r="CV60802" s="376"/>
    </row>
    <row r="60803" spans="1:100">
      <c r="A60803" s="374"/>
      <c r="C60803" s="374"/>
      <c r="CV60803" s="376"/>
    </row>
    <row r="60804" spans="1:100">
      <c r="A60804" s="374"/>
      <c r="C60804" s="374"/>
      <c r="CV60804" s="376"/>
    </row>
    <row r="60805" spans="1:100">
      <c r="A60805" s="374"/>
      <c r="C60805" s="374"/>
      <c r="CV60805" s="376"/>
    </row>
    <row r="60806" spans="1:100">
      <c r="A60806" s="374"/>
      <c r="C60806" s="374"/>
      <c r="CV60806" s="376"/>
    </row>
    <row r="60807" spans="1:100">
      <c r="A60807" s="374"/>
      <c r="C60807" s="374"/>
      <c r="CV60807" s="376"/>
    </row>
    <row r="60808" spans="1:100">
      <c r="A60808" s="374"/>
      <c r="C60808" s="374"/>
      <c r="CV60808" s="376"/>
    </row>
    <row r="60809" spans="1:100">
      <c r="A60809" s="374"/>
      <c r="C60809" s="374"/>
      <c r="CV60809" s="376"/>
    </row>
    <row r="60810" spans="1:100">
      <c r="A60810" s="374"/>
      <c r="C60810" s="374"/>
      <c r="CV60810" s="376"/>
    </row>
    <row r="60811" spans="1:100">
      <c r="A60811" s="374"/>
      <c r="C60811" s="374"/>
      <c r="CV60811" s="376"/>
    </row>
    <row r="60812" spans="1:100">
      <c r="A60812" s="374"/>
      <c r="C60812" s="374"/>
      <c r="CV60812" s="376"/>
    </row>
    <row r="60813" spans="1:100">
      <c r="A60813" s="374"/>
      <c r="C60813" s="374"/>
      <c r="CV60813" s="376"/>
    </row>
    <row r="60814" spans="1:100">
      <c r="A60814" s="374"/>
      <c r="C60814" s="374"/>
      <c r="CV60814" s="376"/>
    </row>
    <row r="60815" spans="1:100">
      <c r="A60815" s="374"/>
      <c r="C60815" s="374"/>
      <c r="CV60815" s="376"/>
    </row>
    <row r="60816" spans="1:100">
      <c r="A60816" s="374"/>
      <c r="C60816" s="374"/>
      <c r="CV60816" s="376"/>
    </row>
    <row r="60817" spans="1:100">
      <c r="A60817" s="374"/>
      <c r="C60817" s="374"/>
      <c r="CV60817" s="376"/>
    </row>
    <row r="60818" spans="1:100">
      <c r="A60818" s="374"/>
      <c r="C60818" s="374"/>
      <c r="CV60818" s="376"/>
    </row>
    <row r="60819" spans="1:100">
      <c r="A60819" s="374"/>
      <c r="C60819" s="374"/>
      <c r="CV60819" s="376"/>
    </row>
    <row r="60820" spans="1:100">
      <c r="A60820" s="374"/>
      <c r="C60820" s="374"/>
      <c r="CV60820" s="376"/>
    </row>
    <row r="60821" spans="1:100">
      <c r="A60821" s="374"/>
      <c r="C60821" s="374"/>
      <c r="CV60821" s="376"/>
    </row>
    <row r="60822" spans="1:100">
      <c r="A60822" s="374"/>
      <c r="C60822" s="374"/>
      <c r="CV60822" s="376"/>
    </row>
    <row r="60823" spans="1:100">
      <c r="A60823" s="374"/>
      <c r="C60823" s="374"/>
      <c r="CV60823" s="376"/>
    </row>
    <row r="60824" spans="1:100">
      <c r="A60824" s="374"/>
      <c r="C60824" s="374"/>
      <c r="CV60824" s="376"/>
    </row>
    <row r="60825" spans="1:100">
      <c r="A60825" s="374"/>
      <c r="C60825" s="374"/>
      <c r="CV60825" s="376"/>
    </row>
    <row r="60826" spans="1:100">
      <c r="A60826" s="374"/>
      <c r="C60826" s="374"/>
      <c r="CV60826" s="376"/>
    </row>
    <row r="60827" spans="1:100">
      <c r="A60827" s="374"/>
      <c r="C60827" s="374"/>
      <c r="CV60827" s="376"/>
    </row>
    <row r="60828" spans="1:100">
      <c r="A60828" s="374"/>
      <c r="C60828" s="374"/>
      <c r="CV60828" s="376"/>
    </row>
    <row r="60829" spans="1:100">
      <c r="A60829" s="374"/>
      <c r="C60829" s="374"/>
      <c r="CV60829" s="376"/>
    </row>
    <row r="60830" spans="1:100">
      <c r="A60830" s="374"/>
      <c r="C60830" s="374"/>
      <c r="CV60830" s="376"/>
    </row>
    <row r="60831" spans="1:100">
      <c r="A60831" s="374"/>
      <c r="C60831" s="374"/>
      <c r="CV60831" s="376"/>
    </row>
    <row r="60832" spans="1:100">
      <c r="A60832" s="374"/>
      <c r="C60832" s="374"/>
      <c r="CV60832" s="376"/>
    </row>
    <row r="60833" spans="1:100">
      <c r="A60833" s="374"/>
      <c r="C60833" s="374"/>
      <c r="CV60833" s="376"/>
    </row>
    <row r="60834" spans="1:100">
      <c r="A60834" s="374"/>
      <c r="C60834" s="374"/>
      <c r="CV60834" s="376"/>
    </row>
    <row r="60835" spans="1:100">
      <c r="A60835" s="374"/>
      <c r="C60835" s="374"/>
      <c r="CV60835" s="376"/>
    </row>
    <row r="60836" spans="1:100">
      <c r="A60836" s="374"/>
      <c r="C60836" s="374"/>
      <c r="CV60836" s="376"/>
    </row>
    <row r="60837" spans="1:100">
      <c r="A60837" s="374"/>
      <c r="C60837" s="374"/>
      <c r="CV60837" s="376"/>
    </row>
    <row r="60838" spans="1:100">
      <c r="A60838" s="374"/>
      <c r="C60838" s="374"/>
      <c r="CV60838" s="376"/>
    </row>
    <row r="60839" spans="1:100">
      <c r="A60839" s="374"/>
      <c r="C60839" s="374"/>
      <c r="CV60839" s="376"/>
    </row>
    <row r="60840" spans="1:100">
      <c r="A60840" s="374"/>
      <c r="C60840" s="374"/>
      <c r="CV60840" s="376"/>
    </row>
    <row r="60841" spans="1:100">
      <c r="A60841" s="374"/>
      <c r="C60841" s="374"/>
      <c r="CV60841" s="376"/>
    </row>
    <row r="60842" spans="1:100">
      <c r="A60842" s="374"/>
      <c r="C60842" s="374"/>
      <c r="CV60842" s="376"/>
    </row>
    <row r="60843" spans="1:100">
      <c r="A60843" s="374"/>
      <c r="C60843" s="374"/>
      <c r="CV60843" s="376"/>
    </row>
    <row r="60844" spans="1:100">
      <c r="A60844" s="374"/>
      <c r="C60844" s="374"/>
      <c r="CV60844" s="376"/>
    </row>
    <row r="60845" spans="1:100">
      <c r="A60845" s="374"/>
      <c r="C60845" s="374"/>
      <c r="CV60845" s="376"/>
    </row>
    <row r="60846" spans="1:100">
      <c r="A60846" s="374"/>
      <c r="C60846" s="374"/>
      <c r="CV60846" s="376"/>
    </row>
    <row r="60847" spans="1:100">
      <c r="A60847" s="374"/>
      <c r="C60847" s="374"/>
      <c r="CV60847" s="376"/>
    </row>
    <row r="60848" spans="1:100">
      <c r="A60848" s="374"/>
      <c r="C60848" s="374"/>
      <c r="CV60848" s="376"/>
    </row>
    <row r="60849" spans="1:100">
      <c r="A60849" s="374"/>
      <c r="C60849" s="374"/>
      <c r="CV60849" s="376"/>
    </row>
    <row r="60850" spans="1:100">
      <c r="A60850" s="374"/>
      <c r="C60850" s="374"/>
      <c r="CV60850" s="376"/>
    </row>
    <row r="60851" spans="1:100">
      <c r="A60851" s="374"/>
      <c r="C60851" s="374"/>
      <c r="CV60851" s="376"/>
    </row>
    <row r="60852" spans="1:100">
      <c r="A60852" s="374"/>
      <c r="C60852" s="374"/>
      <c r="CV60852" s="376"/>
    </row>
    <row r="60853" spans="1:100">
      <c r="A60853" s="374"/>
      <c r="C60853" s="374"/>
      <c r="CV60853" s="376"/>
    </row>
    <row r="60854" spans="1:100">
      <c r="A60854" s="374"/>
      <c r="C60854" s="374"/>
      <c r="CV60854" s="376"/>
    </row>
    <row r="60855" spans="1:100">
      <c r="A60855" s="374"/>
      <c r="C60855" s="374"/>
      <c r="CV60855" s="376"/>
    </row>
    <row r="60856" spans="1:100">
      <c r="A60856" s="374"/>
      <c r="C60856" s="374"/>
      <c r="CV60856" s="376"/>
    </row>
    <row r="60857" spans="1:100">
      <c r="A60857" s="374"/>
      <c r="C60857" s="374"/>
      <c r="CV60857" s="376"/>
    </row>
    <row r="60858" spans="1:100">
      <c r="A60858" s="374"/>
      <c r="C60858" s="374"/>
      <c r="CV60858" s="376"/>
    </row>
    <row r="60859" spans="1:100">
      <c r="A60859" s="374"/>
      <c r="C60859" s="374"/>
      <c r="CV60859" s="376"/>
    </row>
    <row r="60860" spans="1:100">
      <c r="A60860" s="374"/>
      <c r="C60860" s="374"/>
      <c r="CV60860" s="376"/>
    </row>
    <row r="60861" spans="1:100">
      <c r="A60861" s="374"/>
      <c r="C60861" s="374"/>
      <c r="CV60861" s="376"/>
    </row>
    <row r="60862" spans="1:100">
      <c r="A60862" s="374"/>
      <c r="C60862" s="374"/>
      <c r="CV60862" s="376"/>
    </row>
    <row r="60863" spans="1:100">
      <c r="A60863" s="374"/>
      <c r="C60863" s="374"/>
      <c r="CV60863" s="376"/>
    </row>
    <row r="60864" spans="1:100">
      <c r="A60864" s="374"/>
      <c r="C60864" s="374"/>
      <c r="CV60864" s="376"/>
    </row>
    <row r="60865" spans="1:100">
      <c r="A60865" s="374"/>
      <c r="C60865" s="374"/>
      <c r="CV60865" s="376"/>
    </row>
    <row r="60866" spans="1:100">
      <c r="A60866" s="374"/>
      <c r="C60866" s="374"/>
      <c r="CV60866" s="376"/>
    </row>
    <row r="60867" spans="1:100">
      <c r="A60867" s="374"/>
      <c r="C60867" s="374"/>
      <c r="CV60867" s="376"/>
    </row>
    <row r="60868" spans="1:100">
      <c r="A60868" s="374"/>
      <c r="C60868" s="374"/>
      <c r="CV60868" s="376"/>
    </row>
    <row r="60869" spans="1:100">
      <c r="A60869" s="374"/>
      <c r="C60869" s="374"/>
      <c r="CV60869" s="376"/>
    </row>
    <row r="60870" spans="1:100">
      <c r="A60870" s="374"/>
      <c r="C60870" s="374"/>
      <c r="CV60870" s="376"/>
    </row>
    <row r="60871" spans="1:100">
      <c r="A60871" s="374"/>
      <c r="C60871" s="374"/>
      <c r="CV60871" s="376"/>
    </row>
    <row r="60872" spans="1:100">
      <c r="A60872" s="374"/>
      <c r="C60872" s="374"/>
      <c r="CV60872" s="376"/>
    </row>
    <row r="60873" spans="1:100">
      <c r="A60873" s="374"/>
      <c r="C60873" s="374"/>
      <c r="CV60873" s="376"/>
    </row>
    <row r="60874" spans="1:100">
      <c r="A60874" s="374"/>
      <c r="C60874" s="374"/>
      <c r="CV60874" s="376"/>
    </row>
    <row r="60875" spans="1:100">
      <c r="A60875" s="374"/>
      <c r="C60875" s="374"/>
      <c r="CV60875" s="376"/>
    </row>
    <row r="60876" spans="1:100">
      <c r="A60876" s="374"/>
      <c r="C60876" s="374"/>
      <c r="CV60876" s="376"/>
    </row>
    <row r="60877" spans="1:100">
      <c r="A60877" s="374"/>
      <c r="C60877" s="374"/>
      <c r="CV60877" s="376"/>
    </row>
    <row r="60878" spans="1:100">
      <c r="A60878" s="374"/>
      <c r="C60878" s="374"/>
      <c r="CV60878" s="376"/>
    </row>
    <row r="60879" spans="1:100">
      <c r="A60879" s="374"/>
      <c r="C60879" s="374"/>
      <c r="CV60879" s="376"/>
    </row>
    <row r="60880" spans="1:100">
      <c r="A60880" s="374"/>
      <c r="C60880" s="374"/>
      <c r="CV60880" s="376"/>
    </row>
    <row r="60881" spans="1:100">
      <c r="A60881" s="374"/>
      <c r="C60881" s="374"/>
      <c r="CV60881" s="376"/>
    </row>
    <row r="60882" spans="1:100">
      <c r="A60882" s="374"/>
      <c r="C60882" s="374"/>
      <c r="CV60882" s="376"/>
    </row>
    <row r="60883" spans="1:100">
      <c r="A60883" s="374"/>
      <c r="C60883" s="374"/>
      <c r="CV60883" s="376"/>
    </row>
    <row r="60884" spans="1:100">
      <c r="A60884" s="374"/>
      <c r="C60884" s="374"/>
      <c r="CV60884" s="376"/>
    </row>
    <row r="60885" spans="1:100">
      <c r="A60885" s="374"/>
      <c r="C60885" s="374"/>
      <c r="CV60885" s="376"/>
    </row>
    <row r="60886" spans="1:100">
      <c r="A60886" s="374"/>
      <c r="C60886" s="374"/>
      <c r="CV60886" s="376"/>
    </row>
    <row r="60887" spans="1:100">
      <c r="A60887" s="374"/>
      <c r="C60887" s="374"/>
      <c r="CV60887" s="376"/>
    </row>
    <row r="60888" spans="1:100">
      <c r="A60888" s="374"/>
      <c r="C60888" s="374"/>
      <c r="CV60888" s="376"/>
    </row>
    <row r="60889" spans="1:100">
      <c r="A60889" s="374"/>
      <c r="C60889" s="374"/>
      <c r="CV60889" s="376"/>
    </row>
    <row r="60890" spans="1:100">
      <c r="A60890" s="374"/>
      <c r="C60890" s="374"/>
      <c r="CV60890" s="376"/>
    </row>
    <row r="60891" spans="1:100">
      <c r="A60891" s="374"/>
      <c r="C60891" s="374"/>
      <c r="CV60891" s="376"/>
    </row>
    <row r="60892" spans="1:100">
      <c r="A60892" s="374"/>
      <c r="C60892" s="374"/>
      <c r="CV60892" s="376"/>
    </row>
    <row r="60893" spans="1:100">
      <c r="A60893" s="374"/>
      <c r="C60893" s="374"/>
      <c r="CV60893" s="376"/>
    </row>
    <row r="60894" spans="1:100">
      <c r="A60894" s="374"/>
      <c r="C60894" s="374"/>
      <c r="CV60894" s="376"/>
    </row>
    <row r="60895" spans="1:100">
      <c r="A60895" s="374"/>
      <c r="C60895" s="374"/>
      <c r="CV60895" s="376"/>
    </row>
    <row r="60896" spans="1:100">
      <c r="A60896" s="374"/>
      <c r="C60896" s="374"/>
      <c r="CV60896" s="376"/>
    </row>
    <row r="60897" spans="1:100">
      <c r="A60897" s="374"/>
      <c r="C60897" s="374"/>
      <c r="CV60897" s="376"/>
    </row>
    <row r="60898" spans="1:100">
      <c r="A60898" s="374"/>
      <c r="C60898" s="374"/>
      <c r="CV60898" s="376"/>
    </row>
    <row r="60899" spans="1:100">
      <c r="A60899" s="374"/>
      <c r="C60899" s="374"/>
      <c r="CV60899" s="376"/>
    </row>
    <row r="60900" spans="1:100">
      <c r="A60900" s="374"/>
      <c r="C60900" s="374"/>
      <c r="CV60900" s="376"/>
    </row>
    <row r="60901" spans="1:100">
      <c r="A60901" s="374"/>
      <c r="C60901" s="374"/>
      <c r="CV60901" s="376"/>
    </row>
    <row r="60902" spans="1:100">
      <c r="A60902" s="374"/>
      <c r="C60902" s="374"/>
      <c r="CV60902" s="376"/>
    </row>
    <row r="60903" spans="1:100">
      <c r="A60903" s="374"/>
      <c r="C60903" s="374"/>
      <c r="CV60903" s="376"/>
    </row>
    <row r="60904" spans="1:100">
      <c r="A60904" s="374"/>
      <c r="C60904" s="374"/>
      <c r="CV60904" s="376"/>
    </row>
    <row r="60905" spans="1:100">
      <c r="A60905" s="374"/>
      <c r="C60905" s="374"/>
      <c r="CV60905" s="376"/>
    </row>
    <row r="60906" spans="1:100">
      <c r="A60906" s="374"/>
      <c r="C60906" s="374"/>
      <c r="CV60906" s="376"/>
    </row>
    <row r="60907" spans="1:100">
      <c r="A60907" s="374"/>
      <c r="C60907" s="374"/>
      <c r="CV60907" s="376"/>
    </row>
    <row r="60908" spans="1:100">
      <c r="A60908" s="374"/>
      <c r="C60908" s="374"/>
      <c r="CV60908" s="376"/>
    </row>
    <row r="60909" spans="1:100">
      <c r="A60909" s="374"/>
      <c r="C60909" s="374"/>
      <c r="CV60909" s="376"/>
    </row>
    <row r="60910" spans="1:100">
      <c r="A60910" s="374"/>
      <c r="C60910" s="374"/>
      <c r="CV60910" s="376"/>
    </row>
    <row r="60911" spans="1:100">
      <c r="A60911" s="374"/>
      <c r="C60911" s="374"/>
      <c r="CV60911" s="376"/>
    </row>
    <row r="60912" spans="1:100">
      <c r="A60912" s="374"/>
      <c r="C60912" s="374"/>
      <c r="CV60912" s="376"/>
    </row>
    <row r="60913" spans="1:100">
      <c r="A60913" s="374"/>
      <c r="C60913" s="374"/>
      <c r="CV60913" s="376"/>
    </row>
    <row r="60914" spans="1:100">
      <c r="A60914" s="374"/>
      <c r="C60914" s="374"/>
      <c r="CV60914" s="376"/>
    </row>
    <row r="60915" spans="1:100">
      <c r="A60915" s="374"/>
      <c r="C60915" s="374"/>
      <c r="CV60915" s="376"/>
    </row>
    <row r="60916" spans="1:100">
      <c r="A60916" s="374"/>
      <c r="C60916" s="374"/>
      <c r="CV60916" s="376"/>
    </row>
    <row r="60917" spans="1:100">
      <c r="A60917" s="374"/>
      <c r="C60917" s="374"/>
      <c r="CV60917" s="376"/>
    </row>
    <row r="60918" spans="1:100">
      <c r="A60918" s="374"/>
      <c r="C60918" s="374"/>
      <c r="CV60918" s="376"/>
    </row>
    <row r="60919" spans="1:100">
      <c r="A60919" s="374"/>
      <c r="C60919" s="374"/>
      <c r="CV60919" s="376"/>
    </row>
    <row r="60920" spans="1:100">
      <c r="A60920" s="374"/>
      <c r="C60920" s="374"/>
      <c r="CV60920" s="376"/>
    </row>
    <row r="60921" spans="1:100">
      <c r="A60921" s="374"/>
      <c r="C60921" s="374"/>
      <c r="CV60921" s="376"/>
    </row>
    <row r="60922" spans="1:100">
      <c r="A60922" s="374"/>
      <c r="C60922" s="374"/>
      <c r="CV60922" s="376"/>
    </row>
    <row r="60923" spans="1:100">
      <c r="A60923" s="374"/>
      <c r="C60923" s="374"/>
      <c r="CV60923" s="376"/>
    </row>
    <row r="60924" spans="1:100">
      <c r="A60924" s="374"/>
      <c r="C60924" s="374"/>
      <c r="CV60924" s="376"/>
    </row>
    <row r="60925" spans="1:100">
      <c r="A60925" s="374"/>
      <c r="C60925" s="374"/>
      <c r="CV60925" s="376"/>
    </row>
    <row r="60926" spans="1:100">
      <c r="A60926" s="374"/>
      <c r="C60926" s="374"/>
      <c r="CV60926" s="376"/>
    </row>
    <row r="60927" spans="1:100">
      <c r="A60927" s="374"/>
      <c r="C60927" s="374"/>
      <c r="CV60927" s="376"/>
    </row>
    <row r="60928" spans="1:100">
      <c r="A60928" s="374"/>
      <c r="C60928" s="374"/>
      <c r="CV60928" s="376"/>
    </row>
    <row r="60929" spans="1:100">
      <c r="A60929" s="374"/>
      <c r="C60929" s="374"/>
      <c r="CV60929" s="376"/>
    </row>
    <row r="60930" spans="1:100">
      <c r="A60930" s="374"/>
      <c r="C60930" s="374"/>
      <c r="CV60930" s="376"/>
    </row>
    <row r="60931" spans="1:100">
      <c r="A60931" s="374"/>
      <c r="C60931" s="374"/>
      <c r="CV60931" s="376"/>
    </row>
    <row r="60932" spans="1:100">
      <c r="A60932" s="374"/>
      <c r="C60932" s="374"/>
      <c r="CV60932" s="376"/>
    </row>
    <row r="60933" spans="1:100">
      <c r="A60933" s="374"/>
      <c r="C60933" s="374"/>
      <c r="CV60933" s="376"/>
    </row>
    <row r="60934" spans="1:100">
      <c r="A60934" s="374"/>
      <c r="C60934" s="374"/>
      <c r="CV60934" s="376"/>
    </row>
    <row r="60935" spans="1:100">
      <c r="A60935" s="374"/>
      <c r="C60935" s="374"/>
      <c r="CV60935" s="376"/>
    </row>
    <row r="60936" spans="1:100">
      <c r="A60936" s="374"/>
      <c r="C60936" s="374"/>
      <c r="CV60936" s="376"/>
    </row>
    <row r="60937" spans="1:100">
      <c r="A60937" s="374"/>
      <c r="C60937" s="374"/>
      <c r="CV60937" s="376"/>
    </row>
    <row r="60938" spans="1:100">
      <c r="A60938" s="374"/>
      <c r="C60938" s="374"/>
      <c r="CV60938" s="376"/>
    </row>
    <row r="60939" spans="1:100">
      <c r="A60939" s="374"/>
      <c r="C60939" s="374"/>
      <c r="CV60939" s="376"/>
    </row>
    <row r="60940" spans="1:100">
      <c r="A60940" s="374"/>
      <c r="C60940" s="374"/>
      <c r="CV60940" s="376"/>
    </row>
    <row r="60941" spans="1:100">
      <c r="A60941" s="374"/>
      <c r="C60941" s="374"/>
      <c r="CV60941" s="376"/>
    </row>
    <row r="60942" spans="1:100">
      <c r="A60942" s="374"/>
      <c r="C60942" s="374"/>
      <c r="CV60942" s="376"/>
    </row>
    <row r="60943" spans="1:100">
      <c r="A60943" s="374"/>
      <c r="C60943" s="374"/>
      <c r="CV60943" s="376"/>
    </row>
    <row r="60944" spans="1:100">
      <c r="A60944" s="374"/>
      <c r="C60944" s="374"/>
      <c r="CV60944" s="376"/>
    </row>
    <row r="60945" spans="1:100">
      <c r="A60945" s="374"/>
      <c r="C60945" s="374"/>
      <c r="CV60945" s="376"/>
    </row>
    <row r="60946" spans="1:100">
      <c r="A60946" s="374"/>
      <c r="C60946" s="374"/>
      <c r="CV60946" s="376"/>
    </row>
    <row r="60947" spans="1:100">
      <c r="A60947" s="374"/>
      <c r="C60947" s="374"/>
      <c r="CV60947" s="376"/>
    </row>
    <row r="60948" spans="1:100">
      <c r="A60948" s="374"/>
      <c r="C60948" s="374"/>
      <c r="CV60948" s="376"/>
    </row>
    <row r="60949" spans="1:100">
      <c r="A60949" s="374"/>
      <c r="C60949" s="374"/>
      <c r="CV60949" s="376"/>
    </row>
    <row r="60950" spans="1:100">
      <c r="A60950" s="374"/>
      <c r="C60950" s="374"/>
      <c r="CV60950" s="376"/>
    </row>
    <row r="60951" spans="1:100">
      <c r="A60951" s="374"/>
      <c r="C60951" s="374"/>
      <c r="CV60951" s="376"/>
    </row>
    <row r="60952" spans="1:100">
      <c r="A60952" s="374"/>
      <c r="C60952" s="374"/>
      <c r="CV60952" s="376"/>
    </row>
    <row r="60953" spans="1:100">
      <c r="A60953" s="374"/>
      <c r="C60953" s="374"/>
      <c r="CV60953" s="376"/>
    </row>
    <row r="60954" spans="1:100">
      <c r="A60954" s="374"/>
      <c r="C60954" s="374"/>
      <c r="CV60954" s="376"/>
    </row>
    <row r="60955" spans="1:100">
      <c r="A60955" s="374"/>
      <c r="C60955" s="374"/>
      <c r="CV60955" s="376"/>
    </row>
    <row r="60956" spans="1:100">
      <c r="A60956" s="374"/>
      <c r="C60956" s="374"/>
      <c r="CV60956" s="376"/>
    </row>
    <row r="60957" spans="1:100">
      <c r="A60957" s="374"/>
      <c r="C60957" s="374"/>
      <c r="CV60957" s="376"/>
    </row>
    <row r="60958" spans="1:100">
      <c r="A60958" s="374"/>
      <c r="C60958" s="374"/>
      <c r="CV60958" s="376"/>
    </row>
    <row r="60959" spans="1:100">
      <c r="A60959" s="374"/>
      <c r="C60959" s="374"/>
      <c r="CV60959" s="376"/>
    </row>
    <row r="60960" spans="1:100">
      <c r="A60960" s="374"/>
      <c r="C60960" s="374"/>
      <c r="CV60960" s="376"/>
    </row>
    <row r="60961" spans="1:100">
      <c r="A60961" s="374"/>
      <c r="C60961" s="374"/>
      <c r="CV60961" s="376"/>
    </row>
    <row r="60962" spans="1:100">
      <c r="A60962" s="374"/>
      <c r="C60962" s="374"/>
      <c r="CV60962" s="376"/>
    </row>
    <row r="60963" spans="1:100">
      <c r="A60963" s="374"/>
      <c r="C60963" s="374"/>
      <c r="CV60963" s="376"/>
    </row>
    <row r="60964" spans="1:100">
      <c r="A60964" s="374"/>
      <c r="C60964" s="374"/>
      <c r="CV60964" s="376"/>
    </row>
    <row r="60965" spans="1:100">
      <c r="A60965" s="374"/>
      <c r="C60965" s="374"/>
      <c r="CV60965" s="376"/>
    </row>
    <row r="60966" spans="1:100">
      <c r="A60966" s="374"/>
      <c r="C60966" s="374"/>
      <c r="CV60966" s="376"/>
    </row>
    <row r="60967" spans="1:100">
      <c r="A60967" s="374"/>
      <c r="C60967" s="374"/>
      <c r="CV60967" s="376"/>
    </row>
    <row r="60968" spans="1:100">
      <c r="A60968" s="374"/>
      <c r="C60968" s="374"/>
      <c r="CV60968" s="376"/>
    </row>
    <row r="60969" spans="1:100">
      <c r="A60969" s="374"/>
      <c r="C60969" s="374"/>
      <c r="CV60969" s="376"/>
    </row>
    <row r="60970" spans="1:100">
      <c r="A60970" s="374"/>
      <c r="C60970" s="374"/>
      <c r="CV60970" s="376"/>
    </row>
    <row r="60971" spans="1:100">
      <c r="A60971" s="374"/>
      <c r="C60971" s="374"/>
      <c r="CV60971" s="376"/>
    </row>
    <row r="60972" spans="1:100">
      <c r="A60972" s="374"/>
      <c r="C60972" s="374"/>
      <c r="CV60972" s="376"/>
    </row>
    <row r="60973" spans="1:100">
      <c r="A60973" s="374"/>
      <c r="C60973" s="374"/>
      <c r="CV60973" s="376"/>
    </row>
    <row r="60974" spans="1:100">
      <c r="A60974" s="374"/>
      <c r="C60974" s="374"/>
      <c r="CV60974" s="376"/>
    </row>
    <row r="60975" spans="1:100">
      <c r="A60975" s="374"/>
      <c r="C60975" s="374"/>
      <c r="CV60975" s="376"/>
    </row>
    <row r="60976" spans="1:100">
      <c r="A60976" s="374"/>
      <c r="C60976" s="374"/>
      <c r="CV60976" s="376"/>
    </row>
    <row r="60977" spans="1:100">
      <c r="A60977" s="374"/>
      <c r="C60977" s="374"/>
      <c r="CV60977" s="376"/>
    </row>
    <row r="60978" spans="1:100">
      <c r="A60978" s="374"/>
      <c r="C60978" s="374"/>
      <c r="CV60978" s="376"/>
    </row>
    <row r="60979" spans="1:100">
      <c r="A60979" s="374"/>
      <c r="C60979" s="374"/>
      <c r="CV60979" s="376"/>
    </row>
    <row r="60980" spans="1:100">
      <c r="A60980" s="374"/>
      <c r="C60980" s="374"/>
      <c r="CV60980" s="376"/>
    </row>
    <row r="60981" spans="1:100">
      <c r="A60981" s="374"/>
      <c r="C60981" s="374"/>
      <c r="CV60981" s="376"/>
    </row>
    <row r="60982" spans="1:100">
      <c r="A60982" s="374"/>
      <c r="C60982" s="374"/>
      <c r="CV60982" s="376"/>
    </row>
    <row r="60983" spans="1:100">
      <c r="A60983" s="374"/>
      <c r="C60983" s="374"/>
      <c r="CV60983" s="376"/>
    </row>
    <row r="60984" spans="1:100">
      <c r="A60984" s="374"/>
      <c r="C60984" s="374"/>
      <c r="CV60984" s="376"/>
    </row>
    <row r="60985" spans="1:100">
      <c r="A60985" s="374"/>
      <c r="C60985" s="374"/>
      <c r="CV60985" s="376"/>
    </row>
    <row r="60986" spans="1:100">
      <c r="A60986" s="374"/>
      <c r="C60986" s="374"/>
      <c r="CV60986" s="376"/>
    </row>
    <row r="60987" spans="1:100">
      <c r="A60987" s="374"/>
      <c r="C60987" s="374"/>
      <c r="CV60987" s="376"/>
    </row>
    <row r="60988" spans="1:100">
      <c r="A60988" s="374"/>
      <c r="C60988" s="374"/>
      <c r="CV60988" s="376"/>
    </row>
    <row r="60989" spans="1:100">
      <c r="A60989" s="374"/>
      <c r="C60989" s="374"/>
      <c r="CV60989" s="376"/>
    </row>
    <row r="60990" spans="1:100">
      <c r="A60990" s="374"/>
      <c r="C60990" s="374"/>
      <c r="CV60990" s="376"/>
    </row>
    <row r="60991" spans="1:100">
      <c r="A60991" s="374"/>
      <c r="C60991" s="374"/>
      <c r="CV60991" s="376"/>
    </row>
    <row r="60992" spans="1:100">
      <c r="A60992" s="374"/>
      <c r="C60992" s="374"/>
      <c r="CV60992" s="376"/>
    </row>
    <row r="60993" spans="1:100">
      <c r="A60993" s="374"/>
      <c r="C60993" s="374"/>
      <c r="CV60993" s="376"/>
    </row>
    <row r="60994" spans="1:100">
      <c r="A60994" s="374"/>
      <c r="C60994" s="374"/>
      <c r="CV60994" s="376"/>
    </row>
    <row r="60995" spans="1:100">
      <c r="A60995" s="374"/>
      <c r="C60995" s="374"/>
      <c r="CV60995" s="376"/>
    </row>
    <row r="60996" spans="1:100">
      <c r="A60996" s="374"/>
      <c r="C60996" s="374"/>
      <c r="CV60996" s="376"/>
    </row>
    <row r="60997" spans="1:100">
      <c r="A60997" s="374"/>
      <c r="C60997" s="374"/>
      <c r="CV60997" s="376"/>
    </row>
    <row r="60998" spans="1:100">
      <c r="A60998" s="374"/>
      <c r="C60998" s="374"/>
      <c r="CV60998" s="376"/>
    </row>
    <row r="60999" spans="1:100">
      <c r="A60999" s="374"/>
      <c r="C60999" s="374"/>
      <c r="CV60999" s="376"/>
    </row>
    <row r="61000" spans="1:100">
      <c r="A61000" s="374"/>
      <c r="C61000" s="374"/>
      <c r="CV61000" s="376"/>
    </row>
    <row r="61001" spans="1:100">
      <c r="A61001" s="374"/>
      <c r="C61001" s="374"/>
      <c r="CV61001" s="376"/>
    </row>
    <row r="61002" spans="1:100">
      <c r="A61002" s="374"/>
      <c r="C61002" s="374"/>
      <c r="CV61002" s="376"/>
    </row>
    <row r="61003" spans="1:100">
      <c r="A61003" s="374"/>
      <c r="C61003" s="374"/>
      <c r="CV61003" s="376"/>
    </row>
    <row r="61004" spans="1:100">
      <c r="A61004" s="374"/>
      <c r="C61004" s="374"/>
      <c r="CV61004" s="376"/>
    </row>
    <row r="61005" spans="1:100">
      <c r="A61005" s="374"/>
      <c r="C61005" s="374"/>
      <c r="CV61005" s="376"/>
    </row>
    <row r="61006" spans="1:100">
      <c r="A61006" s="374"/>
      <c r="C61006" s="374"/>
      <c r="CV61006" s="376"/>
    </row>
    <row r="61007" spans="1:100">
      <c r="A61007" s="374"/>
      <c r="C61007" s="374"/>
      <c r="CV61007" s="376"/>
    </row>
    <row r="61008" spans="1:100">
      <c r="A61008" s="374"/>
      <c r="C61008" s="374"/>
      <c r="CV61008" s="376"/>
    </row>
    <row r="61009" spans="1:100">
      <c r="A61009" s="374"/>
      <c r="C61009" s="374"/>
      <c r="CV61009" s="376"/>
    </row>
    <row r="61010" spans="1:100">
      <c r="A61010" s="374"/>
      <c r="C61010" s="374"/>
      <c r="CV61010" s="376"/>
    </row>
    <row r="61011" spans="1:100">
      <c r="A61011" s="374"/>
      <c r="C61011" s="374"/>
      <c r="CV61011" s="376"/>
    </row>
    <row r="61012" spans="1:100">
      <c r="A61012" s="374"/>
      <c r="C61012" s="374"/>
      <c r="CV61012" s="376"/>
    </row>
    <row r="61013" spans="1:100">
      <c r="A61013" s="374"/>
      <c r="C61013" s="374"/>
      <c r="CV61013" s="376"/>
    </row>
    <row r="61014" spans="1:100">
      <c r="A61014" s="374"/>
      <c r="C61014" s="374"/>
      <c r="CV61014" s="376"/>
    </row>
    <row r="61015" spans="1:100">
      <c r="A61015" s="374"/>
      <c r="C61015" s="374"/>
      <c r="CV61015" s="376"/>
    </row>
    <row r="61016" spans="1:100">
      <c r="A61016" s="374"/>
      <c r="C61016" s="374"/>
      <c r="CV61016" s="376"/>
    </row>
    <row r="61017" spans="1:100">
      <c r="A61017" s="374"/>
      <c r="C61017" s="374"/>
      <c r="CV61017" s="376"/>
    </row>
    <row r="61018" spans="1:100">
      <c r="A61018" s="374"/>
      <c r="C61018" s="374"/>
      <c r="CV61018" s="376"/>
    </row>
    <row r="61019" spans="1:100">
      <c r="A61019" s="374"/>
      <c r="C61019" s="374"/>
      <c r="CV61019" s="376"/>
    </row>
    <row r="61020" spans="1:100">
      <c r="A61020" s="374"/>
      <c r="C61020" s="374"/>
      <c r="CV61020" s="376"/>
    </row>
    <row r="61021" spans="1:100">
      <c r="A61021" s="374"/>
      <c r="C61021" s="374"/>
      <c r="CV61021" s="376"/>
    </row>
    <row r="61022" spans="1:100">
      <c r="A61022" s="374"/>
      <c r="C61022" s="374"/>
      <c r="CV61022" s="376"/>
    </row>
    <row r="61023" spans="1:100">
      <c r="A61023" s="374"/>
      <c r="C61023" s="374"/>
      <c r="CV61023" s="376"/>
    </row>
    <row r="61024" spans="1:100">
      <c r="A61024" s="374"/>
      <c r="C61024" s="374"/>
      <c r="CV61024" s="376"/>
    </row>
    <row r="61025" spans="1:100">
      <c r="A61025" s="374"/>
      <c r="C61025" s="374"/>
      <c r="CV61025" s="376"/>
    </row>
    <row r="61026" spans="1:100">
      <c r="A61026" s="374"/>
      <c r="C61026" s="374"/>
      <c r="CV61026" s="376"/>
    </row>
    <row r="61027" spans="1:100">
      <c r="A61027" s="374"/>
      <c r="C61027" s="374"/>
      <c r="CV61027" s="376"/>
    </row>
    <row r="61028" spans="1:100">
      <c r="A61028" s="374"/>
      <c r="C61028" s="374"/>
      <c r="CV61028" s="376"/>
    </row>
    <row r="61029" spans="1:100">
      <c r="A61029" s="374"/>
      <c r="C61029" s="374"/>
      <c r="CV61029" s="376"/>
    </row>
    <row r="61030" spans="1:100">
      <c r="A61030" s="374"/>
      <c r="C61030" s="374"/>
      <c r="CV61030" s="376"/>
    </row>
    <row r="61031" spans="1:100">
      <c r="A61031" s="374"/>
      <c r="C61031" s="374"/>
      <c r="CV61031" s="376"/>
    </row>
    <row r="61032" spans="1:100">
      <c r="A61032" s="374"/>
      <c r="C61032" s="374"/>
      <c r="CV61032" s="376"/>
    </row>
    <row r="61033" spans="1:100">
      <c r="A61033" s="374"/>
      <c r="C61033" s="374"/>
      <c r="CV61033" s="376"/>
    </row>
    <row r="61034" spans="1:100">
      <c r="A61034" s="374"/>
      <c r="C61034" s="374"/>
      <c r="CV61034" s="376"/>
    </row>
    <row r="61035" spans="1:100">
      <c r="A61035" s="374"/>
      <c r="C61035" s="374"/>
      <c r="CV61035" s="376"/>
    </row>
    <row r="61036" spans="1:100">
      <c r="A61036" s="374"/>
      <c r="C61036" s="374"/>
      <c r="CV61036" s="376"/>
    </row>
    <row r="61037" spans="1:100">
      <c r="A61037" s="374"/>
      <c r="C61037" s="374"/>
      <c r="CV61037" s="376"/>
    </row>
    <row r="61038" spans="1:100">
      <c r="A61038" s="374"/>
      <c r="C61038" s="374"/>
      <c r="CV61038" s="376"/>
    </row>
    <row r="61039" spans="1:100">
      <c r="A61039" s="374"/>
      <c r="C61039" s="374"/>
      <c r="CV61039" s="376"/>
    </row>
    <row r="61040" spans="1:100">
      <c r="A61040" s="374"/>
      <c r="C61040" s="374"/>
      <c r="CV61040" s="376"/>
    </row>
    <row r="61041" spans="1:100">
      <c r="A61041" s="374"/>
      <c r="C61041" s="374"/>
      <c r="CV61041" s="376"/>
    </row>
    <row r="61042" spans="1:100">
      <c r="A61042" s="374"/>
      <c r="C61042" s="374"/>
      <c r="CV61042" s="376"/>
    </row>
    <row r="61043" spans="1:100">
      <c r="A61043" s="374"/>
      <c r="C61043" s="374"/>
      <c r="CV61043" s="376"/>
    </row>
    <row r="61044" spans="1:100">
      <c r="A61044" s="374"/>
      <c r="C61044" s="374"/>
      <c r="CV61044" s="376"/>
    </row>
    <row r="61045" spans="1:100">
      <c r="A61045" s="374"/>
      <c r="C61045" s="374"/>
      <c r="CV61045" s="376"/>
    </row>
    <row r="61046" spans="1:100">
      <c r="A61046" s="374"/>
      <c r="C61046" s="374"/>
      <c r="CV61046" s="376"/>
    </row>
    <row r="61047" spans="1:100">
      <c r="A61047" s="374"/>
      <c r="C61047" s="374"/>
      <c r="CV61047" s="376"/>
    </row>
    <row r="61048" spans="1:100">
      <c r="A61048" s="374"/>
      <c r="C61048" s="374"/>
      <c r="CV61048" s="376"/>
    </row>
    <row r="61049" spans="1:100">
      <c r="A61049" s="374"/>
      <c r="C61049" s="374"/>
      <c r="CV61049" s="376"/>
    </row>
    <row r="61050" spans="1:100">
      <c r="A61050" s="374"/>
      <c r="C61050" s="374"/>
      <c r="CV61050" s="376"/>
    </row>
    <row r="61051" spans="1:100">
      <c r="A61051" s="374"/>
      <c r="C61051" s="374"/>
      <c r="CV61051" s="376"/>
    </row>
    <row r="61052" spans="1:100">
      <c r="A61052" s="374"/>
      <c r="C61052" s="374"/>
      <c r="CV61052" s="376"/>
    </row>
    <row r="61053" spans="1:100">
      <c r="A61053" s="374"/>
      <c r="C61053" s="374"/>
      <c r="CV61053" s="376"/>
    </row>
    <row r="61054" spans="1:100">
      <c r="A61054" s="374"/>
      <c r="C61054" s="374"/>
      <c r="CV61054" s="376"/>
    </row>
    <row r="61055" spans="1:100">
      <c r="A61055" s="374"/>
      <c r="C61055" s="374"/>
      <c r="CV61055" s="376"/>
    </row>
    <row r="61056" spans="1:100">
      <c r="A61056" s="374"/>
      <c r="C61056" s="374"/>
      <c r="CV61056" s="376"/>
    </row>
    <row r="61057" spans="1:100">
      <c r="A61057" s="374"/>
      <c r="C61057" s="374"/>
      <c r="CV61057" s="376"/>
    </row>
    <row r="61058" spans="1:100">
      <c r="A61058" s="374"/>
      <c r="C61058" s="374"/>
      <c r="CV61058" s="376"/>
    </row>
    <row r="61059" spans="1:100">
      <c r="A61059" s="374"/>
      <c r="C61059" s="374"/>
      <c r="CV61059" s="376"/>
    </row>
    <row r="61060" spans="1:100">
      <c r="A61060" s="374"/>
      <c r="C61060" s="374"/>
      <c r="CV61060" s="376"/>
    </row>
    <row r="61061" spans="1:100">
      <c r="A61061" s="374"/>
      <c r="C61061" s="374"/>
      <c r="CV61061" s="376"/>
    </row>
    <row r="61062" spans="1:100">
      <c r="A61062" s="374"/>
      <c r="C61062" s="374"/>
      <c r="CV61062" s="376"/>
    </row>
    <row r="61063" spans="1:100">
      <c r="A61063" s="374"/>
      <c r="C61063" s="374"/>
      <c r="CV61063" s="376"/>
    </row>
    <row r="61064" spans="1:100">
      <c r="A61064" s="374"/>
      <c r="C61064" s="374"/>
      <c r="CV61064" s="376"/>
    </row>
    <row r="61065" spans="1:100">
      <c r="A61065" s="374"/>
      <c r="C61065" s="374"/>
      <c r="CV61065" s="376"/>
    </row>
    <row r="61066" spans="1:100">
      <c r="A61066" s="374"/>
      <c r="C61066" s="374"/>
      <c r="CV61066" s="376"/>
    </row>
    <row r="61067" spans="1:100">
      <c r="A61067" s="374"/>
      <c r="C61067" s="374"/>
      <c r="CV61067" s="376"/>
    </row>
    <row r="61068" spans="1:100">
      <c r="A61068" s="374"/>
      <c r="C61068" s="374"/>
      <c r="CV61068" s="376"/>
    </row>
    <row r="61069" spans="1:100">
      <c r="A61069" s="374"/>
      <c r="C61069" s="374"/>
      <c r="CV61069" s="376"/>
    </row>
    <row r="61070" spans="1:100">
      <c r="A61070" s="374"/>
      <c r="C61070" s="374"/>
      <c r="CV61070" s="376"/>
    </row>
    <row r="61071" spans="1:100">
      <c r="A61071" s="374"/>
      <c r="C61071" s="374"/>
      <c r="CV61071" s="376"/>
    </row>
    <row r="61072" spans="1:100">
      <c r="A61072" s="374"/>
      <c r="C61072" s="374"/>
      <c r="CV61072" s="376"/>
    </row>
    <row r="61073" spans="1:100">
      <c r="A61073" s="374"/>
      <c r="C61073" s="374"/>
      <c r="CV61073" s="376"/>
    </row>
    <row r="61074" spans="1:100">
      <c r="A61074" s="374"/>
      <c r="C61074" s="374"/>
      <c r="CV61074" s="376"/>
    </row>
    <row r="61075" spans="1:100">
      <c r="A61075" s="374"/>
      <c r="C61075" s="374"/>
      <c r="CV61075" s="376"/>
    </row>
    <row r="61076" spans="1:100">
      <c r="A61076" s="374"/>
      <c r="C61076" s="374"/>
      <c r="CV61076" s="376"/>
    </row>
    <row r="61077" spans="1:100">
      <c r="A61077" s="374"/>
      <c r="C61077" s="374"/>
      <c r="CV61077" s="376"/>
    </row>
    <row r="61078" spans="1:100">
      <c r="A61078" s="374"/>
      <c r="C61078" s="374"/>
      <c r="CV61078" s="376"/>
    </row>
    <row r="61079" spans="1:100">
      <c r="A61079" s="374"/>
      <c r="C61079" s="374"/>
      <c r="CV61079" s="376"/>
    </row>
    <row r="61080" spans="1:100">
      <c r="A61080" s="374"/>
      <c r="C61080" s="374"/>
      <c r="CV61080" s="376"/>
    </row>
    <row r="61081" spans="1:100">
      <c r="A61081" s="374"/>
      <c r="C61081" s="374"/>
      <c r="CV61081" s="376"/>
    </row>
    <row r="61082" spans="1:100">
      <c r="A61082" s="374"/>
      <c r="C61082" s="374"/>
      <c r="CV61082" s="376"/>
    </row>
    <row r="61083" spans="1:100">
      <c r="A61083" s="374"/>
      <c r="C61083" s="374"/>
      <c r="CV61083" s="376"/>
    </row>
    <row r="61084" spans="1:100">
      <c r="A61084" s="374"/>
      <c r="C61084" s="374"/>
      <c r="CV61084" s="376"/>
    </row>
    <row r="61085" spans="1:100">
      <c r="A61085" s="374"/>
      <c r="C61085" s="374"/>
      <c r="CV61085" s="376"/>
    </row>
    <row r="61086" spans="1:100">
      <c r="A61086" s="374"/>
      <c r="C61086" s="374"/>
      <c r="CV61086" s="376"/>
    </row>
    <row r="61087" spans="1:100">
      <c r="A61087" s="374"/>
      <c r="C61087" s="374"/>
      <c r="CV61087" s="376"/>
    </row>
    <row r="61088" spans="1:100">
      <c r="A61088" s="374"/>
      <c r="C61088" s="374"/>
      <c r="CV61088" s="376"/>
    </row>
    <row r="61089" spans="1:100">
      <c r="A61089" s="374"/>
      <c r="C61089" s="374"/>
      <c r="CV61089" s="376"/>
    </row>
    <row r="61090" spans="1:100">
      <c r="A61090" s="374"/>
      <c r="C61090" s="374"/>
      <c r="CV61090" s="376"/>
    </row>
    <row r="61091" spans="1:100">
      <c r="A61091" s="374"/>
      <c r="C61091" s="374"/>
      <c r="CV61091" s="376"/>
    </row>
    <row r="61092" spans="1:100">
      <c r="A61092" s="374"/>
      <c r="C61092" s="374"/>
      <c r="CV61092" s="376"/>
    </row>
    <row r="61093" spans="1:100">
      <c r="A61093" s="374"/>
      <c r="C61093" s="374"/>
      <c r="CV61093" s="376"/>
    </row>
    <row r="61094" spans="1:100">
      <c r="A61094" s="374"/>
      <c r="C61094" s="374"/>
      <c r="CV61094" s="376"/>
    </row>
    <row r="61095" spans="1:100">
      <c r="A61095" s="374"/>
      <c r="C61095" s="374"/>
      <c r="CV61095" s="376"/>
    </row>
    <row r="61096" spans="1:100">
      <c r="A61096" s="374"/>
      <c r="C61096" s="374"/>
      <c r="CV61096" s="376"/>
    </row>
    <row r="61097" spans="1:100">
      <c r="A61097" s="374"/>
      <c r="C61097" s="374"/>
      <c r="CV61097" s="376"/>
    </row>
    <row r="61098" spans="1:100">
      <c r="A61098" s="374"/>
      <c r="C61098" s="374"/>
      <c r="CV61098" s="376"/>
    </row>
    <row r="61099" spans="1:100">
      <c r="A61099" s="374"/>
      <c r="C61099" s="374"/>
      <c r="CV61099" s="376"/>
    </row>
    <row r="61100" spans="1:100">
      <c r="A61100" s="374"/>
      <c r="C61100" s="374"/>
      <c r="CV61100" s="376"/>
    </row>
    <row r="61101" spans="1:100">
      <c r="A61101" s="374"/>
      <c r="C61101" s="374"/>
      <c r="CV61101" s="376"/>
    </row>
    <row r="61102" spans="1:100">
      <c r="A61102" s="374"/>
      <c r="C61102" s="374"/>
      <c r="CV61102" s="376"/>
    </row>
    <row r="61103" spans="1:100">
      <c r="A61103" s="374"/>
      <c r="C61103" s="374"/>
      <c r="CV61103" s="376"/>
    </row>
    <row r="61104" spans="1:100">
      <c r="A61104" s="374"/>
      <c r="C61104" s="374"/>
      <c r="CV61104" s="376"/>
    </row>
    <row r="61105" spans="1:100">
      <c r="A61105" s="374"/>
      <c r="C61105" s="374"/>
      <c r="CV61105" s="376"/>
    </row>
    <row r="61106" spans="1:100">
      <c r="A61106" s="374"/>
      <c r="C61106" s="374"/>
      <c r="CV61106" s="376"/>
    </row>
    <row r="61107" spans="1:100">
      <c r="A61107" s="374"/>
      <c r="C61107" s="374"/>
      <c r="CV61107" s="376"/>
    </row>
    <row r="61108" spans="1:100">
      <c r="A61108" s="374"/>
      <c r="C61108" s="374"/>
      <c r="CV61108" s="376"/>
    </row>
    <row r="61109" spans="1:100">
      <c r="A61109" s="374"/>
      <c r="C61109" s="374"/>
      <c r="CV61109" s="376"/>
    </row>
    <row r="61110" spans="1:100">
      <c r="A61110" s="374"/>
      <c r="C61110" s="374"/>
      <c r="CV61110" s="376"/>
    </row>
    <row r="61111" spans="1:100">
      <c r="A61111" s="374"/>
      <c r="C61111" s="374"/>
      <c r="CV61111" s="376"/>
    </row>
    <row r="61112" spans="1:100">
      <c r="A61112" s="374"/>
      <c r="C61112" s="374"/>
      <c r="CV61112" s="376"/>
    </row>
    <row r="61113" spans="1:100">
      <c r="A61113" s="374"/>
      <c r="C61113" s="374"/>
      <c r="CV61113" s="376"/>
    </row>
    <row r="61114" spans="1:100">
      <c r="A61114" s="374"/>
      <c r="C61114" s="374"/>
      <c r="CV61114" s="376"/>
    </row>
    <row r="61115" spans="1:100">
      <c r="A61115" s="374"/>
      <c r="C61115" s="374"/>
      <c r="CV61115" s="376"/>
    </row>
    <row r="61116" spans="1:100">
      <c r="A61116" s="374"/>
      <c r="C61116" s="374"/>
      <c r="CV61116" s="376"/>
    </row>
    <row r="61117" spans="1:100">
      <c r="A61117" s="374"/>
      <c r="C61117" s="374"/>
      <c r="CV61117" s="376"/>
    </row>
    <row r="61118" spans="1:100">
      <c r="A61118" s="374"/>
      <c r="C61118" s="374"/>
      <c r="CV61118" s="376"/>
    </row>
    <row r="61119" spans="1:100">
      <c r="A61119" s="374"/>
      <c r="C61119" s="374"/>
      <c r="CV61119" s="376"/>
    </row>
    <row r="61120" spans="1:100">
      <c r="A61120" s="374"/>
      <c r="C61120" s="374"/>
      <c r="CV61120" s="376"/>
    </row>
    <row r="61121" spans="1:100">
      <c r="A61121" s="374"/>
      <c r="C61121" s="374"/>
      <c r="CV61121" s="376"/>
    </row>
    <row r="61122" spans="1:100">
      <c r="A61122" s="374"/>
      <c r="C61122" s="374"/>
      <c r="CV61122" s="376"/>
    </row>
    <row r="61123" spans="1:100">
      <c r="A61123" s="374"/>
      <c r="C61123" s="374"/>
      <c r="CV61123" s="376"/>
    </row>
    <row r="61124" spans="1:100">
      <c r="A61124" s="374"/>
      <c r="C61124" s="374"/>
      <c r="CV61124" s="376"/>
    </row>
    <row r="61125" spans="1:100">
      <c r="A61125" s="374"/>
      <c r="C61125" s="374"/>
      <c r="CV61125" s="376"/>
    </row>
    <row r="61126" spans="1:100">
      <c r="A61126" s="374"/>
      <c r="C61126" s="374"/>
      <c r="CV61126" s="376"/>
    </row>
    <row r="61127" spans="1:100">
      <c r="A61127" s="374"/>
      <c r="C61127" s="374"/>
      <c r="CV61127" s="376"/>
    </row>
    <row r="61128" spans="1:100">
      <c r="A61128" s="374"/>
      <c r="C61128" s="374"/>
      <c r="CV61128" s="376"/>
    </row>
    <row r="61129" spans="1:100">
      <c r="A61129" s="374"/>
      <c r="C61129" s="374"/>
      <c r="CV61129" s="376"/>
    </row>
    <row r="61130" spans="1:100">
      <c r="A61130" s="374"/>
      <c r="C61130" s="374"/>
      <c r="CV61130" s="376"/>
    </row>
    <row r="61131" spans="1:100">
      <c r="A61131" s="374"/>
      <c r="C61131" s="374"/>
      <c r="CV61131" s="376"/>
    </row>
    <row r="61132" spans="1:100">
      <c r="A61132" s="374"/>
      <c r="C61132" s="374"/>
      <c r="CV61132" s="376"/>
    </row>
    <row r="61133" spans="1:100">
      <c r="A61133" s="374"/>
      <c r="C61133" s="374"/>
      <c r="CV61133" s="376"/>
    </row>
    <row r="61134" spans="1:100">
      <c r="A61134" s="374"/>
      <c r="C61134" s="374"/>
      <c r="CV61134" s="376"/>
    </row>
    <row r="61135" spans="1:100">
      <c r="A61135" s="374"/>
      <c r="C61135" s="374"/>
      <c r="CV61135" s="376"/>
    </row>
    <row r="61136" spans="1:100">
      <c r="A61136" s="374"/>
      <c r="C61136" s="374"/>
      <c r="CV61136" s="376"/>
    </row>
    <row r="61137" spans="1:100">
      <c r="A61137" s="374"/>
      <c r="C61137" s="374"/>
      <c r="CV61137" s="376"/>
    </row>
    <row r="61138" spans="1:100">
      <c r="A61138" s="374"/>
      <c r="C61138" s="374"/>
      <c r="CV61138" s="376"/>
    </row>
    <row r="61139" spans="1:100">
      <c r="A61139" s="374"/>
      <c r="C61139" s="374"/>
      <c r="CV61139" s="376"/>
    </row>
    <row r="61140" spans="1:100">
      <c r="A61140" s="374"/>
      <c r="C61140" s="374"/>
      <c r="CV61140" s="376"/>
    </row>
    <row r="61141" spans="1:100">
      <c r="A61141" s="374"/>
      <c r="C61141" s="374"/>
      <c r="CV61141" s="376"/>
    </row>
    <row r="61142" spans="1:100">
      <c r="A61142" s="374"/>
      <c r="C61142" s="374"/>
      <c r="CV61142" s="376"/>
    </row>
    <row r="61143" spans="1:100">
      <c r="A61143" s="374"/>
      <c r="C61143" s="374"/>
      <c r="CV61143" s="376"/>
    </row>
    <row r="61144" spans="1:100">
      <c r="A61144" s="374"/>
      <c r="C61144" s="374"/>
      <c r="CV61144" s="376"/>
    </row>
    <row r="61145" spans="1:100">
      <c r="A61145" s="374"/>
      <c r="C61145" s="374"/>
      <c r="CV61145" s="376"/>
    </row>
    <row r="61146" spans="1:100">
      <c r="A61146" s="374"/>
      <c r="C61146" s="374"/>
      <c r="CV61146" s="376"/>
    </row>
    <row r="61147" spans="1:100">
      <c r="A61147" s="374"/>
      <c r="C61147" s="374"/>
      <c r="CV61147" s="376"/>
    </row>
    <row r="61148" spans="1:100">
      <c r="A61148" s="374"/>
      <c r="C61148" s="374"/>
      <c r="CV61148" s="376"/>
    </row>
    <row r="61149" spans="1:100">
      <c r="A61149" s="374"/>
      <c r="C61149" s="374"/>
      <c r="CV61149" s="376"/>
    </row>
    <row r="61150" spans="1:100">
      <c r="A61150" s="374"/>
      <c r="C61150" s="374"/>
      <c r="CV61150" s="376"/>
    </row>
    <row r="61151" spans="1:100">
      <c r="A61151" s="374"/>
      <c r="C61151" s="374"/>
      <c r="CV61151" s="376"/>
    </row>
    <row r="61152" spans="1:100">
      <c r="A61152" s="374"/>
      <c r="C61152" s="374"/>
      <c r="CV61152" s="376"/>
    </row>
    <row r="61153" spans="1:100">
      <c r="A61153" s="374"/>
      <c r="C61153" s="374"/>
      <c r="CV61153" s="376"/>
    </row>
    <row r="61154" spans="1:100">
      <c r="A61154" s="374"/>
      <c r="C61154" s="374"/>
      <c r="CV61154" s="376"/>
    </row>
    <row r="61155" spans="1:100">
      <c r="A61155" s="374"/>
      <c r="C61155" s="374"/>
      <c r="CV61155" s="376"/>
    </row>
    <row r="61156" spans="1:100">
      <c r="A61156" s="374"/>
      <c r="C61156" s="374"/>
      <c r="CV61156" s="376"/>
    </row>
    <row r="61157" spans="1:100">
      <c r="A61157" s="374"/>
      <c r="C61157" s="374"/>
      <c r="CV61157" s="376"/>
    </row>
    <row r="61158" spans="1:100">
      <c r="A61158" s="374"/>
      <c r="C61158" s="374"/>
      <c r="CV61158" s="376"/>
    </row>
    <row r="61159" spans="1:100">
      <c r="A61159" s="374"/>
      <c r="C61159" s="374"/>
      <c r="CV61159" s="376"/>
    </row>
    <row r="61160" spans="1:100">
      <c r="A61160" s="374"/>
      <c r="C61160" s="374"/>
      <c r="CV61160" s="376"/>
    </row>
    <row r="61161" spans="1:100">
      <c r="A61161" s="374"/>
      <c r="C61161" s="374"/>
      <c r="CV61161" s="376"/>
    </row>
    <row r="61162" spans="1:100">
      <c r="A61162" s="374"/>
      <c r="C61162" s="374"/>
      <c r="CV61162" s="376"/>
    </row>
    <row r="61163" spans="1:100">
      <c r="A61163" s="374"/>
      <c r="C61163" s="374"/>
      <c r="CV61163" s="376"/>
    </row>
    <row r="61164" spans="1:100">
      <c r="A61164" s="374"/>
      <c r="C61164" s="374"/>
      <c r="CV61164" s="376"/>
    </row>
    <row r="61165" spans="1:100">
      <c r="A61165" s="374"/>
      <c r="C61165" s="374"/>
      <c r="CV61165" s="376"/>
    </row>
    <row r="61166" spans="1:100">
      <c r="A61166" s="374"/>
      <c r="C61166" s="374"/>
      <c r="CV61166" s="376"/>
    </row>
    <row r="61167" spans="1:100">
      <c r="A61167" s="374"/>
      <c r="C61167" s="374"/>
      <c r="CV61167" s="376"/>
    </row>
    <row r="61168" spans="1:100">
      <c r="A61168" s="374"/>
      <c r="C61168" s="374"/>
      <c r="CV61168" s="376"/>
    </row>
    <row r="61169" spans="1:100">
      <c r="A61169" s="374"/>
      <c r="C61169" s="374"/>
      <c r="CV61169" s="376"/>
    </row>
    <row r="61170" spans="1:100">
      <c r="A61170" s="374"/>
      <c r="C61170" s="374"/>
      <c r="CV61170" s="376"/>
    </row>
    <row r="61171" spans="1:100">
      <c r="A61171" s="374"/>
      <c r="C61171" s="374"/>
      <c r="CV61171" s="376"/>
    </row>
    <row r="61172" spans="1:100">
      <c r="A61172" s="374"/>
      <c r="C61172" s="374"/>
      <c r="CV61172" s="376"/>
    </row>
    <row r="61173" spans="1:100">
      <c r="A61173" s="374"/>
      <c r="C61173" s="374"/>
      <c r="CV61173" s="376"/>
    </row>
    <row r="61174" spans="1:100">
      <c r="A61174" s="374"/>
      <c r="C61174" s="374"/>
      <c r="CV61174" s="376"/>
    </row>
    <row r="61175" spans="1:100">
      <c r="A61175" s="374"/>
      <c r="C61175" s="374"/>
      <c r="CV61175" s="376"/>
    </row>
    <row r="61176" spans="1:100">
      <c r="A61176" s="374"/>
      <c r="C61176" s="374"/>
      <c r="CV61176" s="376"/>
    </row>
    <row r="61177" spans="1:100">
      <c r="A61177" s="374"/>
      <c r="C61177" s="374"/>
      <c r="CV61177" s="376"/>
    </row>
    <row r="61178" spans="1:100">
      <c r="A61178" s="374"/>
      <c r="C61178" s="374"/>
      <c r="CV61178" s="376"/>
    </row>
    <row r="61179" spans="1:100">
      <c r="A61179" s="374"/>
      <c r="C61179" s="374"/>
      <c r="CV61179" s="376"/>
    </row>
    <row r="61180" spans="1:100">
      <c r="A61180" s="374"/>
      <c r="C61180" s="374"/>
      <c r="CV61180" s="376"/>
    </row>
    <row r="61181" spans="1:100">
      <c r="A61181" s="374"/>
      <c r="C61181" s="374"/>
      <c r="CV61181" s="376"/>
    </row>
    <row r="61182" spans="1:100">
      <c r="A61182" s="374"/>
      <c r="C61182" s="374"/>
      <c r="CV61182" s="376"/>
    </row>
    <row r="61183" spans="1:100">
      <c r="A61183" s="374"/>
      <c r="C61183" s="374"/>
      <c r="CV61183" s="376"/>
    </row>
    <row r="61184" spans="1:100">
      <c r="A61184" s="374"/>
      <c r="C61184" s="374"/>
      <c r="CV61184" s="376"/>
    </row>
    <row r="61185" spans="1:100">
      <c r="A61185" s="374"/>
      <c r="C61185" s="374"/>
      <c r="CV61185" s="376"/>
    </row>
    <row r="61186" spans="1:100">
      <c r="A61186" s="374"/>
      <c r="C61186" s="374"/>
      <c r="CV61186" s="376"/>
    </row>
    <row r="61187" spans="1:100">
      <c r="A61187" s="374"/>
      <c r="C61187" s="374"/>
      <c r="CV61187" s="376"/>
    </row>
    <row r="61188" spans="1:100">
      <c r="A61188" s="374"/>
      <c r="C61188" s="374"/>
      <c r="CV61188" s="376"/>
    </row>
    <row r="61189" spans="1:100">
      <c r="A61189" s="374"/>
      <c r="C61189" s="374"/>
      <c r="CV61189" s="376"/>
    </row>
    <row r="61190" spans="1:100">
      <c r="A61190" s="374"/>
      <c r="C61190" s="374"/>
      <c r="CV61190" s="376"/>
    </row>
    <row r="61191" spans="1:100">
      <c r="A61191" s="374"/>
      <c r="C61191" s="374"/>
      <c r="CV61191" s="376"/>
    </row>
    <row r="61192" spans="1:100">
      <c r="A61192" s="374"/>
      <c r="C61192" s="374"/>
      <c r="CV61192" s="376"/>
    </row>
    <row r="61193" spans="1:100">
      <c r="A61193" s="374"/>
      <c r="C61193" s="374"/>
      <c r="CV61193" s="376"/>
    </row>
    <row r="61194" spans="1:100">
      <c r="A61194" s="374"/>
      <c r="C61194" s="374"/>
      <c r="CV61194" s="376"/>
    </row>
    <row r="61195" spans="1:100">
      <c r="A61195" s="374"/>
      <c r="C61195" s="374"/>
      <c r="CV61195" s="376"/>
    </row>
    <row r="61196" spans="1:100">
      <c r="A61196" s="374"/>
      <c r="C61196" s="374"/>
      <c r="CV61196" s="376"/>
    </row>
    <row r="61197" spans="1:100">
      <c r="A61197" s="374"/>
      <c r="C61197" s="374"/>
      <c r="CV61197" s="376"/>
    </row>
    <row r="61198" spans="1:100">
      <c r="A61198" s="374"/>
      <c r="C61198" s="374"/>
      <c r="CV61198" s="376"/>
    </row>
    <row r="61199" spans="1:100">
      <c r="A61199" s="374"/>
      <c r="C61199" s="374"/>
      <c r="CV61199" s="376"/>
    </row>
    <row r="61200" spans="1:100">
      <c r="A61200" s="374"/>
      <c r="C61200" s="374"/>
      <c r="CV61200" s="376"/>
    </row>
    <row r="61201" spans="1:100">
      <c r="A61201" s="374"/>
      <c r="C61201" s="374"/>
      <c r="CV61201" s="376"/>
    </row>
    <row r="61202" spans="1:100">
      <c r="A61202" s="374"/>
      <c r="C61202" s="374"/>
      <c r="CV61202" s="376"/>
    </row>
    <row r="61203" spans="1:100">
      <c r="A61203" s="374"/>
      <c r="C61203" s="374"/>
      <c r="CV61203" s="376"/>
    </row>
    <row r="61204" spans="1:100">
      <c r="A61204" s="374"/>
      <c r="C61204" s="374"/>
      <c r="CV61204" s="376"/>
    </row>
    <row r="61205" spans="1:100">
      <c r="A61205" s="374"/>
      <c r="C61205" s="374"/>
      <c r="CV61205" s="376"/>
    </row>
    <row r="61206" spans="1:100">
      <c r="A61206" s="374"/>
      <c r="C61206" s="374"/>
      <c r="CV61206" s="376"/>
    </row>
    <row r="61207" spans="1:100">
      <c r="A61207" s="374"/>
      <c r="C61207" s="374"/>
      <c r="CV61207" s="376"/>
    </row>
    <row r="61208" spans="1:100">
      <c r="A61208" s="374"/>
      <c r="C61208" s="374"/>
      <c r="CV61208" s="376"/>
    </row>
    <row r="61209" spans="1:100">
      <c r="A61209" s="374"/>
      <c r="C61209" s="374"/>
      <c r="CV61209" s="376"/>
    </row>
    <row r="61210" spans="1:100">
      <c r="A61210" s="374"/>
      <c r="C61210" s="374"/>
      <c r="CV61210" s="376"/>
    </row>
    <row r="61211" spans="1:100">
      <c r="A61211" s="374"/>
      <c r="C61211" s="374"/>
      <c r="CV61211" s="376"/>
    </row>
    <row r="61212" spans="1:100">
      <c r="A61212" s="374"/>
      <c r="C61212" s="374"/>
      <c r="CV61212" s="376"/>
    </row>
    <row r="61213" spans="1:100">
      <c r="A61213" s="374"/>
      <c r="C61213" s="374"/>
      <c r="CV61213" s="376"/>
    </row>
    <row r="61214" spans="1:100">
      <c r="A61214" s="374"/>
      <c r="C61214" s="374"/>
      <c r="CV61214" s="376"/>
    </row>
    <row r="61215" spans="1:100">
      <c r="A61215" s="374"/>
      <c r="C61215" s="374"/>
      <c r="CV61215" s="376"/>
    </row>
    <row r="61216" spans="1:100">
      <c r="A61216" s="374"/>
      <c r="C61216" s="374"/>
      <c r="CV61216" s="376"/>
    </row>
    <row r="61217" spans="1:100">
      <c r="A61217" s="374"/>
      <c r="C61217" s="374"/>
      <c r="CV61217" s="376"/>
    </row>
    <row r="61218" spans="1:100">
      <c r="A61218" s="374"/>
      <c r="C61218" s="374"/>
      <c r="CV61218" s="376"/>
    </row>
    <row r="61219" spans="1:100">
      <c r="A61219" s="374"/>
      <c r="C61219" s="374"/>
      <c r="CV61219" s="376"/>
    </row>
    <row r="61220" spans="1:100">
      <c r="A61220" s="374"/>
      <c r="C61220" s="374"/>
      <c r="CV61220" s="376"/>
    </row>
    <row r="61221" spans="1:100">
      <c r="A61221" s="374"/>
      <c r="C61221" s="374"/>
      <c r="CV61221" s="376"/>
    </row>
    <row r="61222" spans="1:100">
      <c r="A61222" s="374"/>
      <c r="C61222" s="374"/>
      <c r="CV61222" s="376"/>
    </row>
    <row r="61223" spans="1:100">
      <c r="A61223" s="374"/>
      <c r="C61223" s="374"/>
      <c r="CV61223" s="376"/>
    </row>
    <row r="61224" spans="1:100">
      <c r="A61224" s="374"/>
      <c r="C61224" s="374"/>
      <c r="CV61224" s="376"/>
    </row>
    <row r="61225" spans="1:100">
      <c r="A61225" s="374"/>
      <c r="C61225" s="374"/>
      <c r="CV61225" s="376"/>
    </row>
    <row r="61226" spans="1:100">
      <c r="A61226" s="374"/>
      <c r="C61226" s="374"/>
      <c r="CV61226" s="376"/>
    </row>
    <row r="61227" spans="1:100">
      <c r="A61227" s="374"/>
      <c r="C61227" s="374"/>
      <c r="CV61227" s="376"/>
    </row>
    <row r="61228" spans="1:100">
      <c r="A61228" s="374"/>
      <c r="C61228" s="374"/>
      <c r="CV61228" s="376"/>
    </row>
    <row r="61229" spans="1:100">
      <c r="A61229" s="374"/>
      <c r="C61229" s="374"/>
      <c r="CV61229" s="376"/>
    </row>
    <row r="61230" spans="1:100">
      <c r="A61230" s="374"/>
      <c r="C61230" s="374"/>
      <c r="CV61230" s="376"/>
    </row>
    <row r="61231" spans="1:100">
      <c r="A61231" s="374"/>
      <c r="C61231" s="374"/>
      <c r="CV61231" s="376"/>
    </row>
    <row r="61232" spans="1:100">
      <c r="A61232" s="374"/>
      <c r="C61232" s="374"/>
      <c r="CV61232" s="376"/>
    </row>
    <row r="61233" spans="1:100">
      <c r="A61233" s="374"/>
      <c r="C61233" s="374"/>
      <c r="CV61233" s="376"/>
    </row>
    <row r="61234" spans="1:100">
      <c r="A61234" s="374"/>
      <c r="C61234" s="374"/>
      <c r="CV61234" s="376"/>
    </row>
    <row r="61235" spans="1:100">
      <c r="A61235" s="374"/>
      <c r="C61235" s="374"/>
      <c r="CV61235" s="376"/>
    </row>
    <row r="61236" spans="1:100">
      <c r="A61236" s="374"/>
      <c r="C61236" s="374"/>
      <c r="CV61236" s="376"/>
    </row>
    <row r="61237" spans="1:100">
      <c r="A61237" s="374"/>
      <c r="C61237" s="374"/>
      <c r="CV61237" s="376"/>
    </row>
    <row r="61238" spans="1:100">
      <c r="A61238" s="374"/>
      <c r="C61238" s="374"/>
      <c r="CV61238" s="376"/>
    </row>
    <row r="61239" spans="1:100">
      <c r="A61239" s="374"/>
      <c r="C61239" s="374"/>
      <c r="CV61239" s="376"/>
    </row>
    <row r="61240" spans="1:100">
      <c r="A61240" s="374"/>
      <c r="C61240" s="374"/>
      <c r="CV61240" s="376"/>
    </row>
    <row r="61241" spans="1:100">
      <c r="A61241" s="374"/>
      <c r="C61241" s="374"/>
      <c r="CV61241" s="376"/>
    </row>
    <row r="61242" spans="1:100">
      <c r="A61242" s="374"/>
      <c r="C61242" s="374"/>
      <c r="CV61242" s="376"/>
    </row>
    <row r="61243" spans="1:100">
      <c r="A61243" s="374"/>
      <c r="C61243" s="374"/>
      <c r="CV61243" s="376"/>
    </row>
    <row r="61244" spans="1:100">
      <c r="A61244" s="374"/>
      <c r="C61244" s="374"/>
      <c r="CV61244" s="376"/>
    </row>
    <row r="61245" spans="1:100">
      <c r="A61245" s="374"/>
      <c r="C61245" s="374"/>
      <c r="CV61245" s="376"/>
    </row>
    <row r="61246" spans="1:100">
      <c r="A61246" s="374"/>
      <c r="C61246" s="374"/>
      <c r="CV61246" s="376"/>
    </row>
    <row r="61247" spans="1:100">
      <c r="A61247" s="374"/>
      <c r="C61247" s="374"/>
      <c r="CV61247" s="376"/>
    </row>
    <row r="61248" spans="1:100">
      <c r="A61248" s="374"/>
      <c r="C61248" s="374"/>
      <c r="CV61248" s="376"/>
    </row>
    <row r="61249" spans="1:100">
      <c r="A61249" s="374"/>
      <c r="C61249" s="374"/>
      <c r="CV61249" s="376"/>
    </row>
    <row r="61250" spans="1:100">
      <c r="A61250" s="374"/>
      <c r="C61250" s="374"/>
      <c r="CV61250" s="376"/>
    </row>
    <row r="61251" spans="1:100">
      <c r="A61251" s="374"/>
      <c r="C61251" s="374"/>
      <c r="CV61251" s="376"/>
    </row>
    <row r="61252" spans="1:100">
      <c r="A61252" s="374"/>
      <c r="C61252" s="374"/>
      <c r="CV61252" s="376"/>
    </row>
    <row r="61253" spans="1:100">
      <c r="A61253" s="374"/>
      <c r="C61253" s="374"/>
      <c r="CV61253" s="376"/>
    </row>
    <row r="61254" spans="1:100">
      <c r="A61254" s="374"/>
      <c r="C61254" s="374"/>
      <c r="CV61254" s="376"/>
    </row>
    <row r="61255" spans="1:100">
      <c r="A61255" s="374"/>
      <c r="C61255" s="374"/>
      <c r="CV61255" s="376"/>
    </row>
    <row r="61256" spans="1:100">
      <c r="A61256" s="374"/>
      <c r="C61256" s="374"/>
      <c r="CV61256" s="376"/>
    </row>
    <row r="61257" spans="1:100">
      <c r="A61257" s="374"/>
      <c r="C61257" s="374"/>
      <c r="CV61257" s="376"/>
    </row>
    <row r="61258" spans="1:100">
      <c r="A61258" s="374"/>
      <c r="C61258" s="374"/>
      <c r="CV61258" s="376"/>
    </row>
    <row r="61259" spans="1:100">
      <c r="A61259" s="374"/>
      <c r="C61259" s="374"/>
      <c r="CV61259" s="376"/>
    </row>
    <row r="61260" spans="1:100">
      <c r="A61260" s="374"/>
      <c r="C61260" s="374"/>
      <c r="CV61260" s="376"/>
    </row>
    <row r="61261" spans="1:100">
      <c r="A61261" s="374"/>
      <c r="C61261" s="374"/>
      <c r="CV61261" s="376"/>
    </row>
    <row r="61262" spans="1:100">
      <c r="A61262" s="374"/>
      <c r="C61262" s="374"/>
      <c r="CV61262" s="376"/>
    </row>
    <row r="61263" spans="1:100">
      <c r="A61263" s="374"/>
      <c r="C61263" s="374"/>
      <c r="CV61263" s="376"/>
    </row>
    <row r="61264" spans="1:100">
      <c r="A61264" s="374"/>
      <c r="C61264" s="374"/>
      <c r="CV61264" s="376"/>
    </row>
    <row r="61265" spans="1:100">
      <c r="A61265" s="374"/>
      <c r="C61265" s="374"/>
      <c r="CV61265" s="376"/>
    </row>
    <row r="61266" spans="1:100">
      <c r="A61266" s="374"/>
      <c r="C61266" s="374"/>
      <c r="CV61266" s="376"/>
    </row>
    <row r="61267" spans="1:100">
      <c r="A61267" s="374"/>
      <c r="C61267" s="374"/>
      <c r="CV61267" s="376"/>
    </row>
    <row r="61268" spans="1:100">
      <c r="A61268" s="374"/>
      <c r="C61268" s="374"/>
      <c r="CV61268" s="376"/>
    </row>
    <row r="61269" spans="1:100">
      <c r="A61269" s="374"/>
      <c r="C61269" s="374"/>
      <c r="CV61269" s="376"/>
    </row>
    <row r="61270" spans="1:100">
      <c r="A61270" s="374"/>
      <c r="C61270" s="374"/>
      <c r="CV61270" s="376"/>
    </row>
    <row r="61271" spans="1:100">
      <c r="A61271" s="374"/>
      <c r="C61271" s="374"/>
      <c r="CV61271" s="376"/>
    </row>
    <row r="61272" spans="1:100">
      <c r="A61272" s="374"/>
      <c r="C61272" s="374"/>
      <c r="CV61272" s="376"/>
    </row>
    <row r="61273" spans="1:100">
      <c r="A61273" s="374"/>
      <c r="C61273" s="374"/>
      <c r="CV61273" s="376"/>
    </row>
    <row r="61274" spans="1:100">
      <c r="A61274" s="374"/>
      <c r="C61274" s="374"/>
      <c r="CV61274" s="376"/>
    </row>
    <row r="61275" spans="1:100">
      <c r="A61275" s="374"/>
      <c r="C61275" s="374"/>
      <c r="CV61275" s="376"/>
    </row>
    <row r="61276" spans="1:100">
      <c r="A61276" s="374"/>
      <c r="C61276" s="374"/>
      <c r="CV61276" s="376"/>
    </row>
    <row r="61277" spans="1:100">
      <c r="A61277" s="374"/>
      <c r="C61277" s="374"/>
      <c r="CV61277" s="376"/>
    </row>
    <row r="61278" spans="1:100">
      <c r="A61278" s="374"/>
      <c r="C61278" s="374"/>
      <c r="CV61278" s="376"/>
    </row>
    <row r="61279" spans="1:100">
      <c r="A61279" s="374"/>
      <c r="C61279" s="374"/>
      <c r="CV61279" s="376"/>
    </row>
    <row r="61280" spans="1:100">
      <c r="A61280" s="374"/>
      <c r="C61280" s="374"/>
      <c r="CV61280" s="376"/>
    </row>
    <row r="61281" spans="1:100">
      <c r="A61281" s="374"/>
      <c r="C61281" s="374"/>
      <c r="CV61281" s="376"/>
    </row>
    <row r="61282" spans="1:100">
      <c r="A61282" s="374"/>
      <c r="C61282" s="374"/>
      <c r="CV61282" s="376"/>
    </row>
    <row r="61283" spans="1:100">
      <c r="A61283" s="374"/>
      <c r="C61283" s="374"/>
      <c r="CV61283" s="376"/>
    </row>
    <row r="61284" spans="1:100">
      <c r="A61284" s="374"/>
      <c r="C61284" s="374"/>
      <c r="CV61284" s="376"/>
    </row>
    <row r="61285" spans="1:100">
      <c r="A61285" s="374"/>
      <c r="C61285" s="374"/>
      <c r="CV61285" s="376"/>
    </row>
    <row r="61286" spans="1:100">
      <c r="A61286" s="374"/>
      <c r="C61286" s="374"/>
      <c r="CV61286" s="376"/>
    </row>
    <row r="61287" spans="1:100">
      <c r="A61287" s="374"/>
      <c r="C61287" s="374"/>
      <c r="CV61287" s="376"/>
    </row>
    <row r="61288" spans="1:100">
      <c r="A61288" s="374"/>
      <c r="C61288" s="374"/>
      <c r="CV61288" s="376"/>
    </row>
    <row r="61289" spans="1:100">
      <c r="A61289" s="374"/>
      <c r="C61289" s="374"/>
      <c r="CV61289" s="376"/>
    </row>
    <row r="61290" spans="1:100">
      <c r="A61290" s="374"/>
      <c r="C61290" s="374"/>
      <c r="CV61290" s="376"/>
    </row>
    <row r="61291" spans="1:100">
      <c r="A61291" s="374"/>
      <c r="C61291" s="374"/>
      <c r="CV61291" s="376"/>
    </row>
    <row r="61292" spans="1:100">
      <c r="A61292" s="374"/>
      <c r="C61292" s="374"/>
      <c r="CV61292" s="376"/>
    </row>
    <row r="61293" spans="1:100">
      <c r="A61293" s="374"/>
      <c r="C61293" s="374"/>
      <c r="CV61293" s="376"/>
    </row>
    <row r="61294" spans="1:100">
      <c r="A61294" s="374"/>
      <c r="C61294" s="374"/>
      <c r="CV61294" s="376"/>
    </row>
    <row r="61295" spans="1:100">
      <c r="A61295" s="374"/>
      <c r="C61295" s="374"/>
      <c r="CV61295" s="376"/>
    </row>
    <row r="61296" spans="1:100">
      <c r="A61296" s="374"/>
      <c r="C61296" s="374"/>
      <c r="CV61296" s="376"/>
    </row>
    <row r="61297" spans="1:100">
      <c r="A61297" s="374"/>
      <c r="C61297" s="374"/>
      <c r="CV61297" s="376"/>
    </row>
    <row r="61298" spans="1:100">
      <c r="A61298" s="374"/>
      <c r="C61298" s="374"/>
      <c r="CV61298" s="376"/>
    </row>
    <row r="61299" spans="1:100">
      <c r="A61299" s="374"/>
      <c r="C61299" s="374"/>
      <c r="CV61299" s="376"/>
    </row>
    <row r="61300" spans="1:100">
      <c r="A61300" s="374"/>
      <c r="C61300" s="374"/>
      <c r="CV61300" s="376"/>
    </row>
    <row r="61301" spans="1:100">
      <c r="A61301" s="374"/>
      <c r="C61301" s="374"/>
      <c r="CV61301" s="376"/>
    </row>
    <row r="61302" spans="1:100">
      <c r="A61302" s="374"/>
      <c r="C61302" s="374"/>
      <c r="CV61302" s="376"/>
    </row>
    <row r="61303" spans="1:100">
      <c r="A61303" s="374"/>
      <c r="C61303" s="374"/>
      <c r="CV61303" s="376"/>
    </row>
    <row r="61304" spans="1:100">
      <c r="A61304" s="374"/>
      <c r="C61304" s="374"/>
      <c r="CV61304" s="376"/>
    </row>
    <row r="61305" spans="1:100">
      <c r="A61305" s="374"/>
      <c r="C61305" s="374"/>
      <c r="CV61305" s="376"/>
    </row>
    <row r="61306" spans="1:100">
      <c r="A61306" s="374"/>
      <c r="C61306" s="374"/>
      <c r="CV61306" s="376"/>
    </row>
    <row r="61307" spans="1:100">
      <c r="A61307" s="374"/>
      <c r="C61307" s="374"/>
      <c r="CV61307" s="376"/>
    </row>
    <row r="61308" spans="1:100">
      <c r="A61308" s="374"/>
      <c r="C61308" s="374"/>
      <c r="CV61308" s="376"/>
    </row>
    <row r="61309" spans="1:100">
      <c r="A61309" s="374"/>
      <c r="C61309" s="374"/>
      <c r="CV61309" s="376"/>
    </row>
    <row r="61310" spans="1:100">
      <c r="A61310" s="374"/>
      <c r="C61310" s="374"/>
      <c r="CV61310" s="376"/>
    </row>
    <row r="61311" spans="1:100">
      <c r="A61311" s="374"/>
      <c r="C61311" s="374"/>
      <c r="CV61311" s="376"/>
    </row>
    <row r="61312" spans="1:100">
      <c r="A61312" s="374"/>
      <c r="C61312" s="374"/>
      <c r="CV61312" s="376"/>
    </row>
    <row r="61313" spans="1:100">
      <c r="A61313" s="374"/>
      <c r="C61313" s="374"/>
      <c r="CV61313" s="376"/>
    </row>
    <row r="61314" spans="1:100">
      <c r="A61314" s="374"/>
      <c r="C61314" s="374"/>
      <c r="CV61314" s="376"/>
    </row>
    <row r="61315" spans="1:100">
      <c r="A61315" s="374"/>
      <c r="C61315" s="374"/>
      <c r="CV61315" s="376"/>
    </row>
    <row r="61316" spans="1:100">
      <c r="A61316" s="374"/>
      <c r="C61316" s="374"/>
      <c r="CV61316" s="376"/>
    </row>
    <row r="61317" spans="1:100">
      <c r="A61317" s="374"/>
      <c r="C61317" s="374"/>
      <c r="CV61317" s="376"/>
    </row>
    <row r="61318" spans="1:100">
      <c r="A61318" s="374"/>
      <c r="C61318" s="374"/>
      <c r="CV61318" s="376"/>
    </row>
    <row r="61319" spans="1:100">
      <c r="A61319" s="374"/>
      <c r="C61319" s="374"/>
      <c r="CV61319" s="376"/>
    </row>
    <row r="61320" spans="1:100">
      <c r="A61320" s="374"/>
      <c r="C61320" s="374"/>
      <c r="CV61320" s="376"/>
    </row>
    <row r="61321" spans="1:100">
      <c r="A61321" s="374"/>
      <c r="C61321" s="374"/>
      <c r="CV61321" s="376"/>
    </row>
    <row r="61322" spans="1:100">
      <c r="A61322" s="374"/>
      <c r="C61322" s="374"/>
      <c r="CV61322" s="376"/>
    </row>
    <row r="61323" spans="1:100">
      <c r="A61323" s="374"/>
      <c r="C61323" s="374"/>
      <c r="CV61323" s="376"/>
    </row>
    <row r="61324" spans="1:100">
      <c r="A61324" s="374"/>
      <c r="C61324" s="374"/>
      <c r="CV61324" s="376"/>
    </row>
    <row r="61325" spans="1:100">
      <c r="A61325" s="374"/>
      <c r="C61325" s="374"/>
      <c r="CV61325" s="376"/>
    </row>
    <row r="61326" spans="1:100">
      <c r="A61326" s="374"/>
      <c r="C61326" s="374"/>
      <c r="CV61326" s="376"/>
    </row>
    <row r="61327" spans="1:100">
      <c r="A61327" s="374"/>
      <c r="C61327" s="374"/>
      <c r="CV61327" s="376"/>
    </row>
    <row r="61328" spans="1:100">
      <c r="A61328" s="374"/>
      <c r="C61328" s="374"/>
      <c r="CV61328" s="376"/>
    </row>
    <row r="61329" spans="1:100">
      <c r="A61329" s="374"/>
      <c r="C61329" s="374"/>
      <c r="CV61329" s="376"/>
    </row>
    <row r="61330" spans="1:100">
      <c r="A61330" s="374"/>
      <c r="C61330" s="374"/>
      <c r="CV61330" s="376"/>
    </row>
    <row r="61331" spans="1:100">
      <c r="A61331" s="374"/>
      <c r="C61331" s="374"/>
      <c r="CV61331" s="376"/>
    </row>
    <row r="61332" spans="1:100">
      <c r="A61332" s="374"/>
      <c r="C61332" s="374"/>
      <c r="CV61332" s="376"/>
    </row>
    <row r="61333" spans="1:100">
      <c r="A61333" s="374"/>
      <c r="C61333" s="374"/>
      <c r="CV61333" s="376"/>
    </row>
    <row r="61334" spans="1:100">
      <c r="A61334" s="374"/>
      <c r="C61334" s="374"/>
      <c r="CV61334" s="376"/>
    </row>
    <row r="61335" spans="1:100">
      <c r="A61335" s="374"/>
      <c r="C61335" s="374"/>
      <c r="CV61335" s="376"/>
    </row>
    <row r="61336" spans="1:100">
      <c r="A61336" s="374"/>
      <c r="C61336" s="374"/>
      <c r="CV61336" s="376"/>
    </row>
    <row r="61337" spans="1:100">
      <c r="A61337" s="374"/>
      <c r="C61337" s="374"/>
      <c r="CV61337" s="376"/>
    </row>
    <row r="61338" spans="1:100">
      <c r="A61338" s="374"/>
      <c r="C61338" s="374"/>
      <c r="CV61338" s="376"/>
    </row>
    <row r="61339" spans="1:100">
      <c r="A61339" s="374"/>
      <c r="C61339" s="374"/>
      <c r="CV61339" s="376"/>
    </row>
    <row r="61340" spans="1:100">
      <c r="A61340" s="374"/>
      <c r="C61340" s="374"/>
      <c r="CV61340" s="376"/>
    </row>
    <row r="61341" spans="1:100">
      <c r="A61341" s="374"/>
      <c r="C61341" s="374"/>
      <c r="CV61341" s="376"/>
    </row>
    <row r="61342" spans="1:100">
      <c r="A61342" s="374"/>
      <c r="C61342" s="374"/>
      <c r="CV61342" s="376"/>
    </row>
    <row r="61343" spans="1:100">
      <c r="A61343" s="374"/>
      <c r="C61343" s="374"/>
      <c r="CV61343" s="376"/>
    </row>
    <row r="61344" spans="1:100">
      <c r="A61344" s="374"/>
      <c r="C61344" s="374"/>
      <c r="CV61344" s="376"/>
    </row>
    <row r="61345" spans="1:100">
      <c r="A61345" s="374"/>
      <c r="C61345" s="374"/>
      <c r="CV61345" s="376"/>
    </row>
    <row r="61346" spans="1:100">
      <c r="A61346" s="374"/>
      <c r="C61346" s="374"/>
      <c r="CV61346" s="376"/>
    </row>
    <row r="61347" spans="1:100">
      <c r="A61347" s="374"/>
      <c r="C61347" s="374"/>
      <c r="CV61347" s="376"/>
    </row>
    <row r="61348" spans="1:100">
      <c r="A61348" s="374"/>
      <c r="C61348" s="374"/>
      <c r="CV61348" s="376"/>
    </row>
    <row r="61349" spans="1:100">
      <c r="A61349" s="374"/>
      <c r="C61349" s="374"/>
      <c r="CV61349" s="376"/>
    </row>
    <row r="61350" spans="1:100">
      <c r="A61350" s="374"/>
      <c r="C61350" s="374"/>
      <c r="CV61350" s="376"/>
    </row>
    <row r="61351" spans="1:100">
      <c r="A61351" s="374"/>
      <c r="C61351" s="374"/>
      <c r="CV61351" s="376"/>
    </row>
    <row r="61352" spans="1:100">
      <c r="A61352" s="374"/>
      <c r="C61352" s="374"/>
      <c r="CV61352" s="376"/>
    </row>
    <row r="61353" spans="1:100">
      <c r="A61353" s="374"/>
      <c r="C61353" s="374"/>
      <c r="CV61353" s="376"/>
    </row>
    <row r="61354" spans="1:100">
      <c r="A61354" s="374"/>
      <c r="C61354" s="374"/>
      <c r="CV61354" s="376"/>
    </row>
    <row r="61355" spans="1:100">
      <c r="A61355" s="374"/>
      <c r="C61355" s="374"/>
      <c r="CV61355" s="376"/>
    </row>
    <row r="61356" spans="1:100">
      <c r="A61356" s="374"/>
      <c r="C61356" s="374"/>
      <c r="CV61356" s="376"/>
    </row>
    <row r="61357" spans="1:100">
      <c r="A61357" s="374"/>
      <c r="C61357" s="374"/>
      <c r="CV61357" s="376"/>
    </row>
    <row r="61358" spans="1:100">
      <c r="A61358" s="374"/>
      <c r="C61358" s="374"/>
      <c r="CV61358" s="376"/>
    </row>
    <row r="61359" spans="1:100">
      <c r="A61359" s="374"/>
      <c r="C61359" s="374"/>
      <c r="CV61359" s="376"/>
    </row>
    <row r="61360" spans="1:100">
      <c r="A61360" s="374"/>
      <c r="C61360" s="374"/>
      <c r="CV61360" s="376"/>
    </row>
    <row r="61361" spans="1:100">
      <c r="A61361" s="374"/>
      <c r="C61361" s="374"/>
      <c r="CV61361" s="376"/>
    </row>
    <row r="61362" spans="1:100">
      <c r="A61362" s="374"/>
      <c r="C61362" s="374"/>
      <c r="CV61362" s="376"/>
    </row>
    <row r="61363" spans="1:100">
      <c r="A61363" s="374"/>
      <c r="C61363" s="374"/>
      <c r="CV61363" s="376"/>
    </row>
    <row r="61364" spans="1:100">
      <c r="A61364" s="374"/>
      <c r="C61364" s="374"/>
      <c r="CV61364" s="376"/>
    </row>
    <row r="61365" spans="1:100">
      <c r="A61365" s="374"/>
      <c r="C61365" s="374"/>
      <c r="CV61365" s="376"/>
    </row>
    <row r="61366" spans="1:100">
      <c r="A61366" s="374"/>
      <c r="C61366" s="374"/>
      <c r="CV61366" s="376"/>
    </row>
    <row r="61367" spans="1:100">
      <c r="A61367" s="374"/>
      <c r="C61367" s="374"/>
      <c r="CV61367" s="376"/>
    </row>
    <row r="61368" spans="1:100">
      <c r="A61368" s="374"/>
      <c r="C61368" s="374"/>
      <c r="CV61368" s="376"/>
    </row>
    <row r="61369" spans="1:100">
      <c r="A61369" s="374"/>
      <c r="C61369" s="374"/>
      <c r="CV61369" s="376"/>
    </row>
    <row r="61370" spans="1:100">
      <c r="A61370" s="374"/>
      <c r="C61370" s="374"/>
      <c r="CV61370" s="376"/>
    </row>
    <row r="61371" spans="1:100">
      <c r="A61371" s="374"/>
      <c r="C61371" s="374"/>
      <c r="CV61371" s="376"/>
    </row>
    <row r="61372" spans="1:100">
      <c r="A61372" s="374"/>
      <c r="C61372" s="374"/>
      <c r="CV61372" s="376"/>
    </row>
    <row r="61373" spans="1:100">
      <c r="A61373" s="374"/>
      <c r="C61373" s="374"/>
      <c r="CV61373" s="376"/>
    </row>
    <row r="61374" spans="1:100">
      <c r="A61374" s="374"/>
      <c r="C61374" s="374"/>
      <c r="CV61374" s="376"/>
    </row>
    <row r="61375" spans="1:100">
      <c r="A61375" s="374"/>
      <c r="C61375" s="374"/>
      <c r="CV61375" s="376"/>
    </row>
    <row r="61376" spans="1:100">
      <c r="A61376" s="374"/>
      <c r="C61376" s="374"/>
      <c r="CV61376" s="376"/>
    </row>
    <row r="61377" spans="1:100">
      <c r="A61377" s="374"/>
      <c r="C61377" s="374"/>
      <c r="CV61377" s="376"/>
    </row>
    <row r="61378" spans="1:100">
      <c r="A61378" s="374"/>
      <c r="C61378" s="374"/>
      <c r="CV61378" s="376"/>
    </row>
    <row r="61379" spans="1:100">
      <c r="A61379" s="374"/>
      <c r="C61379" s="374"/>
      <c r="CV61379" s="376"/>
    </row>
    <row r="61380" spans="1:100">
      <c r="A61380" s="374"/>
      <c r="C61380" s="374"/>
      <c r="CV61380" s="376"/>
    </row>
    <row r="61381" spans="1:100">
      <c r="A61381" s="374"/>
      <c r="C61381" s="374"/>
      <c r="CV61381" s="376"/>
    </row>
    <row r="61382" spans="1:100">
      <c r="A61382" s="374"/>
      <c r="C61382" s="374"/>
      <c r="CV61382" s="376"/>
    </row>
    <row r="61383" spans="1:100">
      <c r="A61383" s="374"/>
      <c r="C61383" s="374"/>
      <c r="CV61383" s="376"/>
    </row>
    <row r="61384" spans="1:100">
      <c r="A61384" s="374"/>
      <c r="C61384" s="374"/>
      <c r="CV61384" s="376"/>
    </row>
    <row r="61385" spans="1:100">
      <c r="A61385" s="374"/>
      <c r="C61385" s="374"/>
      <c r="CV61385" s="376"/>
    </row>
    <row r="61386" spans="1:100">
      <c r="A61386" s="374"/>
      <c r="C61386" s="374"/>
      <c r="CV61386" s="376"/>
    </row>
    <row r="61387" spans="1:100">
      <c r="A61387" s="374"/>
      <c r="C61387" s="374"/>
      <c r="CV61387" s="376"/>
    </row>
    <row r="61388" spans="1:100">
      <c r="A61388" s="374"/>
      <c r="C61388" s="374"/>
      <c r="CV61388" s="376"/>
    </row>
    <row r="61389" spans="1:100">
      <c r="A61389" s="374"/>
      <c r="C61389" s="374"/>
      <c r="CV61389" s="376"/>
    </row>
    <row r="61390" spans="1:100">
      <c r="A61390" s="374"/>
      <c r="C61390" s="374"/>
      <c r="CV61390" s="376"/>
    </row>
    <row r="61391" spans="1:100">
      <c r="A61391" s="374"/>
      <c r="C61391" s="374"/>
      <c r="CV61391" s="376"/>
    </row>
    <row r="61392" spans="1:100">
      <c r="A61392" s="374"/>
      <c r="C61392" s="374"/>
      <c r="CV61392" s="376"/>
    </row>
    <row r="61393" spans="1:100">
      <c r="A61393" s="374"/>
      <c r="C61393" s="374"/>
      <c r="CV61393" s="376"/>
    </row>
    <row r="61394" spans="1:100">
      <c r="A61394" s="374"/>
      <c r="C61394" s="374"/>
      <c r="CV61394" s="376"/>
    </row>
    <row r="61395" spans="1:100">
      <c r="A61395" s="374"/>
      <c r="C61395" s="374"/>
      <c r="CV61395" s="376"/>
    </row>
    <row r="61396" spans="1:100">
      <c r="A61396" s="374"/>
      <c r="C61396" s="374"/>
      <c r="CV61396" s="376"/>
    </row>
    <row r="61397" spans="1:100">
      <c r="A61397" s="374"/>
      <c r="C61397" s="374"/>
      <c r="CV61397" s="376"/>
    </row>
    <row r="61398" spans="1:100">
      <c r="A61398" s="374"/>
      <c r="C61398" s="374"/>
      <c r="CV61398" s="376"/>
    </row>
    <row r="61399" spans="1:100">
      <c r="A61399" s="374"/>
      <c r="C61399" s="374"/>
      <c r="CV61399" s="376"/>
    </row>
    <row r="61400" spans="1:100">
      <c r="A61400" s="374"/>
      <c r="C61400" s="374"/>
      <c r="CV61400" s="376"/>
    </row>
    <row r="61401" spans="1:100">
      <c r="A61401" s="374"/>
      <c r="C61401" s="374"/>
      <c r="CV61401" s="376"/>
    </row>
    <row r="61402" spans="1:100">
      <c r="A61402" s="374"/>
      <c r="C61402" s="374"/>
      <c r="CV61402" s="376"/>
    </row>
    <row r="61403" spans="1:100">
      <c r="A61403" s="374"/>
      <c r="C61403" s="374"/>
      <c r="CV61403" s="376"/>
    </row>
    <row r="61404" spans="1:100">
      <c r="A61404" s="374"/>
      <c r="C61404" s="374"/>
      <c r="CV61404" s="376"/>
    </row>
    <row r="61405" spans="1:100">
      <c r="A61405" s="374"/>
      <c r="C61405" s="374"/>
      <c r="CV61405" s="376"/>
    </row>
    <row r="61406" spans="1:100">
      <c r="A61406" s="374"/>
      <c r="C61406" s="374"/>
      <c r="CV61406" s="376"/>
    </row>
    <row r="61407" spans="1:100">
      <c r="A61407" s="374"/>
      <c r="C61407" s="374"/>
      <c r="CV61407" s="376"/>
    </row>
    <row r="61408" spans="1:100">
      <c r="A61408" s="374"/>
      <c r="C61408" s="374"/>
      <c r="CV61408" s="376"/>
    </row>
    <row r="61409" spans="1:100">
      <c r="A61409" s="374"/>
      <c r="C61409" s="374"/>
      <c r="CV61409" s="376"/>
    </row>
    <row r="61410" spans="1:100">
      <c r="A61410" s="374"/>
      <c r="C61410" s="374"/>
      <c r="CV61410" s="376"/>
    </row>
    <row r="61411" spans="1:100">
      <c r="A61411" s="374"/>
      <c r="C61411" s="374"/>
      <c r="CV61411" s="376"/>
    </row>
    <row r="61412" spans="1:100">
      <c r="A61412" s="374"/>
      <c r="C61412" s="374"/>
      <c r="CV61412" s="376"/>
    </row>
    <row r="61413" spans="1:100">
      <c r="A61413" s="374"/>
      <c r="C61413" s="374"/>
      <c r="CV61413" s="376"/>
    </row>
    <row r="61414" spans="1:100">
      <c r="A61414" s="374"/>
      <c r="C61414" s="374"/>
      <c r="CV61414" s="376"/>
    </row>
    <row r="61415" spans="1:100">
      <c r="A61415" s="374"/>
      <c r="C61415" s="374"/>
      <c r="CV61415" s="376"/>
    </row>
    <row r="61416" spans="1:100">
      <c r="A61416" s="374"/>
      <c r="C61416" s="374"/>
      <c r="CV61416" s="376"/>
    </row>
    <row r="61417" spans="1:100">
      <c r="A61417" s="374"/>
      <c r="C61417" s="374"/>
      <c r="CV61417" s="376"/>
    </row>
    <row r="61418" spans="1:100">
      <c r="A61418" s="374"/>
      <c r="C61418" s="374"/>
      <c r="CV61418" s="376"/>
    </row>
    <row r="61419" spans="1:100">
      <c r="A61419" s="374"/>
      <c r="C61419" s="374"/>
      <c r="CV61419" s="376"/>
    </row>
    <row r="61420" spans="1:100">
      <c r="A61420" s="374"/>
      <c r="C61420" s="374"/>
      <c r="CV61420" s="376"/>
    </row>
    <row r="61421" spans="1:100">
      <c r="A61421" s="374"/>
      <c r="C61421" s="374"/>
      <c r="CV61421" s="376"/>
    </row>
    <row r="61422" spans="1:100">
      <c r="A61422" s="374"/>
      <c r="C61422" s="374"/>
      <c r="CV61422" s="376"/>
    </row>
    <row r="61423" spans="1:100">
      <c r="A61423" s="374"/>
      <c r="C61423" s="374"/>
      <c r="CV61423" s="376"/>
    </row>
    <row r="61424" spans="1:100">
      <c r="A61424" s="374"/>
      <c r="C61424" s="374"/>
      <c r="CV61424" s="376"/>
    </row>
    <row r="61425" spans="1:100">
      <c r="A61425" s="374"/>
      <c r="C61425" s="374"/>
      <c r="CV61425" s="376"/>
    </row>
    <row r="61426" spans="1:100">
      <c r="A61426" s="374"/>
      <c r="C61426" s="374"/>
      <c r="CV61426" s="376"/>
    </row>
    <row r="61427" spans="1:100">
      <c r="A61427" s="374"/>
      <c r="C61427" s="374"/>
      <c r="CV61427" s="376"/>
    </row>
    <row r="61428" spans="1:100">
      <c r="A61428" s="374"/>
      <c r="C61428" s="374"/>
      <c r="CV61428" s="376"/>
    </row>
    <row r="61429" spans="1:100">
      <c r="A61429" s="374"/>
      <c r="C61429" s="374"/>
      <c r="CV61429" s="376"/>
    </row>
    <row r="61430" spans="1:100">
      <c r="A61430" s="374"/>
      <c r="C61430" s="374"/>
      <c r="CV61430" s="376"/>
    </row>
    <row r="61431" spans="1:100">
      <c r="A61431" s="374"/>
      <c r="C61431" s="374"/>
      <c r="CV61431" s="376"/>
    </row>
    <row r="61432" spans="1:100">
      <c r="A61432" s="374"/>
      <c r="C61432" s="374"/>
      <c r="CV61432" s="376"/>
    </row>
    <row r="61433" spans="1:100">
      <c r="A61433" s="374"/>
      <c r="C61433" s="374"/>
      <c r="CV61433" s="376"/>
    </row>
    <row r="61434" spans="1:100">
      <c r="A61434" s="374"/>
      <c r="C61434" s="374"/>
      <c r="CV61434" s="376"/>
    </row>
    <row r="61435" spans="1:100">
      <c r="A61435" s="374"/>
      <c r="C61435" s="374"/>
      <c r="CV61435" s="376"/>
    </row>
    <row r="61436" spans="1:100">
      <c r="A61436" s="374"/>
      <c r="C61436" s="374"/>
      <c r="CV61436" s="376"/>
    </row>
    <row r="61437" spans="1:100">
      <c r="A61437" s="374"/>
      <c r="C61437" s="374"/>
      <c r="CV61437" s="376"/>
    </row>
    <row r="61438" spans="1:100">
      <c r="A61438" s="374"/>
      <c r="C61438" s="374"/>
      <c r="CV61438" s="376"/>
    </row>
    <row r="61439" spans="1:100">
      <c r="A61439" s="374"/>
      <c r="C61439" s="374"/>
      <c r="CV61439" s="376"/>
    </row>
    <row r="61440" spans="1:100">
      <c r="A61440" s="374"/>
      <c r="C61440" s="374"/>
      <c r="CV61440" s="376"/>
    </row>
    <row r="61441" spans="1:100">
      <c r="A61441" s="374"/>
      <c r="C61441" s="374"/>
      <c r="CV61441" s="376"/>
    </row>
    <row r="61442" spans="1:100">
      <c r="A61442" s="374"/>
      <c r="C61442" s="374"/>
      <c r="CV61442" s="376"/>
    </row>
    <row r="61443" spans="1:100">
      <c r="A61443" s="374"/>
      <c r="C61443" s="374"/>
      <c r="CV61443" s="376"/>
    </row>
    <row r="61444" spans="1:100">
      <c r="A61444" s="374"/>
      <c r="C61444" s="374"/>
      <c r="CV61444" s="376"/>
    </row>
    <row r="61445" spans="1:100">
      <c r="A61445" s="374"/>
      <c r="C61445" s="374"/>
      <c r="CV61445" s="376"/>
    </row>
    <row r="61446" spans="1:100">
      <c r="A61446" s="374"/>
      <c r="C61446" s="374"/>
      <c r="CV61446" s="376"/>
    </row>
    <row r="61447" spans="1:100">
      <c r="A61447" s="374"/>
      <c r="C61447" s="374"/>
      <c r="CV61447" s="376"/>
    </row>
    <row r="61448" spans="1:100">
      <c r="A61448" s="374"/>
      <c r="C61448" s="374"/>
      <c r="CV61448" s="376"/>
    </row>
    <row r="61449" spans="1:100">
      <c r="A61449" s="374"/>
      <c r="C61449" s="374"/>
      <c r="CV61449" s="376"/>
    </row>
    <row r="61450" spans="1:100">
      <c r="A61450" s="374"/>
      <c r="C61450" s="374"/>
      <c r="CV61450" s="376"/>
    </row>
    <row r="61451" spans="1:100">
      <c r="A61451" s="374"/>
      <c r="C61451" s="374"/>
      <c r="CV61451" s="376"/>
    </row>
    <row r="61452" spans="1:100">
      <c r="A61452" s="374"/>
      <c r="C61452" s="374"/>
      <c r="CV61452" s="376"/>
    </row>
    <row r="61453" spans="1:100">
      <c r="A61453" s="374"/>
      <c r="C61453" s="374"/>
      <c r="CV61453" s="376"/>
    </row>
    <row r="61454" spans="1:100">
      <c r="A61454" s="374"/>
      <c r="C61454" s="374"/>
      <c r="CV61454" s="376"/>
    </row>
    <row r="61455" spans="1:100">
      <c r="A61455" s="374"/>
      <c r="C61455" s="374"/>
      <c r="CV61455" s="376"/>
    </row>
    <row r="61456" spans="1:100">
      <c r="A61456" s="374"/>
      <c r="C61456" s="374"/>
      <c r="CV61456" s="376"/>
    </row>
    <row r="61457" spans="1:100">
      <c r="A61457" s="374"/>
      <c r="C61457" s="374"/>
      <c r="CV61457" s="376"/>
    </row>
    <row r="61458" spans="1:100">
      <c r="A61458" s="374"/>
      <c r="C61458" s="374"/>
      <c r="CV61458" s="376"/>
    </row>
    <row r="61459" spans="1:100">
      <c r="A61459" s="374"/>
      <c r="C61459" s="374"/>
      <c r="CV61459" s="376"/>
    </row>
    <row r="61460" spans="1:100">
      <c r="A61460" s="374"/>
      <c r="C61460" s="374"/>
      <c r="CV61460" s="376"/>
    </row>
    <row r="61461" spans="1:100">
      <c r="A61461" s="374"/>
      <c r="C61461" s="374"/>
      <c r="CV61461" s="376"/>
    </row>
    <row r="61462" spans="1:100">
      <c r="A61462" s="374"/>
      <c r="C61462" s="374"/>
      <c r="CV61462" s="376"/>
    </row>
    <row r="61463" spans="1:100">
      <c r="A61463" s="374"/>
      <c r="C61463" s="374"/>
      <c r="CV61463" s="376"/>
    </row>
    <row r="61464" spans="1:100">
      <c r="A61464" s="374"/>
      <c r="C61464" s="374"/>
      <c r="CV61464" s="376"/>
    </row>
    <row r="61465" spans="1:100">
      <c r="A61465" s="374"/>
      <c r="C61465" s="374"/>
      <c r="CV61465" s="376"/>
    </row>
    <row r="61466" spans="1:100">
      <c r="A61466" s="374"/>
      <c r="C61466" s="374"/>
      <c r="CV61466" s="376"/>
    </row>
    <row r="61467" spans="1:100">
      <c r="A61467" s="374"/>
      <c r="C61467" s="374"/>
      <c r="CV61467" s="376"/>
    </row>
    <row r="61468" spans="1:100">
      <c r="A61468" s="374"/>
      <c r="C61468" s="374"/>
      <c r="CV61468" s="376"/>
    </row>
    <row r="61469" spans="1:100">
      <c r="A61469" s="374"/>
      <c r="C61469" s="374"/>
      <c r="CV61469" s="376"/>
    </row>
    <row r="61470" spans="1:100">
      <c r="A61470" s="374"/>
      <c r="C61470" s="374"/>
      <c r="CV61470" s="376"/>
    </row>
    <row r="61471" spans="1:100">
      <c r="A61471" s="374"/>
      <c r="C61471" s="374"/>
      <c r="CV61471" s="376"/>
    </row>
    <row r="61472" spans="1:100">
      <c r="A61472" s="374"/>
      <c r="C61472" s="374"/>
      <c r="CV61472" s="376"/>
    </row>
    <row r="61473" spans="1:100">
      <c r="A61473" s="374"/>
      <c r="C61473" s="374"/>
      <c r="CV61473" s="376"/>
    </row>
    <row r="61474" spans="1:100">
      <c r="A61474" s="374"/>
      <c r="C61474" s="374"/>
      <c r="CV61474" s="376"/>
    </row>
    <row r="61475" spans="1:100">
      <c r="A61475" s="374"/>
      <c r="C61475" s="374"/>
      <c r="CV61475" s="376"/>
    </row>
    <row r="61476" spans="1:100">
      <c r="A61476" s="374"/>
      <c r="C61476" s="374"/>
      <c r="CV61476" s="376"/>
    </row>
    <row r="61477" spans="1:100">
      <c r="A61477" s="374"/>
      <c r="C61477" s="374"/>
      <c r="CV61477" s="376"/>
    </row>
    <row r="61478" spans="1:100">
      <c r="A61478" s="374"/>
      <c r="C61478" s="374"/>
      <c r="CV61478" s="376"/>
    </row>
    <row r="61479" spans="1:100">
      <c r="A61479" s="374"/>
      <c r="C61479" s="374"/>
      <c r="CV61479" s="376"/>
    </row>
    <row r="61480" spans="1:100">
      <c r="A61480" s="374"/>
      <c r="C61480" s="374"/>
      <c r="CV61480" s="376"/>
    </row>
    <row r="61481" spans="1:100">
      <c r="A61481" s="374"/>
      <c r="C61481" s="374"/>
      <c r="CV61481" s="376"/>
    </row>
    <row r="61482" spans="1:100">
      <c r="A61482" s="374"/>
      <c r="C61482" s="374"/>
      <c r="CV61482" s="376"/>
    </row>
    <row r="61483" spans="1:100">
      <c r="A61483" s="374"/>
      <c r="C61483" s="374"/>
      <c r="CV61483" s="376"/>
    </row>
    <row r="61484" spans="1:100">
      <c r="A61484" s="374"/>
      <c r="C61484" s="374"/>
      <c r="CV61484" s="376"/>
    </row>
    <row r="61485" spans="1:100">
      <c r="A61485" s="374"/>
      <c r="C61485" s="374"/>
      <c r="CV61485" s="376"/>
    </row>
    <row r="61486" spans="1:100">
      <c r="A61486" s="374"/>
      <c r="C61486" s="374"/>
      <c r="CV61486" s="376"/>
    </row>
    <row r="61487" spans="1:100">
      <c r="A61487" s="374"/>
      <c r="C61487" s="374"/>
      <c r="CV61487" s="376"/>
    </row>
    <row r="61488" spans="1:100">
      <c r="A61488" s="374"/>
      <c r="C61488" s="374"/>
      <c r="CV61488" s="376"/>
    </row>
    <row r="61489" spans="1:100">
      <c r="A61489" s="374"/>
      <c r="C61489" s="374"/>
      <c r="CV61489" s="376"/>
    </row>
    <row r="61490" spans="1:100">
      <c r="A61490" s="374"/>
      <c r="C61490" s="374"/>
      <c r="CV61490" s="376"/>
    </row>
    <row r="61491" spans="1:100">
      <c r="A61491" s="374"/>
      <c r="C61491" s="374"/>
      <c r="CV61491" s="376"/>
    </row>
    <row r="61492" spans="1:100">
      <c r="A61492" s="374"/>
      <c r="C61492" s="374"/>
      <c r="CV61492" s="376"/>
    </row>
    <row r="61493" spans="1:100">
      <c r="A61493" s="374"/>
      <c r="C61493" s="374"/>
      <c r="CV61493" s="376"/>
    </row>
    <row r="61494" spans="1:100">
      <c r="A61494" s="374"/>
      <c r="C61494" s="374"/>
      <c r="CV61494" s="376"/>
    </row>
    <row r="61495" spans="1:100">
      <c r="A61495" s="374"/>
      <c r="C61495" s="374"/>
      <c r="CV61495" s="376"/>
    </row>
    <row r="61496" spans="1:100">
      <c r="A61496" s="374"/>
      <c r="C61496" s="374"/>
      <c r="CV61496" s="376"/>
    </row>
    <row r="61497" spans="1:100">
      <c r="A61497" s="374"/>
      <c r="C61497" s="374"/>
      <c r="CV61497" s="376"/>
    </row>
    <row r="61498" spans="1:100">
      <c r="A61498" s="374"/>
      <c r="C61498" s="374"/>
      <c r="CV61498" s="376"/>
    </row>
    <row r="61499" spans="1:100">
      <c r="A61499" s="374"/>
      <c r="C61499" s="374"/>
      <c r="CV61499" s="376"/>
    </row>
    <row r="61500" spans="1:100">
      <c r="A61500" s="374"/>
      <c r="C61500" s="374"/>
      <c r="CV61500" s="376"/>
    </row>
    <row r="61501" spans="1:100">
      <c r="A61501" s="374"/>
      <c r="C61501" s="374"/>
      <c r="CV61501" s="376"/>
    </row>
    <row r="61502" spans="1:100">
      <c r="A61502" s="374"/>
      <c r="C61502" s="374"/>
      <c r="CV61502" s="376"/>
    </row>
    <row r="61503" spans="1:100">
      <c r="A61503" s="374"/>
      <c r="C61503" s="374"/>
      <c r="CV61503" s="376"/>
    </row>
    <row r="61504" spans="1:100">
      <c r="A61504" s="374"/>
      <c r="C61504" s="374"/>
      <c r="CV61504" s="376"/>
    </row>
    <row r="61505" spans="1:100">
      <c r="A61505" s="374"/>
      <c r="C61505" s="374"/>
      <c r="CV61505" s="376"/>
    </row>
    <row r="61506" spans="1:100">
      <c r="A61506" s="374"/>
      <c r="C61506" s="374"/>
      <c r="CV61506" s="376"/>
    </row>
    <row r="61507" spans="1:100">
      <c r="A61507" s="374"/>
      <c r="C61507" s="374"/>
      <c r="CV61507" s="376"/>
    </row>
    <row r="61508" spans="1:100">
      <c r="A61508" s="374"/>
      <c r="C61508" s="374"/>
      <c r="CV61508" s="376"/>
    </row>
    <row r="61509" spans="1:100">
      <c r="A61509" s="374"/>
      <c r="C61509" s="374"/>
      <c r="CV61509" s="376"/>
    </row>
    <row r="61510" spans="1:100">
      <c r="A61510" s="374"/>
      <c r="C61510" s="374"/>
      <c r="CV61510" s="376"/>
    </row>
    <row r="61511" spans="1:100">
      <c r="A61511" s="374"/>
      <c r="C61511" s="374"/>
      <c r="CV61511" s="376"/>
    </row>
    <row r="61512" spans="1:100">
      <c r="A61512" s="374"/>
      <c r="C61512" s="374"/>
      <c r="CV61512" s="376"/>
    </row>
    <row r="61513" spans="1:100">
      <c r="A61513" s="374"/>
      <c r="C61513" s="374"/>
      <c r="CV61513" s="376"/>
    </row>
    <row r="61514" spans="1:100">
      <c r="A61514" s="374"/>
      <c r="C61514" s="374"/>
      <c r="CV61514" s="376"/>
    </row>
    <row r="61515" spans="1:100">
      <c r="A61515" s="374"/>
      <c r="C61515" s="374"/>
      <c r="CV61515" s="376"/>
    </row>
    <row r="61516" spans="1:100">
      <c r="A61516" s="374"/>
      <c r="C61516" s="374"/>
      <c r="CV61516" s="376"/>
    </row>
    <row r="61517" spans="1:100">
      <c r="A61517" s="374"/>
      <c r="C61517" s="374"/>
      <c r="CV61517" s="376"/>
    </row>
    <row r="61518" spans="1:100">
      <c r="A61518" s="374"/>
      <c r="C61518" s="374"/>
      <c r="CV61518" s="376"/>
    </row>
    <row r="61519" spans="1:100">
      <c r="A61519" s="374"/>
      <c r="C61519" s="374"/>
      <c r="CV61519" s="376"/>
    </row>
    <row r="61520" spans="1:100">
      <c r="A61520" s="374"/>
      <c r="C61520" s="374"/>
      <c r="CV61520" s="376"/>
    </row>
    <row r="61521" spans="1:100">
      <c r="A61521" s="374"/>
      <c r="C61521" s="374"/>
      <c r="CV61521" s="376"/>
    </row>
    <row r="61522" spans="1:100">
      <c r="A61522" s="374"/>
      <c r="C61522" s="374"/>
      <c r="CV61522" s="376"/>
    </row>
    <row r="61523" spans="1:100">
      <c r="A61523" s="374"/>
      <c r="C61523" s="374"/>
      <c r="CV61523" s="376"/>
    </row>
    <row r="61524" spans="1:100">
      <c r="A61524" s="374"/>
      <c r="C61524" s="374"/>
      <c r="CV61524" s="376"/>
    </row>
    <row r="61525" spans="1:100">
      <c r="A61525" s="374"/>
      <c r="C61525" s="374"/>
      <c r="CV61525" s="376"/>
    </row>
    <row r="61526" spans="1:100">
      <c r="A61526" s="374"/>
      <c r="C61526" s="374"/>
      <c r="CV61526" s="376"/>
    </row>
    <row r="61527" spans="1:100">
      <c r="A61527" s="374"/>
      <c r="C61527" s="374"/>
      <c r="CV61527" s="376"/>
    </row>
    <row r="61528" spans="1:100">
      <c r="A61528" s="374"/>
      <c r="C61528" s="374"/>
      <c r="CV61528" s="376"/>
    </row>
    <row r="61529" spans="1:100">
      <c r="A61529" s="374"/>
      <c r="C61529" s="374"/>
      <c r="CV61529" s="376"/>
    </row>
    <row r="61530" spans="1:100">
      <c r="A61530" s="374"/>
      <c r="C61530" s="374"/>
      <c r="CV61530" s="376"/>
    </row>
    <row r="61531" spans="1:100">
      <c r="A61531" s="374"/>
      <c r="C61531" s="374"/>
      <c r="CV61531" s="376"/>
    </row>
    <row r="61532" spans="1:100">
      <c r="A61532" s="374"/>
      <c r="C61532" s="374"/>
      <c r="CV61532" s="376"/>
    </row>
    <row r="61533" spans="1:100">
      <c r="A61533" s="374"/>
      <c r="C61533" s="374"/>
      <c r="CV61533" s="376"/>
    </row>
    <row r="61534" spans="1:100">
      <c r="A61534" s="374"/>
      <c r="C61534" s="374"/>
      <c r="CV61534" s="376"/>
    </row>
    <row r="61535" spans="1:100">
      <c r="A61535" s="374"/>
      <c r="C61535" s="374"/>
      <c r="CV61535" s="376"/>
    </row>
    <row r="61536" spans="1:100">
      <c r="A61536" s="374"/>
      <c r="C61536" s="374"/>
      <c r="CV61536" s="376"/>
    </row>
    <row r="61537" spans="1:100">
      <c r="A61537" s="374"/>
      <c r="C61537" s="374"/>
      <c r="CV61537" s="376"/>
    </row>
    <row r="61538" spans="1:100">
      <c r="A61538" s="374"/>
      <c r="C61538" s="374"/>
      <c r="CV61538" s="376"/>
    </row>
    <row r="61539" spans="1:100">
      <c r="A61539" s="374"/>
      <c r="C61539" s="374"/>
      <c r="CV61539" s="376"/>
    </row>
    <row r="61540" spans="1:100">
      <c r="A61540" s="374"/>
      <c r="C61540" s="374"/>
      <c r="CV61540" s="376"/>
    </row>
    <row r="61541" spans="1:100">
      <c r="A61541" s="374"/>
      <c r="C61541" s="374"/>
      <c r="CV61541" s="376"/>
    </row>
    <row r="61542" spans="1:100">
      <c r="A61542" s="374"/>
      <c r="C61542" s="374"/>
      <c r="CV61542" s="376"/>
    </row>
    <row r="61543" spans="1:100">
      <c r="A61543" s="374"/>
      <c r="C61543" s="374"/>
      <c r="CV61543" s="376"/>
    </row>
    <row r="61544" spans="1:100">
      <c r="A61544" s="374"/>
      <c r="C61544" s="374"/>
      <c r="CV61544" s="376"/>
    </row>
    <row r="61545" spans="1:100">
      <c r="A61545" s="374"/>
      <c r="C61545" s="374"/>
      <c r="CV61545" s="376"/>
    </row>
    <row r="61546" spans="1:100">
      <c r="A61546" s="374"/>
      <c r="C61546" s="374"/>
      <c r="CV61546" s="376"/>
    </row>
    <row r="61547" spans="1:100">
      <c r="A61547" s="374"/>
      <c r="C61547" s="374"/>
      <c r="CV61547" s="376"/>
    </row>
    <row r="61548" spans="1:100">
      <c r="A61548" s="374"/>
      <c r="C61548" s="374"/>
      <c r="CV61548" s="376"/>
    </row>
    <row r="61549" spans="1:100">
      <c r="A61549" s="374"/>
      <c r="C61549" s="374"/>
      <c r="CV61549" s="376"/>
    </row>
    <row r="61550" spans="1:100">
      <c r="A61550" s="374"/>
      <c r="C61550" s="374"/>
      <c r="CV61550" s="376"/>
    </row>
    <row r="61551" spans="1:100">
      <c r="A61551" s="374"/>
      <c r="C61551" s="374"/>
      <c r="CV61551" s="376"/>
    </row>
    <row r="61552" spans="1:100">
      <c r="A61552" s="374"/>
      <c r="C61552" s="374"/>
      <c r="CV61552" s="376"/>
    </row>
    <row r="61553" spans="1:100">
      <c r="A61553" s="374"/>
      <c r="C61553" s="374"/>
      <c r="CV61553" s="376"/>
    </row>
    <row r="61554" spans="1:100">
      <c r="A61554" s="374"/>
      <c r="C61554" s="374"/>
      <c r="CV61554" s="376"/>
    </row>
    <row r="61555" spans="1:100">
      <c r="A61555" s="374"/>
      <c r="C61555" s="374"/>
      <c r="CV61555" s="376"/>
    </row>
    <row r="61556" spans="1:100">
      <c r="A61556" s="374"/>
      <c r="C61556" s="374"/>
      <c r="CV61556" s="376"/>
    </row>
    <row r="61557" spans="1:100">
      <c r="A61557" s="374"/>
      <c r="C61557" s="374"/>
      <c r="CV61557" s="376"/>
    </row>
    <row r="61558" spans="1:100">
      <c r="A61558" s="374"/>
      <c r="C61558" s="374"/>
      <c r="CV61558" s="376"/>
    </row>
    <row r="61559" spans="1:100">
      <c r="A61559" s="374"/>
      <c r="C61559" s="374"/>
      <c r="CV61559" s="376"/>
    </row>
    <row r="61560" spans="1:100">
      <c r="A61560" s="374"/>
      <c r="C61560" s="374"/>
      <c r="CV61560" s="376"/>
    </row>
    <row r="61561" spans="1:100">
      <c r="A61561" s="374"/>
      <c r="C61561" s="374"/>
      <c r="CV61561" s="376"/>
    </row>
    <row r="61562" spans="1:100">
      <c r="A61562" s="374"/>
      <c r="C61562" s="374"/>
      <c r="CV61562" s="376"/>
    </row>
    <row r="61563" spans="1:100">
      <c r="A61563" s="374"/>
      <c r="C61563" s="374"/>
      <c r="CV61563" s="376"/>
    </row>
    <row r="61564" spans="1:100">
      <c r="A61564" s="374"/>
      <c r="C61564" s="374"/>
      <c r="CV61564" s="376"/>
    </row>
    <row r="61565" spans="1:100">
      <c r="A61565" s="374"/>
      <c r="C61565" s="374"/>
      <c r="CV61565" s="376"/>
    </row>
    <row r="61566" spans="1:100">
      <c r="A61566" s="374"/>
      <c r="C61566" s="374"/>
      <c r="CV61566" s="376"/>
    </row>
    <row r="61567" spans="1:100">
      <c r="A61567" s="374"/>
      <c r="C61567" s="374"/>
      <c r="CV61567" s="376"/>
    </row>
    <row r="61568" spans="1:100">
      <c r="A61568" s="374"/>
      <c r="C61568" s="374"/>
      <c r="CV61568" s="376"/>
    </row>
    <row r="61569" spans="1:100">
      <c r="A61569" s="374"/>
      <c r="C61569" s="374"/>
      <c r="CV61569" s="376"/>
    </row>
    <row r="61570" spans="1:100">
      <c r="A61570" s="374"/>
      <c r="C61570" s="374"/>
      <c r="CV61570" s="376"/>
    </row>
    <row r="61571" spans="1:100">
      <c r="A61571" s="374"/>
      <c r="C61571" s="374"/>
      <c r="CV61571" s="376"/>
    </row>
    <row r="61572" spans="1:100">
      <c r="A61572" s="374"/>
      <c r="C61572" s="374"/>
      <c r="CV61572" s="376"/>
    </row>
    <row r="61573" spans="1:100">
      <c r="A61573" s="374"/>
      <c r="C61573" s="374"/>
      <c r="CV61573" s="376"/>
    </row>
    <row r="61574" spans="1:100">
      <c r="A61574" s="374"/>
      <c r="C61574" s="374"/>
      <c r="CV61574" s="376"/>
    </row>
    <row r="61575" spans="1:100">
      <c r="A61575" s="374"/>
      <c r="C61575" s="374"/>
      <c r="CV61575" s="376"/>
    </row>
    <row r="61576" spans="1:100">
      <c r="A61576" s="374"/>
      <c r="C61576" s="374"/>
      <c r="CV61576" s="376"/>
    </row>
    <row r="61577" spans="1:100">
      <c r="A61577" s="374"/>
      <c r="C61577" s="374"/>
      <c r="CV61577" s="376"/>
    </row>
    <row r="61578" spans="1:100">
      <c r="A61578" s="374"/>
      <c r="C61578" s="374"/>
      <c r="CV61578" s="376"/>
    </row>
    <row r="61579" spans="1:100">
      <c r="A61579" s="374"/>
      <c r="C61579" s="374"/>
      <c r="CV61579" s="376"/>
    </row>
    <row r="61580" spans="1:100">
      <c r="A61580" s="374"/>
      <c r="C61580" s="374"/>
      <c r="CV61580" s="376"/>
    </row>
    <row r="61581" spans="1:100">
      <c r="A61581" s="374"/>
      <c r="C61581" s="374"/>
      <c r="CV61581" s="376"/>
    </row>
    <row r="61582" spans="1:100">
      <c r="A61582" s="374"/>
      <c r="C61582" s="374"/>
      <c r="CV61582" s="376"/>
    </row>
    <row r="61583" spans="1:100">
      <c r="A61583" s="374"/>
      <c r="C61583" s="374"/>
      <c r="CV61583" s="376"/>
    </row>
    <row r="61584" spans="1:100">
      <c r="A61584" s="374"/>
      <c r="C61584" s="374"/>
      <c r="CV61584" s="376"/>
    </row>
    <row r="61585" spans="1:100">
      <c r="A61585" s="374"/>
      <c r="C61585" s="374"/>
      <c r="CV61585" s="376"/>
    </row>
    <row r="61586" spans="1:100">
      <c r="A61586" s="374"/>
      <c r="C61586" s="374"/>
      <c r="CV61586" s="376"/>
    </row>
    <row r="61587" spans="1:100">
      <c r="A61587" s="374"/>
      <c r="C61587" s="374"/>
      <c r="CV61587" s="376"/>
    </row>
    <row r="61588" spans="1:100">
      <c r="A61588" s="374"/>
      <c r="C61588" s="374"/>
      <c r="CV61588" s="376"/>
    </row>
    <row r="61589" spans="1:100">
      <c r="A61589" s="374"/>
      <c r="C61589" s="374"/>
      <c r="CV61589" s="376"/>
    </row>
    <row r="61590" spans="1:100">
      <c r="A61590" s="374"/>
      <c r="C61590" s="374"/>
      <c r="CV61590" s="376"/>
    </row>
    <row r="61591" spans="1:100">
      <c r="A61591" s="374"/>
      <c r="C61591" s="374"/>
      <c r="CV61591" s="376"/>
    </row>
    <row r="61592" spans="1:100">
      <c r="A61592" s="374"/>
      <c r="C61592" s="374"/>
      <c r="CV61592" s="376"/>
    </row>
    <row r="61593" spans="1:100">
      <c r="A61593" s="374"/>
      <c r="C61593" s="374"/>
      <c r="CV61593" s="376"/>
    </row>
    <row r="61594" spans="1:100">
      <c r="A61594" s="374"/>
      <c r="C61594" s="374"/>
      <c r="CV61594" s="376"/>
    </row>
    <row r="61595" spans="1:100">
      <c r="A61595" s="374"/>
      <c r="C61595" s="374"/>
      <c r="CV61595" s="376"/>
    </row>
    <row r="61596" spans="1:100">
      <c r="A61596" s="374"/>
      <c r="C61596" s="374"/>
      <c r="CV61596" s="376"/>
    </row>
    <row r="61597" spans="1:100">
      <c r="A61597" s="374"/>
      <c r="C61597" s="374"/>
      <c r="CV61597" s="376"/>
    </row>
    <row r="61598" spans="1:100">
      <c r="A61598" s="374"/>
      <c r="C61598" s="374"/>
      <c r="CV61598" s="376"/>
    </row>
    <row r="61599" spans="1:100">
      <c r="A61599" s="374"/>
      <c r="C61599" s="374"/>
      <c r="CV61599" s="376"/>
    </row>
    <row r="61600" spans="1:100">
      <c r="A61600" s="374"/>
      <c r="C61600" s="374"/>
      <c r="CV61600" s="376"/>
    </row>
    <row r="61601" spans="1:100">
      <c r="A61601" s="374"/>
      <c r="C61601" s="374"/>
      <c r="CV61601" s="376"/>
    </row>
    <row r="61602" spans="1:100">
      <c r="A61602" s="374"/>
      <c r="C61602" s="374"/>
      <c r="CV61602" s="376"/>
    </row>
    <row r="61603" spans="1:100">
      <c r="A61603" s="374"/>
      <c r="C61603" s="374"/>
      <c r="CV61603" s="376"/>
    </row>
    <row r="61604" spans="1:100">
      <c r="A61604" s="374"/>
      <c r="C61604" s="374"/>
      <c r="CV61604" s="376"/>
    </row>
    <row r="61605" spans="1:100">
      <c r="A61605" s="374"/>
      <c r="C61605" s="374"/>
      <c r="CV61605" s="376"/>
    </row>
    <row r="61606" spans="1:100">
      <c r="A61606" s="374"/>
      <c r="C61606" s="374"/>
      <c r="CV61606" s="376"/>
    </row>
    <row r="61607" spans="1:100">
      <c r="A61607" s="374"/>
      <c r="C61607" s="374"/>
      <c r="CV61607" s="376"/>
    </row>
    <row r="61608" spans="1:100">
      <c r="A61608" s="374"/>
      <c r="C61608" s="374"/>
      <c r="CV61608" s="376"/>
    </row>
    <row r="61609" spans="1:100">
      <c r="A61609" s="374"/>
      <c r="C61609" s="374"/>
      <c r="CV61609" s="376"/>
    </row>
    <row r="61610" spans="1:100">
      <c r="A61610" s="374"/>
      <c r="C61610" s="374"/>
      <c r="CV61610" s="376"/>
    </row>
    <row r="61611" spans="1:100">
      <c r="A61611" s="374"/>
      <c r="C61611" s="374"/>
      <c r="CV61611" s="376"/>
    </row>
    <row r="61612" spans="1:100">
      <c r="A61612" s="374"/>
      <c r="C61612" s="374"/>
      <c r="CV61612" s="376"/>
    </row>
    <row r="61613" spans="1:100">
      <c r="A61613" s="374"/>
      <c r="C61613" s="374"/>
      <c r="CV61613" s="376"/>
    </row>
    <row r="61614" spans="1:100">
      <c r="A61614" s="374"/>
      <c r="C61614" s="374"/>
      <c r="CV61614" s="376"/>
    </row>
    <row r="61615" spans="1:100">
      <c r="A61615" s="374"/>
      <c r="C61615" s="374"/>
      <c r="CV61615" s="376"/>
    </row>
    <row r="61616" spans="1:100">
      <c r="A61616" s="374"/>
      <c r="C61616" s="374"/>
      <c r="CV61616" s="376"/>
    </row>
    <row r="61617" spans="1:100">
      <c r="A61617" s="374"/>
      <c r="C61617" s="374"/>
      <c r="CV61617" s="376"/>
    </row>
    <row r="61618" spans="1:100">
      <c r="A61618" s="374"/>
      <c r="C61618" s="374"/>
      <c r="CV61618" s="376"/>
    </row>
    <row r="61619" spans="1:100">
      <c r="A61619" s="374"/>
      <c r="C61619" s="374"/>
      <c r="CV61619" s="376"/>
    </row>
    <row r="61620" spans="1:100">
      <c r="A61620" s="374"/>
      <c r="C61620" s="374"/>
      <c r="CV61620" s="376"/>
    </row>
    <row r="61621" spans="1:100">
      <c r="A61621" s="374"/>
      <c r="C61621" s="374"/>
      <c r="CV61621" s="376"/>
    </row>
    <row r="61622" spans="1:100">
      <c r="A61622" s="374"/>
      <c r="C61622" s="374"/>
      <c r="CV61622" s="376"/>
    </row>
    <row r="61623" spans="1:100">
      <c r="A61623" s="374"/>
      <c r="C61623" s="374"/>
      <c r="CV61623" s="376"/>
    </row>
    <row r="61624" spans="1:100">
      <c r="A61624" s="374"/>
      <c r="C61624" s="374"/>
      <c r="CV61624" s="376"/>
    </row>
    <row r="61625" spans="1:100">
      <c r="A61625" s="374"/>
      <c r="C61625" s="374"/>
      <c r="CV61625" s="376"/>
    </row>
    <row r="61626" spans="1:100">
      <c r="A61626" s="374"/>
      <c r="C61626" s="374"/>
      <c r="CV61626" s="376"/>
    </row>
    <row r="61627" spans="1:100">
      <c r="A61627" s="374"/>
      <c r="C61627" s="374"/>
      <c r="CV61627" s="376"/>
    </row>
    <row r="61628" spans="1:100">
      <c r="A61628" s="374"/>
      <c r="C61628" s="374"/>
      <c r="CV61628" s="376"/>
    </row>
    <row r="61629" spans="1:100">
      <c r="A61629" s="374"/>
      <c r="C61629" s="374"/>
      <c r="CV61629" s="376"/>
    </row>
    <row r="61630" spans="1:100">
      <c r="A61630" s="374"/>
      <c r="C61630" s="374"/>
      <c r="CV61630" s="376"/>
    </row>
    <row r="61631" spans="1:100">
      <c r="A61631" s="374"/>
      <c r="C61631" s="374"/>
      <c r="CV61631" s="376"/>
    </row>
    <row r="61632" spans="1:100">
      <c r="A61632" s="374"/>
      <c r="C61632" s="374"/>
      <c r="CV61632" s="376"/>
    </row>
    <row r="61633" spans="1:100">
      <c r="A61633" s="374"/>
      <c r="C61633" s="374"/>
      <c r="CV61633" s="376"/>
    </row>
    <row r="61634" spans="1:100">
      <c r="A61634" s="374"/>
      <c r="C61634" s="374"/>
      <c r="CV61634" s="376"/>
    </row>
    <row r="61635" spans="1:100">
      <c r="A61635" s="374"/>
      <c r="C61635" s="374"/>
      <c r="CV61635" s="376"/>
    </row>
    <row r="61636" spans="1:100">
      <c r="A61636" s="374"/>
      <c r="C61636" s="374"/>
      <c r="CV61636" s="376"/>
    </row>
    <row r="61637" spans="1:100">
      <c r="A61637" s="374"/>
      <c r="C61637" s="374"/>
      <c r="CV61637" s="376"/>
    </row>
    <row r="61638" spans="1:100">
      <c r="A61638" s="374"/>
      <c r="C61638" s="374"/>
      <c r="CV61638" s="376"/>
    </row>
    <row r="61639" spans="1:100">
      <c r="A61639" s="374"/>
      <c r="C61639" s="374"/>
      <c r="CV61639" s="376"/>
    </row>
    <row r="61640" spans="1:100">
      <c r="A61640" s="374"/>
      <c r="C61640" s="374"/>
      <c r="CV61640" s="376"/>
    </row>
    <row r="61641" spans="1:100">
      <c r="A61641" s="374"/>
      <c r="C61641" s="374"/>
      <c r="CV61641" s="376"/>
    </row>
    <row r="61642" spans="1:100">
      <c r="A61642" s="374"/>
      <c r="C61642" s="374"/>
      <c r="CV61642" s="376"/>
    </row>
    <row r="61643" spans="1:100">
      <c r="A61643" s="374"/>
      <c r="C61643" s="374"/>
      <c r="CV61643" s="376"/>
    </row>
    <row r="61644" spans="1:100">
      <c r="A61644" s="374"/>
      <c r="C61644" s="374"/>
      <c r="CV61644" s="376"/>
    </row>
    <row r="61645" spans="1:100">
      <c r="A61645" s="374"/>
      <c r="C61645" s="374"/>
      <c r="CV61645" s="376"/>
    </row>
    <row r="61646" spans="1:100">
      <c r="A61646" s="374"/>
      <c r="C61646" s="374"/>
      <c r="CV61646" s="376"/>
    </row>
    <row r="61647" spans="1:100">
      <c r="A61647" s="374"/>
      <c r="C61647" s="374"/>
      <c r="CV61647" s="376"/>
    </row>
    <row r="61648" spans="1:100">
      <c r="A61648" s="374"/>
      <c r="C61648" s="374"/>
      <c r="CV61648" s="376"/>
    </row>
    <row r="61649" spans="1:100">
      <c r="A61649" s="374"/>
      <c r="C61649" s="374"/>
      <c r="CV61649" s="376"/>
    </row>
    <row r="61650" spans="1:100">
      <c r="A61650" s="374"/>
      <c r="C61650" s="374"/>
      <c r="CV61650" s="376"/>
    </row>
    <row r="61651" spans="1:100">
      <c r="A61651" s="374"/>
      <c r="C61651" s="374"/>
      <c r="CV61651" s="376"/>
    </row>
    <row r="61652" spans="1:100">
      <c r="A61652" s="374"/>
      <c r="C61652" s="374"/>
      <c r="CV61652" s="376"/>
    </row>
    <row r="61653" spans="1:100">
      <c r="A61653" s="374"/>
      <c r="C61653" s="374"/>
      <c r="CV61653" s="376"/>
    </row>
    <row r="61654" spans="1:100">
      <c r="A61654" s="374"/>
      <c r="C61654" s="374"/>
      <c r="CV61654" s="376"/>
    </row>
    <row r="61655" spans="1:100">
      <c r="A61655" s="374"/>
      <c r="C61655" s="374"/>
      <c r="CV61655" s="376"/>
    </row>
    <row r="61656" spans="1:100">
      <c r="A61656" s="374"/>
      <c r="C61656" s="374"/>
      <c r="CV61656" s="376"/>
    </row>
    <row r="61657" spans="1:100">
      <c r="A61657" s="374"/>
      <c r="C61657" s="374"/>
      <c r="CV61657" s="376"/>
    </row>
    <row r="61658" spans="1:100">
      <c r="A61658" s="374"/>
      <c r="C61658" s="374"/>
      <c r="CV61658" s="376"/>
    </row>
    <row r="61659" spans="1:100">
      <c r="A61659" s="374"/>
      <c r="C61659" s="374"/>
      <c r="CV61659" s="376"/>
    </row>
    <row r="61660" spans="1:100">
      <c r="A61660" s="374"/>
      <c r="C61660" s="374"/>
      <c r="CV61660" s="376"/>
    </row>
    <row r="61661" spans="1:100">
      <c r="A61661" s="374"/>
      <c r="C61661" s="374"/>
      <c r="CV61661" s="376"/>
    </row>
    <row r="61662" spans="1:100">
      <c r="A61662" s="374"/>
      <c r="C61662" s="374"/>
      <c r="CV61662" s="376"/>
    </row>
    <row r="61663" spans="1:100">
      <c r="A61663" s="374"/>
      <c r="C61663" s="374"/>
      <c r="CV61663" s="376"/>
    </row>
    <row r="61664" spans="1:100">
      <c r="A61664" s="374"/>
      <c r="C61664" s="374"/>
      <c r="CV61664" s="376"/>
    </row>
    <row r="61665" spans="1:100">
      <c r="A61665" s="374"/>
      <c r="C61665" s="374"/>
      <c r="CV61665" s="376"/>
    </row>
    <row r="61666" spans="1:100">
      <c r="A61666" s="374"/>
      <c r="C61666" s="374"/>
      <c r="CV61666" s="376"/>
    </row>
    <row r="61667" spans="1:100">
      <c r="A61667" s="374"/>
      <c r="C61667" s="374"/>
      <c r="CV61667" s="376"/>
    </row>
    <row r="61668" spans="1:100">
      <c r="A61668" s="374"/>
      <c r="C61668" s="374"/>
      <c r="CV61668" s="376"/>
    </row>
    <row r="61669" spans="1:100">
      <c r="A61669" s="374"/>
      <c r="C61669" s="374"/>
      <c r="CV61669" s="376"/>
    </row>
    <row r="61670" spans="1:100">
      <c r="A61670" s="374"/>
      <c r="C61670" s="374"/>
      <c r="CV61670" s="376"/>
    </row>
    <row r="61671" spans="1:100">
      <c r="A61671" s="374"/>
      <c r="C61671" s="374"/>
      <c r="CV61671" s="376"/>
    </row>
    <row r="61672" spans="1:100">
      <c r="A61672" s="374"/>
      <c r="C61672" s="374"/>
      <c r="CV61672" s="376"/>
    </row>
    <row r="61673" spans="1:100">
      <c r="A61673" s="374"/>
      <c r="C61673" s="374"/>
      <c r="CV61673" s="376"/>
    </row>
    <row r="61674" spans="1:100">
      <c r="A61674" s="374"/>
      <c r="C61674" s="374"/>
      <c r="CV61674" s="376"/>
    </row>
    <row r="61675" spans="1:100">
      <c r="A61675" s="374"/>
      <c r="C61675" s="374"/>
      <c r="CV61675" s="376"/>
    </row>
    <row r="61676" spans="1:100">
      <c r="A61676" s="374"/>
      <c r="C61676" s="374"/>
      <c r="CV61676" s="376"/>
    </row>
    <row r="61677" spans="1:100">
      <c r="A61677" s="374"/>
      <c r="C61677" s="374"/>
      <c r="CV61677" s="376"/>
    </row>
    <row r="61678" spans="1:100">
      <c r="A61678" s="374"/>
      <c r="C61678" s="374"/>
      <c r="CV61678" s="376"/>
    </row>
    <row r="61679" spans="1:100">
      <c r="A61679" s="374"/>
      <c r="C61679" s="374"/>
      <c r="CV61679" s="376"/>
    </row>
    <row r="61680" spans="1:100">
      <c r="A61680" s="374"/>
      <c r="C61680" s="374"/>
      <c r="CV61680" s="376"/>
    </row>
    <row r="61681" spans="1:100">
      <c r="A61681" s="374"/>
      <c r="C61681" s="374"/>
      <c r="CV61681" s="376"/>
    </row>
    <row r="61682" spans="1:100">
      <c r="A61682" s="374"/>
      <c r="C61682" s="374"/>
      <c r="CV61682" s="376"/>
    </row>
    <row r="61683" spans="1:100">
      <c r="A61683" s="374"/>
      <c r="C61683" s="374"/>
      <c r="CV61683" s="376"/>
    </row>
    <row r="61684" spans="1:100">
      <c r="A61684" s="374"/>
      <c r="C61684" s="374"/>
      <c r="CV61684" s="376"/>
    </row>
    <row r="61685" spans="1:100">
      <c r="A61685" s="374"/>
      <c r="C61685" s="374"/>
      <c r="CV61685" s="376"/>
    </row>
    <row r="61686" spans="1:100">
      <c r="A61686" s="374"/>
      <c r="C61686" s="374"/>
      <c r="CV61686" s="376"/>
    </row>
    <row r="61687" spans="1:100">
      <c r="A61687" s="374"/>
      <c r="C61687" s="374"/>
      <c r="CV61687" s="376"/>
    </row>
    <row r="61688" spans="1:100">
      <c r="A61688" s="374"/>
      <c r="C61688" s="374"/>
      <c r="CV61688" s="376"/>
    </row>
    <row r="61689" spans="1:100">
      <c r="A61689" s="374"/>
      <c r="C61689" s="374"/>
      <c r="CV61689" s="376"/>
    </row>
    <row r="61690" spans="1:100">
      <c r="A61690" s="374"/>
      <c r="C61690" s="374"/>
      <c r="CV61690" s="376"/>
    </row>
    <row r="61691" spans="1:100">
      <c r="A61691" s="374"/>
      <c r="C61691" s="374"/>
      <c r="CV61691" s="376"/>
    </row>
    <row r="61692" spans="1:100">
      <c r="A61692" s="374"/>
      <c r="C61692" s="374"/>
      <c r="CV61692" s="376"/>
    </row>
    <row r="61693" spans="1:100">
      <c r="A61693" s="374"/>
      <c r="C61693" s="374"/>
      <c r="CV61693" s="376"/>
    </row>
    <row r="61694" spans="1:100">
      <c r="A61694" s="374"/>
      <c r="C61694" s="374"/>
      <c r="CV61694" s="376"/>
    </row>
    <row r="61695" spans="1:100">
      <c r="A61695" s="374"/>
      <c r="C61695" s="374"/>
      <c r="CV61695" s="376"/>
    </row>
    <row r="61696" spans="1:100">
      <c r="A61696" s="374"/>
      <c r="C61696" s="374"/>
      <c r="CV61696" s="376"/>
    </row>
    <row r="61697" spans="1:100">
      <c r="A61697" s="374"/>
      <c r="C61697" s="374"/>
      <c r="CV61697" s="376"/>
    </row>
    <row r="61698" spans="1:100">
      <c r="A61698" s="374"/>
      <c r="C61698" s="374"/>
      <c r="CV61698" s="376"/>
    </row>
    <row r="61699" spans="1:100">
      <c r="A61699" s="374"/>
      <c r="C61699" s="374"/>
      <c r="CV61699" s="376"/>
    </row>
    <row r="61700" spans="1:100">
      <c r="A61700" s="374"/>
      <c r="C61700" s="374"/>
      <c r="CV61700" s="376"/>
    </row>
    <row r="61701" spans="1:100">
      <c r="A61701" s="374"/>
      <c r="C61701" s="374"/>
      <c r="CV61701" s="376"/>
    </row>
    <row r="61702" spans="1:100">
      <c r="A61702" s="374"/>
      <c r="C61702" s="374"/>
      <c r="CV61702" s="376"/>
    </row>
    <row r="61703" spans="1:100">
      <c r="A61703" s="374"/>
      <c r="C61703" s="374"/>
      <c r="CV61703" s="376"/>
    </row>
    <row r="61704" spans="1:100">
      <c r="A61704" s="374"/>
      <c r="C61704" s="374"/>
      <c r="CV61704" s="376"/>
    </row>
    <row r="61705" spans="1:100">
      <c r="A61705" s="374"/>
      <c r="C61705" s="374"/>
      <c r="CV61705" s="376"/>
    </row>
    <row r="61706" spans="1:100">
      <c r="A61706" s="374"/>
      <c r="C61706" s="374"/>
      <c r="CV61706" s="376"/>
    </row>
    <row r="61707" spans="1:100">
      <c r="A61707" s="374"/>
      <c r="C61707" s="374"/>
      <c r="CV61707" s="376"/>
    </row>
    <row r="61708" spans="1:100">
      <c r="A61708" s="374"/>
      <c r="C61708" s="374"/>
      <c r="CV61708" s="376"/>
    </row>
    <row r="61709" spans="1:100">
      <c r="A61709" s="374"/>
      <c r="C61709" s="374"/>
      <c r="CV61709" s="376"/>
    </row>
    <row r="61710" spans="1:100">
      <c r="A61710" s="374"/>
      <c r="C61710" s="374"/>
      <c r="CV61710" s="376"/>
    </row>
    <row r="61711" spans="1:100">
      <c r="A61711" s="374"/>
      <c r="C61711" s="374"/>
      <c r="CV61711" s="376"/>
    </row>
    <row r="61712" spans="1:100">
      <c r="A61712" s="374"/>
      <c r="C61712" s="374"/>
      <c r="CV61712" s="376"/>
    </row>
    <row r="61713" spans="1:100">
      <c r="A61713" s="374"/>
      <c r="C61713" s="374"/>
      <c r="CV61713" s="376"/>
    </row>
    <row r="61714" spans="1:100">
      <c r="A61714" s="374"/>
      <c r="C61714" s="374"/>
      <c r="CV61714" s="376"/>
    </row>
    <row r="61715" spans="1:100">
      <c r="A61715" s="374"/>
      <c r="C61715" s="374"/>
      <c r="CV61715" s="376"/>
    </row>
    <row r="61716" spans="1:100">
      <c r="A61716" s="374"/>
      <c r="C61716" s="374"/>
      <c r="CV61716" s="376"/>
    </row>
    <row r="61717" spans="1:100">
      <c r="A61717" s="374"/>
      <c r="C61717" s="374"/>
      <c r="CV61717" s="376"/>
    </row>
    <row r="61718" spans="1:100">
      <c r="A61718" s="374"/>
      <c r="C61718" s="374"/>
      <c r="CV61718" s="376"/>
    </row>
    <row r="61719" spans="1:100">
      <c r="A61719" s="374"/>
      <c r="C61719" s="374"/>
      <c r="CV61719" s="376"/>
    </row>
    <row r="61720" spans="1:100">
      <c r="A61720" s="374"/>
      <c r="C61720" s="374"/>
      <c r="CV61720" s="376"/>
    </row>
    <row r="61721" spans="1:100">
      <c r="A61721" s="374"/>
      <c r="C61721" s="374"/>
      <c r="CV61721" s="376"/>
    </row>
    <row r="61722" spans="1:100">
      <c r="A61722" s="374"/>
      <c r="C61722" s="374"/>
      <c r="CV61722" s="376"/>
    </row>
    <row r="61723" spans="1:100">
      <c r="A61723" s="374"/>
      <c r="C61723" s="374"/>
      <c r="CV61723" s="376"/>
    </row>
    <row r="61724" spans="1:100">
      <c r="A61724" s="374"/>
      <c r="C61724" s="374"/>
      <c r="CV61724" s="376"/>
    </row>
    <row r="61725" spans="1:100">
      <c r="A61725" s="374"/>
      <c r="C61725" s="374"/>
      <c r="CV61725" s="376"/>
    </row>
    <row r="61726" spans="1:100">
      <c r="A61726" s="374"/>
      <c r="C61726" s="374"/>
      <c r="CV61726" s="376"/>
    </row>
    <row r="61727" spans="1:100">
      <c r="A61727" s="374"/>
      <c r="C61727" s="374"/>
      <c r="CV61727" s="376"/>
    </row>
    <row r="61728" spans="1:100">
      <c r="A61728" s="374"/>
      <c r="C61728" s="374"/>
      <c r="CV61728" s="376"/>
    </row>
    <row r="61729" spans="1:100">
      <c r="A61729" s="374"/>
      <c r="C61729" s="374"/>
      <c r="CV61729" s="376"/>
    </row>
    <row r="61730" spans="1:100">
      <c r="A61730" s="374"/>
      <c r="C61730" s="374"/>
      <c r="CV61730" s="376"/>
    </row>
    <row r="61731" spans="1:100">
      <c r="A61731" s="374"/>
      <c r="C61731" s="374"/>
      <c r="CV61731" s="376"/>
    </row>
    <row r="61732" spans="1:100">
      <c r="A61732" s="374"/>
      <c r="C61732" s="374"/>
      <c r="CV61732" s="376"/>
    </row>
    <row r="61733" spans="1:100">
      <c r="A61733" s="374"/>
      <c r="C61733" s="374"/>
      <c r="CV61733" s="376"/>
    </row>
    <row r="61734" spans="1:100">
      <c r="A61734" s="374"/>
      <c r="C61734" s="374"/>
      <c r="CV61734" s="376"/>
    </row>
    <row r="61735" spans="1:100">
      <c r="A61735" s="374"/>
      <c r="C61735" s="374"/>
      <c r="CV61735" s="376"/>
    </row>
    <row r="61736" spans="1:100">
      <c r="A61736" s="374"/>
      <c r="C61736" s="374"/>
      <c r="CV61736" s="376"/>
    </row>
    <row r="61737" spans="1:100">
      <c r="A61737" s="374"/>
      <c r="C61737" s="374"/>
      <c r="CV61737" s="376"/>
    </row>
    <row r="61738" spans="1:100">
      <c r="A61738" s="374"/>
      <c r="C61738" s="374"/>
      <c r="CV61738" s="376"/>
    </row>
    <row r="61739" spans="1:100">
      <c r="A61739" s="374"/>
      <c r="C61739" s="374"/>
      <c r="CV61739" s="376"/>
    </row>
    <row r="61740" spans="1:100">
      <c r="A61740" s="374"/>
      <c r="C61740" s="374"/>
      <c r="CV61740" s="376"/>
    </row>
    <row r="61741" spans="1:100">
      <c r="A61741" s="374"/>
      <c r="C61741" s="374"/>
      <c r="CV61741" s="376"/>
    </row>
    <row r="61742" spans="1:100">
      <c r="A61742" s="374"/>
      <c r="C61742" s="374"/>
      <c r="CV61742" s="376"/>
    </row>
    <row r="61743" spans="1:100">
      <c r="A61743" s="374"/>
      <c r="C61743" s="374"/>
      <c r="CV61743" s="376"/>
    </row>
    <row r="61744" spans="1:100">
      <c r="A61744" s="374"/>
      <c r="C61744" s="374"/>
      <c r="CV61744" s="376"/>
    </row>
    <row r="61745" spans="1:100">
      <c r="A61745" s="374"/>
      <c r="C61745" s="374"/>
      <c r="CV61745" s="376"/>
    </row>
    <row r="61746" spans="1:100">
      <c r="A61746" s="374"/>
      <c r="C61746" s="374"/>
      <c r="CV61746" s="376"/>
    </row>
    <row r="61747" spans="1:100">
      <c r="A61747" s="374"/>
      <c r="C61747" s="374"/>
      <c r="CV61747" s="376"/>
    </row>
    <row r="61748" spans="1:100">
      <c r="A61748" s="374"/>
      <c r="C61748" s="374"/>
      <c r="CV61748" s="376"/>
    </row>
    <row r="61749" spans="1:100">
      <c r="A61749" s="374"/>
      <c r="C61749" s="374"/>
      <c r="CV61749" s="376"/>
    </row>
    <row r="61750" spans="1:100">
      <c r="A61750" s="374"/>
      <c r="C61750" s="374"/>
      <c r="CV61750" s="376"/>
    </row>
    <row r="61751" spans="1:100">
      <c r="A61751" s="374"/>
      <c r="C61751" s="374"/>
      <c r="CV61751" s="376"/>
    </row>
    <row r="61752" spans="1:100">
      <c r="A61752" s="374"/>
      <c r="C61752" s="374"/>
      <c r="CV61752" s="376"/>
    </row>
    <row r="61753" spans="1:100">
      <c r="A61753" s="374"/>
      <c r="C61753" s="374"/>
      <c r="CV61753" s="376"/>
    </row>
    <row r="61754" spans="1:100">
      <c r="A61754" s="374"/>
      <c r="C61754" s="374"/>
      <c r="CV61754" s="376"/>
    </row>
    <row r="61755" spans="1:100">
      <c r="A61755" s="374"/>
      <c r="C61755" s="374"/>
      <c r="CV61755" s="376"/>
    </row>
    <row r="61756" spans="1:100">
      <c r="A61756" s="374"/>
      <c r="C61756" s="374"/>
      <c r="CV61756" s="376"/>
    </row>
    <row r="61757" spans="1:100">
      <c r="A61757" s="374"/>
      <c r="C61757" s="374"/>
      <c r="CV61757" s="376"/>
    </row>
    <row r="61758" spans="1:100">
      <c r="A61758" s="374"/>
      <c r="C61758" s="374"/>
      <c r="CV61758" s="376"/>
    </row>
    <row r="61759" spans="1:100">
      <c r="A61759" s="374"/>
      <c r="C61759" s="374"/>
      <c r="CV61759" s="376"/>
    </row>
    <row r="61760" spans="1:100">
      <c r="A61760" s="374"/>
      <c r="C61760" s="374"/>
      <c r="CV61760" s="376"/>
    </row>
    <row r="61761" spans="1:100">
      <c r="A61761" s="374"/>
      <c r="C61761" s="374"/>
      <c r="CV61761" s="376"/>
    </row>
    <row r="61762" spans="1:100">
      <c r="A61762" s="374"/>
      <c r="C61762" s="374"/>
      <c r="CV61762" s="376"/>
    </row>
    <row r="61763" spans="1:100">
      <c r="A61763" s="374"/>
      <c r="C61763" s="374"/>
      <c r="CV61763" s="376"/>
    </row>
    <row r="61764" spans="1:100">
      <c r="A61764" s="374"/>
      <c r="C61764" s="374"/>
      <c r="CV61764" s="376"/>
    </row>
    <row r="61765" spans="1:100">
      <c r="A61765" s="374"/>
      <c r="C61765" s="374"/>
      <c r="CV61765" s="376"/>
    </row>
    <row r="61766" spans="1:100">
      <c r="A61766" s="374"/>
      <c r="C61766" s="374"/>
      <c r="CV61766" s="376"/>
    </row>
    <row r="61767" spans="1:100">
      <c r="A61767" s="374"/>
      <c r="C61767" s="374"/>
      <c r="CV61767" s="376"/>
    </row>
    <row r="61768" spans="1:100">
      <c r="A61768" s="374"/>
      <c r="C61768" s="374"/>
      <c r="CV61768" s="376"/>
    </row>
    <row r="61769" spans="1:100">
      <c r="A61769" s="374"/>
      <c r="C61769" s="374"/>
      <c r="CV61769" s="376"/>
    </row>
    <row r="61770" spans="1:100">
      <c r="A61770" s="374"/>
      <c r="C61770" s="374"/>
      <c r="CV61770" s="376"/>
    </row>
    <row r="61771" spans="1:100">
      <c r="A61771" s="374"/>
      <c r="C61771" s="374"/>
      <c r="CV61771" s="376"/>
    </row>
    <row r="61772" spans="1:100">
      <c r="A61772" s="374"/>
      <c r="C61772" s="374"/>
      <c r="CV61772" s="376"/>
    </row>
    <row r="61773" spans="1:100">
      <c r="A61773" s="374"/>
      <c r="C61773" s="374"/>
      <c r="CV61773" s="376"/>
    </row>
    <row r="61774" spans="1:100">
      <c r="A61774" s="374"/>
      <c r="C61774" s="374"/>
      <c r="CV61774" s="376"/>
    </row>
    <row r="61775" spans="1:100">
      <c r="A61775" s="374"/>
      <c r="C61775" s="374"/>
      <c r="CV61775" s="376"/>
    </row>
    <row r="61776" spans="1:100">
      <c r="A61776" s="374"/>
      <c r="C61776" s="374"/>
      <c r="CV61776" s="376"/>
    </row>
    <row r="61777" spans="1:100">
      <c r="A61777" s="374"/>
      <c r="C61777" s="374"/>
      <c r="CV61777" s="376"/>
    </row>
    <row r="61778" spans="1:100">
      <c r="A61778" s="374"/>
      <c r="C61778" s="374"/>
      <c r="CV61778" s="376"/>
    </row>
    <row r="61779" spans="1:100">
      <c r="A61779" s="374"/>
      <c r="C61779" s="374"/>
      <c r="CV61779" s="376"/>
    </row>
    <row r="61780" spans="1:100">
      <c r="A61780" s="374"/>
      <c r="C61780" s="374"/>
      <c r="CV61780" s="376"/>
    </row>
    <row r="61781" spans="1:100">
      <c r="A61781" s="374"/>
      <c r="C61781" s="374"/>
      <c r="CV61781" s="376"/>
    </row>
    <row r="61782" spans="1:100">
      <c r="A61782" s="374"/>
      <c r="C61782" s="374"/>
      <c r="CV61782" s="376"/>
    </row>
    <row r="61783" spans="1:100">
      <c r="A61783" s="374"/>
      <c r="C61783" s="374"/>
      <c r="CV61783" s="376"/>
    </row>
    <row r="61784" spans="1:100">
      <c r="A61784" s="374"/>
      <c r="C61784" s="374"/>
      <c r="CV61784" s="376"/>
    </row>
    <row r="61785" spans="1:100">
      <c r="A61785" s="374"/>
      <c r="C61785" s="374"/>
      <c r="CV61785" s="376"/>
    </row>
    <row r="61786" spans="1:100">
      <c r="A61786" s="374"/>
      <c r="C61786" s="374"/>
      <c r="CV61786" s="376"/>
    </row>
    <row r="61787" spans="1:100">
      <c r="A61787" s="374"/>
      <c r="C61787" s="374"/>
      <c r="CV61787" s="376"/>
    </row>
    <row r="61788" spans="1:100">
      <c r="A61788" s="374"/>
      <c r="C61788" s="374"/>
      <c r="CV61788" s="376"/>
    </row>
    <row r="61789" spans="1:100">
      <c r="A61789" s="374"/>
      <c r="C61789" s="374"/>
      <c r="CV61789" s="376"/>
    </row>
    <row r="61790" spans="1:100">
      <c r="A61790" s="374"/>
      <c r="C61790" s="374"/>
      <c r="CV61790" s="376"/>
    </row>
    <row r="61791" spans="1:100">
      <c r="A61791" s="374"/>
      <c r="C61791" s="374"/>
      <c r="CV61791" s="376"/>
    </row>
    <row r="61792" spans="1:100">
      <c r="A61792" s="374"/>
      <c r="C61792" s="374"/>
      <c r="CV61792" s="376"/>
    </row>
    <row r="61793" spans="1:100">
      <c r="A61793" s="374"/>
      <c r="C61793" s="374"/>
      <c r="CV61793" s="376"/>
    </row>
    <row r="61794" spans="1:100">
      <c r="A61794" s="374"/>
      <c r="C61794" s="374"/>
      <c r="CV61794" s="376"/>
    </row>
    <row r="61795" spans="1:100">
      <c r="A61795" s="374"/>
      <c r="C61795" s="374"/>
      <c r="CV61795" s="376"/>
    </row>
    <row r="61796" spans="1:100">
      <c r="A61796" s="374"/>
      <c r="C61796" s="374"/>
      <c r="CV61796" s="376"/>
    </row>
    <row r="61797" spans="1:100">
      <c r="A61797" s="374"/>
      <c r="C61797" s="374"/>
      <c r="CV61797" s="376"/>
    </row>
    <row r="61798" spans="1:100">
      <c r="A61798" s="374"/>
      <c r="C61798" s="374"/>
      <c r="CV61798" s="376"/>
    </row>
    <row r="61799" spans="1:100">
      <c r="A61799" s="374"/>
      <c r="C61799" s="374"/>
      <c r="CV61799" s="376"/>
    </row>
    <row r="61800" spans="1:100">
      <c r="A61800" s="374"/>
      <c r="C61800" s="374"/>
      <c r="CV61800" s="376"/>
    </row>
    <row r="61801" spans="1:100">
      <c r="A61801" s="374"/>
      <c r="C61801" s="374"/>
      <c r="CV61801" s="376"/>
    </row>
    <row r="61802" spans="1:100">
      <c r="A61802" s="374"/>
      <c r="C61802" s="374"/>
      <c r="CV61802" s="376"/>
    </row>
    <row r="61803" spans="1:100">
      <c r="A61803" s="374"/>
      <c r="C61803" s="374"/>
      <c r="CV61803" s="376"/>
    </row>
    <row r="61804" spans="1:100">
      <c r="A61804" s="374"/>
      <c r="C61804" s="374"/>
      <c r="CV61804" s="376"/>
    </row>
    <row r="61805" spans="1:100">
      <c r="A61805" s="374"/>
      <c r="C61805" s="374"/>
      <c r="CV61805" s="376"/>
    </row>
    <row r="61806" spans="1:100">
      <c r="A61806" s="374"/>
      <c r="C61806" s="374"/>
      <c r="CV61806" s="376"/>
    </row>
    <row r="61807" spans="1:100">
      <c r="A61807" s="374"/>
      <c r="C61807" s="374"/>
      <c r="CV61807" s="376"/>
    </row>
    <row r="61808" spans="1:100">
      <c r="A61808" s="374"/>
      <c r="C61808" s="374"/>
      <c r="CV61808" s="376"/>
    </row>
    <row r="61809" spans="1:100">
      <c r="A61809" s="374"/>
      <c r="C61809" s="374"/>
      <c r="CV61809" s="376"/>
    </row>
    <row r="61810" spans="1:100">
      <c r="A61810" s="374"/>
      <c r="C61810" s="374"/>
      <c r="CV61810" s="376"/>
    </row>
    <row r="61811" spans="1:100">
      <c r="A61811" s="374"/>
      <c r="C61811" s="374"/>
      <c r="CV61811" s="376"/>
    </row>
    <row r="61812" spans="1:100">
      <c r="A61812" s="374"/>
      <c r="C61812" s="374"/>
      <c r="CV61812" s="376"/>
    </row>
    <row r="61813" spans="1:100">
      <c r="A61813" s="374"/>
      <c r="C61813" s="374"/>
      <c r="CV61813" s="376"/>
    </row>
    <row r="61814" spans="1:100">
      <c r="A61814" s="374"/>
      <c r="C61814" s="374"/>
      <c r="CV61814" s="376"/>
    </row>
    <row r="61815" spans="1:100">
      <c r="A61815" s="374"/>
      <c r="C61815" s="374"/>
      <c r="CV61815" s="376"/>
    </row>
    <row r="61816" spans="1:100">
      <c r="A61816" s="374"/>
      <c r="C61816" s="374"/>
      <c r="CV61816" s="376"/>
    </row>
    <row r="61817" spans="1:100">
      <c r="A61817" s="374"/>
      <c r="C61817" s="374"/>
      <c r="CV61817" s="376"/>
    </row>
    <row r="61818" spans="1:100">
      <c r="A61818" s="374"/>
      <c r="C61818" s="374"/>
      <c r="CV61818" s="376"/>
    </row>
    <row r="61819" spans="1:100">
      <c r="A61819" s="374"/>
      <c r="C61819" s="374"/>
      <c r="CV61819" s="376"/>
    </row>
    <row r="61820" spans="1:100">
      <c r="A61820" s="374"/>
      <c r="C61820" s="374"/>
      <c r="CV61820" s="376"/>
    </row>
    <row r="61821" spans="1:100">
      <c r="A61821" s="374"/>
      <c r="C61821" s="374"/>
      <c r="CV61821" s="376"/>
    </row>
    <row r="61822" spans="1:100">
      <c r="A61822" s="374"/>
      <c r="C61822" s="374"/>
      <c r="CV61822" s="376"/>
    </row>
    <row r="61823" spans="1:100">
      <c r="A61823" s="374"/>
      <c r="C61823" s="374"/>
      <c r="CV61823" s="376"/>
    </row>
    <row r="61824" spans="1:100">
      <c r="A61824" s="374"/>
      <c r="C61824" s="374"/>
      <c r="CV61824" s="376"/>
    </row>
    <row r="61825" spans="1:100">
      <c r="A61825" s="374"/>
      <c r="C61825" s="374"/>
      <c r="CV61825" s="376"/>
    </row>
    <row r="61826" spans="1:100">
      <c r="A61826" s="374"/>
      <c r="C61826" s="374"/>
      <c r="CV61826" s="376"/>
    </row>
    <row r="61827" spans="1:100">
      <c r="A61827" s="374"/>
      <c r="C61827" s="374"/>
      <c r="CV61827" s="376"/>
    </row>
    <row r="61828" spans="1:100">
      <c r="A61828" s="374"/>
      <c r="C61828" s="374"/>
      <c r="CV61828" s="376"/>
    </row>
    <row r="61829" spans="1:100">
      <c r="A61829" s="374"/>
      <c r="C61829" s="374"/>
      <c r="CV61829" s="376"/>
    </row>
    <row r="61830" spans="1:100">
      <c r="A61830" s="374"/>
      <c r="C61830" s="374"/>
      <c r="CV61830" s="376"/>
    </row>
    <row r="61831" spans="1:100">
      <c r="A61831" s="374"/>
      <c r="C61831" s="374"/>
      <c r="CV61831" s="376"/>
    </row>
    <row r="61832" spans="1:100">
      <c r="A61832" s="374"/>
      <c r="C61832" s="374"/>
      <c r="CV61832" s="376"/>
    </row>
    <row r="61833" spans="1:100">
      <c r="A61833" s="374"/>
      <c r="C61833" s="374"/>
      <c r="CV61833" s="376"/>
    </row>
    <row r="61834" spans="1:100">
      <c r="A61834" s="374"/>
      <c r="C61834" s="374"/>
      <c r="CV61834" s="376"/>
    </row>
    <row r="61835" spans="1:100">
      <c r="A61835" s="374"/>
      <c r="C61835" s="374"/>
      <c r="CV61835" s="376"/>
    </row>
    <row r="61836" spans="1:100">
      <c r="A61836" s="374"/>
      <c r="C61836" s="374"/>
      <c r="CV61836" s="376"/>
    </row>
    <row r="61837" spans="1:100">
      <c r="A61837" s="374"/>
      <c r="C61837" s="374"/>
      <c r="CV61837" s="376"/>
    </row>
    <row r="61838" spans="1:100">
      <c r="A61838" s="374"/>
      <c r="C61838" s="374"/>
      <c r="CV61838" s="376"/>
    </row>
    <row r="61839" spans="1:100">
      <c r="A61839" s="374"/>
      <c r="C61839" s="374"/>
      <c r="CV61839" s="376"/>
    </row>
    <row r="61840" spans="1:100">
      <c r="A61840" s="374"/>
      <c r="C61840" s="374"/>
      <c r="CV61840" s="376"/>
    </row>
    <row r="61841" spans="1:100">
      <c r="A61841" s="374"/>
      <c r="C61841" s="374"/>
      <c r="CV61841" s="376"/>
    </row>
    <row r="61842" spans="1:100">
      <c r="A61842" s="374"/>
      <c r="C61842" s="374"/>
      <c r="CV61842" s="376"/>
    </row>
    <row r="61843" spans="1:100">
      <c r="A61843" s="374"/>
      <c r="C61843" s="374"/>
      <c r="CV61843" s="376"/>
    </row>
    <row r="61844" spans="1:100">
      <c r="A61844" s="374"/>
      <c r="C61844" s="374"/>
      <c r="CV61844" s="376"/>
    </row>
    <row r="61845" spans="1:100">
      <c r="A61845" s="374"/>
      <c r="C61845" s="374"/>
      <c r="CV61845" s="376"/>
    </row>
    <row r="61846" spans="1:100">
      <c r="A61846" s="374"/>
      <c r="C61846" s="374"/>
      <c r="CV61846" s="376"/>
    </row>
    <row r="61847" spans="1:100">
      <c r="A61847" s="374"/>
      <c r="C61847" s="374"/>
      <c r="CV61847" s="376"/>
    </row>
    <row r="61848" spans="1:100">
      <c r="A61848" s="374"/>
      <c r="C61848" s="374"/>
      <c r="CV61848" s="376"/>
    </row>
    <row r="61849" spans="1:100">
      <c r="A61849" s="374"/>
      <c r="C61849" s="374"/>
      <c r="CV61849" s="376"/>
    </row>
    <row r="61850" spans="1:100">
      <c r="A61850" s="374"/>
      <c r="C61850" s="374"/>
      <c r="CV61850" s="376"/>
    </row>
    <row r="61851" spans="1:100">
      <c r="A61851" s="374"/>
      <c r="C61851" s="374"/>
      <c r="CV61851" s="376"/>
    </row>
    <row r="61852" spans="1:100">
      <c r="A61852" s="374"/>
      <c r="C61852" s="374"/>
      <c r="CV61852" s="376"/>
    </row>
    <row r="61853" spans="1:100">
      <c r="A61853" s="374"/>
      <c r="C61853" s="374"/>
      <c r="CV61853" s="376"/>
    </row>
    <row r="61854" spans="1:100">
      <c r="A61854" s="374"/>
      <c r="C61854" s="374"/>
      <c r="CV61854" s="376"/>
    </row>
    <row r="61855" spans="1:100">
      <c r="A61855" s="374"/>
      <c r="C61855" s="374"/>
      <c r="CV61855" s="376"/>
    </row>
    <row r="61856" spans="1:100">
      <c r="A61856" s="374"/>
      <c r="C61856" s="374"/>
      <c r="CV61856" s="376"/>
    </row>
    <row r="61857" spans="1:100">
      <c r="A61857" s="374"/>
      <c r="C61857" s="374"/>
      <c r="CV61857" s="376"/>
    </row>
    <row r="61858" spans="1:100">
      <c r="A61858" s="374"/>
      <c r="C61858" s="374"/>
      <c r="CV61858" s="376"/>
    </row>
    <row r="61859" spans="1:100">
      <c r="A61859" s="374"/>
      <c r="C61859" s="374"/>
      <c r="CV61859" s="376"/>
    </row>
    <row r="61860" spans="1:100">
      <c r="A61860" s="374"/>
      <c r="C61860" s="374"/>
      <c r="CV61860" s="376"/>
    </row>
    <row r="61861" spans="1:100">
      <c r="A61861" s="374"/>
      <c r="C61861" s="374"/>
      <c r="CV61861" s="376"/>
    </row>
    <row r="61862" spans="1:100">
      <c r="A61862" s="374"/>
      <c r="C61862" s="374"/>
      <c r="CV61862" s="376"/>
    </row>
    <row r="61863" spans="1:100">
      <c r="A61863" s="374"/>
      <c r="C61863" s="374"/>
      <c r="CV61863" s="376"/>
    </row>
    <row r="61864" spans="1:100">
      <c r="A61864" s="374"/>
      <c r="C61864" s="374"/>
      <c r="CV61864" s="376"/>
    </row>
    <row r="61865" spans="1:100">
      <c r="A61865" s="374"/>
      <c r="C61865" s="374"/>
      <c r="CV61865" s="376"/>
    </row>
    <row r="61866" spans="1:100">
      <c r="A61866" s="374"/>
      <c r="C61866" s="374"/>
      <c r="CV61866" s="376"/>
    </row>
    <row r="61867" spans="1:100">
      <c r="A61867" s="374"/>
      <c r="C61867" s="374"/>
      <c r="CV61867" s="376"/>
    </row>
    <row r="61868" spans="1:100">
      <c r="A61868" s="374"/>
      <c r="C61868" s="374"/>
      <c r="CV61868" s="376"/>
    </row>
    <row r="61869" spans="1:100">
      <c r="A61869" s="374"/>
      <c r="C61869" s="374"/>
      <c r="CV61869" s="376"/>
    </row>
    <row r="61870" spans="1:100">
      <c r="A61870" s="374"/>
      <c r="C61870" s="374"/>
      <c r="CV61870" s="376"/>
    </row>
    <row r="61871" spans="1:100">
      <c r="A61871" s="374"/>
      <c r="C61871" s="374"/>
      <c r="CV61871" s="376"/>
    </row>
    <row r="61872" spans="1:100">
      <c r="A61872" s="374"/>
      <c r="C61872" s="374"/>
      <c r="CV61872" s="376"/>
    </row>
    <row r="61873" spans="1:100">
      <c r="A61873" s="374"/>
      <c r="C61873" s="374"/>
      <c r="CV61873" s="376"/>
    </row>
    <row r="61874" spans="1:100">
      <c r="A61874" s="374"/>
      <c r="C61874" s="374"/>
      <c r="CV61874" s="376"/>
    </row>
    <row r="61875" spans="1:100">
      <c r="A61875" s="374"/>
      <c r="C61875" s="374"/>
      <c r="CV61875" s="376"/>
    </row>
    <row r="61876" spans="1:100">
      <c r="A61876" s="374"/>
      <c r="C61876" s="374"/>
      <c r="CV61876" s="376"/>
    </row>
    <row r="61877" spans="1:100">
      <c r="A61877" s="374"/>
      <c r="C61877" s="374"/>
      <c r="CV61877" s="376"/>
    </row>
    <row r="61878" spans="1:100">
      <c r="A61878" s="374"/>
      <c r="C61878" s="374"/>
      <c r="CV61878" s="376"/>
    </row>
    <row r="61879" spans="1:100">
      <c r="A61879" s="374"/>
      <c r="C61879" s="374"/>
      <c r="CV61879" s="376"/>
    </row>
    <row r="61880" spans="1:100">
      <c r="A61880" s="374"/>
      <c r="C61880" s="374"/>
      <c r="CV61880" s="376"/>
    </row>
    <row r="61881" spans="1:100">
      <c r="A61881" s="374"/>
      <c r="C61881" s="374"/>
      <c r="CV61881" s="376"/>
    </row>
    <row r="61882" spans="1:100">
      <c r="A61882" s="374"/>
      <c r="C61882" s="374"/>
      <c r="CV61882" s="376"/>
    </row>
    <row r="61883" spans="1:100">
      <c r="A61883" s="374"/>
      <c r="C61883" s="374"/>
      <c r="CV61883" s="376"/>
    </row>
    <row r="61884" spans="1:100">
      <c r="A61884" s="374"/>
      <c r="C61884" s="374"/>
      <c r="CV61884" s="376"/>
    </row>
    <row r="61885" spans="1:100">
      <c r="A61885" s="374"/>
      <c r="C61885" s="374"/>
      <c r="CV61885" s="376"/>
    </row>
    <row r="61886" spans="1:100">
      <c r="A61886" s="374"/>
      <c r="C61886" s="374"/>
      <c r="CV61886" s="376"/>
    </row>
    <row r="61887" spans="1:100">
      <c r="A61887" s="374"/>
      <c r="C61887" s="374"/>
      <c r="CV61887" s="376"/>
    </row>
    <row r="61888" spans="1:100">
      <c r="A61888" s="374"/>
      <c r="C61888" s="374"/>
      <c r="CV61888" s="376"/>
    </row>
    <row r="61889" spans="1:100">
      <c r="A61889" s="374"/>
      <c r="C61889" s="374"/>
      <c r="CV61889" s="376"/>
    </row>
    <row r="61890" spans="1:100">
      <c r="A61890" s="374"/>
      <c r="C61890" s="374"/>
      <c r="CV61890" s="376"/>
    </row>
    <row r="61891" spans="1:100">
      <c r="A61891" s="374"/>
      <c r="C61891" s="374"/>
      <c r="CV61891" s="376"/>
    </row>
    <row r="61892" spans="1:100">
      <c r="A61892" s="374"/>
      <c r="C61892" s="374"/>
      <c r="CV61892" s="376"/>
    </row>
    <row r="61893" spans="1:100">
      <c r="A61893" s="374"/>
      <c r="C61893" s="374"/>
      <c r="CV61893" s="376"/>
    </row>
    <row r="61894" spans="1:100">
      <c r="A61894" s="374"/>
      <c r="C61894" s="374"/>
      <c r="CV61894" s="376"/>
    </row>
    <row r="61895" spans="1:100">
      <c r="A61895" s="374"/>
      <c r="C61895" s="374"/>
      <c r="CV61895" s="376"/>
    </row>
    <row r="61896" spans="1:100">
      <c r="A61896" s="374"/>
      <c r="C61896" s="374"/>
      <c r="CV61896" s="376"/>
    </row>
    <row r="61897" spans="1:100">
      <c r="A61897" s="374"/>
      <c r="C61897" s="374"/>
      <c r="CV61897" s="376"/>
    </row>
    <row r="61898" spans="1:100">
      <c r="A61898" s="374"/>
      <c r="C61898" s="374"/>
      <c r="CV61898" s="376"/>
    </row>
    <row r="61899" spans="1:100">
      <c r="A61899" s="374"/>
      <c r="C61899" s="374"/>
      <c r="CV61899" s="376"/>
    </row>
    <row r="61900" spans="1:100">
      <c r="A61900" s="374"/>
      <c r="C61900" s="374"/>
      <c r="CV61900" s="376"/>
    </row>
    <row r="61901" spans="1:100">
      <c r="A61901" s="374"/>
      <c r="C61901" s="374"/>
      <c r="CV61901" s="376"/>
    </row>
    <row r="61902" spans="1:100">
      <c r="A61902" s="374"/>
      <c r="C61902" s="374"/>
      <c r="CV61902" s="376"/>
    </row>
    <row r="61903" spans="1:100">
      <c r="A61903" s="374"/>
      <c r="C61903" s="374"/>
      <c r="CV61903" s="376"/>
    </row>
    <row r="61904" spans="1:100">
      <c r="A61904" s="374"/>
      <c r="C61904" s="374"/>
      <c r="CV61904" s="376"/>
    </row>
    <row r="61905" spans="1:100">
      <c r="A61905" s="374"/>
      <c r="C61905" s="374"/>
      <c r="CV61905" s="376"/>
    </row>
    <row r="61906" spans="1:100">
      <c r="A61906" s="374"/>
      <c r="C61906" s="374"/>
      <c r="CV61906" s="376"/>
    </row>
    <row r="61907" spans="1:100">
      <c r="A61907" s="374"/>
      <c r="C61907" s="374"/>
      <c r="CV61907" s="376"/>
    </row>
    <row r="61908" spans="1:100">
      <c r="A61908" s="374"/>
      <c r="C61908" s="374"/>
      <c r="CV61908" s="376"/>
    </row>
    <row r="61909" spans="1:100">
      <c r="A61909" s="374"/>
      <c r="C61909" s="374"/>
      <c r="CV61909" s="376"/>
    </row>
    <row r="61910" spans="1:100">
      <c r="A61910" s="374"/>
      <c r="C61910" s="374"/>
      <c r="CV61910" s="376"/>
    </row>
    <row r="61911" spans="1:100">
      <c r="A61911" s="374"/>
      <c r="C61911" s="374"/>
      <c r="CV61911" s="376"/>
    </row>
    <row r="61912" spans="1:100">
      <c r="A61912" s="374"/>
      <c r="C61912" s="374"/>
      <c r="CV61912" s="376"/>
    </row>
    <row r="61913" spans="1:100">
      <c r="A61913" s="374"/>
      <c r="C61913" s="374"/>
      <c r="CV61913" s="376"/>
    </row>
    <row r="61914" spans="1:100">
      <c r="A61914" s="374"/>
      <c r="C61914" s="374"/>
      <c r="CV61914" s="376"/>
    </row>
    <row r="61915" spans="1:100">
      <c r="A61915" s="374"/>
      <c r="C61915" s="374"/>
      <c r="CV61915" s="376"/>
    </row>
    <row r="61916" spans="1:100">
      <c r="A61916" s="374"/>
      <c r="C61916" s="374"/>
      <c r="CV61916" s="376"/>
    </row>
    <row r="61917" spans="1:100">
      <c r="A61917" s="374"/>
      <c r="C61917" s="374"/>
      <c r="CV61917" s="376"/>
    </row>
    <row r="61918" spans="1:100">
      <c r="A61918" s="374"/>
      <c r="C61918" s="374"/>
      <c r="CV61918" s="376"/>
    </row>
    <row r="61919" spans="1:100">
      <c r="A61919" s="374"/>
      <c r="C61919" s="374"/>
      <c r="CV61919" s="376"/>
    </row>
    <row r="61920" spans="1:100">
      <c r="A61920" s="374"/>
      <c r="C61920" s="374"/>
      <c r="CV61920" s="376"/>
    </row>
    <row r="61921" spans="1:100">
      <c r="A61921" s="374"/>
      <c r="C61921" s="374"/>
      <c r="CV61921" s="376"/>
    </row>
    <row r="61922" spans="1:100">
      <c r="A61922" s="374"/>
      <c r="C61922" s="374"/>
      <c r="CV61922" s="376"/>
    </row>
    <row r="61923" spans="1:100">
      <c r="A61923" s="374"/>
      <c r="C61923" s="374"/>
      <c r="CV61923" s="376"/>
    </row>
    <row r="61924" spans="1:100">
      <c r="A61924" s="374"/>
      <c r="C61924" s="374"/>
      <c r="CV61924" s="376"/>
    </row>
    <row r="61925" spans="1:100">
      <c r="A61925" s="374"/>
      <c r="C61925" s="374"/>
      <c r="CV61925" s="376"/>
    </row>
    <row r="61926" spans="1:100">
      <c r="A61926" s="374"/>
      <c r="C61926" s="374"/>
      <c r="CV61926" s="376"/>
    </row>
    <row r="61927" spans="1:100">
      <c r="A61927" s="374"/>
      <c r="C61927" s="374"/>
      <c r="CV61927" s="376"/>
    </row>
    <row r="61928" spans="1:100">
      <c r="A61928" s="374"/>
      <c r="C61928" s="374"/>
      <c r="CV61928" s="376"/>
    </row>
    <row r="61929" spans="1:100">
      <c r="A61929" s="374"/>
      <c r="C61929" s="374"/>
      <c r="CV61929" s="376"/>
    </row>
    <row r="61930" spans="1:100">
      <c r="A61930" s="374"/>
      <c r="C61930" s="374"/>
      <c r="CV61930" s="376"/>
    </row>
    <row r="61931" spans="1:100">
      <c r="A61931" s="374"/>
      <c r="C61931" s="374"/>
      <c r="CV61931" s="376"/>
    </row>
    <row r="61932" spans="1:100">
      <c r="A61932" s="374"/>
      <c r="C61932" s="374"/>
      <c r="CV61932" s="376"/>
    </row>
    <row r="61933" spans="1:100">
      <c r="A61933" s="374"/>
      <c r="C61933" s="374"/>
      <c r="CV61933" s="376"/>
    </row>
    <row r="61934" spans="1:100">
      <c r="A61934" s="374"/>
      <c r="C61934" s="374"/>
      <c r="CV61934" s="376"/>
    </row>
    <row r="61935" spans="1:100">
      <c r="A61935" s="374"/>
      <c r="C61935" s="374"/>
      <c r="CV61935" s="376"/>
    </row>
    <row r="61936" spans="1:100">
      <c r="A61936" s="374"/>
      <c r="C61936" s="374"/>
      <c r="CV61936" s="376"/>
    </row>
    <row r="61937" spans="1:100">
      <c r="A61937" s="374"/>
      <c r="C61937" s="374"/>
      <c r="CV61937" s="376"/>
    </row>
    <row r="61938" spans="1:100">
      <c r="A61938" s="374"/>
      <c r="C61938" s="374"/>
      <c r="CV61938" s="376"/>
    </row>
    <row r="61939" spans="1:100">
      <c r="A61939" s="374"/>
      <c r="C61939" s="374"/>
      <c r="CV61939" s="376"/>
    </row>
    <row r="61940" spans="1:100">
      <c r="A61940" s="374"/>
      <c r="C61940" s="374"/>
      <c r="CV61940" s="376"/>
    </row>
    <row r="61941" spans="1:100">
      <c r="A61941" s="374"/>
      <c r="C61941" s="374"/>
      <c r="CV61941" s="376"/>
    </row>
    <row r="61942" spans="1:100">
      <c r="A61942" s="374"/>
      <c r="C61942" s="374"/>
      <c r="CV61942" s="376"/>
    </row>
    <row r="61943" spans="1:100">
      <c r="A61943" s="374"/>
      <c r="C61943" s="374"/>
      <c r="CV61943" s="376"/>
    </row>
    <row r="61944" spans="1:100">
      <c r="A61944" s="374"/>
      <c r="C61944" s="374"/>
      <c r="CV61944" s="376"/>
    </row>
    <row r="61945" spans="1:100">
      <c r="A61945" s="374"/>
      <c r="C61945" s="374"/>
      <c r="CV61945" s="376"/>
    </row>
    <row r="61946" spans="1:100">
      <c r="A61946" s="374"/>
      <c r="C61946" s="374"/>
      <c r="CV61946" s="376"/>
    </row>
    <row r="61947" spans="1:100">
      <c r="A61947" s="374"/>
      <c r="C61947" s="374"/>
      <c r="CV61947" s="376"/>
    </row>
    <row r="61948" spans="1:100">
      <c r="A61948" s="374"/>
      <c r="C61948" s="374"/>
      <c r="CV61948" s="376"/>
    </row>
    <row r="61949" spans="1:100">
      <c r="A61949" s="374"/>
      <c r="C61949" s="374"/>
      <c r="CV61949" s="376"/>
    </row>
    <row r="61950" spans="1:100">
      <c r="A61950" s="374"/>
      <c r="C61950" s="374"/>
      <c r="CV61950" s="376"/>
    </row>
    <row r="61951" spans="1:100">
      <c r="A61951" s="374"/>
      <c r="C61951" s="374"/>
      <c r="CV61951" s="376"/>
    </row>
    <row r="61952" spans="1:100">
      <c r="A61952" s="374"/>
      <c r="C61952" s="374"/>
      <c r="CV61952" s="376"/>
    </row>
    <row r="61953" spans="1:100">
      <c r="A61953" s="374"/>
      <c r="C61953" s="374"/>
      <c r="CV61953" s="376"/>
    </row>
    <row r="61954" spans="1:100">
      <c r="A61954" s="374"/>
      <c r="C61954" s="374"/>
      <c r="CV61954" s="376"/>
    </row>
    <row r="61955" spans="1:100">
      <c r="A61955" s="374"/>
      <c r="C61955" s="374"/>
      <c r="CV61955" s="376"/>
    </row>
    <row r="61956" spans="1:100">
      <c r="A61956" s="374"/>
      <c r="C61956" s="374"/>
      <c r="CV61956" s="376"/>
    </row>
    <row r="61957" spans="1:100">
      <c r="A61957" s="374"/>
      <c r="C61957" s="374"/>
      <c r="CV61957" s="376"/>
    </row>
    <row r="61958" spans="1:100">
      <c r="A61958" s="374"/>
      <c r="C61958" s="374"/>
      <c r="CV61958" s="376"/>
    </row>
    <row r="61959" spans="1:100">
      <c r="A61959" s="374"/>
      <c r="C61959" s="374"/>
      <c r="CV61959" s="376"/>
    </row>
    <row r="61960" spans="1:100">
      <c r="A61960" s="374"/>
      <c r="C61960" s="374"/>
      <c r="CV61960" s="376"/>
    </row>
    <row r="61961" spans="1:100">
      <c r="A61961" s="374"/>
      <c r="C61961" s="374"/>
      <c r="CV61961" s="376"/>
    </row>
    <row r="61962" spans="1:100">
      <c r="A61962" s="374"/>
      <c r="C61962" s="374"/>
      <c r="CV61962" s="376"/>
    </row>
    <row r="61963" spans="1:100">
      <c r="A61963" s="374"/>
      <c r="C61963" s="374"/>
      <c r="CV61963" s="376"/>
    </row>
    <row r="61964" spans="1:100">
      <c r="A61964" s="374"/>
      <c r="C61964" s="374"/>
      <c r="CV61964" s="376"/>
    </row>
    <row r="61965" spans="1:100">
      <c r="A61965" s="374"/>
      <c r="C61965" s="374"/>
      <c r="CV61965" s="376"/>
    </row>
    <row r="61966" spans="1:100">
      <c r="A61966" s="374"/>
      <c r="C61966" s="374"/>
      <c r="CV61966" s="376"/>
    </row>
    <row r="61967" spans="1:100">
      <c r="A61967" s="374"/>
      <c r="C61967" s="374"/>
      <c r="CV61967" s="376"/>
    </row>
    <row r="61968" spans="1:100">
      <c r="A61968" s="374"/>
      <c r="C61968" s="374"/>
      <c r="CV61968" s="376"/>
    </row>
    <row r="61969" spans="1:100">
      <c r="A61969" s="374"/>
      <c r="C61969" s="374"/>
      <c r="CV61969" s="376"/>
    </row>
    <row r="61970" spans="1:100">
      <c r="A61970" s="374"/>
      <c r="C61970" s="374"/>
      <c r="CV61970" s="376"/>
    </row>
    <row r="61971" spans="1:100">
      <c r="A61971" s="374"/>
      <c r="C61971" s="374"/>
      <c r="CV61971" s="376"/>
    </row>
    <row r="61972" spans="1:100">
      <c r="A61972" s="374"/>
      <c r="C61972" s="374"/>
      <c r="CV61972" s="376"/>
    </row>
    <row r="61973" spans="1:100">
      <c r="A61973" s="374"/>
      <c r="C61973" s="374"/>
      <c r="CV61973" s="376"/>
    </row>
    <row r="61974" spans="1:100">
      <c r="A61974" s="374"/>
      <c r="C61974" s="374"/>
      <c r="CV61974" s="376"/>
    </row>
    <row r="61975" spans="1:100">
      <c r="A61975" s="374"/>
      <c r="C61975" s="374"/>
      <c r="CV61975" s="376"/>
    </row>
    <row r="61976" spans="1:100">
      <c r="A61976" s="374"/>
      <c r="C61976" s="374"/>
      <c r="CV61976" s="376"/>
    </row>
    <row r="61977" spans="1:100">
      <c r="A61977" s="374"/>
      <c r="C61977" s="374"/>
      <c r="CV61977" s="376"/>
    </row>
    <row r="61978" spans="1:100">
      <c r="A61978" s="374"/>
      <c r="C61978" s="374"/>
      <c r="CV61978" s="376"/>
    </row>
    <row r="61979" spans="1:100">
      <c r="A61979" s="374"/>
      <c r="C61979" s="374"/>
      <c r="CV61979" s="376"/>
    </row>
    <row r="61980" spans="1:100">
      <c r="A61980" s="374"/>
      <c r="C61980" s="374"/>
      <c r="CV61980" s="376"/>
    </row>
    <row r="61981" spans="1:100">
      <c r="A61981" s="374"/>
      <c r="C61981" s="374"/>
      <c r="CV61981" s="376"/>
    </row>
    <row r="61982" spans="1:100">
      <c r="A61982" s="374"/>
      <c r="C61982" s="374"/>
      <c r="CV61982" s="376"/>
    </row>
    <row r="61983" spans="1:100">
      <c r="A61983" s="374"/>
      <c r="C61983" s="374"/>
      <c r="CV61983" s="376"/>
    </row>
    <row r="61984" spans="1:100">
      <c r="A61984" s="374"/>
      <c r="C61984" s="374"/>
      <c r="CV61984" s="376"/>
    </row>
    <row r="61985" spans="1:100">
      <c r="A61985" s="374"/>
      <c r="C61985" s="374"/>
      <c r="CV61985" s="376"/>
    </row>
    <row r="61986" spans="1:100">
      <c r="A61986" s="374"/>
      <c r="C61986" s="374"/>
      <c r="CV61986" s="376"/>
    </row>
    <row r="61987" spans="1:100">
      <c r="A61987" s="374"/>
      <c r="C61987" s="374"/>
      <c r="CV61987" s="376"/>
    </row>
    <row r="61988" spans="1:100">
      <c r="A61988" s="374"/>
      <c r="C61988" s="374"/>
      <c r="CV61988" s="376"/>
    </row>
    <row r="61989" spans="1:100">
      <c r="A61989" s="374"/>
      <c r="C61989" s="374"/>
      <c r="CV61989" s="376"/>
    </row>
    <row r="61990" spans="1:100">
      <c r="A61990" s="374"/>
      <c r="C61990" s="374"/>
      <c r="CV61990" s="376"/>
    </row>
    <row r="61991" spans="1:100">
      <c r="A61991" s="374"/>
      <c r="C61991" s="374"/>
      <c r="CV61991" s="376"/>
    </row>
    <row r="61992" spans="1:100">
      <c r="A61992" s="374"/>
      <c r="C61992" s="374"/>
      <c r="CV61992" s="376"/>
    </row>
    <row r="61993" spans="1:100">
      <c r="A61993" s="374"/>
      <c r="C61993" s="374"/>
      <c r="CV61993" s="376"/>
    </row>
    <row r="61994" spans="1:100">
      <c r="A61994" s="374"/>
      <c r="C61994" s="374"/>
      <c r="CV61994" s="376"/>
    </row>
    <row r="61995" spans="1:100">
      <c r="A61995" s="374"/>
      <c r="C61995" s="374"/>
      <c r="CV61995" s="376"/>
    </row>
    <row r="61996" spans="1:100">
      <c r="A61996" s="374"/>
      <c r="C61996" s="374"/>
      <c r="CV61996" s="376"/>
    </row>
    <row r="61997" spans="1:100">
      <c r="A61997" s="374"/>
      <c r="C61997" s="374"/>
      <c r="CV61997" s="376"/>
    </row>
    <row r="61998" spans="1:100">
      <c r="A61998" s="374"/>
      <c r="C61998" s="374"/>
      <c r="CV61998" s="376"/>
    </row>
    <row r="61999" spans="1:100">
      <c r="A61999" s="374"/>
      <c r="C61999" s="374"/>
      <c r="CV61999" s="376"/>
    </row>
    <row r="62000" spans="1:100">
      <c r="A62000" s="374"/>
      <c r="C62000" s="374"/>
      <c r="CV62000" s="376"/>
    </row>
    <row r="62001" spans="1:100">
      <c r="A62001" s="374"/>
      <c r="C62001" s="374"/>
      <c r="CV62001" s="376"/>
    </row>
    <row r="62002" spans="1:100">
      <c r="A62002" s="374"/>
      <c r="C62002" s="374"/>
      <c r="CV62002" s="376"/>
    </row>
    <row r="62003" spans="1:100">
      <c r="A62003" s="374"/>
      <c r="C62003" s="374"/>
      <c r="CV62003" s="376"/>
    </row>
    <row r="62004" spans="1:100">
      <c r="A62004" s="374"/>
      <c r="C62004" s="374"/>
      <c r="CV62004" s="376"/>
    </row>
    <row r="62005" spans="1:100">
      <c r="A62005" s="374"/>
      <c r="C62005" s="374"/>
      <c r="CV62005" s="376"/>
    </row>
    <row r="62006" spans="1:100">
      <c r="A62006" s="374"/>
      <c r="C62006" s="374"/>
      <c r="CV62006" s="376"/>
    </row>
    <row r="62007" spans="1:100">
      <c r="A62007" s="374"/>
      <c r="C62007" s="374"/>
      <c r="CV62007" s="376"/>
    </row>
    <row r="62008" spans="1:100">
      <c r="A62008" s="374"/>
      <c r="C62008" s="374"/>
      <c r="CV62008" s="376"/>
    </row>
    <row r="62009" spans="1:100">
      <c r="A62009" s="374"/>
      <c r="C62009" s="374"/>
      <c r="CV62009" s="376"/>
    </row>
    <row r="62010" spans="1:100">
      <c r="A62010" s="374"/>
      <c r="C62010" s="374"/>
      <c r="CV62010" s="376"/>
    </row>
    <row r="62011" spans="1:100">
      <c r="A62011" s="374"/>
      <c r="C62011" s="374"/>
      <c r="CV62011" s="376"/>
    </row>
    <row r="62012" spans="1:100">
      <c r="A62012" s="374"/>
      <c r="C62012" s="374"/>
      <c r="CV62012" s="376"/>
    </row>
    <row r="62013" spans="1:100">
      <c r="A62013" s="374"/>
      <c r="C62013" s="374"/>
      <c r="CV62013" s="376"/>
    </row>
    <row r="62014" spans="1:100">
      <c r="A62014" s="374"/>
      <c r="C62014" s="374"/>
      <c r="CV62014" s="376"/>
    </row>
    <row r="62015" spans="1:100">
      <c r="A62015" s="374"/>
      <c r="C62015" s="374"/>
      <c r="CV62015" s="376"/>
    </row>
    <row r="62016" spans="1:100">
      <c r="A62016" s="374"/>
      <c r="C62016" s="374"/>
      <c r="CV62016" s="376"/>
    </row>
    <row r="62017" spans="1:100">
      <c r="A62017" s="374"/>
      <c r="C62017" s="374"/>
      <c r="CV62017" s="376"/>
    </row>
    <row r="62018" spans="1:100">
      <c r="A62018" s="374"/>
      <c r="C62018" s="374"/>
      <c r="CV62018" s="376"/>
    </row>
    <row r="62019" spans="1:100">
      <c r="A62019" s="374"/>
      <c r="C62019" s="374"/>
      <c r="CV62019" s="376"/>
    </row>
    <row r="62020" spans="1:100">
      <c r="A62020" s="374"/>
      <c r="C62020" s="374"/>
      <c r="CV62020" s="376"/>
    </row>
    <row r="62021" spans="1:100">
      <c r="A62021" s="374"/>
      <c r="C62021" s="374"/>
      <c r="CV62021" s="376"/>
    </row>
    <row r="62022" spans="1:100">
      <c r="A62022" s="374"/>
      <c r="C62022" s="374"/>
      <c r="CV62022" s="376"/>
    </row>
    <row r="62023" spans="1:100">
      <c r="A62023" s="374"/>
      <c r="C62023" s="374"/>
      <c r="CV62023" s="376"/>
    </row>
    <row r="62024" spans="1:100">
      <c r="A62024" s="374"/>
      <c r="C62024" s="374"/>
      <c r="CV62024" s="376"/>
    </row>
    <row r="62025" spans="1:100">
      <c r="A62025" s="374"/>
      <c r="C62025" s="374"/>
      <c r="CV62025" s="376"/>
    </row>
    <row r="62026" spans="1:100">
      <c r="A62026" s="374"/>
      <c r="C62026" s="374"/>
      <c r="CV62026" s="376"/>
    </row>
    <row r="62027" spans="1:100">
      <c r="A62027" s="374"/>
      <c r="C62027" s="374"/>
      <c r="CV62027" s="376"/>
    </row>
    <row r="62028" spans="1:100">
      <c r="A62028" s="374"/>
      <c r="C62028" s="374"/>
      <c r="CV62028" s="376"/>
    </row>
    <row r="62029" spans="1:100">
      <c r="A62029" s="374"/>
      <c r="C62029" s="374"/>
      <c r="CV62029" s="376"/>
    </row>
    <row r="62030" spans="1:100">
      <c r="A62030" s="374"/>
      <c r="C62030" s="374"/>
      <c r="CV62030" s="376"/>
    </row>
    <row r="62031" spans="1:100">
      <c r="A62031" s="374"/>
      <c r="C62031" s="374"/>
      <c r="CV62031" s="376"/>
    </row>
    <row r="62032" spans="1:100">
      <c r="A62032" s="374"/>
      <c r="C62032" s="374"/>
      <c r="CV62032" s="376"/>
    </row>
    <row r="62033" spans="1:100">
      <c r="A62033" s="374"/>
      <c r="C62033" s="374"/>
      <c r="CV62033" s="376"/>
    </row>
    <row r="62034" spans="1:100">
      <c r="A62034" s="374"/>
      <c r="C62034" s="374"/>
      <c r="CV62034" s="376"/>
    </row>
    <row r="62035" spans="1:100">
      <c r="A62035" s="374"/>
      <c r="C62035" s="374"/>
      <c r="CV62035" s="376"/>
    </row>
    <row r="62036" spans="1:100">
      <c r="A62036" s="374"/>
      <c r="C62036" s="374"/>
      <c r="CV62036" s="376"/>
    </row>
    <row r="62037" spans="1:100">
      <c r="A62037" s="374"/>
      <c r="C62037" s="374"/>
      <c r="CV62037" s="376"/>
    </row>
    <row r="62038" spans="1:100">
      <c r="A62038" s="374"/>
      <c r="C62038" s="374"/>
      <c r="CV62038" s="376"/>
    </row>
    <row r="62039" spans="1:100">
      <c r="A62039" s="374"/>
      <c r="C62039" s="374"/>
      <c r="CV62039" s="376"/>
    </row>
    <row r="62040" spans="1:100">
      <c r="A62040" s="374"/>
      <c r="C62040" s="374"/>
      <c r="CV62040" s="376"/>
    </row>
    <row r="62041" spans="1:100">
      <c r="A62041" s="374"/>
      <c r="C62041" s="374"/>
      <c r="CV62041" s="376"/>
    </row>
    <row r="62042" spans="1:100">
      <c r="A62042" s="374"/>
      <c r="C62042" s="374"/>
      <c r="CV62042" s="376"/>
    </row>
    <row r="62043" spans="1:100">
      <c r="A62043" s="374"/>
      <c r="C62043" s="374"/>
      <c r="CV62043" s="376"/>
    </row>
    <row r="62044" spans="1:100">
      <c r="A62044" s="374"/>
      <c r="C62044" s="374"/>
      <c r="CV62044" s="376"/>
    </row>
    <row r="62045" spans="1:100">
      <c r="A62045" s="374"/>
      <c r="C62045" s="374"/>
      <c r="CV62045" s="376"/>
    </row>
    <row r="62046" spans="1:100">
      <c r="A62046" s="374"/>
      <c r="C62046" s="374"/>
      <c r="CV62046" s="376"/>
    </row>
    <row r="62047" spans="1:100">
      <c r="A62047" s="374"/>
      <c r="C62047" s="374"/>
      <c r="CV62047" s="376"/>
    </row>
    <row r="62048" spans="1:100">
      <c r="A62048" s="374"/>
      <c r="C62048" s="374"/>
      <c r="CV62048" s="376"/>
    </row>
    <row r="62049" spans="1:100">
      <c r="A62049" s="374"/>
      <c r="C62049" s="374"/>
      <c r="CV62049" s="376"/>
    </row>
    <row r="62050" spans="1:100">
      <c r="A62050" s="374"/>
      <c r="C62050" s="374"/>
      <c r="CV62050" s="376"/>
    </row>
    <row r="62051" spans="1:100">
      <c r="A62051" s="374"/>
      <c r="C62051" s="374"/>
      <c r="CV62051" s="376"/>
    </row>
    <row r="62052" spans="1:100">
      <c r="A62052" s="374"/>
      <c r="C62052" s="374"/>
      <c r="CV62052" s="376"/>
    </row>
    <row r="62053" spans="1:100">
      <c r="A62053" s="374"/>
      <c r="C62053" s="374"/>
      <c r="CV62053" s="376"/>
    </row>
    <row r="62054" spans="1:100">
      <c r="A62054" s="374"/>
      <c r="C62054" s="374"/>
      <c r="CV62054" s="376"/>
    </row>
    <row r="62055" spans="1:100">
      <c r="A62055" s="374"/>
      <c r="C62055" s="374"/>
      <c r="CV62055" s="376"/>
    </row>
    <row r="62056" spans="1:100">
      <c r="A62056" s="374"/>
      <c r="C62056" s="374"/>
      <c r="CV62056" s="376"/>
    </row>
    <row r="62057" spans="1:100">
      <c r="A62057" s="374"/>
      <c r="C62057" s="374"/>
      <c r="CV62057" s="376"/>
    </row>
    <row r="62058" spans="1:100">
      <c r="A62058" s="374"/>
      <c r="C62058" s="374"/>
      <c r="CV62058" s="376"/>
    </row>
    <row r="62059" spans="1:100">
      <c r="A62059" s="374"/>
      <c r="C62059" s="374"/>
      <c r="CV62059" s="376"/>
    </row>
    <row r="62060" spans="1:100">
      <c r="A62060" s="374"/>
      <c r="C62060" s="374"/>
      <c r="CV62060" s="376"/>
    </row>
    <row r="62061" spans="1:100">
      <c r="A62061" s="374"/>
      <c r="C62061" s="374"/>
      <c r="CV62061" s="376"/>
    </row>
    <row r="62062" spans="1:100">
      <c r="A62062" s="374"/>
      <c r="C62062" s="374"/>
      <c r="CV62062" s="376"/>
    </row>
    <row r="62063" spans="1:100">
      <c r="A62063" s="374"/>
      <c r="C62063" s="374"/>
      <c r="CV62063" s="376"/>
    </row>
    <row r="62064" spans="1:100">
      <c r="A62064" s="374"/>
      <c r="C62064" s="374"/>
      <c r="CV62064" s="376"/>
    </row>
    <row r="62065" spans="1:100">
      <c r="A62065" s="374"/>
      <c r="C62065" s="374"/>
      <c r="CV62065" s="376"/>
    </row>
    <row r="62066" spans="1:100">
      <c r="A62066" s="374"/>
      <c r="C62066" s="374"/>
      <c r="CV62066" s="376"/>
    </row>
    <row r="62067" spans="1:100">
      <c r="A62067" s="374"/>
      <c r="C62067" s="374"/>
      <c r="CV62067" s="376"/>
    </row>
    <row r="62068" spans="1:100">
      <c r="A62068" s="374"/>
      <c r="C62068" s="374"/>
      <c r="CV62068" s="376"/>
    </row>
    <row r="62069" spans="1:100">
      <c r="A62069" s="374"/>
      <c r="C62069" s="374"/>
      <c r="CV62069" s="376"/>
    </row>
    <row r="62070" spans="1:100">
      <c r="A62070" s="374"/>
      <c r="C62070" s="374"/>
      <c r="CV62070" s="376"/>
    </row>
    <row r="62071" spans="1:100">
      <c r="A62071" s="374"/>
      <c r="C62071" s="374"/>
      <c r="CV62071" s="376"/>
    </row>
    <row r="62072" spans="1:100">
      <c r="A62072" s="374"/>
      <c r="C62072" s="374"/>
      <c r="CV62072" s="376"/>
    </row>
    <row r="62073" spans="1:100">
      <c r="A62073" s="374"/>
      <c r="C62073" s="374"/>
      <c r="CV62073" s="376"/>
    </row>
    <row r="62074" spans="1:100">
      <c r="A62074" s="374"/>
      <c r="C62074" s="374"/>
      <c r="CV62074" s="376"/>
    </row>
    <row r="62075" spans="1:100">
      <c r="A62075" s="374"/>
      <c r="C62075" s="374"/>
      <c r="CV62075" s="376"/>
    </row>
    <row r="62076" spans="1:100">
      <c r="A62076" s="374"/>
      <c r="C62076" s="374"/>
      <c r="CV62076" s="376"/>
    </row>
    <row r="62077" spans="1:100">
      <c r="A62077" s="374"/>
      <c r="C62077" s="374"/>
      <c r="CV62077" s="376"/>
    </row>
    <row r="62078" spans="1:100">
      <c r="A62078" s="374"/>
      <c r="C62078" s="374"/>
      <c r="CV62078" s="376"/>
    </row>
    <row r="62079" spans="1:100">
      <c r="A62079" s="374"/>
      <c r="C62079" s="374"/>
      <c r="CV62079" s="376"/>
    </row>
    <row r="62080" spans="1:100">
      <c r="A62080" s="374"/>
      <c r="C62080" s="374"/>
      <c r="CV62080" s="376"/>
    </row>
    <row r="62081" spans="1:100">
      <c r="A62081" s="374"/>
      <c r="C62081" s="374"/>
      <c r="CV62081" s="376"/>
    </row>
    <row r="62082" spans="1:100">
      <c r="A62082" s="374"/>
      <c r="C62082" s="374"/>
      <c r="CV62082" s="376"/>
    </row>
    <row r="62083" spans="1:100">
      <c r="A62083" s="374"/>
      <c r="C62083" s="374"/>
      <c r="CV62083" s="376"/>
    </row>
    <row r="62084" spans="1:100">
      <c r="A62084" s="374"/>
      <c r="C62084" s="374"/>
      <c r="CV62084" s="376"/>
    </row>
    <row r="62085" spans="1:100">
      <c r="A62085" s="374"/>
      <c r="C62085" s="374"/>
      <c r="CV62085" s="376"/>
    </row>
    <row r="62086" spans="1:100">
      <c r="A62086" s="374"/>
      <c r="C62086" s="374"/>
      <c r="CV62086" s="376"/>
    </row>
    <row r="62087" spans="1:100">
      <c r="A62087" s="374"/>
      <c r="C62087" s="374"/>
      <c r="CV62087" s="376"/>
    </row>
    <row r="62088" spans="1:100">
      <c r="A62088" s="374"/>
      <c r="C62088" s="374"/>
      <c r="CV62088" s="376"/>
    </row>
    <row r="62089" spans="1:100">
      <c r="A62089" s="374"/>
      <c r="C62089" s="374"/>
      <c r="CV62089" s="376"/>
    </row>
    <row r="62090" spans="1:100">
      <c r="A62090" s="374"/>
      <c r="C62090" s="374"/>
      <c r="CV62090" s="376"/>
    </row>
    <row r="62091" spans="1:100">
      <c r="A62091" s="374"/>
      <c r="C62091" s="374"/>
      <c r="CV62091" s="376"/>
    </row>
    <row r="62092" spans="1:100">
      <c r="A62092" s="374"/>
      <c r="C62092" s="374"/>
      <c r="CV62092" s="376"/>
    </row>
    <row r="62093" spans="1:100">
      <c r="A62093" s="374"/>
      <c r="C62093" s="374"/>
      <c r="CV62093" s="376"/>
    </row>
    <row r="62094" spans="1:100">
      <c r="A62094" s="374"/>
      <c r="C62094" s="374"/>
      <c r="CV62094" s="376"/>
    </row>
    <row r="62095" spans="1:100">
      <c r="A62095" s="374"/>
      <c r="C62095" s="374"/>
      <c r="CV62095" s="376"/>
    </row>
    <row r="62096" spans="1:100">
      <c r="A62096" s="374"/>
      <c r="C62096" s="374"/>
      <c r="CV62096" s="376"/>
    </row>
    <row r="62097" spans="1:100">
      <c r="A62097" s="374"/>
      <c r="C62097" s="374"/>
      <c r="CV62097" s="376"/>
    </row>
    <row r="62098" spans="1:100">
      <c r="A62098" s="374"/>
      <c r="C62098" s="374"/>
      <c r="CV62098" s="376"/>
    </row>
    <row r="62099" spans="1:100">
      <c r="A62099" s="374"/>
      <c r="C62099" s="374"/>
      <c r="CV62099" s="376"/>
    </row>
    <row r="62100" spans="1:100">
      <c r="A62100" s="374"/>
      <c r="C62100" s="374"/>
      <c r="CV62100" s="376"/>
    </row>
    <row r="62101" spans="1:100">
      <c r="A62101" s="374"/>
      <c r="C62101" s="374"/>
      <c r="CV62101" s="376"/>
    </row>
    <row r="62102" spans="1:100">
      <c r="A62102" s="374"/>
      <c r="C62102" s="374"/>
      <c r="CV62102" s="376"/>
    </row>
    <row r="62103" spans="1:100">
      <c r="A62103" s="374"/>
      <c r="C62103" s="374"/>
      <c r="CV62103" s="376"/>
    </row>
    <row r="62104" spans="1:100">
      <c r="A62104" s="374"/>
      <c r="C62104" s="374"/>
      <c r="CV62104" s="376"/>
    </row>
    <row r="62105" spans="1:100">
      <c r="A62105" s="374"/>
      <c r="C62105" s="374"/>
      <c r="CV62105" s="376"/>
    </row>
    <row r="62106" spans="1:100">
      <c r="A62106" s="374"/>
      <c r="C62106" s="374"/>
      <c r="CV62106" s="376"/>
    </row>
    <row r="62107" spans="1:100">
      <c r="A62107" s="374"/>
      <c r="C62107" s="374"/>
      <c r="CV62107" s="376"/>
    </row>
    <row r="62108" spans="1:100">
      <c r="A62108" s="374"/>
      <c r="C62108" s="374"/>
      <c r="CV62108" s="376"/>
    </row>
    <row r="62109" spans="1:100">
      <c r="A62109" s="374"/>
      <c r="C62109" s="374"/>
      <c r="CV62109" s="376"/>
    </row>
    <row r="62110" spans="1:100">
      <c r="A62110" s="374"/>
      <c r="C62110" s="374"/>
      <c r="CV62110" s="376"/>
    </row>
    <row r="62111" spans="1:100">
      <c r="A62111" s="374"/>
      <c r="C62111" s="374"/>
      <c r="CV62111" s="376"/>
    </row>
    <row r="62112" spans="1:100">
      <c r="A62112" s="374"/>
      <c r="C62112" s="374"/>
      <c r="CV62112" s="376"/>
    </row>
    <row r="62113" spans="1:100">
      <c r="A62113" s="374"/>
      <c r="C62113" s="374"/>
      <c r="CV62113" s="376"/>
    </row>
    <row r="62114" spans="1:100">
      <c r="A62114" s="374"/>
      <c r="C62114" s="374"/>
      <c r="CV62114" s="376"/>
    </row>
    <row r="62115" spans="1:100">
      <c r="A62115" s="374"/>
      <c r="C62115" s="374"/>
      <c r="CV62115" s="376"/>
    </row>
    <row r="62116" spans="1:100">
      <c r="A62116" s="374"/>
      <c r="C62116" s="374"/>
      <c r="CV62116" s="376"/>
    </row>
    <row r="62117" spans="1:100">
      <c r="A62117" s="374"/>
      <c r="C62117" s="374"/>
      <c r="CV62117" s="376"/>
    </row>
    <row r="62118" spans="1:100">
      <c r="A62118" s="374"/>
      <c r="C62118" s="374"/>
      <c r="CV62118" s="376"/>
    </row>
    <row r="62119" spans="1:100">
      <c r="A62119" s="374"/>
      <c r="C62119" s="374"/>
      <c r="CV62119" s="376"/>
    </row>
    <row r="62120" spans="1:100">
      <c r="A62120" s="374"/>
      <c r="C62120" s="374"/>
      <c r="CV62120" s="376"/>
    </row>
    <row r="62121" spans="1:100">
      <c r="A62121" s="374"/>
      <c r="C62121" s="374"/>
      <c r="CV62121" s="376"/>
    </row>
    <row r="62122" spans="1:100">
      <c r="A62122" s="374"/>
      <c r="C62122" s="374"/>
      <c r="CV62122" s="376"/>
    </row>
    <row r="62123" spans="1:100">
      <c r="A62123" s="374"/>
      <c r="C62123" s="374"/>
      <c r="CV62123" s="376"/>
    </row>
    <row r="62124" spans="1:100">
      <c r="A62124" s="374"/>
      <c r="C62124" s="374"/>
      <c r="CV62124" s="376"/>
    </row>
    <row r="62125" spans="1:100">
      <c r="A62125" s="374"/>
      <c r="C62125" s="374"/>
      <c r="CV62125" s="376"/>
    </row>
    <row r="62126" spans="1:100">
      <c r="A62126" s="374"/>
      <c r="C62126" s="374"/>
      <c r="CV62126" s="376"/>
    </row>
    <row r="62127" spans="1:100">
      <c r="A62127" s="374"/>
      <c r="C62127" s="374"/>
      <c r="CV62127" s="376"/>
    </row>
    <row r="62128" spans="1:100">
      <c r="A62128" s="374"/>
      <c r="C62128" s="374"/>
      <c r="CV62128" s="376"/>
    </row>
    <row r="62129" spans="1:100">
      <c r="A62129" s="374"/>
      <c r="C62129" s="374"/>
      <c r="CV62129" s="376"/>
    </row>
    <row r="62130" spans="1:100">
      <c r="A62130" s="374"/>
      <c r="C62130" s="374"/>
      <c r="CV62130" s="376"/>
    </row>
    <row r="62131" spans="1:100">
      <c r="A62131" s="374"/>
      <c r="C62131" s="374"/>
      <c r="CV62131" s="376"/>
    </row>
    <row r="62132" spans="1:100">
      <c r="A62132" s="374"/>
      <c r="C62132" s="374"/>
      <c r="CV62132" s="376"/>
    </row>
    <row r="62133" spans="1:100">
      <c r="A62133" s="374"/>
      <c r="C62133" s="374"/>
      <c r="CV62133" s="376"/>
    </row>
    <row r="62134" spans="1:100">
      <c r="A62134" s="374"/>
      <c r="C62134" s="374"/>
      <c r="CV62134" s="376"/>
    </row>
    <row r="62135" spans="1:100">
      <c r="A62135" s="374"/>
      <c r="C62135" s="374"/>
      <c r="CV62135" s="376"/>
    </row>
    <row r="62136" spans="1:100">
      <c r="A62136" s="374"/>
      <c r="C62136" s="374"/>
      <c r="CV62136" s="376"/>
    </row>
    <row r="62137" spans="1:100">
      <c r="A62137" s="374"/>
      <c r="C62137" s="374"/>
      <c r="CV62137" s="376"/>
    </row>
    <row r="62138" spans="1:100">
      <c r="A62138" s="374"/>
      <c r="C62138" s="374"/>
      <c r="CV62138" s="376"/>
    </row>
    <row r="62139" spans="1:100">
      <c r="A62139" s="374"/>
      <c r="C62139" s="374"/>
      <c r="CV62139" s="376"/>
    </row>
    <row r="62140" spans="1:100">
      <c r="A62140" s="374"/>
      <c r="C62140" s="374"/>
      <c r="CV62140" s="376"/>
    </row>
    <row r="62141" spans="1:100">
      <c r="A62141" s="374"/>
      <c r="C62141" s="374"/>
      <c r="CV62141" s="376"/>
    </row>
    <row r="62142" spans="1:100">
      <c r="A62142" s="374"/>
      <c r="C62142" s="374"/>
      <c r="CV62142" s="376"/>
    </row>
    <row r="62143" spans="1:100">
      <c r="A62143" s="374"/>
      <c r="C62143" s="374"/>
      <c r="CV62143" s="376"/>
    </row>
    <row r="62144" spans="1:100">
      <c r="A62144" s="374"/>
      <c r="C62144" s="374"/>
      <c r="CV62144" s="376"/>
    </row>
    <row r="62145" spans="1:100">
      <c r="A62145" s="374"/>
      <c r="C62145" s="374"/>
      <c r="CV62145" s="376"/>
    </row>
    <row r="62146" spans="1:100">
      <c r="A62146" s="374"/>
      <c r="C62146" s="374"/>
      <c r="CV62146" s="376"/>
    </row>
    <row r="62147" spans="1:100">
      <c r="A62147" s="374"/>
      <c r="C62147" s="374"/>
      <c r="CV62147" s="376"/>
    </row>
    <row r="62148" spans="1:100">
      <c r="A62148" s="374"/>
      <c r="C62148" s="374"/>
      <c r="CV62148" s="376"/>
    </row>
    <row r="62149" spans="1:100">
      <c r="A62149" s="374"/>
      <c r="C62149" s="374"/>
      <c r="CV62149" s="376"/>
    </row>
    <row r="62150" spans="1:100">
      <c r="A62150" s="374"/>
      <c r="C62150" s="374"/>
      <c r="CV62150" s="376"/>
    </row>
    <row r="62151" spans="1:100">
      <c r="A62151" s="374"/>
      <c r="C62151" s="374"/>
      <c r="CV62151" s="376"/>
    </row>
    <row r="62152" spans="1:100">
      <c r="A62152" s="374"/>
      <c r="C62152" s="374"/>
      <c r="CV62152" s="376"/>
    </row>
    <row r="62153" spans="1:100">
      <c r="A62153" s="374"/>
      <c r="C62153" s="374"/>
      <c r="CV62153" s="376"/>
    </row>
    <row r="62154" spans="1:100">
      <c r="A62154" s="374"/>
      <c r="C62154" s="374"/>
      <c r="CV62154" s="376"/>
    </row>
    <row r="62155" spans="1:100">
      <c r="A62155" s="374"/>
      <c r="C62155" s="374"/>
      <c r="CV62155" s="376"/>
    </row>
    <row r="62156" spans="1:100">
      <c r="A62156" s="374"/>
      <c r="C62156" s="374"/>
      <c r="CV62156" s="376"/>
    </row>
    <row r="62157" spans="1:100">
      <c r="A62157" s="374"/>
      <c r="C62157" s="374"/>
      <c r="CV62157" s="376"/>
    </row>
    <row r="62158" spans="1:100">
      <c r="A62158" s="374"/>
      <c r="C62158" s="374"/>
      <c r="CV62158" s="376"/>
    </row>
    <row r="62159" spans="1:100">
      <c r="A62159" s="374"/>
      <c r="C62159" s="374"/>
      <c r="CV62159" s="376"/>
    </row>
    <row r="62160" spans="1:100">
      <c r="A62160" s="374"/>
      <c r="C62160" s="374"/>
      <c r="CV62160" s="376"/>
    </row>
    <row r="62161" spans="1:100">
      <c r="A62161" s="374"/>
      <c r="C62161" s="374"/>
      <c r="CV62161" s="376"/>
    </row>
    <row r="62162" spans="1:100">
      <c r="A62162" s="374"/>
      <c r="C62162" s="374"/>
      <c r="CV62162" s="376"/>
    </row>
    <row r="62163" spans="1:100">
      <c r="A62163" s="374"/>
      <c r="C62163" s="374"/>
      <c r="CV62163" s="376"/>
    </row>
    <row r="62164" spans="1:100">
      <c r="A62164" s="374"/>
      <c r="C62164" s="374"/>
      <c r="CV62164" s="376"/>
    </row>
    <row r="62165" spans="1:100">
      <c r="A62165" s="374"/>
      <c r="C62165" s="374"/>
      <c r="CV62165" s="376"/>
    </row>
    <row r="62166" spans="1:100">
      <c r="A62166" s="374"/>
      <c r="C62166" s="374"/>
      <c r="CV62166" s="376"/>
    </row>
    <row r="62167" spans="1:100">
      <c r="A62167" s="374"/>
      <c r="C62167" s="374"/>
      <c r="CV62167" s="376"/>
    </row>
    <row r="62168" spans="1:100">
      <c r="A62168" s="374"/>
      <c r="C62168" s="374"/>
      <c r="CV62168" s="376"/>
    </row>
    <row r="62169" spans="1:100">
      <c r="A62169" s="374"/>
      <c r="C62169" s="374"/>
      <c r="CV62169" s="376"/>
    </row>
    <row r="62170" spans="1:100">
      <c r="A62170" s="374"/>
      <c r="C62170" s="374"/>
      <c r="CV62170" s="376"/>
    </row>
    <row r="62171" spans="1:100">
      <c r="A62171" s="374"/>
      <c r="C62171" s="374"/>
      <c r="CV62171" s="376"/>
    </row>
    <row r="62172" spans="1:100">
      <c r="A62172" s="374"/>
      <c r="C62172" s="374"/>
      <c r="CV62172" s="376"/>
    </row>
    <row r="62173" spans="1:100">
      <c r="A62173" s="374"/>
      <c r="C62173" s="374"/>
      <c r="CV62173" s="376"/>
    </row>
    <row r="62174" spans="1:100">
      <c r="A62174" s="374"/>
      <c r="C62174" s="374"/>
      <c r="CV62174" s="376"/>
    </row>
    <row r="62175" spans="1:100">
      <c r="A62175" s="374"/>
      <c r="C62175" s="374"/>
      <c r="CV62175" s="376"/>
    </row>
    <row r="62176" spans="1:100">
      <c r="A62176" s="374"/>
      <c r="C62176" s="374"/>
      <c r="CV62176" s="376"/>
    </row>
    <row r="62177" spans="1:100">
      <c r="A62177" s="374"/>
      <c r="C62177" s="374"/>
      <c r="CV62177" s="376"/>
    </row>
    <row r="62178" spans="1:100">
      <c r="A62178" s="374"/>
      <c r="C62178" s="374"/>
      <c r="CV62178" s="376"/>
    </row>
    <row r="62179" spans="1:100">
      <c r="A62179" s="374"/>
      <c r="C62179" s="374"/>
      <c r="CV62179" s="376"/>
    </row>
    <row r="62180" spans="1:100">
      <c r="A62180" s="374"/>
      <c r="C62180" s="374"/>
      <c r="CV62180" s="376"/>
    </row>
    <row r="62181" spans="1:100">
      <c r="A62181" s="374"/>
      <c r="C62181" s="374"/>
      <c r="CV62181" s="376"/>
    </row>
    <row r="62182" spans="1:100">
      <c r="A62182" s="374"/>
      <c r="C62182" s="374"/>
      <c r="CV62182" s="376"/>
    </row>
    <row r="62183" spans="1:100">
      <c r="A62183" s="374"/>
      <c r="C62183" s="374"/>
      <c r="CV62183" s="376"/>
    </row>
    <row r="62184" spans="1:100">
      <c r="A62184" s="374"/>
      <c r="C62184" s="374"/>
      <c r="CV62184" s="376"/>
    </row>
    <row r="62185" spans="1:100">
      <c r="A62185" s="374"/>
      <c r="C62185" s="374"/>
      <c r="CV62185" s="376"/>
    </row>
    <row r="62186" spans="1:100">
      <c r="A62186" s="374"/>
      <c r="C62186" s="374"/>
      <c r="CV62186" s="376"/>
    </row>
    <row r="62187" spans="1:100">
      <c r="A62187" s="374"/>
      <c r="C62187" s="374"/>
      <c r="CV62187" s="376"/>
    </row>
    <row r="62188" spans="1:100">
      <c r="A62188" s="374"/>
      <c r="C62188" s="374"/>
      <c r="CV62188" s="376"/>
    </row>
    <row r="62189" spans="1:100">
      <c r="A62189" s="374"/>
      <c r="C62189" s="374"/>
      <c r="CV62189" s="376"/>
    </row>
    <row r="62190" spans="1:100">
      <c r="A62190" s="374"/>
      <c r="C62190" s="374"/>
      <c r="CV62190" s="376"/>
    </row>
    <row r="62191" spans="1:100">
      <c r="A62191" s="374"/>
      <c r="C62191" s="374"/>
      <c r="CV62191" s="376"/>
    </row>
    <row r="62192" spans="1:100">
      <c r="A62192" s="374"/>
      <c r="C62192" s="374"/>
      <c r="CV62192" s="376"/>
    </row>
    <row r="62193" spans="1:100">
      <c r="A62193" s="374"/>
      <c r="C62193" s="374"/>
      <c r="CV62193" s="376"/>
    </row>
    <row r="62194" spans="1:100">
      <c r="A62194" s="374"/>
      <c r="C62194" s="374"/>
      <c r="CV62194" s="376"/>
    </row>
    <row r="62195" spans="1:100">
      <c r="A62195" s="374"/>
      <c r="C62195" s="374"/>
      <c r="CV62195" s="376"/>
    </row>
    <row r="62196" spans="1:100">
      <c r="A62196" s="374"/>
      <c r="C62196" s="374"/>
      <c r="CV62196" s="376"/>
    </row>
    <row r="62197" spans="1:100">
      <c r="A62197" s="374"/>
      <c r="C62197" s="374"/>
      <c r="CV62197" s="376"/>
    </row>
    <row r="62198" spans="1:100">
      <c r="A62198" s="374"/>
      <c r="C62198" s="374"/>
      <c r="CV62198" s="376"/>
    </row>
    <row r="62199" spans="1:100">
      <c r="A62199" s="374"/>
      <c r="C62199" s="374"/>
      <c r="CV62199" s="376"/>
    </row>
    <row r="62200" spans="1:100">
      <c r="A62200" s="374"/>
      <c r="C62200" s="374"/>
      <c r="CV62200" s="376"/>
    </row>
    <row r="62201" spans="1:100">
      <c r="A62201" s="374"/>
      <c r="C62201" s="374"/>
      <c r="CV62201" s="376"/>
    </row>
    <row r="62202" spans="1:100">
      <c r="A62202" s="374"/>
      <c r="C62202" s="374"/>
      <c r="CV62202" s="376"/>
    </row>
    <row r="62203" spans="1:100">
      <c r="A62203" s="374"/>
      <c r="C62203" s="374"/>
      <c r="CV62203" s="376"/>
    </row>
    <row r="62204" spans="1:100">
      <c r="A62204" s="374"/>
      <c r="C62204" s="374"/>
      <c r="CV62204" s="376"/>
    </row>
    <row r="62205" spans="1:100">
      <c r="A62205" s="374"/>
      <c r="C62205" s="374"/>
      <c r="CV62205" s="376"/>
    </row>
    <row r="62206" spans="1:100">
      <c r="A62206" s="374"/>
      <c r="C62206" s="374"/>
      <c r="CV62206" s="376"/>
    </row>
    <row r="62207" spans="1:100">
      <c r="A62207" s="374"/>
      <c r="C62207" s="374"/>
      <c r="CV62207" s="376"/>
    </row>
    <row r="62208" spans="1:100">
      <c r="A62208" s="374"/>
      <c r="C62208" s="374"/>
      <c r="CV62208" s="376"/>
    </row>
    <row r="62209" spans="1:100">
      <c r="A62209" s="374"/>
      <c r="C62209" s="374"/>
      <c r="CV62209" s="376"/>
    </row>
    <row r="62210" spans="1:100">
      <c r="A62210" s="374"/>
      <c r="C62210" s="374"/>
      <c r="CV62210" s="376"/>
    </row>
    <row r="62211" spans="1:100">
      <c r="A62211" s="374"/>
      <c r="C62211" s="374"/>
      <c r="CV62211" s="376"/>
    </row>
    <row r="62212" spans="1:100">
      <c r="A62212" s="374"/>
      <c r="C62212" s="374"/>
      <c r="CV62212" s="376"/>
    </row>
    <row r="62213" spans="1:100">
      <c r="A62213" s="374"/>
      <c r="C62213" s="374"/>
      <c r="CV62213" s="376"/>
    </row>
    <row r="62214" spans="1:100">
      <c r="A62214" s="374"/>
      <c r="C62214" s="374"/>
      <c r="CV62214" s="376"/>
    </row>
    <row r="62215" spans="1:100">
      <c r="A62215" s="374"/>
      <c r="C62215" s="374"/>
      <c r="CV62215" s="376"/>
    </row>
    <row r="62216" spans="1:100">
      <c r="A62216" s="374"/>
      <c r="C62216" s="374"/>
      <c r="CV62216" s="376"/>
    </row>
    <row r="62217" spans="1:100">
      <c r="A62217" s="374"/>
      <c r="C62217" s="374"/>
      <c r="CV62217" s="376"/>
    </row>
    <row r="62218" spans="1:100">
      <c r="A62218" s="374"/>
      <c r="C62218" s="374"/>
      <c r="CV62218" s="376"/>
    </row>
    <row r="62219" spans="1:100">
      <c r="A62219" s="374"/>
      <c r="C62219" s="374"/>
      <c r="CV62219" s="376"/>
    </row>
    <row r="62220" spans="1:100">
      <c r="A62220" s="374"/>
      <c r="C62220" s="374"/>
      <c r="CV62220" s="376"/>
    </row>
    <row r="62221" spans="1:100">
      <c r="A62221" s="374"/>
      <c r="C62221" s="374"/>
      <c r="CV62221" s="376"/>
    </row>
    <row r="62222" spans="1:100">
      <c r="A62222" s="374"/>
      <c r="C62222" s="374"/>
      <c r="CV62222" s="376"/>
    </row>
    <row r="62223" spans="1:100">
      <c r="A62223" s="374"/>
      <c r="C62223" s="374"/>
      <c r="CV62223" s="376"/>
    </row>
    <row r="62224" spans="1:100">
      <c r="A62224" s="374"/>
      <c r="C62224" s="374"/>
      <c r="CV62224" s="376"/>
    </row>
    <row r="62225" spans="1:100">
      <c r="A62225" s="374"/>
      <c r="C62225" s="374"/>
      <c r="CV62225" s="376"/>
    </row>
    <row r="62226" spans="1:100">
      <c r="A62226" s="374"/>
      <c r="C62226" s="374"/>
      <c r="CV62226" s="376"/>
    </row>
    <row r="62227" spans="1:100">
      <c r="A62227" s="374"/>
      <c r="C62227" s="374"/>
      <c r="CV62227" s="376"/>
    </row>
    <row r="62228" spans="1:100">
      <c r="A62228" s="374"/>
      <c r="C62228" s="374"/>
      <c r="CV62228" s="376"/>
    </row>
    <row r="62229" spans="1:100">
      <c r="A62229" s="374"/>
      <c r="C62229" s="374"/>
      <c r="CV62229" s="376"/>
    </row>
    <row r="62230" spans="1:100">
      <c r="A62230" s="374"/>
      <c r="C62230" s="374"/>
      <c r="CV62230" s="376"/>
    </row>
    <row r="62231" spans="1:100">
      <c r="A62231" s="374"/>
      <c r="C62231" s="374"/>
      <c r="CV62231" s="376"/>
    </row>
    <row r="62232" spans="1:100">
      <c r="A62232" s="374"/>
      <c r="C62232" s="374"/>
      <c r="CV62232" s="376"/>
    </row>
    <row r="62233" spans="1:100">
      <c r="A62233" s="374"/>
      <c r="C62233" s="374"/>
      <c r="CV62233" s="376"/>
    </row>
    <row r="62234" spans="1:100">
      <c r="A62234" s="374"/>
      <c r="C62234" s="374"/>
      <c r="CV62234" s="376"/>
    </row>
    <row r="62235" spans="1:100">
      <c r="A62235" s="374"/>
      <c r="C62235" s="374"/>
      <c r="CV62235" s="376"/>
    </row>
    <row r="62236" spans="1:100">
      <c r="A62236" s="374"/>
      <c r="C62236" s="374"/>
      <c r="CV62236" s="376"/>
    </row>
    <row r="62237" spans="1:100">
      <c r="A62237" s="374"/>
      <c r="C62237" s="374"/>
      <c r="CV62237" s="376"/>
    </row>
    <row r="62238" spans="1:100">
      <c r="A62238" s="374"/>
      <c r="C62238" s="374"/>
      <c r="CV62238" s="376"/>
    </row>
    <row r="62239" spans="1:100">
      <c r="A62239" s="374"/>
      <c r="C62239" s="374"/>
      <c r="CV62239" s="376"/>
    </row>
    <row r="62240" spans="1:100">
      <c r="A62240" s="374"/>
      <c r="C62240" s="374"/>
      <c r="CV62240" s="376"/>
    </row>
    <row r="62241" spans="1:100">
      <c r="A62241" s="374"/>
      <c r="C62241" s="374"/>
      <c r="CV62241" s="376"/>
    </row>
    <row r="62242" spans="1:100">
      <c r="A62242" s="374"/>
      <c r="C62242" s="374"/>
      <c r="CV62242" s="376"/>
    </row>
    <row r="62243" spans="1:100">
      <c r="A62243" s="374"/>
      <c r="C62243" s="374"/>
      <c r="CV62243" s="376"/>
    </row>
    <row r="62244" spans="1:100">
      <c r="A62244" s="374"/>
      <c r="C62244" s="374"/>
      <c r="CV62244" s="376"/>
    </row>
    <row r="62245" spans="1:100">
      <c r="A62245" s="374"/>
      <c r="C62245" s="374"/>
      <c r="CV62245" s="376"/>
    </row>
    <row r="62246" spans="1:100">
      <c r="A62246" s="374"/>
      <c r="C62246" s="374"/>
      <c r="CV62246" s="376"/>
    </row>
    <row r="62247" spans="1:100">
      <c r="A62247" s="374"/>
      <c r="C62247" s="374"/>
      <c r="CV62247" s="376"/>
    </row>
    <row r="62248" spans="1:100">
      <c r="A62248" s="374"/>
      <c r="C62248" s="374"/>
      <c r="CV62248" s="376"/>
    </row>
    <row r="62249" spans="1:100">
      <c r="A62249" s="374"/>
      <c r="C62249" s="374"/>
      <c r="CV62249" s="376"/>
    </row>
    <row r="62250" spans="1:100">
      <c r="A62250" s="374"/>
      <c r="C62250" s="374"/>
      <c r="CV62250" s="376"/>
    </row>
    <row r="62251" spans="1:100">
      <c r="A62251" s="374"/>
      <c r="C62251" s="374"/>
      <c r="CV62251" s="376"/>
    </row>
    <row r="62252" spans="1:100">
      <c r="A62252" s="374"/>
      <c r="C62252" s="374"/>
      <c r="CV62252" s="376"/>
    </row>
    <row r="62253" spans="1:100">
      <c r="A62253" s="374"/>
      <c r="C62253" s="374"/>
      <c r="CV62253" s="376"/>
    </row>
    <row r="62254" spans="1:100">
      <c r="A62254" s="374"/>
      <c r="C62254" s="374"/>
      <c r="CV62254" s="376"/>
    </row>
    <row r="62255" spans="1:100">
      <c r="A62255" s="374"/>
      <c r="C62255" s="374"/>
      <c r="CV62255" s="376"/>
    </row>
    <row r="62256" spans="1:100">
      <c r="A62256" s="374"/>
      <c r="C62256" s="374"/>
      <c r="CV62256" s="376"/>
    </row>
    <row r="62257" spans="1:100">
      <c r="A62257" s="374"/>
      <c r="C62257" s="374"/>
      <c r="CV62257" s="376"/>
    </row>
    <row r="62258" spans="1:100">
      <c r="A62258" s="374"/>
      <c r="C62258" s="374"/>
      <c r="CV62258" s="376"/>
    </row>
    <row r="62259" spans="1:100">
      <c r="A62259" s="374"/>
      <c r="C62259" s="374"/>
      <c r="CV62259" s="376"/>
    </row>
    <row r="62260" spans="1:100">
      <c r="A62260" s="374"/>
      <c r="C62260" s="374"/>
      <c r="CV62260" s="376"/>
    </row>
    <row r="62261" spans="1:100">
      <c r="A62261" s="374"/>
      <c r="C62261" s="374"/>
      <c r="CV62261" s="376"/>
    </row>
    <row r="62262" spans="1:100">
      <c r="A62262" s="374"/>
      <c r="C62262" s="374"/>
      <c r="CV62262" s="376"/>
    </row>
    <row r="62263" spans="1:100">
      <c r="A62263" s="374"/>
      <c r="C62263" s="374"/>
      <c r="CV62263" s="376"/>
    </row>
    <row r="62264" spans="1:100">
      <c r="A62264" s="374"/>
      <c r="C62264" s="374"/>
      <c r="CV62264" s="376"/>
    </row>
    <row r="62265" spans="1:100">
      <c r="A62265" s="374"/>
      <c r="C62265" s="374"/>
      <c r="CV62265" s="376"/>
    </row>
    <row r="62266" spans="1:100">
      <c r="A62266" s="374"/>
      <c r="C62266" s="374"/>
      <c r="CV62266" s="376"/>
    </row>
    <row r="62267" spans="1:100">
      <c r="A62267" s="374"/>
      <c r="C62267" s="374"/>
      <c r="CV62267" s="376"/>
    </row>
    <row r="62268" spans="1:100">
      <c r="A62268" s="374"/>
      <c r="C62268" s="374"/>
      <c r="CV62268" s="376"/>
    </row>
    <row r="62269" spans="1:100">
      <c r="A62269" s="374"/>
      <c r="C62269" s="374"/>
      <c r="CV62269" s="376"/>
    </row>
    <row r="62270" spans="1:100">
      <c r="A62270" s="374"/>
      <c r="C62270" s="374"/>
      <c r="CV62270" s="376"/>
    </row>
    <row r="62271" spans="1:100">
      <c r="A62271" s="374"/>
      <c r="C62271" s="374"/>
      <c r="CV62271" s="376"/>
    </row>
    <row r="62272" spans="1:100">
      <c r="A62272" s="374"/>
      <c r="C62272" s="374"/>
      <c r="CV62272" s="376"/>
    </row>
    <row r="62273" spans="1:100">
      <c r="A62273" s="374"/>
      <c r="C62273" s="374"/>
      <c r="CV62273" s="376"/>
    </row>
    <row r="62274" spans="1:100">
      <c r="A62274" s="374"/>
      <c r="C62274" s="374"/>
      <c r="CV62274" s="376"/>
    </row>
    <row r="62275" spans="1:100">
      <c r="A62275" s="374"/>
      <c r="C62275" s="374"/>
      <c r="CV62275" s="376"/>
    </row>
    <row r="62276" spans="1:100">
      <c r="A62276" s="374"/>
      <c r="C62276" s="374"/>
      <c r="CV62276" s="376"/>
    </row>
    <row r="62277" spans="1:100">
      <c r="A62277" s="374"/>
      <c r="C62277" s="374"/>
      <c r="CV62277" s="376"/>
    </row>
    <row r="62278" spans="1:100">
      <c r="A62278" s="374"/>
      <c r="C62278" s="374"/>
      <c r="CV62278" s="376"/>
    </row>
    <row r="62279" spans="1:100">
      <c r="A62279" s="374"/>
      <c r="C62279" s="374"/>
      <c r="CV62279" s="376"/>
    </row>
    <row r="62280" spans="1:100">
      <c r="A62280" s="374"/>
      <c r="C62280" s="374"/>
      <c r="CV62280" s="376"/>
    </row>
    <row r="62281" spans="1:100">
      <c r="A62281" s="374"/>
      <c r="C62281" s="374"/>
      <c r="CV62281" s="376"/>
    </row>
    <row r="62282" spans="1:100">
      <c r="A62282" s="374"/>
      <c r="C62282" s="374"/>
      <c r="CV62282" s="376"/>
    </row>
    <row r="62283" spans="1:100">
      <c r="A62283" s="374"/>
      <c r="C62283" s="374"/>
      <c r="CV62283" s="376"/>
    </row>
    <row r="62284" spans="1:100">
      <c r="A62284" s="374"/>
      <c r="C62284" s="374"/>
      <c r="CV62284" s="376"/>
    </row>
    <row r="62285" spans="1:100">
      <c r="A62285" s="374"/>
      <c r="C62285" s="374"/>
      <c r="CV62285" s="376"/>
    </row>
    <row r="62286" spans="1:100">
      <c r="A62286" s="374"/>
      <c r="C62286" s="374"/>
      <c r="CV62286" s="376"/>
    </row>
    <row r="62287" spans="1:100">
      <c r="A62287" s="374"/>
      <c r="C62287" s="374"/>
      <c r="CV62287" s="376"/>
    </row>
    <row r="62288" spans="1:100">
      <c r="A62288" s="374"/>
      <c r="C62288" s="374"/>
      <c r="CV62288" s="376"/>
    </row>
    <row r="62289" spans="1:100">
      <c r="A62289" s="374"/>
      <c r="C62289" s="374"/>
      <c r="CV62289" s="376"/>
    </row>
    <row r="62290" spans="1:100">
      <c r="A62290" s="374"/>
      <c r="C62290" s="374"/>
      <c r="CV62290" s="376"/>
    </row>
    <row r="62291" spans="1:100">
      <c r="A62291" s="374"/>
      <c r="C62291" s="374"/>
      <c r="CV62291" s="376"/>
    </row>
    <row r="62292" spans="1:100">
      <c r="A62292" s="374"/>
      <c r="C62292" s="374"/>
      <c r="CV62292" s="376"/>
    </row>
    <row r="62293" spans="1:100">
      <c r="A62293" s="374"/>
      <c r="C62293" s="374"/>
      <c r="CV62293" s="376"/>
    </row>
    <row r="62294" spans="1:100">
      <c r="A62294" s="374"/>
      <c r="C62294" s="374"/>
      <c r="CV62294" s="376"/>
    </row>
    <row r="62295" spans="1:100">
      <c r="A62295" s="374"/>
      <c r="C62295" s="374"/>
      <c r="CV62295" s="376"/>
    </row>
    <row r="62296" spans="1:100">
      <c r="A62296" s="374"/>
      <c r="C62296" s="374"/>
      <c r="CV62296" s="376"/>
    </row>
    <row r="62297" spans="1:100">
      <c r="A62297" s="374"/>
      <c r="C62297" s="374"/>
      <c r="CV62297" s="376"/>
    </row>
    <row r="62298" spans="1:100">
      <c r="A62298" s="374"/>
      <c r="C62298" s="374"/>
      <c r="CV62298" s="376"/>
    </row>
    <row r="62299" spans="1:100">
      <c r="A62299" s="374"/>
      <c r="C62299" s="374"/>
      <c r="CV62299" s="376"/>
    </row>
    <row r="62300" spans="1:100">
      <c r="A62300" s="374"/>
      <c r="C62300" s="374"/>
      <c r="CV62300" s="376"/>
    </row>
    <row r="62301" spans="1:100">
      <c r="A62301" s="374"/>
      <c r="C62301" s="374"/>
      <c r="CV62301" s="376"/>
    </row>
    <row r="62302" spans="1:100">
      <c r="A62302" s="374"/>
      <c r="C62302" s="374"/>
      <c r="CV62302" s="376"/>
    </row>
    <row r="62303" spans="1:100">
      <c r="A62303" s="374"/>
      <c r="C62303" s="374"/>
      <c r="CV62303" s="376"/>
    </row>
    <row r="62304" spans="1:100">
      <c r="A62304" s="374"/>
      <c r="C62304" s="374"/>
      <c r="CV62304" s="376"/>
    </row>
    <row r="62305" spans="1:100">
      <c r="A62305" s="374"/>
      <c r="C62305" s="374"/>
      <c r="CV62305" s="376"/>
    </row>
    <row r="62306" spans="1:100">
      <c r="A62306" s="374"/>
      <c r="C62306" s="374"/>
      <c r="CV62306" s="376"/>
    </row>
    <row r="62307" spans="1:100">
      <c r="A62307" s="374"/>
      <c r="C62307" s="374"/>
      <c r="CV62307" s="376"/>
    </row>
    <row r="62308" spans="1:100">
      <c r="A62308" s="374"/>
      <c r="C62308" s="374"/>
      <c r="CV62308" s="376"/>
    </row>
    <row r="62309" spans="1:100">
      <c r="A62309" s="374"/>
      <c r="C62309" s="374"/>
      <c r="CV62309" s="376"/>
    </row>
    <row r="62310" spans="1:100">
      <c r="A62310" s="374"/>
      <c r="C62310" s="374"/>
      <c r="CV62310" s="376"/>
    </row>
    <row r="62311" spans="1:100">
      <c r="A62311" s="374"/>
      <c r="C62311" s="374"/>
      <c r="CV62311" s="376"/>
    </row>
    <row r="62312" spans="1:100">
      <c r="A62312" s="374"/>
      <c r="C62312" s="374"/>
      <c r="CV62312" s="376"/>
    </row>
    <row r="62313" spans="1:100">
      <c r="A62313" s="374"/>
      <c r="C62313" s="374"/>
      <c r="CV62313" s="376"/>
    </row>
    <row r="62314" spans="1:100">
      <c r="A62314" s="374"/>
      <c r="C62314" s="374"/>
      <c r="CV62314" s="376"/>
    </row>
    <row r="62315" spans="1:100">
      <c r="A62315" s="374"/>
      <c r="C62315" s="374"/>
      <c r="CV62315" s="376"/>
    </row>
    <row r="62316" spans="1:100">
      <c r="A62316" s="374"/>
      <c r="C62316" s="374"/>
      <c r="CV62316" s="376"/>
    </row>
    <row r="62317" spans="1:100">
      <c r="A62317" s="374"/>
      <c r="C62317" s="374"/>
      <c r="CV62317" s="376"/>
    </row>
    <row r="62318" spans="1:100">
      <c r="A62318" s="374"/>
      <c r="C62318" s="374"/>
      <c r="CV62318" s="376"/>
    </row>
    <row r="62319" spans="1:100">
      <c r="A62319" s="374"/>
      <c r="C62319" s="374"/>
      <c r="CV62319" s="376"/>
    </row>
    <row r="62320" spans="1:100">
      <c r="A62320" s="374"/>
      <c r="C62320" s="374"/>
      <c r="CV62320" s="376"/>
    </row>
    <row r="62321" spans="1:100">
      <c r="A62321" s="374"/>
      <c r="C62321" s="374"/>
      <c r="CV62321" s="376"/>
    </row>
    <row r="62322" spans="1:100">
      <c r="A62322" s="374"/>
      <c r="C62322" s="374"/>
      <c r="CV62322" s="376"/>
    </row>
    <row r="62323" spans="1:100">
      <c r="A62323" s="374"/>
      <c r="C62323" s="374"/>
      <c r="CV62323" s="376"/>
    </row>
    <row r="62324" spans="1:100">
      <c r="A62324" s="374"/>
      <c r="C62324" s="374"/>
      <c r="CV62324" s="376"/>
    </row>
    <row r="62325" spans="1:100">
      <c r="A62325" s="374"/>
      <c r="C62325" s="374"/>
      <c r="CV62325" s="376"/>
    </row>
    <row r="62326" spans="1:100">
      <c r="A62326" s="374"/>
      <c r="C62326" s="374"/>
      <c r="CV62326" s="376"/>
    </row>
    <row r="62327" spans="1:100">
      <c r="A62327" s="374"/>
      <c r="C62327" s="374"/>
      <c r="CV62327" s="376"/>
    </row>
    <row r="62328" spans="1:100">
      <c r="A62328" s="374"/>
      <c r="C62328" s="374"/>
      <c r="CV62328" s="376"/>
    </row>
    <row r="62329" spans="1:100">
      <c r="A62329" s="374"/>
      <c r="C62329" s="374"/>
      <c r="CV62329" s="376"/>
    </row>
    <row r="62330" spans="1:100">
      <c r="A62330" s="374"/>
      <c r="C62330" s="374"/>
      <c r="CV62330" s="376"/>
    </row>
    <row r="62331" spans="1:100">
      <c r="A62331" s="374"/>
      <c r="C62331" s="374"/>
      <c r="CV62331" s="376"/>
    </row>
    <row r="62332" spans="1:100">
      <c r="A62332" s="374"/>
      <c r="C62332" s="374"/>
      <c r="CV62332" s="376"/>
    </row>
    <row r="62333" spans="1:100">
      <c r="A62333" s="374"/>
      <c r="C62333" s="374"/>
      <c r="CV62333" s="376"/>
    </row>
    <row r="62334" spans="1:100">
      <c r="A62334" s="374"/>
      <c r="C62334" s="374"/>
      <c r="CV62334" s="376"/>
    </row>
    <row r="62335" spans="1:100">
      <c r="A62335" s="374"/>
      <c r="C62335" s="374"/>
      <c r="CV62335" s="376"/>
    </row>
    <row r="62336" spans="1:100">
      <c r="A62336" s="374"/>
      <c r="C62336" s="374"/>
      <c r="CV62336" s="376"/>
    </row>
    <row r="62337" spans="1:100">
      <c r="A62337" s="374"/>
      <c r="C62337" s="374"/>
      <c r="CV62337" s="376"/>
    </row>
    <row r="62338" spans="1:100">
      <c r="A62338" s="374"/>
      <c r="C62338" s="374"/>
      <c r="CV62338" s="376"/>
    </row>
    <row r="62339" spans="1:100">
      <c r="A62339" s="374"/>
      <c r="C62339" s="374"/>
      <c r="CV62339" s="376"/>
    </row>
    <row r="62340" spans="1:100">
      <c r="A62340" s="374"/>
      <c r="C62340" s="374"/>
      <c r="CV62340" s="376"/>
    </row>
    <row r="62341" spans="1:100">
      <c r="A62341" s="374"/>
      <c r="C62341" s="374"/>
      <c r="CV62341" s="376"/>
    </row>
    <row r="62342" spans="1:100">
      <c r="A62342" s="374"/>
      <c r="C62342" s="374"/>
      <c r="CV62342" s="376"/>
    </row>
    <row r="62343" spans="1:100">
      <c r="A62343" s="374"/>
      <c r="C62343" s="374"/>
      <c r="CV62343" s="376"/>
    </row>
    <row r="62344" spans="1:100">
      <c r="A62344" s="374"/>
      <c r="C62344" s="374"/>
      <c r="CV62344" s="376"/>
    </row>
    <row r="62345" spans="1:100">
      <c r="A62345" s="374"/>
      <c r="C62345" s="374"/>
      <c r="CV62345" s="376"/>
    </row>
    <row r="62346" spans="1:100">
      <c r="A62346" s="374"/>
      <c r="C62346" s="374"/>
      <c r="CV62346" s="376"/>
    </row>
    <row r="62347" spans="1:100">
      <c r="A62347" s="374"/>
      <c r="C62347" s="374"/>
      <c r="CV62347" s="376"/>
    </row>
    <row r="62348" spans="1:100">
      <c r="A62348" s="374"/>
      <c r="C62348" s="374"/>
      <c r="CV62348" s="376"/>
    </row>
    <row r="62349" spans="1:100">
      <c r="A62349" s="374"/>
      <c r="C62349" s="374"/>
      <c r="CV62349" s="376"/>
    </row>
    <row r="62350" spans="1:100">
      <c r="A62350" s="374"/>
      <c r="C62350" s="374"/>
      <c r="CV62350" s="376"/>
    </row>
    <row r="62351" spans="1:100">
      <c r="A62351" s="374"/>
      <c r="C62351" s="374"/>
      <c r="CV62351" s="376"/>
    </row>
    <row r="62352" spans="1:100">
      <c r="A62352" s="374"/>
      <c r="C62352" s="374"/>
      <c r="CV62352" s="376"/>
    </row>
    <row r="62353" spans="1:100">
      <c r="A62353" s="374"/>
      <c r="C62353" s="374"/>
      <c r="CV62353" s="376"/>
    </row>
    <row r="62354" spans="1:100">
      <c r="A62354" s="374"/>
      <c r="C62354" s="374"/>
      <c r="CV62354" s="376"/>
    </row>
    <row r="62355" spans="1:100">
      <c r="A62355" s="374"/>
      <c r="C62355" s="374"/>
      <c r="CV62355" s="376"/>
    </row>
    <row r="62356" spans="1:100">
      <c r="A62356" s="374"/>
      <c r="C62356" s="374"/>
      <c r="CV62356" s="376"/>
    </row>
    <row r="62357" spans="1:100">
      <c r="A62357" s="374"/>
      <c r="C62357" s="374"/>
      <c r="CV62357" s="376"/>
    </row>
    <row r="62358" spans="1:100">
      <c r="A62358" s="374"/>
      <c r="C62358" s="374"/>
      <c r="CV62358" s="376"/>
    </row>
    <row r="62359" spans="1:100">
      <c r="A62359" s="374"/>
      <c r="C62359" s="374"/>
      <c r="CV62359" s="376"/>
    </row>
    <row r="62360" spans="1:100">
      <c r="A62360" s="374"/>
      <c r="C62360" s="374"/>
      <c r="CV62360" s="376"/>
    </row>
    <row r="62361" spans="1:100">
      <c r="A62361" s="374"/>
      <c r="C62361" s="374"/>
      <c r="CV62361" s="376"/>
    </row>
    <row r="62362" spans="1:100">
      <c r="A62362" s="374"/>
      <c r="C62362" s="374"/>
      <c r="CV62362" s="376"/>
    </row>
    <row r="62363" spans="1:100">
      <c r="A62363" s="374"/>
      <c r="C62363" s="374"/>
      <c r="CV62363" s="376"/>
    </row>
    <row r="62364" spans="1:100">
      <c r="A62364" s="374"/>
      <c r="C62364" s="374"/>
      <c r="CV62364" s="376"/>
    </row>
    <row r="62365" spans="1:100">
      <c r="A62365" s="374"/>
      <c r="C62365" s="374"/>
      <c r="CV62365" s="376"/>
    </row>
    <row r="62366" spans="1:100">
      <c r="A62366" s="374"/>
      <c r="C62366" s="374"/>
      <c r="CV62366" s="376"/>
    </row>
    <row r="62367" spans="1:100">
      <c r="A62367" s="374"/>
      <c r="C62367" s="374"/>
      <c r="CV62367" s="376"/>
    </row>
    <row r="62368" spans="1:100">
      <c r="A62368" s="374"/>
      <c r="C62368" s="374"/>
      <c r="CV62368" s="376"/>
    </row>
    <row r="62369" spans="1:100">
      <c r="A62369" s="374"/>
      <c r="C62369" s="374"/>
      <c r="CV62369" s="376"/>
    </row>
    <row r="62370" spans="1:100">
      <c r="A62370" s="374"/>
      <c r="C62370" s="374"/>
      <c r="CV62370" s="376"/>
    </row>
    <row r="62371" spans="1:100">
      <c r="A62371" s="374"/>
      <c r="C62371" s="374"/>
      <c r="CV62371" s="376"/>
    </row>
    <row r="62372" spans="1:100">
      <c r="A62372" s="374"/>
      <c r="C62372" s="374"/>
      <c r="CV62372" s="376"/>
    </row>
    <row r="62373" spans="1:100">
      <c r="A62373" s="374"/>
      <c r="C62373" s="374"/>
      <c r="CV62373" s="376"/>
    </row>
    <row r="62374" spans="1:100">
      <c r="A62374" s="374"/>
      <c r="C62374" s="374"/>
      <c r="CV62374" s="376"/>
    </row>
    <row r="62375" spans="1:100">
      <c r="A62375" s="374"/>
      <c r="C62375" s="374"/>
      <c r="CV62375" s="376"/>
    </row>
    <row r="62376" spans="1:100">
      <c r="A62376" s="374"/>
      <c r="C62376" s="374"/>
      <c r="CV62376" s="376"/>
    </row>
    <row r="62377" spans="1:100">
      <c r="A62377" s="374"/>
      <c r="C62377" s="374"/>
      <c r="CV62377" s="376"/>
    </row>
    <row r="62378" spans="1:100">
      <c r="A62378" s="374"/>
      <c r="C62378" s="374"/>
      <c r="CV62378" s="376"/>
    </row>
    <row r="62379" spans="1:100">
      <c r="A62379" s="374"/>
      <c r="C62379" s="374"/>
      <c r="CV62379" s="376"/>
    </row>
    <row r="62380" spans="1:100">
      <c r="A62380" s="374"/>
      <c r="C62380" s="374"/>
      <c r="CV62380" s="376"/>
    </row>
    <row r="62381" spans="1:100">
      <c r="A62381" s="374"/>
      <c r="C62381" s="374"/>
      <c r="CV62381" s="376"/>
    </row>
    <row r="62382" spans="1:100">
      <c r="A62382" s="374"/>
      <c r="C62382" s="374"/>
      <c r="CV62382" s="376"/>
    </row>
    <row r="62383" spans="1:100">
      <c r="A62383" s="374"/>
      <c r="C62383" s="374"/>
      <c r="CV62383" s="376"/>
    </row>
    <row r="62384" spans="1:100">
      <c r="A62384" s="374"/>
      <c r="C62384" s="374"/>
      <c r="CV62384" s="376"/>
    </row>
    <row r="62385" spans="1:100">
      <c r="A62385" s="374"/>
      <c r="C62385" s="374"/>
      <c r="CV62385" s="376"/>
    </row>
    <row r="62386" spans="1:100">
      <c r="A62386" s="374"/>
      <c r="C62386" s="374"/>
      <c r="CV62386" s="376"/>
    </row>
    <row r="62387" spans="1:100">
      <c r="A62387" s="374"/>
      <c r="C62387" s="374"/>
      <c r="CV62387" s="376"/>
    </row>
    <row r="62388" spans="1:100">
      <c r="A62388" s="374"/>
      <c r="C62388" s="374"/>
      <c r="CV62388" s="376"/>
    </row>
    <row r="62389" spans="1:100">
      <c r="A62389" s="374"/>
      <c r="C62389" s="374"/>
      <c r="CV62389" s="376"/>
    </row>
    <row r="62390" spans="1:100">
      <c r="A62390" s="374"/>
      <c r="C62390" s="374"/>
      <c r="CV62390" s="376"/>
    </row>
    <row r="62391" spans="1:100">
      <c r="A62391" s="374"/>
      <c r="C62391" s="374"/>
      <c r="CV62391" s="376"/>
    </row>
    <row r="62392" spans="1:100">
      <c r="A62392" s="374"/>
      <c r="C62392" s="374"/>
      <c r="CV62392" s="376"/>
    </row>
    <row r="62393" spans="1:100">
      <c r="A62393" s="374"/>
      <c r="C62393" s="374"/>
      <c r="CV62393" s="376"/>
    </row>
    <row r="62394" spans="1:100">
      <c r="A62394" s="374"/>
      <c r="C62394" s="374"/>
      <c r="CV62394" s="376"/>
    </row>
    <row r="62395" spans="1:100">
      <c r="A62395" s="374"/>
      <c r="C62395" s="374"/>
      <c r="CV62395" s="376"/>
    </row>
    <row r="62396" spans="1:100">
      <c r="A62396" s="374"/>
      <c r="C62396" s="374"/>
      <c r="CV62396" s="376"/>
    </row>
    <row r="62397" spans="1:100">
      <c r="A62397" s="374"/>
      <c r="C62397" s="374"/>
      <c r="CV62397" s="376"/>
    </row>
    <row r="62398" spans="1:100">
      <c r="A62398" s="374"/>
      <c r="C62398" s="374"/>
      <c r="CV62398" s="376"/>
    </row>
    <row r="62399" spans="1:100">
      <c r="A62399" s="374"/>
      <c r="C62399" s="374"/>
      <c r="CV62399" s="376"/>
    </row>
    <row r="62400" spans="1:100">
      <c r="A62400" s="374"/>
      <c r="C62400" s="374"/>
      <c r="CV62400" s="376"/>
    </row>
    <row r="62401" spans="1:100">
      <c r="A62401" s="374"/>
      <c r="C62401" s="374"/>
      <c r="CV62401" s="376"/>
    </row>
    <row r="62402" spans="1:100">
      <c r="A62402" s="374"/>
      <c r="C62402" s="374"/>
      <c r="CV62402" s="376"/>
    </row>
    <row r="62403" spans="1:100">
      <c r="A62403" s="374"/>
      <c r="C62403" s="374"/>
      <c r="CV62403" s="376"/>
    </row>
    <row r="62404" spans="1:100">
      <c r="A62404" s="374"/>
      <c r="C62404" s="374"/>
      <c r="CV62404" s="376"/>
    </row>
    <row r="62405" spans="1:100">
      <c r="A62405" s="374"/>
      <c r="C62405" s="374"/>
      <c r="CV62405" s="376"/>
    </row>
    <row r="62406" spans="1:100">
      <c r="A62406" s="374"/>
      <c r="C62406" s="374"/>
      <c r="CV62406" s="376"/>
    </row>
    <row r="62407" spans="1:100">
      <c r="A62407" s="374"/>
      <c r="C62407" s="374"/>
      <c r="CV62407" s="376"/>
    </row>
    <row r="62408" spans="1:100">
      <c r="A62408" s="374"/>
      <c r="C62408" s="374"/>
      <c r="CV62408" s="376"/>
    </row>
    <row r="62409" spans="1:100">
      <c r="A62409" s="374"/>
      <c r="C62409" s="374"/>
      <c r="CV62409" s="376"/>
    </row>
    <row r="62410" spans="1:100">
      <c r="A62410" s="374"/>
      <c r="C62410" s="374"/>
      <c r="CV62410" s="376"/>
    </row>
    <row r="62411" spans="1:100">
      <c r="A62411" s="374"/>
      <c r="C62411" s="374"/>
      <c r="CV62411" s="376"/>
    </row>
    <row r="62412" spans="1:100">
      <c r="A62412" s="374"/>
      <c r="C62412" s="374"/>
      <c r="CV62412" s="376"/>
    </row>
    <row r="62413" spans="1:100">
      <c r="A62413" s="374"/>
      <c r="C62413" s="374"/>
      <c r="CV62413" s="376"/>
    </row>
    <row r="62414" spans="1:100">
      <c r="A62414" s="374"/>
      <c r="C62414" s="374"/>
      <c r="CV62414" s="376"/>
    </row>
    <row r="62415" spans="1:100">
      <c r="A62415" s="374"/>
      <c r="C62415" s="374"/>
      <c r="CV62415" s="376"/>
    </row>
    <row r="62416" spans="1:100">
      <c r="A62416" s="374"/>
      <c r="C62416" s="374"/>
      <c r="CV62416" s="376"/>
    </row>
    <row r="62417" spans="1:100">
      <c r="A62417" s="374"/>
      <c r="C62417" s="374"/>
      <c r="CV62417" s="376"/>
    </row>
    <row r="62418" spans="1:100">
      <c r="A62418" s="374"/>
      <c r="C62418" s="374"/>
      <c r="CV62418" s="376"/>
    </row>
    <row r="62419" spans="1:100">
      <c r="A62419" s="374"/>
      <c r="C62419" s="374"/>
      <c r="CV62419" s="376"/>
    </row>
    <row r="62420" spans="1:100">
      <c r="A62420" s="374"/>
      <c r="C62420" s="374"/>
      <c r="CV62420" s="376"/>
    </row>
    <row r="62421" spans="1:100">
      <c r="A62421" s="374"/>
      <c r="C62421" s="374"/>
      <c r="CV62421" s="376"/>
    </row>
    <row r="62422" spans="1:100">
      <c r="A62422" s="374"/>
      <c r="C62422" s="374"/>
      <c r="CV62422" s="376"/>
    </row>
    <row r="62423" spans="1:100">
      <c r="A62423" s="374"/>
      <c r="C62423" s="374"/>
      <c r="CV62423" s="376"/>
    </row>
    <row r="62424" spans="1:100">
      <c r="A62424" s="374"/>
      <c r="C62424" s="374"/>
      <c r="CV62424" s="376"/>
    </row>
    <row r="62425" spans="1:100">
      <c r="A62425" s="374"/>
      <c r="C62425" s="374"/>
      <c r="CV62425" s="376"/>
    </row>
    <row r="62426" spans="1:100">
      <c r="A62426" s="374"/>
      <c r="C62426" s="374"/>
      <c r="CV62426" s="376"/>
    </row>
    <row r="62427" spans="1:100">
      <c r="A62427" s="374"/>
      <c r="C62427" s="374"/>
      <c r="CV62427" s="376"/>
    </row>
    <row r="62428" spans="1:100">
      <c r="A62428" s="374"/>
      <c r="C62428" s="374"/>
      <c r="CV62428" s="376"/>
    </row>
    <row r="62429" spans="1:100">
      <c r="A62429" s="374"/>
      <c r="C62429" s="374"/>
      <c r="CV62429" s="376"/>
    </row>
    <row r="62430" spans="1:100">
      <c r="A62430" s="374"/>
      <c r="C62430" s="374"/>
      <c r="CV62430" s="376"/>
    </row>
    <row r="62431" spans="1:100">
      <c r="A62431" s="374"/>
      <c r="C62431" s="374"/>
      <c r="CV62431" s="376"/>
    </row>
    <row r="62432" spans="1:100">
      <c r="A62432" s="374"/>
      <c r="C62432" s="374"/>
      <c r="CV62432" s="376"/>
    </row>
    <row r="62433" spans="1:100">
      <c r="A62433" s="374"/>
      <c r="C62433" s="374"/>
      <c r="CV62433" s="376"/>
    </row>
    <row r="62434" spans="1:100">
      <c r="A62434" s="374"/>
      <c r="C62434" s="374"/>
      <c r="CV62434" s="376"/>
    </row>
    <row r="62435" spans="1:100">
      <c r="A62435" s="374"/>
      <c r="C62435" s="374"/>
      <c r="CV62435" s="376"/>
    </row>
    <row r="62436" spans="1:100">
      <c r="A62436" s="374"/>
      <c r="C62436" s="374"/>
      <c r="CV62436" s="376"/>
    </row>
    <row r="62437" spans="1:100">
      <c r="A62437" s="374"/>
      <c r="C62437" s="374"/>
      <c r="CV62437" s="376"/>
    </row>
    <row r="62438" spans="1:100">
      <c r="A62438" s="374"/>
      <c r="C62438" s="374"/>
      <c r="CV62438" s="376"/>
    </row>
    <row r="62439" spans="1:100">
      <c r="A62439" s="374"/>
      <c r="C62439" s="374"/>
      <c r="CV62439" s="376"/>
    </row>
    <row r="62440" spans="1:100">
      <c r="A62440" s="374"/>
      <c r="C62440" s="374"/>
      <c r="CV62440" s="376"/>
    </row>
    <row r="62441" spans="1:100">
      <c r="A62441" s="374"/>
      <c r="C62441" s="374"/>
      <c r="CV62441" s="376"/>
    </row>
    <row r="62442" spans="1:100">
      <c r="A62442" s="374"/>
      <c r="C62442" s="374"/>
      <c r="CV62442" s="376"/>
    </row>
    <row r="62443" spans="1:100">
      <c r="A62443" s="374"/>
      <c r="C62443" s="374"/>
      <c r="CV62443" s="376"/>
    </row>
    <row r="62444" spans="1:100">
      <c r="A62444" s="374"/>
      <c r="C62444" s="374"/>
      <c r="CV62444" s="376"/>
    </row>
    <row r="62445" spans="1:100">
      <c r="A62445" s="374"/>
      <c r="C62445" s="374"/>
      <c r="CV62445" s="376"/>
    </row>
    <row r="62446" spans="1:100">
      <c r="A62446" s="374"/>
      <c r="C62446" s="374"/>
      <c r="CV62446" s="376"/>
    </row>
    <row r="62447" spans="1:100">
      <c r="A62447" s="374"/>
      <c r="C62447" s="374"/>
      <c r="CV62447" s="376"/>
    </row>
    <row r="62448" spans="1:100">
      <c r="A62448" s="374"/>
      <c r="C62448" s="374"/>
      <c r="CV62448" s="376"/>
    </row>
    <row r="62449" spans="1:100">
      <c r="A62449" s="374"/>
      <c r="C62449" s="374"/>
      <c r="CV62449" s="376"/>
    </row>
    <row r="62450" spans="1:100">
      <c r="A62450" s="374"/>
      <c r="C62450" s="374"/>
      <c r="CV62450" s="376"/>
    </row>
    <row r="62451" spans="1:100">
      <c r="A62451" s="374"/>
      <c r="C62451" s="374"/>
      <c r="CV62451" s="376"/>
    </row>
    <row r="62452" spans="1:100">
      <c r="A62452" s="374"/>
      <c r="C62452" s="374"/>
      <c r="CV62452" s="376"/>
    </row>
    <row r="62453" spans="1:100">
      <c r="A62453" s="374"/>
      <c r="C62453" s="374"/>
      <c r="CV62453" s="376"/>
    </row>
    <row r="62454" spans="1:100">
      <c r="A62454" s="374"/>
      <c r="C62454" s="374"/>
      <c r="CV62454" s="376"/>
    </row>
    <row r="62455" spans="1:100">
      <c r="A62455" s="374"/>
      <c r="C62455" s="374"/>
      <c r="CV62455" s="376"/>
    </row>
    <row r="62456" spans="1:100">
      <c r="A62456" s="374"/>
      <c r="C62456" s="374"/>
      <c r="CV62456" s="376"/>
    </row>
    <row r="62457" spans="1:100">
      <c r="A62457" s="374"/>
      <c r="C62457" s="374"/>
      <c r="CV62457" s="376"/>
    </row>
    <row r="62458" spans="1:100">
      <c r="A62458" s="374"/>
      <c r="C62458" s="374"/>
      <c r="CV62458" s="376"/>
    </row>
    <row r="62459" spans="1:100">
      <c r="A62459" s="374"/>
      <c r="C62459" s="374"/>
      <c r="CV62459" s="376"/>
    </row>
    <row r="62460" spans="1:100">
      <c r="A62460" s="374"/>
      <c r="C62460" s="374"/>
      <c r="CV62460" s="376"/>
    </row>
    <row r="62461" spans="1:100">
      <c r="A62461" s="374"/>
      <c r="C62461" s="374"/>
      <c r="CV62461" s="376"/>
    </row>
    <row r="62462" spans="1:100">
      <c r="A62462" s="374"/>
      <c r="C62462" s="374"/>
      <c r="CV62462" s="376"/>
    </row>
    <row r="62463" spans="1:100">
      <c r="A62463" s="374"/>
      <c r="C62463" s="374"/>
      <c r="CV62463" s="376"/>
    </row>
    <row r="62464" spans="1:100">
      <c r="A62464" s="374"/>
      <c r="C62464" s="374"/>
      <c r="CV62464" s="376"/>
    </row>
    <row r="62465" spans="1:100">
      <c r="A62465" s="374"/>
      <c r="C62465" s="374"/>
      <c r="CV62465" s="376"/>
    </row>
    <row r="62466" spans="1:100">
      <c r="A62466" s="374"/>
      <c r="C62466" s="374"/>
      <c r="CV62466" s="376"/>
    </row>
    <row r="62467" spans="1:100">
      <c r="A62467" s="374"/>
      <c r="C62467" s="374"/>
      <c r="CV62467" s="376"/>
    </row>
    <row r="62468" spans="1:100">
      <c r="A62468" s="374"/>
      <c r="C62468" s="374"/>
      <c r="CV62468" s="376"/>
    </row>
    <row r="62469" spans="1:100">
      <c r="A62469" s="374"/>
      <c r="C62469" s="374"/>
      <c r="CV62469" s="376"/>
    </row>
    <row r="62470" spans="1:100">
      <c r="A62470" s="374"/>
      <c r="C62470" s="374"/>
      <c r="CV62470" s="376"/>
    </row>
    <row r="62471" spans="1:100">
      <c r="A62471" s="374"/>
      <c r="C62471" s="374"/>
      <c r="CV62471" s="376"/>
    </row>
    <row r="62472" spans="1:100">
      <c r="A62472" s="374"/>
      <c r="C62472" s="374"/>
      <c r="CV62472" s="376"/>
    </row>
    <row r="62473" spans="1:100">
      <c r="A62473" s="374"/>
      <c r="C62473" s="374"/>
      <c r="CV62473" s="376"/>
    </row>
    <row r="62474" spans="1:100">
      <c r="A62474" s="374"/>
      <c r="C62474" s="374"/>
      <c r="CV62474" s="376"/>
    </row>
    <row r="62475" spans="1:100">
      <c r="A62475" s="374"/>
      <c r="C62475" s="374"/>
      <c r="CV62475" s="376"/>
    </row>
    <row r="62476" spans="1:100">
      <c r="A62476" s="374"/>
      <c r="C62476" s="374"/>
      <c r="CV62476" s="376"/>
    </row>
    <row r="62477" spans="1:100">
      <c r="A62477" s="374"/>
      <c r="C62477" s="374"/>
      <c r="CV62477" s="376"/>
    </row>
    <row r="62478" spans="1:100">
      <c r="A62478" s="374"/>
      <c r="C62478" s="374"/>
      <c r="CV62478" s="376"/>
    </row>
    <row r="62479" spans="1:100">
      <c r="A62479" s="374"/>
      <c r="C62479" s="374"/>
      <c r="CV62479" s="376"/>
    </row>
    <row r="62480" spans="1:100">
      <c r="A62480" s="374"/>
      <c r="C62480" s="374"/>
      <c r="CV62480" s="376"/>
    </row>
    <row r="62481" spans="1:100">
      <c r="A62481" s="374"/>
      <c r="C62481" s="374"/>
      <c r="CV62481" s="376"/>
    </row>
    <row r="62482" spans="1:100">
      <c r="A62482" s="374"/>
      <c r="C62482" s="374"/>
      <c r="CV62482" s="376"/>
    </row>
    <row r="62483" spans="1:100">
      <c r="A62483" s="374"/>
      <c r="C62483" s="374"/>
      <c r="CV62483" s="376"/>
    </row>
    <row r="62484" spans="1:100">
      <c r="A62484" s="374"/>
      <c r="C62484" s="374"/>
      <c r="CV62484" s="376"/>
    </row>
    <row r="62485" spans="1:100">
      <c r="A62485" s="374"/>
      <c r="C62485" s="374"/>
      <c r="CV62485" s="376"/>
    </row>
    <row r="62486" spans="1:100">
      <c r="A62486" s="374"/>
      <c r="C62486" s="374"/>
      <c r="CV62486" s="376"/>
    </row>
    <row r="62487" spans="1:100">
      <c r="A62487" s="374"/>
      <c r="C62487" s="374"/>
      <c r="CV62487" s="376"/>
    </row>
    <row r="62488" spans="1:100">
      <c r="A62488" s="374"/>
      <c r="C62488" s="374"/>
      <c r="CV62488" s="376"/>
    </row>
    <row r="62489" spans="1:100">
      <c r="A62489" s="374"/>
      <c r="C62489" s="374"/>
      <c r="CV62489" s="376"/>
    </row>
    <row r="62490" spans="1:100">
      <c r="A62490" s="374"/>
      <c r="C62490" s="374"/>
      <c r="CV62490" s="376"/>
    </row>
    <row r="62491" spans="1:100">
      <c r="A62491" s="374"/>
      <c r="C62491" s="374"/>
      <c r="CV62491" s="376"/>
    </row>
    <row r="62492" spans="1:100">
      <c r="A62492" s="374"/>
      <c r="C62492" s="374"/>
      <c r="CV62492" s="376"/>
    </row>
    <row r="62493" spans="1:100">
      <c r="A62493" s="374"/>
      <c r="C62493" s="374"/>
      <c r="CV62493" s="376"/>
    </row>
    <row r="62494" spans="1:100">
      <c r="A62494" s="374"/>
      <c r="C62494" s="374"/>
      <c r="CV62494" s="376"/>
    </row>
    <row r="62495" spans="1:100">
      <c r="A62495" s="374"/>
      <c r="C62495" s="374"/>
      <c r="CV62495" s="376"/>
    </row>
    <row r="62496" spans="1:100">
      <c r="A62496" s="374"/>
      <c r="C62496" s="374"/>
      <c r="CV62496" s="376"/>
    </row>
    <row r="62497" spans="1:100">
      <c r="A62497" s="374"/>
      <c r="C62497" s="374"/>
      <c r="CV62497" s="376"/>
    </row>
    <row r="62498" spans="1:100">
      <c r="A62498" s="374"/>
      <c r="C62498" s="374"/>
      <c r="CV62498" s="376"/>
    </row>
    <row r="62499" spans="1:100">
      <c r="A62499" s="374"/>
      <c r="C62499" s="374"/>
      <c r="CV62499" s="376"/>
    </row>
    <row r="62500" spans="1:100">
      <c r="A62500" s="374"/>
      <c r="C62500" s="374"/>
      <c r="CV62500" s="376"/>
    </row>
    <row r="62501" spans="1:100">
      <c r="A62501" s="374"/>
      <c r="C62501" s="374"/>
      <c r="CV62501" s="376"/>
    </row>
    <row r="62502" spans="1:100">
      <c r="A62502" s="374"/>
      <c r="C62502" s="374"/>
      <c r="CV62502" s="376"/>
    </row>
    <row r="62503" spans="1:100">
      <c r="A62503" s="374"/>
      <c r="C62503" s="374"/>
      <c r="CV62503" s="376"/>
    </row>
    <row r="62504" spans="1:100">
      <c r="A62504" s="374"/>
      <c r="C62504" s="374"/>
      <c r="CV62504" s="376"/>
    </row>
    <row r="62505" spans="1:100">
      <c r="A62505" s="374"/>
      <c r="C62505" s="374"/>
      <c r="CV62505" s="376"/>
    </row>
    <row r="62506" spans="1:100">
      <c r="A62506" s="374"/>
      <c r="C62506" s="374"/>
      <c r="CV62506" s="376"/>
    </row>
    <row r="62507" spans="1:100">
      <c r="A62507" s="374"/>
      <c r="C62507" s="374"/>
      <c r="CV62507" s="376"/>
    </row>
    <row r="62508" spans="1:100">
      <c r="A62508" s="374"/>
      <c r="C62508" s="374"/>
      <c r="CV62508" s="376"/>
    </row>
    <row r="62509" spans="1:100">
      <c r="A62509" s="374"/>
      <c r="C62509" s="374"/>
      <c r="CV62509" s="376"/>
    </row>
    <row r="62510" spans="1:100">
      <c r="A62510" s="374"/>
      <c r="C62510" s="374"/>
      <c r="CV62510" s="376"/>
    </row>
    <row r="62511" spans="1:100">
      <c r="A62511" s="374"/>
      <c r="C62511" s="374"/>
      <c r="CV62511" s="376"/>
    </row>
    <row r="62512" spans="1:100">
      <c r="A62512" s="374"/>
      <c r="C62512" s="374"/>
      <c r="CV62512" s="376"/>
    </row>
    <row r="62513" spans="1:100">
      <c r="A62513" s="374"/>
      <c r="C62513" s="374"/>
      <c r="CV62513" s="376"/>
    </row>
    <row r="62514" spans="1:100">
      <c r="A62514" s="374"/>
      <c r="C62514" s="374"/>
      <c r="CV62514" s="376"/>
    </row>
    <row r="62515" spans="1:100">
      <c r="A62515" s="374"/>
      <c r="C62515" s="374"/>
      <c r="CV62515" s="376"/>
    </row>
    <row r="62516" spans="1:100">
      <c r="A62516" s="374"/>
      <c r="C62516" s="374"/>
      <c r="CV62516" s="376"/>
    </row>
    <row r="62517" spans="1:100">
      <c r="A62517" s="374"/>
      <c r="C62517" s="374"/>
      <c r="CV62517" s="376"/>
    </row>
    <row r="62518" spans="1:100">
      <c r="A62518" s="374"/>
      <c r="C62518" s="374"/>
      <c r="CV62518" s="376"/>
    </row>
    <row r="62519" spans="1:100">
      <c r="A62519" s="374"/>
      <c r="C62519" s="374"/>
      <c r="CV62519" s="376"/>
    </row>
    <row r="62520" spans="1:100">
      <c r="A62520" s="374"/>
      <c r="C62520" s="374"/>
      <c r="CV62520" s="376"/>
    </row>
    <row r="62521" spans="1:100">
      <c r="A62521" s="374"/>
      <c r="C62521" s="374"/>
      <c r="CV62521" s="376"/>
    </row>
    <row r="62522" spans="1:100">
      <c r="A62522" s="374"/>
      <c r="C62522" s="374"/>
      <c r="CV62522" s="376"/>
    </row>
    <row r="62523" spans="1:100">
      <c r="A62523" s="374"/>
      <c r="C62523" s="374"/>
      <c r="CV62523" s="376"/>
    </row>
    <row r="62524" spans="1:100">
      <c r="A62524" s="374"/>
      <c r="C62524" s="374"/>
      <c r="CV62524" s="376"/>
    </row>
    <row r="62525" spans="1:100">
      <c r="A62525" s="374"/>
      <c r="C62525" s="374"/>
      <c r="CV62525" s="376"/>
    </row>
    <row r="62526" spans="1:100">
      <c r="A62526" s="374"/>
      <c r="C62526" s="374"/>
      <c r="CV62526" s="376"/>
    </row>
    <row r="62527" spans="1:100">
      <c r="A62527" s="374"/>
      <c r="C62527" s="374"/>
      <c r="CV62527" s="376"/>
    </row>
    <row r="62528" spans="1:100">
      <c r="A62528" s="374"/>
      <c r="C62528" s="374"/>
      <c r="CV62528" s="376"/>
    </row>
    <row r="62529" spans="1:100">
      <c r="A62529" s="374"/>
      <c r="C62529" s="374"/>
      <c r="CV62529" s="376"/>
    </row>
    <row r="62530" spans="1:100">
      <c r="A62530" s="374"/>
      <c r="C62530" s="374"/>
      <c r="CV62530" s="376"/>
    </row>
    <row r="62531" spans="1:100">
      <c r="A62531" s="374"/>
      <c r="C62531" s="374"/>
      <c r="CV62531" s="376"/>
    </row>
    <row r="62532" spans="1:100">
      <c r="A62532" s="374"/>
      <c r="C62532" s="374"/>
      <c r="CV62532" s="376"/>
    </row>
    <row r="62533" spans="1:100">
      <c r="A62533" s="374"/>
      <c r="C62533" s="374"/>
      <c r="CV62533" s="376"/>
    </row>
    <row r="62534" spans="1:100">
      <c r="A62534" s="374"/>
      <c r="C62534" s="374"/>
      <c r="CV62534" s="376"/>
    </row>
    <row r="62535" spans="1:100">
      <c r="A62535" s="374"/>
      <c r="C62535" s="374"/>
      <c r="CV62535" s="376"/>
    </row>
    <row r="62536" spans="1:100">
      <c r="A62536" s="374"/>
      <c r="C62536" s="374"/>
      <c r="CV62536" s="376"/>
    </row>
    <row r="62537" spans="1:100">
      <c r="A62537" s="374"/>
      <c r="C62537" s="374"/>
      <c r="CV62537" s="376"/>
    </row>
    <row r="62538" spans="1:100">
      <c r="A62538" s="374"/>
      <c r="C62538" s="374"/>
      <c r="CV62538" s="376"/>
    </row>
    <row r="62539" spans="1:100">
      <c r="A62539" s="374"/>
      <c r="C62539" s="374"/>
      <c r="CV62539" s="376"/>
    </row>
    <row r="62540" spans="1:100">
      <c r="A62540" s="374"/>
      <c r="C62540" s="374"/>
      <c r="CV62540" s="376"/>
    </row>
    <row r="62541" spans="1:100">
      <c r="A62541" s="374"/>
      <c r="C62541" s="374"/>
      <c r="CV62541" s="376"/>
    </row>
    <row r="62542" spans="1:100">
      <c r="A62542" s="374"/>
      <c r="C62542" s="374"/>
      <c r="CV62542" s="376"/>
    </row>
    <row r="62543" spans="1:100">
      <c r="A62543" s="374"/>
      <c r="C62543" s="374"/>
      <c r="CV62543" s="376"/>
    </row>
    <row r="62544" spans="1:100">
      <c r="A62544" s="374"/>
      <c r="C62544" s="374"/>
      <c r="CV62544" s="376"/>
    </row>
    <row r="62545" spans="1:100">
      <c r="A62545" s="374"/>
      <c r="C62545" s="374"/>
      <c r="CV62545" s="376"/>
    </row>
    <row r="62546" spans="1:100">
      <c r="A62546" s="374"/>
      <c r="C62546" s="374"/>
      <c r="CV62546" s="376"/>
    </row>
    <row r="62547" spans="1:100">
      <c r="A62547" s="374"/>
      <c r="C62547" s="374"/>
      <c r="CV62547" s="376"/>
    </row>
    <row r="62548" spans="1:100">
      <c r="A62548" s="374"/>
      <c r="C62548" s="374"/>
      <c r="CV62548" s="376"/>
    </row>
    <row r="62549" spans="1:100">
      <c r="A62549" s="374"/>
      <c r="C62549" s="374"/>
      <c r="CV62549" s="376"/>
    </row>
    <row r="62550" spans="1:100">
      <c r="A62550" s="374"/>
      <c r="C62550" s="374"/>
      <c r="CV62550" s="376"/>
    </row>
    <row r="62551" spans="1:100">
      <c r="A62551" s="374"/>
      <c r="C62551" s="374"/>
      <c r="CV62551" s="376"/>
    </row>
    <row r="62552" spans="1:100">
      <c r="A62552" s="374"/>
      <c r="C62552" s="374"/>
      <c r="CV62552" s="376"/>
    </row>
    <row r="62553" spans="1:100">
      <c r="A62553" s="374"/>
      <c r="C62553" s="374"/>
      <c r="CV62553" s="376"/>
    </row>
    <row r="62554" spans="1:100">
      <c r="A62554" s="374"/>
      <c r="C62554" s="374"/>
      <c r="CV62554" s="376"/>
    </row>
    <row r="62555" spans="1:100">
      <c r="A62555" s="374"/>
      <c r="C62555" s="374"/>
      <c r="CV62555" s="376"/>
    </row>
    <row r="62556" spans="1:100">
      <c r="A62556" s="374"/>
      <c r="C62556" s="374"/>
      <c r="CV62556" s="376"/>
    </row>
    <row r="62557" spans="1:100">
      <c r="A62557" s="374"/>
      <c r="C62557" s="374"/>
      <c r="CV62557" s="376"/>
    </row>
    <row r="62558" spans="1:100">
      <c r="A62558" s="374"/>
      <c r="C62558" s="374"/>
      <c r="CV62558" s="376"/>
    </row>
    <row r="62559" spans="1:100">
      <c r="A62559" s="374"/>
      <c r="C62559" s="374"/>
      <c r="CV62559" s="376"/>
    </row>
    <row r="62560" spans="1:100">
      <c r="A62560" s="374"/>
      <c r="C62560" s="374"/>
      <c r="CV62560" s="376"/>
    </row>
    <row r="62561" spans="1:100">
      <c r="A62561" s="374"/>
      <c r="C62561" s="374"/>
      <c r="CV62561" s="376"/>
    </row>
    <row r="62562" spans="1:100">
      <c r="A62562" s="374"/>
      <c r="C62562" s="374"/>
      <c r="CV62562" s="376"/>
    </row>
    <row r="62563" spans="1:100">
      <c r="A62563" s="374"/>
      <c r="C62563" s="374"/>
      <c r="CV62563" s="376"/>
    </row>
    <row r="62564" spans="1:100">
      <c r="A62564" s="374"/>
      <c r="C62564" s="374"/>
      <c r="CV62564" s="376"/>
    </row>
    <row r="62565" spans="1:100">
      <c r="A62565" s="374"/>
      <c r="C62565" s="374"/>
      <c r="CV62565" s="376"/>
    </row>
    <row r="62566" spans="1:100">
      <c r="A62566" s="374"/>
      <c r="C62566" s="374"/>
      <c r="CV62566" s="376"/>
    </row>
    <row r="62567" spans="1:100">
      <c r="A62567" s="374"/>
      <c r="C62567" s="374"/>
      <c r="CV62567" s="376"/>
    </row>
    <row r="62568" spans="1:100">
      <c r="A62568" s="374"/>
      <c r="C62568" s="374"/>
      <c r="CV62568" s="376"/>
    </row>
    <row r="62569" spans="1:100">
      <c r="A62569" s="374"/>
      <c r="C62569" s="374"/>
      <c r="CV62569" s="376"/>
    </row>
    <row r="62570" spans="1:100">
      <c r="A62570" s="374"/>
      <c r="C62570" s="374"/>
      <c r="CV62570" s="376"/>
    </row>
    <row r="62571" spans="1:100">
      <c r="A62571" s="374"/>
      <c r="C62571" s="374"/>
      <c r="CV62571" s="376"/>
    </row>
    <row r="62572" spans="1:100">
      <c r="A62572" s="374"/>
      <c r="C62572" s="374"/>
      <c r="CV62572" s="376"/>
    </row>
    <row r="62573" spans="1:100">
      <c r="A62573" s="374"/>
      <c r="C62573" s="374"/>
      <c r="CV62573" s="376"/>
    </row>
    <row r="62574" spans="1:100">
      <c r="A62574" s="374"/>
      <c r="C62574" s="374"/>
      <c r="CV62574" s="376"/>
    </row>
    <row r="62575" spans="1:100">
      <c r="A62575" s="374"/>
      <c r="C62575" s="374"/>
      <c r="CV62575" s="376"/>
    </row>
    <row r="62576" spans="1:100">
      <c r="A62576" s="374"/>
      <c r="C62576" s="374"/>
      <c r="CV62576" s="376"/>
    </row>
    <row r="62577" spans="1:100">
      <c r="A62577" s="374"/>
      <c r="C62577" s="374"/>
      <c r="CV62577" s="376"/>
    </row>
    <row r="62578" spans="1:100">
      <c r="A62578" s="374"/>
      <c r="C62578" s="374"/>
      <c r="CV62578" s="376"/>
    </row>
    <row r="62579" spans="1:100">
      <c r="A62579" s="374"/>
      <c r="C62579" s="374"/>
      <c r="CV62579" s="376"/>
    </row>
    <row r="62580" spans="1:100">
      <c r="A62580" s="374"/>
      <c r="C62580" s="374"/>
      <c r="CV62580" s="376"/>
    </row>
    <row r="62581" spans="1:100">
      <c r="A62581" s="374"/>
      <c r="C62581" s="374"/>
      <c r="CV62581" s="376"/>
    </row>
    <row r="62582" spans="1:100">
      <c r="A62582" s="374"/>
      <c r="C62582" s="374"/>
      <c r="CV62582" s="376"/>
    </row>
    <row r="62583" spans="1:100">
      <c r="A62583" s="374"/>
      <c r="C62583" s="374"/>
      <c r="CV62583" s="376"/>
    </row>
    <row r="62584" spans="1:100">
      <c r="A62584" s="374"/>
      <c r="C62584" s="374"/>
      <c r="CV62584" s="376"/>
    </row>
    <row r="62585" spans="1:100">
      <c r="A62585" s="374"/>
      <c r="C62585" s="374"/>
      <c r="CV62585" s="376"/>
    </row>
    <row r="62586" spans="1:100">
      <c r="A62586" s="374"/>
      <c r="C62586" s="374"/>
      <c r="CV62586" s="376"/>
    </row>
    <row r="62587" spans="1:100">
      <c r="A62587" s="374"/>
      <c r="C62587" s="374"/>
      <c r="CV62587" s="376"/>
    </row>
    <row r="62588" spans="1:100">
      <c r="A62588" s="374"/>
      <c r="C62588" s="374"/>
      <c r="CV62588" s="376"/>
    </row>
    <row r="62589" spans="1:100">
      <c r="A62589" s="374"/>
      <c r="C62589" s="374"/>
      <c r="CV62589" s="376"/>
    </row>
    <row r="62590" spans="1:100">
      <c r="A62590" s="374"/>
      <c r="C62590" s="374"/>
      <c r="CV62590" s="376"/>
    </row>
    <row r="62591" spans="1:100">
      <c r="A62591" s="374"/>
      <c r="C62591" s="374"/>
      <c r="CV62591" s="376"/>
    </row>
    <row r="62592" spans="1:100">
      <c r="A62592" s="374"/>
      <c r="C62592" s="374"/>
      <c r="CV62592" s="376"/>
    </row>
    <row r="62593" spans="1:100">
      <c r="A62593" s="374"/>
      <c r="C62593" s="374"/>
      <c r="CV62593" s="376"/>
    </row>
    <row r="62594" spans="1:100">
      <c r="A62594" s="374"/>
      <c r="C62594" s="374"/>
      <c r="CV62594" s="376"/>
    </row>
    <row r="62595" spans="1:100">
      <c r="A62595" s="374"/>
      <c r="C62595" s="374"/>
      <c r="CV62595" s="376"/>
    </row>
    <row r="62596" spans="1:100">
      <c r="A62596" s="374"/>
      <c r="C62596" s="374"/>
      <c r="CV62596" s="376"/>
    </row>
    <row r="62597" spans="1:100">
      <c r="A62597" s="374"/>
      <c r="C62597" s="374"/>
      <c r="CV62597" s="376"/>
    </row>
    <row r="62598" spans="1:100">
      <c r="A62598" s="374"/>
      <c r="C62598" s="374"/>
      <c r="CV62598" s="376"/>
    </row>
    <row r="62599" spans="1:100">
      <c r="A62599" s="374"/>
      <c r="C62599" s="374"/>
      <c r="CV62599" s="376"/>
    </row>
    <row r="62600" spans="1:100">
      <c r="A62600" s="374"/>
      <c r="C62600" s="374"/>
      <c r="CV62600" s="376"/>
    </row>
    <row r="62601" spans="1:100">
      <c r="A62601" s="374"/>
      <c r="C62601" s="374"/>
      <c r="CV62601" s="376"/>
    </row>
    <row r="62602" spans="1:100">
      <c r="A62602" s="374"/>
      <c r="C62602" s="374"/>
      <c r="CV62602" s="376"/>
    </row>
    <row r="62603" spans="1:100">
      <c r="A62603" s="374"/>
      <c r="C62603" s="374"/>
      <c r="CV62603" s="376"/>
    </row>
    <row r="62604" spans="1:100">
      <c r="A62604" s="374"/>
      <c r="C62604" s="374"/>
      <c r="CV62604" s="376"/>
    </row>
    <row r="62605" spans="1:100">
      <c r="A62605" s="374"/>
      <c r="C62605" s="374"/>
      <c r="CV62605" s="376"/>
    </row>
    <row r="62606" spans="1:100">
      <c r="A62606" s="374"/>
      <c r="C62606" s="374"/>
      <c r="CV62606" s="376"/>
    </row>
    <row r="62607" spans="1:100">
      <c r="A62607" s="374"/>
      <c r="C62607" s="374"/>
      <c r="CV62607" s="376"/>
    </row>
    <row r="62608" spans="1:100">
      <c r="A62608" s="374"/>
      <c r="C62608" s="374"/>
      <c r="CV62608" s="376"/>
    </row>
    <row r="62609" spans="1:100">
      <c r="A62609" s="374"/>
      <c r="C62609" s="374"/>
      <c r="CV62609" s="376"/>
    </row>
    <row r="62610" spans="1:100">
      <c r="A62610" s="374"/>
      <c r="C62610" s="374"/>
      <c r="CV62610" s="376"/>
    </row>
    <row r="62611" spans="1:100">
      <c r="A62611" s="374"/>
      <c r="C62611" s="374"/>
      <c r="CV62611" s="376"/>
    </row>
    <row r="62612" spans="1:100">
      <c r="A62612" s="374"/>
      <c r="C62612" s="374"/>
      <c r="CV62612" s="376"/>
    </row>
    <row r="62613" spans="1:100">
      <c r="A62613" s="374"/>
      <c r="C62613" s="374"/>
      <c r="CV62613" s="376"/>
    </row>
    <row r="62614" spans="1:100">
      <c r="A62614" s="374"/>
      <c r="C62614" s="374"/>
      <c r="CV62614" s="376"/>
    </row>
    <row r="62615" spans="1:100">
      <c r="A62615" s="374"/>
      <c r="C62615" s="374"/>
      <c r="CV62615" s="376"/>
    </row>
    <row r="62616" spans="1:100">
      <c r="A62616" s="374"/>
      <c r="C62616" s="374"/>
      <c r="CV62616" s="376"/>
    </row>
    <row r="62617" spans="1:100">
      <c r="A62617" s="374"/>
      <c r="C62617" s="374"/>
      <c r="CV62617" s="376"/>
    </row>
    <row r="62618" spans="1:100">
      <c r="A62618" s="374"/>
      <c r="C62618" s="374"/>
      <c r="CV62618" s="376"/>
    </row>
    <row r="62619" spans="1:100">
      <c r="A62619" s="374"/>
      <c r="C62619" s="374"/>
      <c r="CV62619" s="376"/>
    </row>
    <row r="62620" spans="1:100">
      <c r="A62620" s="374"/>
      <c r="C62620" s="374"/>
      <c r="CV62620" s="376"/>
    </row>
    <row r="62621" spans="1:100">
      <c r="A62621" s="374"/>
      <c r="C62621" s="374"/>
      <c r="CV62621" s="376"/>
    </row>
    <row r="62622" spans="1:100">
      <c r="A62622" s="374"/>
      <c r="C62622" s="374"/>
      <c r="CV62622" s="376"/>
    </row>
    <row r="62623" spans="1:100">
      <c r="A62623" s="374"/>
      <c r="C62623" s="374"/>
      <c r="CV62623" s="376"/>
    </row>
    <row r="62624" spans="1:100">
      <c r="A62624" s="374"/>
      <c r="C62624" s="374"/>
      <c r="CV62624" s="376"/>
    </row>
    <row r="62625" spans="1:100">
      <c r="A62625" s="374"/>
      <c r="C62625" s="374"/>
      <c r="CV62625" s="376"/>
    </row>
    <row r="62626" spans="1:100">
      <c r="A62626" s="374"/>
      <c r="C62626" s="374"/>
      <c r="CV62626" s="376"/>
    </row>
    <row r="62627" spans="1:100">
      <c r="A62627" s="374"/>
      <c r="C62627" s="374"/>
      <c r="CV62627" s="376"/>
    </row>
    <row r="62628" spans="1:100">
      <c r="A62628" s="374"/>
      <c r="C62628" s="374"/>
      <c r="CV62628" s="376"/>
    </row>
    <row r="62629" spans="1:100">
      <c r="A62629" s="374"/>
      <c r="C62629" s="374"/>
      <c r="CV62629" s="376"/>
    </row>
    <row r="62630" spans="1:100">
      <c r="A62630" s="374"/>
      <c r="C62630" s="374"/>
      <c r="CV62630" s="376"/>
    </row>
    <row r="62631" spans="1:100">
      <c r="A62631" s="374"/>
      <c r="C62631" s="374"/>
      <c r="CV62631" s="376"/>
    </row>
    <row r="62632" spans="1:100">
      <c r="A62632" s="374"/>
      <c r="C62632" s="374"/>
      <c r="CV62632" s="376"/>
    </row>
    <row r="62633" spans="1:100">
      <c r="A62633" s="374"/>
      <c r="C62633" s="374"/>
      <c r="CV62633" s="376"/>
    </row>
    <row r="62634" spans="1:100">
      <c r="A62634" s="374"/>
      <c r="C62634" s="374"/>
      <c r="CV62634" s="376"/>
    </row>
    <row r="62635" spans="1:100">
      <c r="A62635" s="374"/>
      <c r="C62635" s="374"/>
      <c r="CV62635" s="376"/>
    </row>
    <row r="62636" spans="1:100">
      <c r="A62636" s="374"/>
      <c r="C62636" s="374"/>
      <c r="CV62636" s="376"/>
    </row>
    <row r="62637" spans="1:100">
      <c r="A62637" s="374"/>
      <c r="C62637" s="374"/>
      <c r="CV62637" s="376"/>
    </row>
    <row r="62638" spans="1:100">
      <c r="A62638" s="374"/>
      <c r="C62638" s="374"/>
      <c r="CV62638" s="376"/>
    </row>
    <row r="62639" spans="1:100">
      <c r="A62639" s="374"/>
      <c r="C62639" s="374"/>
      <c r="CV62639" s="376"/>
    </row>
    <row r="62640" spans="1:100">
      <c r="A62640" s="374"/>
      <c r="C62640" s="374"/>
      <c r="CV62640" s="376"/>
    </row>
    <row r="62641" spans="1:100">
      <c r="A62641" s="374"/>
      <c r="C62641" s="374"/>
      <c r="CV62641" s="376"/>
    </row>
    <row r="62642" spans="1:100">
      <c r="A62642" s="374"/>
      <c r="C62642" s="374"/>
      <c r="CV62642" s="376"/>
    </row>
    <row r="62643" spans="1:100">
      <c r="A62643" s="374"/>
      <c r="C62643" s="374"/>
      <c r="CV62643" s="376"/>
    </row>
    <row r="62644" spans="1:100">
      <c r="A62644" s="374"/>
      <c r="C62644" s="374"/>
      <c r="CV62644" s="376"/>
    </row>
    <row r="62645" spans="1:100">
      <c r="A62645" s="374"/>
      <c r="C62645" s="374"/>
      <c r="CV62645" s="376"/>
    </row>
    <row r="62646" spans="1:100">
      <c r="A62646" s="374"/>
      <c r="C62646" s="374"/>
      <c r="CV62646" s="376"/>
    </row>
    <row r="62647" spans="1:100">
      <c r="A62647" s="374"/>
      <c r="C62647" s="374"/>
      <c r="CV62647" s="376"/>
    </row>
    <row r="62648" spans="1:100">
      <c r="A62648" s="374"/>
      <c r="C62648" s="374"/>
      <c r="CV62648" s="376"/>
    </row>
    <row r="62649" spans="1:100">
      <c r="A62649" s="374"/>
      <c r="C62649" s="374"/>
      <c r="CV62649" s="376"/>
    </row>
    <row r="62650" spans="1:100">
      <c r="A62650" s="374"/>
      <c r="C62650" s="374"/>
      <c r="CV62650" s="376"/>
    </row>
    <row r="62651" spans="1:100">
      <c r="A62651" s="374"/>
      <c r="C62651" s="374"/>
      <c r="CV62651" s="376"/>
    </row>
    <row r="62652" spans="1:100">
      <c r="A62652" s="374"/>
      <c r="C62652" s="374"/>
      <c r="CV62652" s="376"/>
    </row>
    <row r="62653" spans="1:100">
      <c r="A62653" s="374"/>
      <c r="C62653" s="374"/>
      <c r="CV62653" s="376"/>
    </row>
    <row r="62654" spans="1:100">
      <c r="A62654" s="374"/>
      <c r="C62654" s="374"/>
      <c r="CV62654" s="376"/>
    </row>
    <row r="62655" spans="1:100">
      <c r="A62655" s="374"/>
      <c r="C62655" s="374"/>
      <c r="CV62655" s="376"/>
    </row>
    <row r="62656" spans="1:100">
      <c r="A62656" s="374"/>
      <c r="C62656" s="374"/>
      <c r="CV62656" s="376"/>
    </row>
    <row r="62657" spans="1:100">
      <c r="A62657" s="374"/>
      <c r="C62657" s="374"/>
      <c r="CV62657" s="376"/>
    </row>
    <row r="62658" spans="1:100">
      <c r="A62658" s="374"/>
      <c r="C62658" s="374"/>
      <c r="CV62658" s="376"/>
    </row>
    <row r="62659" spans="1:100">
      <c r="A62659" s="374"/>
      <c r="C62659" s="374"/>
      <c r="CV62659" s="376"/>
    </row>
    <row r="62660" spans="1:100">
      <c r="A62660" s="374"/>
      <c r="C62660" s="374"/>
      <c r="CV62660" s="376"/>
    </row>
    <row r="62661" spans="1:100">
      <c r="A62661" s="374"/>
      <c r="C62661" s="374"/>
      <c r="CV62661" s="376"/>
    </row>
    <row r="62662" spans="1:100">
      <c r="A62662" s="374"/>
      <c r="C62662" s="374"/>
      <c r="CV62662" s="376"/>
    </row>
    <row r="62663" spans="1:100">
      <c r="A62663" s="374"/>
      <c r="C62663" s="374"/>
      <c r="CV62663" s="376"/>
    </row>
    <row r="62664" spans="1:100">
      <c r="A62664" s="374"/>
      <c r="C62664" s="374"/>
      <c r="CV62664" s="376"/>
    </row>
    <row r="62665" spans="1:100">
      <c r="A62665" s="374"/>
      <c r="C62665" s="374"/>
      <c r="CV62665" s="376"/>
    </row>
    <row r="62666" spans="1:100">
      <c r="A62666" s="374"/>
      <c r="C62666" s="374"/>
      <c r="CV62666" s="376"/>
    </row>
    <row r="62667" spans="1:100">
      <c r="A62667" s="374"/>
      <c r="C62667" s="374"/>
      <c r="CV62667" s="376"/>
    </row>
    <row r="62668" spans="1:100">
      <c r="A62668" s="374"/>
      <c r="C62668" s="374"/>
      <c r="CV62668" s="376"/>
    </row>
    <row r="62669" spans="1:100">
      <c r="A62669" s="374"/>
      <c r="C62669" s="374"/>
      <c r="CV62669" s="376"/>
    </row>
    <row r="62670" spans="1:100">
      <c r="A62670" s="374"/>
      <c r="C62670" s="374"/>
      <c r="CV62670" s="376"/>
    </row>
    <row r="62671" spans="1:100">
      <c r="A62671" s="374"/>
      <c r="C62671" s="374"/>
      <c r="CV62671" s="376"/>
    </row>
    <row r="62672" spans="1:100">
      <c r="A62672" s="374"/>
      <c r="C62672" s="374"/>
      <c r="CV62672" s="376"/>
    </row>
    <row r="62673" spans="1:100">
      <c r="A62673" s="374"/>
      <c r="C62673" s="374"/>
      <c r="CV62673" s="376"/>
    </row>
    <row r="62674" spans="1:100">
      <c r="A62674" s="374"/>
      <c r="C62674" s="374"/>
      <c r="CV62674" s="376"/>
    </row>
    <row r="62675" spans="1:100">
      <c r="A62675" s="374"/>
      <c r="C62675" s="374"/>
      <c r="CV62675" s="376"/>
    </row>
    <row r="62676" spans="1:100">
      <c r="A62676" s="374"/>
      <c r="C62676" s="374"/>
      <c r="CV62676" s="376"/>
    </row>
    <row r="62677" spans="1:100">
      <c r="A62677" s="374"/>
      <c r="C62677" s="374"/>
      <c r="CV62677" s="376"/>
    </row>
    <row r="62678" spans="1:100">
      <c r="A62678" s="374"/>
      <c r="C62678" s="374"/>
      <c r="CV62678" s="376"/>
    </row>
    <row r="62679" spans="1:100">
      <c r="A62679" s="374"/>
      <c r="C62679" s="374"/>
      <c r="CV62679" s="376"/>
    </row>
    <row r="62680" spans="1:100">
      <c r="A62680" s="374"/>
      <c r="C62680" s="374"/>
      <c r="CV62680" s="376"/>
    </row>
    <row r="62681" spans="1:100">
      <c r="A62681" s="374"/>
      <c r="C62681" s="374"/>
      <c r="CV62681" s="376"/>
    </row>
    <row r="62682" spans="1:100">
      <c r="A62682" s="374"/>
      <c r="C62682" s="374"/>
      <c r="CV62682" s="376"/>
    </row>
    <row r="62683" spans="1:100">
      <c r="A62683" s="374"/>
      <c r="C62683" s="374"/>
      <c r="CV62683" s="376"/>
    </row>
    <row r="62684" spans="1:100">
      <c r="A62684" s="374"/>
      <c r="C62684" s="374"/>
      <c r="CV62684" s="376"/>
    </row>
    <row r="62685" spans="1:100">
      <c r="A62685" s="374"/>
      <c r="C62685" s="374"/>
      <c r="CV62685" s="376"/>
    </row>
    <row r="62686" spans="1:100">
      <c r="A62686" s="374"/>
      <c r="C62686" s="374"/>
      <c r="CV62686" s="376"/>
    </row>
    <row r="62687" spans="1:100">
      <c r="A62687" s="374"/>
      <c r="C62687" s="374"/>
      <c r="CV62687" s="376"/>
    </row>
    <row r="62688" spans="1:100">
      <c r="A62688" s="374"/>
      <c r="C62688" s="374"/>
      <c r="CV62688" s="376"/>
    </row>
    <row r="62689" spans="1:100">
      <c r="A62689" s="374"/>
      <c r="C62689" s="374"/>
      <c r="CV62689" s="376"/>
    </row>
    <row r="62690" spans="1:100">
      <c r="A62690" s="374"/>
      <c r="C62690" s="374"/>
      <c r="CV62690" s="376"/>
    </row>
    <row r="62691" spans="1:100">
      <c r="A62691" s="374"/>
      <c r="C62691" s="374"/>
      <c r="CV62691" s="376"/>
    </row>
    <row r="62692" spans="1:100">
      <c r="A62692" s="374"/>
      <c r="C62692" s="374"/>
      <c r="CV62692" s="376"/>
    </row>
    <row r="62693" spans="1:100">
      <c r="A62693" s="374"/>
      <c r="C62693" s="374"/>
      <c r="CV62693" s="376"/>
    </row>
    <row r="62694" spans="1:100">
      <c r="A62694" s="374"/>
      <c r="C62694" s="374"/>
      <c r="CV62694" s="376"/>
    </row>
    <row r="62695" spans="1:100">
      <c r="A62695" s="374"/>
      <c r="C62695" s="374"/>
      <c r="CV62695" s="376"/>
    </row>
    <row r="62696" spans="1:100">
      <c r="A62696" s="374"/>
      <c r="C62696" s="374"/>
      <c r="CV62696" s="376"/>
    </row>
    <row r="62697" spans="1:100">
      <c r="A62697" s="374"/>
      <c r="C62697" s="374"/>
      <c r="CV62697" s="376"/>
    </row>
    <row r="62698" spans="1:100">
      <c r="A62698" s="374"/>
      <c r="C62698" s="374"/>
      <c r="CV62698" s="376"/>
    </row>
    <row r="62699" spans="1:100">
      <c r="A62699" s="374"/>
      <c r="C62699" s="374"/>
      <c r="CV62699" s="376"/>
    </row>
    <row r="62700" spans="1:100">
      <c r="A62700" s="374"/>
      <c r="C62700" s="374"/>
      <c r="CV62700" s="376"/>
    </row>
    <row r="62701" spans="1:100">
      <c r="A62701" s="374"/>
      <c r="C62701" s="374"/>
      <c r="CV62701" s="376"/>
    </row>
    <row r="62702" spans="1:100">
      <c r="A62702" s="374"/>
      <c r="C62702" s="374"/>
      <c r="CV62702" s="376"/>
    </row>
    <row r="62703" spans="1:100">
      <c r="A62703" s="374"/>
      <c r="C62703" s="374"/>
      <c r="CV62703" s="376"/>
    </row>
    <row r="62704" spans="1:100">
      <c r="A62704" s="374"/>
      <c r="C62704" s="374"/>
      <c r="CV62704" s="376"/>
    </row>
    <row r="62705" spans="1:100">
      <c r="A62705" s="374"/>
      <c r="C62705" s="374"/>
      <c r="CV62705" s="376"/>
    </row>
    <row r="62706" spans="1:100">
      <c r="A62706" s="374"/>
      <c r="C62706" s="374"/>
      <c r="CV62706" s="376"/>
    </row>
    <row r="62707" spans="1:100">
      <c r="A62707" s="374"/>
      <c r="C62707" s="374"/>
      <c r="CV62707" s="376"/>
    </row>
    <row r="62708" spans="1:100">
      <c r="A62708" s="374"/>
      <c r="C62708" s="374"/>
      <c r="CV62708" s="376"/>
    </row>
    <row r="62709" spans="1:100">
      <c r="A62709" s="374"/>
      <c r="C62709" s="374"/>
      <c r="CV62709" s="376"/>
    </row>
    <row r="62710" spans="1:100">
      <c r="A62710" s="374"/>
      <c r="C62710" s="374"/>
      <c r="CV62710" s="376"/>
    </row>
    <row r="62711" spans="1:100">
      <c r="A62711" s="374"/>
      <c r="C62711" s="374"/>
      <c r="CV62711" s="376"/>
    </row>
    <row r="62712" spans="1:100">
      <c r="A62712" s="374"/>
      <c r="C62712" s="374"/>
      <c r="CV62712" s="376"/>
    </row>
    <row r="62713" spans="1:100">
      <c r="A62713" s="374"/>
      <c r="C62713" s="374"/>
      <c r="CV62713" s="376"/>
    </row>
    <row r="62714" spans="1:100">
      <c r="A62714" s="374"/>
      <c r="C62714" s="374"/>
      <c r="CV62714" s="376"/>
    </row>
    <row r="62715" spans="1:100">
      <c r="A62715" s="374"/>
      <c r="C62715" s="374"/>
      <c r="CV62715" s="376"/>
    </row>
    <row r="62716" spans="1:100">
      <c r="A62716" s="374"/>
      <c r="C62716" s="374"/>
      <c r="CV62716" s="376"/>
    </row>
    <row r="62717" spans="1:100">
      <c r="A62717" s="374"/>
      <c r="C62717" s="374"/>
      <c r="CV62717" s="376"/>
    </row>
    <row r="62718" spans="1:100">
      <c r="A62718" s="374"/>
      <c r="C62718" s="374"/>
      <c r="CV62718" s="376"/>
    </row>
    <row r="62719" spans="1:100">
      <c r="A62719" s="374"/>
      <c r="C62719" s="374"/>
      <c r="CV62719" s="376"/>
    </row>
    <row r="62720" spans="1:100">
      <c r="A62720" s="374"/>
      <c r="C62720" s="374"/>
      <c r="CV62720" s="376"/>
    </row>
    <row r="62721" spans="1:100">
      <c r="A62721" s="374"/>
      <c r="C62721" s="374"/>
      <c r="CV62721" s="376"/>
    </row>
    <row r="62722" spans="1:100">
      <c r="A62722" s="374"/>
      <c r="C62722" s="374"/>
      <c r="CV62722" s="376"/>
    </row>
    <row r="62723" spans="1:100">
      <c r="A62723" s="374"/>
      <c r="C62723" s="374"/>
      <c r="CV62723" s="376"/>
    </row>
    <row r="62724" spans="1:100">
      <c r="A62724" s="374"/>
      <c r="C62724" s="374"/>
      <c r="CV62724" s="376"/>
    </row>
    <row r="62725" spans="1:100">
      <c r="A62725" s="374"/>
      <c r="C62725" s="374"/>
      <c r="CV62725" s="376"/>
    </row>
    <row r="62726" spans="1:100">
      <c r="A62726" s="374"/>
      <c r="C62726" s="374"/>
      <c r="CV62726" s="376"/>
    </row>
    <row r="62727" spans="1:100">
      <c r="A62727" s="374"/>
      <c r="C62727" s="374"/>
      <c r="CV62727" s="376"/>
    </row>
    <row r="62728" spans="1:100">
      <c r="A62728" s="374"/>
      <c r="C62728" s="374"/>
      <c r="CV62728" s="376"/>
    </row>
    <row r="62729" spans="1:100">
      <c r="A62729" s="374"/>
      <c r="C62729" s="374"/>
      <c r="CV62729" s="376"/>
    </row>
    <row r="62730" spans="1:100">
      <c r="A62730" s="374"/>
      <c r="C62730" s="374"/>
      <c r="CV62730" s="376"/>
    </row>
    <row r="62731" spans="1:100">
      <c r="A62731" s="374"/>
      <c r="C62731" s="374"/>
      <c r="CV62731" s="376"/>
    </row>
    <row r="62732" spans="1:100">
      <c r="A62732" s="374"/>
      <c r="C62732" s="374"/>
      <c r="CV62732" s="376"/>
    </row>
    <row r="62733" spans="1:100">
      <c r="A62733" s="374"/>
      <c r="C62733" s="374"/>
      <c r="CV62733" s="376"/>
    </row>
    <row r="62734" spans="1:100">
      <c r="A62734" s="374"/>
      <c r="C62734" s="374"/>
      <c r="CV62734" s="376"/>
    </row>
    <row r="62735" spans="1:100">
      <c r="A62735" s="374"/>
      <c r="C62735" s="374"/>
      <c r="CV62735" s="376"/>
    </row>
    <row r="62736" spans="1:100">
      <c r="A62736" s="374"/>
      <c r="C62736" s="374"/>
      <c r="CV62736" s="376"/>
    </row>
    <row r="62737" spans="1:100">
      <c r="A62737" s="374"/>
      <c r="C62737" s="374"/>
      <c r="CV62737" s="376"/>
    </row>
    <row r="62738" spans="1:100">
      <c r="A62738" s="374"/>
      <c r="C62738" s="374"/>
      <c r="CV62738" s="376"/>
    </row>
    <row r="62739" spans="1:100">
      <c r="A62739" s="374"/>
      <c r="C62739" s="374"/>
      <c r="CV62739" s="376"/>
    </row>
    <row r="62740" spans="1:100">
      <c r="A62740" s="374"/>
      <c r="C62740" s="374"/>
      <c r="CV62740" s="376"/>
    </row>
    <row r="62741" spans="1:100">
      <c r="A62741" s="374"/>
      <c r="C62741" s="374"/>
      <c r="CV62741" s="376"/>
    </row>
    <row r="62742" spans="1:100">
      <c r="A62742" s="374"/>
      <c r="C62742" s="374"/>
      <c r="CV62742" s="376"/>
    </row>
    <row r="62743" spans="1:100">
      <c r="A62743" s="374"/>
      <c r="C62743" s="374"/>
      <c r="CV62743" s="376"/>
    </row>
    <row r="62744" spans="1:100">
      <c r="A62744" s="374"/>
      <c r="C62744" s="374"/>
      <c r="CV62744" s="376"/>
    </row>
    <row r="62745" spans="1:100">
      <c r="A62745" s="374"/>
      <c r="C62745" s="374"/>
      <c r="CV62745" s="376"/>
    </row>
    <row r="62746" spans="1:100">
      <c r="A62746" s="374"/>
      <c r="C62746" s="374"/>
      <c r="CV62746" s="376"/>
    </row>
    <row r="62747" spans="1:100">
      <c r="A62747" s="374"/>
      <c r="C62747" s="374"/>
      <c r="CV62747" s="376"/>
    </row>
    <row r="62748" spans="1:100">
      <c r="A62748" s="374"/>
      <c r="C62748" s="374"/>
      <c r="CV62748" s="376"/>
    </row>
    <row r="62749" spans="1:100">
      <c r="A62749" s="374"/>
      <c r="C62749" s="374"/>
      <c r="CV62749" s="376"/>
    </row>
    <row r="62750" spans="1:100">
      <c r="A62750" s="374"/>
      <c r="C62750" s="374"/>
      <c r="CV62750" s="376"/>
    </row>
    <row r="62751" spans="1:100">
      <c r="A62751" s="374"/>
      <c r="C62751" s="374"/>
      <c r="CV62751" s="376"/>
    </row>
    <row r="62752" spans="1:100">
      <c r="A62752" s="374"/>
      <c r="C62752" s="374"/>
      <c r="CV62752" s="376"/>
    </row>
    <row r="62753" spans="1:100">
      <c r="A62753" s="374"/>
      <c r="C62753" s="374"/>
      <c r="CV62753" s="376"/>
    </row>
    <row r="62754" spans="1:100">
      <c r="A62754" s="374"/>
      <c r="C62754" s="374"/>
      <c r="CV62754" s="376"/>
    </row>
    <row r="62755" spans="1:100">
      <c r="A62755" s="374"/>
      <c r="C62755" s="374"/>
      <c r="CV62755" s="376"/>
    </row>
    <row r="62756" spans="1:100">
      <c r="A62756" s="374"/>
      <c r="C62756" s="374"/>
      <c r="CV62756" s="376"/>
    </row>
    <row r="62757" spans="1:100">
      <c r="A62757" s="374"/>
      <c r="C62757" s="374"/>
      <c r="CV62757" s="376"/>
    </row>
    <row r="62758" spans="1:100">
      <c r="A62758" s="374"/>
      <c r="C62758" s="374"/>
      <c r="CV62758" s="376"/>
    </row>
    <row r="62759" spans="1:100">
      <c r="A62759" s="374"/>
      <c r="C62759" s="374"/>
      <c r="CV62759" s="376"/>
    </row>
    <row r="62760" spans="1:100">
      <c r="A62760" s="374"/>
      <c r="C62760" s="374"/>
      <c r="CV62760" s="376"/>
    </row>
    <row r="62761" spans="1:100">
      <c r="A62761" s="374"/>
      <c r="C62761" s="374"/>
      <c r="CV62761" s="376"/>
    </row>
    <row r="62762" spans="1:100">
      <c r="A62762" s="374"/>
      <c r="C62762" s="374"/>
      <c r="CV62762" s="376"/>
    </row>
    <row r="62763" spans="1:100">
      <c r="A62763" s="374"/>
      <c r="C62763" s="374"/>
      <c r="CV62763" s="376"/>
    </row>
    <row r="62764" spans="1:100">
      <c r="A62764" s="374"/>
      <c r="C62764" s="374"/>
      <c r="CV62764" s="376"/>
    </row>
    <row r="62765" spans="1:100">
      <c r="A62765" s="374"/>
      <c r="C62765" s="374"/>
      <c r="CV62765" s="376"/>
    </row>
    <row r="62766" spans="1:100">
      <c r="A62766" s="374"/>
      <c r="C62766" s="374"/>
      <c r="CV62766" s="376"/>
    </row>
    <row r="62767" spans="1:100">
      <c r="A62767" s="374"/>
      <c r="C62767" s="374"/>
      <c r="CV62767" s="376"/>
    </row>
    <row r="62768" spans="1:100">
      <c r="A62768" s="374"/>
      <c r="C62768" s="374"/>
      <c r="CV62768" s="376"/>
    </row>
    <row r="62769" spans="1:100">
      <c r="A62769" s="374"/>
      <c r="C62769" s="374"/>
      <c r="CV62769" s="376"/>
    </row>
    <row r="62770" spans="1:100">
      <c r="A62770" s="374"/>
      <c r="C62770" s="374"/>
      <c r="CV62770" s="376"/>
    </row>
    <row r="62771" spans="1:100">
      <c r="A62771" s="374"/>
      <c r="C62771" s="374"/>
      <c r="CV62771" s="376"/>
    </row>
    <row r="62772" spans="1:100">
      <c r="A62772" s="374"/>
      <c r="C62772" s="374"/>
      <c r="CV62772" s="376"/>
    </row>
    <row r="62773" spans="1:100">
      <c r="A62773" s="374"/>
      <c r="C62773" s="374"/>
      <c r="CV62773" s="376"/>
    </row>
    <row r="62774" spans="1:100">
      <c r="A62774" s="374"/>
      <c r="C62774" s="374"/>
      <c r="CV62774" s="376"/>
    </row>
    <row r="62775" spans="1:100">
      <c r="A62775" s="374"/>
      <c r="C62775" s="374"/>
      <c r="CV62775" s="376"/>
    </row>
    <row r="62776" spans="1:100">
      <c r="A62776" s="374"/>
      <c r="C62776" s="374"/>
      <c r="CV62776" s="376"/>
    </row>
    <row r="62777" spans="1:100">
      <c r="A62777" s="374"/>
      <c r="C62777" s="374"/>
      <c r="CV62777" s="376"/>
    </row>
    <row r="62778" spans="1:100">
      <c r="A62778" s="374"/>
      <c r="C62778" s="374"/>
      <c r="CV62778" s="376"/>
    </row>
    <row r="62779" spans="1:100">
      <c r="A62779" s="374"/>
      <c r="C62779" s="374"/>
      <c r="CV62779" s="376"/>
    </row>
    <row r="62780" spans="1:100">
      <c r="A62780" s="374"/>
      <c r="C62780" s="374"/>
      <c r="CV62780" s="376"/>
    </row>
    <row r="62781" spans="1:100">
      <c r="A62781" s="374"/>
      <c r="C62781" s="374"/>
      <c r="CV62781" s="376"/>
    </row>
    <row r="62782" spans="1:100">
      <c r="A62782" s="374"/>
      <c r="C62782" s="374"/>
      <c r="CV62782" s="376"/>
    </row>
    <row r="62783" spans="1:100">
      <c r="A62783" s="374"/>
      <c r="C62783" s="374"/>
      <c r="CV62783" s="376"/>
    </row>
    <row r="62784" spans="1:100">
      <c r="A62784" s="374"/>
      <c r="C62784" s="374"/>
      <c r="CV62784" s="376"/>
    </row>
    <row r="62785" spans="1:100">
      <c r="A62785" s="374"/>
      <c r="C62785" s="374"/>
      <c r="CV62785" s="376"/>
    </row>
    <row r="62786" spans="1:100">
      <c r="A62786" s="374"/>
      <c r="C62786" s="374"/>
      <c r="CV62786" s="376"/>
    </row>
    <row r="62787" spans="1:100">
      <c r="A62787" s="374"/>
      <c r="C62787" s="374"/>
      <c r="CV62787" s="376"/>
    </row>
    <row r="62788" spans="1:100">
      <c r="A62788" s="374"/>
      <c r="C62788" s="374"/>
      <c r="CV62788" s="376"/>
    </row>
    <row r="62789" spans="1:100">
      <c r="A62789" s="374"/>
      <c r="C62789" s="374"/>
      <c r="CV62789" s="376"/>
    </row>
    <row r="62790" spans="1:100">
      <c r="A62790" s="374"/>
      <c r="C62790" s="374"/>
      <c r="CV62790" s="376"/>
    </row>
    <row r="62791" spans="1:100">
      <c r="A62791" s="374"/>
      <c r="C62791" s="374"/>
      <c r="CV62791" s="376"/>
    </row>
    <row r="62792" spans="1:100">
      <c r="A62792" s="374"/>
      <c r="C62792" s="374"/>
      <c r="CV62792" s="376"/>
    </row>
    <row r="62793" spans="1:100">
      <c r="A62793" s="374"/>
      <c r="C62793" s="374"/>
      <c r="CV62793" s="376"/>
    </row>
    <row r="62794" spans="1:100">
      <c r="A62794" s="374"/>
      <c r="C62794" s="374"/>
      <c r="CV62794" s="376"/>
    </row>
    <row r="62795" spans="1:100">
      <c r="A62795" s="374"/>
      <c r="C62795" s="374"/>
      <c r="CV62795" s="376"/>
    </row>
    <row r="62796" spans="1:100">
      <c r="A62796" s="374"/>
      <c r="C62796" s="374"/>
      <c r="CV62796" s="376"/>
    </row>
    <row r="62797" spans="1:100">
      <c r="A62797" s="374"/>
      <c r="C62797" s="374"/>
      <c r="CV62797" s="376"/>
    </row>
    <row r="62798" spans="1:100">
      <c r="A62798" s="374"/>
      <c r="C62798" s="374"/>
      <c r="CV62798" s="376"/>
    </row>
    <row r="62799" spans="1:100">
      <c r="A62799" s="374"/>
      <c r="C62799" s="374"/>
      <c r="CV62799" s="376"/>
    </row>
    <row r="62800" spans="1:100">
      <c r="A62800" s="374"/>
      <c r="C62800" s="374"/>
      <c r="CV62800" s="376"/>
    </row>
    <row r="62801" spans="1:100">
      <c r="A62801" s="374"/>
      <c r="C62801" s="374"/>
      <c r="CV62801" s="376"/>
    </row>
    <row r="62802" spans="1:100">
      <c r="A62802" s="374"/>
      <c r="C62802" s="374"/>
      <c r="CV62802" s="376"/>
    </row>
    <row r="62803" spans="1:100">
      <c r="A62803" s="374"/>
      <c r="C62803" s="374"/>
      <c r="CV62803" s="376"/>
    </row>
    <row r="62804" spans="1:100">
      <c r="A62804" s="374"/>
      <c r="C62804" s="374"/>
      <c r="CV62804" s="376"/>
    </row>
    <row r="62805" spans="1:100">
      <c r="A62805" s="374"/>
      <c r="C62805" s="374"/>
      <c r="CV62805" s="376"/>
    </row>
    <row r="62806" spans="1:100">
      <c r="A62806" s="374"/>
      <c r="C62806" s="374"/>
      <c r="CV62806" s="376"/>
    </row>
    <row r="62807" spans="1:100">
      <c r="A62807" s="374"/>
      <c r="C62807" s="374"/>
      <c r="CV62807" s="376"/>
    </row>
    <row r="62808" spans="1:100">
      <c r="A62808" s="374"/>
      <c r="C62808" s="374"/>
      <c r="CV62808" s="376"/>
    </row>
    <row r="62809" spans="1:100">
      <c r="A62809" s="374"/>
      <c r="C62809" s="374"/>
      <c r="CV62809" s="376"/>
    </row>
    <row r="62810" spans="1:100">
      <c r="A62810" s="374"/>
      <c r="C62810" s="374"/>
      <c r="CV62810" s="376"/>
    </row>
    <row r="62811" spans="1:100">
      <c r="A62811" s="374"/>
      <c r="C62811" s="374"/>
      <c r="CV62811" s="376"/>
    </row>
    <row r="62812" spans="1:100">
      <c r="A62812" s="374"/>
      <c r="C62812" s="374"/>
      <c r="CV62812" s="376"/>
    </row>
    <row r="62813" spans="1:100">
      <c r="A62813" s="374"/>
      <c r="C62813" s="374"/>
      <c r="CV62813" s="376"/>
    </row>
    <row r="62814" spans="1:100">
      <c r="A62814" s="374"/>
      <c r="C62814" s="374"/>
      <c r="CV62814" s="376"/>
    </row>
    <row r="62815" spans="1:100">
      <c r="A62815" s="374"/>
      <c r="C62815" s="374"/>
      <c r="CV62815" s="376"/>
    </row>
    <row r="62816" spans="1:100">
      <c r="A62816" s="374"/>
      <c r="C62816" s="374"/>
      <c r="CV62816" s="376"/>
    </row>
    <row r="62817" spans="1:100">
      <c r="A62817" s="374"/>
      <c r="C62817" s="374"/>
      <c r="CV62817" s="376"/>
    </row>
    <row r="62818" spans="1:100">
      <c r="A62818" s="374"/>
      <c r="C62818" s="374"/>
      <c r="CV62818" s="376"/>
    </row>
    <row r="62819" spans="1:100">
      <c r="A62819" s="374"/>
      <c r="C62819" s="374"/>
      <c r="CV62819" s="376"/>
    </row>
    <row r="62820" spans="1:100">
      <c r="A62820" s="374"/>
      <c r="C62820" s="374"/>
      <c r="CV62820" s="376"/>
    </row>
    <row r="62821" spans="1:100">
      <c r="A62821" s="374"/>
      <c r="C62821" s="374"/>
      <c r="CV62821" s="376"/>
    </row>
    <row r="62822" spans="1:100">
      <c r="A62822" s="374"/>
      <c r="C62822" s="374"/>
      <c r="CV62822" s="376"/>
    </row>
    <row r="62823" spans="1:100">
      <c r="A62823" s="374"/>
      <c r="C62823" s="374"/>
      <c r="CV62823" s="376"/>
    </row>
    <row r="62824" spans="1:100">
      <c r="A62824" s="374"/>
      <c r="C62824" s="374"/>
      <c r="CV62824" s="376"/>
    </row>
    <row r="62825" spans="1:100">
      <c r="A62825" s="374"/>
      <c r="C62825" s="374"/>
      <c r="CV62825" s="376"/>
    </row>
    <row r="62826" spans="1:100">
      <c r="A62826" s="374"/>
      <c r="C62826" s="374"/>
      <c r="CV62826" s="376"/>
    </row>
    <row r="62827" spans="1:100">
      <c r="A62827" s="374"/>
      <c r="C62827" s="374"/>
      <c r="CV62827" s="376"/>
    </row>
    <row r="62828" spans="1:100">
      <c r="A62828" s="374"/>
      <c r="C62828" s="374"/>
      <c r="CV62828" s="376"/>
    </row>
    <row r="62829" spans="1:100">
      <c r="A62829" s="374"/>
      <c r="C62829" s="374"/>
      <c r="CV62829" s="376"/>
    </row>
    <row r="62830" spans="1:100">
      <c r="A62830" s="374"/>
      <c r="C62830" s="374"/>
      <c r="CV62830" s="376"/>
    </row>
    <row r="62831" spans="1:100">
      <c r="A62831" s="374"/>
      <c r="C62831" s="374"/>
      <c r="CV62831" s="376"/>
    </row>
    <row r="62832" spans="1:100">
      <c r="A62832" s="374"/>
      <c r="C62832" s="374"/>
      <c r="CV62832" s="376"/>
    </row>
    <row r="62833" spans="1:100">
      <c r="A62833" s="374"/>
      <c r="C62833" s="374"/>
      <c r="CV62833" s="376"/>
    </row>
    <row r="62834" spans="1:100">
      <c r="A62834" s="374"/>
      <c r="C62834" s="374"/>
      <c r="CV62834" s="376"/>
    </row>
    <row r="62835" spans="1:100">
      <c r="A62835" s="374"/>
      <c r="C62835" s="374"/>
      <c r="CV62835" s="376"/>
    </row>
    <row r="62836" spans="1:100">
      <c r="A62836" s="374"/>
      <c r="C62836" s="374"/>
      <c r="CV62836" s="376"/>
    </row>
    <row r="62837" spans="1:100">
      <c r="A62837" s="374"/>
      <c r="C62837" s="374"/>
      <c r="CV62837" s="376"/>
    </row>
    <row r="62838" spans="1:100">
      <c r="A62838" s="374"/>
      <c r="C62838" s="374"/>
      <c r="CV62838" s="376"/>
    </row>
    <row r="62839" spans="1:100">
      <c r="A62839" s="374"/>
      <c r="C62839" s="374"/>
      <c r="CV62839" s="376"/>
    </row>
    <row r="62840" spans="1:100">
      <c r="A62840" s="374"/>
      <c r="C62840" s="374"/>
      <c r="CV62840" s="376"/>
    </row>
    <row r="62841" spans="1:100">
      <c r="A62841" s="374"/>
      <c r="C62841" s="374"/>
      <c r="CV62841" s="376"/>
    </row>
    <row r="62842" spans="1:100">
      <c r="A62842" s="374"/>
      <c r="C62842" s="374"/>
      <c r="CV62842" s="376"/>
    </row>
    <row r="62843" spans="1:100">
      <c r="A62843" s="374"/>
      <c r="C62843" s="374"/>
      <c r="CV62843" s="376"/>
    </row>
    <row r="62844" spans="1:100">
      <c r="A62844" s="374"/>
      <c r="C62844" s="374"/>
      <c r="CV62844" s="376"/>
    </row>
    <row r="62845" spans="1:100">
      <c r="A62845" s="374"/>
      <c r="C62845" s="374"/>
      <c r="CV62845" s="376"/>
    </row>
    <row r="62846" spans="1:100">
      <c r="A62846" s="374"/>
      <c r="C62846" s="374"/>
      <c r="CV62846" s="376"/>
    </row>
    <row r="62847" spans="1:100">
      <c r="A62847" s="374"/>
      <c r="C62847" s="374"/>
      <c r="CV62847" s="376"/>
    </row>
    <row r="62848" spans="1:100">
      <c r="A62848" s="374"/>
      <c r="C62848" s="374"/>
      <c r="CV62848" s="376"/>
    </row>
    <row r="62849" spans="1:100">
      <c r="A62849" s="374"/>
      <c r="C62849" s="374"/>
      <c r="CV62849" s="376"/>
    </row>
    <row r="62850" spans="1:100">
      <c r="A62850" s="374"/>
      <c r="C62850" s="374"/>
      <c r="CV62850" s="376"/>
    </row>
    <row r="62851" spans="1:100">
      <c r="A62851" s="374"/>
      <c r="C62851" s="374"/>
      <c r="CV62851" s="376"/>
    </row>
    <row r="62852" spans="1:100">
      <c r="A62852" s="374"/>
      <c r="C62852" s="374"/>
      <c r="CV62852" s="376"/>
    </row>
    <row r="62853" spans="1:100">
      <c r="A62853" s="374"/>
      <c r="C62853" s="374"/>
      <c r="CV62853" s="376"/>
    </row>
    <row r="62854" spans="1:100">
      <c r="A62854" s="374"/>
      <c r="C62854" s="374"/>
      <c r="CV62854" s="376"/>
    </row>
    <row r="62855" spans="1:100">
      <c r="A62855" s="374"/>
      <c r="C62855" s="374"/>
      <c r="CV62855" s="376"/>
    </row>
    <row r="62856" spans="1:100">
      <c r="A62856" s="374"/>
      <c r="C62856" s="374"/>
      <c r="CV62856" s="376"/>
    </row>
    <row r="62857" spans="1:100">
      <c r="A62857" s="374"/>
      <c r="C62857" s="374"/>
      <c r="CV62857" s="376"/>
    </row>
    <row r="62858" spans="1:100">
      <c r="A62858" s="374"/>
      <c r="C62858" s="374"/>
      <c r="CV62858" s="376"/>
    </row>
    <row r="62859" spans="1:100">
      <c r="A62859" s="374"/>
      <c r="C62859" s="374"/>
      <c r="CV62859" s="376"/>
    </row>
    <row r="62860" spans="1:100">
      <c r="A62860" s="374"/>
      <c r="C62860" s="374"/>
      <c r="CV62860" s="376"/>
    </row>
    <row r="62861" spans="1:100">
      <c r="A62861" s="374"/>
      <c r="C62861" s="374"/>
      <c r="CV62861" s="376"/>
    </row>
    <row r="62862" spans="1:100">
      <c r="A62862" s="374"/>
      <c r="C62862" s="374"/>
      <c r="CV62862" s="376"/>
    </row>
    <row r="62863" spans="1:100">
      <c r="A62863" s="374"/>
      <c r="C62863" s="374"/>
      <c r="CV62863" s="376"/>
    </row>
    <row r="62864" spans="1:100">
      <c r="A62864" s="374"/>
      <c r="C62864" s="374"/>
      <c r="CV62864" s="376"/>
    </row>
    <row r="62865" spans="1:100">
      <c r="A62865" s="374"/>
      <c r="C62865" s="374"/>
      <c r="CV62865" s="376"/>
    </row>
    <row r="62866" spans="1:100">
      <c r="A62866" s="374"/>
      <c r="C62866" s="374"/>
      <c r="CV62866" s="376"/>
    </row>
    <row r="62867" spans="1:100">
      <c r="A62867" s="374"/>
      <c r="C62867" s="374"/>
      <c r="CV62867" s="376"/>
    </row>
    <row r="62868" spans="1:100">
      <c r="A62868" s="374"/>
      <c r="C62868" s="374"/>
      <c r="CV62868" s="376"/>
    </row>
    <row r="62869" spans="1:100">
      <c r="A62869" s="374"/>
      <c r="C62869" s="374"/>
      <c r="CV62869" s="376"/>
    </row>
    <row r="62870" spans="1:100">
      <c r="A62870" s="374"/>
      <c r="C62870" s="374"/>
      <c r="CV62870" s="376"/>
    </row>
    <row r="62871" spans="1:100">
      <c r="A62871" s="374"/>
      <c r="C62871" s="374"/>
      <c r="CV62871" s="376"/>
    </row>
    <row r="62872" spans="1:100">
      <c r="A62872" s="374"/>
      <c r="C62872" s="374"/>
      <c r="CV62872" s="376"/>
    </row>
    <row r="62873" spans="1:100">
      <c r="A62873" s="374"/>
      <c r="C62873" s="374"/>
      <c r="CV62873" s="376"/>
    </row>
    <row r="62874" spans="1:100">
      <c r="A62874" s="374"/>
      <c r="C62874" s="374"/>
      <c r="CV62874" s="376"/>
    </row>
    <row r="62875" spans="1:100">
      <c r="A62875" s="374"/>
      <c r="C62875" s="374"/>
      <c r="CV62875" s="376"/>
    </row>
    <row r="62876" spans="1:100">
      <c r="A62876" s="374"/>
      <c r="C62876" s="374"/>
      <c r="CV62876" s="376"/>
    </row>
    <row r="62877" spans="1:100">
      <c r="A62877" s="374"/>
      <c r="C62877" s="374"/>
      <c r="CV62877" s="376"/>
    </row>
    <row r="62878" spans="1:100">
      <c r="A62878" s="374"/>
      <c r="C62878" s="374"/>
      <c r="CV62878" s="376"/>
    </row>
    <row r="62879" spans="1:100">
      <c r="A62879" s="374"/>
      <c r="C62879" s="374"/>
      <c r="CV62879" s="376"/>
    </row>
    <row r="62880" spans="1:100">
      <c r="A62880" s="374"/>
      <c r="C62880" s="374"/>
      <c r="CV62880" s="376"/>
    </row>
    <row r="62881" spans="1:100">
      <c r="A62881" s="374"/>
      <c r="C62881" s="374"/>
      <c r="CV62881" s="376"/>
    </row>
    <row r="62882" spans="1:100">
      <c r="A62882" s="374"/>
      <c r="C62882" s="374"/>
      <c r="CV62882" s="376"/>
    </row>
    <row r="62883" spans="1:100">
      <c r="A62883" s="374"/>
      <c r="C62883" s="374"/>
      <c r="CV62883" s="376"/>
    </row>
    <row r="62884" spans="1:100">
      <c r="A62884" s="374"/>
      <c r="C62884" s="374"/>
      <c r="CV62884" s="376"/>
    </row>
    <row r="62885" spans="1:100">
      <c r="A62885" s="374"/>
      <c r="C62885" s="374"/>
      <c r="CV62885" s="376"/>
    </row>
    <row r="62886" spans="1:100">
      <c r="A62886" s="374"/>
      <c r="C62886" s="374"/>
      <c r="CV62886" s="376"/>
    </row>
    <row r="62887" spans="1:100">
      <c r="A62887" s="374"/>
      <c r="C62887" s="374"/>
      <c r="CV62887" s="376"/>
    </row>
    <row r="62888" spans="1:100">
      <c r="A62888" s="374"/>
      <c r="C62888" s="374"/>
      <c r="CV62888" s="376"/>
    </row>
    <row r="62889" spans="1:100">
      <c r="A62889" s="374"/>
      <c r="C62889" s="374"/>
      <c r="CV62889" s="376"/>
    </row>
    <row r="62890" spans="1:100">
      <c r="A62890" s="374"/>
      <c r="C62890" s="374"/>
      <c r="CV62890" s="376"/>
    </row>
    <row r="62891" spans="1:100">
      <c r="A62891" s="374"/>
      <c r="C62891" s="374"/>
      <c r="CV62891" s="376"/>
    </row>
    <row r="62892" spans="1:100">
      <c r="A62892" s="374"/>
      <c r="C62892" s="374"/>
      <c r="CV62892" s="376"/>
    </row>
    <row r="62893" spans="1:100">
      <c r="A62893" s="374"/>
      <c r="C62893" s="374"/>
      <c r="CV62893" s="376"/>
    </row>
    <row r="62894" spans="1:100">
      <c r="A62894" s="374"/>
      <c r="C62894" s="374"/>
      <c r="CV62894" s="376"/>
    </row>
    <row r="62895" spans="1:100">
      <c r="A62895" s="374"/>
      <c r="C62895" s="374"/>
      <c r="CV62895" s="376"/>
    </row>
    <row r="62896" spans="1:100">
      <c r="A62896" s="374"/>
      <c r="C62896" s="374"/>
      <c r="CV62896" s="376"/>
    </row>
    <row r="62897" spans="1:100">
      <c r="A62897" s="374"/>
      <c r="C62897" s="374"/>
      <c r="CV62897" s="376"/>
    </row>
    <row r="62898" spans="1:100">
      <c r="A62898" s="374"/>
      <c r="C62898" s="374"/>
      <c r="CV62898" s="376"/>
    </row>
    <row r="62899" spans="1:100">
      <c r="A62899" s="374"/>
      <c r="C62899" s="374"/>
      <c r="CV62899" s="376"/>
    </row>
    <row r="62900" spans="1:100">
      <c r="A62900" s="374"/>
      <c r="C62900" s="374"/>
      <c r="CV62900" s="376"/>
    </row>
    <row r="62901" spans="1:100">
      <c r="A62901" s="374"/>
      <c r="C62901" s="374"/>
      <c r="CV62901" s="376"/>
    </row>
    <row r="62902" spans="1:100">
      <c r="A62902" s="374"/>
      <c r="C62902" s="374"/>
      <c r="CV62902" s="376"/>
    </row>
    <row r="62903" spans="1:100">
      <c r="A62903" s="374"/>
      <c r="C62903" s="374"/>
      <c r="CV62903" s="376"/>
    </row>
    <row r="62904" spans="1:100">
      <c r="A62904" s="374"/>
      <c r="C62904" s="374"/>
      <c r="CV62904" s="376"/>
    </row>
    <row r="62905" spans="1:100">
      <c r="A62905" s="374"/>
      <c r="C62905" s="374"/>
      <c r="CV62905" s="376"/>
    </row>
    <row r="62906" spans="1:100">
      <c r="A62906" s="374"/>
      <c r="C62906" s="374"/>
      <c r="CV62906" s="376"/>
    </row>
    <row r="62907" spans="1:100">
      <c r="A62907" s="374"/>
      <c r="C62907" s="374"/>
      <c r="CV62907" s="376"/>
    </row>
    <row r="62908" spans="1:100">
      <c r="A62908" s="374"/>
      <c r="C62908" s="374"/>
      <c r="CV62908" s="376"/>
    </row>
    <row r="62909" spans="1:100">
      <c r="A62909" s="374"/>
      <c r="C62909" s="374"/>
      <c r="CV62909" s="376"/>
    </row>
    <row r="62910" spans="1:100">
      <c r="A62910" s="374"/>
      <c r="C62910" s="374"/>
      <c r="CV62910" s="376"/>
    </row>
    <row r="62911" spans="1:100">
      <c r="A62911" s="374"/>
      <c r="C62911" s="374"/>
      <c r="CV62911" s="376"/>
    </row>
    <row r="62912" spans="1:100">
      <c r="A62912" s="374"/>
      <c r="C62912" s="374"/>
      <c r="CV62912" s="376"/>
    </row>
    <row r="62913" spans="1:100">
      <c r="A62913" s="374"/>
      <c r="C62913" s="374"/>
      <c r="CV62913" s="376"/>
    </row>
    <row r="62914" spans="1:100">
      <c r="A62914" s="374"/>
      <c r="C62914" s="374"/>
      <c r="CV62914" s="376"/>
    </row>
    <row r="62915" spans="1:100">
      <c r="A62915" s="374"/>
      <c r="C62915" s="374"/>
      <c r="CV62915" s="376"/>
    </row>
    <row r="62916" spans="1:100">
      <c r="A62916" s="374"/>
      <c r="C62916" s="374"/>
      <c r="CV62916" s="376"/>
    </row>
    <row r="62917" spans="1:100">
      <c r="A62917" s="374"/>
      <c r="C62917" s="374"/>
      <c r="CV62917" s="376"/>
    </row>
    <row r="62918" spans="1:100">
      <c r="A62918" s="374"/>
      <c r="C62918" s="374"/>
      <c r="CV62918" s="376"/>
    </row>
    <row r="62919" spans="1:100">
      <c r="A62919" s="374"/>
      <c r="C62919" s="374"/>
      <c r="CV62919" s="376"/>
    </row>
    <row r="62920" spans="1:100">
      <c r="A62920" s="374"/>
      <c r="C62920" s="374"/>
      <c r="CV62920" s="376"/>
    </row>
    <row r="62921" spans="1:100">
      <c r="A62921" s="374"/>
      <c r="C62921" s="374"/>
      <c r="CV62921" s="376"/>
    </row>
    <row r="62922" spans="1:100">
      <c r="A62922" s="374"/>
      <c r="C62922" s="374"/>
      <c r="CV62922" s="376"/>
    </row>
    <row r="62923" spans="1:100">
      <c r="A62923" s="374"/>
      <c r="C62923" s="374"/>
      <c r="CV62923" s="376"/>
    </row>
    <row r="62924" spans="1:100">
      <c r="A62924" s="374"/>
      <c r="C62924" s="374"/>
      <c r="CV62924" s="376"/>
    </row>
    <row r="62925" spans="1:100">
      <c r="A62925" s="374"/>
      <c r="C62925" s="374"/>
      <c r="CV62925" s="376"/>
    </row>
    <row r="62926" spans="1:100">
      <c r="A62926" s="374"/>
      <c r="C62926" s="374"/>
      <c r="CV62926" s="376"/>
    </row>
    <row r="62927" spans="1:100">
      <c r="A62927" s="374"/>
      <c r="C62927" s="374"/>
      <c r="CV62927" s="376"/>
    </row>
    <row r="62928" spans="1:100">
      <c r="A62928" s="374"/>
      <c r="C62928" s="374"/>
      <c r="CV62928" s="376"/>
    </row>
    <row r="62929" spans="1:100">
      <c r="A62929" s="374"/>
      <c r="C62929" s="374"/>
      <c r="CV62929" s="376"/>
    </row>
    <row r="62930" spans="1:100">
      <c r="A62930" s="374"/>
      <c r="C62930" s="374"/>
      <c r="CV62930" s="376"/>
    </row>
    <row r="62931" spans="1:100">
      <c r="A62931" s="374"/>
      <c r="C62931" s="374"/>
      <c r="CV62931" s="376"/>
    </row>
    <row r="62932" spans="1:100">
      <c r="A62932" s="374"/>
      <c r="C62932" s="374"/>
      <c r="CV62932" s="376"/>
    </row>
    <row r="62933" spans="1:100">
      <c r="A62933" s="374"/>
      <c r="C62933" s="374"/>
      <c r="CV62933" s="376"/>
    </row>
    <row r="62934" spans="1:100">
      <c r="A62934" s="374"/>
      <c r="C62934" s="374"/>
      <c r="CV62934" s="376"/>
    </row>
    <row r="62935" spans="1:100">
      <c r="A62935" s="374"/>
      <c r="C62935" s="374"/>
      <c r="CV62935" s="376"/>
    </row>
    <row r="62936" spans="1:100">
      <c r="A62936" s="374"/>
      <c r="C62936" s="374"/>
      <c r="CV62936" s="376"/>
    </row>
    <row r="62937" spans="1:100">
      <c r="A62937" s="374"/>
      <c r="C62937" s="374"/>
      <c r="CV62937" s="376"/>
    </row>
    <row r="62938" spans="1:100">
      <c r="A62938" s="374"/>
      <c r="C62938" s="374"/>
      <c r="CV62938" s="376"/>
    </row>
    <row r="62939" spans="1:100">
      <c r="A62939" s="374"/>
      <c r="C62939" s="374"/>
      <c r="CV62939" s="376"/>
    </row>
    <row r="62940" spans="1:100">
      <c r="A62940" s="374"/>
      <c r="C62940" s="374"/>
      <c r="CV62940" s="376"/>
    </row>
    <row r="62941" spans="1:100">
      <c r="A62941" s="374"/>
      <c r="C62941" s="374"/>
      <c r="CV62941" s="376"/>
    </row>
    <row r="62942" spans="1:100">
      <c r="A62942" s="374"/>
      <c r="C62942" s="374"/>
      <c r="CV62942" s="376"/>
    </row>
    <row r="62943" spans="1:100">
      <c r="A62943" s="374"/>
      <c r="C62943" s="374"/>
      <c r="CV62943" s="376"/>
    </row>
    <row r="62944" spans="1:100">
      <c r="A62944" s="374"/>
      <c r="C62944" s="374"/>
      <c r="CV62944" s="376"/>
    </row>
    <row r="62945" spans="1:100">
      <c r="A62945" s="374"/>
      <c r="C62945" s="374"/>
      <c r="CV62945" s="376"/>
    </row>
    <row r="62946" spans="1:100">
      <c r="A62946" s="374"/>
      <c r="C62946" s="374"/>
      <c r="CV62946" s="376"/>
    </row>
    <row r="62947" spans="1:100">
      <c r="A62947" s="374"/>
      <c r="C62947" s="374"/>
      <c r="CV62947" s="376"/>
    </row>
    <row r="62948" spans="1:100">
      <c r="A62948" s="374"/>
      <c r="C62948" s="374"/>
      <c r="CV62948" s="376"/>
    </row>
    <row r="62949" spans="1:100">
      <c r="A62949" s="374"/>
      <c r="C62949" s="374"/>
      <c r="CV62949" s="376"/>
    </row>
    <row r="62950" spans="1:100">
      <c r="A62950" s="374"/>
      <c r="C62950" s="374"/>
      <c r="CV62950" s="376"/>
    </row>
    <row r="62951" spans="1:100">
      <c r="A62951" s="374"/>
      <c r="C62951" s="374"/>
      <c r="CV62951" s="376"/>
    </row>
    <row r="62952" spans="1:100">
      <c r="A62952" s="374"/>
      <c r="C62952" s="374"/>
      <c r="CV62952" s="376"/>
    </row>
    <row r="62953" spans="1:100">
      <c r="A62953" s="374"/>
      <c r="C62953" s="374"/>
      <c r="CV62953" s="376"/>
    </row>
    <row r="62954" spans="1:100">
      <c r="A62954" s="374"/>
      <c r="C62954" s="374"/>
      <c r="CV62954" s="376"/>
    </row>
    <row r="62955" spans="1:100">
      <c r="A62955" s="374"/>
      <c r="C62955" s="374"/>
      <c r="CV62955" s="376"/>
    </row>
    <row r="62956" spans="1:100">
      <c r="A62956" s="374"/>
      <c r="C62956" s="374"/>
      <c r="CV62956" s="376"/>
    </row>
    <row r="62957" spans="1:100">
      <c r="A62957" s="374"/>
      <c r="C62957" s="374"/>
      <c r="CV62957" s="376"/>
    </row>
    <row r="62958" spans="1:100">
      <c r="A62958" s="374"/>
      <c r="C62958" s="374"/>
      <c r="CV62958" s="376"/>
    </row>
    <row r="62959" spans="1:100">
      <c r="A62959" s="374"/>
      <c r="C62959" s="374"/>
      <c r="CV62959" s="376"/>
    </row>
    <row r="62960" spans="1:100">
      <c r="A62960" s="374"/>
      <c r="C62960" s="374"/>
      <c r="CV62960" s="376"/>
    </row>
    <row r="62961" spans="1:100">
      <c r="A62961" s="374"/>
      <c r="C62961" s="374"/>
      <c r="CV62961" s="376"/>
    </row>
    <row r="62962" spans="1:100">
      <c r="A62962" s="374"/>
      <c r="C62962" s="374"/>
      <c r="CV62962" s="376"/>
    </row>
    <row r="62963" spans="1:100">
      <c r="A62963" s="374"/>
      <c r="C62963" s="374"/>
      <c r="CV62963" s="376"/>
    </row>
    <row r="62964" spans="1:100">
      <c r="A62964" s="374"/>
      <c r="C62964" s="374"/>
      <c r="CV62964" s="376"/>
    </row>
    <row r="62965" spans="1:100">
      <c r="A62965" s="374"/>
      <c r="C62965" s="374"/>
      <c r="CV62965" s="376"/>
    </row>
    <row r="62966" spans="1:100">
      <c r="A62966" s="374"/>
      <c r="C62966" s="374"/>
      <c r="CV62966" s="376"/>
    </row>
    <row r="62967" spans="1:100">
      <c r="A62967" s="374"/>
      <c r="C62967" s="374"/>
      <c r="CV62967" s="376"/>
    </row>
    <row r="62968" spans="1:100">
      <c r="A62968" s="374"/>
      <c r="C62968" s="374"/>
      <c r="CV62968" s="376"/>
    </row>
    <row r="62969" spans="1:100">
      <c r="A62969" s="374"/>
      <c r="C62969" s="374"/>
      <c r="CV62969" s="376"/>
    </row>
    <row r="62970" spans="1:100">
      <c r="A62970" s="374"/>
      <c r="C62970" s="374"/>
      <c r="CV62970" s="376"/>
    </row>
    <row r="62971" spans="1:100">
      <c r="A62971" s="374"/>
      <c r="C62971" s="374"/>
      <c r="CV62971" s="376"/>
    </row>
    <row r="62972" spans="1:100">
      <c r="A62972" s="374"/>
      <c r="C62972" s="374"/>
      <c r="CV62972" s="376"/>
    </row>
    <row r="62973" spans="1:100">
      <c r="A62973" s="374"/>
      <c r="C62973" s="374"/>
      <c r="CV62973" s="376"/>
    </row>
    <row r="62974" spans="1:100">
      <c r="A62974" s="374"/>
      <c r="C62974" s="374"/>
      <c r="CV62974" s="376"/>
    </row>
    <row r="62975" spans="1:100">
      <c r="A62975" s="374"/>
      <c r="C62975" s="374"/>
      <c r="CV62975" s="376"/>
    </row>
    <row r="62976" spans="1:100">
      <c r="A62976" s="374"/>
      <c r="C62976" s="374"/>
      <c r="CV62976" s="376"/>
    </row>
    <row r="62977" spans="1:100">
      <c r="A62977" s="374"/>
      <c r="C62977" s="374"/>
      <c r="CV62977" s="376"/>
    </row>
    <row r="62978" spans="1:100">
      <c r="A62978" s="374"/>
      <c r="C62978" s="374"/>
      <c r="CV62978" s="376"/>
    </row>
    <row r="62979" spans="1:100">
      <c r="A62979" s="374"/>
      <c r="C62979" s="374"/>
      <c r="CV62979" s="376"/>
    </row>
    <row r="62980" spans="1:100">
      <c r="A62980" s="374"/>
      <c r="C62980" s="374"/>
      <c r="CV62980" s="376"/>
    </row>
    <row r="62981" spans="1:100">
      <c r="A62981" s="374"/>
      <c r="C62981" s="374"/>
      <c r="CV62981" s="376"/>
    </row>
    <row r="62982" spans="1:100">
      <c r="A62982" s="374"/>
      <c r="C62982" s="374"/>
      <c r="CV62982" s="376"/>
    </row>
    <row r="62983" spans="1:100">
      <c r="A62983" s="374"/>
      <c r="C62983" s="374"/>
      <c r="CV62983" s="376"/>
    </row>
    <row r="62984" spans="1:100">
      <c r="A62984" s="374"/>
      <c r="C62984" s="374"/>
      <c r="CV62984" s="376"/>
    </row>
    <row r="62985" spans="1:100">
      <c r="A62985" s="374"/>
      <c r="C62985" s="374"/>
      <c r="CV62985" s="376"/>
    </row>
    <row r="62986" spans="1:100">
      <c r="A62986" s="374"/>
      <c r="C62986" s="374"/>
      <c r="CV62986" s="376"/>
    </row>
    <row r="62987" spans="1:100">
      <c r="A62987" s="374"/>
      <c r="C62987" s="374"/>
      <c r="CV62987" s="376"/>
    </row>
    <row r="62988" spans="1:100">
      <c r="A62988" s="374"/>
      <c r="C62988" s="374"/>
      <c r="CV62988" s="376"/>
    </row>
    <row r="62989" spans="1:100">
      <c r="A62989" s="374"/>
      <c r="C62989" s="374"/>
      <c r="CV62989" s="376"/>
    </row>
    <row r="62990" spans="1:100">
      <c r="A62990" s="374"/>
      <c r="C62990" s="374"/>
      <c r="CV62990" s="376"/>
    </row>
    <row r="62991" spans="1:100">
      <c r="A62991" s="374"/>
      <c r="C62991" s="374"/>
      <c r="CV62991" s="376"/>
    </row>
    <row r="62992" spans="1:100">
      <c r="A62992" s="374"/>
      <c r="C62992" s="374"/>
      <c r="CV62992" s="376"/>
    </row>
    <row r="62993" spans="1:100">
      <c r="A62993" s="374"/>
      <c r="C62993" s="374"/>
      <c r="CV62993" s="376"/>
    </row>
    <row r="62994" spans="1:100">
      <c r="A62994" s="374"/>
      <c r="C62994" s="374"/>
      <c r="CV62994" s="376"/>
    </row>
    <row r="62995" spans="1:100">
      <c r="A62995" s="374"/>
      <c r="C62995" s="374"/>
      <c r="CV62995" s="376"/>
    </row>
    <row r="62996" spans="1:100">
      <c r="A62996" s="374"/>
      <c r="C62996" s="374"/>
      <c r="CV62996" s="376"/>
    </row>
    <row r="62997" spans="1:100">
      <c r="A62997" s="374"/>
      <c r="C62997" s="374"/>
      <c r="CV62997" s="376"/>
    </row>
    <row r="62998" spans="1:100">
      <c r="A62998" s="374"/>
      <c r="C62998" s="374"/>
      <c r="CV62998" s="376"/>
    </row>
    <row r="62999" spans="1:100">
      <c r="A62999" s="374"/>
      <c r="C62999" s="374"/>
      <c r="CV62999" s="376"/>
    </row>
    <row r="63000" spans="1:100">
      <c r="A63000" s="374"/>
      <c r="C63000" s="374"/>
      <c r="CV63000" s="376"/>
    </row>
    <row r="63001" spans="1:100">
      <c r="A63001" s="374"/>
      <c r="C63001" s="374"/>
      <c r="CV63001" s="376"/>
    </row>
    <row r="63002" spans="1:100">
      <c r="A63002" s="374"/>
      <c r="C63002" s="374"/>
      <c r="CV63002" s="376"/>
    </row>
    <row r="63003" spans="1:100">
      <c r="A63003" s="374"/>
      <c r="C63003" s="374"/>
      <c r="CV63003" s="376"/>
    </row>
    <row r="63004" spans="1:100">
      <c r="A63004" s="374"/>
      <c r="C63004" s="374"/>
      <c r="CV63004" s="376"/>
    </row>
    <row r="63005" spans="1:100">
      <c r="A63005" s="374"/>
      <c r="C63005" s="374"/>
      <c r="CV63005" s="376"/>
    </row>
    <row r="63006" spans="1:100">
      <c r="A63006" s="374"/>
      <c r="C63006" s="374"/>
      <c r="CV63006" s="376"/>
    </row>
    <row r="63007" spans="1:100">
      <c r="A63007" s="374"/>
      <c r="C63007" s="374"/>
      <c r="CV63007" s="376"/>
    </row>
    <row r="63008" spans="1:100">
      <c r="A63008" s="374"/>
      <c r="C63008" s="374"/>
      <c r="CV63008" s="376"/>
    </row>
    <row r="63009" spans="1:100">
      <c r="A63009" s="374"/>
      <c r="C63009" s="374"/>
      <c r="CV63009" s="376"/>
    </row>
    <row r="63010" spans="1:100">
      <c r="A63010" s="374"/>
      <c r="C63010" s="374"/>
      <c r="CV63010" s="376"/>
    </row>
    <row r="63011" spans="1:100">
      <c r="A63011" s="374"/>
      <c r="C63011" s="374"/>
      <c r="CV63011" s="376"/>
    </row>
    <row r="63012" spans="1:100">
      <c r="A63012" s="374"/>
      <c r="C63012" s="374"/>
      <c r="CV63012" s="376"/>
    </row>
    <row r="63013" spans="1:100">
      <c r="A63013" s="374"/>
      <c r="C63013" s="374"/>
      <c r="CV63013" s="376"/>
    </row>
    <row r="63014" spans="1:100">
      <c r="A63014" s="374"/>
      <c r="C63014" s="374"/>
      <c r="CV63014" s="376"/>
    </row>
    <row r="63015" spans="1:100">
      <c r="A63015" s="374"/>
      <c r="C63015" s="374"/>
      <c r="CV63015" s="376"/>
    </row>
    <row r="63016" spans="1:100">
      <c r="A63016" s="374"/>
      <c r="C63016" s="374"/>
      <c r="CV63016" s="376"/>
    </row>
    <row r="63017" spans="1:100">
      <c r="A63017" s="374"/>
      <c r="C63017" s="374"/>
      <c r="CV63017" s="376"/>
    </row>
    <row r="63018" spans="1:100">
      <c r="A63018" s="374"/>
      <c r="C63018" s="374"/>
      <c r="CV63018" s="376"/>
    </row>
    <row r="63019" spans="1:100">
      <c r="A63019" s="374"/>
      <c r="C63019" s="374"/>
      <c r="CV63019" s="376"/>
    </row>
    <row r="63020" spans="1:100">
      <c r="A63020" s="374"/>
      <c r="C63020" s="374"/>
      <c r="CV63020" s="376"/>
    </row>
    <row r="63021" spans="1:100">
      <c r="A63021" s="374"/>
      <c r="C63021" s="374"/>
      <c r="CV63021" s="376"/>
    </row>
    <row r="63022" spans="1:100">
      <c r="A63022" s="374"/>
      <c r="C63022" s="374"/>
      <c r="CV63022" s="376"/>
    </row>
    <row r="63023" spans="1:100">
      <c r="A63023" s="374"/>
      <c r="C63023" s="374"/>
      <c r="CV63023" s="376"/>
    </row>
    <row r="63024" spans="1:100">
      <c r="A63024" s="374"/>
      <c r="C63024" s="374"/>
      <c r="CV63024" s="376"/>
    </row>
    <row r="63025" spans="1:100">
      <c r="A63025" s="374"/>
      <c r="C63025" s="374"/>
      <c r="CV63025" s="376"/>
    </row>
    <row r="63026" spans="1:100">
      <c r="A63026" s="374"/>
      <c r="C63026" s="374"/>
      <c r="CV63026" s="376"/>
    </row>
    <row r="63027" spans="1:100">
      <c r="A63027" s="374"/>
      <c r="C63027" s="374"/>
      <c r="CV63027" s="376"/>
    </row>
    <row r="63028" spans="1:100">
      <c r="A63028" s="374"/>
      <c r="C63028" s="374"/>
      <c r="CV63028" s="376"/>
    </row>
    <row r="63029" spans="1:100">
      <c r="A63029" s="374"/>
      <c r="C63029" s="374"/>
      <c r="CV63029" s="376"/>
    </row>
    <row r="63030" spans="1:100">
      <c r="A63030" s="374"/>
      <c r="C63030" s="374"/>
      <c r="CV63030" s="376"/>
    </row>
    <row r="63031" spans="1:100">
      <c r="A63031" s="374"/>
      <c r="C63031" s="374"/>
      <c r="CV63031" s="376"/>
    </row>
    <row r="63032" spans="1:100">
      <c r="A63032" s="374"/>
      <c r="C63032" s="374"/>
      <c r="CV63032" s="376"/>
    </row>
    <row r="63033" spans="1:100">
      <c r="A63033" s="374"/>
      <c r="C63033" s="374"/>
      <c r="CV63033" s="376"/>
    </row>
    <row r="63034" spans="1:100">
      <c r="A63034" s="374"/>
      <c r="C63034" s="374"/>
      <c r="CV63034" s="376"/>
    </row>
    <row r="63035" spans="1:100">
      <c r="A63035" s="374"/>
      <c r="C63035" s="374"/>
      <c r="CV63035" s="376"/>
    </row>
    <row r="63036" spans="1:100">
      <c r="A63036" s="374"/>
      <c r="C63036" s="374"/>
      <c r="CV63036" s="376"/>
    </row>
    <row r="63037" spans="1:100">
      <c r="A63037" s="374"/>
      <c r="C63037" s="374"/>
      <c r="CV63037" s="376"/>
    </row>
    <row r="63038" spans="1:100">
      <c r="A63038" s="374"/>
      <c r="C63038" s="374"/>
      <c r="CV63038" s="376"/>
    </row>
    <row r="63039" spans="1:100">
      <c r="A63039" s="374"/>
      <c r="C63039" s="374"/>
      <c r="CV63039" s="376"/>
    </row>
    <row r="63040" spans="1:100">
      <c r="A63040" s="374"/>
      <c r="C63040" s="374"/>
      <c r="CV63040" s="376"/>
    </row>
    <row r="63041" spans="1:100">
      <c r="A63041" s="374"/>
      <c r="C63041" s="374"/>
      <c r="CV63041" s="376"/>
    </row>
    <row r="63042" spans="1:100">
      <c r="A63042" s="374"/>
      <c r="C63042" s="374"/>
      <c r="CV63042" s="376"/>
    </row>
    <row r="63043" spans="1:100">
      <c r="A63043" s="374"/>
      <c r="C63043" s="374"/>
      <c r="CV63043" s="376"/>
    </row>
    <row r="63044" spans="1:100">
      <c r="A63044" s="374"/>
      <c r="C63044" s="374"/>
      <c r="CV63044" s="376"/>
    </row>
    <row r="63045" spans="1:100">
      <c r="A63045" s="374"/>
      <c r="C63045" s="374"/>
      <c r="CV63045" s="376"/>
    </row>
    <row r="63046" spans="1:100">
      <c r="A63046" s="374"/>
      <c r="C63046" s="374"/>
      <c r="CV63046" s="376"/>
    </row>
    <row r="63047" spans="1:100">
      <c r="A63047" s="374"/>
      <c r="C63047" s="374"/>
      <c r="CV63047" s="376"/>
    </row>
    <row r="63048" spans="1:100">
      <c r="A63048" s="374"/>
      <c r="C63048" s="374"/>
      <c r="CV63048" s="376"/>
    </row>
    <row r="63049" spans="1:100">
      <c r="A63049" s="374"/>
      <c r="C63049" s="374"/>
      <c r="CV63049" s="376"/>
    </row>
    <row r="63050" spans="1:100">
      <c r="A63050" s="374"/>
      <c r="C63050" s="374"/>
      <c r="CV63050" s="376"/>
    </row>
    <row r="63051" spans="1:100">
      <c r="A63051" s="374"/>
      <c r="C63051" s="374"/>
      <c r="CV63051" s="376"/>
    </row>
    <row r="63052" spans="1:100">
      <c r="A63052" s="374"/>
      <c r="C63052" s="374"/>
      <c r="CV63052" s="376"/>
    </row>
    <row r="63053" spans="1:100">
      <c r="A63053" s="374"/>
      <c r="C63053" s="374"/>
      <c r="CV63053" s="376"/>
    </row>
    <row r="63054" spans="1:100">
      <c r="A63054" s="374"/>
      <c r="C63054" s="374"/>
      <c r="CV63054" s="376"/>
    </row>
    <row r="63055" spans="1:100">
      <c r="A63055" s="374"/>
      <c r="C63055" s="374"/>
      <c r="CV63055" s="376"/>
    </row>
    <row r="63056" spans="1:100">
      <c r="A63056" s="374"/>
      <c r="C63056" s="374"/>
      <c r="CV63056" s="376"/>
    </row>
    <row r="63057" spans="1:100">
      <c r="A63057" s="374"/>
      <c r="C63057" s="374"/>
      <c r="CV63057" s="376"/>
    </row>
    <row r="63058" spans="1:100">
      <c r="A63058" s="374"/>
      <c r="C63058" s="374"/>
      <c r="CV63058" s="376"/>
    </row>
    <row r="63059" spans="1:100">
      <c r="A63059" s="374"/>
      <c r="C63059" s="374"/>
      <c r="CV63059" s="376"/>
    </row>
    <row r="63060" spans="1:100">
      <c r="A63060" s="374"/>
      <c r="C63060" s="374"/>
      <c r="CV63060" s="376"/>
    </row>
    <row r="63061" spans="1:100">
      <c r="A63061" s="374"/>
      <c r="C63061" s="374"/>
      <c r="CV63061" s="376"/>
    </row>
    <row r="63062" spans="1:100">
      <c r="A63062" s="374"/>
      <c r="C63062" s="374"/>
      <c r="CV63062" s="376"/>
    </row>
    <row r="63063" spans="1:100">
      <c r="A63063" s="374"/>
      <c r="C63063" s="374"/>
      <c r="CV63063" s="376"/>
    </row>
    <row r="63064" spans="1:100">
      <c r="A63064" s="374"/>
      <c r="C63064" s="374"/>
      <c r="CV63064" s="376"/>
    </row>
    <row r="63065" spans="1:100">
      <c r="A63065" s="374"/>
      <c r="C63065" s="374"/>
      <c r="CV63065" s="376"/>
    </row>
    <row r="63066" spans="1:100">
      <c r="A63066" s="374"/>
      <c r="C63066" s="374"/>
      <c r="CV63066" s="376"/>
    </row>
    <row r="63067" spans="1:100">
      <c r="A63067" s="374"/>
      <c r="C63067" s="374"/>
      <c r="CV63067" s="376"/>
    </row>
    <row r="63068" spans="1:100">
      <c r="A63068" s="374"/>
      <c r="C63068" s="374"/>
      <c r="CV63068" s="376"/>
    </row>
    <row r="63069" spans="1:100">
      <c r="A63069" s="374"/>
      <c r="C63069" s="374"/>
      <c r="CV63069" s="376"/>
    </row>
    <row r="63070" spans="1:100">
      <c r="A63070" s="374"/>
      <c r="C63070" s="374"/>
      <c r="CV63070" s="376"/>
    </row>
    <row r="63071" spans="1:100">
      <c r="A63071" s="374"/>
      <c r="C63071" s="374"/>
      <c r="CV63071" s="376"/>
    </row>
    <row r="63072" spans="1:100">
      <c r="A63072" s="374"/>
      <c r="C63072" s="374"/>
      <c r="CV63072" s="376"/>
    </row>
    <row r="63073" spans="1:100">
      <c r="A63073" s="374"/>
      <c r="C63073" s="374"/>
      <c r="CV63073" s="376"/>
    </row>
    <row r="63074" spans="1:100">
      <c r="A63074" s="374"/>
      <c r="C63074" s="374"/>
      <c r="CV63074" s="376"/>
    </row>
    <row r="63075" spans="1:100">
      <c r="A63075" s="374"/>
      <c r="C63075" s="374"/>
      <c r="CV63075" s="376"/>
    </row>
    <row r="63076" spans="1:100">
      <c r="A63076" s="374"/>
      <c r="C63076" s="374"/>
      <c r="CV63076" s="376"/>
    </row>
    <row r="63077" spans="1:100">
      <c r="A63077" s="374"/>
      <c r="C63077" s="374"/>
      <c r="CV63077" s="376"/>
    </row>
    <row r="63078" spans="1:100">
      <c r="A63078" s="374"/>
      <c r="C63078" s="374"/>
      <c r="CV63078" s="376"/>
    </row>
    <row r="63079" spans="1:100">
      <c r="A63079" s="374"/>
      <c r="C63079" s="374"/>
      <c r="CV63079" s="376"/>
    </row>
    <row r="63080" spans="1:100">
      <c r="A63080" s="374"/>
      <c r="C63080" s="374"/>
      <c r="CV63080" s="376"/>
    </row>
    <row r="63081" spans="1:100">
      <c r="A63081" s="374"/>
      <c r="C63081" s="374"/>
      <c r="CV63081" s="376"/>
    </row>
    <row r="63082" spans="1:100">
      <c r="A63082" s="374"/>
      <c r="C63082" s="374"/>
      <c r="CV63082" s="376"/>
    </row>
    <row r="63083" spans="1:100">
      <c r="A63083" s="374"/>
      <c r="C63083" s="374"/>
      <c r="CV63083" s="376"/>
    </row>
    <row r="63084" spans="1:100">
      <c r="A63084" s="374"/>
      <c r="C63084" s="374"/>
      <c r="CV63084" s="376"/>
    </row>
    <row r="63085" spans="1:100">
      <c r="A63085" s="374"/>
      <c r="C63085" s="374"/>
      <c r="CV63085" s="376"/>
    </row>
    <row r="63086" spans="1:100">
      <c r="A63086" s="374"/>
      <c r="C63086" s="374"/>
      <c r="CV63086" s="376"/>
    </row>
    <row r="63087" spans="1:100">
      <c r="A63087" s="374"/>
      <c r="C63087" s="374"/>
      <c r="CV63087" s="376"/>
    </row>
    <row r="63088" spans="1:100">
      <c r="A63088" s="374"/>
      <c r="C63088" s="374"/>
      <c r="CV63088" s="376"/>
    </row>
    <row r="63089" spans="1:100">
      <c r="A63089" s="374"/>
      <c r="C63089" s="374"/>
      <c r="CV63089" s="376"/>
    </row>
    <row r="63090" spans="1:100">
      <c r="A63090" s="374"/>
      <c r="C63090" s="374"/>
      <c r="CV63090" s="376"/>
    </row>
    <row r="63091" spans="1:100">
      <c r="A63091" s="374"/>
      <c r="C63091" s="374"/>
      <c r="CV63091" s="376"/>
    </row>
    <row r="63092" spans="1:100">
      <c r="A63092" s="374"/>
      <c r="C63092" s="374"/>
      <c r="CV63092" s="376"/>
    </row>
    <row r="63093" spans="1:100">
      <c r="A63093" s="374"/>
      <c r="C63093" s="374"/>
      <c r="CV63093" s="376"/>
    </row>
    <row r="63094" spans="1:100">
      <c r="A63094" s="374"/>
      <c r="C63094" s="374"/>
      <c r="CV63094" s="376"/>
    </row>
    <row r="63095" spans="1:100">
      <c r="A63095" s="374"/>
      <c r="C63095" s="374"/>
      <c r="CV63095" s="376"/>
    </row>
    <row r="63096" spans="1:100">
      <c r="A63096" s="374"/>
      <c r="C63096" s="374"/>
      <c r="CV63096" s="376"/>
    </row>
    <row r="63097" spans="1:100">
      <c r="A63097" s="374"/>
      <c r="C63097" s="374"/>
      <c r="CV63097" s="376"/>
    </row>
    <row r="63098" spans="1:100">
      <c r="A63098" s="374"/>
      <c r="C63098" s="374"/>
      <c r="CV63098" s="376"/>
    </row>
    <row r="63099" spans="1:100">
      <c r="A63099" s="374"/>
      <c r="C63099" s="374"/>
      <c r="CV63099" s="376"/>
    </row>
    <row r="63100" spans="1:100">
      <c r="A63100" s="374"/>
      <c r="C63100" s="374"/>
      <c r="CV63100" s="376"/>
    </row>
    <row r="63101" spans="1:100">
      <c r="A63101" s="374"/>
      <c r="C63101" s="374"/>
      <c r="CV63101" s="376"/>
    </row>
    <row r="63102" spans="1:100">
      <c r="A63102" s="374"/>
      <c r="C63102" s="374"/>
      <c r="CV63102" s="376"/>
    </row>
    <row r="63103" spans="1:100">
      <c r="A63103" s="374"/>
      <c r="C63103" s="374"/>
      <c r="CV63103" s="376"/>
    </row>
    <row r="63104" spans="1:100">
      <c r="A63104" s="374"/>
      <c r="C63104" s="374"/>
      <c r="CV63104" s="376"/>
    </row>
    <row r="63105" spans="1:100">
      <c r="A63105" s="374"/>
      <c r="C63105" s="374"/>
      <c r="CV63105" s="376"/>
    </row>
    <row r="63106" spans="1:100">
      <c r="A63106" s="374"/>
      <c r="C63106" s="374"/>
      <c r="CV63106" s="376"/>
    </row>
    <row r="63107" spans="1:100">
      <c r="A63107" s="374"/>
      <c r="C63107" s="374"/>
      <c r="CV63107" s="376"/>
    </row>
    <row r="63108" spans="1:100">
      <c r="A63108" s="374"/>
      <c r="C63108" s="374"/>
      <c r="CV63108" s="376"/>
    </row>
    <row r="63109" spans="1:100">
      <c r="A63109" s="374"/>
      <c r="C63109" s="374"/>
      <c r="CV63109" s="376"/>
    </row>
    <row r="63110" spans="1:100">
      <c r="A63110" s="374"/>
      <c r="C63110" s="374"/>
      <c r="CV63110" s="376"/>
    </row>
    <row r="63111" spans="1:100">
      <c r="A63111" s="374"/>
      <c r="C63111" s="374"/>
      <c r="CV63111" s="376"/>
    </row>
    <row r="63112" spans="1:100">
      <c r="A63112" s="374"/>
      <c r="C63112" s="374"/>
      <c r="CV63112" s="376"/>
    </row>
    <row r="63113" spans="1:100">
      <c r="A63113" s="374"/>
      <c r="C63113" s="374"/>
      <c r="CV63113" s="376"/>
    </row>
    <row r="63114" spans="1:100">
      <c r="A63114" s="374"/>
      <c r="C63114" s="374"/>
      <c r="CV63114" s="376"/>
    </row>
    <row r="63115" spans="1:100">
      <c r="A63115" s="374"/>
      <c r="C63115" s="374"/>
      <c r="CV63115" s="376"/>
    </row>
    <row r="63116" spans="1:100">
      <c r="A63116" s="374"/>
      <c r="C63116" s="374"/>
      <c r="CV63116" s="376"/>
    </row>
    <row r="63117" spans="1:100">
      <c r="A63117" s="374"/>
      <c r="C63117" s="374"/>
      <c r="CV63117" s="376"/>
    </row>
    <row r="63118" spans="1:100">
      <c r="A63118" s="374"/>
      <c r="C63118" s="374"/>
      <c r="CV63118" s="376"/>
    </row>
    <row r="63119" spans="1:100">
      <c r="A63119" s="374"/>
      <c r="C63119" s="374"/>
      <c r="CV63119" s="376"/>
    </row>
    <row r="63120" spans="1:100">
      <c r="A63120" s="374"/>
      <c r="C63120" s="374"/>
      <c r="CV63120" s="376"/>
    </row>
    <row r="63121" spans="1:100">
      <c r="A63121" s="374"/>
      <c r="C63121" s="374"/>
      <c r="CV63121" s="376"/>
    </row>
    <row r="63122" spans="1:100">
      <c r="A63122" s="374"/>
      <c r="C63122" s="374"/>
      <c r="CV63122" s="376"/>
    </row>
    <row r="63123" spans="1:100">
      <c r="A63123" s="374"/>
      <c r="C63123" s="374"/>
      <c r="CV63123" s="376"/>
    </row>
    <row r="63124" spans="1:100">
      <c r="A63124" s="374"/>
      <c r="C63124" s="374"/>
      <c r="CV63124" s="376"/>
    </row>
    <row r="63125" spans="1:100">
      <c r="A63125" s="374"/>
      <c r="C63125" s="374"/>
      <c r="CV63125" s="376"/>
    </row>
    <row r="63126" spans="1:100">
      <c r="A63126" s="374"/>
      <c r="C63126" s="374"/>
      <c r="CV63126" s="376"/>
    </row>
    <row r="63127" spans="1:100">
      <c r="A63127" s="374"/>
      <c r="C63127" s="374"/>
      <c r="CV63127" s="376"/>
    </row>
    <row r="63128" spans="1:100">
      <c r="A63128" s="374"/>
      <c r="C63128" s="374"/>
      <c r="CV63128" s="376"/>
    </row>
    <row r="63129" spans="1:100">
      <c r="A63129" s="374"/>
      <c r="C63129" s="374"/>
      <c r="CV63129" s="376"/>
    </row>
    <row r="63130" spans="1:100">
      <c r="A63130" s="374"/>
      <c r="C63130" s="374"/>
      <c r="CV63130" s="376"/>
    </row>
    <row r="63131" spans="1:100">
      <c r="A63131" s="374"/>
      <c r="C63131" s="374"/>
      <c r="CV63131" s="376"/>
    </row>
    <row r="63132" spans="1:100">
      <c r="A63132" s="374"/>
      <c r="C63132" s="374"/>
      <c r="CV63132" s="376"/>
    </row>
    <row r="63133" spans="1:100">
      <c r="A63133" s="374"/>
      <c r="C63133" s="374"/>
      <c r="CV63133" s="376"/>
    </row>
    <row r="63134" spans="1:100">
      <c r="A63134" s="374"/>
      <c r="C63134" s="374"/>
      <c r="CV63134" s="376"/>
    </row>
    <row r="63135" spans="1:100">
      <c r="A63135" s="374"/>
      <c r="C63135" s="374"/>
      <c r="CV63135" s="376"/>
    </row>
    <row r="63136" spans="1:100">
      <c r="A63136" s="374"/>
      <c r="C63136" s="374"/>
      <c r="CV63136" s="376"/>
    </row>
    <row r="63137" spans="1:100">
      <c r="A63137" s="374"/>
      <c r="C63137" s="374"/>
      <c r="CV63137" s="376"/>
    </row>
    <row r="63138" spans="1:100">
      <c r="A63138" s="374"/>
      <c r="C63138" s="374"/>
      <c r="CV63138" s="376"/>
    </row>
    <row r="63139" spans="1:100">
      <c r="A63139" s="374"/>
      <c r="C63139" s="374"/>
      <c r="CV63139" s="376"/>
    </row>
    <row r="63140" spans="1:100">
      <c r="A63140" s="374"/>
      <c r="C63140" s="374"/>
      <c r="CV63140" s="376"/>
    </row>
    <row r="63141" spans="1:100">
      <c r="A63141" s="374"/>
      <c r="C63141" s="374"/>
      <c r="CV63141" s="376"/>
    </row>
    <row r="63142" spans="1:100">
      <c r="A63142" s="374"/>
      <c r="C63142" s="374"/>
      <c r="CV63142" s="376"/>
    </row>
    <row r="63143" spans="1:100">
      <c r="A63143" s="374"/>
      <c r="C63143" s="374"/>
      <c r="CV63143" s="376"/>
    </row>
    <row r="63144" spans="1:100">
      <c r="A63144" s="374"/>
      <c r="C63144" s="374"/>
      <c r="CV63144" s="376"/>
    </row>
    <row r="63145" spans="1:100">
      <c r="A63145" s="374"/>
      <c r="C63145" s="374"/>
      <c r="CV63145" s="376"/>
    </row>
    <row r="63146" spans="1:100">
      <c r="A63146" s="374"/>
      <c r="C63146" s="374"/>
      <c r="CV63146" s="376"/>
    </row>
    <row r="63147" spans="1:100">
      <c r="A63147" s="374"/>
      <c r="C63147" s="374"/>
      <c r="CV63147" s="376"/>
    </row>
    <row r="63148" spans="1:100">
      <c r="A63148" s="374"/>
      <c r="C63148" s="374"/>
      <c r="CV63148" s="376"/>
    </row>
    <row r="63149" spans="1:100">
      <c r="A63149" s="374"/>
      <c r="C63149" s="374"/>
      <c r="CV63149" s="376"/>
    </row>
    <row r="63150" spans="1:100">
      <c r="A63150" s="374"/>
      <c r="C63150" s="374"/>
      <c r="CV63150" s="376"/>
    </row>
    <row r="63151" spans="1:100">
      <c r="A63151" s="374"/>
      <c r="C63151" s="374"/>
      <c r="CV63151" s="376"/>
    </row>
    <row r="63152" spans="1:100">
      <c r="A63152" s="374"/>
      <c r="C63152" s="374"/>
      <c r="CV63152" s="376"/>
    </row>
    <row r="63153" spans="1:100">
      <c r="A63153" s="374"/>
      <c r="C63153" s="374"/>
      <c r="CV63153" s="376"/>
    </row>
    <row r="63154" spans="1:100">
      <c r="A63154" s="374"/>
      <c r="C63154" s="374"/>
      <c r="CV63154" s="376"/>
    </row>
    <row r="63155" spans="1:100">
      <c r="A63155" s="374"/>
      <c r="C63155" s="374"/>
      <c r="CV63155" s="376"/>
    </row>
    <row r="63156" spans="1:100">
      <c r="A63156" s="374"/>
      <c r="C63156" s="374"/>
      <c r="CV63156" s="376"/>
    </row>
    <row r="63157" spans="1:100">
      <c r="A63157" s="374"/>
      <c r="C63157" s="374"/>
      <c r="CV63157" s="376"/>
    </row>
    <row r="63158" spans="1:100">
      <c r="A63158" s="374"/>
      <c r="C63158" s="374"/>
      <c r="CV63158" s="376"/>
    </row>
    <row r="63159" spans="1:100">
      <c r="A63159" s="374"/>
      <c r="C63159" s="374"/>
      <c r="CV63159" s="376"/>
    </row>
    <row r="63160" spans="1:100">
      <c r="A63160" s="374"/>
      <c r="C63160" s="374"/>
      <c r="CV63160" s="376"/>
    </row>
    <row r="63161" spans="1:100">
      <c r="A63161" s="374"/>
      <c r="C63161" s="374"/>
      <c r="CV63161" s="376"/>
    </row>
    <row r="63162" spans="1:100">
      <c r="A63162" s="374"/>
      <c r="C63162" s="374"/>
      <c r="CV63162" s="376"/>
    </row>
    <row r="63163" spans="1:100">
      <c r="A63163" s="374"/>
      <c r="C63163" s="374"/>
      <c r="CV63163" s="376"/>
    </row>
    <row r="63164" spans="1:100">
      <c r="A63164" s="374"/>
      <c r="C63164" s="374"/>
      <c r="CV63164" s="376"/>
    </row>
    <row r="63165" spans="1:100">
      <c r="A63165" s="374"/>
      <c r="C63165" s="374"/>
      <c r="CV63165" s="376"/>
    </row>
    <row r="63166" spans="1:100">
      <c r="A63166" s="374"/>
      <c r="C63166" s="374"/>
      <c r="CV63166" s="376"/>
    </row>
    <row r="63167" spans="1:100">
      <c r="A63167" s="374"/>
      <c r="C63167" s="374"/>
      <c r="CV63167" s="376"/>
    </row>
    <row r="63168" spans="1:100">
      <c r="A63168" s="374"/>
      <c r="C63168" s="374"/>
      <c r="CV63168" s="376"/>
    </row>
    <row r="63169" spans="1:100">
      <c r="A63169" s="374"/>
      <c r="C63169" s="374"/>
      <c r="CV63169" s="376"/>
    </row>
    <row r="63170" spans="1:100">
      <c r="A63170" s="374"/>
      <c r="C63170" s="374"/>
      <c r="CV63170" s="376"/>
    </row>
    <row r="63171" spans="1:100">
      <c r="A63171" s="374"/>
      <c r="C63171" s="374"/>
      <c r="CV63171" s="376"/>
    </row>
    <row r="63172" spans="1:100">
      <c r="A63172" s="374"/>
      <c r="C63172" s="374"/>
      <c r="CV63172" s="376"/>
    </row>
    <row r="63173" spans="1:100">
      <c r="A63173" s="374"/>
      <c r="C63173" s="374"/>
      <c r="CV63173" s="376"/>
    </row>
    <row r="63174" spans="1:100">
      <c r="A63174" s="374"/>
      <c r="C63174" s="374"/>
      <c r="CV63174" s="376"/>
    </row>
    <row r="63175" spans="1:100">
      <c r="A63175" s="374"/>
      <c r="C63175" s="374"/>
      <c r="CV63175" s="376"/>
    </row>
    <row r="63176" spans="1:100">
      <c r="A63176" s="374"/>
      <c r="C63176" s="374"/>
      <c r="CV63176" s="376"/>
    </row>
    <row r="63177" spans="1:100">
      <c r="A63177" s="374"/>
      <c r="C63177" s="374"/>
      <c r="CV63177" s="376"/>
    </row>
    <row r="63178" spans="1:100">
      <c r="A63178" s="374"/>
      <c r="C63178" s="374"/>
      <c r="CV63178" s="376"/>
    </row>
    <row r="63179" spans="1:100">
      <c r="A63179" s="374"/>
      <c r="C63179" s="374"/>
      <c r="CV63179" s="376"/>
    </row>
    <row r="63180" spans="1:100">
      <c r="A63180" s="374"/>
      <c r="C63180" s="374"/>
      <c r="CV63180" s="376"/>
    </row>
    <row r="63181" spans="1:100">
      <c r="A63181" s="374"/>
      <c r="C63181" s="374"/>
      <c r="CV63181" s="376"/>
    </row>
    <row r="63182" spans="1:100">
      <c r="A63182" s="374"/>
      <c r="C63182" s="374"/>
      <c r="CV63182" s="376"/>
    </row>
    <row r="63183" spans="1:100">
      <c r="A63183" s="374"/>
      <c r="C63183" s="374"/>
      <c r="CV63183" s="376"/>
    </row>
    <row r="63184" spans="1:100">
      <c r="A63184" s="374"/>
      <c r="C63184" s="374"/>
      <c r="CV63184" s="376"/>
    </row>
    <row r="63185" spans="1:100">
      <c r="A63185" s="374"/>
      <c r="C63185" s="374"/>
      <c r="CV63185" s="376"/>
    </row>
    <row r="63186" spans="1:100">
      <c r="A63186" s="374"/>
      <c r="C63186" s="374"/>
      <c r="CV63186" s="376"/>
    </row>
    <row r="63187" spans="1:100">
      <c r="A63187" s="374"/>
      <c r="C63187" s="374"/>
      <c r="CV63187" s="376"/>
    </row>
    <row r="63188" spans="1:100">
      <c r="A63188" s="374"/>
      <c r="C63188" s="374"/>
      <c r="CV63188" s="376"/>
    </row>
    <row r="63189" spans="1:100">
      <c r="A63189" s="374"/>
      <c r="C63189" s="374"/>
      <c r="CV63189" s="376"/>
    </row>
    <row r="63190" spans="1:100">
      <c r="A63190" s="374"/>
      <c r="C63190" s="374"/>
      <c r="CV63190" s="376"/>
    </row>
    <row r="63191" spans="1:100">
      <c r="A63191" s="374"/>
      <c r="C63191" s="374"/>
      <c r="CV63191" s="376"/>
    </row>
    <row r="63192" spans="1:100">
      <c r="A63192" s="374"/>
      <c r="C63192" s="374"/>
      <c r="CV63192" s="376"/>
    </row>
    <row r="63193" spans="1:100">
      <c r="A63193" s="374"/>
      <c r="C63193" s="374"/>
      <c r="CV63193" s="376"/>
    </row>
    <row r="63194" spans="1:100">
      <c r="A63194" s="374"/>
      <c r="C63194" s="374"/>
      <c r="CV63194" s="376"/>
    </row>
    <row r="63195" spans="1:100">
      <c r="A63195" s="374"/>
      <c r="C63195" s="374"/>
      <c r="CV63195" s="376"/>
    </row>
    <row r="63196" spans="1:100">
      <c r="A63196" s="374"/>
      <c r="C63196" s="374"/>
      <c r="CV63196" s="376"/>
    </row>
    <row r="63197" spans="1:100">
      <c r="A63197" s="374"/>
      <c r="C63197" s="374"/>
      <c r="CV63197" s="376"/>
    </row>
    <row r="63198" spans="1:100">
      <c r="A63198" s="374"/>
      <c r="C63198" s="374"/>
      <c r="CV63198" s="376"/>
    </row>
    <row r="63199" spans="1:100">
      <c r="A63199" s="374"/>
      <c r="C63199" s="374"/>
      <c r="CV63199" s="376"/>
    </row>
    <row r="63200" spans="1:100">
      <c r="A63200" s="374"/>
      <c r="C63200" s="374"/>
      <c r="CV63200" s="376"/>
    </row>
    <row r="63201" spans="1:100">
      <c r="A63201" s="374"/>
      <c r="C63201" s="374"/>
      <c r="CV63201" s="376"/>
    </row>
    <row r="63202" spans="1:100">
      <c r="A63202" s="374"/>
      <c r="C63202" s="374"/>
      <c r="CV63202" s="376"/>
    </row>
    <row r="63203" spans="1:100">
      <c r="A63203" s="374"/>
      <c r="C63203" s="374"/>
      <c r="CV63203" s="376"/>
    </row>
    <row r="63204" spans="1:100">
      <c r="A63204" s="374"/>
      <c r="C63204" s="374"/>
      <c r="CV63204" s="376"/>
    </row>
    <row r="63205" spans="1:100">
      <c r="A63205" s="374"/>
      <c r="C63205" s="374"/>
      <c r="CV63205" s="376"/>
    </row>
    <row r="63206" spans="1:100">
      <c r="A63206" s="374"/>
      <c r="C63206" s="374"/>
      <c r="CV63206" s="376"/>
    </row>
    <row r="63207" spans="1:100">
      <c r="A63207" s="374"/>
      <c r="C63207" s="374"/>
      <c r="CV63207" s="376"/>
    </row>
    <row r="63208" spans="1:100">
      <c r="A63208" s="374"/>
      <c r="C63208" s="374"/>
      <c r="CV63208" s="376"/>
    </row>
    <row r="63209" spans="1:100">
      <c r="A63209" s="374"/>
      <c r="C63209" s="374"/>
      <c r="CV63209" s="376"/>
    </row>
    <row r="63210" spans="1:100">
      <c r="A63210" s="374"/>
      <c r="C63210" s="374"/>
      <c r="CV63210" s="376"/>
    </row>
    <row r="63211" spans="1:100">
      <c r="A63211" s="374"/>
      <c r="C63211" s="374"/>
      <c r="CV63211" s="376"/>
    </row>
    <row r="63212" spans="1:100">
      <c r="A63212" s="374"/>
      <c r="C63212" s="374"/>
      <c r="CV63212" s="376"/>
    </row>
    <row r="63213" spans="1:100">
      <c r="A63213" s="374"/>
      <c r="C63213" s="374"/>
      <c r="CV63213" s="376"/>
    </row>
    <row r="63214" spans="1:100">
      <c r="A63214" s="374"/>
      <c r="C63214" s="374"/>
      <c r="CV63214" s="376"/>
    </row>
    <row r="63215" spans="1:100">
      <c r="A63215" s="374"/>
      <c r="C63215" s="374"/>
      <c r="CV63215" s="376"/>
    </row>
    <row r="63216" spans="1:100">
      <c r="A63216" s="374"/>
      <c r="C63216" s="374"/>
      <c r="CV63216" s="376"/>
    </row>
    <row r="63217" spans="1:100">
      <c r="A63217" s="374"/>
      <c r="C63217" s="374"/>
      <c r="CV63217" s="376"/>
    </row>
    <row r="63218" spans="1:100">
      <c r="A63218" s="374"/>
      <c r="C63218" s="374"/>
      <c r="CV63218" s="376"/>
    </row>
    <row r="63219" spans="1:100">
      <c r="A63219" s="374"/>
      <c r="C63219" s="374"/>
      <c r="CV63219" s="376"/>
    </row>
    <row r="63220" spans="1:100">
      <c r="A63220" s="374"/>
      <c r="C63220" s="374"/>
      <c r="CV63220" s="376"/>
    </row>
    <row r="63221" spans="1:100">
      <c r="A63221" s="374"/>
      <c r="C63221" s="374"/>
      <c r="CV63221" s="376"/>
    </row>
    <row r="63222" spans="1:100">
      <c r="A63222" s="374"/>
      <c r="C63222" s="374"/>
      <c r="CV63222" s="376"/>
    </row>
    <row r="63223" spans="1:100">
      <c r="A63223" s="374"/>
      <c r="C63223" s="374"/>
      <c r="CV63223" s="376"/>
    </row>
    <row r="63224" spans="1:100">
      <c r="A63224" s="374"/>
      <c r="C63224" s="374"/>
      <c r="CV63224" s="376"/>
    </row>
    <row r="63225" spans="1:100">
      <c r="A63225" s="374"/>
      <c r="C63225" s="374"/>
      <c r="CV63225" s="376"/>
    </row>
    <row r="63226" spans="1:100">
      <c r="A63226" s="374"/>
      <c r="C63226" s="374"/>
      <c r="CV63226" s="376"/>
    </row>
    <row r="63227" spans="1:100">
      <c r="A63227" s="374"/>
      <c r="C63227" s="374"/>
      <c r="CV63227" s="376"/>
    </row>
    <row r="63228" spans="1:100">
      <c r="A63228" s="374"/>
      <c r="C63228" s="374"/>
      <c r="CV63228" s="376"/>
    </row>
    <row r="63229" spans="1:100">
      <c r="A63229" s="374"/>
      <c r="C63229" s="374"/>
      <c r="CV63229" s="376"/>
    </row>
    <row r="63230" spans="1:100">
      <c r="A63230" s="374"/>
      <c r="C63230" s="374"/>
      <c r="CV63230" s="376"/>
    </row>
    <row r="63231" spans="1:100">
      <c r="A63231" s="374"/>
      <c r="C63231" s="374"/>
      <c r="CV63231" s="376"/>
    </row>
    <row r="63232" spans="1:100">
      <c r="A63232" s="374"/>
      <c r="C63232" s="374"/>
      <c r="CV63232" s="376"/>
    </row>
    <row r="63233" spans="1:100">
      <c r="A63233" s="374"/>
      <c r="C63233" s="374"/>
      <c r="CV63233" s="376"/>
    </row>
    <row r="63234" spans="1:100">
      <c r="A63234" s="374"/>
      <c r="C63234" s="374"/>
      <c r="CV63234" s="376"/>
    </row>
    <row r="63235" spans="1:100">
      <c r="A63235" s="374"/>
      <c r="C63235" s="374"/>
      <c r="CV63235" s="376"/>
    </row>
    <row r="63236" spans="1:100">
      <c r="A63236" s="374"/>
      <c r="C63236" s="374"/>
      <c r="CV63236" s="376"/>
    </row>
    <row r="63237" spans="1:100">
      <c r="A63237" s="374"/>
      <c r="C63237" s="374"/>
      <c r="CV63237" s="376"/>
    </row>
    <row r="63238" spans="1:100">
      <c r="A63238" s="374"/>
      <c r="C63238" s="374"/>
      <c r="CV63238" s="376"/>
    </row>
    <row r="63239" spans="1:100">
      <c r="A63239" s="374"/>
      <c r="C63239" s="374"/>
      <c r="CV63239" s="376"/>
    </row>
    <row r="63240" spans="1:100">
      <c r="A63240" s="374"/>
      <c r="C63240" s="374"/>
      <c r="CV63240" s="376"/>
    </row>
    <row r="63241" spans="1:100">
      <c r="A63241" s="374"/>
      <c r="C63241" s="374"/>
      <c r="CV63241" s="376"/>
    </row>
    <row r="63242" spans="1:100">
      <c r="A63242" s="374"/>
      <c r="C63242" s="374"/>
      <c r="CV63242" s="376"/>
    </row>
    <row r="63243" spans="1:100">
      <c r="A63243" s="374"/>
      <c r="C63243" s="374"/>
      <c r="CV63243" s="376"/>
    </row>
    <row r="63244" spans="1:100">
      <c r="A63244" s="374"/>
      <c r="C63244" s="374"/>
      <c r="CV63244" s="376"/>
    </row>
    <row r="63245" spans="1:100">
      <c r="A63245" s="374"/>
      <c r="C63245" s="374"/>
      <c r="CV63245" s="376"/>
    </row>
    <row r="63246" spans="1:100">
      <c r="A63246" s="374"/>
      <c r="C63246" s="374"/>
      <c r="CV63246" s="376"/>
    </row>
    <row r="63247" spans="1:100">
      <c r="A63247" s="374"/>
      <c r="C63247" s="374"/>
      <c r="CV63247" s="376"/>
    </row>
    <row r="63248" spans="1:100">
      <c r="A63248" s="374"/>
      <c r="C63248" s="374"/>
      <c r="CV63248" s="376"/>
    </row>
    <row r="63249" spans="1:100">
      <c r="A63249" s="374"/>
      <c r="C63249" s="374"/>
      <c r="CV63249" s="376"/>
    </row>
    <row r="63250" spans="1:100">
      <c r="A63250" s="374"/>
      <c r="C63250" s="374"/>
      <c r="CV63250" s="376"/>
    </row>
    <row r="63251" spans="1:100">
      <c r="A63251" s="374"/>
      <c r="C63251" s="374"/>
      <c r="CV63251" s="376"/>
    </row>
    <row r="63252" spans="1:100">
      <c r="A63252" s="374"/>
      <c r="C63252" s="374"/>
      <c r="CV63252" s="376"/>
    </row>
    <row r="63253" spans="1:100">
      <c r="A63253" s="374"/>
      <c r="C63253" s="374"/>
      <c r="CV63253" s="376"/>
    </row>
    <row r="63254" spans="1:100">
      <c r="A63254" s="374"/>
      <c r="C63254" s="374"/>
      <c r="CV63254" s="376"/>
    </row>
    <row r="63255" spans="1:100">
      <c r="A63255" s="374"/>
      <c r="C63255" s="374"/>
      <c r="CV63255" s="376"/>
    </row>
    <row r="63256" spans="1:100">
      <c r="A63256" s="374"/>
      <c r="C63256" s="374"/>
      <c r="CV63256" s="376"/>
    </row>
    <row r="63257" spans="1:100">
      <c r="A63257" s="374"/>
      <c r="C63257" s="374"/>
      <c r="CV63257" s="376"/>
    </row>
    <row r="63258" spans="1:100">
      <c r="A63258" s="374"/>
      <c r="C63258" s="374"/>
      <c r="CV63258" s="376"/>
    </row>
    <row r="63259" spans="1:100">
      <c r="A63259" s="374"/>
      <c r="C63259" s="374"/>
      <c r="CV63259" s="376"/>
    </row>
    <row r="63260" spans="1:100">
      <c r="A63260" s="374"/>
      <c r="C63260" s="374"/>
      <c r="CV63260" s="376"/>
    </row>
    <row r="63261" spans="1:100">
      <c r="A63261" s="374"/>
      <c r="C63261" s="374"/>
      <c r="CV63261" s="376"/>
    </row>
    <row r="63262" spans="1:100">
      <c r="A63262" s="374"/>
      <c r="C63262" s="374"/>
      <c r="CV63262" s="376"/>
    </row>
    <row r="63263" spans="1:100">
      <c r="A63263" s="374"/>
      <c r="C63263" s="374"/>
      <c r="CV63263" s="376"/>
    </row>
    <row r="63264" spans="1:100">
      <c r="A63264" s="374"/>
      <c r="C63264" s="374"/>
      <c r="CV63264" s="376"/>
    </row>
    <row r="63265" spans="1:100">
      <c r="A63265" s="374"/>
      <c r="C63265" s="374"/>
      <c r="CV63265" s="376"/>
    </row>
    <row r="63266" spans="1:100">
      <c r="A63266" s="374"/>
      <c r="C63266" s="374"/>
      <c r="CV63266" s="376"/>
    </row>
    <row r="63267" spans="1:100">
      <c r="A63267" s="374"/>
      <c r="C63267" s="374"/>
      <c r="CV63267" s="376"/>
    </row>
    <row r="63268" spans="1:100">
      <c r="A63268" s="374"/>
      <c r="C63268" s="374"/>
      <c r="CV63268" s="376"/>
    </row>
    <row r="63269" spans="1:100">
      <c r="A63269" s="374"/>
      <c r="C63269" s="374"/>
      <c r="CV63269" s="376"/>
    </row>
    <row r="63270" spans="1:100">
      <c r="A63270" s="374"/>
      <c r="C63270" s="374"/>
      <c r="CV63270" s="376"/>
    </row>
    <row r="63271" spans="1:100">
      <c r="A63271" s="374"/>
      <c r="C63271" s="374"/>
      <c r="CV63271" s="376"/>
    </row>
    <row r="63272" spans="1:100">
      <c r="A63272" s="374"/>
      <c r="C63272" s="374"/>
      <c r="CV63272" s="376"/>
    </row>
    <row r="63273" spans="1:100">
      <c r="A63273" s="374"/>
      <c r="C63273" s="374"/>
      <c r="CV63273" s="376"/>
    </row>
    <row r="63274" spans="1:100">
      <c r="A63274" s="374"/>
      <c r="C63274" s="374"/>
      <c r="CV63274" s="376"/>
    </row>
    <row r="63275" spans="1:100">
      <c r="A63275" s="374"/>
      <c r="C63275" s="374"/>
      <c r="CV63275" s="376"/>
    </row>
    <row r="63276" spans="1:100">
      <c r="A63276" s="374"/>
      <c r="C63276" s="374"/>
      <c r="CV63276" s="376"/>
    </row>
    <row r="63277" spans="1:100">
      <c r="A63277" s="374"/>
      <c r="C63277" s="374"/>
      <c r="CV63277" s="376"/>
    </row>
    <row r="63278" spans="1:100">
      <c r="A63278" s="374"/>
      <c r="C63278" s="374"/>
      <c r="CV63278" s="376"/>
    </row>
    <row r="63279" spans="1:100">
      <c r="A63279" s="374"/>
      <c r="C63279" s="374"/>
      <c r="CV63279" s="376"/>
    </row>
    <row r="63280" spans="1:100">
      <c r="A63280" s="374"/>
      <c r="C63280" s="374"/>
      <c r="CV63280" s="376"/>
    </row>
    <row r="63281" spans="1:100">
      <c r="A63281" s="374"/>
      <c r="C63281" s="374"/>
      <c r="CV63281" s="376"/>
    </row>
    <row r="63282" spans="1:100">
      <c r="A63282" s="374"/>
      <c r="C63282" s="374"/>
      <c r="CV63282" s="376"/>
    </row>
    <row r="63283" spans="1:100">
      <c r="A63283" s="374"/>
      <c r="C63283" s="374"/>
      <c r="CV63283" s="376"/>
    </row>
    <row r="63284" spans="1:100">
      <c r="A63284" s="374"/>
      <c r="C63284" s="374"/>
      <c r="CV63284" s="376"/>
    </row>
    <row r="63285" spans="1:100">
      <c r="A63285" s="374"/>
      <c r="C63285" s="374"/>
      <c r="CV63285" s="376"/>
    </row>
    <row r="63286" spans="1:100">
      <c r="A63286" s="374"/>
      <c r="C63286" s="374"/>
      <c r="CV63286" s="376"/>
    </row>
    <row r="63287" spans="1:100">
      <c r="A63287" s="374"/>
      <c r="C63287" s="374"/>
      <c r="CV63287" s="376"/>
    </row>
    <row r="63288" spans="1:100">
      <c r="A63288" s="374"/>
      <c r="C63288" s="374"/>
      <c r="CV63288" s="376"/>
    </row>
    <row r="63289" spans="1:100">
      <c r="A63289" s="374"/>
      <c r="C63289" s="374"/>
      <c r="CV63289" s="376"/>
    </row>
    <row r="63290" spans="1:100">
      <c r="A63290" s="374"/>
      <c r="C63290" s="374"/>
      <c r="CV63290" s="376"/>
    </row>
    <row r="63291" spans="1:100">
      <c r="A63291" s="374"/>
      <c r="C63291" s="374"/>
      <c r="CV63291" s="376"/>
    </row>
    <row r="63292" spans="1:100">
      <c r="A63292" s="374"/>
      <c r="C63292" s="374"/>
      <c r="CV63292" s="376"/>
    </row>
    <row r="63293" spans="1:100">
      <c r="A63293" s="374"/>
      <c r="C63293" s="374"/>
      <c r="CV63293" s="376"/>
    </row>
    <row r="63294" spans="1:100">
      <c r="A63294" s="374"/>
      <c r="C63294" s="374"/>
      <c r="CV63294" s="376"/>
    </row>
    <row r="63295" spans="1:100">
      <c r="A63295" s="374"/>
      <c r="C63295" s="374"/>
      <c r="CV63295" s="376"/>
    </row>
    <row r="63296" spans="1:100">
      <c r="A63296" s="374"/>
      <c r="C63296" s="374"/>
      <c r="CV63296" s="376"/>
    </row>
    <row r="63297" spans="1:100">
      <c r="A63297" s="374"/>
      <c r="C63297" s="374"/>
      <c r="CV63297" s="376"/>
    </row>
    <row r="63298" spans="1:100">
      <c r="A63298" s="374"/>
      <c r="C63298" s="374"/>
      <c r="CV63298" s="376"/>
    </row>
    <row r="63299" spans="1:100">
      <c r="A63299" s="374"/>
      <c r="C63299" s="374"/>
      <c r="CV63299" s="376"/>
    </row>
    <row r="63300" spans="1:100">
      <c r="A63300" s="374"/>
      <c r="C63300" s="374"/>
      <c r="CV63300" s="376"/>
    </row>
    <row r="63301" spans="1:100">
      <c r="A63301" s="374"/>
      <c r="C63301" s="374"/>
      <c r="CV63301" s="376"/>
    </row>
    <row r="63302" spans="1:100">
      <c r="A63302" s="374"/>
      <c r="C63302" s="374"/>
      <c r="CV63302" s="376"/>
    </row>
    <row r="63303" spans="1:100">
      <c r="A63303" s="374"/>
      <c r="C63303" s="374"/>
      <c r="CV63303" s="376"/>
    </row>
    <row r="63304" spans="1:100">
      <c r="A63304" s="374"/>
      <c r="C63304" s="374"/>
      <c r="CV63304" s="376"/>
    </row>
    <row r="63305" spans="1:100">
      <c r="A63305" s="374"/>
      <c r="C63305" s="374"/>
      <c r="CV63305" s="376"/>
    </row>
    <row r="63306" spans="1:100">
      <c r="A63306" s="374"/>
      <c r="C63306" s="374"/>
      <c r="CV63306" s="376"/>
    </row>
    <row r="63307" spans="1:100">
      <c r="A63307" s="374"/>
      <c r="C63307" s="374"/>
      <c r="CV63307" s="376"/>
    </row>
    <row r="63308" spans="1:100">
      <c r="A63308" s="374"/>
      <c r="C63308" s="374"/>
      <c r="CV63308" s="376"/>
    </row>
    <row r="63309" spans="1:100">
      <c r="A63309" s="374"/>
      <c r="C63309" s="374"/>
      <c r="CV63309" s="376"/>
    </row>
    <row r="63310" spans="1:100">
      <c r="A63310" s="374"/>
      <c r="C63310" s="374"/>
      <c r="CV63310" s="376"/>
    </row>
    <row r="63311" spans="1:100">
      <c r="A63311" s="374"/>
      <c r="C63311" s="374"/>
      <c r="CV63311" s="376"/>
    </row>
    <row r="63312" spans="1:100">
      <c r="A63312" s="374"/>
      <c r="C63312" s="374"/>
      <c r="CV63312" s="376"/>
    </row>
    <row r="63313" spans="1:100">
      <c r="A63313" s="374"/>
      <c r="C63313" s="374"/>
      <c r="CV63313" s="376"/>
    </row>
    <row r="63314" spans="1:100">
      <c r="A63314" s="374"/>
      <c r="C63314" s="374"/>
      <c r="CV63314" s="376"/>
    </row>
    <row r="63315" spans="1:100">
      <c r="A63315" s="374"/>
      <c r="C63315" s="374"/>
      <c r="CV63315" s="376"/>
    </row>
    <row r="63316" spans="1:100">
      <c r="A63316" s="374"/>
      <c r="C63316" s="374"/>
      <c r="CV63316" s="376"/>
    </row>
    <row r="63317" spans="1:100">
      <c r="A63317" s="374"/>
      <c r="C63317" s="374"/>
      <c r="CV63317" s="376"/>
    </row>
    <row r="63318" spans="1:100">
      <c r="A63318" s="374"/>
      <c r="C63318" s="374"/>
      <c r="CV63318" s="376"/>
    </row>
    <row r="63319" spans="1:100">
      <c r="A63319" s="374"/>
      <c r="C63319" s="374"/>
      <c r="CV63319" s="376"/>
    </row>
    <row r="63320" spans="1:100">
      <c r="A63320" s="374"/>
      <c r="C63320" s="374"/>
      <c r="CV63320" s="376"/>
    </row>
    <row r="63321" spans="1:100">
      <c r="A63321" s="374"/>
      <c r="C63321" s="374"/>
      <c r="CV63321" s="376"/>
    </row>
    <row r="63322" spans="1:100">
      <c r="A63322" s="374"/>
      <c r="C63322" s="374"/>
      <c r="CV63322" s="376"/>
    </row>
    <row r="63323" spans="1:100">
      <c r="A63323" s="374"/>
      <c r="C63323" s="374"/>
      <c r="CV63323" s="376"/>
    </row>
    <row r="63324" spans="1:100">
      <c r="A63324" s="374"/>
      <c r="C63324" s="374"/>
      <c r="CV63324" s="376"/>
    </row>
    <row r="63325" spans="1:100">
      <c r="A63325" s="374"/>
      <c r="C63325" s="374"/>
      <c r="CV63325" s="376"/>
    </row>
    <row r="63326" spans="1:100">
      <c r="A63326" s="374"/>
      <c r="C63326" s="374"/>
      <c r="CV63326" s="376"/>
    </row>
    <row r="63327" spans="1:100">
      <c r="A63327" s="374"/>
      <c r="C63327" s="374"/>
      <c r="CV63327" s="376"/>
    </row>
    <row r="63328" spans="1:100">
      <c r="A63328" s="374"/>
      <c r="C63328" s="374"/>
      <c r="CV63328" s="376"/>
    </row>
    <row r="63329" spans="1:100">
      <c r="A63329" s="374"/>
      <c r="C63329" s="374"/>
      <c r="CV63329" s="376"/>
    </row>
    <row r="63330" spans="1:100">
      <c r="A63330" s="374"/>
      <c r="C63330" s="374"/>
      <c r="CV63330" s="376"/>
    </row>
    <row r="63331" spans="1:100">
      <c r="A63331" s="374"/>
      <c r="C63331" s="374"/>
      <c r="CV63331" s="376"/>
    </row>
    <row r="63332" spans="1:100">
      <c r="A63332" s="374"/>
      <c r="C63332" s="374"/>
      <c r="CV63332" s="376"/>
    </row>
    <row r="63333" spans="1:100">
      <c r="A63333" s="374"/>
      <c r="C63333" s="374"/>
      <c r="CV63333" s="376"/>
    </row>
    <row r="63334" spans="1:100">
      <c r="A63334" s="374"/>
      <c r="C63334" s="374"/>
      <c r="CV63334" s="376"/>
    </row>
    <row r="63335" spans="1:100">
      <c r="A63335" s="374"/>
      <c r="C63335" s="374"/>
      <c r="CV63335" s="376"/>
    </row>
    <row r="63336" spans="1:100">
      <c r="A63336" s="374"/>
      <c r="C63336" s="374"/>
      <c r="CV63336" s="376"/>
    </row>
    <row r="63337" spans="1:100">
      <c r="A63337" s="374"/>
      <c r="C63337" s="374"/>
      <c r="CV63337" s="376"/>
    </row>
    <row r="63338" spans="1:100">
      <c r="A63338" s="374"/>
      <c r="C63338" s="374"/>
      <c r="CV63338" s="376"/>
    </row>
    <row r="63339" spans="1:100">
      <c r="A63339" s="374"/>
      <c r="C63339" s="374"/>
      <c r="CV63339" s="376"/>
    </row>
    <row r="63340" spans="1:100">
      <c r="A63340" s="374"/>
      <c r="C63340" s="374"/>
      <c r="CV63340" s="376"/>
    </row>
    <row r="63341" spans="1:100">
      <c r="A63341" s="374"/>
      <c r="C63341" s="374"/>
      <c r="CV63341" s="376"/>
    </row>
    <row r="63342" spans="1:100">
      <c r="A63342" s="374"/>
      <c r="C63342" s="374"/>
      <c r="CV63342" s="376"/>
    </row>
    <row r="63343" spans="1:100">
      <c r="A63343" s="374"/>
      <c r="C63343" s="374"/>
      <c r="CV63343" s="376"/>
    </row>
    <row r="63344" spans="1:100">
      <c r="A63344" s="374"/>
      <c r="C63344" s="374"/>
      <c r="CV63344" s="376"/>
    </row>
    <row r="63345" spans="1:100">
      <c r="A63345" s="374"/>
      <c r="C63345" s="374"/>
      <c r="CV63345" s="376"/>
    </row>
    <row r="63346" spans="1:100">
      <c r="A63346" s="374"/>
      <c r="C63346" s="374"/>
      <c r="CV63346" s="376"/>
    </row>
    <row r="63347" spans="1:100">
      <c r="A63347" s="374"/>
      <c r="C63347" s="374"/>
      <c r="CV63347" s="376"/>
    </row>
    <row r="63348" spans="1:100">
      <c r="A63348" s="374"/>
      <c r="C63348" s="374"/>
      <c r="CV63348" s="376"/>
    </row>
    <row r="63349" spans="1:100">
      <c r="A63349" s="374"/>
      <c r="C63349" s="374"/>
      <c r="CV63349" s="376"/>
    </row>
    <row r="63350" spans="1:100">
      <c r="A63350" s="374"/>
      <c r="C63350" s="374"/>
      <c r="CV63350" s="376"/>
    </row>
    <row r="63351" spans="1:100">
      <c r="A63351" s="374"/>
      <c r="C63351" s="374"/>
      <c r="CV63351" s="376"/>
    </row>
    <row r="63352" spans="1:100">
      <c r="A63352" s="374"/>
      <c r="C63352" s="374"/>
      <c r="CV63352" s="376"/>
    </row>
    <row r="63353" spans="1:100">
      <c r="A63353" s="374"/>
      <c r="C63353" s="374"/>
      <c r="CV63353" s="376"/>
    </row>
    <row r="63354" spans="1:100">
      <c r="A63354" s="374"/>
      <c r="C63354" s="374"/>
      <c r="CV63354" s="376"/>
    </row>
    <row r="63355" spans="1:100">
      <c r="A63355" s="374"/>
      <c r="C63355" s="374"/>
      <c r="CV63355" s="376"/>
    </row>
    <row r="63356" spans="1:100">
      <c r="A63356" s="374"/>
      <c r="C63356" s="374"/>
      <c r="CV63356" s="376"/>
    </row>
    <row r="63357" spans="1:100">
      <c r="A63357" s="374"/>
      <c r="C63357" s="374"/>
      <c r="CV63357" s="376"/>
    </row>
    <row r="63358" spans="1:100">
      <c r="A63358" s="374"/>
      <c r="C63358" s="374"/>
      <c r="CV63358" s="376"/>
    </row>
    <row r="63359" spans="1:100">
      <c r="A63359" s="374"/>
      <c r="C63359" s="374"/>
      <c r="CV63359" s="376"/>
    </row>
    <row r="63360" spans="1:100">
      <c r="A63360" s="374"/>
      <c r="C63360" s="374"/>
      <c r="CV63360" s="376"/>
    </row>
    <row r="63361" spans="1:100">
      <c r="A63361" s="374"/>
      <c r="C63361" s="374"/>
      <c r="CV63361" s="376"/>
    </row>
    <row r="63362" spans="1:100">
      <c r="A63362" s="374"/>
      <c r="C63362" s="374"/>
      <c r="CV63362" s="376"/>
    </row>
    <row r="63363" spans="1:100">
      <c r="A63363" s="374"/>
      <c r="C63363" s="374"/>
      <c r="CV63363" s="376"/>
    </row>
    <row r="63364" spans="1:100">
      <c r="A63364" s="374"/>
      <c r="C63364" s="374"/>
      <c r="CV63364" s="376"/>
    </row>
    <row r="63365" spans="1:100">
      <c r="A63365" s="374"/>
      <c r="C63365" s="374"/>
      <c r="CV63365" s="376"/>
    </row>
    <row r="63366" spans="1:100">
      <c r="A63366" s="374"/>
      <c r="C63366" s="374"/>
      <c r="CV63366" s="376"/>
    </row>
    <row r="63367" spans="1:100">
      <c r="A63367" s="374"/>
      <c r="C63367" s="374"/>
      <c r="CV63367" s="376"/>
    </row>
    <row r="63368" spans="1:100">
      <c r="A63368" s="374"/>
      <c r="C63368" s="374"/>
      <c r="CV63368" s="376"/>
    </row>
    <row r="63369" spans="1:100">
      <c r="A63369" s="374"/>
      <c r="C63369" s="374"/>
      <c r="CV63369" s="376"/>
    </row>
    <row r="63370" spans="1:100">
      <c r="A63370" s="374"/>
      <c r="C63370" s="374"/>
      <c r="CV63370" s="376"/>
    </row>
    <row r="63371" spans="1:100">
      <c r="A63371" s="374"/>
      <c r="C63371" s="374"/>
      <c r="CV63371" s="376"/>
    </row>
    <row r="63372" spans="1:100">
      <c r="A63372" s="374"/>
      <c r="C63372" s="374"/>
      <c r="CV63372" s="376"/>
    </row>
    <row r="63373" spans="1:100">
      <c r="A63373" s="374"/>
      <c r="C63373" s="374"/>
      <c r="CV63373" s="376"/>
    </row>
    <row r="63374" spans="1:100">
      <c r="A63374" s="374"/>
      <c r="C63374" s="374"/>
      <c r="CV63374" s="376"/>
    </row>
    <row r="63375" spans="1:100">
      <c r="A63375" s="374"/>
      <c r="C63375" s="374"/>
      <c r="CV63375" s="376"/>
    </row>
    <row r="63376" spans="1:100">
      <c r="A63376" s="374"/>
      <c r="C63376" s="374"/>
      <c r="CV63376" s="376"/>
    </row>
    <row r="63377" spans="1:100">
      <c r="A63377" s="374"/>
      <c r="C63377" s="374"/>
      <c r="CV63377" s="376"/>
    </row>
    <row r="63378" spans="1:100">
      <c r="A63378" s="374"/>
      <c r="C63378" s="374"/>
      <c r="CV63378" s="376"/>
    </row>
    <row r="63379" spans="1:100">
      <c r="A63379" s="374"/>
      <c r="C63379" s="374"/>
      <c r="CV63379" s="376"/>
    </row>
    <row r="63380" spans="1:100">
      <c r="A63380" s="374"/>
      <c r="C63380" s="374"/>
      <c r="CV63380" s="376"/>
    </row>
    <row r="63381" spans="1:100">
      <c r="A63381" s="374"/>
      <c r="C63381" s="374"/>
      <c r="CV63381" s="376"/>
    </row>
    <row r="63382" spans="1:100">
      <c r="A63382" s="374"/>
      <c r="C63382" s="374"/>
      <c r="CV63382" s="376"/>
    </row>
    <row r="63383" spans="1:100">
      <c r="A63383" s="374"/>
      <c r="C63383" s="374"/>
      <c r="CV63383" s="376"/>
    </row>
    <row r="63384" spans="1:100">
      <c r="A63384" s="374"/>
      <c r="C63384" s="374"/>
      <c r="CV63384" s="376"/>
    </row>
    <row r="63385" spans="1:100">
      <c r="A63385" s="374"/>
      <c r="C63385" s="374"/>
      <c r="CV63385" s="376"/>
    </row>
    <row r="63386" spans="1:100">
      <c r="A63386" s="374"/>
      <c r="C63386" s="374"/>
      <c r="CV63386" s="376"/>
    </row>
    <row r="63387" spans="1:100">
      <c r="A63387" s="374"/>
      <c r="C63387" s="374"/>
      <c r="CV63387" s="376"/>
    </row>
    <row r="63388" spans="1:100">
      <c r="A63388" s="374"/>
      <c r="C63388" s="374"/>
      <c r="CV63388" s="376"/>
    </row>
    <row r="63389" spans="1:100">
      <c r="A63389" s="374"/>
      <c r="C63389" s="374"/>
      <c r="CV63389" s="376"/>
    </row>
    <row r="63390" spans="1:100">
      <c r="A63390" s="374"/>
      <c r="C63390" s="374"/>
      <c r="CV63390" s="376"/>
    </row>
    <row r="63391" spans="1:100">
      <c r="A63391" s="374"/>
      <c r="C63391" s="374"/>
      <c r="CV63391" s="376"/>
    </row>
    <row r="63392" spans="1:100">
      <c r="A63392" s="374"/>
      <c r="C63392" s="374"/>
      <c r="CV63392" s="376"/>
    </row>
    <row r="63393" spans="1:100">
      <c r="A63393" s="374"/>
      <c r="C63393" s="374"/>
      <c r="CV63393" s="376"/>
    </row>
    <row r="63394" spans="1:100">
      <c r="A63394" s="374"/>
      <c r="C63394" s="374"/>
      <c r="CV63394" s="376"/>
    </row>
    <row r="63395" spans="1:100">
      <c r="A63395" s="374"/>
      <c r="C63395" s="374"/>
      <c r="CV63395" s="376"/>
    </row>
    <row r="63396" spans="1:100">
      <c r="A63396" s="374"/>
      <c r="C63396" s="374"/>
      <c r="CV63396" s="376"/>
    </row>
    <row r="63397" spans="1:100">
      <c r="A63397" s="374"/>
      <c r="C63397" s="374"/>
      <c r="CV63397" s="376"/>
    </row>
    <row r="63398" spans="1:100">
      <c r="A63398" s="374"/>
      <c r="C63398" s="374"/>
      <c r="CV63398" s="376"/>
    </row>
    <row r="63399" spans="1:100">
      <c r="A63399" s="374"/>
      <c r="C63399" s="374"/>
      <c r="CV63399" s="376"/>
    </row>
    <row r="63400" spans="1:100">
      <c r="A63400" s="374"/>
      <c r="C63400" s="374"/>
      <c r="CV63400" s="376"/>
    </row>
    <row r="63401" spans="1:100">
      <c r="A63401" s="374"/>
      <c r="C63401" s="374"/>
      <c r="CV63401" s="376"/>
    </row>
    <row r="63402" spans="1:100">
      <c r="A63402" s="374"/>
      <c r="C63402" s="374"/>
      <c r="CV63402" s="376"/>
    </row>
    <row r="63403" spans="1:100">
      <c r="A63403" s="374"/>
      <c r="C63403" s="374"/>
      <c r="CV63403" s="376"/>
    </row>
    <row r="63404" spans="1:100">
      <c r="A63404" s="374"/>
      <c r="C63404" s="374"/>
      <c r="CV63404" s="376"/>
    </row>
    <row r="63405" spans="1:100">
      <c r="A63405" s="374"/>
      <c r="C63405" s="374"/>
      <c r="CV63405" s="376"/>
    </row>
    <row r="63406" spans="1:100">
      <c r="A63406" s="374"/>
      <c r="C63406" s="374"/>
      <c r="CV63406" s="376"/>
    </row>
    <row r="63407" spans="1:100">
      <c r="A63407" s="374"/>
      <c r="C63407" s="374"/>
      <c r="CV63407" s="376"/>
    </row>
    <row r="63408" spans="1:100">
      <c r="A63408" s="374"/>
      <c r="C63408" s="374"/>
      <c r="CV63408" s="376"/>
    </row>
    <row r="63409" spans="1:100">
      <c r="A63409" s="374"/>
      <c r="C63409" s="374"/>
      <c r="CV63409" s="376"/>
    </row>
    <row r="63410" spans="1:100">
      <c r="A63410" s="374"/>
      <c r="C63410" s="374"/>
      <c r="CV63410" s="376"/>
    </row>
    <row r="63411" spans="1:100">
      <c r="A63411" s="374"/>
      <c r="C63411" s="374"/>
      <c r="CV63411" s="376"/>
    </row>
    <row r="63412" spans="1:100">
      <c r="A63412" s="374"/>
      <c r="C63412" s="374"/>
      <c r="CV63412" s="376"/>
    </row>
    <row r="63413" spans="1:100">
      <c r="A63413" s="374"/>
      <c r="C63413" s="374"/>
      <c r="CV63413" s="376"/>
    </row>
    <row r="63414" spans="1:100">
      <c r="A63414" s="374"/>
      <c r="C63414" s="374"/>
      <c r="CV63414" s="376"/>
    </row>
    <row r="63415" spans="1:100">
      <c r="A63415" s="374"/>
      <c r="C63415" s="374"/>
      <c r="CV63415" s="376"/>
    </row>
    <row r="63416" spans="1:100">
      <c r="A63416" s="374"/>
      <c r="C63416" s="374"/>
      <c r="CV63416" s="376"/>
    </row>
    <row r="63417" spans="1:100">
      <c r="A63417" s="374"/>
      <c r="C63417" s="374"/>
      <c r="CV63417" s="376"/>
    </row>
    <row r="63418" spans="1:100">
      <c r="A63418" s="374"/>
      <c r="C63418" s="374"/>
      <c r="CV63418" s="376"/>
    </row>
    <row r="63419" spans="1:100">
      <c r="A63419" s="374"/>
      <c r="C63419" s="374"/>
      <c r="CV63419" s="376"/>
    </row>
    <row r="63420" spans="1:100">
      <c r="A63420" s="374"/>
      <c r="C63420" s="374"/>
      <c r="CV63420" s="376"/>
    </row>
    <row r="63421" spans="1:100">
      <c r="A63421" s="374"/>
      <c r="C63421" s="374"/>
      <c r="CV63421" s="376"/>
    </row>
    <row r="63422" spans="1:100">
      <c r="A63422" s="374"/>
      <c r="C63422" s="374"/>
      <c r="CV63422" s="376"/>
    </row>
    <row r="63423" spans="1:100">
      <c r="A63423" s="374"/>
      <c r="C63423" s="374"/>
      <c r="CV63423" s="376"/>
    </row>
    <row r="63424" spans="1:100">
      <c r="A63424" s="374"/>
      <c r="C63424" s="374"/>
      <c r="CV63424" s="376"/>
    </row>
    <row r="63425" spans="1:100">
      <c r="A63425" s="374"/>
      <c r="C63425" s="374"/>
      <c r="CV63425" s="376"/>
    </row>
    <row r="63426" spans="1:100">
      <c r="A63426" s="374"/>
      <c r="C63426" s="374"/>
      <c r="CV63426" s="376"/>
    </row>
    <row r="63427" spans="1:100">
      <c r="A63427" s="374"/>
      <c r="C63427" s="374"/>
      <c r="CV63427" s="376"/>
    </row>
    <row r="63428" spans="1:100">
      <c r="A63428" s="374"/>
      <c r="C63428" s="374"/>
      <c r="CV63428" s="376"/>
    </row>
    <row r="63429" spans="1:100">
      <c r="A63429" s="374"/>
      <c r="C63429" s="374"/>
      <c r="CV63429" s="376"/>
    </row>
    <row r="63430" spans="1:100">
      <c r="A63430" s="374"/>
      <c r="C63430" s="374"/>
      <c r="CV63430" s="376"/>
    </row>
    <row r="63431" spans="1:100">
      <c r="A63431" s="374"/>
      <c r="C63431" s="374"/>
      <c r="CV63431" s="376"/>
    </row>
    <row r="63432" spans="1:100">
      <c r="A63432" s="374"/>
      <c r="C63432" s="374"/>
      <c r="CV63432" s="376"/>
    </row>
    <row r="63433" spans="1:100">
      <c r="A63433" s="374"/>
      <c r="C63433" s="374"/>
      <c r="CV63433" s="376"/>
    </row>
    <row r="63434" spans="1:100">
      <c r="A63434" s="374"/>
      <c r="C63434" s="374"/>
      <c r="CV63434" s="376"/>
    </row>
    <row r="63435" spans="1:100">
      <c r="A63435" s="374"/>
      <c r="C63435" s="374"/>
      <c r="CV63435" s="376"/>
    </row>
    <row r="63436" spans="1:100">
      <c r="A63436" s="374"/>
      <c r="C63436" s="374"/>
      <c r="CV63436" s="376"/>
    </row>
    <row r="63437" spans="1:100">
      <c r="A63437" s="374"/>
      <c r="C63437" s="374"/>
      <c r="CV63437" s="376"/>
    </row>
    <row r="63438" spans="1:100">
      <c r="A63438" s="374"/>
      <c r="C63438" s="374"/>
      <c r="CV63438" s="376"/>
    </row>
    <row r="63439" spans="1:100">
      <c r="A63439" s="374"/>
      <c r="C63439" s="374"/>
      <c r="CV63439" s="376"/>
    </row>
    <row r="63440" spans="1:100">
      <c r="A63440" s="374"/>
      <c r="C63440" s="374"/>
      <c r="CV63440" s="376"/>
    </row>
    <row r="63441" spans="1:100">
      <c r="A63441" s="374"/>
      <c r="C63441" s="374"/>
      <c r="CV63441" s="376"/>
    </row>
    <row r="63442" spans="1:100">
      <c r="A63442" s="374"/>
      <c r="C63442" s="374"/>
      <c r="CV63442" s="376"/>
    </row>
    <row r="63443" spans="1:100">
      <c r="A63443" s="374"/>
      <c r="C63443" s="374"/>
      <c r="CV63443" s="376"/>
    </row>
    <row r="63444" spans="1:100">
      <c r="A63444" s="374"/>
      <c r="C63444" s="374"/>
      <c r="CV63444" s="376"/>
    </row>
    <row r="63445" spans="1:100">
      <c r="A63445" s="374"/>
      <c r="C63445" s="374"/>
      <c r="CV63445" s="376"/>
    </row>
    <row r="63446" spans="1:100">
      <c r="A63446" s="374"/>
      <c r="C63446" s="374"/>
      <c r="CV63446" s="376"/>
    </row>
    <row r="63447" spans="1:100">
      <c r="A63447" s="374"/>
      <c r="C63447" s="374"/>
      <c r="CV63447" s="376"/>
    </row>
    <row r="63448" spans="1:100">
      <c r="A63448" s="374"/>
      <c r="C63448" s="374"/>
      <c r="CV63448" s="376"/>
    </row>
    <row r="63449" spans="1:100">
      <c r="A63449" s="374"/>
      <c r="C63449" s="374"/>
      <c r="CV63449" s="376"/>
    </row>
    <row r="63450" spans="1:100">
      <c r="A63450" s="374"/>
      <c r="C63450" s="374"/>
      <c r="CV63450" s="376"/>
    </row>
    <row r="63451" spans="1:100">
      <c r="A63451" s="374"/>
      <c r="C63451" s="374"/>
      <c r="CV63451" s="376"/>
    </row>
    <row r="63452" spans="1:100">
      <c r="A63452" s="374"/>
      <c r="C63452" s="374"/>
      <c r="CV63452" s="376"/>
    </row>
    <row r="63453" spans="1:100">
      <c r="A63453" s="374"/>
      <c r="C63453" s="374"/>
      <c r="CV63453" s="376"/>
    </row>
    <row r="63454" spans="1:100">
      <c r="A63454" s="374"/>
      <c r="C63454" s="374"/>
      <c r="CV63454" s="376"/>
    </row>
    <row r="63455" spans="1:100">
      <c r="A63455" s="374"/>
      <c r="C63455" s="374"/>
      <c r="CV63455" s="376"/>
    </row>
    <row r="63456" spans="1:100">
      <c r="A63456" s="374"/>
      <c r="C63456" s="374"/>
      <c r="CV63456" s="376"/>
    </row>
    <row r="63457" spans="1:100">
      <c r="A63457" s="374"/>
      <c r="C63457" s="374"/>
      <c r="CV63457" s="376"/>
    </row>
    <row r="63458" spans="1:100">
      <c r="A63458" s="374"/>
      <c r="C63458" s="374"/>
      <c r="CV63458" s="376"/>
    </row>
    <row r="63459" spans="1:100">
      <c r="A63459" s="374"/>
      <c r="C63459" s="374"/>
      <c r="CV63459" s="376"/>
    </row>
    <row r="63460" spans="1:100">
      <c r="A63460" s="374"/>
      <c r="C63460" s="374"/>
      <c r="CV63460" s="376"/>
    </row>
    <row r="63461" spans="1:100">
      <c r="A63461" s="374"/>
      <c r="C63461" s="374"/>
      <c r="CV63461" s="376"/>
    </row>
    <row r="63462" spans="1:100">
      <c r="A63462" s="374"/>
      <c r="C63462" s="374"/>
      <c r="CV63462" s="376"/>
    </row>
    <row r="63463" spans="1:100">
      <c r="A63463" s="374"/>
      <c r="C63463" s="374"/>
      <c r="CV63463" s="376"/>
    </row>
    <row r="63464" spans="1:100">
      <c r="A63464" s="374"/>
      <c r="C63464" s="374"/>
      <c r="CV63464" s="376"/>
    </row>
    <row r="63465" spans="1:100">
      <c r="A63465" s="374"/>
      <c r="C63465" s="374"/>
      <c r="CV63465" s="376"/>
    </row>
    <row r="63466" spans="1:100">
      <c r="A63466" s="374"/>
      <c r="C63466" s="374"/>
      <c r="CV63466" s="376"/>
    </row>
    <row r="63467" spans="1:100">
      <c r="A63467" s="374"/>
      <c r="C63467" s="374"/>
      <c r="CV63467" s="376"/>
    </row>
    <row r="63468" spans="1:100">
      <c r="A63468" s="374"/>
      <c r="C63468" s="374"/>
      <c r="CV63468" s="376"/>
    </row>
    <row r="63469" spans="1:100">
      <c r="A63469" s="374"/>
      <c r="C63469" s="374"/>
      <c r="CV63469" s="376"/>
    </row>
    <row r="63470" spans="1:100">
      <c r="A63470" s="374"/>
      <c r="C63470" s="374"/>
      <c r="CV63470" s="376"/>
    </row>
    <row r="63471" spans="1:100">
      <c r="A63471" s="374"/>
      <c r="C63471" s="374"/>
      <c r="CV63471" s="376"/>
    </row>
    <row r="63472" spans="1:100">
      <c r="A63472" s="374"/>
      <c r="C63472" s="374"/>
      <c r="CV63472" s="376"/>
    </row>
    <row r="63473" spans="1:100">
      <c r="A63473" s="374"/>
      <c r="C63473" s="374"/>
      <c r="CV63473" s="376"/>
    </row>
    <row r="63474" spans="1:100">
      <c r="A63474" s="374"/>
      <c r="C63474" s="374"/>
      <c r="CV63474" s="376"/>
    </row>
    <row r="63475" spans="1:100">
      <c r="A63475" s="374"/>
      <c r="C63475" s="374"/>
      <c r="CV63475" s="376"/>
    </row>
    <row r="63476" spans="1:100">
      <c r="A63476" s="374"/>
      <c r="C63476" s="374"/>
      <c r="CV63476" s="376"/>
    </row>
    <row r="63477" spans="1:100">
      <c r="A63477" s="374"/>
      <c r="C63477" s="374"/>
      <c r="CV63477" s="376"/>
    </row>
    <row r="63478" spans="1:100">
      <c r="A63478" s="374"/>
      <c r="C63478" s="374"/>
      <c r="CV63478" s="376"/>
    </row>
    <row r="63479" spans="1:100">
      <c r="A63479" s="374"/>
      <c r="C63479" s="374"/>
      <c r="CV63479" s="376"/>
    </row>
    <row r="63480" spans="1:100">
      <c r="A63480" s="374"/>
      <c r="C63480" s="374"/>
      <c r="CV63480" s="376"/>
    </row>
    <row r="63481" spans="1:100">
      <c r="A63481" s="374"/>
      <c r="C63481" s="374"/>
      <c r="CV63481" s="376"/>
    </row>
    <row r="63482" spans="1:100">
      <c r="A63482" s="374"/>
      <c r="C63482" s="374"/>
      <c r="CV63482" s="376"/>
    </row>
    <row r="63483" spans="1:100">
      <c r="A63483" s="374"/>
      <c r="C63483" s="374"/>
      <c r="CV63483" s="376"/>
    </row>
    <row r="63484" spans="1:100">
      <c r="A63484" s="374"/>
      <c r="C63484" s="374"/>
      <c r="CV63484" s="376"/>
    </row>
    <row r="63485" spans="1:100">
      <c r="A63485" s="374"/>
      <c r="C63485" s="374"/>
      <c r="CV63485" s="376"/>
    </row>
    <row r="63486" spans="1:100">
      <c r="A63486" s="374"/>
      <c r="C63486" s="374"/>
      <c r="CV63486" s="376"/>
    </row>
    <row r="63487" spans="1:100">
      <c r="A63487" s="374"/>
      <c r="C63487" s="374"/>
      <c r="CV63487" s="376"/>
    </row>
    <row r="63488" spans="1:100">
      <c r="A63488" s="374"/>
      <c r="C63488" s="374"/>
      <c r="CV63488" s="376"/>
    </row>
    <row r="63489" spans="1:100">
      <c r="A63489" s="374"/>
      <c r="C63489" s="374"/>
      <c r="CV63489" s="376"/>
    </row>
    <row r="63490" spans="1:100">
      <c r="A63490" s="374"/>
      <c r="C63490" s="374"/>
      <c r="CV63490" s="376"/>
    </row>
    <row r="63491" spans="1:100">
      <c r="A63491" s="374"/>
      <c r="C63491" s="374"/>
      <c r="CV63491" s="376"/>
    </row>
    <row r="63492" spans="1:100">
      <c r="A63492" s="374"/>
      <c r="C63492" s="374"/>
      <c r="CV63492" s="376"/>
    </row>
    <row r="63493" spans="1:100">
      <c r="A63493" s="374"/>
      <c r="C63493" s="374"/>
      <c r="CV63493" s="376"/>
    </row>
    <row r="63494" spans="1:100">
      <c r="A63494" s="374"/>
      <c r="C63494" s="374"/>
      <c r="CV63494" s="376"/>
    </row>
    <row r="63495" spans="1:100">
      <c r="A63495" s="374"/>
      <c r="C63495" s="374"/>
      <c r="CV63495" s="376"/>
    </row>
    <row r="63496" spans="1:100">
      <c r="A63496" s="374"/>
      <c r="C63496" s="374"/>
      <c r="CV63496" s="376"/>
    </row>
    <row r="63497" spans="1:100">
      <c r="A63497" s="374"/>
      <c r="C63497" s="374"/>
      <c r="CV63497" s="376"/>
    </row>
    <row r="63498" spans="1:100">
      <c r="A63498" s="374"/>
      <c r="C63498" s="374"/>
      <c r="CV63498" s="376"/>
    </row>
    <row r="63499" spans="1:100">
      <c r="A63499" s="374"/>
      <c r="C63499" s="374"/>
      <c r="CV63499" s="376"/>
    </row>
    <row r="63500" spans="1:100">
      <c r="A63500" s="374"/>
      <c r="C63500" s="374"/>
      <c r="CV63500" s="376"/>
    </row>
    <row r="63501" spans="1:100">
      <c r="A63501" s="374"/>
      <c r="C63501" s="374"/>
      <c r="CV63501" s="376"/>
    </row>
    <row r="63502" spans="1:100">
      <c r="A63502" s="374"/>
      <c r="C63502" s="374"/>
      <c r="CV63502" s="376"/>
    </row>
    <row r="63503" spans="1:100">
      <c r="A63503" s="374"/>
      <c r="C63503" s="374"/>
      <c r="CV63503" s="376"/>
    </row>
    <row r="63504" spans="1:100">
      <c r="A63504" s="374"/>
      <c r="C63504" s="374"/>
      <c r="CV63504" s="376"/>
    </row>
    <row r="63505" spans="1:100">
      <c r="A63505" s="374"/>
      <c r="C63505" s="374"/>
      <c r="CV63505" s="376"/>
    </row>
    <row r="63506" spans="1:100">
      <c r="A63506" s="374"/>
      <c r="C63506" s="374"/>
      <c r="CV63506" s="376"/>
    </row>
    <row r="63507" spans="1:100">
      <c r="A63507" s="374"/>
      <c r="C63507" s="374"/>
      <c r="CV63507" s="376"/>
    </row>
    <row r="63508" spans="1:100">
      <c r="A63508" s="374"/>
      <c r="C63508" s="374"/>
      <c r="CV63508" s="376"/>
    </row>
    <row r="63509" spans="1:100">
      <c r="A63509" s="374"/>
      <c r="C63509" s="374"/>
      <c r="CV63509" s="376"/>
    </row>
    <row r="63510" spans="1:100">
      <c r="A63510" s="374"/>
      <c r="C63510" s="374"/>
      <c r="CV63510" s="376"/>
    </row>
    <row r="63511" spans="1:100">
      <c r="A63511" s="374"/>
      <c r="C63511" s="374"/>
      <c r="CV63511" s="376"/>
    </row>
    <row r="63512" spans="1:100">
      <c r="A63512" s="374"/>
      <c r="C63512" s="374"/>
      <c r="CV63512" s="376"/>
    </row>
    <row r="63513" spans="1:100">
      <c r="A63513" s="374"/>
      <c r="C63513" s="374"/>
      <c r="CV63513" s="376"/>
    </row>
    <row r="63514" spans="1:100">
      <c r="A63514" s="374"/>
      <c r="C63514" s="374"/>
      <c r="CV63514" s="376"/>
    </row>
    <row r="63515" spans="1:100">
      <c r="A63515" s="374"/>
      <c r="C63515" s="374"/>
      <c r="CV63515" s="376"/>
    </row>
    <row r="63516" spans="1:100">
      <c r="A63516" s="374"/>
      <c r="C63516" s="374"/>
      <c r="CV63516" s="376"/>
    </row>
    <row r="63517" spans="1:100">
      <c r="A63517" s="374"/>
      <c r="C63517" s="374"/>
      <c r="CV63517" s="376"/>
    </row>
    <row r="63518" spans="1:100">
      <c r="A63518" s="374"/>
      <c r="C63518" s="374"/>
      <c r="CV63518" s="376"/>
    </row>
    <row r="63519" spans="1:100">
      <c r="A63519" s="374"/>
      <c r="C63519" s="374"/>
      <c r="CV63519" s="376"/>
    </row>
    <row r="63520" spans="1:100">
      <c r="A63520" s="374"/>
      <c r="C63520" s="374"/>
      <c r="CV63520" s="376"/>
    </row>
    <row r="63521" spans="1:100">
      <c r="A63521" s="374"/>
      <c r="C63521" s="374"/>
      <c r="CV63521" s="376"/>
    </row>
    <row r="63522" spans="1:100">
      <c r="A63522" s="374"/>
      <c r="C63522" s="374"/>
      <c r="CV63522" s="376"/>
    </row>
    <row r="63523" spans="1:100">
      <c r="A63523" s="374"/>
      <c r="C63523" s="374"/>
      <c r="CV63523" s="376"/>
    </row>
    <row r="63524" spans="1:100">
      <c r="A63524" s="374"/>
      <c r="C63524" s="374"/>
      <c r="CV63524" s="376"/>
    </row>
    <row r="63525" spans="1:100">
      <c r="A63525" s="374"/>
      <c r="C63525" s="374"/>
      <c r="CV63525" s="376"/>
    </row>
    <row r="63526" spans="1:100">
      <c r="A63526" s="374"/>
      <c r="C63526" s="374"/>
      <c r="CV63526" s="376"/>
    </row>
    <row r="63527" spans="1:100">
      <c r="A63527" s="374"/>
      <c r="C63527" s="374"/>
      <c r="CV63527" s="376"/>
    </row>
    <row r="63528" spans="1:100">
      <c r="A63528" s="374"/>
      <c r="C63528" s="374"/>
      <c r="CV63528" s="376"/>
    </row>
    <row r="63529" spans="1:100">
      <c r="A63529" s="374"/>
      <c r="C63529" s="374"/>
      <c r="CV63529" s="376"/>
    </row>
    <row r="63530" spans="1:100">
      <c r="A63530" s="374"/>
      <c r="C63530" s="374"/>
      <c r="CV63530" s="376"/>
    </row>
    <row r="63531" spans="1:100">
      <c r="A63531" s="374"/>
      <c r="C63531" s="374"/>
      <c r="CV63531" s="376"/>
    </row>
    <row r="63532" spans="1:100">
      <c r="A63532" s="374"/>
      <c r="C63532" s="374"/>
      <c r="CV63532" s="376"/>
    </row>
    <row r="63533" spans="1:100">
      <c r="A63533" s="374"/>
      <c r="C63533" s="374"/>
      <c r="CV63533" s="376"/>
    </row>
    <row r="63534" spans="1:100">
      <c r="A63534" s="374"/>
      <c r="C63534" s="374"/>
      <c r="CV63534" s="376"/>
    </row>
    <row r="63535" spans="1:100">
      <c r="A63535" s="374"/>
      <c r="C63535" s="374"/>
      <c r="CV63535" s="376"/>
    </row>
    <row r="63536" spans="1:100">
      <c r="A63536" s="374"/>
      <c r="C63536" s="374"/>
      <c r="CV63536" s="376"/>
    </row>
    <row r="63537" spans="1:100">
      <c r="A63537" s="374"/>
      <c r="C63537" s="374"/>
      <c r="CV63537" s="376"/>
    </row>
    <row r="63538" spans="1:100">
      <c r="A63538" s="374"/>
      <c r="C63538" s="374"/>
      <c r="CV63538" s="376"/>
    </row>
    <row r="63539" spans="1:100">
      <c r="A63539" s="374"/>
      <c r="C63539" s="374"/>
      <c r="CV63539" s="376"/>
    </row>
    <row r="63540" spans="1:100">
      <c r="A63540" s="374"/>
      <c r="C63540" s="374"/>
      <c r="CV63540" s="376"/>
    </row>
    <row r="63541" spans="1:100">
      <c r="A63541" s="374"/>
      <c r="C63541" s="374"/>
      <c r="CV63541" s="376"/>
    </row>
    <row r="63542" spans="1:100">
      <c r="A63542" s="374"/>
      <c r="C63542" s="374"/>
      <c r="CV63542" s="376"/>
    </row>
    <row r="63543" spans="1:100">
      <c r="A63543" s="374"/>
      <c r="C63543" s="374"/>
      <c r="CV63543" s="376"/>
    </row>
    <row r="63544" spans="1:100">
      <c r="A63544" s="374"/>
      <c r="C63544" s="374"/>
      <c r="CV63544" s="376"/>
    </row>
    <row r="63545" spans="1:100">
      <c r="A63545" s="374"/>
      <c r="C63545" s="374"/>
      <c r="CV63545" s="376"/>
    </row>
    <row r="63546" spans="1:100">
      <c r="A63546" s="374"/>
      <c r="C63546" s="374"/>
      <c r="CV63546" s="376"/>
    </row>
    <row r="63547" spans="1:100">
      <c r="A63547" s="374"/>
      <c r="C63547" s="374"/>
      <c r="CV63547" s="376"/>
    </row>
    <row r="63548" spans="1:100">
      <c r="A63548" s="374"/>
      <c r="C63548" s="374"/>
      <c r="CV63548" s="376"/>
    </row>
    <row r="63549" spans="1:100">
      <c r="A63549" s="374"/>
      <c r="C63549" s="374"/>
      <c r="CV63549" s="376"/>
    </row>
    <row r="63550" spans="1:100">
      <c r="A63550" s="374"/>
      <c r="C63550" s="374"/>
      <c r="CV63550" s="376"/>
    </row>
    <row r="63551" spans="1:100">
      <c r="A63551" s="374"/>
      <c r="C63551" s="374"/>
      <c r="CV63551" s="376"/>
    </row>
    <row r="63552" spans="1:100">
      <c r="A63552" s="374"/>
      <c r="C63552" s="374"/>
      <c r="CV63552" s="376"/>
    </row>
    <row r="63553" spans="1:100">
      <c r="A63553" s="374"/>
      <c r="C63553" s="374"/>
      <c r="CV63553" s="376"/>
    </row>
    <row r="63554" spans="1:100">
      <c r="A63554" s="374"/>
      <c r="C63554" s="374"/>
      <c r="CV63554" s="376"/>
    </row>
    <row r="63555" spans="1:100">
      <c r="A63555" s="374"/>
      <c r="C63555" s="374"/>
      <c r="CV63555" s="376"/>
    </row>
    <row r="63556" spans="1:100">
      <c r="A63556" s="374"/>
      <c r="C63556" s="374"/>
      <c r="CV63556" s="376"/>
    </row>
    <row r="63557" spans="1:100">
      <c r="A63557" s="374"/>
      <c r="C63557" s="374"/>
      <c r="CV63557" s="376"/>
    </row>
    <row r="63558" spans="1:100">
      <c r="A63558" s="374"/>
      <c r="C63558" s="374"/>
      <c r="CV63558" s="376"/>
    </row>
    <row r="63559" spans="1:100">
      <c r="A63559" s="374"/>
      <c r="C63559" s="374"/>
      <c r="CV63559" s="376"/>
    </row>
    <row r="63560" spans="1:100">
      <c r="A63560" s="374"/>
      <c r="C63560" s="374"/>
      <c r="CV63560" s="376"/>
    </row>
    <row r="63561" spans="1:100">
      <c r="A63561" s="374"/>
      <c r="C63561" s="374"/>
      <c r="CV63561" s="376"/>
    </row>
    <row r="63562" spans="1:100">
      <c r="A63562" s="374"/>
      <c r="C63562" s="374"/>
      <c r="CV63562" s="376"/>
    </row>
    <row r="63563" spans="1:100">
      <c r="A63563" s="374"/>
      <c r="C63563" s="374"/>
      <c r="CV63563" s="376"/>
    </row>
    <row r="63564" spans="1:100">
      <c r="A63564" s="374"/>
      <c r="C63564" s="374"/>
      <c r="CV63564" s="376"/>
    </row>
    <row r="63565" spans="1:100">
      <c r="A63565" s="374"/>
      <c r="C63565" s="374"/>
      <c r="CV63565" s="376"/>
    </row>
    <row r="63566" spans="1:100">
      <c r="A63566" s="374"/>
      <c r="C63566" s="374"/>
      <c r="CV63566" s="376"/>
    </row>
    <row r="63567" spans="1:100">
      <c r="A63567" s="374"/>
      <c r="C63567" s="374"/>
      <c r="CV63567" s="376"/>
    </row>
    <row r="63568" spans="1:100">
      <c r="A63568" s="374"/>
      <c r="C63568" s="374"/>
      <c r="CV63568" s="376"/>
    </row>
    <row r="63569" spans="1:100">
      <c r="A63569" s="374"/>
      <c r="C63569" s="374"/>
      <c r="CV63569" s="376"/>
    </row>
    <row r="63570" spans="1:100">
      <c r="A63570" s="374"/>
      <c r="C63570" s="374"/>
      <c r="CV63570" s="376"/>
    </row>
    <row r="63571" spans="1:100">
      <c r="A63571" s="374"/>
      <c r="C63571" s="374"/>
      <c r="CV63571" s="376"/>
    </row>
    <row r="63572" spans="1:100">
      <c r="A63572" s="374"/>
      <c r="C63572" s="374"/>
      <c r="CV63572" s="376"/>
    </row>
    <row r="63573" spans="1:100">
      <c r="A63573" s="374"/>
      <c r="C63573" s="374"/>
      <c r="CV63573" s="376"/>
    </row>
    <row r="63574" spans="1:100">
      <c r="A63574" s="374"/>
      <c r="C63574" s="374"/>
      <c r="CV63574" s="376"/>
    </row>
    <row r="63575" spans="1:100">
      <c r="A63575" s="374"/>
      <c r="C63575" s="374"/>
      <c r="CV63575" s="376"/>
    </row>
    <row r="63576" spans="1:100">
      <c r="A63576" s="374"/>
      <c r="C63576" s="374"/>
      <c r="CV63576" s="376"/>
    </row>
    <row r="63577" spans="1:100">
      <c r="A63577" s="374"/>
      <c r="C63577" s="374"/>
      <c r="CV63577" s="376"/>
    </row>
    <row r="63578" spans="1:100">
      <c r="A63578" s="374"/>
      <c r="C63578" s="374"/>
      <c r="CV63578" s="376"/>
    </row>
    <row r="63579" spans="1:100">
      <c r="A63579" s="374"/>
      <c r="C63579" s="374"/>
      <c r="CV63579" s="376"/>
    </row>
    <row r="63580" spans="1:100">
      <c r="A63580" s="374"/>
      <c r="C63580" s="374"/>
      <c r="CV63580" s="376"/>
    </row>
    <row r="63581" spans="1:100">
      <c r="A63581" s="374"/>
      <c r="C63581" s="374"/>
      <c r="CV63581" s="376"/>
    </row>
    <row r="63582" spans="1:100">
      <c r="A63582" s="374"/>
      <c r="C63582" s="374"/>
      <c r="CV63582" s="376"/>
    </row>
    <row r="63583" spans="1:100">
      <c r="A63583" s="374"/>
      <c r="C63583" s="374"/>
      <c r="CV63583" s="376"/>
    </row>
    <row r="63584" spans="1:100">
      <c r="A63584" s="374"/>
      <c r="C63584" s="374"/>
      <c r="CV63584" s="376"/>
    </row>
    <row r="63585" spans="1:100">
      <c r="A63585" s="374"/>
      <c r="C63585" s="374"/>
      <c r="CV63585" s="376"/>
    </row>
    <row r="63586" spans="1:100">
      <c r="A63586" s="374"/>
      <c r="C63586" s="374"/>
      <c r="CV63586" s="376"/>
    </row>
    <row r="63587" spans="1:100">
      <c r="A63587" s="374"/>
      <c r="C63587" s="374"/>
      <c r="CV63587" s="376"/>
    </row>
    <row r="63588" spans="1:100">
      <c r="A63588" s="374"/>
      <c r="C63588" s="374"/>
      <c r="CV63588" s="376"/>
    </row>
    <row r="63589" spans="1:100">
      <c r="A63589" s="374"/>
      <c r="C63589" s="374"/>
      <c r="CV63589" s="376"/>
    </row>
    <row r="63590" spans="1:100">
      <c r="A63590" s="374"/>
      <c r="C63590" s="374"/>
      <c r="CV63590" s="376"/>
    </row>
    <row r="63591" spans="1:100">
      <c r="A63591" s="374"/>
      <c r="C63591" s="374"/>
      <c r="CV63591" s="376"/>
    </row>
    <row r="63592" spans="1:100">
      <c r="A63592" s="374"/>
      <c r="C63592" s="374"/>
      <c r="CV63592" s="376"/>
    </row>
    <row r="63593" spans="1:100">
      <c r="A63593" s="374"/>
      <c r="C63593" s="374"/>
      <c r="CV63593" s="376"/>
    </row>
    <row r="63594" spans="1:100">
      <c r="A63594" s="374"/>
      <c r="C63594" s="374"/>
      <c r="CV63594" s="376"/>
    </row>
    <row r="63595" spans="1:100">
      <c r="A63595" s="374"/>
      <c r="C63595" s="374"/>
      <c r="CV63595" s="376"/>
    </row>
    <row r="63596" spans="1:100">
      <c r="A63596" s="374"/>
      <c r="C63596" s="374"/>
      <c r="CV63596" s="376"/>
    </row>
    <row r="63597" spans="1:100">
      <c r="A63597" s="374"/>
      <c r="C63597" s="374"/>
      <c r="CV63597" s="376"/>
    </row>
    <row r="63598" spans="1:100">
      <c r="A63598" s="374"/>
      <c r="C63598" s="374"/>
      <c r="CV63598" s="376"/>
    </row>
    <row r="63599" spans="1:100">
      <c r="A63599" s="374"/>
      <c r="C63599" s="374"/>
      <c r="CV63599" s="376"/>
    </row>
    <row r="63600" spans="1:100">
      <c r="A63600" s="374"/>
      <c r="C63600" s="374"/>
      <c r="CV63600" s="376"/>
    </row>
    <row r="63601" spans="1:100">
      <c r="A63601" s="374"/>
      <c r="C63601" s="374"/>
      <c r="CV63601" s="376"/>
    </row>
    <row r="63602" spans="1:100">
      <c r="A63602" s="374"/>
      <c r="C63602" s="374"/>
      <c r="CV63602" s="376"/>
    </row>
    <row r="63603" spans="1:100">
      <c r="A63603" s="374"/>
      <c r="C63603" s="374"/>
      <c r="CV63603" s="376"/>
    </row>
    <row r="63604" spans="1:100">
      <c r="A63604" s="374"/>
      <c r="C63604" s="374"/>
      <c r="CV63604" s="376"/>
    </row>
    <row r="63605" spans="1:100">
      <c r="A63605" s="374"/>
      <c r="C63605" s="374"/>
      <c r="CV63605" s="376"/>
    </row>
    <row r="63606" spans="1:100">
      <c r="A63606" s="374"/>
      <c r="C63606" s="374"/>
      <c r="CV63606" s="376"/>
    </row>
    <row r="63607" spans="1:100">
      <c r="A63607" s="374"/>
      <c r="C63607" s="374"/>
      <c r="CV63607" s="376"/>
    </row>
    <row r="63608" spans="1:100">
      <c r="A63608" s="374"/>
      <c r="C63608" s="374"/>
      <c r="CV63608" s="376"/>
    </row>
    <row r="63609" spans="1:100">
      <c r="A63609" s="374"/>
      <c r="C63609" s="374"/>
      <c r="CV63609" s="376"/>
    </row>
    <row r="63610" spans="1:100">
      <c r="A63610" s="374"/>
      <c r="C63610" s="374"/>
      <c r="CV63610" s="376"/>
    </row>
    <row r="63611" spans="1:100">
      <c r="A63611" s="374"/>
      <c r="C63611" s="374"/>
      <c r="CV63611" s="376"/>
    </row>
    <row r="63612" spans="1:100">
      <c r="A63612" s="374"/>
      <c r="C63612" s="374"/>
      <c r="CV63612" s="376"/>
    </row>
    <row r="63613" spans="1:100">
      <c r="A63613" s="374"/>
      <c r="C63613" s="374"/>
      <c r="CV63613" s="376"/>
    </row>
    <row r="63614" spans="1:100">
      <c r="A63614" s="374"/>
      <c r="C63614" s="374"/>
      <c r="CV63614" s="376"/>
    </row>
    <row r="63615" spans="1:100">
      <c r="A63615" s="374"/>
      <c r="C63615" s="374"/>
      <c r="CV63615" s="376"/>
    </row>
    <row r="63616" spans="1:100">
      <c r="A63616" s="374"/>
      <c r="C63616" s="374"/>
      <c r="CV63616" s="376"/>
    </row>
    <row r="63617" spans="1:100">
      <c r="A63617" s="374"/>
      <c r="C63617" s="374"/>
      <c r="CV63617" s="376"/>
    </row>
    <row r="63618" spans="1:100">
      <c r="A63618" s="374"/>
      <c r="C63618" s="374"/>
      <c r="CV63618" s="376"/>
    </row>
    <row r="63619" spans="1:100">
      <c r="A63619" s="374"/>
      <c r="C63619" s="374"/>
      <c r="CV63619" s="376"/>
    </row>
    <row r="63620" spans="1:100">
      <c r="A63620" s="374"/>
      <c r="C63620" s="374"/>
      <c r="CV63620" s="376"/>
    </row>
    <row r="63621" spans="1:100">
      <c r="A63621" s="374"/>
      <c r="C63621" s="374"/>
      <c r="CV63621" s="376"/>
    </row>
    <row r="63622" spans="1:100">
      <c r="A63622" s="374"/>
      <c r="C63622" s="374"/>
      <c r="CV63622" s="376"/>
    </row>
    <row r="63623" spans="1:100">
      <c r="A63623" s="374"/>
      <c r="C63623" s="374"/>
      <c r="CV63623" s="376"/>
    </row>
    <row r="63624" spans="1:100">
      <c r="A63624" s="374"/>
      <c r="C63624" s="374"/>
      <c r="CV63624" s="376"/>
    </row>
    <row r="63625" spans="1:100">
      <c r="A63625" s="374"/>
      <c r="C63625" s="374"/>
      <c r="CV63625" s="376"/>
    </row>
    <row r="63626" spans="1:100">
      <c r="A63626" s="374"/>
      <c r="C63626" s="374"/>
      <c r="CV63626" s="376"/>
    </row>
    <row r="63627" spans="1:100">
      <c r="A63627" s="374"/>
      <c r="C63627" s="374"/>
      <c r="CV63627" s="376"/>
    </row>
    <row r="63628" spans="1:100">
      <c r="A63628" s="374"/>
      <c r="C63628" s="374"/>
      <c r="CV63628" s="376"/>
    </row>
    <row r="63629" spans="1:100">
      <c r="A63629" s="374"/>
      <c r="C63629" s="374"/>
      <c r="CV63629" s="376"/>
    </row>
    <row r="63630" spans="1:100">
      <c r="A63630" s="374"/>
      <c r="C63630" s="374"/>
      <c r="CV63630" s="376"/>
    </row>
    <row r="63631" spans="1:100">
      <c r="A63631" s="374"/>
      <c r="C63631" s="374"/>
      <c r="CV63631" s="376"/>
    </row>
    <row r="63632" spans="1:100">
      <c r="A63632" s="374"/>
      <c r="C63632" s="374"/>
      <c r="CV63632" s="376"/>
    </row>
    <row r="63633" spans="1:100">
      <c r="A63633" s="374"/>
      <c r="C63633" s="374"/>
      <c r="CV63633" s="376"/>
    </row>
    <row r="63634" spans="1:100">
      <c r="A63634" s="374"/>
      <c r="C63634" s="374"/>
      <c r="CV63634" s="376"/>
    </row>
    <row r="63635" spans="1:100">
      <c r="A63635" s="374"/>
      <c r="C63635" s="374"/>
      <c r="CV63635" s="376"/>
    </row>
    <row r="63636" spans="1:100">
      <c r="A63636" s="374"/>
      <c r="C63636" s="374"/>
      <c r="CV63636" s="376"/>
    </row>
    <row r="63637" spans="1:100">
      <c r="A63637" s="374"/>
      <c r="C63637" s="374"/>
      <c r="CV63637" s="376"/>
    </row>
    <row r="63638" spans="1:100">
      <c r="A63638" s="374"/>
      <c r="C63638" s="374"/>
      <c r="CV63638" s="376"/>
    </row>
    <row r="63639" spans="1:100">
      <c r="A63639" s="374"/>
      <c r="C63639" s="374"/>
      <c r="CV63639" s="376"/>
    </row>
    <row r="63640" spans="1:100">
      <c r="A63640" s="374"/>
      <c r="C63640" s="374"/>
      <c r="CV63640" s="376"/>
    </row>
    <row r="63641" spans="1:100">
      <c r="A63641" s="374"/>
      <c r="C63641" s="374"/>
      <c r="CV63641" s="376"/>
    </row>
    <row r="63642" spans="1:100">
      <c r="A63642" s="374"/>
      <c r="C63642" s="374"/>
      <c r="CV63642" s="376"/>
    </row>
    <row r="63643" spans="1:100">
      <c r="A63643" s="374"/>
      <c r="C63643" s="374"/>
      <c r="CV63643" s="376"/>
    </row>
    <row r="63644" spans="1:100">
      <c r="A63644" s="374"/>
      <c r="C63644" s="374"/>
      <c r="CV63644" s="376"/>
    </row>
    <row r="63645" spans="1:100">
      <c r="A63645" s="374"/>
      <c r="C63645" s="374"/>
      <c r="CV63645" s="376"/>
    </row>
    <row r="63646" spans="1:100">
      <c r="A63646" s="374"/>
      <c r="C63646" s="374"/>
      <c r="CV63646" s="376"/>
    </row>
    <row r="63647" spans="1:100">
      <c r="A63647" s="374"/>
      <c r="C63647" s="374"/>
      <c r="CV63647" s="376"/>
    </row>
    <row r="63648" spans="1:100">
      <c r="A63648" s="374"/>
      <c r="C63648" s="374"/>
      <c r="CV63648" s="376"/>
    </row>
    <row r="63649" spans="1:100">
      <c r="A63649" s="374"/>
      <c r="C63649" s="374"/>
      <c r="CV63649" s="376"/>
    </row>
    <row r="63650" spans="1:100">
      <c r="A63650" s="374"/>
      <c r="C63650" s="374"/>
      <c r="CV63650" s="376"/>
    </row>
    <row r="63651" spans="1:100">
      <c r="A63651" s="374"/>
      <c r="C63651" s="374"/>
      <c r="CV63651" s="376"/>
    </row>
    <row r="63652" spans="1:100">
      <c r="A63652" s="374"/>
      <c r="C63652" s="374"/>
      <c r="CV63652" s="376"/>
    </row>
    <row r="63653" spans="1:100">
      <c r="A63653" s="374"/>
      <c r="C63653" s="374"/>
      <c r="CV63653" s="376"/>
    </row>
    <row r="63654" spans="1:100">
      <c r="A63654" s="374"/>
      <c r="C63654" s="374"/>
      <c r="CV63654" s="376"/>
    </row>
    <row r="63655" spans="1:100">
      <c r="A63655" s="374"/>
      <c r="C63655" s="374"/>
      <c r="CV63655" s="376"/>
    </row>
    <row r="63656" spans="1:100">
      <c r="A63656" s="374"/>
      <c r="C63656" s="374"/>
      <c r="CV63656" s="376"/>
    </row>
    <row r="63657" spans="1:100">
      <c r="A63657" s="374"/>
      <c r="C63657" s="374"/>
      <c r="CV63657" s="376"/>
    </row>
    <row r="63658" spans="1:100">
      <c r="A63658" s="374"/>
      <c r="C63658" s="374"/>
      <c r="CV63658" s="376"/>
    </row>
    <row r="63659" spans="1:100">
      <c r="A63659" s="374"/>
      <c r="C63659" s="374"/>
      <c r="CV63659" s="376"/>
    </row>
    <row r="63660" spans="1:100">
      <c r="A63660" s="374"/>
      <c r="C63660" s="374"/>
      <c r="CV63660" s="376"/>
    </row>
    <row r="63661" spans="1:100">
      <c r="A63661" s="374"/>
      <c r="C63661" s="374"/>
      <c r="CV63661" s="376"/>
    </row>
    <row r="63662" spans="1:100">
      <c r="A63662" s="374"/>
      <c r="C63662" s="374"/>
      <c r="CV63662" s="376"/>
    </row>
    <row r="63663" spans="1:100">
      <c r="A63663" s="374"/>
      <c r="C63663" s="374"/>
      <c r="CV63663" s="376"/>
    </row>
    <row r="63664" spans="1:100">
      <c r="A63664" s="374"/>
      <c r="C63664" s="374"/>
      <c r="CV63664" s="376"/>
    </row>
    <row r="63665" spans="1:100">
      <c r="A63665" s="374"/>
      <c r="C63665" s="374"/>
      <c r="CV63665" s="376"/>
    </row>
    <row r="63666" spans="1:100">
      <c r="A63666" s="374"/>
      <c r="C63666" s="374"/>
      <c r="CV63666" s="376"/>
    </row>
    <row r="63667" spans="1:100">
      <c r="A63667" s="374"/>
      <c r="C63667" s="374"/>
      <c r="CV63667" s="376"/>
    </row>
    <row r="63668" spans="1:100">
      <c r="A63668" s="374"/>
      <c r="C63668" s="374"/>
      <c r="CV63668" s="376"/>
    </row>
    <row r="63669" spans="1:100">
      <c r="A63669" s="374"/>
      <c r="C63669" s="374"/>
      <c r="CV63669" s="376"/>
    </row>
    <row r="63670" spans="1:100">
      <c r="A63670" s="374"/>
      <c r="C63670" s="374"/>
      <c r="CV63670" s="376"/>
    </row>
    <row r="63671" spans="1:100">
      <c r="A63671" s="374"/>
      <c r="C63671" s="374"/>
      <c r="CV63671" s="376"/>
    </row>
    <row r="63672" spans="1:100">
      <c r="A63672" s="374"/>
      <c r="C63672" s="374"/>
      <c r="CV63672" s="376"/>
    </row>
    <row r="63673" spans="1:100">
      <c r="A63673" s="374"/>
      <c r="C63673" s="374"/>
      <c r="CV63673" s="376"/>
    </row>
    <row r="63674" spans="1:100">
      <c r="A63674" s="374"/>
      <c r="C63674" s="374"/>
      <c r="CV63674" s="376"/>
    </row>
    <row r="63675" spans="1:100">
      <c r="A63675" s="374"/>
      <c r="C63675" s="374"/>
      <c r="CV63675" s="376"/>
    </row>
    <row r="63676" spans="1:100">
      <c r="A63676" s="374"/>
      <c r="C63676" s="374"/>
      <c r="CV63676" s="376"/>
    </row>
    <row r="63677" spans="1:100">
      <c r="A63677" s="374"/>
      <c r="C63677" s="374"/>
      <c r="CV63677" s="376"/>
    </row>
    <row r="63678" spans="1:100">
      <c r="A63678" s="374"/>
      <c r="C63678" s="374"/>
      <c r="CV63678" s="376"/>
    </row>
    <row r="63679" spans="1:100">
      <c r="A63679" s="374"/>
      <c r="C63679" s="374"/>
      <c r="CV63679" s="376"/>
    </row>
    <row r="63680" spans="1:100">
      <c r="A63680" s="374"/>
      <c r="C63680" s="374"/>
      <c r="CV63680" s="376"/>
    </row>
    <row r="63681" spans="1:100">
      <c r="A63681" s="374"/>
      <c r="C63681" s="374"/>
      <c r="CV63681" s="376"/>
    </row>
    <row r="63682" spans="1:100">
      <c r="A63682" s="374"/>
      <c r="C63682" s="374"/>
      <c r="CV63682" s="376"/>
    </row>
    <row r="63683" spans="1:100">
      <c r="A63683" s="374"/>
      <c r="C63683" s="374"/>
      <c r="CV63683" s="376"/>
    </row>
    <row r="63684" spans="1:100">
      <c r="A63684" s="374"/>
      <c r="C63684" s="374"/>
      <c r="CV63684" s="376"/>
    </row>
    <row r="63685" spans="1:100">
      <c r="A63685" s="374"/>
      <c r="C63685" s="374"/>
      <c r="CV63685" s="376"/>
    </row>
    <row r="63686" spans="1:100">
      <c r="A63686" s="374"/>
      <c r="C63686" s="374"/>
      <c r="CV63686" s="376"/>
    </row>
    <row r="63687" spans="1:100">
      <c r="A63687" s="374"/>
      <c r="C63687" s="374"/>
      <c r="CV63687" s="376"/>
    </row>
    <row r="63688" spans="1:100">
      <c r="A63688" s="374"/>
      <c r="C63688" s="374"/>
      <c r="CV63688" s="376"/>
    </row>
    <row r="63689" spans="1:100">
      <c r="A63689" s="374"/>
      <c r="C63689" s="374"/>
      <c r="CV63689" s="376"/>
    </row>
    <row r="63690" spans="1:100">
      <c r="A63690" s="374"/>
      <c r="C63690" s="374"/>
      <c r="CV63690" s="376"/>
    </row>
    <row r="63691" spans="1:100">
      <c r="A63691" s="374"/>
      <c r="C63691" s="374"/>
      <c r="CV63691" s="376"/>
    </row>
    <row r="63692" spans="1:100">
      <c r="A63692" s="374"/>
      <c r="C63692" s="374"/>
      <c r="CV63692" s="376"/>
    </row>
    <row r="63693" spans="1:100">
      <c r="A63693" s="374"/>
      <c r="C63693" s="374"/>
      <c r="CV63693" s="376"/>
    </row>
    <row r="63694" spans="1:100">
      <c r="A63694" s="374"/>
      <c r="C63694" s="374"/>
      <c r="CV63694" s="376"/>
    </row>
    <row r="63695" spans="1:100">
      <c r="A63695" s="374"/>
      <c r="C63695" s="374"/>
      <c r="CV63695" s="376"/>
    </row>
    <row r="63696" spans="1:100">
      <c r="A63696" s="374"/>
      <c r="C63696" s="374"/>
      <c r="CV63696" s="376"/>
    </row>
    <row r="63697" spans="1:100">
      <c r="A63697" s="374"/>
      <c r="C63697" s="374"/>
      <c r="CV63697" s="376"/>
    </row>
    <row r="63698" spans="1:100">
      <c r="A63698" s="374"/>
      <c r="C63698" s="374"/>
      <c r="CV63698" s="376"/>
    </row>
    <row r="63699" spans="1:100">
      <c r="A63699" s="374"/>
      <c r="C63699" s="374"/>
      <c r="CV63699" s="376"/>
    </row>
    <row r="63700" spans="1:100">
      <c r="A63700" s="374"/>
      <c r="C63700" s="374"/>
      <c r="CV63700" s="376"/>
    </row>
    <row r="63701" spans="1:100">
      <c r="A63701" s="374"/>
      <c r="C63701" s="374"/>
      <c r="CV63701" s="376"/>
    </row>
    <row r="63702" spans="1:100">
      <c r="A63702" s="374"/>
      <c r="C63702" s="374"/>
      <c r="CV63702" s="376"/>
    </row>
    <row r="63703" spans="1:100">
      <c r="A63703" s="374"/>
      <c r="C63703" s="374"/>
      <c r="CV63703" s="376"/>
    </row>
    <row r="63704" spans="1:100">
      <c r="A63704" s="374"/>
      <c r="C63704" s="374"/>
      <c r="CV63704" s="376"/>
    </row>
    <row r="63705" spans="1:100">
      <c r="A63705" s="374"/>
      <c r="C63705" s="374"/>
      <c r="CV63705" s="376"/>
    </row>
    <row r="63706" spans="1:100">
      <c r="A63706" s="374"/>
      <c r="C63706" s="374"/>
      <c r="CV63706" s="376"/>
    </row>
    <row r="63707" spans="1:100">
      <c r="A63707" s="374"/>
      <c r="C63707" s="374"/>
      <c r="CV63707" s="376"/>
    </row>
    <row r="63708" spans="1:100">
      <c r="A63708" s="374"/>
      <c r="C63708" s="374"/>
      <c r="CV63708" s="376"/>
    </row>
    <row r="63709" spans="1:100">
      <c r="A63709" s="374"/>
      <c r="C63709" s="374"/>
      <c r="CV63709" s="376"/>
    </row>
    <row r="63710" spans="1:100">
      <c r="A63710" s="374"/>
      <c r="C63710" s="374"/>
      <c r="CV63710" s="376"/>
    </row>
    <row r="63711" spans="1:100">
      <c r="A63711" s="374"/>
      <c r="C63711" s="374"/>
      <c r="CV63711" s="376"/>
    </row>
    <row r="63712" spans="1:100">
      <c r="A63712" s="374"/>
      <c r="C63712" s="374"/>
      <c r="CV63712" s="376"/>
    </row>
    <row r="63713" spans="1:100">
      <c r="A63713" s="374"/>
      <c r="C63713" s="374"/>
      <c r="CV63713" s="376"/>
    </row>
    <row r="63714" spans="1:100">
      <c r="A63714" s="374"/>
      <c r="C63714" s="374"/>
      <c r="CV63714" s="376"/>
    </row>
    <row r="63715" spans="1:100">
      <c r="A63715" s="374"/>
      <c r="C63715" s="374"/>
      <c r="CV63715" s="376"/>
    </row>
    <row r="63716" spans="1:100">
      <c r="A63716" s="374"/>
      <c r="C63716" s="374"/>
      <c r="CV63716" s="376"/>
    </row>
    <row r="63717" spans="1:100">
      <c r="A63717" s="374"/>
      <c r="C63717" s="374"/>
      <c r="CV63717" s="376"/>
    </row>
    <row r="63718" spans="1:100">
      <c r="A63718" s="374"/>
      <c r="C63718" s="374"/>
      <c r="CV63718" s="376"/>
    </row>
    <row r="63719" spans="1:100">
      <c r="A63719" s="374"/>
      <c r="C63719" s="374"/>
      <c r="CV63719" s="376"/>
    </row>
    <row r="63720" spans="1:100">
      <c r="A63720" s="374"/>
      <c r="C63720" s="374"/>
      <c r="CV63720" s="376"/>
    </row>
    <row r="63721" spans="1:100">
      <c r="A63721" s="374"/>
      <c r="C63721" s="374"/>
      <c r="CV63721" s="376"/>
    </row>
    <row r="63722" spans="1:100">
      <c r="A63722" s="374"/>
      <c r="C63722" s="374"/>
      <c r="CV63722" s="376"/>
    </row>
    <row r="63723" spans="1:100">
      <c r="A63723" s="374"/>
      <c r="C63723" s="374"/>
      <c r="CV63723" s="376"/>
    </row>
    <row r="63724" spans="1:100">
      <c r="A63724" s="374"/>
      <c r="C63724" s="374"/>
      <c r="CV63724" s="376"/>
    </row>
    <row r="63725" spans="1:100">
      <c r="A63725" s="374"/>
      <c r="C63725" s="374"/>
      <c r="CV63725" s="376"/>
    </row>
    <row r="63726" spans="1:100">
      <c r="A63726" s="374"/>
      <c r="C63726" s="374"/>
      <c r="CV63726" s="376"/>
    </row>
    <row r="63727" spans="1:100">
      <c r="A63727" s="374"/>
      <c r="C63727" s="374"/>
      <c r="CV63727" s="376"/>
    </row>
    <row r="63728" spans="1:100">
      <c r="A63728" s="374"/>
      <c r="C63728" s="374"/>
      <c r="CV63728" s="376"/>
    </row>
    <row r="63729" spans="1:100">
      <c r="A63729" s="374"/>
      <c r="C63729" s="374"/>
      <c r="CV63729" s="376"/>
    </row>
    <row r="63730" spans="1:100">
      <c r="A63730" s="374"/>
      <c r="C63730" s="374"/>
      <c r="CV63730" s="376"/>
    </row>
    <row r="63731" spans="1:100">
      <c r="A63731" s="374"/>
      <c r="C63731" s="374"/>
      <c r="CV63731" s="376"/>
    </row>
    <row r="63732" spans="1:100">
      <c r="A63732" s="374"/>
      <c r="C63732" s="374"/>
      <c r="CV63732" s="376"/>
    </row>
    <row r="63733" spans="1:100">
      <c r="A63733" s="374"/>
      <c r="C63733" s="374"/>
      <c r="CV63733" s="376"/>
    </row>
    <row r="63734" spans="1:100">
      <c r="A63734" s="374"/>
      <c r="C63734" s="374"/>
      <c r="CV63734" s="376"/>
    </row>
    <row r="63735" spans="1:100">
      <c r="A63735" s="374"/>
      <c r="C63735" s="374"/>
      <c r="CV63735" s="376"/>
    </row>
    <row r="63736" spans="1:100">
      <c r="A63736" s="374"/>
      <c r="C63736" s="374"/>
      <c r="CV63736" s="376"/>
    </row>
    <row r="63737" spans="1:100">
      <c r="A63737" s="374"/>
      <c r="C63737" s="374"/>
      <c r="CV63737" s="376"/>
    </row>
    <row r="63738" spans="1:100">
      <c r="A63738" s="374"/>
      <c r="C63738" s="374"/>
      <c r="CV63738" s="376"/>
    </row>
    <row r="63739" spans="1:100">
      <c r="A63739" s="374"/>
      <c r="C63739" s="374"/>
      <c r="CV63739" s="376"/>
    </row>
    <row r="63740" spans="1:100">
      <c r="A63740" s="374"/>
      <c r="C63740" s="374"/>
      <c r="CV63740" s="376"/>
    </row>
    <row r="63741" spans="1:100">
      <c r="A63741" s="374"/>
      <c r="C63741" s="374"/>
      <c r="CV63741" s="376"/>
    </row>
    <row r="63742" spans="1:100">
      <c r="A63742" s="374"/>
      <c r="C63742" s="374"/>
      <c r="CV63742" s="376"/>
    </row>
    <row r="63743" spans="1:100">
      <c r="A63743" s="374"/>
      <c r="C63743" s="374"/>
      <c r="CV63743" s="376"/>
    </row>
    <row r="63744" spans="1:100">
      <c r="A63744" s="374"/>
      <c r="C63744" s="374"/>
      <c r="CV63744" s="376"/>
    </row>
    <row r="63745" spans="1:100">
      <c r="A63745" s="374"/>
      <c r="C63745" s="374"/>
      <c r="CV63745" s="376"/>
    </row>
    <row r="63746" spans="1:100">
      <c r="A63746" s="374"/>
      <c r="C63746" s="374"/>
      <c r="CV63746" s="376"/>
    </row>
    <row r="63747" spans="1:100">
      <c r="A63747" s="374"/>
      <c r="C63747" s="374"/>
      <c r="CV63747" s="376"/>
    </row>
    <row r="63748" spans="1:100">
      <c r="A63748" s="374"/>
      <c r="C63748" s="374"/>
      <c r="CV63748" s="376"/>
    </row>
    <row r="63749" spans="1:100">
      <c r="A63749" s="374"/>
      <c r="C63749" s="374"/>
      <c r="CV63749" s="376"/>
    </row>
    <row r="63750" spans="1:100">
      <c r="A63750" s="374"/>
      <c r="C63750" s="374"/>
      <c r="CV63750" s="376"/>
    </row>
    <row r="63751" spans="1:100">
      <c r="A63751" s="374"/>
      <c r="C63751" s="374"/>
      <c r="CV63751" s="376"/>
    </row>
    <row r="63752" spans="1:100">
      <c r="A63752" s="374"/>
      <c r="C63752" s="374"/>
      <c r="CV63752" s="376"/>
    </row>
    <row r="63753" spans="1:100">
      <c r="A63753" s="374"/>
      <c r="C63753" s="374"/>
      <c r="CV63753" s="376"/>
    </row>
    <row r="63754" spans="1:100">
      <c r="A63754" s="374"/>
      <c r="C63754" s="374"/>
      <c r="CV63754" s="376"/>
    </row>
    <row r="63755" spans="1:100">
      <c r="A63755" s="374"/>
      <c r="C63755" s="374"/>
      <c r="CV63755" s="376"/>
    </row>
    <row r="63756" spans="1:100">
      <c r="A63756" s="374"/>
      <c r="C63756" s="374"/>
      <c r="CV63756" s="376"/>
    </row>
    <row r="63757" spans="1:100">
      <c r="A63757" s="374"/>
      <c r="C63757" s="374"/>
      <c r="CV63757" s="376"/>
    </row>
    <row r="63758" spans="1:100">
      <c r="A63758" s="374"/>
      <c r="C63758" s="374"/>
      <c r="CV63758" s="376"/>
    </row>
    <row r="63759" spans="1:100">
      <c r="A63759" s="374"/>
      <c r="C63759" s="374"/>
      <c r="CV63759" s="376"/>
    </row>
    <row r="63760" spans="1:100">
      <c r="A63760" s="374"/>
      <c r="C63760" s="374"/>
      <c r="CV63760" s="376"/>
    </row>
    <row r="63761" spans="1:100">
      <c r="A63761" s="374"/>
      <c r="C63761" s="374"/>
      <c r="CV63761" s="376"/>
    </row>
    <row r="63762" spans="1:100">
      <c r="A63762" s="374"/>
      <c r="C63762" s="374"/>
      <c r="CV63762" s="376"/>
    </row>
    <row r="63763" spans="1:100">
      <c r="A63763" s="374"/>
      <c r="C63763" s="374"/>
      <c r="CV63763" s="376"/>
    </row>
    <row r="63764" spans="1:100">
      <c r="A63764" s="374"/>
      <c r="C63764" s="374"/>
      <c r="CV63764" s="376"/>
    </row>
    <row r="63765" spans="1:100">
      <c r="A63765" s="374"/>
      <c r="C63765" s="374"/>
      <c r="CV63765" s="376"/>
    </row>
    <row r="63766" spans="1:100">
      <c r="A63766" s="374"/>
      <c r="C63766" s="374"/>
      <c r="CV63766" s="376"/>
    </row>
    <row r="63767" spans="1:100">
      <c r="A63767" s="374"/>
      <c r="C63767" s="374"/>
      <c r="CV63767" s="376"/>
    </row>
    <row r="63768" spans="1:100">
      <c r="A63768" s="374"/>
      <c r="C63768" s="374"/>
      <c r="CV63768" s="376"/>
    </row>
    <row r="63769" spans="1:100">
      <c r="A63769" s="374"/>
      <c r="C63769" s="374"/>
      <c r="CV63769" s="376"/>
    </row>
    <row r="63770" spans="1:100">
      <c r="A63770" s="374"/>
      <c r="C63770" s="374"/>
      <c r="CV63770" s="376"/>
    </row>
    <row r="63771" spans="1:100">
      <c r="A63771" s="374"/>
      <c r="C63771" s="374"/>
      <c r="CV63771" s="376"/>
    </row>
    <row r="63772" spans="1:100">
      <c r="A63772" s="374"/>
      <c r="C63772" s="374"/>
      <c r="CV63772" s="376"/>
    </row>
    <row r="63773" spans="1:100">
      <c r="A63773" s="374"/>
      <c r="C63773" s="374"/>
      <c r="CV63773" s="376"/>
    </row>
    <row r="63774" spans="1:100">
      <c r="A63774" s="374"/>
      <c r="C63774" s="374"/>
      <c r="CV63774" s="376"/>
    </row>
    <row r="63775" spans="1:100">
      <c r="A63775" s="374"/>
      <c r="C63775" s="374"/>
      <c r="CV63775" s="376"/>
    </row>
    <row r="63776" spans="1:100">
      <c r="A63776" s="374"/>
      <c r="C63776" s="374"/>
      <c r="CV63776" s="376"/>
    </row>
    <row r="63777" spans="1:100">
      <c r="A63777" s="374"/>
      <c r="C63777" s="374"/>
      <c r="CV63777" s="376"/>
    </row>
    <row r="63778" spans="1:100">
      <c r="A63778" s="374"/>
      <c r="C63778" s="374"/>
      <c r="CV63778" s="376"/>
    </row>
    <row r="63779" spans="1:100">
      <c r="A63779" s="374"/>
      <c r="C63779" s="374"/>
      <c r="CV63779" s="376"/>
    </row>
    <row r="63780" spans="1:100">
      <c r="A63780" s="374"/>
      <c r="C63780" s="374"/>
      <c r="CV63780" s="376"/>
    </row>
    <row r="63781" spans="1:100">
      <c r="A63781" s="374"/>
      <c r="C63781" s="374"/>
      <c r="CV63781" s="376"/>
    </row>
    <row r="63782" spans="1:100">
      <c r="A63782" s="374"/>
      <c r="C63782" s="374"/>
      <c r="CV63782" s="376"/>
    </row>
    <row r="63783" spans="1:100">
      <c r="A63783" s="374"/>
      <c r="C63783" s="374"/>
      <c r="CV63783" s="376"/>
    </row>
    <row r="63784" spans="1:100">
      <c r="A63784" s="374"/>
      <c r="C63784" s="374"/>
      <c r="CV63784" s="376"/>
    </row>
    <row r="63785" spans="1:100">
      <c r="A63785" s="374"/>
      <c r="C63785" s="374"/>
      <c r="CV63785" s="376"/>
    </row>
    <row r="63786" spans="1:100">
      <c r="A63786" s="374"/>
      <c r="C63786" s="374"/>
      <c r="CV63786" s="376"/>
    </row>
    <row r="63787" spans="1:100">
      <c r="A63787" s="374"/>
      <c r="C63787" s="374"/>
      <c r="CV63787" s="376"/>
    </row>
    <row r="63788" spans="1:100">
      <c r="A63788" s="374"/>
      <c r="C63788" s="374"/>
      <c r="CV63788" s="376"/>
    </row>
    <row r="63789" spans="1:100">
      <c r="A63789" s="374"/>
      <c r="C63789" s="374"/>
      <c r="CV63789" s="376"/>
    </row>
    <row r="63790" spans="1:100">
      <c r="A63790" s="374"/>
      <c r="C63790" s="374"/>
      <c r="CV63790" s="376"/>
    </row>
    <row r="63791" spans="1:100">
      <c r="A63791" s="374"/>
      <c r="C63791" s="374"/>
      <c r="CV63791" s="376"/>
    </row>
    <row r="63792" spans="1:100">
      <c r="A63792" s="374"/>
      <c r="C63792" s="374"/>
      <c r="CV63792" s="376"/>
    </row>
    <row r="63793" spans="1:100">
      <c r="A63793" s="374"/>
      <c r="C63793" s="374"/>
      <c r="CV63793" s="376"/>
    </row>
    <row r="63794" spans="1:100">
      <c r="A63794" s="374"/>
      <c r="C63794" s="374"/>
      <c r="CV63794" s="376"/>
    </row>
    <row r="63795" spans="1:100">
      <c r="A63795" s="374"/>
      <c r="C63795" s="374"/>
      <c r="CV63795" s="376"/>
    </row>
    <row r="63796" spans="1:100">
      <c r="A63796" s="374"/>
      <c r="C63796" s="374"/>
      <c r="CV63796" s="376"/>
    </row>
    <row r="63797" spans="1:100">
      <c r="A63797" s="374"/>
      <c r="C63797" s="374"/>
      <c r="CV63797" s="376"/>
    </row>
    <row r="63798" spans="1:100">
      <c r="A63798" s="374"/>
      <c r="C63798" s="374"/>
      <c r="CV63798" s="376"/>
    </row>
    <row r="63799" spans="1:100">
      <c r="A63799" s="374"/>
      <c r="C63799" s="374"/>
      <c r="CV63799" s="376"/>
    </row>
    <row r="63800" spans="1:100">
      <c r="A63800" s="374"/>
      <c r="C63800" s="374"/>
      <c r="CV63800" s="376"/>
    </row>
    <row r="63801" spans="1:100">
      <c r="A63801" s="374"/>
      <c r="C63801" s="374"/>
      <c r="CV63801" s="376"/>
    </row>
    <row r="63802" spans="1:100">
      <c r="A63802" s="374"/>
      <c r="C63802" s="374"/>
      <c r="CV63802" s="376"/>
    </row>
    <row r="63803" spans="1:100">
      <c r="A63803" s="374"/>
      <c r="C63803" s="374"/>
      <c r="CV63803" s="376"/>
    </row>
    <row r="63804" spans="1:100">
      <c r="A63804" s="374"/>
      <c r="C63804" s="374"/>
      <c r="CV63804" s="376"/>
    </row>
    <row r="63805" spans="1:100">
      <c r="A63805" s="374"/>
      <c r="C63805" s="374"/>
      <c r="CV63805" s="376"/>
    </row>
    <row r="63806" spans="1:100">
      <c r="A63806" s="374"/>
      <c r="C63806" s="374"/>
      <c r="CV63806" s="376"/>
    </row>
    <row r="63807" spans="1:100">
      <c r="A63807" s="374"/>
      <c r="C63807" s="374"/>
      <c r="CV63807" s="376"/>
    </row>
    <row r="63808" spans="1:100">
      <c r="A63808" s="374"/>
      <c r="C63808" s="374"/>
      <c r="CV63808" s="376"/>
    </row>
    <row r="63809" spans="1:100">
      <c r="A63809" s="374"/>
      <c r="C63809" s="374"/>
      <c r="CV63809" s="376"/>
    </row>
    <row r="63810" spans="1:100">
      <c r="A63810" s="374"/>
      <c r="C63810" s="374"/>
      <c r="CV63810" s="376"/>
    </row>
    <row r="63811" spans="1:100">
      <c r="A63811" s="374"/>
      <c r="C63811" s="374"/>
      <c r="CV63811" s="376"/>
    </row>
    <row r="63812" spans="1:100">
      <c r="A63812" s="374"/>
      <c r="C63812" s="374"/>
      <c r="CV63812" s="376"/>
    </row>
    <row r="63813" spans="1:100">
      <c r="A63813" s="374"/>
      <c r="C63813" s="374"/>
      <c r="CV63813" s="376"/>
    </row>
    <row r="63814" spans="1:100">
      <c r="A63814" s="374"/>
      <c r="C63814" s="374"/>
      <c r="CV63814" s="376"/>
    </row>
    <row r="63815" spans="1:100">
      <c r="A63815" s="374"/>
      <c r="C63815" s="374"/>
      <c r="CV63815" s="376"/>
    </row>
    <row r="63816" spans="1:100">
      <c r="A63816" s="374"/>
      <c r="C63816" s="374"/>
      <c r="CV63816" s="376"/>
    </row>
    <row r="63817" spans="1:100">
      <c r="A63817" s="374"/>
      <c r="C63817" s="374"/>
      <c r="CV63817" s="376"/>
    </row>
    <row r="63818" spans="1:100">
      <c r="A63818" s="374"/>
      <c r="C63818" s="374"/>
      <c r="CV63818" s="376"/>
    </row>
    <row r="63819" spans="1:100">
      <c r="A63819" s="374"/>
      <c r="C63819" s="374"/>
      <c r="CV63819" s="376"/>
    </row>
    <row r="63820" spans="1:100">
      <c r="A63820" s="374"/>
      <c r="C63820" s="374"/>
      <c r="CV63820" s="376"/>
    </row>
    <row r="63821" spans="1:100">
      <c r="A63821" s="374"/>
      <c r="C63821" s="374"/>
      <c r="CV63821" s="376"/>
    </row>
    <row r="63822" spans="1:100">
      <c r="A63822" s="374"/>
      <c r="C63822" s="374"/>
      <c r="CV63822" s="376"/>
    </row>
    <row r="63823" spans="1:100">
      <c r="A63823" s="374"/>
      <c r="C63823" s="374"/>
      <c r="CV63823" s="376"/>
    </row>
    <row r="63824" spans="1:100">
      <c r="A63824" s="374"/>
      <c r="C63824" s="374"/>
      <c r="CV63824" s="376"/>
    </row>
    <row r="63825" spans="1:100">
      <c r="A63825" s="374"/>
      <c r="C63825" s="374"/>
      <c r="CV63825" s="376"/>
    </row>
    <row r="63826" spans="1:100">
      <c r="A63826" s="374"/>
      <c r="C63826" s="374"/>
      <c r="CV63826" s="376"/>
    </row>
    <row r="63827" spans="1:100">
      <c r="A63827" s="374"/>
      <c r="C63827" s="374"/>
      <c r="CV63827" s="376"/>
    </row>
    <row r="63828" spans="1:100">
      <c r="A63828" s="374"/>
      <c r="C63828" s="374"/>
      <c r="CV63828" s="376"/>
    </row>
    <row r="63829" spans="1:100">
      <c r="A63829" s="374"/>
      <c r="C63829" s="374"/>
      <c r="CV63829" s="376"/>
    </row>
    <row r="63830" spans="1:100">
      <c r="A63830" s="374"/>
      <c r="C63830" s="374"/>
      <c r="CV63830" s="376"/>
    </row>
    <row r="63831" spans="1:100">
      <c r="A63831" s="374"/>
      <c r="C63831" s="374"/>
      <c r="CV63831" s="376"/>
    </row>
    <row r="63832" spans="1:100">
      <c r="A63832" s="374"/>
      <c r="C63832" s="374"/>
      <c r="CV63832" s="376"/>
    </row>
    <row r="63833" spans="1:100">
      <c r="A63833" s="374"/>
      <c r="C63833" s="374"/>
      <c r="CV63833" s="376"/>
    </row>
    <row r="63834" spans="1:100">
      <c r="A63834" s="374"/>
      <c r="C63834" s="374"/>
      <c r="CV63834" s="376"/>
    </row>
    <row r="63835" spans="1:100">
      <c r="A63835" s="374"/>
      <c r="C63835" s="374"/>
      <c r="CV63835" s="376"/>
    </row>
    <row r="63836" spans="1:100">
      <c r="A63836" s="374"/>
      <c r="C63836" s="374"/>
      <c r="CV63836" s="376"/>
    </row>
    <row r="63837" spans="1:100">
      <c r="A63837" s="374"/>
      <c r="C63837" s="374"/>
      <c r="CV63837" s="376"/>
    </row>
    <row r="63838" spans="1:100">
      <c r="A63838" s="374"/>
      <c r="C63838" s="374"/>
      <c r="CV63838" s="376"/>
    </row>
    <row r="63839" spans="1:100">
      <c r="A63839" s="374"/>
      <c r="C63839" s="374"/>
      <c r="CV63839" s="376"/>
    </row>
    <row r="63840" spans="1:100">
      <c r="A63840" s="374"/>
      <c r="C63840" s="374"/>
      <c r="CV63840" s="376"/>
    </row>
    <row r="63841" spans="1:100">
      <c r="A63841" s="374"/>
      <c r="C63841" s="374"/>
      <c r="CV63841" s="376"/>
    </row>
    <row r="63842" spans="1:100">
      <c r="A63842" s="374"/>
      <c r="C63842" s="374"/>
      <c r="CV63842" s="376"/>
    </row>
    <row r="63843" spans="1:100">
      <c r="A63843" s="374"/>
      <c r="C63843" s="374"/>
      <c r="CV63843" s="376"/>
    </row>
    <row r="63844" spans="1:100">
      <c r="A63844" s="374"/>
      <c r="C63844" s="374"/>
      <c r="CV63844" s="376"/>
    </row>
    <row r="63845" spans="1:100">
      <c r="A63845" s="374"/>
      <c r="C63845" s="374"/>
      <c r="CV63845" s="376"/>
    </row>
    <row r="63846" spans="1:100">
      <c r="A63846" s="374"/>
      <c r="C63846" s="374"/>
      <c r="CV63846" s="376"/>
    </row>
    <row r="63847" spans="1:100">
      <c r="A63847" s="374"/>
      <c r="C63847" s="374"/>
      <c r="CV63847" s="376"/>
    </row>
    <row r="63848" spans="1:100">
      <c r="A63848" s="374"/>
      <c r="C63848" s="374"/>
      <c r="CV63848" s="376"/>
    </row>
    <row r="63849" spans="1:100">
      <c r="A63849" s="374"/>
      <c r="C63849" s="374"/>
      <c r="CV63849" s="376"/>
    </row>
    <row r="63850" spans="1:100">
      <c r="A63850" s="374"/>
      <c r="C63850" s="374"/>
      <c r="CV63850" s="376"/>
    </row>
    <row r="63851" spans="1:100">
      <c r="A63851" s="374"/>
      <c r="C63851" s="374"/>
      <c r="CV63851" s="376"/>
    </row>
    <row r="63852" spans="1:100">
      <c r="A63852" s="374"/>
      <c r="C63852" s="374"/>
      <c r="CV63852" s="376"/>
    </row>
    <row r="63853" spans="1:100">
      <c r="A63853" s="374"/>
      <c r="C63853" s="374"/>
      <c r="CV63853" s="376"/>
    </row>
    <row r="63854" spans="1:100">
      <c r="A63854" s="374"/>
      <c r="C63854" s="374"/>
      <c r="CV63854" s="376"/>
    </row>
    <row r="63855" spans="1:100">
      <c r="A63855" s="374"/>
      <c r="C63855" s="374"/>
      <c r="CV63855" s="376"/>
    </row>
    <row r="63856" spans="1:100">
      <c r="A63856" s="374"/>
      <c r="C63856" s="374"/>
      <c r="CV63856" s="376"/>
    </row>
    <row r="63857" spans="1:100">
      <c r="A63857" s="374"/>
      <c r="C63857" s="374"/>
      <c r="CV63857" s="376"/>
    </row>
    <row r="63858" spans="1:100">
      <c r="A63858" s="374"/>
      <c r="C63858" s="374"/>
      <c r="CV63858" s="376"/>
    </row>
    <row r="63859" spans="1:100">
      <c r="A63859" s="374"/>
      <c r="C63859" s="374"/>
      <c r="CV63859" s="376"/>
    </row>
    <row r="63860" spans="1:100">
      <c r="A63860" s="374"/>
      <c r="C63860" s="374"/>
      <c r="CV63860" s="376"/>
    </row>
    <row r="63861" spans="1:100">
      <c r="A63861" s="374"/>
      <c r="C63861" s="374"/>
      <c r="CV63861" s="376"/>
    </row>
    <row r="63862" spans="1:100">
      <c r="A63862" s="374"/>
      <c r="C63862" s="374"/>
      <c r="CV63862" s="376"/>
    </row>
    <row r="63863" spans="1:100">
      <c r="A63863" s="374"/>
      <c r="C63863" s="374"/>
      <c r="CV63863" s="376"/>
    </row>
    <row r="63864" spans="1:100">
      <c r="A63864" s="374"/>
      <c r="C63864" s="374"/>
      <c r="CV63864" s="376"/>
    </row>
    <row r="63865" spans="1:100">
      <c r="A63865" s="374"/>
      <c r="C63865" s="374"/>
      <c r="CV63865" s="376"/>
    </row>
    <row r="63866" spans="1:100">
      <c r="A63866" s="374"/>
      <c r="C63866" s="374"/>
      <c r="CV63866" s="376"/>
    </row>
    <row r="63867" spans="1:100">
      <c r="A63867" s="374"/>
      <c r="C63867" s="374"/>
      <c r="CV63867" s="376"/>
    </row>
    <row r="63868" spans="1:100">
      <c r="A63868" s="374"/>
      <c r="C63868" s="374"/>
      <c r="CV63868" s="376"/>
    </row>
    <row r="63869" spans="1:100">
      <c r="A63869" s="374"/>
      <c r="C63869" s="374"/>
      <c r="CV63869" s="376"/>
    </row>
    <row r="63870" spans="1:100">
      <c r="A63870" s="374"/>
      <c r="C63870" s="374"/>
      <c r="CV63870" s="376"/>
    </row>
    <row r="63871" spans="1:100">
      <c r="A63871" s="374"/>
      <c r="C63871" s="374"/>
      <c r="CV63871" s="376"/>
    </row>
    <row r="63872" spans="1:100">
      <c r="A63872" s="374"/>
      <c r="C63872" s="374"/>
      <c r="CV63872" s="376"/>
    </row>
    <row r="63873" spans="1:100">
      <c r="A63873" s="374"/>
      <c r="C63873" s="374"/>
      <c r="CV63873" s="376"/>
    </row>
    <row r="63874" spans="1:100">
      <c r="A63874" s="374"/>
      <c r="C63874" s="374"/>
      <c r="CV63874" s="376"/>
    </row>
    <row r="63875" spans="1:100">
      <c r="A63875" s="374"/>
      <c r="C63875" s="374"/>
      <c r="CV63875" s="376"/>
    </row>
    <row r="63876" spans="1:100">
      <c r="A63876" s="374"/>
      <c r="C63876" s="374"/>
      <c r="CV63876" s="376"/>
    </row>
    <row r="63877" spans="1:100">
      <c r="A63877" s="374"/>
      <c r="C63877" s="374"/>
      <c r="CV63877" s="376"/>
    </row>
    <row r="63878" spans="1:100">
      <c r="A63878" s="374"/>
      <c r="C63878" s="374"/>
      <c r="CV63878" s="376"/>
    </row>
    <row r="63879" spans="1:100">
      <c r="A63879" s="374"/>
      <c r="C63879" s="374"/>
      <c r="CV63879" s="376"/>
    </row>
    <row r="63880" spans="1:100">
      <c r="A63880" s="374"/>
      <c r="C63880" s="374"/>
      <c r="CV63880" s="376"/>
    </row>
    <row r="63881" spans="1:100">
      <c r="A63881" s="374"/>
      <c r="C63881" s="374"/>
      <c r="CV63881" s="376"/>
    </row>
    <row r="63882" spans="1:100">
      <c r="A63882" s="374"/>
      <c r="C63882" s="374"/>
      <c r="CV63882" s="376"/>
    </row>
    <row r="63883" spans="1:100">
      <c r="A63883" s="374"/>
      <c r="C63883" s="374"/>
      <c r="CV63883" s="376"/>
    </row>
    <row r="63884" spans="1:100">
      <c r="A63884" s="374"/>
      <c r="C63884" s="374"/>
      <c r="CV63884" s="376"/>
    </row>
    <row r="63885" spans="1:100">
      <c r="A63885" s="374"/>
      <c r="C63885" s="374"/>
      <c r="CV63885" s="376"/>
    </row>
    <row r="63886" spans="1:100">
      <c r="A63886" s="374"/>
      <c r="C63886" s="374"/>
      <c r="CV63886" s="376"/>
    </row>
    <row r="63887" spans="1:100">
      <c r="A63887" s="374"/>
      <c r="C63887" s="374"/>
      <c r="CV63887" s="376"/>
    </row>
    <row r="63888" spans="1:100">
      <c r="A63888" s="374"/>
      <c r="C63888" s="374"/>
      <c r="CV63888" s="376"/>
    </row>
    <row r="63889" spans="1:100">
      <c r="A63889" s="374"/>
      <c r="C63889" s="374"/>
      <c r="CV63889" s="376"/>
    </row>
    <row r="63890" spans="1:100">
      <c r="A63890" s="374"/>
      <c r="C63890" s="374"/>
      <c r="CV63890" s="376"/>
    </row>
    <row r="63891" spans="1:100">
      <c r="A63891" s="374"/>
      <c r="C63891" s="374"/>
      <c r="CV63891" s="376"/>
    </row>
    <row r="63892" spans="1:100">
      <c r="A63892" s="374"/>
      <c r="C63892" s="374"/>
      <c r="CV63892" s="376"/>
    </row>
    <row r="63893" spans="1:100">
      <c r="A63893" s="374"/>
      <c r="C63893" s="374"/>
      <c r="CV63893" s="376"/>
    </row>
    <row r="63894" spans="1:100">
      <c r="A63894" s="374"/>
      <c r="C63894" s="374"/>
      <c r="CV63894" s="376"/>
    </row>
    <row r="63895" spans="1:100">
      <c r="A63895" s="374"/>
      <c r="C63895" s="374"/>
      <c r="CV63895" s="376"/>
    </row>
    <row r="63896" spans="1:100">
      <c r="A63896" s="374"/>
      <c r="C63896" s="374"/>
      <c r="CV63896" s="376"/>
    </row>
    <row r="63897" spans="1:100">
      <c r="A63897" s="374"/>
      <c r="C63897" s="374"/>
      <c r="CV63897" s="376"/>
    </row>
    <row r="63898" spans="1:100">
      <c r="A63898" s="374"/>
      <c r="C63898" s="374"/>
      <c r="CV63898" s="376"/>
    </row>
    <row r="63899" spans="1:100">
      <c r="A63899" s="374"/>
      <c r="C63899" s="374"/>
      <c r="CV63899" s="376"/>
    </row>
    <row r="63900" spans="1:100">
      <c r="A63900" s="374"/>
      <c r="C63900" s="374"/>
      <c r="CV63900" s="376"/>
    </row>
    <row r="63901" spans="1:100">
      <c r="A63901" s="374"/>
      <c r="C63901" s="374"/>
      <c r="CV63901" s="376"/>
    </row>
    <row r="63902" spans="1:100">
      <c r="A63902" s="374"/>
      <c r="C63902" s="374"/>
      <c r="CV63902" s="376"/>
    </row>
    <row r="63903" spans="1:100">
      <c r="A63903" s="374"/>
      <c r="C63903" s="374"/>
      <c r="CV63903" s="376"/>
    </row>
    <row r="63904" spans="1:100">
      <c r="A63904" s="374"/>
      <c r="C63904" s="374"/>
      <c r="CV63904" s="376"/>
    </row>
    <row r="63905" spans="1:100">
      <c r="A63905" s="374"/>
      <c r="C63905" s="374"/>
      <c r="CV63905" s="376"/>
    </row>
    <row r="63906" spans="1:100">
      <c r="A63906" s="374"/>
      <c r="C63906" s="374"/>
      <c r="CV63906" s="376"/>
    </row>
    <row r="63907" spans="1:100">
      <c r="A63907" s="374"/>
      <c r="C63907" s="374"/>
      <c r="CV63907" s="376"/>
    </row>
    <row r="63908" spans="1:100">
      <c r="A63908" s="374"/>
      <c r="C63908" s="374"/>
      <c r="CV63908" s="376"/>
    </row>
    <row r="63909" spans="1:100">
      <c r="A63909" s="374"/>
      <c r="C63909" s="374"/>
      <c r="CV63909" s="376"/>
    </row>
    <row r="63910" spans="1:100">
      <c r="A63910" s="374"/>
      <c r="C63910" s="374"/>
      <c r="CV63910" s="376"/>
    </row>
    <row r="63911" spans="1:100">
      <c r="A63911" s="374"/>
      <c r="C63911" s="374"/>
      <c r="CV63911" s="376"/>
    </row>
    <row r="63912" spans="1:100">
      <c r="A63912" s="374"/>
      <c r="C63912" s="374"/>
      <c r="CV63912" s="376"/>
    </row>
    <row r="63913" spans="1:100">
      <c r="A63913" s="374"/>
      <c r="C63913" s="374"/>
      <c r="CV63913" s="376"/>
    </row>
    <row r="63914" spans="1:100">
      <c r="A63914" s="374"/>
      <c r="C63914" s="374"/>
      <c r="CV63914" s="376"/>
    </row>
    <row r="63915" spans="1:100">
      <c r="A63915" s="374"/>
      <c r="C63915" s="374"/>
      <c r="CV63915" s="376"/>
    </row>
    <row r="63916" spans="1:100">
      <c r="A63916" s="374"/>
      <c r="C63916" s="374"/>
      <c r="CV63916" s="376"/>
    </row>
    <row r="63917" spans="1:100">
      <c r="A63917" s="374"/>
      <c r="C63917" s="374"/>
      <c r="CV63917" s="376"/>
    </row>
    <row r="63918" spans="1:100">
      <c r="A63918" s="374"/>
      <c r="C63918" s="374"/>
      <c r="CV63918" s="376"/>
    </row>
    <row r="63919" spans="1:100">
      <c r="A63919" s="374"/>
      <c r="C63919" s="374"/>
      <c r="CV63919" s="376"/>
    </row>
    <row r="63920" spans="1:100">
      <c r="A63920" s="374"/>
      <c r="C63920" s="374"/>
      <c r="CV63920" s="376"/>
    </row>
    <row r="63921" spans="1:100">
      <c r="A63921" s="374"/>
      <c r="C63921" s="374"/>
      <c r="CV63921" s="376"/>
    </row>
    <row r="63922" spans="1:100">
      <c r="A63922" s="374"/>
      <c r="C63922" s="374"/>
      <c r="CV63922" s="376"/>
    </row>
    <row r="63923" spans="1:100">
      <c r="A63923" s="374"/>
      <c r="C63923" s="374"/>
      <c r="CV63923" s="376"/>
    </row>
    <row r="63924" spans="1:100">
      <c r="A63924" s="374"/>
      <c r="C63924" s="374"/>
      <c r="CV63924" s="376"/>
    </row>
    <row r="63925" spans="1:100">
      <c r="A63925" s="374"/>
      <c r="C63925" s="374"/>
      <c r="CV63925" s="376"/>
    </row>
    <row r="63926" spans="1:100">
      <c r="A63926" s="374"/>
      <c r="C63926" s="374"/>
      <c r="CV63926" s="376"/>
    </row>
    <row r="63927" spans="1:100">
      <c r="A63927" s="374"/>
      <c r="C63927" s="374"/>
      <c r="CV63927" s="376"/>
    </row>
    <row r="63928" spans="1:100">
      <c r="A63928" s="374"/>
      <c r="C63928" s="374"/>
      <c r="CV63928" s="376"/>
    </row>
    <row r="63929" spans="1:100">
      <c r="A63929" s="374"/>
      <c r="C63929" s="374"/>
      <c r="CV63929" s="376"/>
    </row>
    <row r="63930" spans="1:100">
      <c r="A63930" s="374"/>
      <c r="C63930" s="374"/>
      <c r="CV63930" s="376"/>
    </row>
    <row r="63931" spans="1:100">
      <c r="A63931" s="374"/>
      <c r="C63931" s="374"/>
      <c r="CV63931" s="376"/>
    </row>
    <row r="63932" spans="1:100">
      <c r="A63932" s="374"/>
      <c r="C63932" s="374"/>
      <c r="CV63932" s="376"/>
    </row>
    <row r="63933" spans="1:100">
      <c r="A63933" s="374"/>
      <c r="C63933" s="374"/>
      <c r="CV63933" s="376"/>
    </row>
    <row r="63934" spans="1:100">
      <c r="A63934" s="374"/>
      <c r="C63934" s="374"/>
      <c r="CV63934" s="376"/>
    </row>
    <row r="63935" spans="1:100">
      <c r="A63935" s="374"/>
      <c r="C63935" s="374"/>
      <c r="CV63935" s="376"/>
    </row>
    <row r="63936" spans="1:100">
      <c r="A63936" s="374"/>
      <c r="C63936" s="374"/>
      <c r="CV63936" s="376"/>
    </row>
    <row r="63937" spans="1:100">
      <c r="A63937" s="374"/>
      <c r="C63937" s="374"/>
      <c r="CV63937" s="376"/>
    </row>
    <row r="63938" spans="1:100">
      <c r="A63938" s="374"/>
      <c r="C63938" s="374"/>
      <c r="CV63938" s="376"/>
    </row>
    <row r="63939" spans="1:100">
      <c r="A63939" s="374"/>
      <c r="C63939" s="374"/>
      <c r="CV63939" s="376"/>
    </row>
    <row r="63940" spans="1:100">
      <c r="A63940" s="374"/>
      <c r="C63940" s="374"/>
      <c r="CV63940" s="376"/>
    </row>
    <row r="63941" spans="1:100">
      <c r="A63941" s="374"/>
      <c r="C63941" s="374"/>
      <c r="CV63941" s="376"/>
    </row>
    <row r="63942" spans="1:100">
      <c r="A63942" s="374"/>
      <c r="C63942" s="374"/>
      <c r="CV63942" s="376"/>
    </row>
    <row r="63943" spans="1:100">
      <c r="A63943" s="374"/>
      <c r="C63943" s="374"/>
      <c r="CV63943" s="376"/>
    </row>
    <row r="63944" spans="1:100">
      <c r="A63944" s="374"/>
      <c r="C63944" s="374"/>
      <c r="CV63944" s="376"/>
    </row>
    <row r="63945" spans="1:100">
      <c r="A63945" s="374"/>
      <c r="C63945" s="374"/>
      <c r="CV63945" s="376"/>
    </row>
    <row r="63946" spans="1:100">
      <c r="A63946" s="374"/>
      <c r="C63946" s="374"/>
      <c r="CV63946" s="376"/>
    </row>
    <row r="63947" spans="1:100">
      <c r="A63947" s="374"/>
      <c r="C63947" s="374"/>
      <c r="CV63947" s="376"/>
    </row>
    <row r="63948" spans="1:100">
      <c r="A63948" s="374"/>
      <c r="C63948" s="374"/>
      <c r="CV63948" s="376"/>
    </row>
    <row r="63949" spans="1:100">
      <c r="A63949" s="374"/>
      <c r="C63949" s="374"/>
      <c r="CV63949" s="376"/>
    </row>
    <row r="63950" spans="1:100">
      <c r="A63950" s="374"/>
      <c r="C63950" s="374"/>
      <c r="CV63950" s="376"/>
    </row>
    <row r="63951" spans="1:100">
      <c r="A63951" s="374"/>
      <c r="C63951" s="374"/>
      <c r="CV63951" s="376"/>
    </row>
    <row r="63952" spans="1:100">
      <c r="A63952" s="374"/>
      <c r="C63952" s="374"/>
      <c r="CV63952" s="376"/>
    </row>
    <row r="63953" spans="1:100">
      <c r="A63953" s="374"/>
      <c r="C63953" s="374"/>
      <c r="CV63953" s="376"/>
    </row>
    <row r="63954" spans="1:100">
      <c r="A63954" s="374"/>
      <c r="C63954" s="374"/>
      <c r="CV63954" s="376"/>
    </row>
    <row r="63955" spans="1:100">
      <c r="A63955" s="374"/>
      <c r="C63955" s="374"/>
      <c r="CV63955" s="376"/>
    </row>
    <row r="63956" spans="1:100">
      <c r="A63956" s="374"/>
      <c r="C63956" s="374"/>
      <c r="CV63956" s="376"/>
    </row>
    <row r="63957" spans="1:100">
      <c r="A63957" s="374"/>
      <c r="C63957" s="374"/>
      <c r="CV63957" s="376"/>
    </row>
    <row r="63958" spans="1:100">
      <c r="A63958" s="374"/>
      <c r="C63958" s="374"/>
      <c r="CV63958" s="376"/>
    </row>
    <row r="63959" spans="1:100">
      <c r="A63959" s="374"/>
      <c r="C63959" s="374"/>
      <c r="CV63959" s="376"/>
    </row>
    <row r="63960" spans="1:100">
      <c r="A63960" s="374"/>
      <c r="C63960" s="374"/>
      <c r="CV63960" s="376"/>
    </row>
    <row r="63961" spans="1:100">
      <c r="A63961" s="374"/>
      <c r="C63961" s="374"/>
      <c r="CV63961" s="376"/>
    </row>
    <row r="63962" spans="1:100">
      <c r="A63962" s="374"/>
      <c r="C63962" s="374"/>
      <c r="CV63962" s="376"/>
    </row>
    <row r="63963" spans="1:100">
      <c r="A63963" s="374"/>
      <c r="C63963" s="374"/>
      <c r="CV63963" s="376"/>
    </row>
    <row r="63964" spans="1:100">
      <c r="A63964" s="374"/>
      <c r="C63964" s="374"/>
      <c r="CV63964" s="376"/>
    </row>
    <row r="63965" spans="1:100">
      <c r="A63965" s="374"/>
      <c r="C63965" s="374"/>
      <c r="CV63965" s="376"/>
    </row>
    <row r="63966" spans="1:100">
      <c r="A63966" s="374"/>
      <c r="C63966" s="374"/>
      <c r="CV63966" s="376"/>
    </row>
    <row r="63967" spans="1:100">
      <c r="A63967" s="374"/>
      <c r="C63967" s="374"/>
      <c r="CV63967" s="376"/>
    </row>
    <row r="63968" spans="1:100">
      <c r="A63968" s="374"/>
      <c r="C63968" s="374"/>
      <c r="CV63968" s="376"/>
    </row>
    <row r="63969" spans="1:100">
      <c r="A63969" s="374"/>
      <c r="C63969" s="374"/>
      <c r="CV63969" s="376"/>
    </row>
    <row r="63970" spans="1:100">
      <c r="A63970" s="374"/>
      <c r="C63970" s="374"/>
      <c r="CV63970" s="376"/>
    </row>
    <row r="63971" spans="1:100">
      <c r="A63971" s="374"/>
      <c r="C63971" s="374"/>
      <c r="CV63971" s="376"/>
    </row>
    <row r="63972" spans="1:100">
      <c r="A63972" s="374"/>
      <c r="C63972" s="374"/>
      <c r="CV63972" s="376"/>
    </row>
    <row r="63973" spans="1:100">
      <c r="A63973" s="374"/>
      <c r="C63973" s="374"/>
      <c r="CV63973" s="376"/>
    </row>
    <row r="63974" spans="1:100">
      <c r="A63974" s="374"/>
      <c r="C63974" s="374"/>
      <c r="CV63974" s="376"/>
    </row>
    <row r="63975" spans="1:100">
      <c r="A63975" s="374"/>
      <c r="C63975" s="374"/>
      <c r="CV63975" s="376"/>
    </row>
    <row r="63976" spans="1:100">
      <c r="A63976" s="374"/>
      <c r="C63976" s="374"/>
      <c r="CV63976" s="376"/>
    </row>
    <row r="63977" spans="1:100">
      <c r="A63977" s="374"/>
      <c r="C63977" s="374"/>
      <c r="CV63977" s="376"/>
    </row>
    <row r="63978" spans="1:100">
      <c r="A63978" s="374"/>
      <c r="C63978" s="374"/>
      <c r="CV63978" s="376"/>
    </row>
    <row r="63979" spans="1:100">
      <c r="A63979" s="374"/>
      <c r="C63979" s="374"/>
      <c r="CV63979" s="376"/>
    </row>
    <row r="63980" spans="1:100">
      <c r="A63980" s="374"/>
      <c r="C63980" s="374"/>
      <c r="CV63980" s="376"/>
    </row>
    <row r="63981" spans="1:100">
      <c r="A63981" s="374"/>
      <c r="C63981" s="374"/>
      <c r="CV63981" s="376"/>
    </row>
    <row r="63982" spans="1:100">
      <c r="A63982" s="374"/>
      <c r="C63982" s="374"/>
      <c r="CV63982" s="376"/>
    </row>
    <row r="63983" spans="1:100">
      <c r="A63983" s="374"/>
      <c r="C63983" s="374"/>
      <c r="CV63983" s="376"/>
    </row>
    <row r="63984" spans="1:100">
      <c r="A63984" s="374"/>
      <c r="C63984" s="374"/>
      <c r="CV63984" s="376"/>
    </row>
    <row r="63985" spans="1:100">
      <c r="A63985" s="374"/>
      <c r="C63985" s="374"/>
      <c r="CV63985" s="376"/>
    </row>
    <row r="63986" spans="1:100">
      <c r="A63986" s="374"/>
      <c r="C63986" s="374"/>
      <c r="CV63986" s="376"/>
    </row>
    <row r="63987" spans="1:100">
      <c r="A63987" s="374"/>
      <c r="C63987" s="374"/>
      <c r="CV63987" s="376"/>
    </row>
    <row r="63988" spans="1:100">
      <c r="A63988" s="374"/>
      <c r="C63988" s="374"/>
      <c r="CV63988" s="376"/>
    </row>
    <row r="63989" spans="1:100">
      <c r="A63989" s="374"/>
      <c r="C63989" s="374"/>
      <c r="CV63989" s="376"/>
    </row>
    <row r="63990" spans="1:100">
      <c r="A63990" s="374"/>
      <c r="C63990" s="374"/>
      <c r="CV63990" s="376"/>
    </row>
    <row r="63991" spans="1:100">
      <c r="A63991" s="374"/>
      <c r="C63991" s="374"/>
      <c r="CV63991" s="376"/>
    </row>
    <row r="63992" spans="1:100">
      <c r="A63992" s="374"/>
      <c r="C63992" s="374"/>
      <c r="CV63992" s="376"/>
    </row>
    <row r="63993" spans="1:100">
      <c r="A63993" s="374"/>
      <c r="C63993" s="374"/>
      <c r="CV63993" s="376"/>
    </row>
    <row r="63994" spans="1:100">
      <c r="A63994" s="374"/>
      <c r="C63994" s="374"/>
      <c r="CV63994" s="376"/>
    </row>
    <row r="63995" spans="1:100">
      <c r="A63995" s="374"/>
      <c r="C63995" s="374"/>
      <c r="CV63995" s="376"/>
    </row>
    <row r="63996" spans="1:100">
      <c r="A63996" s="374"/>
      <c r="C63996" s="374"/>
      <c r="CV63996" s="376"/>
    </row>
    <row r="63997" spans="1:100">
      <c r="A63997" s="374"/>
      <c r="C63997" s="374"/>
      <c r="CV63997" s="376"/>
    </row>
    <row r="63998" spans="1:100">
      <c r="A63998" s="374"/>
      <c r="C63998" s="374"/>
      <c r="CV63998" s="376"/>
    </row>
    <row r="63999" spans="1:100">
      <c r="A63999" s="374"/>
      <c r="C63999" s="374"/>
      <c r="CV63999" s="376"/>
    </row>
    <row r="64000" spans="1:100">
      <c r="A64000" s="374"/>
      <c r="C64000" s="374"/>
      <c r="CV64000" s="376"/>
    </row>
    <row r="64001" spans="1:100">
      <c r="A64001" s="374"/>
      <c r="C64001" s="374"/>
      <c r="CV64001" s="376"/>
    </row>
    <row r="64002" spans="1:100">
      <c r="A64002" s="374"/>
      <c r="C64002" s="374"/>
      <c r="CV64002" s="376"/>
    </row>
    <row r="64003" spans="1:100">
      <c r="A64003" s="374"/>
      <c r="C64003" s="374"/>
      <c r="CV64003" s="376"/>
    </row>
    <row r="64004" spans="1:100">
      <c r="A64004" s="374"/>
      <c r="C64004" s="374"/>
      <c r="CV64004" s="376"/>
    </row>
    <row r="64005" spans="1:100">
      <c r="A64005" s="374"/>
      <c r="C64005" s="374"/>
      <c r="CV64005" s="376"/>
    </row>
    <row r="64006" spans="1:100">
      <c r="A64006" s="374"/>
      <c r="C64006" s="374"/>
      <c r="CV64006" s="376"/>
    </row>
    <row r="64007" spans="1:100">
      <c r="A64007" s="374"/>
      <c r="C64007" s="374"/>
      <c r="CV64007" s="376"/>
    </row>
    <row r="64008" spans="1:100">
      <c r="A64008" s="374"/>
      <c r="C64008" s="374"/>
      <c r="CV64008" s="376"/>
    </row>
    <row r="64009" spans="1:100">
      <c r="A64009" s="374"/>
      <c r="C64009" s="374"/>
      <c r="CV64009" s="376"/>
    </row>
    <row r="64010" spans="1:100">
      <c r="A64010" s="374"/>
      <c r="C64010" s="374"/>
      <c r="CV64010" s="376"/>
    </row>
    <row r="64011" spans="1:100">
      <c r="A64011" s="374"/>
      <c r="C64011" s="374"/>
      <c r="CV64011" s="376"/>
    </row>
    <row r="64012" spans="1:100">
      <c r="A64012" s="374"/>
      <c r="C64012" s="374"/>
      <c r="CV64012" s="376"/>
    </row>
    <row r="64013" spans="1:100">
      <c r="A64013" s="374"/>
      <c r="C64013" s="374"/>
      <c r="CV64013" s="376"/>
    </row>
    <row r="64014" spans="1:100">
      <c r="A64014" s="374"/>
      <c r="C64014" s="374"/>
      <c r="CV64014" s="376"/>
    </row>
    <row r="64015" spans="1:100">
      <c r="A64015" s="374"/>
      <c r="C64015" s="374"/>
      <c r="CV64015" s="376"/>
    </row>
    <row r="64016" spans="1:100">
      <c r="A64016" s="374"/>
      <c r="C64016" s="374"/>
      <c r="CV64016" s="376"/>
    </row>
    <row r="64017" spans="1:100">
      <c r="A64017" s="374"/>
      <c r="C64017" s="374"/>
      <c r="CV64017" s="376"/>
    </row>
    <row r="64018" spans="1:100">
      <c r="A64018" s="374"/>
      <c r="C64018" s="374"/>
      <c r="CV64018" s="376"/>
    </row>
    <row r="64019" spans="1:100">
      <c r="A64019" s="374"/>
      <c r="C64019" s="374"/>
      <c r="CV64019" s="376"/>
    </row>
    <row r="64020" spans="1:100">
      <c r="A64020" s="374"/>
      <c r="C64020" s="374"/>
      <c r="CV64020" s="376"/>
    </row>
    <row r="64021" spans="1:100">
      <c r="A64021" s="374"/>
      <c r="C64021" s="374"/>
      <c r="CV64021" s="376"/>
    </row>
    <row r="64022" spans="1:100">
      <c r="A64022" s="374"/>
      <c r="C64022" s="374"/>
      <c r="CV64022" s="376"/>
    </row>
    <row r="64023" spans="1:100">
      <c r="A64023" s="374"/>
      <c r="C64023" s="374"/>
      <c r="CV64023" s="376"/>
    </row>
    <row r="64024" spans="1:100">
      <c r="A64024" s="374"/>
      <c r="C64024" s="374"/>
      <c r="CV64024" s="376"/>
    </row>
    <row r="64025" spans="1:100">
      <c r="A64025" s="374"/>
      <c r="C64025" s="374"/>
      <c r="CV64025" s="376"/>
    </row>
    <row r="64026" spans="1:100">
      <c r="A64026" s="374"/>
      <c r="C64026" s="374"/>
      <c r="CV64026" s="376"/>
    </row>
    <row r="64027" spans="1:100">
      <c r="A64027" s="374"/>
      <c r="C64027" s="374"/>
      <c r="CV64027" s="376"/>
    </row>
    <row r="64028" spans="1:100">
      <c r="A64028" s="374"/>
      <c r="C64028" s="374"/>
      <c r="CV64028" s="376"/>
    </row>
    <row r="64029" spans="1:100">
      <c r="A64029" s="374"/>
      <c r="C64029" s="374"/>
      <c r="CV64029" s="376"/>
    </row>
    <row r="64030" spans="1:100">
      <c r="A64030" s="374"/>
      <c r="C64030" s="374"/>
      <c r="CV64030" s="376"/>
    </row>
    <row r="64031" spans="1:100">
      <c r="A64031" s="374"/>
      <c r="C64031" s="374"/>
      <c r="CV64031" s="376"/>
    </row>
    <row r="64032" spans="1:100">
      <c r="A64032" s="374"/>
      <c r="C64032" s="374"/>
      <c r="CV64032" s="376"/>
    </row>
    <row r="64033" spans="1:100">
      <c r="A64033" s="374"/>
      <c r="C64033" s="374"/>
      <c r="CV64033" s="376"/>
    </row>
    <row r="64034" spans="1:100">
      <c r="A64034" s="374"/>
      <c r="C64034" s="374"/>
      <c r="CV64034" s="376"/>
    </row>
    <row r="64035" spans="1:100">
      <c r="A64035" s="374"/>
      <c r="C64035" s="374"/>
      <c r="CV64035" s="376"/>
    </row>
    <row r="64036" spans="1:100">
      <c r="A64036" s="374"/>
      <c r="C64036" s="374"/>
      <c r="CV64036" s="376"/>
    </row>
    <row r="64037" spans="1:100">
      <c r="A64037" s="374"/>
      <c r="C64037" s="374"/>
      <c r="CV64037" s="376"/>
    </row>
    <row r="64038" spans="1:100">
      <c r="A64038" s="374"/>
      <c r="C64038" s="374"/>
      <c r="CV64038" s="376"/>
    </row>
    <row r="64039" spans="1:100">
      <c r="A64039" s="374"/>
      <c r="C64039" s="374"/>
      <c r="CV64039" s="376"/>
    </row>
    <row r="64040" spans="1:100">
      <c r="A64040" s="374"/>
      <c r="C64040" s="374"/>
      <c r="CV64040" s="376"/>
    </row>
    <row r="64041" spans="1:100">
      <c r="A64041" s="374"/>
      <c r="C64041" s="374"/>
      <c r="CV64041" s="376"/>
    </row>
    <row r="64042" spans="1:100">
      <c r="A64042" s="374"/>
      <c r="C64042" s="374"/>
      <c r="CV64042" s="376"/>
    </row>
    <row r="64043" spans="1:100">
      <c r="A64043" s="374"/>
      <c r="C64043" s="374"/>
      <c r="CV64043" s="376"/>
    </row>
    <row r="64044" spans="1:100">
      <c r="A64044" s="374"/>
      <c r="C64044" s="374"/>
      <c r="CV64044" s="376"/>
    </row>
    <row r="64045" spans="1:100">
      <c r="A64045" s="374"/>
      <c r="C64045" s="374"/>
      <c r="CV64045" s="376"/>
    </row>
    <row r="64046" spans="1:100">
      <c r="A64046" s="374"/>
      <c r="C64046" s="374"/>
      <c r="CV64046" s="376"/>
    </row>
    <row r="64047" spans="1:100">
      <c r="A64047" s="374"/>
      <c r="C64047" s="374"/>
      <c r="CV64047" s="376"/>
    </row>
    <row r="64048" spans="1:100">
      <c r="A64048" s="374"/>
      <c r="C64048" s="374"/>
      <c r="CV64048" s="376"/>
    </row>
    <row r="64049" spans="1:100">
      <c r="A64049" s="374"/>
      <c r="C64049" s="374"/>
      <c r="CV64049" s="376"/>
    </row>
    <row r="64050" spans="1:100">
      <c r="A64050" s="374"/>
      <c r="C64050" s="374"/>
      <c r="CV64050" s="376"/>
    </row>
    <row r="64051" spans="1:100">
      <c r="A64051" s="374"/>
      <c r="C64051" s="374"/>
      <c r="CV64051" s="376"/>
    </row>
    <row r="64052" spans="1:100">
      <c r="A64052" s="374"/>
      <c r="C64052" s="374"/>
      <c r="CV64052" s="376"/>
    </row>
    <row r="64053" spans="1:100">
      <c r="A64053" s="374"/>
      <c r="C64053" s="374"/>
      <c r="CV64053" s="376"/>
    </row>
    <row r="64054" spans="1:100">
      <c r="A64054" s="374"/>
      <c r="C64054" s="374"/>
      <c r="CV64054" s="376"/>
    </row>
    <row r="64055" spans="1:100">
      <c r="A64055" s="374"/>
      <c r="C64055" s="374"/>
      <c r="CV64055" s="376"/>
    </row>
    <row r="64056" spans="1:100">
      <c r="A64056" s="374"/>
      <c r="C64056" s="374"/>
      <c r="CV64056" s="376"/>
    </row>
    <row r="64057" spans="1:100">
      <c r="A64057" s="374"/>
      <c r="C64057" s="374"/>
      <c r="CV64057" s="376"/>
    </row>
    <row r="64058" spans="1:100">
      <c r="A64058" s="374"/>
      <c r="C64058" s="374"/>
      <c r="CV64058" s="376"/>
    </row>
    <row r="64059" spans="1:100">
      <c r="A64059" s="374"/>
      <c r="C64059" s="374"/>
      <c r="CV64059" s="376"/>
    </row>
    <row r="64060" spans="1:100">
      <c r="A64060" s="374"/>
      <c r="C64060" s="374"/>
      <c r="CV64060" s="376"/>
    </row>
    <row r="64061" spans="1:100">
      <c r="A64061" s="374"/>
      <c r="C64061" s="374"/>
      <c r="CV64061" s="376"/>
    </row>
    <row r="64062" spans="1:100">
      <c r="A64062" s="374"/>
      <c r="C64062" s="374"/>
      <c r="CV64062" s="376"/>
    </row>
    <row r="64063" spans="1:100">
      <c r="A64063" s="374"/>
      <c r="C64063" s="374"/>
      <c r="CV64063" s="376"/>
    </row>
    <row r="64064" spans="1:100">
      <c r="A64064" s="374"/>
      <c r="C64064" s="374"/>
      <c r="CV64064" s="376"/>
    </row>
    <row r="64065" spans="1:100">
      <c r="A64065" s="374"/>
      <c r="C64065" s="374"/>
      <c r="CV64065" s="376"/>
    </row>
    <row r="64066" spans="1:100">
      <c r="A64066" s="374"/>
      <c r="C64066" s="374"/>
      <c r="CV64066" s="376"/>
    </row>
    <row r="64067" spans="1:100">
      <c r="A64067" s="374"/>
      <c r="C64067" s="374"/>
      <c r="CV64067" s="376"/>
    </row>
    <row r="64068" spans="1:100">
      <c r="A64068" s="374"/>
      <c r="C64068" s="374"/>
      <c r="CV64068" s="376"/>
    </row>
    <row r="64069" spans="1:100">
      <c r="A64069" s="374"/>
      <c r="C64069" s="374"/>
      <c r="CV64069" s="376"/>
    </row>
    <row r="64070" spans="1:100">
      <c r="A64070" s="374"/>
      <c r="C64070" s="374"/>
      <c r="CV64070" s="376"/>
    </row>
    <row r="64071" spans="1:100">
      <c r="A64071" s="374"/>
      <c r="C64071" s="374"/>
      <c r="CV64071" s="376"/>
    </row>
    <row r="64072" spans="1:100">
      <c r="A64072" s="374"/>
      <c r="C64072" s="374"/>
      <c r="CV64072" s="376"/>
    </row>
    <row r="64073" spans="1:100">
      <c r="A64073" s="374"/>
      <c r="C64073" s="374"/>
      <c r="CV64073" s="376"/>
    </row>
    <row r="64074" spans="1:100">
      <c r="A64074" s="374"/>
      <c r="C64074" s="374"/>
      <c r="CV64074" s="376"/>
    </row>
    <row r="64075" spans="1:100">
      <c r="A64075" s="374"/>
      <c r="C64075" s="374"/>
      <c r="CV64075" s="376"/>
    </row>
    <row r="64076" spans="1:100">
      <c r="A64076" s="374"/>
      <c r="C64076" s="374"/>
      <c r="CV64076" s="376"/>
    </row>
    <row r="64077" spans="1:100">
      <c r="A64077" s="374"/>
      <c r="C64077" s="374"/>
      <c r="CV64077" s="376"/>
    </row>
    <row r="64078" spans="1:100">
      <c r="A64078" s="374"/>
      <c r="C64078" s="374"/>
      <c r="CV64078" s="376"/>
    </row>
    <row r="64079" spans="1:100">
      <c r="A64079" s="374"/>
      <c r="C64079" s="374"/>
      <c r="CV64079" s="376"/>
    </row>
    <row r="64080" spans="1:100">
      <c r="A64080" s="374"/>
      <c r="C64080" s="374"/>
      <c r="CV64080" s="376"/>
    </row>
    <row r="64081" spans="1:100">
      <c r="A64081" s="374"/>
      <c r="C64081" s="374"/>
      <c r="CV64081" s="376"/>
    </row>
    <row r="64082" spans="1:100">
      <c r="A64082" s="374"/>
      <c r="C64082" s="374"/>
      <c r="CV64082" s="376"/>
    </row>
    <row r="64083" spans="1:100">
      <c r="A64083" s="374"/>
      <c r="C64083" s="374"/>
      <c r="CV64083" s="376"/>
    </row>
    <row r="64084" spans="1:100">
      <c r="A64084" s="374"/>
      <c r="C64084" s="374"/>
      <c r="CV64084" s="376"/>
    </row>
    <row r="64085" spans="1:100">
      <c r="A64085" s="374"/>
      <c r="C64085" s="374"/>
      <c r="CV64085" s="376"/>
    </row>
    <row r="64086" spans="1:100">
      <c r="A64086" s="374"/>
      <c r="C64086" s="374"/>
      <c r="CV64086" s="376"/>
    </row>
    <row r="64087" spans="1:100">
      <c r="A64087" s="374"/>
      <c r="C64087" s="374"/>
      <c r="CV64087" s="376"/>
    </row>
    <row r="64088" spans="1:100">
      <c r="A64088" s="374"/>
      <c r="C64088" s="374"/>
      <c r="CV64088" s="376"/>
    </row>
    <row r="64089" spans="1:100">
      <c r="A64089" s="374"/>
      <c r="C64089" s="374"/>
      <c r="CV64089" s="376"/>
    </row>
    <row r="64090" spans="1:100">
      <c r="A64090" s="374"/>
      <c r="C64090" s="374"/>
      <c r="CV64090" s="376"/>
    </row>
    <row r="64091" spans="1:100">
      <c r="A64091" s="374"/>
      <c r="C64091" s="374"/>
      <c r="CV64091" s="376"/>
    </row>
    <row r="64092" spans="1:100">
      <c r="A64092" s="374"/>
      <c r="C64092" s="374"/>
      <c r="CV64092" s="376"/>
    </row>
    <row r="64093" spans="1:100">
      <c r="A64093" s="374"/>
      <c r="C64093" s="374"/>
      <c r="CV64093" s="376"/>
    </row>
    <row r="64094" spans="1:100">
      <c r="A64094" s="374"/>
      <c r="C64094" s="374"/>
      <c r="CV64094" s="376"/>
    </row>
    <row r="64095" spans="1:100">
      <c r="A64095" s="374"/>
      <c r="C64095" s="374"/>
      <c r="CV64095" s="376"/>
    </row>
    <row r="64096" spans="1:100">
      <c r="A64096" s="374"/>
      <c r="C64096" s="374"/>
      <c r="CV64096" s="376"/>
    </row>
    <row r="64097" spans="1:100">
      <c r="A64097" s="374"/>
      <c r="C64097" s="374"/>
      <c r="CV64097" s="376"/>
    </row>
    <row r="64098" spans="1:100">
      <c r="A64098" s="374"/>
      <c r="C64098" s="374"/>
      <c r="CV64098" s="376"/>
    </row>
    <row r="64099" spans="1:100">
      <c r="A64099" s="374"/>
      <c r="C64099" s="374"/>
      <c r="CV64099" s="376"/>
    </row>
    <row r="64100" spans="1:100">
      <c r="A64100" s="374"/>
      <c r="C64100" s="374"/>
      <c r="CV64100" s="376"/>
    </row>
    <row r="64101" spans="1:100">
      <c r="A64101" s="374"/>
      <c r="C64101" s="374"/>
      <c r="CV64101" s="376"/>
    </row>
    <row r="64102" spans="1:100">
      <c r="A64102" s="374"/>
      <c r="C64102" s="374"/>
      <c r="CV64102" s="376"/>
    </row>
    <row r="64103" spans="1:100">
      <c r="A64103" s="374"/>
      <c r="C64103" s="374"/>
      <c r="CV64103" s="376"/>
    </row>
    <row r="64104" spans="1:100">
      <c r="A64104" s="374"/>
      <c r="C64104" s="374"/>
      <c r="CV64104" s="376"/>
    </row>
    <row r="64105" spans="1:100">
      <c r="A64105" s="374"/>
      <c r="C64105" s="374"/>
      <c r="CV64105" s="376"/>
    </row>
    <row r="64106" spans="1:100">
      <c r="A64106" s="374"/>
      <c r="C64106" s="374"/>
      <c r="CV64106" s="376"/>
    </row>
    <row r="64107" spans="1:100">
      <c r="A64107" s="374"/>
      <c r="C64107" s="374"/>
      <c r="CV64107" s="376"/>
    </row>
    <row r="64108" spans="1:100">
      <c r="A64108" s="374"/>
      <c r="C64108" s="374"/>
      <c r="CV64108" s="376"/>
    </row>
    <row r="64109" spans="1:100">
      <c r="A64109" s="374"/>
      <c r="C64109" s="374"/>
      <c r="CV64109" s="376"/>
    </row>
    <row r="64110" spans="1:100">
      <c r="A64110" s="374"/>
      <c r="C64110" s="374"/>
      <c r="CV64110" s="376"/>
    </row>
    <row r="64111" spans="1:100">
      <c r="A64111" s="374"/>
      <c r="C64111" s="374"/>
      <c r="CV64111" s="376"/>
    </row>
    <row r="64112" spans="1:100">
      <c r="A64112" s="374"/>
      <c r="C64112" s="374"/>
      <c r="CV64112" s="376"/>
    </row>
    <row r="64113" spans="1:100">
      <c r="A64113" s="374"/>
      <c r="C64113" s="374"/>
      <c r="CV64113" s="376"/>
    </row>
    <row r="64114" spans="1:100">
      <c r="A64114" s="374"/>
      <c r="C64114" s="374"/>
      <c r="CV64114" s="376"/>
    </row>
    <row r="64115" spans="1:100">
      <c r="A64115" s="374"/>
      <c r="C64115" s="374"/>
      <c r="CV64115" s="376"/>
    </row>
    <row r="64116" spans="1:100">
      <c r="A64116" s="374"/>
      <c r="C64116" s="374"/>
      <c r="CV64116" s="376"/>
    </row>
    <row r="64117" spans="1:100">
      <c r="A64117" s="374"/>
      <c r="C64117" s="374"/>
      <c r="CV64117" s="376"/>
    </row>
    <row r="64118" spans="1:100">
      <c r="A64118" s="374"/>
      <c r="C64118" s="374"/>
      <c r="CV64118" s="376"/>
    </row>
    <row r="64119" spans="1:100">
      <c r="A64119" s="374"/>
      <c r="C64119" s="374"/>
      <c r="CV64119" s="376"/>
    </row>
    <row r="64120" spans="1:100">
      <c r="A64120" s="374"/>
      <c r="C64120" s="374"/>
      <c r="CV64120" s="376"/>
    </row>
    <row r="64121" spans="1:100">
      <c r="A64121" s="374"/>
      <c r="C64121" s="374"/>
      <c r="CV64121" s="376"/>
    </row>
    <row r="64122" spans="1:100">
      <c r="A64122" s="374"/>
      <c r="C64122" s="374"/>
      <c r="CV64122" s="376"/>
    </row>
    <row r="64123" spans="1:100">
      <c r="A64123" s="374"/>
      <c r="C64123" s="374"/>
      <c r="CV64123" s="376"/>
    </row>
    <row r="64124" spans="1:100">
      <c r="A64124" s="374"/>
      <c r="C64124" s="374"/>
      <c r="CV64124" s="376"/>
    </row>
    <row r="64125" spans="1:100">
      <c r="A64125" s="374"/>
      <c r="C64125" s="374"/>
      <c r="CV64125" s="376"/>
    </row>
    <row r="64126" spans="1:100">
      <c r="A64126" s="374"/>
      <c r="C64126" s="374"/>
      <c r="CV64126" s="376"/>
    </row>
    <row r="64127" spans="1:100">
      <c r="A64127" s="374"/>
      <c r="C64127" s="374"/>
      <c r="CV64127" s="376"/>
    </row>
    <row r="64128" spans="1:100">
      <c r="A64128" s="374"/>
      <c r="C64128" s="374"/>
      <c r="CV64128" s="376"/>
    </row>
    <row r="64129" spans="1:100">
      <c r="A64129" s="374"/>
      <c r="C64129" s="374"/>
      <c r="CV64129" s="376"/>
    </row>
    <row r="64130" spans="1:100">
      <c r="A64130" s="374"/>
      <c r="C64130" s="374"/>
      <c r="CV64130" s="376"/>
    </row>
    <row r="64131" spans="1:100">
      <c r="A64131" s="374"/>
      <c r="C64131" s="374"/>
      <c r="CV64131" s="376"/>
    </row>
    <row r="64132" spans="1:100">
      <c r="A64132" s="374"/>
      <c r="C64132" s="374"/>
      <c r="CV64132" s="376"/>
    </row>
    <row r="64133" spans="1:100">
      <c r="A64133" s="374"/>
      <c r="C64133" s="374"/>
      <c r="CV64133" s="376"/>
    </row>
    <row r="64134" spans="1:100">
      <c r="A64134" s="374"/>
      <c r="C64134" s="374"/>
      <c r="CV64134" s="376"/>
    </row>
    <row r="64135" spans="1:100">
      <c r="A64135" s="374"/>
      <c r="C64135" s="374"/>
      <c r="CV64135" s="376"/>
    </row>
    <row r="64136" spans="1:100">
      <c r="A64136" s="374"/>
      <c r="C64136" s="374"/>
      <c r="CV64136" s="376"/>
    </row>
    <row r="64137" spans="1:100">
      <c r="A64137" s="374"/>
      <c r="C64137" s="374"/>
      <c r="CV64137" s="376"/>
    </row>
    <row r="64138" spans="1:100">
      <c r="A64138" s="374"/>
      <c r="C64138" s="374"/>
      <c r="CV64138" s="376"/>
    </row>
    <row r="64139" spans="1:100">
      <c r="A64139" s="374"/>
      <c r="C64139" s="374"/>
      <c r="CV64139" s="376"/>
    </row>
    <row r="64140" spans="1:100">
      <c r="A64140" s="374"/>
      <c r="C64140" s="374"/>
      <c r="CV64140" s="376"/>
    </row>
    <row r="64141" spans="1:100">
      <c r="A64141" s="374"/>
      <c r="C64141" s="374"/>
      <c r="CV64141" s="376"/>
    </row>
    <row r="64142" spans="1:100">
      <c r="A64142" s="374"/>
      <c r="C64142" s="374"/>
      <c r="CV64142" s="376"/>
    </row>
    <row r="64143" spans="1:100">
      <c r="A64143" s="374"/>
      <c r="C64143" s="374"/>
      <c r="CV64143" s="376"/>
    </row>
    <row r="64144" spans="1:100">
      <c r="A64144" s="374"/>
      <c r="C64144" s="374"/>
      <c r="CV64144" s="376"/>
    </row>
    <row r="64145" spans="1:100">
      <c r="A64145" s="374"/>
      <c r="C64145" s="374"/>
      <c r="CV64145" s="376"/>
    </row>
    <row r="64146" spans="1:100">
      <c r="A64146" s="374"/>
      <c r="C64146" s="374"/>
      <c r="CV64146" s="376"/>
    </row>
    <row r="64147" spans="1:100">
      <c r="A64147" s="374"/>
      <c r="C64147" s="374"/>
      <c r="CV64147" s="376"/>
    </row>
    <row r="64148" spans="1:100">
      <c r="A64148" s="374"/>
      <c r="C64148" s="374"/>
      <c r="CV64148" s="376"/>
    </row>
    <row r="64149" spans="1:100">
      <c r="A64149" s="374"/>
      <c r="C64149" s="374"/>
      <c r="CV64149" s="376"/>
    </row>
    <row r="64150" spans="1:100">
      <c r="A64150" s="374"/>
      <c r="C64150" s="374"/>
      <c r="CV64150" s="376"/>
    </row>
    <row r="64151" spans="1:100">
      <c r="A64151" s="374"/>
      <c r="C64151" s="374"/>
      <c r="CV64151" s="376"/>
    </row>
    <row r="64152" spans="1:100">
      <c r="A64152" s="374"/>
      <c r="C64152" s="374"/>
      <c r="CV64152" s="376"/>
    </row>
    <row r="64153" spans="1:100">
      <c r="A64153" s="374"/>
      <c r="C64153" s="374"/>
      <c r="CV64153" s="376"/>
    </row>
    <row r="64154" spans="1:100">
      <c r="A64154" s="374"/>
      <c r="C64154" s="374"/>
      <c r="CV64154" s="376"/>
    </row>
    <row r="64155" spans="1:100">
      <c r="A64155" s="374"/>
      <c r="C64155" s="374"/>
      <c r="CV64155" s="376"/>
    </row>
    <row r="64156" spans="1:100">
      <c r="A64156" s="374"/>
      <c r="C64156" s="374"/>
      <c r="CV64156" s="376"/>
    </row>
    <row r="64157" spans="1:100">
      <c r="A64157" s="374"/>
      <c r="C64157" s="374"/>
      <c r="CV64157" s="376"/>
    </row>
    <row r="64158" spans="1:100">
      <c r="A64158" s="374"/>
      <c r="C64158" s="374"/>
      <c r="CV64158" s="376"/>
    </row>
    <row r="64159" spans="1:100">
      <c r="A64159" s="374"/>
      <c r="C64159" s="374"/>
      <c r="CV64159" s="376"/>
    </row>
    <row r="64160" spans="1:100">
      <c r="A64160" s="374"/>
      <c r="C64160" s="374"/>
      <c r="CV64160" s="376"/>
    </row>
    <row r="64161" spans="1:100">
      <c r="A64161" s="374"/>
      <c r="C64161" s="374"/>
      <c r="CV64161" s="376"/>
    </row>
    <row r="64162" spans="1:100">
      <c r="A64162" s="374"/>
      <c r="C64162" s="374"/>
      <c r="CV64162" s="376"/>
    </row>
    <row r="64163" spans="1:100">
      <c r="A64163" s="374"/>
      <c r="C64163" s="374"/>
      <c r="CV64163" s="376"/>
    </row>
    <row r="64164" spans="1:100">
      <c r="A64164" s="374"/>
      <c r="C64164" s="374"/>
      <c r="CV64164" s="376"/>
    </row>
    <row r="64165" spans="1:100">
      <c r="A64165" s="374"/>
      <c r="C64165" s="374"/>
      <c r="CV64165" s="376"/>
    </row>
    <row r="64166" spans="1:100">
      <c r="A64166" s="374"/>
      <c r="C64166" s="374"/>
      <c r="CV64166" s="376"/>
    </row>
    <row r="64167" spans="1:100">
      <c r="A64167" s="374"/>
      <c r="C64167" s="374"/>
      <c r="CV64167" s="376"/>
    </row>
    <row r="64168" spans="1:100">
      <c r="A64168" s="374"/>
      <c r="C64168" s="374"/>
      <c r="CV64168" s="376"/>
    </row>
    <row r="64169" spans="1:100">
      <c r="A64169" s="374"/>
      <c r="C64169" s="374"/>
      <c r="CV64169" s="376"/>
    </row>
    <row r="64170" spans="1:100">
      <c r="A64170" s="374"/>
      <c r="C64170" s="374"/>
      <c r="CV64170" s="376"/>
    </row>
    <row r="64171" spans="1:100">
      <c r="A64171" s="374"/>
      <c r="C64171" s="374"/>
      <c r="CV64171" s="376"/>
    </row>
    <row r="64172" spans="1:100">
      <c r="A64172" s="374"/>
      <c r="C64172" s="374"/>
      <c r="CV64172" s="376"/>
    </row>
    <row r="64173" spans="1:100">
      <c r="A64173" s="374"/>
      <c r="C64173" s="374"/>
      <c r="CV64173" s="376"/>
    </row>
    <row r="64174" spans="1:100">
      <c r="A64174" s="374"/>
      <c r="C64174" s="374"/>
      <c r="CV64174" s="376"/>
    </row>
    <row r="64175" spans="1:100">
      <c r="A64175" s="374"/>
      <c r="C64175" s="374"/>
      <c r="CV64175" s="376"/>
    </row>
    <row r="64176" spans="1:100">
      <c r="A64176" s="374"/>
      <c r="C64176" s="374"/>
      <c r="CV64176" s="376"/>
    </row>
    <row r="64177" spans="1:100">
      <c r="A64177" s="374"/>
      <c r="C64177" s="374"/>
      <c r="CV64177" s="376"/>
    </row>
    <row r="64178" spans="1:100">
      <c r="A64178" s="374"/>
      <c r="C64178" s="374"/>
      <c r="CV64178" s="376"/>
    </row>
    <row r="64179" spans="1:100">
      <c r="A64179" s="374"/>
      <c r="C64179" s="374"/>
      <c r="CV64179" s="376"/>
    </row>
    <row r="64180" spans="1:100">
      <c r="A64180" s="374"/>
      <c r="C64180" s="374"/>
      <c r="CV64180" s="376"/>
    </row>
    <row r="64181" spans="1:100">
      <c r="A64181" s="374"/>
      <c r="C64181" s="374"/>
      <c r="CV64181" s="376"/>
    </row>
    <row r="64182" spans="1:100">
      <c r="A64182" s="374"/>
      <c r="C64182" s="374"/>
      <c r="CV64182" s="376"/>
    </row>
    <row r="64183" spans="1:100">
      <c r="A64183" s="374"/>
      <c r="C64183" s="374"/>
      <c r="CV64183" s="376"/>
    </row>
    <row r="64184" spans="1:100">
      <c r="A64184" s="374"/>
      <c r="C64184" s="374"/>
      <c r="CV64184" s="376"/>
    </row>
    <row r="64185" spans="1:100">
      <c r="A64185" s="374"/>
      <c r="C64185" s="374"/>
      <c r="CV64185" s="376"/>
    </row>
    <row r="64186" spans="1:100">
      <c r="A64186" s="374"/>
      <c r="C64186" s="374"/>
      <c r="CV64186" s="376"/>
    </row>
    <row r="64187" spans="1:100">
      <c r="A64187" s="374"/>
      <c r="C64187" s="374"/>
      <c r="CV64187" s="376"/>
    </row>
    <row r="64188" spans="1:100">
      <c r="A64188" s="374"/>
      <c r="C64188" s="374"/>
      <c r="CV64188" s="376"/>
    </row>
    <row r="64189" spans="1:100">
      <c r="A64189" s="374"/>
      <c r="C64189" s="374"/>
      <c r="CV64189" s="376"/>
    </row>
    <row r="64190" spans="1:100">
      <c r="A64190" s="374"/>
      <c r="C64190" s="374"/>
      <c r="CV64190" s="376"/>
    </row>
    <row r="64191" spans="1:100">
      <c r="A64191" s="374"/>
      <c r="C64191" s="374"/>
      <c r="CV64191" s="376"/>
    </row>
    <row r="64192" spans="1:100">
      <c r="A64192" s="374"/>
      <c r="C64192" s="374"/>
      <c r="CV64192" s="376"/>
    </row>
    <row r="64193" spans="1:100">
      <c r="A64193" s="374"/>
      <c r="C64193" s="374"/>
      <c r="CV64193" s="376"/>
    </row>
    <row r="64194" spans="1:100">
      <c r="A64194" s="374"/>
      <c r="C64194" s="374"/>
      <c r="CV64194" s="376"/>
    </row>
    <row r="64195" spans="1:100">
      <c r="A64195" s="374"/>
      <c r="C64195" s="374"/>
      <c r="CV64195" s="376"/>
    </row>
    <row r="64196" spans="1:100">
      <c r="A64196" s="374"/>
      <c r="C64196" s="374"/>
      <c r="CV64196" s="376"/>
    </row>
    <row r="64197" spans="1:100">
      <c r="A64197" s="374"/>
      <c r="C64197" s="374"/>
      <c r="CV64197" s="376"/>
    </row>
    <row r="64198" spans="1:100">
      <c r="A64198" s="374"/>
      <c r="C64198" s="374"/>
      <c r="CV64198" s="376"/>
    </row>
    <row r="64199" spans="1:100">
      <c r="A64199" s="374"/>
      <c r="C64199" s="374"/>
      <c r="CV64199" s="376"/>
    </row>
    <row r="64200" spans="1:100">
      <c r="A64200" s="374"/>
      <c r="C64200" s="374"/>
      <c r="CV64200" s="376"/>
    </row>
    <row r="64201" spans="1:100">
      <c r="A64201" s="374"/>
      <c r="C64201" s="374"/>
      <c r="CV64201" s="376"/>
    </row>
    <row r="64202" spans="1:100">
      <c r="A64202" s="374"/>
      <c r="C64202" s="374"/>
      <c r="CV64202" s="376"/>
    </row>
    <row r="64203" spans="1:100">
      <c r="A64203" s="374"/>
      <c r="C64203" s="374"/>
      <c r="CV64203" s="376"/>
    </row>
    <row r="64204" spans="1:100">
      <c r="A64204" s="374"/>
      <c r="C64204" s="374"/>
      <c r="CV64204" s="376"/>
    </row>
    <row r="64205" spans="1:100">
      <c r="A64205" s="374"/>
      <c r="C64205" s="374"/>
      <c r="CV64205" s="376"/>
    </row>
    <row r="64206" spans="1:100">
      <c r="A64206" s="374"/>
      <c r="C64206" s="374"/>
      <c r="CV64206" s="376"/>
    </row>
    <row r="64207" spans="1:100">
      <c r="A64207" s="374"/>
      <c r="C64207" s="374"/>
      <c r="CV64207" s="376"/>
    </row>
    <row r="64208" spans="1:100">
      <c r="A64208" s="374"/>
      <c r="C64208" s="374"/>
      <c r="CV64208" s="376"/>
    </row>
    <row r="64209" spans="1:100">
      <c r="A64209" s="374"/>
      <c r="C64209" s="374"/>
      <c r="CV64209" s="376"/>
    </row>
    <row r="64210" spans="1:100">
      <c r="A64210" s="374"/>
      <c r="C64210" s="374"/>
      <c r="CV64210" s="376"/>
    </row>
    <row r="64211" spans="1:100">
      <c r="A64211" s="374"/>
      <c r="C64211" s="374"/>
      <c r="CV64211" s="376"/>
    </row>
    <row r="64212" spans="1:100">
      <c r="A64212" s="374"/>
      <c r="C64212" s="374"/>
      <c r="CV64212" s="376"/>
    </row>
    <row r="64213" spans="1:100">
      <c r="A64213" s="374"/>
      <c r="C64213" s="374"/>
      <c r="CV64213" s="376"/>
    </row>
    <row r="64214" spans="1:100">
      <c r="A64214" s="374"/>
      <c r="C64214" s="374"/>
      <c r="CV64214" s="376"/>
    </row>
    <row r="64215" spans="1:100">
      <c r="A64215" s="374"/>
      <c r="C64215" s="374"/>
      <c r="CV64215" s="376"/>
    </row>
    <row r="64216" spans="1:100">
      <c r="A64216" s="374"/>
      <c r="C64216" s="374"/>
      <c r="CV64216" s="376"/>
    </row>
    <row r="64217" spans="1:100">
      <c r="A64217" s="374"/>
      <c r="C64217" s="374"/>
      <c r="CV64217" s="376"/>
    </row>
    <row r="64218" spans="1:100">
      <c r="A64218" s="374"/>
      <c r="C64218" s="374"/>
      <c r="CV64218" s="376"/>
    </row>
    <row r="64219" spans="1:100">
      <c r="A64219" s="374"/>
      <c r="C64219" s="374"/>
      <c r="CV64219" s="376"/>
    </row>
    <row r="64220" spans="1:100">
      <c r="A64220" s="374"/>
      <c r="C64220" s="374"/>
      <c r="CV64220" s="376"/>
    </row>
    <row r="64221" spans="1:100">
      <c r="A64221" s="374"/>
      <c r="C64221" s="374"/>
      <c r="CV64221" s="376"/>
    </row>
    <row r="64222" spans="1:100">
      <c r="A64222" s="374"/>
      <c r="C64222" s="374"/>
      <c r="CV64222" s="376"/>
    </row>
    <row r="64223" spans="1:100">
      <c r="A64223" s="374"/>
      <c r="C64223" s="374"/>
      <c r="CV64223" s="376"/>
    </row>
    <row r="64224" spans="1:100">
      <c r="A64224" s="374"/>
      <c r="C64224" s="374"/>
      <c r="CV64224" s="376"/>
    </row>
    <row r="64225" spans="1:100">
      <c r="A64225" s="374"/>
      <c r="C64225" s="374"/>
      <c r="CV64225" s="376"/>
    </row>
    <row r="64226" spans="1:100">
      <c r="A64226" s="374"/>
      <c r="C64226" s="374"/>
      <c r="CV64226" s="376"/>
    </row>
    <row r="64227" spans="1:100">
      <c r="A64227" s="374"/>
      <c r="C64227" s="374"/>
      <c r="CV64227" s="376"/>
    </row>
    <row r="64228" spans="1:100">
      <c r="A64228" s="374"/>
      <c r="C64228" s="374"/>
      <c r="CV64228" s="376"/>
    </row>
    <row r="64229" spans="1:100">
      <c r="A64229" s="374"/>
      <c r="C64229" s="374"/>
      <c r="CV64229" s="376"/>
    </row>
    <row r="64230" spans="1:100">
      <c r="A64230" s="374"/>
      <c r="C64230" s="374"/>
      <c r="CV64230" s="376"/>
    </row>
    <row r="64231" spans="1:100">
      <c r="A64231" s="374"/>
      <c r="C64231" s="374"/>
      <c r="CV64231" s="376"/>
    </row>
    <row r="64232" spans="1:100">
      <c r="A64232" s="374"/>
      <c r="C64232" s="374"/>
      <c r="CV64232" s="376"/>
    </row>
    <row r="64233" spans="1:100">
      <c r="A64233" s="374"/>
      <c r="C64233" s="374"/>
      <c r="CV64233" s="376"/>
    </row>
    <row r="64234" spans="1:100">
      <c r="A64234" s="374"/>
      <c r="C64234" s="374"/>
      <c r="CV64234" s="376"/>
    </row>
    <row r="64235" spans="1:100">
      <c r="A64235" s="374"/>
      <c r="C64235" s="374"/>
      <c r="CV64235" s="376"/>
    </row>
    <row r="64236" spans="1:100">
      <c r="A64236" s="374"/>
      <c r="C64236" s="374"/>
      <c r="CV64236" s="376"/>
    </row>
    <row r="64237" spans="1:100">
      <c r="A64237" s="374"/>
      <c r="C64237" s="374"/>
      <c r="CV64237" s="376"/>
    </row>
    <row r="64238" spans="1:100">
      <c r="A64238" s="374"/>
      <c r="C64238" s="374"/>
      <c r="CV64238" s="376"/>
    </row>
    <row r="64239" spans="1:100">
      <c r="A64239" s="374"/>
      <c r="C64239" s="374"/>
      <c r="CV64239" s="376"/>
    </row>
    <row r="64240" spans="1:100">
      <c r="A64240" s="374"/>
      <c r="C64240" s="374"/>
      <c r="CV64240" s="376"/>
    </row>
    <row r="64241" spans="1:100">
      <c r="A64241" s="374"/>
      <c r="C64241" s="374"/>
      <c r="CV64241" s="376"/>
    </row>
    <row r="64242" spans="1:100">
      <c r="A64242" s="374"/>
      <c r="C64242" s="374"/>
      <c r="CV64242" s="376"/>
    </row>
    <row r="64243" spans="1:100">
      <c r="A64243" s="374"/>
      <c r="C64243" s="374"/>
      <c r="CV64243" s="376"/>
    </row>
    <row r="64244" spans="1:100">
      <c r="A64244" s="374"/>
      <c r="C64244" s="374"/>
      <c r="CV64244" s="376"/>
    </row>
    <row r="64245" spans="1:100">
      <c r="A64245" s="374"/>
      <c r="C64245" s="374"/>
      <c r="CV64245" s="376"/>
    </row>
    <row r="64246" spans="1:100">
      <c r="A64246" s="374"/>
      <c r="C64246" s="374"/>
      <c r="CV64246" s="376"/>
    </row>
    <row r="64247" spans="1:100">
      <c r="A64247" s="374"/>
      <c r="C64247" s="374"/>
      <c r="CV64247" s="376"/>
    </row>
    <row r="64248" spans="1:100">
      <c r="A64248" s="374"/>
      <c r="C64248" s="374"/>
      <c r="CV64248" s="376"/>
    </row>
    <row r="64249" spans="1:100">
      <c r="A64249" s="374"/>
      <c r="C64249" s="374"/>
      <c r="CV64249" s="376"/>
    </row>
    <row r="64250" spans="1:100">
      <c r="A64250" s="374"/>
      <c r="C64250" s="374"/>
      <c r="CV64250" s="376"/>
    </row>
    <row r="64251" spans="1:100">
      <c r="A64251" s="374"/>
      <c r="C64251" s="374"/>
      <c r="CV64251" s="376"/>
    </row>
    <row r="64252" spans="1:100">
      <c r="A64252" s="374"/>
      <c r="C64252" s="374"/>
      <c r="CV64252" s="376"/>
    </row>
    <row r="64253" spans="1:100">
      <c r="A64253" s="374"/>
      <c r="C64253" s="374"/>
      <c r="CV64253" s="376"/>
    </row>
    <row r="64254" spans="1:100">
      <c r="A64254" s="374"/>
      <c r="C64254" s="374"/>
      <c r="CV64254" s="376"/>
    </row>
    <row r="64255" spans="1:100">
      <c r="A64255" s="374"/>
      <c r="C64255" s="374"/>
      <c r="CV64255" s="376"/>
    </row>
    <row r="64256" spans="1:100">
      <c r="A64256" s="374"/>
      <c r="C64256" s="374"/>
      <c r="CV64256" s="376"/>
    </row>
    <row r="64257" spans="1:100">
      <c r="A64257" s="374"/>
      <c r="C64257" s="374"/>
      <c r="CV64257" s="376"/>
    </row>
    <row r="64258" spans="1:100">
      <c r="A64258" s="374"/>
      <c r="C64258" s="374"/>
      <c r="CV64258" s="376"/>
    </row>
    <row r="64259" spans="1:100">
      <c r="A64259" s="374"/>
      <c r="C64259" s="374"/>
      <c r="CV64259" s="376"/>
    </row>
    <row r="64260" spans="1:100">
      <c r="A64260" s="374"/>
      <c r="C64260" s="374"/>
      <c r="CV64260" s="376"/>
    </row>
    <row r="64261" spans="1:100">
      <c r="A64261" s="374"/>
      <c r="C64261" s="374"/>
      <c r="CV64261" s="376"/>
    </row>
    <row r="64262" spans="1:100">
      <c r="A64262" s="374"/>
      <c r="C64262" s="374"/>
      <c r="CV64262" s="376"/>
    </row>
    <row r="64263" spans="1:100">
      <c r="A64263" s="374"/>
      <c r="C64263" s="374"/>
      <c r="CV64263" s="376"/>
    </row>
    <row r="64264" spans="1:100">
      <c r="A64264" s="374"/>
      <c r="C64264" s="374"/>
      <c r="CV64264" s="376"/>
    </row>
    <row r="64265" spans="1:100">
      <c r="A64265" s="374"/>
      <c r="C64265" s="374"/>
      <c r="CV64265" s="376"/>
    </row>
    <row r="64266" spans="1:100">
      <c r="A64266" s="374"/>
      <c r="C64266" s="374"/>
      <c r="CV64266" s="376"/>
    </row>
    <row r="64267" spans="1:100">
      <c r="A64267" s="374"/>
      <c r="C64267" s="374"/>
      <c r="CV64267" s="376"/>
    </row>
    <row r="64268" spans="1:100">
      <c r="A64268" s="374"/>
      <c r="C64268" s="374"/>
      <c r="CV64268" s="376"/>
    </row>
    <row r="64269" spans="1:100">
      <c r="A64269" s="374"/>
      <c r="C64269" s="374"/>
      <c r="CV64269" s="376"/>
    </row>
    <row r="64270" spans="1:100">
      <c r="A64270" s="374"/>
      <c r="C64270" s="374"/>
      <c r="CV64270" s="376"/>
    </row>
    <row r="64271" spans="1:100">
      <c r="A64271" s="374"/>
      <c r="C64271" s="374"/>
      <c r="CV64271" s="376"/>
    </row>
    <row r="64272" spans="1:100">
      <c r="A64272" s="374"/>
      <c r="C64272" s="374"/>
      <c r="CV64272" s="376"/>
    </row>
    <row r="64273" spans="1:100">
      <c r="A64273" s="374"/>
      <c r="C64273" s="374"/>
      <c r="CV64273" s="376"/>
    </row>
    <row r="64274" spans="1:100">
      <c r="A64274" s="374"/>
      <c r="C64274" s="374"/>
      <c r="CV64274" s="376"/>
    </row>
    <row r="64275" spans="1:100">
      <c r="A64275" s="374"/>
      <c r="C64275" s="374"/>
      <c r="CV64275" s="376"/>
    </row>
    <row r="64276" spans="1:100">
      <c r="A64276" s="374"/>
      <c r="C64276" s="374"/>
      <c r="CV64276" s="376"/>
    </row>
    <row r="64277" spans="1:100">
      <c r="A64277" s="374"/>
      <c r="C64277" s="374"/>
      <c r="CV64277" s="376"/>
    </row>
    <row r="64278" spans="1:100">
      <c r="A64278" s="374"/>
      <c r="C64278" s="374"/>
      <c r="CV64278" s="376"/>
    </row>
    <row r="64279" spans="1:100">
      <c r="A64279" s="374"/>
      <c r="C64279" s="374"/>
      <c r="CV64279" s="376"/>
    </row>
    <row r="64280" spans="1:100">
      <c r="A64280" s="374"/>
      <c r="C64280" s="374"/>
      <c r="CV64280" s="376"/>
    </row>
    <row r="64281" spans="1:100">
      <c r="A64281" s="374"/>
      <c r="C64281" s="374"/>
      <c r="CV64281" s="376"/>
    </row>
    <row r="64282" spans="1:100">
      <c r="A64282" s="374"/>
      <c r="C64282" s="374"/>
      <c r="CV64282" s="376"/>
    </row>
    <row r="64283" spans="1:100">
      <c r="A64283" s="374"/>
      <c r="C64283" s="374"/>
      <c r="CV64283" s="376"/>
    </row>
    <row r="64284" spans="1:100">
      <c r="A64284" s="374"/>
      <c r="C64284" s="374"/>
      <c r="CV64284" s="376"/>
    </row>
    <row r="64285" spans="1:100">
      <c r="A64285" s="374"/>
      <c r="C64285" s="374"/>
      <c r="CV64285" s="376"/>
    </row>
    <row r="64286" spans="1:100">
      <c r="A64286" s="374"/>
      <c r="C64286" s="374"/>
      <c r="CV64286" s="376"/>
    </row>
    <row r="64287" spans="1:100">
      <c r="A64287" s="374"/>
      <c r="C64287" s="374"/>
      <c r="CV64287" s="376"/>
    </row>
    <row r="64288" spans="1:100">
      <c r="A64288" s="374"/>
      <c r="C64288" s="374"/>
      <c r="CV64288" s="376"/>
    </row>
    <row r="64289" spans="1:100">
      <c r="A64289" s="374"/>
      <c r="C64289" s="374"/>
      <c r="CV64289" s="376"/>
    </row>
    <row r="64290" spans="1:100">
      <c r="A64290" s="374"/>
      <c r="C64290" s="374"/>
      <c r="CV64290" s="376"/>
    </row>
    <row r="64291" spans="1:100">
      <c r="A64291" s="374"/>
      <c r="C64291" s="374"/>
      <c r="CV64291" s="376"/>
    </row>
    <row r="64292" spans="1:100">
      <c r="A64292" s="374"/>
      <c r="C64292" s="374"/>
      <c r="CV64292" s="376"/>
    </row>
    <row r="64293" spans="1:100">
      <c r="A64293" s="374"/>
      <c r="C64293" s="374"/>
      <c r="CV64293" s="376"/>
    </row>
    <row r="64294" spans="1:100">
      <c r="A64294" s="374"/>
      <c r="C64294" s="374"/>
      <c r="CV64294" s="376"/>
    </row>
    <row r="64295" spans="1:100">
      <c r="A64295" s="374"/>
      <c r="C64295" s="374"/>
      <c r="CV64295" s="376"/>
    </row>
    <row r="64296" spans="1:100">
      <c r="A64296" s="374"/>
      <c r="C64296" s="374"/>
      <c r="CV64296" s="376"/>
    </row>
    <row r="64297" spans="1:100">
      <c r="A64297" s="374"/>
      <c r="C64297" s="374"/>
      <c r="CV64297" s="376"/>
    </row>
    <row r="64298" spans="1:100">
      <c r="A64298" s="374"/>
      <c r="C64298" s="374"/>
      <c r="CV64298" s="376"/>
    </row>
    <row r="64299" spans="1:100">
      <c r="A64299" s="374"/>
      <c r="C64299" s="374"/>
      <c r="CV64299" s="376"/>
    </row>
    <row r="64300" spans="1:100">
      <c r="A64300" s="374"/>
      <c r="C64300" s="374"/>
      <c r="CV64300" s="376"/>
    </row>
    <row r="64301" spans="1:100">
      <c r="A64301" s="374"/>
      <c r="C64301" s="374"/>
      <c r="CV64301" s="376"/>
    </row>
    <row r="64302" spans="1:100">
      <c r="A64302" s="374"/>
      <c r="C64302" s="374"/>
      <c r="CV64302" s="376"/>
    </row>
    <row r="64303" spans="1:100">
      <c r="A64303" s="374"/>
      <c r="C64303" s="374"/>
      <c r="CV64303" s="376"/>
    </row>
    <row r="64304" spans="1:100">
      <c r="A64304" s="374"/>
      <c r="C64304" s="374"/>
      <c r="CV64304" s="376"/>
    </row>
    <row r="64305" spans="1:100">
      <c r="A64305" s="374"/>
      <c r="C64305" s="374"/>
      <c r="CV64305" s="376"/>
    </row>
    <row r="64306" spans="1:100">
      <c r="A64306" s="374"/>
      <c r="C64306" s="374"/>
      <c r="CV64306" s="376"/>
    </row>
    <row r="64307" spans="1:100">
      <c r="A64307" s="374"/>
      <c r="C64307" s="374"/>
      <c r="CV64307" s="376"/>
    </row>
    <row r="64308" spans="1:100">
      <c r="A64308" s="374"/>
      <c r="C64308" s="374"/>
      <c r="CV64308" s="376"/>
    </row>
    <row r="64309" spans="1:100">
      <c r="A64309" s="374"/>
      <c r="C64309" s="374"/>
      <c r="CV64309" s="376"/>
    </row>
    <row r="64310" spans="1:100">
      <c r="A64310" s="374"/>
      <c r="C64310" s="374"/>
      <c r="CV64310" s="376"/>
    </row>
    <row r="64311" spans="1:100">
      <c r="A64311" s="374"/>
      <c r="C64311" s="374"/>
      <c r="CV64311" s="376"/>
    </row>
    <row r="64312" spans="1:100">
      <c r="A64312" s="374"/>
      <c r="C64312" s="374"/>
      <c r="CV64312" s="376"/>
    </row>
    <row r="64313" spans="1:100">
      <c r="A64313" s="374"/>
      <c r="C64313" s="374"/>
      <c r="CV64313" s="376"/>
    </row>
    <row r="64314" spans="1:100">
      <c r="A64314" s="374"/>
      <c r="C64314" s="374"/>
      <c r="CV64314" s="376"/>
    </row>
    <row r="64315" spans="1:100">
      <c r="A64315" s="374"/>
      <c r="C64315" s="374"/>
      <c r="CV64315" s="376"/>
    </row>
    <row r="64316" spans="1:100">
      <c r="A64316" s="374"/>
      <c r="C64316" s="374"/>
      <c r="CV64316" s="376"/>
    </row>
    <row r="64317" spans="1:100">
      <c r="A64317" s="374"/>
      <c r="C64317" s="374"/>
      <c r="CV64317" s="376"/>
    </row>
    <row r="64318" spans="1:100">
      <c r="A64318" s="374"/>
      <c r="C64318" s="374"/>
      <c r="CV64318" s="376"/>
    </row>
    <row r="64319" spans="1:100">
      <c r="A64319" s="374"/>
      <c r="C64319" s="374"/>
      <c r="CV64319" s="376"/>
    </row>
    <row r="64320" spans="1:100">
      <c r="A64320" s="374"/>
      <c r="C64320" s="374"/>
      <c r="CV64320" s="376"/>
    </row>
    <row r="64321" spans="1:100">
      <c r="A64321" s="374"/>
      <c r="C64321" s="374"/>
      <c r="CV64321" s="376"/>
    </row>
    <row r="64322" spans="1:100">
      <c r="A64322" s="374"/>
      <c r="C64322" s="374"/>
      <c r="CV64322" s="376"/>
    </row>
    <row r="64323" spans="1:100">
      <c r="A64323" s="374"/>
      <c r="C64323" s="374"/>
      <c r="CV64323" s="376"/>
    </row>
    <row r="64324" spans="1:100">
      <c r="A64324" s="374"/>
      <c r="C64324" s="374"/>
      <c r="CV64324" s="376"/>
    </row>
    <row r="64325" spans="1:100">
      <c r="A64325" s="374"/>
      <c r="C64325" s="374"/>
      <c r="CV64325" s="376"/>
    </row>
    <row r="64326" spans="1:100">
      <c r="A64326" s="374"/>
      <c r="C64326" s="374"/>
      <c r="CV64326" s="376"/>
    </row>
    <row r="64327" spans="1:100">
      <c r="A64327" s="374"/>
      <c r="C64327" s="374"/>
      <c r="CV64327" s="376"/>
    </row>
    <row r="64328" spans="1:100">
      <c r="A64328" s="374"/>
      <c r="C64328" s="374"/>
      <c r="CV64328" s="376"/>
    </row>
    <row r="64329" spans="1:100">
      <c r="A64329" s="374"/>
      <c r="C64329" s="374"/>
      <c r="CV64329" s="376"/>
    </row>
    <row r="64330" spans="1:100">
      <c r="A64330" s="374"/>
      <c r="C64330" s="374"/>
      <c r="CV64330" s="376"/>
    </row>
    <row r="64331" spans="1:100">
      <c r="A64331" s="374"/>
      <c r="C64331" s="374"/>
      <c r="CV64331" s="376"/>
    </row>
    <row r="64332" spans="1:100">
      <c r="A64332" s="374"/>
      <c r="C64332" s="374"/>
      <c r="CV64332" s="376"/>
    </row>
    <row r="64333" spans="1:100">
      <c r="A64333" s="374"/>
      <c r="C64333" s="374"/>
      <c r="CV64333" s="376"/>
    </row>
    <row r="64334" spans="1:100">
      <c r="A64334" s="374"/>
      <c r="C64334" s="374"/>
      <c r="CV64334" s="376"/>
    </row>
    <row r="64335" spans="1:100">
      <c r="A64335" s="374"/>
      <c r="C64335" s="374"/>
      <c r="CV64335" s="376"/>
    </row>
    <row r="64336" spans="1:100">
      <c r="A64336" s="374"/>
      <c r="C64336" s="374"/>
      <c r="CV64336" s="376"/>
    </row>
    <row r="64337" spans="1:100">
      <c r="A64337" s="374"/>
      <c r="C64337" s="374"/>
      <c r="CV64337" s="376"/>
    </row>
    <row r="64338" spans="1:100">
      <c r="A64338" s="374"/>
      <c r="C64338" s="374"/>
      <c r="CV64338" s="376"/>
    </row>
    <row r="64339" spans="1:100">
      <c r="A64339" s="374"/>
      <c r="C64339" s="374"/>
      <c r="CV64339" s="376"/>
    </row>
    <row r="64340" spans="1:100">
      <c r="A64340" s="374"/>
      <c r="C64340" s="374"/>
      <c r="CV64340" s="376"/>
    </row>
    <row r="64341" spans="1:100">
      <c r="A64341" s="374"/>
      <c r="C64341" s="374"/>
      <c r="CV64341" s="376"/>
    </row>
    <row r="64342" spans="1:100">
      <c r="A64342" s="374"/>
      <c r="C64342" s="374"/>
      <c r="CV64342" s="376"/>
    </row>
    <row r="64343" spans="1:100">
      <c r="A64343" s="374"/>
      <c r="C64343" s="374"/>
      <c r="CV64343" s="376"/>
    </row>
    <row r="64344" spans="1:100">
      <c r="A64344" s="374"/>
      <c r="C64344" s="374"/>
      <c r="CV64344" s="376"/>
    </row>
    <row r="64345" spans="1:100">
      <c r="A64345" s="374"/>
      <c r="C64345" s="374"/>
      <c r="CV64345" s="376"/>
    </row>
    <row r="64346" spans="1:100">
      <c r="A64346" s="374"/>
      <c r="C64346" s="374"/>
      <c r="CV64346" s="376"/>
    </row>
    <row r="64347" spans="1:100">
      <c r="A64347" s="374"/>
      <c r="C64347" s="374"/>
      <c r="CV64347" s="376"/>
    </row>
    <row r="64348" spans="1:100">
      <c r="A64348" s="374"/>
      <c r="C64348" s="374"/>
      <c r="CV64348" s="376"/>
    </row>
    <row r="64349" spans="1:100">
      <c r="A64349" s="374"/>
      <c r="C64349" s="374"/>
      <c r="CV64349" s="376"/>
    </row>
    <row r="64350" spans="1:100">
      <c r="A64350" s="374"/>
      <c r="C64350" s="374"/>
      <c r="CV64350" s="376"/>
    </row>
    <row r="64351" spans="1:100">
      <c r="A64351" s="374"/>
      <c r="C64351" s="374"/>
      <c r="CV64351" s="376"/>
    </row>
    <row r="64352" spans="1:100">
      <c r="A64352" s="374"/>
      <c r="C64352" s="374"/>
      <c r="CV64352" s="376"/>
    </row>
    <row r="64353" spans="1:100">
      <c r="A64353" s="374"/>
      <c r="C64353" s="374"/>
      <c r="CV64353" s="376"/>
    </row>
    <row r="64354" spans="1:100">
      <c r="A64354" s="374"/>
      <c r="C64354" s="374"/>
      <c r="CV64354" s="376"/>
    </row>
    <row r="64355" spans="1:100">
      <c r="A64355" s="374"/>
      <c r="C64355" s="374"/>
      <c r="CV64355" s="376"/>
    </row>
    <row r="64356" spans="1:100">
      <c r="A64356" s="374"/>
      <c r="C64356" s="374"/>
      <c r="CV64356" s="376"/>
    </row>
    <row r="64357" spans="1:100">
      <c r="A64357" s="374"/>
      <c r="C64357" s="374"/>
      <c r="CV64357" s="376"/>
    </row>
    <row r="64358" spans="1:100">
      <c r="A64358" s="374"/>
      <c r="C64358" s="374"/>
      <c r="CV64358" s="376"/>
    </row>
    <row r="64359" spans="1:100">
      <c r="A64359" s="374"/>
      <c r="C64359" s="374"/>
      <c r="CV64359" s="376"/>
    </row>
    <row r="64360" spans="1:100">
      <c r="A64360" s="374"/>
      <c r="C64360" s="374"/>
      <c r="CV64360" s="376"/>
    </row>
    <row r="64361" spans="1:100">
      <c r="A64361" s="374"/>
      <c r="C64361" s="374"/>
      <c r="CV64361" s="376"/>
    </row>
    <row r="64362" spans="1:100">
      <c r="A64362" s="374"/>
      <c r="C64362" s="374"/>
      <c r="CV64362" s="376"/>
    </row>
    <row r="64363" spans="1:100">
      <c r="A64363" s="374"/>
      <c r="C64363" s="374"/>
      <c r="CV64363" s="376"/>
    </row>
    <row r="64364" spans="1:100">
      <c r="A64364" s="374"/>
      <c r="C64364" s="374"/>
      <c r="CV64364" s="376"/>
    </row>
    <row r="64365" spans="1:100">
      <c r="A64365" s="374"/>
      <c r="C64365" s="374"/>
      <c r="CV64365" s="376"/>
    </row>
    <row r="64366" spans="1:100">
      <c r="A64366" s="374"/>
      <c r="C64366" s="374"/>
      <c r="CV64366" s="376"/>
    </row>
    <row r="64367" spans="1:100">
      <c r="A64367" s="374"/>
      <c r="C64367" s="374"/>
      <c r="CV64367" s="376"/>
    </row>
    <row r="64368" spans="1:100">
      <c r="A64368" s="374"/>
      <c r="C64368" s="374"/>
      <c r="CV64368" s="376"/>
    </row>
    <row r="64369" spans="1:100">
      <c r="A64369" s="374"/>
      <c r="C64369" s="374"/>
      <c r="CV64369" s="376"/>
    </row>
    <row r="64370" spans="1:100">
      <c r="A64370" s="374"/>
      <c r="C64370" s="374"/>
      <c r="CV64370" s="376"/>
    </row>
    <row r="64371" spans="1:100">
      <c r="A64371" s="374"/>
      <c r="C64371" s="374"/>
      <c r="CV64371" s="376"/>
    </row>
    <row r="64372" spans="1:100">
      <c r="A64372" s="374"/>
      <c r="C64372" s="374"/>
      <c r="CV64372" s="376"/>
    </row>
    <row r="64373" spans="1:100">
      <c r="A64373" s="374"/>
      <c r="C64373" s="374"/>
      <c r="CV64373" s="376"/>
    </row>
    <row r="64374" spans="1:100">
      <c r="A64374" s="374"/>
      <c r="C64374" s="374"/>
      <c r="CV64374" s="376"/>
    </row>
    <row r="64375" spans="1:100">
      <c r="A64375" s="374"/>
      <c r="C64375" s="374"/>
      <c r="CV64375" s="376"/>
    </row>
    <row r="64376" spans="1:100">
      <c r="A64376" s="374"/>
      <c r="C64376" s="374"/>
      <c r="CV64376" s="376"/>
    </row>
    <row r="64377" spans="1:100">
      <c r="A64377" s="374"/>
      <c r="C64377" s="374"/>
      <c r="CV64377" s="376"/>
    </row>
    <row r="64378" spans="1:100">
      <c r="A64378" s="374"/>
      <c r="C64378" s="374"/>
      <c r="CV64378" s="376"/>
    </row>
    <row r="64379" spans="1:100">
      <c r="A64379" s="374"/>
      <c r="C64379" s="374"/>
      <c r="CV64379" s="376"/>
    </row>
    <row r="64380" spans="1:100">
      <c r="A64380" s="374"/>
      <c r="C64380" s="374"/>
      <c r="CV64380" s="376"/>
    </row>
    <row r="64381" spans="1:100">
      <c r="A64381" s="374"/>
      <c r="C64381" s="374"/>
      <c r="CV64381" s="376"/>
    </row>
    <row r="64382" spans="1:100">
      <c r="A64382" s="374"/>
      <c r="C64382" s="374"/>
      <c r="CV64382" s="376"/>
    </row>
    <row r="64383" spans="1:100">
      <c r="A64383" s="374"/>
      <c r="C64383" s="374"/>
      <c r="CV64383" s="376"/>
    </row>
    <row r="64384" spans="1:100">
      <c r="A64384" s="374"/>
      <c r="C64384" s="374"/>
      <c r="CV64384" s="376"/>
    </row>
    <row r="64385" spans="1:100">
      <c r="A64385" s="374"/>
      <c r="C64385" s="374"/>
      <c r="CV64385" s="376"/>
    </row>
    <row r="64386" spans="1:100">
      <c r="A64386" s="374"/>
      <c r="C64386" s="374"/>
      <c r="CV64386" s="376"/>
    </row>
    <row r="64387" spans="1:100">
      <c r="A64387" s="374"/>
      <c r="C64387" s="374"/>
      <c r="CV64387" s="376"/>
    </row>
    <row r="64388" spans="1:100">
      <c r="A64388" s="374"/>
      <c r="C64388" s="374"/>
      <c r="CV64388" s="376"/>
    </row>
    <row r="64389" spans="1:100">
      <c r="A64389" s="374"/>
      <c r="C64389" s="374"/>
      <c r="CV64389" s="376"/>
    </row>
    <row r="64390" spans="1:100">
      <c r="A64390" s="374"/>
      <c r="C64390" s="374"/>
      <c r="CV64390" s="376"/>
    </row>
    <row r="64391" spans="1:100">
      <c r="A64391" s="374"/>
      <c r="C64391" s="374"/>
      <c r="CV64391" s="376"/>
    </row>
    <row r="64392" spans="1:100">
      <c r="A64392" s="374"/>
      <c r="C64392" s="374"/>
      <c r="CV64392" s="376"/>
    </row>
    <row r="64393" spans="1:100">
      <c r="A64393" s="374"/>
      <c r="C64393" s="374"/>
      <c r="CV64393" s="376"/>
    </row>
    <row r="64394" spans="1:100">
      <c r="A64394" s="374"/>
      <c r="C64394" s="374"/>
      <c r="CV64394" s="376"/>
    </row>
    <row r="64395" spans="1:100">
      <c r="A64395" s="374"/>
      <c r="C64395" s="374"/>
      <c r="CV64395" s="376"/>
    </row>
    <row r="64396" spans="1:100">
      <c r="A64396" s="374"/>
      <c r="C64396" s="374"/>
      <c r="CV64396" s="376"/>
    </row>
    <row r="64397" spans="1:100">
      <c r="A64397" s="374"/>
      <c r="C64397" s="374"/>
      <c r="CV64397" s="376"/>
    </row>
    <row r="64398" spans="1:100">
      <c r="A64398" s="374"/>
      <c r="C64398" s="374"/>
      <c r="CV64398" s="376"/>
    </row>
    <row r="64399" spans="1:100">
      <c r="A64399" s="374"/>
      <c r="C64399" s="374"/>
      <c r="CV64399" s="376"/>
    </row>
    <row r="64400" spans="1:100">
      <c r="A64400" s="374"/>
      <c r="C64400" s="374"/>
      <c r="CV64400" s="376"/>
    </row>
    <row r="64401" spans="1:100">
      <c r="A64401" s="374"/>
      <c r="C64401" s="374"/>
      <c r="CV64401" s="376"/>
    </row>
    <row r="64402" spans="1:100">
      <c r="A64402" s="374"/>
      <c r="C64402" s="374"/>
      <c r="CV64402" s="376"/>
    </row>
    <row r="64403" spans="1:100">
      <c r="A64403" s="374"/>
      <c r="C64403" s="374"/>
      <c r="CV64403" s="376"/>
    </row>
    <row r="64404" spans="1:100">
      <c r="A64404" s="374"/>
      <c r="C64404" s="374"/>
      <c r="CV64404" s="376"/>
    </row>
    <row r="64405" spans="1:100">
      <c r="A64405" s="374"/>
      <c r="C64405" s="374"/>
      <c r="CV64405" s="376"/>
    </row>
    <row r="64406" spans="1:100">
      <c r="A64406" s="374"/>
      <c r="C64406" s="374"/>
      <c r="CV64406" s="376"/>
    </row>
    <row r="64407" spans="1:100">
      <c r="A64407" s="374"/>
      <c r="C64407" s="374"/>
      <c r="CV64407" s="376"/>
    </row>
    <row r="64408" spans="1:100">
      <c r="A64408" s="374"/>
      <c r="C64408" s="374"/>
      <c r="CV64408" s="376"/>
    </row>
    <row r="64409" spans="1:100">
      <c r="A64409" s="374"/>
      <c r="C64409" s="374"/>
      <c r="CV64409" s="376"/>
    </row>
    <row r="64410" spans="1:100">
      <c r="A64410" s="374"/>
      <c r="C64410" s="374"/>
      <c r="CV64410" s="376"/>
    </row>
    <row r="64411" spans="1:100">
      <c r="A64411" s="374"/>
      <c r="C64411" s="374"/>
      <c r="CV64411" s="376"/>
    </row>
    <row r="64412" spans="1:100">
      <c r="A64412" s="374"/>
      <c r="C64412" s="374"/>
      <c r="CV64412" s="376"/>
    </row>
    <row r="64413" spans="1:100">
      <c r="A64413" s="374"/>
      <c r="C64413" s="374"/>
      <c r="CV64413" s="376"/>
    </row>
    <row r="64414" spans="1:100">
      <c r="A64414" s="374"/>
      <c r="C64414" s="374"/>
      <c r="CV64414" s="376"/>
    </row>
    <row r="64415" spans="1:100">
      <c r="A64415" s="374"/>
      <c r="C64415" s="374"/>
      <c r="CV64415" s="376"/>
    </row>
    <row r="64416" spans="1:100">
      <c r="A64416" s="374"/>
      <c r="C64416" s="374"/>
      <c r="CV64416" s="376"/>
    </row>
    <row r="64417" spans="1:100">
      <c r="A64417" s="374"/>
      <c r="C64417" s="374"/>
      <c r="CV64417" s="376"/>
    </row>
    <row r="64418" spans="1:100">
      <c r="A64418" s="374"/>
      <c r="C64418" s="374"/>
      <c r="CV64418" s="376"/>
    </row>
    <row r="64419" spans="1:100">
      <c r="A64419" s="374"/>
      <c r="C64419" s="374"/>
      <c r="CV64419" s="376"/>
    </row>
    <row r="64420" spans="1:100">
      <c r="A64420" s="374"/>
      <c r="C64420" s="374"/>
      <c r="CV64420" s="376"/>
    </row>
    <row r="64421" spans="1:100">
      <c r="A64421" s="374"/>
      <c r="C64421" s="374"/>
      <c r="CV64421" s="376"/>
    </row>
    <row r="64422" spans="1:100">
      <c r="A64422" s="374"/>
      <c r="C64422" s="374"/>
      <c r="CV64422" s="376"/>
    </row>
    <row r="64423" spans="1:100">
      <c r="A64423" s="374"/>
      <c r="C64423" s="374"/>
      <c r="CV64423" s="376"/>
    </row>
    <row r="64424" spans="1:100">
      <c r="A64424" s="374"/>
      <c r="C64424" s="374"/>
      <c r="CV64424" s="376"/>
    </row>
    <row r="64425" spans="1:100">
      <c r="A64425" s="374"/>
      <c r="C64425" s="374"/>
      <c r="CV64425" s="376"/>
    </row>
    <row r="64426" spans="1:100">
      <c r="A64426" s="374"/>
      <c r="C64426" s="374"/>
      <c r="CV64426" s="376"/>
    </row>
    <row r="64427" spans="1:100">
      <c r="A64427" s="374"/>
      <c r="C64427" s="374"/>
      <c r="CV64427" s="376"/>
    </row>
    <row r="64428" spans="1:100">
      <c r="A64428" s="374"/>
      <c r="C64428" s="374"/>
      <c r="CV64428" s="376"/>
    </row>
    <row r="64429" spans="1:100">
      <c r="A64429" s="374"/>
      <c r="C64429" s="374"/>
      <c r="CV64429" s="376"/>
    </row>
    <row r="64430" spans="1:100">
      <c r="A64430" s="374"/>
      <c r="C64430" s="374"/>
      <c r="CV64430" s="376"/>
    </row>
    <row r="64431" spans="1:100">
      <c r="A64431" s="374"/>
      <c r="C64431" s="374"/>
      <c r="CV64431" s="376"/>
    </row>
    <row r="64432" spans="1:100">
      <c r="A64432" s="374"/>
      <c r="C64432" s="374"/>
      <c r="CV64432" s="376"/>
    </row>
    <row r="64433" spans="1:100">
      <c r="A64433" s="374"/>
      <c r="C64433" s="374"/>
      <c r="CV64433" s="376"/>
    </row>
    <row r="64434" spans="1:100">
      <c r="A64434" s="374"/>
      <c r="C64434" s="374"/>
      <c r="CV64434" s="376"/>
    </row>
    <row r="64435" spans="1:100">
      <c r="A64435" s="374"/>
      <c r="C64435" s="374"/>
      <c r="CV64435" s="376"/>
    </row>
    <row r="64436" spans="1:100">
      <c r="A64436" s="374"/>
      <c r="C64436" s="374"/>
      <c r="CV64436" s="376"/>
    </row>
    <row r="64437" spans="1:100">
      <c r="A64437" s="374"/>
      <c r="C64437" s="374"/>
      <c r="CV64437" s="376"/>
    </row>
    <row r="64438" spans="1:100">
      <c r="A64438" s="374"/>
      <c r="C64438" s="374"/>
      <c r="CV64438" s="376"/>
    </row>
    <row r="64439" spans="1:100">
      <c r="A64439" s="374"/>
      <c r="C64439" s="374"/>
      <c r="CV64439" s="376"/>
    </row>
    <row r="64440" spans="1:100">
      <c r="A64440" s="374"/>
      <c r="C64440" s="374"/>
      <c r="CV64440" s="376"/>
    </row>
    <row r="64441" spans="1:100">
      <c r="A64441" s="374"/>
      <c r="C64441" s="374"/>
      <c r="CV64441" s="376"/>
    </row>
    <row r="64442" spans="1:100">
      <c r="A64442" s="374"/>
      <c r="C64442" s="374"/>
      <c r="CV64442" s="376"/>
    </row>
    <row r="64443" spans="1:100">
      <c r="A64443" s="374"/>
      <c r="C64443" s="374"/>
      <c r="CV64443" s="376"/>
    </row>
    <row r="64444" spans="1:100">
      <c r="A64444" s="374"/>
      <c r="C64444" s="374"/>
      <c r="CV64444" s="376"/>
    </row>
    <row r="64445" spans="1:100">
      <c r="A64445" s="374"/>
      <c r="C64445" s="374"/>
      <c r="CV64445" s="376"/>
    </row>
    <row r="64446" spans="1:100">
      <c r="A64446" s="374"/>
      <c r="C64446" s="374"/>
      <c r="CV64446" s="376"/>
    </row>
    <row r="64447" spans="1:100">
      <c r="A64447" s="374"/>
      <c r="C64447" s="374"/>
      <c r="CV64447" s="376"/>
    </row>
    <row r="64448" spans="1:100">
      <c r="A64448" s="374"/>
      <c r="C64448" s="374"/>
      <c r="CV64448" s="376"/>
    </row>
    <row r="64449" spans="1:100">
      <c r="A64449" s="374"/>
      <c r="C64449" s="374"/>
      <c r="CV64449" s="376"/>
    </row>
    <row r="64450" spans="1:100">
      <c r="A64450" s="374"/>
      <c r="C64450" s="374"/>
      <c r="CV64450" s="376"/>
    </row>
    <row r="64451" spans="1:100">
      <c r="A64451" s="374"/>
      <c r="C64451" s="374"/>
      <c r="CV64451" s="376"/>
    </row>
    <row r="64452" spans="1:100">
      <c r="A64452" s="374"/>
      <c r="C64452" s="374"/>
      <c r="CV64452" s="376"/>
    </row>
    <row r="64453" spans="1:100">
      <c r="A64453" s="374"/>
      <c r="C64453" s="374"/>
      <c r="CV64453" s="376"/>
    </row>
    <row r="64454" spans="1:100">
      <c r="A64454" s="374"/>
      <c r="C64454" s="374"/>
      <c r="CV64454" s="376"/>
    </row>
    <row r="64455" spans="1:100">
      <c r="A64455" s="374"/>
      <c r="C64455" s="374"/>
      <c r="CV64455" s="376"/>
    </row>
    <row r="64456" spans="1:100">
      <c r="A64456" s="374"/>
      <c r="C64456" s="374"/>
      <c r="CV64456" s="376"/>
    </row>
    <row r="64457" spans="1:100">
      <c r="A64457" s="374"/>
      <c r="C64457" s="374"/>
      <c r="CV64457" s="376"/>
    </row>
    <row r="64458" spans="1:100">
      <c r="A64458" s="374"/>
      <c r="C64458" s="374"/>
      <c r="CV64458" s="376"/>
    </row>
    <row r="64459" spans="1:100">
      <c r="A64459" s="374"/>
      <c r="C64459" s="374"/>
      <c r="CV64459" s="376"/>
    </row>
    <row r="64460" spans="1:100">
      <c r="A64460" s="374"/>
      <c r="C64460" s="374"/>
      <c r="CV64460" s="376"/>
    </row>
    <row r="64461" spans="1:100">
      <c r="A64461" s="374"/>
      <c r="C64461" s="374"/>
      <c r="CV64461" s="376"/>
    </row>
    <row r="64462" spans="1:100">
      <c r="A64462" s="374"/>
      <c r="C64462" s="374"/>
      <c r="CV64462" s="376"/>
    </row>
    <row r="64463" spans="1:100">
      <c r="A64463" s="374"/>
      <c r="C64463" s="374"/>
      <c r="CV64463" s="376"/>
    </row>
    <row r="64464" spans="1:100">
      <c r="A64464" s="374"/>
      <c r="C64464" s="374"/>
      <c r="CV64464" s="376"/>
    </row>
    <row r="64465" spans="1:100">
      <c r="A64465" s="374"/>
      <c r="C64465" s="374"/>
      <c r="CV64465" s="376"/>
    </row>
    <row r="64466" spans="1:100">
      <c r="A64466" s="374"/>
      <c r="C64466" s="374"/>
      <c r="CV64466" s="376"/>
    </row>
    <row r="64467" spans="1:100">
      <c r="A64467" s="374"/>
      <c r="C64467" s="374"/>
      <c r="CV64467" s="376"/>
    </row>
    <row r="64468" spans="1:100">
      <c r="A64468" s="374"/>
      <c r="C64468" s="374"/>
      <c r="CV64468" s="376"/>
    </row>
    <row r="64469" spans="1:100">
      <c r="A64469" s="374"/>
      <c r="C64469" s="374"/>
      <c r="CV64469" s="376"/>
    </row>
    <row r="64470" spans="1:100">
      <c r="A64470" s="374"/>
      <c r="C64470" s="374"/>
      <c r="CV64470" s="376"/>
    </row>
    <row r="64471" spans="1:100">
      <c r="A64471" s="374"/>
      <c r="C64471" s="374"/>
      <c r="CV64471" s="376"/>
    </row>
    <row r="64472" spans="1:100">
      <c r="A64472" s="374"/>
      <c r="C64472" s="374"/>
      <c r="CV64472" s="376"/>
    </row>
    <row r="64473" spans="1:100">
      <c r="A64473" s="374"/>
      <c r="C64473" s="374"/>
      <c r="CV64473" s="376"/>
    </row>
    <row r="64474" spans="1:100">
      <c r="A64474" s="374"/>
      <c r="C64474" s="374"/>
      <c r="CV64474" s="376"/>
    </row>
    <row r="64475" spans="1:100">
      <c r="A64475" s="374"/>
      <c r="C64475" s="374"/>
      <c r="CV64475" s="376"/>
    </row>
    <row r="64476" spans="1:100">
      <c r="A64476" s="374"/>
      <c r="C64476" s="374"/>
      <c r="CV64476" s="376"/>
    </row>
    <row r="64477" spans="1:100">
      <c r="A64477" s="374"/>
      <c r="C64477" s="374"/>
      <c r="CV64477" s="376"/>
    </row>
    <row r="64478" spans="1:100">
      <c r="A64478" s="374"/>
      <c r="C64478" s="374"/>
      <c r="CV64478" s="376"/>
    </row>
    <row r="64479" spans="1:100">
      <c r="A64479" s="374"/>
      <c r="C64479" s="374"/>
      <c r="CV64479" s="376"/>
    </row>
    <row r="64480" spans="1:100">
      <c r="A64480" s="374"/>
      <c r="C64480" s="374"/>
      <c r="CV64480" s="376"/>
    </row>
    <row r="64481" spans="1:100">
      <c r="A64481" s="374"/>
      <c r="C64481" s="374"/>
      <c r="CV64481" s="376"/>
    </row>
    <row r="64482" spans="1:100">
      <c r="A64482" s="374"/>
      <c r="C64482" s="374"/>
      <c r="CV64482" s="376"/>
    </row>
    <row r="64483" spans="1:100">
      <c r="A64483" s="374"/>
      <c r="C64483" s="374"/>
      <c r="CV64483" s="376"/>
    </row>
    <row r="64484" spans="1:100">
      <c r="A64484" s="374"/>
      <c r="C64484" s="374"/>
      <c r="CV64484" s="376"/>
    </row>
    <row r="64485" spans="1:100">
      <c r="A64485" s="374"/>
      <c r="C64485" s="374"/>
      <c r="CV64485" s="376"/>
    </row>
    <row r="64486" spans="1:100">
      <c r="A64486" s="374"/>
      <c r="C64486" s="374"/>
      <c r="CV64486" s="376"/>
    </row>
    <row r="64487" spans="1:100">
      <c r="A64487" s="374"/>
      <c r="C64487" s="374"/>
      <c r="CV64487" s="376"/>
    </row>
    <row r="64488" spans="1:100">
      <c r="A64488" s="374"/>
      <c r="C64488" s="374"/>
      <c r="CV64488" s="376"/>
    </row>
    <row r="64489" spans="1:100">
      <c r="A64489" s="374"/>
      <c r="C64489" s="374"/>
      <c r="CV64489" s="376"/>
    </row>
    <row r="64490" spans="1:100">
      <c r="A64490" s="374"/>
      <c r="C64490" s="374"/>
      <c r="CV64490" s="376"/>
    </row>
    <row r="64491" spans="1:100">
      <c r="A64491" s="374"/>
      <c r="C64491" s="374"/>
      <c r="CV64491" s="376"/>
    </row>
    <row r="64492" spans="1:100">
      <c r="A64492" s="374"/>
      <c r="C64492" s="374"/>
      <c r="CV64492" s="376"/>
    </row>
    <row r="64493" spans="1:100">
      <c r="A64493" s="374"/>
      <c r="C64493" s="374"/>
      <c r="CV64493" s="376"/>
    </row>
    <row r="64494" spans="1:100">
      <c r="A64494" s="374"/>
      <c r="C64494" s="374"/>
      <c r="CV64494" s="376"/>
    </row>
    <row r="64495" spans="1:100">
      <c r="A64495" s="374"/>
      <c r="C64495" s="374"/>
      <c r="CV64495" s="376"/>
    </row>
    <row r="64496" spans="1:100">
      <c r="A64496" s="374"/>
      <c r="C64496" s="374"/>
      <c r="CV64496" s="376"/>
    </row>
    <row r="64497" spans="1:100">
      <c r="A64497" s="374"/>
      <c r="C64497" s="374"/>
      <c r="CV64497" s="376"/>
    </row>
    <row r="64498" spans="1:100">
      <c r="A64498" s="374"/>
      <c r="C64498" s="374"/>
      <c r="CV64498" s="376"/>
    </row>
    <row r="64499" spans="1:100">
      <c r="A64499" s="374"/>
      <c r="C64499" s="374"/>
      <c r="CV64499" s="376"/>
    </row>
    <row r="64500" spans="1:100">
      <c r="A64500" s="374"/>
      <c r="C64500" s="374"/>
      <c r="CV64500" s="376"/>
    </row>
    <row r="64501" spans="1:100">
      <c r="A64501" s="374"/>
      <c r="C64501" s="374"/>
      <c r="CV64501" s="376"/>
    </row>
    <row r="64502" spans="1:100">
      <c r="A64502" s="374"/>
      <c r="C64502" s="374"/>
      <c r="CV64502" s="376"/>
    </row>
    <row r="64503" spans="1:100">
      <c r="A64503" s="374"/>
      <c r="C64503" s="374"/>
      <c r="CV64503" s="376"/>
    </row>
    <row r="64504" spans="1:100">
      <c r="A64504" s="374"/>
      <c r="C64504" s="374"/>
      <c r="CV64504" s="376"/>
    </row>
    <row r="64505" spans="1:100">
      <c r="A64505" s="374"/>
      <c r="C64505" s="374"/>
      <c r="CV64505" s="376"/>
    </row>
    <row r="64506" spans="1:100">
      <c r="A64506" s="374"/>
      <c r="C64506" s="374"/>
      <c r="CV64506" s="376"/>
    </row>
    <row r="64507" spans="1:100">
      <c r="A64507" s="374"/>
      <c r="C64507" s="374"/>
      <c r="CV64507" s="376"/>
    </row>
    <row r="64508" spans="1:100">
      <c r="A64508" s="374"/>
      <c r="C64508" s="374"/>
      <c r="CV64508" s="376"/>
    </row>
    <row r="64509" spans="1:100">
      <c r="A64509" s="374"/>
      <c r="C64509" s="374"/>
      <c r="CV64509" s="376"/>
    </row>
    <row r="64510" spans="1:100">
      <c r="A64510" s="374"/>
      <c r="C64510" s="374"/>
      <c r="CV64510" s="376"/>
    </row>
    <row r="64511" spans="1:100">
      <c r="A64511" s="374"/>
      <c r="C64511" s="374"/>
      <c r="CV64511" s="376"/>
    </row>
    <row r="64512" spans="1:100">
      <c r="A64512" s="374"/>
      <c r="C64512" s="374"/>
      <c r="CV64512" s="376"/>
    </row>
    <row r="64513" spans="1:100">
      <c r="A64513" s="374"/>
      <c r="C64513" s="374"/>
      <c r="CV64513" s="376"/>
    </row>
    <row r="64514" spans="1:100">
      <c r="A64514" s="374"/>
      <c r="C64514" s="374"/>
      <c r="CV64514" s="376"/>
    </row>
    <row r="64515" spans="1:100">
      <c r="A64515" s="374"/>
      <c r="C64515" s="374"/>
      <c r="CV64515" s="376"/>
    </row>
    <row r="64516" spans="1:100">
      <c r="A64516" s="374"/>
      <c r="C64516" s="374"/>
      <c r="CV64516" s="376"/>
    </row>
    <row r="64517" spans="1:100">
      <c r="A64517" s="374"/>
      <c r="C64517" s="374"/>
      <c r="CV64517" s="376"/>
    </row>
    <row r="64518" spans="1:100">
      <c r="A64518" s="374"/>
      <c r="C64518" s="374"/>
      <c r="CV64518" s="376"/>
    </row>
    <row r="64519" spans="1:100">
      <c r="A64519" s="374"/>
      <c r="C64519" s="374"/>
      <c r="CV64519" s="376"/>
    </row>
    <row r="64520" spans="1:100">
      <c r="A64520" s="374"/>
      <c r="C64520" s="374"/>
      <c r="CV64520" s="376"/>
    </row>
    <row r="64521" spans="1:100">
      <c r="A64521" s="374"/>
      <c r="C64521" s="374"/>
      <c r="CV64521" s="376"/>
    </row>
    <row r="64522" spans="1:100">
      <c r="A64522" s="374"/>
      <c r="C64522" s="374"/>
      <c r="CV64522" s="376"/>
    </row>
    <row r="64523" spans="1:100">
      <c r="A64523" s="374"/>
      <c r="C64523" s="374"/>
      <c r="CV64523" s="376"/>
    </row>
    <row r="64524" spans="1:100">
      <c r="A64524" s="374"/>
      <c r="C64524" s="374"/>
      <c r="CV64524" s="376"/>
    </row>
    <row r="64525" spans="1:100">
      <c r="A64525" s="374"/>
      <c r="C64525" s="374"/>
      <c r="CV64525" s="376"/>
    </row>
    <row r="64526" spans="1:100">
      <c r="A64526" s="374"/>
      <c r="C64526" s="374"/>
      <c r="CV64526" s="376"/>
    </row>
    <row r="64527" spans="1:100">
      <c r="A64527" s="374"/>
      <c r="C64527" s="374"/>
      <c r="CV64527" s="376"/>
    </row>
    <row r="64528" spans="1:100">
      <c r="A64528" s="374"/>
      <c r="C64528" s="374"/>
      <c r="CV64528" s="376"/>
    </row>
    <row r="64529" spans="1:100">
      <c r="A64529" s="374"/>
      <c r="C64529" s="374"/>
      <c r="CV64529" s="376"/>
    </row>
    <row r="64530" spans="1:100">
      <c r="A64530" s="374"/>
      <c r="C64530" s="374"/>
      <c r="CV64530" s="376"/>
    </row>
    <row r="64531" spans="1:100">
      <c r="A64531" s="374"/>
      <c r="C64531" s="374"/>
      <c r="CV64531" s="376"/>
    </row>
    <row r="64532" spans="1:100">
      <c r="A64532" s="374"/>
      <c r="C64532" s="374"/>
      <c r="CV64532" s="376"/>
    </row>
    <row r="64533" spans="1:100">
      <c r="A64533" s="374"/>
      <c r="C64533" s="374"/>
      <c r="CV64533" s="376"/>
    </row>
    <row r="64534" spans="1:100">
      <c r="A64534" s="374"/>
      <c r="C64534" s="374"/>
      <c r="CV64534" s="376"/>
    </row>
    <row r="64535" spans="1:100">
      <c r="A64535" s="374"/>
      <c r="C64535" s="374"/>
      <c r="CV64535" s="376"/>
    </row>
    <row r="64536" spans="1:100">
      <c r="A64536" s="374"/>
      <c r="C64536" s="374"/>
      <c r="CV64536" s="376"/>
    </row>
    <row r="64537" spans="1:100">
      <c r="A64537" s="374"/>
      <c r="C64537" s="374"/>
      <c r="CV64537" s="376"/>
    </row>
    <row r="64538" spans="1:100">
      <c r="A64538" s="374"/>
      <c r="C64538" s="374"/>
      <c r="CV64538" s="376"/>
    </row>
    <row r="64539" spans="1:100">
      <c r="A64539" s="374"/>
      <c r="C64539" s="374"/>
      <c r="CV64539" s="376"/>
    </row>
    <row r="64540" spans="1:100">
      <c r="A64540" s="374"/>
      <c r="C64540" s="374"/>
      <c r="CV64540" s="376"/>
    </row>
    <row r="64541" spans="1:100">
      <c r="A64541" s="374"/>
      <c r="C64541" s="374"/>
      <c r="CV64541" s="376"/>
    </row>
    <row r="64542" spans="1:100">
      <c r="A64542" s="374"/>
      <c r="C64542" s="374"/>
      <c r="CV64542" s="376"/>
    </row>
    <row r="64543" spans="1:100">
      <c r="A64543" s="374"/>
      <c r="C64543" s="374"/>
      <c r="CV64543" s="376"/>
    </row>
    <row r="64544" spans="1:100">
      <c r="A64544" s="374"/>
      <c r="C64544" s="374"/>
      <c r="CV64544" s="376"/>
    </row>
    <row r="64545" spans="1:100">
      <c r="A64545" s="374"/>
      <c r="C64545" s="374"/>
      <c r="CV64545" s="376"/>
    </row>
    <row r="64546" spans="1:100">
      <c r="A64546" s="374"/>
      <c r="C64546" s="374"/>
      <c r="CV64546" s="376"/>
    </row>
    <row r="64547" spans="1:100">
      <c r="A64547" s="374"/>
      <c r="C64547" s="374"/>
      <c r="CV64547" s="376"/>
    </row>
    <row r="64548" spans="1:100">
      <c r="A64548" s="374"/>
      <c r="C64548" s="374"/>
      <c r="CV64548" s="376"/>
    </row>
    <row r="64549" spans="1:100">
      <c r="A64549" s="374"/>
      <c r="C64549" s="374"/>
      <c r="CV64549" s="376"/>
    </row>
    <row r="64550" spans="1:100">
      <c r="A64550" s="374"/>
      <c r="C64550" s="374"/>
      <c r="CV64550" s="376"/>
    </row>
    <row r="64551" spans="1:100">
      <c r="A64551" s="374"/>
      <c r="C64551" s="374"/>
      <c r="CV64551" s="376"/>
    </row>
    <row r="64552" spans="1:100">
      <c r="A64552" s="374"/>
      <c r="C64552" s="374"/>
      <c r="CV64552" s="376"/>
    </row>
    <row r="64553" spans="1:100">
      <c r="A64553" s="374"/>
      <c r="C64553" s="374"/>
      <c r="CV64553" s="376"/>
    </row>
    <row r="64554" spans="1:100">
      <c r="A64554" s="374"/>
      <c r="C64554" s="374"/>
      <c r="CV64554" s="376"/>
    </row>
    <row r="64555" spans="1:100">
      <c r="A64555" s="374"/>
      <c r="C64555" s="374"/>
      <c r="CV64555" s="376"/>
    </row>
    <row r="64556" spans="1:100">
      <c r="A64556" s="374"/>
      <c r="C64556" s="374"/>
      <c r="CV64556" s="376"/>
    </row>
    <row r="64557" spans="1:100">
      <c r="A64557" s="374"/>
      <c r="C64557" s="374"/>
      <c r="CV64557" s="376"/>
    </row>
    <row r="64558" spans="1:100">
      <c r="A64558" s="374"/>
      <c r="C64558" s="374"/>
      <c r="CV64558" s="376"/>
    </row>
    <row r="64559" spans="1:100">
      <c r="A64559" s="374"/>
      <c r="C64559" s="374"/>
      <c r="CV64559" s="376"/>
    </row>
    <row r="64560" spans="1:100">
      <c r="A64560" s="374"/>
      <c r="C64560" s="374"/>
      <c r="CV64560" s="376"/>
    </row>
    <row r="64561" spans="1:100">
      <c r="A64561" s="374"/>
      <c r="C64561" s="374"/>
      <c r="CV64561" s="376"/>
    </row>
    <row r="64562" spans="1:100">
      <c r="A64562" s="374"/>
      <c r="C64562" s="374"/>
      <c r="CV64562" s="376"/>
    </row>
    <row r="64563" spans="1:100">
      <c r="A64563" s="374"/>
      <c r="C64563" s="374"/>
      <c r="CV64563" s="376"/>
    </row>
    <row r="64564" spans="1:100">
      <c r="A64564" s="374"/>
      <c r="C64564" s="374"/>
      <c r="CV64564" s="376"/>
    </row>
    <row r="64565" spans="1:100">
      <c r="A64565" s="374"/>
      <c r="C64565" s="374"/>
      <c r="CV64565" s="376"/>
    </row>
    <row r="64566" spans="1:100">
      <c r="A64566" s="374"/>
      <c r="C64566" s="374"/>
      <c r="CV64566" s="376"/>
    </row>
    <row r="64567" spans="1:100">
      <c r="A64567" s="374"/>
      <c r="C64567" s="374"/>
      <c r="CV64567" s="376"/>
    </row>
    <row r="64568" spans="1:100">
      <c r="A64568" s="374"/>
      <c r="C64568" s="374"/>
      <c r="CV64568" s="376"/>
    </row>
    <row r="64569" spans="1:100">
      <c r="A64569" s="374"/>
      <c r="C64569" s="374"/>
      <c r="CV64569" s="376"/>
    </row>
    <row r="64570" spans="1:100">
      <c r="A64570" s="374"/>
      <c r="C64570" s="374"/>
      <c r="CV64570" s="376"/>
    </row>
    <row r="64571" spans="1:100">
      <c r="A64571" s="374"/>
      <c r="C64571" s="374"/>
      <c r="CV64571" s="376"/>
    </row>
    <row r="64572" spans="1:100">
      <c r="A64572" s="374"/>
      <c r="C64572" s="374"/>
      <c r="CV64572" s="376"/>
    </row>
    <row r="64573" spans="1:100">
      <c r="A64573" s="374"/>
      <c r="C64573" s="374"/>
      <c r="CV64573" s="376"/>
    </row>
    <row r="64574" spans="1:100">
      <c r="A64574" s="374"/>
      <c r="C64574" s="374"/>
      <c r="CV64574" s="376"/>
    </row>
    <row r="64575" spans="1:100">
      <c r="A64575" s="374"/>
      <c r="C64575" s="374"/>
      <c r="CV64575" s="376"/>
    </row>
    <row r="64576" spans="1:100">
      <c r="A64576" s="374"/>
      <c r="C64576" s="374"/>
      <c r="CV64576" s="376"/>
    </row>
    <row r="64577" spans="1:100">
      <c r="A64577" s="374"/>
      <c r="C64577" s="374"/>
      <c r="CV64577" s="376"/>
    </row>
    <row r="64578" spans="1:100">
      <c r="A64578" s="374"/>
      <c r="C64578" s="374"/>
      <c r="CV64578" s="376"/>
    </row>
    <row r="64579" spans="1:100">
      <c r="A64579" s="374"/>
      <c r="C64579" s="374"/>
      <c r="CV64579" s="376"/>
    </row>
    <row r="64580" spans="1:100">
      <c r="A64580" s="374"/>
      <c r="C64580" s="374"/>
      <c r="CV64580" s="376"/>
    </row>
    <row r="64581" spans="1:100">
      <c r="A64581" s="374"/>
      <c r="C64581" s="374"/>
      <c r="CV64581" s="376"/>
    </row>
    <row r="64582" spans="1:100">
      <c r="A64582" s="374"/>
      <c r="C64582" s="374"/>
      <c r="CV64582" s="376"/>
    </row>
    <row r="64583" spans="1:100">
      <c r="A64583" s="374"/>
      <c r="C64583" s="374"/>
      <c r="CV64583" s="376"/>
    </row>
    <row r="64584" spans="1:100">
      <c r="A64584" s="374"/>
      <c r="C64584" s="374"/>
      <c r="CV64584" s="376"/>
    </row>
    <row r="64585" spans="1:100">
      <c r="A64585" s="374"/>
      <c r="C64585" s="374"/>
      <c r="CV64585" s="376"/>
    </row>
    <row r="64586" spans="1:100">
      <c r="A64586" s="374"/>
      <c r="C64586" s="374"/>
      <c r="CV64586" s="376"/>
    </row>
    <row r="64587" spans="1:100">
      <c r="A64587" s="374"/>
      <c r="C64587" s="374"/>
      <c r="CV64587" s="376"/>
    </row>
    <row r="64588" spans="1:100">
      <c r="A64588" s="374"/>
      <c r="C64588" s="374"/>
      <c r="CV64588" s="376"/>
    </row>
    <row r="64589" spans="1:100">
      <c r="A64589" s="374"/>
      <c r="C64589" s="374"/>
      <c r="CV64589" s="376"/>
    </row>
    <row r="64590" spans="1:100">
      <c r="A64590" s="374"/>
      <c r="C64590" s="374"/>
      <c r="CV64590" s="376"/>
    </row>
    <row r="64591" spans="1:100">
      <c r="A64591" s="374"/>
      <c r="C64591" s="374"/>
      <c r="CV64591" s="376"/>
    </row>
    <row r="64592" spans="1:100">
      <c r="A64592" s="374"/>
      <c r="C64592" s="374"/>
      <c r="CV64592" s="376"/>
    </row>
    <row r="64593" spans="1:100">
      <c r="A64593" s="374"/>
      <c r="C64593" s="374"/>
      <c r="CV64593" s="376"/>
    </row>
    <row r="64594" spans="1:100">
      <c r="A64594" s="374"/>
      <c r="C64594" s="374"/>
      <c r="CV64594" s="376"/>
    </row>
    <row r="64595" spans="1:100">
      <c r="A64595" s="374"/>
      <c r="C64595" s="374"/>
      <c r="CV64595" s="376"/>
    </row>
    <row r="64596" spans="1:100">
      <c r="A64596" s="374"/>
      <c r="C64596" s="374"/>
      <c r="CV64596" s="376"/>
    </row>
    <row r="64597" spans="1:100">
      <c r="A64597" s="374"/>
      <c r="C64597" s="374"/>
      <c r="CV64597" s="376"/>
    </row>
    <row r="64598" spans="1:100">
      <c r="A64598" s="374"/>
      <c r="C64598" s="374"/>
      <c r="CV64598" s="376"/>
    </row>
    <row r="64599" spans="1:100">
      <c r="A64599" s="374"/>
      <c r="C64599" s="374"/>
      <c r="CV64599" s="376"/>
    </row>
    <row r="64600" spans="1:100">
      <c r="A64600" s="374"/>
      <c r="C64600" s="374"/>
      <c r="CV64600" s="376"/>
    </row>
    <row r="64601" spans="1:100">
      <c r="A64601" s="374"/>
      <c r="C64601" s="374"/>
      <c r="CV64601" s="376"/>
    </row>
    <row r="64602" spans="1:100">
      <c r="A64602" s="374"/>
      <c r="C64602" s="374"/>
      <c r="CV64602" s="376"/>
    </row>
    <row r="64603" spans="1:100">
      <c r="A64603" s="374"/>
      <c r="C64603" s="374"/>
      <c r="CV64603" s="376"/>
    </row>
    <row r="64604" spans="1:100">
      <c r="A64604" s="374"/>
      <c r="C64604" s="374"/>
      <c r="CV64604" s="376"/>
    </row>
    <row r="64605" spans="1:100">
      <c r="A64605" s="374"/>
      <c r="C64605" s="374"/>
      <c r="CV64605" s="376"/>
    </row>
    <row r="64606" spans="1:100">
      <c r="A64606" s="374"/>
      <c r="C64606" s="374"/>
      <c r="CV64606" s="376"/>
    </row>
    <row r="64607" spans="1:100">
      <c r="A64607" s="374"/>
      <c r="C64607" s="374"/>
      <c r="CV64607" s="376"/>
    </row>
    <row r="64608" spans="1:100">
      <c r="A64608" s="374"/>
      <c r="C64608" s="374"/>
      <c r="CV64608" s="376"/>
    </row>
    <row r="64609" spans="1:100">
      <c r="A64609" s="374"/>
      <c r="C64609" s="374"/>
      <c r="CV64609" s="376"/>
    </row>
    <row r="64610" spans="1:100">
      <c r="A64610" s="374"/>
      <c r="C64610" s="374"/>
      <c r="CV64610" s="376"/>
    </row>
    <row r="64611" spans="1:100">
      <c r="A64611" s="374"/>
      <c r="C64611" s="374"/>
      <c r="CV64611" s="376"/>
    </row>
    <row r="64612" spans="1:100">
      <c r="A64612" s="374"/>
      <c r="C64612" s="374"/>
      <c r="CV64612" s="376"/>
    </row>
    <row r="64613" spans="1:100">
      <c r="A64613" s="374"/>
      <c r="C64613" s="374"/>
      <c r="CV64613" s="376"/>
    </row>
    <row r="64614" spans="1:100">
      <c r="A64614" s="374"/>
      <c r="C64614" s="374"/>
      <c r="CV64614" s="376"/>
    </row>
    <row r="64615" spans="1:100">
      <c r="A64615" s="374"/>
      <c r="C64615" s="374"/>
      <c r="CV64615" s="376"/>
    </row>
    <row r="64616" spans="1:100">
      <c r="A64616" s="374"/>
      <c r="C64616" s="374"/>
      <c r="CV64616" s="376"/>
    </row>
    <row r="64617" spans="1:100">
      <c r="A64617" s="374"/>
      <c r="C64617" s="374"/>
      <c r="CV64617" s="376"/>
    </row>
    <row r="64618" spans="1:100">
      <c r="A64618" s="374"/>
      <c r="C64618" s="374"/>
      <c r="CV64618" s="376"/>
    </row>
    <row r="64619" spans="1:100">
      <c r="A64619" s="374"/>
      <c r="C64619" s="374"/>
      <c r="CV64619" s="376"/>
    </row>
    <row r="64620" spans="1:100">
      <c r="A64620" s="374"/>
      <c r="C64620" s="374"/>
      <c r="CV64620" s="376"/>
    </row>
    <row r="64621" spans="1:100">
      <c r="A64621" s="374"/>
      <c r="C64621" s="374"/>
      <c r="CV64621" s="376"/>
    </row>
    <row r="64622" spans="1:100">
      <c r="A64622" s="374"/>
      <c r="C64622" s="374"/>
      <c r="CV64622" s="376"/>
    </row>
    <row r="64623" spans="1:100">
      <c r="A64623" s="374"/>
      <c r="C64623" s="374"/>
      <c r="CV64623" s="376"/>
    </row>
    <row r="64624" spans="1:100">
      <c r="A64624" s="374"/>
      <c r="C64624" s="374"/>
      <c r="CV64624" s="376"/>
    </row>
    <row r="64625" spans="1:100">
      <c r="A64625" s="374"/>
      <c r="C64625" s="374"/>
      <c r="CV64625" s="376"/>
    </row>
    <row r="64626" spans="1:100">
      <c r="A64626" s="374"/>
      <c r="C64626" s="374"/>
      <c r="CV64626" s="376"/>
    </row>
    <row r="64627" spans="1:100">
      <c r="A64627" s="374"/>
      <c r="C64627" s="374"/>
      <c r="CV64627" s="376"/>
    </row>
    <row r="64628" spans="1:100">
      <c r="A64628" s="374"/>
      <c r="C64628" s="374"/>
      <c r="CV64628" s="376"/>
    </row>
    <row r="64629" spans="1:100">
      <c r="A64629" s="374"/>
      <c r="C64629" s="374"/>
      <c r="CV64629" s="376"/>
    </row>
    <row r="64630" spans="1:100">
      <c r="A64630" s="374"/>
      <c r="C64630" s="374"/>
      <c r="CV64630" s="376"/>
    </row>
    <row r="64631" spans="1:100">
      <c r="A64631" s="374"/>
      <c r="C64631" s="374"/>
      <c r="CV64631" s="376"/>
    </row>
    <row r="64632" spans="1:100">
      <c r="A64632" s="374"/>
      <c r="C64632" s="374"/>
      <c r="CV64632" s="376"/>
    </row>
    <row r="64633" spans="1:100">
      <c r="A64633" s="374"/>
      <c r="C64633" s="374"/>
      <c r="CV64633" s="376"/>
    </row>
    <row r="64634" spans="1:100">
      <c r="A64634" s="374"/>
      <c r="C64634" s="374"/>
      <c r="CV64634" s="376"/>
    </row>
    <row r="64635" spans="1:100">
      <c r="A64635" s="374"/>
      <c r="C64635" s="374"/>
      <c r="CV64635" s="376"/>
    </row>
    <row r="64636" spans="1:100">
      <c r="A64636" s="374"/>
      <c r="C64636" s="374"/>
      <c r="CV64636" s="376"/>
    </row>
    <row r="64637" spans="1:100">
      <c r="A64637" s="374"/>
      <c r="C64637" s="374"/>
      <c r="CV64637" s="376"/>
    </row>
    <row r="64638" spans="1:100">
      <c r="A64638" s="374"/>
      <c r="C64638" s="374"/>
      <c r="CV64638" s="376"/>
    </row>
    <row r="64639" spans="1:100">
      <c r="A64639" s="374"/>
      <c r="C64639" s="374"/>
      <c r="CV64639" s="376"/>
    </row>
    <row r="64640" spans="1:100">
      <c r="A64640" s="374"/>
      <c r="C64640" s="374"/>
      <c r="CV64640" s="376"/>
    </row>
    <row r="64641" spans="1:100">
      <c r="A64641" s="374"/>
      <c r="C64641" s="374"/>
      <c r="CV64641" s="376"/>
    </row>
    <row r="64642" spans="1:100">
      <c r="A64642" s="374"/>
      <c r="C64642" s="374"/>
      <c r="CV64642" s="376"/>
    </row>
    <row r="64643" spans="1:100">
      <c r="A64643" s="374"/>
      <c r="C64643" s="374"/>
      <c r="CV64643" s="376"/>
    </row>
    <row r="64644" spans="1:100">
      <c r="A64644" s="374"/>
      <c r="C64644" s="374"/>
      <c r="CV64644" s="376"/>
    </row>
    <row r="64645" spans="1:100">
      <c r="A64645" s="374"/>
      <c r="C64645" s="374"/>
      <c r="CV64645" s="376"/>
    </row>
    <row r="64646" spans="1:100">
      <c r="A64646" s="374"/>
      <c r="C64646" s="374"/>
      <c r="CV64646" s="376"/>
    </row>
    <row r="64647" spans="1:100">
      <c r="A64647" s="374"/>
      <c r="C64647" s="374"/>
      <c r="CV64647" s="376"/>
    </row>
    <row r="64648" spans="1:100">
      <c r="A64648" s="374"/>
      <c r="C64648" s="374"/>
      <c r="CV64648" s="376"/>
    </row>
    <row r="64649" spans="1:100">
      <c r="A64649" s="374"/>
      <c r="C64649" s="374"/>
      <c r="CV64649" s="376"/>
    </row>
    <row r="64650" spans="1:100">
      <c r="A64650" s="374"/>
      <c r="C64650" s="374"/>
      <c r="CV64650" s="376"/>
    </row>
    <row r="64651" spans="1:100">
      <c r="A64651" s="374"/>
      <c r="C64651" s="374"/>
      <c r="CV64651" s="376"/>
    </row>
    <row r="64652" spans="1:100">
      <c r="A64652" s="374"/>
      <c r="C64652" s="374"/>
      <c r="CV64652" s="376"/>
    </row>
    <row r="64653" spans="1:100">
      <c r="A64653" s="374"/>
      <c r="C64653" s="374"/>
      <c r="CV64653" s="376"/>
    </row>
    <row r="64654" spans="1:100">
      <c r="A64654" s="374"/>
      <c r="C64654" s="374"/>
      <c r="CV64654" s="376"/>
    </row>
    <row r="64655" spans="1:100">
      <c r="A64655" s="374"/>
      <c r="C64655" s="374"/>
      <c r="CV64655" s="376"/>
    </row>
    <row r="64656" spans="1:100">
      <c r="A64656" s="374"/>
      <c r="C64656" s="374"/>
      <c r="CV64656" s="376"/>
    </row>
    <row r="64657" spans="1:100">
      <c r="A64657" s="374"/>
      <c r="C64657" s="374"/>
      <c r="CV64657" s="376"/>
    </row>
    <row r="64658" spans="1:100">
      <c r="A64658" s="374"/>
      <c r="C64658" s="374"/>
      <c r="CV64658" s="376"/>
    </row>
    <row r="64659" spans="1:100">
      <c r="A64659" s="374"/>
      <c r="C64659" s="374"/>
      <c r="CV64659" s="376"/>
    </row>
    <row r="64660" spans="1:100">
      <c r="A64660" s="374"/>
      <c r="C64660" s="374"/>
      <c r="CV64660" s="376"/>
    </row>
    <row r="64661" spans="1:100">
      <c r="A64661" s="374"/>
      <c r="C64661" s="374"/>
      <c r="CV64661" s="376"/>
    </row>
    <row r="64662" spans="1:100">
      <c r="A64662" s="374"/>
      <c r="C64662" s="374"/>
      <c r="CV64662" s="376"/>
    </row>
    <row r="64663" spans="1:100">
      <c r="A64663" s="374"/>
      <c r="C64663" s="374"/>
      <c r="CV64663" s="376"/>
    </row>
    <row r="64664" spans="1:100">
      <c r="A64664" s="374"/>
      <c r="C64664" s="374"/>
      <c r="CV64664" s="376"/>
    </row>
    <row r="64665" spans="1:100">
      <c r="A64665" s="374"/>
      <c r="C64665" s="374"/>
      <c r="CV64665" s="376"/>
    </row>
    <row r="64666" spans="1:100">
      <c r="A64666" s="374"/>
      <c r="C64666" s="374"/>
      <c r="CV64666" s="376"/>
    </row>
    <row r="64667" spans="1:100">
      <c r="A64667" s="374"/>
      <c r="C64667" s="374"/>
      <c r="CV64667" s="376"/>
    </row>
    <row r="64668" spans="1:100">
      <c r="A64668" s="374"/>
      <c r="C64668" s="374"/>
      <c r="CV64668" s="376"/>
    </row>
    <row r="64669" spans="1:100">
      <c r="A64669" s="374"/>
      <c r="C64669" s="374"/>
      <c r="CV64669" s="376"/>
    </row>
    <row r="64670" spans="1:100">
      <c r="A64670" s="374"/>
      <c r="C64670" s="374"/>
      <c r="CV64670" s="376"/>
    </row>
    <row r="64671" spans="1:100">
      <c r="A64671" s="374"/>
      <c r="C64671" s="374"/>
      <c r="CV64671" s="376"/>
    </row>
    <row r="64672" spans="1:100">
      <c r="A64672" s="374"/>
      <c r="C64672" s="374"/>
      <c r="CV64672" s="376"/>
    </row>
    <row r="64673" spans="1:100">
      <c r="A64673" s="374"/>
      <c r="C64673" s="374"/>
      <c r="CV64673" s="376"/>
    </row>
    <row r="64674" spans="1:100">
      <c r="A64674" s="374"/>
      <c r="C64674" s="374"/>
      <c r="CV64674" s="376"/>
    </row>
    <row r="64675" spans="1:100">
      <c r="A64675" s="374"/>
      <c r="C64675" s="374"/>
      <c r="CV64675" s="376"/>
    </row>
    <row r="64676" spans="1:100">
      <c r="A64676" s="374"/>
      <c r="C64676" s="374"/>
      <c r="CV64676" s="376"/>
    </row>
    <row r="64677" spans="1:100">
      <c r="A64677" s="374"/>
      <c r="C64677" s="374"/>
      <c r="CV64677" s="376"/>
    </row>
    <row r="64678" spans="1:100">
      <c r="A64678" s="374"/>
      <c r="C64678" s="374"/>
      <c r="CV64678" s="376"/>
    </row>
    <row r="64679" spans="1:100">
      <c r="A64679" s="374"/>
      <c r="C64679" s="374"/>
      <c r="CV64679" s="376"/>
    </row>
    <row r="64680" spans="1:100">
      <c r="A64680" s="374"/>
      <c r="C64680" s="374"/>
      <c r="CV64680" s="376"/>
    </row>
    <row r="64681" spans="1:100">
      <c r="A64681" s="374"/>
      <c r="C64681" s="374"/>
      <c r="CV64681" s="376"/>
    </row>
    <row r="64682" spans="1:100">
      <c r="A64682" s="374"/>
      <c r="C64682" s="374"/>
      <c r="CV64682" s="376"/>
    </row>
    <row r="64683" spans="1:100">
      <c r="A64683" s="374"/>
      <c r="C64683" s="374"/>
      <c r="CV64683" s="376"/>
    </row>
    <row r="64684" spans="1:100">
      <c r="A64684" s="374"/>
      <c r="C64684" s="374"/>
      <c r="CV64684" s="376"/>
    </row>
    <row r="64685" spans="1:100">
      <c r="A64685" s="374"/>
      <c r="C64685" s="374"/>
      <c r="CV64685" s="376"/>
    </row>
    <row r="64686" spans="1:100">
      <c r="A64686" s="374"/>
      <c r="C64686" s="374"/>
      <c r="CV64686" s="376"/>
    </row>
    <row r="64687" spans="1:100">
      <c r="A64687" s="374"/>
      <c r="C64687" s="374"/>
      <c r="CV64687" s="376"/>
    </row>
    <row r="64688" spans="1:100">
      <c r="A64688" s="374"/>
      <c r="C64688" s="374"/>
      <c r="CV64688" s="376"/>
    </row>
    <row r="64689" spans="1:100">
      <c r="A64689" s="374"/>
      <c r="C64689" s="374"/>
      <c r="CV64689" s="376"/>
    </row>
    <row r="64690" spans="1:100">
      <c r="A64690" s="374"/>
      <c r="C64690" s="374"/>
      <c r="CV64690" s="376"/>
    </row>
    <row r="64691" spans="1:100">
      <c r="A64691" s="374"/>
      <c r="C64691" s="374"/>
      <c r="CV64691" s="376"/>
    </row>
    <row r="64692" spans="1:100">
      <c r="A64692" s="374"/>
      <c r="C64692" s="374"/>
      <c r="CV64692" s="376"/>
    </row>
    <row r="64693" spans="1:100">
      <c r="A64693" s="374"/>
      <c r="C64693" s="374"/>
      <c r="CV64693" s="376"/>
    </row>
    <row r="64694" spans="1:100">
      <c r="A64694" s="374"/>
      <c r="C64694" s="374"/>
      <c r="CV64694" s="376"/>
    </row>
    <row r="64695" spans="1:100">
      <c r="A64695" s="374"/>
      <c r="C64695" s="374"/>
      <c r="CV64695" s="376"/>
    </row>
    <row r="64696" spans="1:100">
      <c r="A64696" s="374"/>
      <c r="C64696" s="374"/>
      <c r="CV64696" s="376"/>
    </row>
    <row r="64697" spans="1:100">
      <c r="A64697" s="374"/>
      <c r="C64697" s="374"/>
      <c r="CV64697" s="376"/>
    </row>
    <row r="64698" spans="1:100">
      <c r="A64698" s="374"/>
      <c r="C64698" s="374"/>
      <c r="CV64698" s="376"/>
    </row>
    <row r="64699" spans="1:100">
      <c r="A64699" s="374"/>
      <c r="C64699" s="374"/>
      <c r="CV64699" s="376"/>
    </row>
    <row r="64700" spans="1:100">
      <c r="A64700" s="374"/>
      <c r="C64700" s="374"/>
      <c r="CV64700" s="376"/>
    </row>
    <row r="64701" spans="1:100">
      <c r="A64701" s="374"/>
      <c r="C64701" s="374"/>
      <c r="CV64701" s="376"/>
    </row>
    <row r="64702" spans="1:100">
      <c r="A64702" s="374"/>
      <c r="C64702" s="374"/>
      <c r="CV64702" s="376"/>
    </row>
    <row r="64703" spans="1:100">
      <c r="A64703" s="374"/>
      <c r="C64703" s="374"/>
      <c r="CV64703" s="376"/>
    </row>
    <row r="64704" spans="1:100">
      <c r="A64704" s="374"/>
      <c r="C64704" s="374"/>
      <c r="CV64704" s="376"/>
    </row>
    <row r="64705" spans="1:100">
      <c r="A64705" s="374"/>
      <c r="C64705" s="374"/>
      <c r="CV64705" s="376"/>
    </row>
    <row r="64706" spans="1:100">
      <c r="A64706" s="374"/>
      <c r="C64706" s="374"/>
      <c r="CV64706" s="376"/>
    </row>
    <row r="64707" spans="1:100">
      <c r="A64707" s="374"/>
      <c r="C64707" s="374"/>
      <c r="CV64707" s="376"/>
    </row>
    <row r="64708" spans="1:100">
      <c r="A64708" s="374"/>
      <c r="C64708" s="374"/>
      <c r="CV64708" s="376"/>
    </row>
    <row r="64709" spans="1:100">
      <c r="A64709" s="374"/>
      <c r="C64709" s="374"/>
      <c r="CV64709" s="376"/>
    </row>
    <row r="64710" spans="1:100">
      <c r="A64710" s="374"/>
      <c r="C64710" s="374"/>
      <c r="CV64710" s="376"/>
    </row>
    <row r="64711" spans="1:100">
      <c r="A64711" s="374"/>
      <c r="C64711" s="374"/>
      <c r="CV64711" s="376"/>
    </row>
    <row r="64712" spans="1:100">
      <c r="A64712" s="374"/>
      <c r="C64712" s="374"/>
      <c r="CV64712" s="376"/>
    </row>
    <row r="64713" spans="1:100">
      <c r="A64713" s="374"/>
      <c r="C64713" s="374"/>
      <c r="CV64713" s="376"/>
    </row>
    <row r="64714" spans="1:100">
      <c r="A64714" s="374"/>
      <c r="C64714" s="374"/>
      <c r="CV64714" s="376"/>
    </row>
    <row r="64715" spans="1:100">
      <c r="A64715" s="374"/>
      <c r="C64715" s="374"/>
      <c r="CV64715" s="376"/>
    </row>
    <row r="64716" spans="1:100">
      <c r="A64716" s="374"/>
      <c r="C64716" s="374"/>
      <c r="CV64716" s="376"/>
    </row>
    <row r="64717" spans="1:100">
      <c r="A64717" s="374"/>
      <c r="C64717" s="374"/>
      <c r="CV64717" s="376"/>
    </row>
    <row r="64718" spans="1:100">
      <c r="A64718" s="374"/>
      <c r="C64718" s="374"/>
      <c r="CV64718" s="376"/>
    </row>
    <row r="64719" spans="1:100">
      <c r="A64719" s="374"/>
      <c r="C64719" s="374"/>
      <c r="CV64719" s="376"/>
    </row>
    <row r="64720" spans="1:100">
      <c r="A64720" s="374"/>
      <c r="C64720" s="374"/>
      <c r="CV64720" s="376"/>
    </row>
    <row r="64721" spans="1:100">
      <c r="A64721" s="374"/>
      <c r="C64721" s="374"/>
      <c r="CV64721" s="376"/>
    </row>
    <row r="64722" spans="1:100">
      <c r="A64722" s="374"/>
      <c r="C64722" s="374"/>
      <c r="CV64722" s="376"/>
    </row>
    <row r="64723" spans="1:100">
      <c r="A64723" s="374"/>
      <c r="C64723" s="374"/>
      <c r="CV64723" s="376"/>
    </row>
    <row r="64724" spans="1:100">
      <c r="A64724" s="374"/>
      <c r="C64724" s="374"/>
      <c r="CV64724" s="376"/>
    </row>
    <row r="64725" spans="1:100">
      <c r="A64725" s="374"/>
      <c r="C64725" s="374"/>
      <c r="CV64725" s="376"/>
    </row>
    <row r="64726" spans="1:100">
      <c r="A64726" s="374"/>
      <c r="C64726" s="374"/>
      <c r="CV64726" s="376"/>
    </row>
    <row r="64727" spans="1:100">
      <c r="A64727" s="374"/>
      <c r="C64727" s="374"/>
      <c r="CV64727" s="376"/>
    </row>
    <row r="64728" spans="1:100">
      <c r="A64728" s="374"/>
      <c r="C64728" s="374"/>
      <c r="CV64728" s="376"/>
    </row>
    <row r="64729" spans="1:100">
      <c r="A64729" s="374"/>
      <c r="C64729" s="374"/>
      <c r="CV64729" s="376"/>
    </row>
    <row r="64730" spans="1:100">
      <c r="A64730" s="374"/>
      <c r="C64730" s="374"/>
      <c r="CV64730" s="376"/>
    </row>
    <row r="64731" spans="1:100">
      <c r="A64731" s="374"/>
      <c r="C64731" s="374"/>
      <c r="CV64731" s="376"/>
    </row>
    <row r="64732" spans="1:100">
      <c r="A64732" s="374"/>
      <c r="C64732" s="374"/>
      <c r="CV64732" s="376"/>
    </row>
    <row r="64733" spans="1:100">
      <c r="A64733" s="374"/>
      <c r="C64733" s="374"/>
      <c r="CV64733" s="376"/>
    </row>
    <row r="64734" spans="1:100">
      <c r="A64734" s="374"/>
      <c r="C64734" s="374"/>
      <c r="CV64734" s="376"/>
    </row>
    <row r="64735" spans="1:100">
      <c r="A64735" s="374"/>
      <c r="C64735" s="374"/>
      <c r="CV64735" s="376"/>
    </row>
    <row r="64736" spans="1:100">
      <c r="A64736" s="374"/>
      <c r="C64736" s="374"/>
      <c r="CV64736" s="376"/>
    </row>
    <row r="64737" spans="1:100">
      <c r="A64737" s="374"/>
      <c r="C64737" s="374"/>
      <c r="CV64737" s="376"/>
    </row>
    <row r="64738" spans="1:100">
      <c r="A64738" s="374"/>
      <c r="C64738" s="374"/>
      <c r="CV64738" s="376"/>
    </row>
    <row r="64739" spans="1:100">
      <c r="A64739" s="374"/>
      <c r="C64739" s="374"/>
      <c r="CV64739" s="376"/>
    </row>
    <row r="64740" spans="1:100">
      <c r="A64740" s="374"/>
      <c r="C64740" s="374"/>
      <c r="CV64740" s="376"/>
    </row>
    <row r="64741" spans="1:100">
      <c r="A64741" s="374"/>
      <c r="C64741" s="374"/>
      <c r="CV64741" s="376"/>
    </row>
    <row r="64742" spans="1:100">
      <c r="A64742" s="374"/>
      <c r="C64742" s="374"/>
      <c r="CV64742" s="376"/>
    </row>
    <row r="64743" spans="1:100">
      <c r="A64743" s="374"/>
      <c r="C64743" s="374"/>
      <c r="CV64743" s="376"/>
    </row>
    <row r="64744" spans="1:100">
      <c r="A64744" s="374"/>
      <c r="C64744" s="374"/>
      <c r="CV64744" s="376"/>
    </row>
    <row r="64745" spans="1:100">
      <c r="A64745" s="374"/>
      <c r="C64745" s="374"/>
      <c r="CV64745" s="376"/>
    </row>
    <row r="64746" spans="1:100">
      <c r="A64746" s="374"/>
      <c r="C64746" s="374"/>
      <c r="CV64746" s="376"/>
    </row>
    <row r="64747" spans="1:100">
      <c r="A64747" s="374"/>
      <c r="C64747" s="374"/>
      <c r="CV64747" s="376"/>
    </row>
    <row r="64748" spans="1:100">
      <c r="A64748" s="374"/>
      <c r="C64748" s="374"/>
      <c r="CV64748" s="376"/>
    </row>
    <row r="64749" spans="1:100">
      <c r="A64749" s="374"/>
      <c r="C64749" s="374"/>
      <c r="CV64749" s="376"/>
    </row>
    <row r="64750" spans="1:100">
      <c r="A64750" s="374"/>
      <c r="C64750" s="374"/>
      <c r="CV64750" s="376"/>
    </row>
    <row r="64751" spans="1:100">
      <c r="A64751" s="374"/>
      <c r="C64751" s="374"/>
      <c r="CV64751" s="376"/>
    </row>
    <row r="64752" spans="1:100">
      <c r="A64752" s="374"/>
      <c r="C64752" s="374"/>
      <c r="CV64752" s="376"/>
    </row>
    <row r="64753" spans="1:100">
      <c r="A64753" s="374"/>
      <c r="C64753" s="374"/>
      <c r="CV64753" s="376"/>
    </row>
    <row r="64754" spans="1:100">
      <c r="A64754" s="374"/>
      <c r="C64754" s="374"/>
      <c r="CV64754" s="376"/>
    </row>
    <row r="64755" spans="1:100">
      <c r="A64755" s="374"/>
      <c r="C64755" s="374"/>
      <c r="CV64755" s="376"/>
    </row>
    <row r="64756" spans="1:100">
      <c r="A64756" s="374"/>
      <c r="C64756" s="374"/>
      <c r="CV64756" s="376"/>
    </row>
    <row r="64757" spans="1:100">
      <c r="A64757" s="374"/>
      <c r="C64757" s="374"/>
      <c r="CV64757" s="376"/>
    </row>
    <row r="64758" spans="1:100">
      <c r="A64758" s="374"/>
      <c r="C64758" s="374"/>
      <c r="CV64758" s="376"/>
    </row>
    <row r="64759" spans="1:100">
      <c r="A64759" s="374"/>
      <c r="C64759" s="374"/>
      <c r="CV64759" s="376"/>
    </row>
    <row r="64760" spans="1:100">
      <c r="A64760" s="374"/>
      <c r="C64760" s="374"/>
      <c r="CV64760" s="376"/>
    </row>
    <row r="64761" spans="1:100">
      <c r="A64761" s="374"/>
      <c r="C64761" s="374"/>
      <c r="CV64761" s="376"/>
    </row>
    <row r="64762" spans="1:100">
      <c r="A64762" s="374"/>
      <c r="C64762" s="374"/>
      <c r="CV64762" s="376"/>
    </row>
    <row r="64763" spans="1:100">
      <c r="A64763" s="374"/>
      <c r="C64763" s="374"/>
      <c r="CV64763" s="376"/>
    </row>
    <row r="64764" spans="1:100">
      <c r="A64764" s="374"/>
      <c r="C64764" s="374"/>
      <c r="CV64764" s="376"/>
    </row>
    <row r="64765" spans="1:100">
      <c r="A64765" s="374"/>
      <c r="C64765" s="374"/>
      <c r="CV64765" s="376"/>
    </row>
    <row r="64766" spans="1:100">
      <c r="A64766" s="374"/>
      <c r="C64766" s="374"/>
      <c r="CV64766" s="376"/>
    </row>
    <row r="64767" spans="1:100">
      <c r="A64767" s="374"/>
      <c r="C64767" s="374"/>
      <c r="CV64767" s="376"/>
    </row>
    <row r="64768" spans="1:100">
      <c r="A64768" s="374"/>
      <c r="C64768" s="374"/>
      <c r="CV64768" s="376"/>
    </row>
    <row r="64769" spans="1:100">
      <c r="A64769" s="374"/>
      <c r="C64769" s="374"/>
      <c r="CV64769" s="376"/>
    </row>
    <row r="64770" spans="1:100">
      <c r="A64770" s="374"/>
      <c r="C64770" s="374"/>
      <c r="CV64770" s="376"/>
    </row>
    <row r="64771" spans="1:100">
      <c r="A64771" s="374"/>
      <c r="C64771" s="374"/>
      <c r="CV64771" s="376"/>
    </row>
    <row r="64772" spans="1:100">
      <c r="A64772" s="374"/>
      <c r="C64772" s="374"/>
      <c r="CV64772" s="376"/>
    </row>
    <row r="64773" spans="1:100">
      <c r="A64773" s="374"/>
      <c r="C64773" s="374"/>
      <c r="CV64773" s="376"/>
    </row>
    <row r="64774" spans="1:100">
      <c r="A64774" s="374"/>
      <c r="C64774" s="374"/>
      <c r="CV64774" s="376"/>
    </row>
    <row r="64775" spans="1:100">
      <c r="A64775" s="374"/>
      <c r="C64775" s="374"/>
      <c r="CV64775" s="376"/>
    </row>
    <row r="64776" spans="1:100">
      <c r="A64776" s="374"/>
      <c r="C64776" s="374"/>
      <c r="CV64776" s="376"/>
    </row>
    <row r="64777" spans="1:100">
      <c r="A64777" s="374"/>
      <c r="C64777" s="374"/>
      <c r="CV64777" s="376"/>
    </row>
    <row r="64778" spans="1:100">
      <c r="A64778" s="374"/>
      <c r="C64778" s="374"/>
      <c r="CV64778" s="376"/>
    </row>
    <row r="64779" spans="1:100">
      <c r="A64779" s="374"/>
      <c r="C64779" s="374"/>
      <c r="CV64779" s="376"/>
    </row>
    <row r="64780" spans="1:100">
      <c r="A64780" s="374"/>
      <c r="C64780" s="374"/>
      <c r="CV64780" s="376"/>
    </row>
    <row r="64781" spans="1:100">
      <c r="A64781" s="374"/>
      <c r="C64781" s="374"/>
      <c r="CV64781" s="376"/>
    </row>
    <row r="64782" spans="1:100">
      <c r="A64782" s="374"/>
      <c r="C64782" s="374"/>
      <c r="CV64782" s="376"/>
    </row>
    <row r="64783" spans="1:100">
      <c r="A64783" s="374"/>
      <c r="C64783" s="374"/>
      <c r="CV64783" s="376"/>
    </row>
    <row r="64784" spans="1:100">
      <c r="A64784" s="374"/>
      <c r="C64784" s="374"/>
      <c r="CV64784" s="376"/>
    </row>
    <row r="64785" spans="1:100">
      <c r="A64785" s="374"/>
      <c r="C64785" s="374"/>
      <c r="CV64785" s="376"/>
    </row>
    <row r="64786" spans="1:100">
      <c r="A64786" s="374"/>
      <c r="C64786" s="374"/>
      <c r="CV64786" s="376"/>
    </row>
    <row r="64787" spans="1:100">
      <c r="A64787" s="374"/>
      <c r="C64787" s="374"/>
      <c r="CV64787" s="376"/>
    </row>
    <row r="64788" spans="1:100">
      <c r="A64788" s="374"/>
      <c r="C64788" s="374"/>
      <c r="CV64788" s="376"/>
    </row>
    <row r="64789" spans="1:100">
      <c r="A64789" s="374"/>
      <c r="C64789" s="374"/>
      <c r="CV64789" s="376"/>
    </row>
    <row r="64790" spans="1:100">
      <c r="A64790" s="374"/>
      <c r="C64790" s="374"/>
      <c r="CV64790" s="376"/>
    </row>
    <row r="64791" spans="1:100">
      <c r="A64791" s="374"/>
      <c r="C64791" s="374"/>
      <c r="CV64791" s="376"/>
    </row>
    <row r="64792" spans="1:100">
      <c r="A64792" s="374"/>
      <c r="C64792" s="374"/>
      <c r="CV64792" s="376"/>
    </row>
    <row r="64793" spans="1:100">
      <c r="A64793" s="374"/>
      <c r="C64793" s="374"/>
      <c r="CV64793" s="376"/>
    </row>
    <row r="64794" spans="1:100">
      <c r="A64794" s="374"/>
      <c r="C64794" s="374"/>
      <c r="CV64794" s="376"/>
    </row>
    <row r="64795" spans="1:100">
      <c r="A64795" s="374"/>
      <c r="C64795" s="374"/>
      <c r="CV64795" s="376"/>
    </row>
    <row r="64796" spans="1:100">
      <c r="A64796" s="374"/>
      <c r="C64796" s="374"/>
      <c r="CV64796" s="376"/>
    </row>
    <row r="64797" spans="1:100">
      <c r="A64797" s="374"/>
      <c r="C64797" s="374"/>
      <c r="CV64797" s="376"/>
    </row>
    <row r="64798" spans="1:100">
      <c r="A64798" s="374"/>
      <c r="C64798" s="374"/>
      <c r="CV64798" s="376"/>
    </row>
    <row r="64799" spans="1:100">
      <c r="A64799" s="374"/>
      <c r="C64799" s="374"/>
      <c r="CV64799" s="376"/>
    </row>
    <row r="64800" spans="1:100">
      <c r="A64800" s="374"/>
      <c r="C64800" s="374"/>
      <c r="CV64800" s="376"/>
    </row>
    <row r="64801" spans="1:100">
      <c r="A64801" s="374"/>
      <c r="C64801" s="374"/>
      <c r="CV64801" s="376"/>
    </row>
    <row r="64802" spans="1:100">
      <c r="A64802" s="374"/>
      <c r="C64802" s="374"/>
      <c r="CV64802" s="376"/>
    </row>
    <row r="64803" spans="1:100">
      <c r="A64803" s="374"/>
      <c r="C64803" s="374"/>
      <c r="CV64803" s="376"/>
    </row>
    <row r="64804" spans="1:100">
      <c r="A64804" s="374"/>
      <c r="C64804" s="374"/>
      <c r="CV64804" s="376"/>
    </row>
    <row r="64805" spans="1:100">
      <c r="A64805" s="374"/>
      <c r="C64805" s="374"/>
      <c r="CV64805" s="376"/>
    </row>
    <row r="64806" spans="1:100">
      <c r="A64806" s="374"/>
      <c r="C64806" s="374"/>
      <c r="CV64806" s="376"/>
    </row>
    <row r="64807" spans="1:100">
      <c r="A64807" s="374"/>
      <c r="C64807" s="374"/>
      <c r="CV64807" s="376"/>
    </row>
    <row r="64808" spans="1:100">
      <c r="A64808" s="374"/>
      <c r="C64808" s="374"/>
      <c r="CV64808" s="376"/>
    </row>
    <row r="64809" spans="1:100">
      <c r="A64809" s="374"/>
      <c r="C64809" s="374"/>
      <c r="CV64809" s="376"/>
    </row>
    <row r="64810" spans="1:100">
      <c r="A64810" s="374"/>
      <c r="C64810" s="374"/>
      <c r="CV64810" s="376"/>
    </row>
    <row r="64811" spans="1:100">
      <c r="A64811" s="374"/>
      <c r="C64811" s="374"/>
      <c r="CV64811" s="376"/>
    </row>
    <row r="64812" spans="1:100">
      <c r="A64812" s="374"/>
      <c r="C64812" s="374"/>
      <c r="CV64812" s="376"/>
    </row>
    <row r="64813" spans="1:100">
      <c r="A64813" s="374"/>
      <c r="C64813" s="374"/>
      <c r="CV64813" s="376"/>
    </row>
    <row r="64814" spans="1:100">
      <c r="A64814" s="374"/>
      <c r="C64814" s="374"/>
      <c r="CV64814" s="376"/>
    </row>
    <row r="64815" spans="1:100">
      <c r="A64815" s="374"/>
      <c r="C64815" s="374"/>
      <c r="CV64815" s="376"/>
    </row>
    <row r="64816" spans="1:100">
      <c r="A64816" s="374"/>
      <c r="C64816" s="374"/>
      <c r="CV64816" s="376"/>
    </row>
    <row r="64817" spans="1:100">
      <c r="A64817" s="374"/>
      <c r="C64817" s="374"/>
      <c r="CV64817" s="376"/>
    </row>
    <row r="64818" spans="1:100">
      <c r="A64818" s="374"/>
      <c r="C64818" s="374"/>
      <c r="CV64818" s="376"/>
    </row>
    <row r="64819" spans="1:100">
      <c r="A64819" s="374"/>
      <c r="C64819" s="374"/>
      <c r="CV64819" s="376"/>
    </row>
    <row r="64820" spans="1:100">
      <c r="A64820" s="374"/>
      <c r="C64820" s="374"/>
      <c r="CV64820" s="376"/>
    </row>
    <row r="64821" spans="1:100">
      <c r="A64821" s="374"/>
      <c r="C64821" s="374"/>
      <c r="CV64821" s="376"/>
    </row>
    <row r="64822" spans="1:100">
      <c r="A64822" s="374"/>
      <c r="C64822" s="374"/>
      <c r="CV64822" s="376"/>
    </row>
    <row r="64823" spans="1:100">
      <c r="A64823" s="374"/>
      <c r="C64823" s="374"/>
      <c r="CV64823" s="376"/>
    </row>
    <row r="64824" spans="1:100">
      <c r="A64824" s="374"/>
      <c r="C64824" s="374"/>
      <c r="CV64824" s="376"/>
    </row>
    <row r="64825" spans="1:100">
      <c r="A64825" s="374"/>
      <c r="C64825" s="374"/>
      <c r="CV64825" s="376"/>
    </row>
    <row r="64826" spans="1:100">
      <c r="A64826" s="374"/>
      <c r="C64826" s="374"/>
      <c r="CV64826" s="376"/>
    </row>
    <row r="64827" spans="1:100">
      <c r="A64827" s="374"/>
      <c r="C64827" s="374"/>
      <c r="CV64827" s="376"/>
    </row>
    <row r="64828" spans="1:100">
      <c r="A64828" s="374"/>
      <c r="C64828" s="374"/>
      <c r="CV64828" s="376"/>
    </row>
    <row r="64829" spans="1:100">
      <c r="A64829" s="374"/>
      <c r="C64829" s="374"/>
      <c r="CV64829" s="376"/>
    </row>
    <row r="64830" spans="1:100">
      <c r="A64830" s="374"/>
      <c r="C64830" s="374"/>
      <c r="CV64830" s="376"/>
    </row>
    <row r="64831" spans="1:100">
      <c r="A64831" s="374"/>
      <c r="C64831" s="374"/>
      <c r="CV64831" s="376"/>
    </row>
    <row r="64832" spans="1:100">
      <c r="A64832" s="374"/>
      <c r="C64832" s="374"/>
      <c r="CV64832" s="376"/>
    </row>
    <row r="64833" spans="1:100">
      <c r="A64833" s="374"/>
      <c r="C64833" s="374"/>
      <c r="CV64833" s="376"/>
    </row>
    <row r="64834" spans="1:100">
      <c r="A64834" s="374"/>
      <c r="C64834" s="374"/>
      <c r="CV64834" s="376"/>
    </row>
    <row r="64835" spans="1:100">
      <c r="A64835" s="374"/>
      <c r="C64835" s="374"/>
      <c r="CV64835" s="376"/>
    </row>
    <row r="64836" spans="1:100">
      <c r="A64836" s="374"/>
      <c r="C64836" s="374"/>
      <c r="CV64836" s="376"/>
    </row>
    <row r="64837" spans="1:100">
      <c r="A64837" s="374"/>
      <c r="C64837" s="374"/>
      <c r="CV64837" s="376"/>
    </row>
    <row r="64838" spans="1:100">
      <c r="A64838" s="374"/>
      <c r="C64838" s="374"/>
      <c r="CV64838" s="376"/>
    </row>
    <row r="64839" spans="1:100">
      <c r="A64839" s="374"/>
      <c r="C64839" s="374"/>
      <c r="CV64839" s="376"/>
    </row>
    <row r="64840" spans="1:100">
      <c r="A64840" s="374"/>
      <c r="C64840" s="374"/>
      <c r="CV64840" s="376"/>
    </row>
    <row r="64841" spans="1:100">
      <c r="A64841" s="374"/>
      <c r="C64841" s="374"/>
      <c r="CV64841" s="376"/>
    </row>
    <row r="64842" spans="1:100">
      <c r="A64842" s="374"/>
      <c r="C64842" s="374"/>
      <c r="CV64842" s="376"/>
    </row>
    <row r="64843" spans="1:100">
      <c r="A64843" s="374"/>
      <c r="C64843" s="374"/>
      <c r="CV64843" s="376"/>
    </row>
    <row r="64844" spans="1:100">
      <c r="A64844" s="374"/>
      <c r="C64844" s="374"/>
      <c r="CV64844" s="376"/>
    </row>
    <row r="64845" spans="1:100">
      <c r="A64845" s="374"/>
      <c r="C64845" s="374"/>
      <c r="CV64845" s="376"/>
    </row>
    <row r="64846" spans="1:100">
      <c r="A64846" s="374"/>
      <c r="C64846" s="374"/>
      <c r="CV64846" s="376"/>
    </row>
    <row r="64847" spans="1:100">
      <c r="A64847" s="374"/>
      <c r="C64847" s="374"/>
      <c r="CV64847" s="376"/>
    </row>
    <row r="64848" spans="1:100">
      <c r="A64848" s="374"/>
      <c r="C64848" s="374"/>
      <c r="CV64848" s="376"/>
    </row>
    <row r="64849" spans="1:100">
      <c r="A64849" s="374"/>
      <c r="C64849" s="374"/>
      <c r="CV64849" s="376"/>
    </row>
    <row r="64850" spans="1:100">
      <c r="A64850" s="374"/>
      <c r="C64850" s="374"/>
      <c r="CV64850" s="376"/>
    </row>
    <row r="64851" spans="1:100">
      <c r="A64851" s="374"/>
      <c r="C64851" s="374"/>
      <c r="CV64851" s="376"/>
    </row>
    <row r="64852" spans="1:100">
      <c r="A64852" s="374"/>
      <c r="C64852" s="374"/>
      <c r="CV64852" s="376"/>
    </row>
    <row r="64853" spans="1:100">
      <c r="A64853" s="374"/>
      <c r="C64853" s="374"/>
      <c r="CV64853" s="376"/>
    </row>
    <row r="64854" spans="1:100">
      <c r="A64854" s="374"/>
      <c r="C64854" s="374"/>
      <c r="CV64854" s="376"/>
    </row>
    <row r="64855" spans="1:100">
      <c r="A64855" s="374"/>
      <c r="C64855" s="374"/>
      <c r="CV64855" s="376"/>
    </row>
    <row r="64856" spans="1:100">
      <c r="A64856" s="374"/>
      <c r="C64856" s="374"/>
      <c r="CV64856" s="376"/>
    </row>
    <row r="64857" spans="1:100">
      <c r="A64857" s="374"/>
      <c r="C64857" s="374"/>
      <c r="CV64857" s="376"/>
    </row>
    <row r="64858" spans="1:100">
      <c r="A64858" s="374"/>
      <c r="C64858" s="374"/>
      <c r="CV64858" s="376"/>
    </row>
    <row r="64859" spans="1:100">
      <c r="A64859" s="374"/>
      <c r="C64859" s="374"/>
      <c r="CV64859" s="376"/>
    </row>
    <row r="64860" spans="1:100">
      <c r="A64860" s="374"/>
      <c r="C64860" s="374"/>
      <c r="CV64860" s="376"/>
    </row>
    <row r="64861" spans="1:100">
      <c r="A64861" s="374"/>
      <c r="C64861" s="374"/>
      <c r="CV64861" s="376"/>
    </row>
    <row r="64862" spans="1:100">
      <c r="A64862" s="374"/>
      <c r="C64862" s="374"/>
      <c r="CV64862" s="376"/>
    </row>
    <row r="64863" spans="1:100">
      <c r="A64863" s="374"/>
      <c r="C64863" s="374"/>
      <c r="CV64863" s="376"/>
    </row>
    <row r="64864" spans="1:100">
      <c r="A64864" s="374"/>
      <c r="C64864" s="374"/>
      <c r="CV64864" s="376"/>
    </row>
    <row r="64865" spans="1:100">
      <c r="A64865" s="374"/>
      <c r="C64865" s="374"/>
      <c r="CV64865" s="376"/>
    </row>
    <row r="64866" spans="1:100">
      <c r="A64866" s="374"/>
      <c r="C64866" s="374"/>
      <c r="CV64866" s="376"/>
    </row>
    <row r="64867" spans="1:100">
      <c r="A64867" s="374"/>
      <c r="C64867" s="374"/>
      <c r="CV64867" s="376"/>
    </row>
    <row r="64868" spans="1:100">
      <c r="A64868" s="374"/>
      <c r="C64868" s="374"/>
      <c r="CV64868" s="376"/>
    </row>
    <row r="64869" spans="1:100">
      <c r="A64869" s="374"/>
      <c r="C64869" s="374"/>
      <c r="CV64869" s="376"/>
    </row>
    <row r="64870" spans="1:100">
      <c r="A64870" s="374"/>
      <c r="C64870" s="374"/>
      <c r="CV64870" s="376"/>
    </row>
    <row r="64871" spans="1:100">
      <c r="A64871" s="374"/>
      <c r="C64871" s="374"/>
      <c r="CV64871" s="376"/>
    </row>
    <row r="64872" spans="1:100">
      <c r="A64872" s="374"/>
      <c r="C64872" s="374"/>
      <c r="CV64872" s="376"/>
    </row>
    <row r="64873" spans="1:100">
      <c r="A64873" s="374"/>
      <c r="C64873" s="374"/>
      <c r="CV64873" s="376"/>
    </row>
    <row r="64874" spans="1:100">
      <c r="A64874" s="374"/>
      <c r="C64874" s="374"/>
      <c r="CV64874" s="376"/>
    </row>
    <row r="64875" spans="1:100">
      <c r="A64875" s="374"/>
      <c r="C64875" s="374"/>
      <c r="CV64875" s="376"/>
    </row>
    <row r="64876" spans="1:100">
      <c r="A64876" s="374"/>
      <c r="C64876" s="374"/>
      <c r="CV64876" s="376"/>
    </row>
    <row r="64877" spans="1:100">
      <c r="A64877" s="374"/>
      <c r="C64877" s="374"/>
      <c r="CV64877" s="376"/>
    </row>
    <row r="64878" spans="1:100">
      <c r="A64878" s="374"/>
      <c r="C64878" s="374"/>
      <c r="CV64878" s="376"/>
    </row>
    <row r="64879" spans="1:100">
      <c r="A64879" s="374"/>
      <c r="C64879" s="374"/>
      <c r="CV64879" s="376"/>
    </row>
    <row r="64880" spans="1:100">
      <c r="A64880" s="374"/>
      <c r="C64880" s="374"/>
      <c r="CV64880" s="376"/>
    </row>
    <row r="64881" spans="1:100">
      <c r="A64881" s="374"/>
      <c r="C64881" s="374"/>
      <c r="CV64881" s="376"/>
    </row>
    <row r="64882" spans="1:100">
      <c r="A64882" s="374"/>
      <c r="C64882" s="374"/>
      <c r="CV64882" s="376"/>
    </row>
    <row r="64883" spans="1:100">
      <c r="A64883" s="374"/>
      <c r="C64883" s="374"/>
      <c r="CV64883" s="376"/>
    </row>
    <row r="64884" spans="1:100">
      <c r="A64884" s="374"/>
      <c r="C64884" s="374"/>
      <c r="CV64884" s="376"/>
    </row>
    <row r="64885" spans="1:100">
      <c r="A64885" s="374"/>
      <c r="C64885" s="374"/>
      <c r="CV64885" s="376"/>
    </row>
    <row r="64886" spans="1:100">
      <c r="A64886" s="374"/>
      <c r="C64886" s="374"/>
      <c r="CV64886" s="376"/>
    </row>
    <row r="64887" spans="1:100">
      <c r="A64887" s="374"/>
      <c r="C64887" s="374"/>
      <c r="CV64887" s="376"/>
    </row>
    <row r="64888" spans="1:100">
      <c r="A64888" s="374"/>
      <c r="C64888" s="374"/>
      <c r="CV64888" s="376"/>
    </row>
    <row r="64889" spans="1:100">
      <c r="A64889" s="374"/>
      <c r="C64889" s="374"/>
      <c r="CV64889" s="376"/>
    </row>
    <row r="64890" spans="1:100">
      <c r="A64890" s="374"/>
      <c r="C64890" s="374"/>
      <c r="CV64890" s="376"/>
    </row>
    <row r="64891" spans="1:100">
      <c r="A64891" s="374"/>
      <c r="C64891" s="374"/>
      <c r="CV64891" s="376"/>
    </row>
    <row r="64892" spans="1:100">
      <c r="A64892" s="374"/>
      <c r="C64892" s="374"/>
      <c r="CV64892" s="376"/>
    </row>
    <row r="64893" spans="1:100">
      <c r="A64893" s="374"/>
      <c r="C64893" s="374"/>
      <c r="CV64893" s="376"/>
    </row>
    <row r="64894" spans="1:100">
      <c r="A64894" s="374"/>
      <c r="C64894" s="374"/>
      <c r="CV64894" s="376"/>
    </row>
    <row r="64895" spans="1:100">
      <c r="A64895" s="374"/>
      <c r="C64895" s="374"/>
      <c r="CV64895" s="376"/>
    </row>
    <row r="64896" spans="1:100">
      <c r="A64896" s="374"/>
      <c r="C64896" s="374"/>
      <c r="CV64896" s="376"/>
    </row>
    <row r="64897" spans="1:100">
      <c r="A64897" s="374"/>
      <c r="C64897" s="374"/>
      <c r="CV64897" s="376"/>
    </row>
    <row r="64898" spans="1:100">
      <c r="A64898" s="374"/>
      <c r="C64898" s="374"/>
      <c r="CV64898" s="376"/>
    </row>
    <row r="64899" spans="1:100">
      <c r="A64899" s="374"/>
      <c r="C64899" s="374"/>
      <c r="CV64899" s="376"/>
    </row>
    <row r="64900" spans="1:100">
      <c r="A64900" s="374"/>
      <c r="C64900" s="374"/>
      <c r="CV64900" s="376"/>
    </row>
    <row r="64901" spans="1:100">
      <c r="A64901" s="374"/>
      <c r="C64901" s="374"/>
      <c r="CV64901" s="376"/>
    </row>
    <row r="64902" spans="1:100">
      <c r="A64902" s="374"/>
      <c r="C64902" s="374"/>
      <c r="CV64902" s="376"/>
    </row>
    <row r="64903" spans="1:100">
      <c r="A64903" s="374"/>
      <c r="C64903" s="374"/>
      <c r="CV64903" s="376"/>
    </row>
    <row r="64904" spans="1:100">
      <c r="A64904" s="374"/>
      <c r="C64904" s="374"/>
      <c r="CV64904" s="376"/>
    </row>
    <row r="64905" spans="1:100">
      <c r="A64905" s="374"/>
      <c r="C64905" s="374"/>
      <c r="CV64905" s="376"/>
    </row>
    <row r="64906" spans="1:100">
      <c r="A64906" s="374"/>
      <c r="C64906" s="374"/>
      <c r="CV64906" s="376"/>
    </row>
    <row r="64907" spans="1:100">
      <c r="A64907" s="374"/>
      <c r="C64907" s="374"/>
      <c r="CV64907" s="376"/>
    </row>
    <row r="64908" spans="1:100">
      <c r="A64908" s="374"/>
      <c r="C64908" s="374"/>
      <c r="CV64908" s="376"/>
    </row>
    <row r="64909" spans="1:100">
      <c r="A64909" s="374"/>
      <c r="C64909" s="374"/>
      <c r="CV64909" s="376"/>
    </row>
    <row r="64910" spans="1:100">
      <c r="A64910" s="374"/>
      <c r="C64910" s="374"/>
      <c r="CV64910" s="376"/>
    </row>
    <row r="64911" spans="1:100">
      <c r="A64911" s="374"/>
      <c r="C64911" s="374"/>
      <c r="CV64911" s="376"/>
    </row>
    <row r="64912" spans="1:100">
      <c r="A64912" s="374"/>
      <c r="C64912" s="374"/>
      <c r="CV64912" s="376"/>
    </row>
    <row r="64913" spans="1:100">
      <c r="A64913" s="374"/>
      <c r="C64913" s="374"/>
      <c r="CV64913" s="376"/>
    </row>
    <row r="64914" spans="1:100">
      <c r="A64914" s="374"/>
      <c r="C64914" s="374"/>
      <c r="CV64914" s="376"/>
    </row>
    <row r="64915" spans="1:100">
      <c r="A64915" s="374"/>
      <c r="C64915" s="374"/>
      <c r="CV64915" s="376"/>
    </row>
    <row r="64916" spans="1:100">
      <c r="A64916" s="374"/>
      <c r="C64916" s="374"/>
      <c r="CV64916" s="376"/>
    </row>
    <row r="64917" spans="1:100">
      <c r="A64917" s="374"/>
      <c r="C64917" s="374"/>
      <c r="CV64917" s="376"/>
    </row>
    <row r="64918" spans="1:100">
      <c r="A64918" s="374"/>
      <c r="C64918" s="374"/>
      <c r="CV64918" s="376"/>
    </row>
    <row r="64919" spans="1:100">
      <c r="A64919" s="374"/>
      <c r="C64919" s="374"/>
      <c r="CV64919" s="376"/>
    </row>
    <row r="64920" spans="1:100">
      <c r="A64920" s="374"/>
      <c r="C64920" s="374"/>
      <c r="CV64920" s="376"/>
    </row>
    <row r="64921" spans="1:100">
      <c r="A64921" s="374"/>
      <c r="C64921" s="374"/>
      <c r="CV64921" s="376"/>
    </row>
    <row r="64922" spans="1:100">
      <c r="A64922" s="374"/>
      <c r="C64922" s="374"/>
      <c r="CV64922" s="376"/>
    </row>
    <row r="64923" spans="1:100">
      <c r="A64923" s="374"/>
      <c r="C64923" s="374"/>
      <c r="CV64923" s="376"/>
    </row>
    <row r="64924" spans="1:100">
      <c r="A64924" s="374"/>
      <c r="C64924" s="374"/>
      <c r="CV64924" s="376"/>
    </row>
    <row r="64925" spans="1:100">
      <c r="A64925" s="374"/>
      <c r="C64925" s="374"/>
      <c r="CV64925" s="376"/>
    </row>
    <row r="64926" spans="1:100">
      <c r="A64926" s="374"/>
      <c r="C64926" s="374"/>
      <c r="CV64926" s="376"/>
    </row>
    <row r="64927" spans="1:100">
      <c r="A64927" s="374"/>
      <c r="C64927" s="374"/>
      <c r="CV64927" s="376"/>
    </row>
    <row r="64928" spans="1:100">
      <c r="A64928" s="374"/>
      <c r="C64928" s="374"/>
      <c r="CV64928" s="376"/>
    </row>
    <row r="64929" spans="1:100">
      <c r="A64929" s="374"/>
      <c r="C64929" s="374"/>
      <c r="CV64929" s="376"/>
    </row>
    <row r="64930" spans="1:100">
      <c r="A64930" s="374"/>
      <c r="C64930" s="374"/>
      <c r="CV64930" s="376"/>
    </row>
    <row r="64931" spans="1:100">
      <c r="A64931" s="374"/>
      <c r="C64931" s="374"/>
      <c r="CV64931" s="376"/>
    </row>
    <row r="64932" spans="1:100">
      <c r="A64932" s="374"/>
      <c r="C64932" s="374"/>
      <c r="CV64932" s="376"/>
    </row>
    <row r="64933" spans="1:100">
      <c r="A64933" s="374"/>
      <c r="C64933" s="374"/>
      <c r="CV64933" s="376"/>
    </row>
    <row r="64934" spans="1:100">
      <c r="A64934" s="374"/>
      <c r="C64934" s="374"/>
      <c r="CV64934" s="376"/>
    </row>
    <row r="64935" spans="1:100">
      <c r="A64935" s="374"/>
      <c r="C64935" s="374"/>
      <c r="CV64935" s="376"/>
    </row>
    <row r="64936" spans="1:100">
      <c r="A64936" s="374"/>
      <c r="C64936" s="374"/>
      <c r="CV64936" s="376"/>
    </row>
    <row r="64937" spans="1:100">
      <c r="A64937" s="374"/>
      <c r="C64937" s="374"/>
      <c r="CV64937" s="376"/>
    </row>
    <row r="64938" spans="1:100">
      <c r="A64938" s="374"/>
      <c r="C64938" s="374"/>
      <c r="CV64938" s="376"/>
    </row>
    <row r="64939" spans="1:100">
      <c r="A64939" s="374"/>
      <c r="C64939" s="374"/>
      <c r="CV64939" s="376"/>
    </row>
    <row r="64940" spans="1:100">
      <c r="A64940" s="374"/>
      <c r="C64940" s="374"/>
      <c r="CV64940" s="376"/>
    </row>
    <row r="64941" spans="1:100">
      <c r="A64941" s="374"/>
      <c r="C64941" s="374"/>
      <c r="CV64941" s="376"/>
    </row>
    <row r="64942" spans="1:100">
      <c r="A64942" s="374"/>
      <c r="C64942" s="374"/>
      <c r="CV64942" s="376"/>
    </row>
    <row r="64943" spans="1:100">
      <c r="A64943" s="374"/>
      <c r="C64943" s="374"/>
      <c r="CV64943" s="376"/>
    </row>
    <row r="64944" spans="1:100">
      <c r="A64944" s="374"/>
      <c r="C64944" s="374"/>
      <c r="CV64944" s="376"/>
    </row>
    <row r="64945" spans="1:100">
      <c r="A64945" s="374"/>
      <c r="C64945" s="374"/>
      <c r="CV64945" s="376"/>
    </row>
    <row r="64946" spans="1:100">
      <c r="A64946" s="374"/>
      <c r="C64946" s="374"/>
      <c r="CV64946" s="376"/>
    </row>
    <row r="64947" spans="1:100">
      <c r="A64947" s="374"/>
      <c r="C64947" s="374"/>
      <c r="CV64947" s="376"/>
    </row>
    <row r="64948" spans="1:100">
      <c r="A64948" s="374"/>
      <c r="C64948" s="374"/>
      <c r="CV64948" s="376"/>
    </row>
    <row r="64949" spans="1:100">
      <c r="A64949" s="374"/>
      <c r="C64949" s="374"/>
      <c r="CV64949" s="376"/>
    </row>
    <row r="64950" spans="1:100">
      <c r="A64950" s="374"/>
      <c r="C64950" s="374"/>
      <c r="CV64950" s="376"/>
    </row>
    <row r="64951" spans="1:100">
      <c r="A64951" s="374"/>
      <c r="C64951" s="374"/>
      <c r="CV64951" s="376"/>
    </row>
    <row r="64952" spans="1:100">
      <c r="A64952" s="374"/>
      <c r="C64952" s="374"/>
      <c r="CV64952" s="376"/>
    </row>
    <row r="64953" spans="1:100">
      <c r="A64953" s="374"/>
      <c r="C64953" s="374"/>
      <c r="CV64953" s="376"/>
    </row>
    <row r="64954" spans="1:100">
      <c r="A64954" s="374"/>
      <c r="C64954" s="374"/>
      <c r="CV64954" s="376"/>
    </row>
    <row r="64955" spans="1:100">
      <c r="A64955" s="374"/>
      <c r="C64955" s="374"/>
      <c r="CV64955" s="376"/>
    </row>
    <row r="64956" spans="1:100">
      <c r="A64956" s="374"/>
      <c r="C64956" s="374"/>
      <c r="CV64956" s="376"/>
    </row>
    <row r="64957" spans="1:100">
      <c r="A64957" s="374"/>
      <c r="C64957" s="374"/>
      <c r="CV64957" s="376"/>
    </row>
    <row r="64958" spans="1:100">
      <c r="A64958" s="374"/>
      <c r="C64958" s="374"/>
      <c r="CV64958" s="376"/>
    </row>
    <row r="64959" spans="1:100">
      <c r="A64959" s="374"/>
      <c r="C64959" s="374"/>
      <c r="CV64959" s="376"/>
    </row>
    <row r="64960" spans="1:100">
      <c r="A64960" s="374"/>
      <c r="C64960" s="374"/>
      <c r="CV64960" s="376"/>
    </row>
    <row r="64961" spans="1:100">
      <c r="A64961" s="374"/>
      <c r="C64961" s="374"/>
      <c r="CV64961" s="376"/>
    </row>
    <row r="64962" spans="1:100">
      <c r="A64962" s="374"/>
      <c r="C64962" s="374"/>
      <c r="CV64962" s="376"/>
    </row>
    <row r="64963" spans="1:100">
      <c r="A64963" s="374"/>
      <c r="C64963" s="374"/>
      <c r="CV64963" s="376"/>
    </row>
    <row r="64964" spans="1:100">
      <c r="A64964" s="374"/>
      <c r="C64964" s="374"/>
      <c r="CV64964" s="376"/>
    </row>
    <row r="64965" spans="1:100">
      <c r="A64965" s="374"/>
      <c r="C64965" s="374"/>
      <c r="CV64965" s="376"/>
    </row>
    <row r="64966" spans="1:100">
      <c r="A64966" s="374"/>
      <c r="C64966" s="374"/>
      <c r="CV64966" s="376"/>
    </row>
    <row r="64967" spans="1:100">
      <c r="A64967" s="374"/>
      <c r="C64967" s="374"/>
      <c r="CV64967" s="376"/>
    </row>
    <row r="64968" spans="1:100">
      <c r="A64968" s="374"/>
      <c r="C64968" s="374"/>
      <c r="CV64968" s="376"/>
    </row>
    <row r="64969" spans="1:100">
      <c r="A64969" s="374"/>
      <c r="C64969" s="374"/>
      <c r="CV64969" s="376"/>
    </row>
    <row r="64970" spans="1:100">
      <c r="A64970" s="374"/>
      <c r="C64970" s="374"/>
      <c r="CV64970" s="376"/>
    </row>
    <row r="64971" spans="1:100">
      <c r="A64971" s="374"/>
      <c r="C64971" s="374"/>
      <c r="CV64971" s="376"/>
    </row>
    <row r="64972" spans="1:100">
      <c r="A64972" s="374"/>
      <c r="C64972" s="374"/>
      <c r="CV64972" s="376"/>
    </row>
    <row r="64973" spans="1:100">
      <c r="A64973" s="374"/>
      <c r="C64973" s="374"/>
      <c r="CV64973" s="376"/>
    </row>
    <row r="64974" spans="1:100">
      <c r="A64974" s="374"/>
      <c r="C64974" s="374"/>
      <c r="CV64974" s="376"/>
    </row>
    <row r="64975" spans="1:100">
      <c r="A64975" s="374"/>
      <c r="C64975" s="374"/>
      <c r="CV64975" s="376"/>
    </row>
    <row r="64976" spans="1:100">
      <c r="A64976" s="374"/>
      <c r="C64976" s="374"/>
      <c r="CV64976" s="376"/>
    </row>
    <row r="64977" spans="1:100">
      <c r="A64977" s="374"/>
      <c r="C64977" s="374"/>
      <c r="CV64977" s="376"/>
    </row>
    <row r="64978" spans="1:100">
      <c r="A64978" s="374"/>
      <c r="C64978" s="374"/>
      <c r="CV64978" s="376"/>
    </row>
    <row r="64979" spans="1:100">
      <c r="A64979" s="374"/>
      <c r="C64979" s="374"/>
      <c r="CV64979" s="376"/>
    </row>
    <row r="64980" spans="1:100">
      <c r="A64980" s="374"/>
      <c r="C64980" s="374"/>
      <c r="CV64980" s="376"/>
    </row>
    <row r="64981" spans="1:100">
      <c r="A64981" s="374"/>
      <c r="C64981" s="374"/>
      <c r="CV64981" s="376"/>
    </row>
    <row r="64982" spans="1:100">
      <c r="A64982" s="374"/>
      <c r="C64982" s="374"/>
      <c r="CV64982" s="376"/>
    </row>
    <row r="64983" spans="1:100">
      <c r="A64983" s="374"/>
      <c r="C64983" s="374"/>
      <c r="CV64983" s="376"/>
    </row>
    <row r="64984" spans="1:100">
      <c r="A64984" s="374"/>
      <c r="C64984" s="374"/>
      <c r="CV64984" s="376"/>
    </row>
    <row r="64985" spans="1:100">
      <c r="A64985" s="374"/>
      <c r="C64985" s="374"/>
      <c r="CV64985" s="376"/>
    </row>
    <row r="64986" spans="1:100">
      <c r="A64986" s="374"/>
      <c r="C64986" s="374"/>
      <c r="CV64986" s="376"/>
    </row>
    <row r="64987" spans="1:100">
      <c r="A64987" s="374"/>
      <c r="C64987" s="374"/>
      <c r="CV64987" s="376"/>
    </row>
    <row r="64988" spans="1:100">
      <c r="A64988" s="374"/>
      <c r="C64988" s="374"/>
      <c r="CV64988" s="376"/>
    </row>
    <row r="64989" spans="1:100">
      <c r="A64989" s="374"/>
      <c r="C64989" s="374"/>
      <c r="CV64989" s="376"/>
    </row>
    <row r="64990" spans="1:100">
      <c r="A64990" s="374"/>
      <c r="C64990" s="374"/>
      <c r="CV64990" s="376"/>
    </row>
    <row r="64991" spans="1:100">
      <c r="A64991" s="374"/>
      <c r="C64991" s="374"/>
      <c r="CV64991" s="376"/>
    </row>
    <row r="64992" spans="1:100">
      <c r="A64992" s="374"/>
      <c r="C64992" s="374"/>
      <c r="CV64992" s="376"/>
    </row>
    <row r="64993" spans="1:100">
      <c r="A64993" s="374"/>
      <c r="C64993" s="374"/>
      <c r="CV64993" s="376"/>
    </row>
    <row r="64994" spans="1:100">
      <c r="A64994" s="374"/>
      <c r="C64994" s="374"/>
      <c r="CV64994" s="376"/>
    </row>
    <row r="64995" spans="1:100">
      <c r="A64995" s="374"/>
      <c r="C64995" s="374"/>
      <c r="CV64995" s="376"/>
    </row>
    <row r="64996" spans="1:100">
      <c r="A64996" s="374"/>
      <c r="C64996" s="374"/>
      <c r="CV64996" s="376"/>
    </row>
    <row r="64997" spans="1:100">
      <c r="A64997" s="374"/>
      <c r="C64997" s="374"/>
      <c r="CV64997" s="376"/>
    </row>
    <row r="64998" spans="1:100">
      <c r="A64998" s="374"/>
      <c r="C64998" s="374"/>
      <c r="CV64998" s="376"/>
    </row>
    <row r="64999" spans="1:100">
      <c r="A64999" s="374"/>
      <c r="C64999" s="374"/>
      <c r="CV64999" s="376"/>
    </row>
    <row r="65000" spans="1:100">
      <c r="A65000" s="374"/>
      <c r="C65000" s="374"/>
      <c r="CV65000" s="376"/>
    </row>
    <row r="65001" spans="1:100">
      <c r="A65001" s="374"/>
      <c r="C65001" s="374"/>
      <c r="CV65001" s="376"/>
    </row>
    <row r="65002" spans="1:100">
      <c r="A65002" s="374"/>
      <c r="C65002" s="374"/>
      <c r="CV65002" s="376"/>
    </row>
    <row r="65003" spans="1:100">
      <c r="A65003" s="374"/>
      <c r="C65003" s="374"/>
      <c r="CV65003" s="376"/>
    </row>
    <row r="65004" spans="1:100">
      <c r="A65004" s="374"/>
      <c r="C65004" s="374"/>
      <c r="CV65004" s="376"/>
    </row>
    <row r="65005" spans="1:100">
      <c r="A65005" s="374"/>
      <c r="C65005" s="374"/>
      <c r="CV65005" s="376"/>
    </row>
    <row r="65006" spans="1:100">
      <c r="A65006" s="374"/>
      <c r="C65006" s="374"/>
      <c r="CV65006" s="376"/>
    </row>
    <row r="65007" spans="1:100">
      <c r="A65007" s="374"/>
      <c r="C65007" s="374"/>
      <c r="CV65007" s="376"/>
    </row>
    <row r="65008" spans="1:100">
      <c r="A65008" s="374"/>
      <c r="C65008" s="374"/>
      <c r="CV65008" s="376"/>
    </row>
    <row r="65009" spans="1:100">
      <c r="A65009" s="374"/>
      <c r="C65009" s="374"/>
      <c r="CV65009" s="376"/>
    </row>
    <row r="65010" spans="1:100">
      <c r="A65010" s="374"/>
      <c r="C65010" s="374"/>
      <c r="CV65010" s="376"/>
    </row>
    <row r="65011" spans="1:100">
      <c r="A65011" s="374"/>
      <c r="C65011" s="374"/>
      <c r="CV65011" s="376"/>
    </row>
    <row r="65012" spans="1:100">
      <c r="A65012" s="374"/>
      <c r="C65012" s="374"/>
      <c r="CV65012" s="376"/>
    </row>
    <row r="65013" spans="1:100">
      <c r="A65013" s="374"/>
      <c r="C65013" s="374"/>
      <c r="CV65013" s="376"/>
    </row>
    <row r="65014" spans="1:100">
      <c r="A65014" s="374"/>
      <c r="C65014" s="374"/>
      <c r="CV65014" s="376"/>
    </row>
    <row r="65015" spans="1:100">
      <c r="A65015" s="374"/>
      <c r="C65015" s="374"/>
      <c r="CV65015" s="376"/>
    </row>
    <row r="65016" spans="1:100">
      <c r="A65016" s="374"/>
      <c r="C65016" s="374"/>
      <c r="CV65016" s="376"/>
    </row>
    <row r="65017" spans="1:100">
      <c r="A65017" s="374"/>
      <c r="C65017" s="374"/>
      <c r="CV65017" s="376"/>
    </row>
    <row r="65018" spans="1:100">
      <c r="A65018" s="374"/>
      <c r="C65018" s="374"/>
      <c r="CV65018" s="376"/>
    </row>
    <row r="65019" spans="1:100">
      <c r="A65019" s="374"/>
      <c r="C65019" s="374"/>
      <c r="CV65019" s="376"/>
    </row>
    <row r="65020" spans="1:100">
      <c r="A65020" s="374"/>
      <c r="C65020" s="374"/>
      <c r="CV65020" s="376"/>
    </row>
    <row r="65021" spans="1:100">
      <c r="A65021" s="374"/>
      <c r="C65021" s="374"/>
      <c r="CV65021" s="376"/>
    </row>
    <row r="65022" spans="1:100">
      <c r="A65022" s="374"/>
      <c r="C65022" s="374"/>
      <c r="CV65022" s="376"/>
    </row>
    <row r="65023" spans="1:100">
      <c r="A65023" s="374"/>
      <c r="C65023" s="374"/>
      <c r="CV65023" s="376"/>
    </row>
    <row r="65024" spans="1:100">
      <c r="A65024" s="374"/>
      <c r="C65024" s="374"/>
      <c r="CV65024" s="376"/>
    </row>
    <row r="65025" spans="1:100">
      <c r="A65025" s="374"/>
      <c r="C65025" s="374"/>
      <c r="CV65025" s="376"/>
    </row>
    <row r="65026" spans="1:100">
      <c r="A65026" s="374"/>
      <c r="C65026" s="374"/>
      <c r="CV65026" s="376"/>
    </row>
    <row r="65027" spans="1:100">
      <c r="A65027" s="374"/>
      <c r="C65027" s="374"/>
      <c r="CV65027" s="376"/>
    </row>
    <row r="65028" spans="1:100">
      <c r="A65028" s="374"/>
      <c r="C65028" s="374"/>
      <c r="CV65028" s="376"/>
    </row>
    <row r="65029" spans="1:100">
      <c r="A65029" s="374"/>
      <c r="C65029" s="374"/>
      <c r="CV65029" s="376"/>
    </row>
    <row r="65030" spans="1:100">
      <c r="A65030" s="374"/>
      <c r="C65030" s="374"/>
      <c r="CV65030" s="376"/>
    </row>
    <row r="65031" spans="1:100">
      <c r="A65031" s="374"/>
      <c r="C65031" s="374"/>
      <c r="CV65031" s="376"/>
    </row>
    <row r="65032" spans="1:100">
      <c r="A65032" s="374"/>
      <c r="C65032" s="374"/>
      <c r="CV65032" s="376"/>
    </row>
    <row r="65033" spans="1:100">
      <c r="A65033" s="374"/>
      <c r="C65033" s="374"/>
      <c r="CV65033" s="376"/>
    </row>
    <row r="65034" spans="1:100">
      <c r="A65034" s="374"/>
      <c r="C65034" s="374"/>
      <c r="CV65034" s="376"/>
    </row>
    <row r="65035" spans="1:100">
      <c r="A65035" s="374"/>
      <c r="C65035" s="374"/>
      <c r="CV65035" s="376"/>
    </row>
    <row r="65036" spans="1:100">
      <c r="A65036" s="374"/>
      <c r="C65036" s="374"/>
      <c r="CV65036" s="376"/>
    </row>
    <row r="65037" spans="1:100">
      <c r="A65037" s="374"/>
      <c r="C65037" s="374"/>
      <c r="CV65037" s="376"/>
    </row>
    <row r="65038" spans="1:100">
      <c r="A65038" s="374"/>
      <c r="C65038" s="374"/>
      <c r="CV65038" s="376"/>
    </row>
    <row r="65039" spans="1:100">
      <c r="A65039" s="374"/>
      <c r="C65039" s="374"/>
      <c r="CV65039" s="376"/>
    </row>
    <row r="65040" spans="1:100">
      <c r="A65040" s="374"/>
      <c r="C65040" s="374"/>
      <c r="CV65040" s="376"/>
    </row>
    <row r="65041" spans="1:100">
      <c r="A65041" s="374"/>
      <c r="C65041" s="374"/>
      <c r="CV65041" s="376"/>
    </row>
    <row r="65042" spans="1:100">
      <c r="A65042" s="374"/>
      <c r="C65042" s="374"/>
      <c r="CV65042" s="376"/>
    </row>
    <row r="65043" spans="1:100">
      <c r="A65043" s="374"/>
      <c r="C65043" s="374"/>
      <c r="CV65043" s="376"/>
    </row>
    <row r="65044" spans="1:100">
      <c r="A65044" s="374"/>
      <c r="C65044" s="374"/>
      <c r="CV65044" s="376"/>
    </row>
    <row r="65045" spans="1:100">
      <c r="A65045" s="374"/>
      <c r="C65045" s="374"/>
      <c r="CV65045" s="376"/>
    </row>
    <row r="65046" spans="1:100">
      <c r="A65046" s="374"/>
      <c r="C65046" s="374"/>
      <c r="CV65046" s="376"/>
    </row>
    <row r="65047" spans="1:100">
      <c r="A65047" s="374"/>
      <c r="C65047" s="374"/>
      <c r="CV65047" s="376"/>
    </row>
    <row r="65048" spans="1:100">
      <c r="A65048" s="374"/>
      <c r="C65048" s="374"/>
      <c r="CV65048" s="376"/>
    </row>
    <row r="65049" spans="1:100">
      <c r="A65049" s="374"/>
      <c r="C65049" s="374"/>
      <c r="CV65049" s="376"/>
    </row>
    <row r="65050" spans="1:100">
      <c r="A65050" s="374"/>
      <c r="C65050" s="374"/>
      <c r="CV65050" s="376"/>
    </row>
    <row r="65051" spans="1:100">
      <c r="A65051" s="374"/>
      <c r="C65051" s="374"/>
      <c r="CV65051" s="376"/>
    </row>
    <row r="65052" spans="1:100">
      <c r="A65052" s="374"/>
      <c r="C65052" s="374"/>
      <c r="CV65052" s="376"/>
    </row>
    <row r="65053" spans="1:100">
      <c r="A65053" s="374"/>
      <c r="C65053" s="374"/>
      <c r="CV65053" s="376"/>
    </row>
    <row r="65054" spans="1:100">
      <c r="A65054" s="374"/>
      <c r="C65054" s="374"/>
      <c r="CV65054" s="376"/>
    </row>
    <row r="65055" spans="1:100">
      <c r="A65055" s="374"/>
      <c r="C65055" s="374"/>
      <c r="CV65055" s="376"/>
    </row>
    <row r="65056" spans="1:100">
      <c r="A65056" s="374"/>
      <c r="C65056" s="374"/>
      <c r="CV65056" s="376"/>
    </row>
    <row r="65057" spans="1:100">
      <c r="A65057" s="374"/>
      <c r="C65057" s="374"/>
      <c r="CV65057" s="376"/>
    </row>
    <row r="65058" spans="1:100">
      <c r="A65058" s="374"/>
      <c r="C65058" s="374"/>
      <c r="CV65058" s="376"/>
    </row>
    <row r="65059" spans="1:100">
      <c r="A65059" s="374"/>
      <c r="C65059" s="374"/>
      <c r="CV65059" s="376"/>
    </row>
    <row r="65060" spans="1:100">
      <c r="A65060" s="374"/>
      <c r="C65060" s="374"/>
      <c r="CV65060" s="376"/>
    </row>
    <row r="65061" spans="1:100">
      <c r="A65061" s="374"/>
      <c r="C65061" s="374"/>
      <c r="CV65061" s="376"/>
    </row>
    <row r="65062" spans="1:100">
      <c r="A65062" s="374"/>
      <c r="C65062" s="374"/>
      <c r="CV65062" s="376"/>
    </row>
    <row r="65063" spans="1:100">
      <c r="A65063" s="374"/>
      <c r="C65063" s="374"/>
      <c r="CV65063" s="376"/>
    </row>
    <row r="65064" spans="1:100">
      <c r="A65064" s="374"/>
      <c r="C65064" s="374"/>
      <c r="CV65064" s="376"/>
    </row>
    <row r="65065" spans="1:100">
      <c r="A65065" s="374"/>
      <c r="C65065" s="374"/>
      <c r="CV65065" s="376"/>
    </row>
    <row r="65066" spans="1:100">
      <c r="A65066" s="374"/>
      <c r="C65066" s="374"/>
      <c r="CV65066" s="376"/>
    </row>
    <row r="65067" spans="1:100">
      <c r="A65067" s="374"/>
      <c r="C65067" s="374"/>
      <c r="CV65067" s="376"/>
    </row>
    <row r="65068" spans="1:100">
      <c r="A65068" s="374"/>
      <c r="C65068" s="374"/>
      <c r="CV65068" s="376"/>
    </row>
    <row r="65069" spans="1:100">
      <c r="A65069" s="374"/>
      <c r="C65069" s="374"/>
      <c r="CV65069" s="376"/>
    </row>
    <row r="65070" spans="1:100">
      <c r="A65070" s="374"/>
      <c r="C65070" s="374"/>
      <c r="CV65070" s="376"/>
    </row>
    <row r="65071" spans="1:100">
      <c r="A65071" s="374"/>
      <c r="C65071" s="374"/>
      <c r="CV65071" s="376"/>
    </row>
    <row r="65072" spans="1:100">
      <c r="A65072" s="374"/>
      <c r="C65072" s="374"/>
      <c r="CV65072" s="376"/>
    </row>
    <row r="65073" spans="1:100">
      <c r="A65073" s="374"/>
      <c r="C65073" s="374"/>
      <c r="CV65073" s="376"/>
    </row>
    <row r="65074" spans="1:100">
      <c r="A65074" s="374"/>
      <c r="C65074" s="374"/>
      <c r="CV65074" s="376"/>
    </row>
    <row r="65075" spans="1:100">
      <c r="A65075" s="374"/>
      <c r="C65075" s="374"/>
      <c r="CV65075" s="376"/>
    </row>
    <row r="65076" spans="1:100">
      <c r="A65076" s="374"/>
      <c r="C65076" s="374"/>
      <c r="CV65076" s="376"/>
    </row>
    <row r="65077" spans="1:100">
      <c r="A65077" s="374"/>
      <c r="C65077" s="374"/>
      <c r="CV65077" s="376"/>
    </row>
    <row r="65078" spans="1:100">
      <c r="A65078" s="374"/>
      <c r="C65078" s="374"/>
      <c r="CV65078" s="376"/>
    </row>
    <row r="65079" spans="1:100">
      <c r="A65079" s="374"/>
      <c r="C65079" s="374"/>
      <c r="CV65079" s="376"/>
    </row>
    <row r="65080" spans="1:100">
      <c r="A65080" s="374"/>
      <c r="C65080" s="374"/>
      <c r="CV65080" s="376"/>
    </row>
    <row r="65081" spans="1:100">
      <c r="A65081" s="374"/>
      <c r="C65081" s="374"/>
      <c r="CV65081" s="376"/>
    </row>
    <row r="65082" spans="1:100">
      <c r="A65082" s="374"/>
      <c r="C65082" s="374"/>
      <c r="CV65082" s="376"/>
    </row>
    <row r="65083" spans="1:100">
      <c r="A65083" s="374"/>
      <c r="C65083" s="374"/>
      <c r="CV65083" s="376"/>
    </row>
    <row r="65084" spans="1:100">
      <c r="A65084" s="374"/>
      <c r="C65084" s="374"/>
      <c r="CV65084" s="376"/>
    </row>
    <row r="65085" spans="1:100">
      <c r="A65085" s="374"/>
      <c r="C65085" s="374"/>
      <c r="CV65085" s="376"/>
    </row>
    <row r="65086" spans="1:100">
      <c r="A65086" s="374"/>
      <c r="C65086" s="374"/>
      <c r="CV65086" s="376"/>
    </row>
    <row r="65087" spans="1:100">
      <c r="A65087" s="374"/>
      <c r="C65087" s="374"/>
      <c r="CV65087" s="376"/>
    </row>
    <row r="65088" spans="1:100">
      <c r="A65088" s="374"/>
      <c r="C65088" s="374"/>
      <c r="CV65088" s="376"/>
    </row>
    <row r="65089" spans="1:100">
      <c r="A65089" s="374"/>
      <c r="C65089" s="374"/>
      <c r="CV65089" s="376"/>
    </row>
    <row r="65090" spans="1:100">
      <c r="A65090" s="374"/>
      <c r="C65090" s="374"/>
      <c r="CV65090" s="376"/>
    </row>
    <row r="65091" spans="1:100">
      <c r="A65091" s="374"/>
      <c r="C65091" s="374"/>
      <c r="CV65091" s="376"/>
    </row>
    <row r="65092" spans="1:100">
      <c r="A65092" s="374"/>
      <c r="C65092" s="374"/>
      <c r="CV65092" s="376"/>
    </row>
    <row r="65093" spans="1:100">
      <c r="A65093" s="374"/>
      <c r="C65093" s="374"/>
      <c r="CV65093" s="376"/>
    </row>
    <row r="65094" spans="1:100">
      <c r="A65094" s="374"/>
      <c r="C65094" s="374"/>
      <c r="CV65094" s="376"/>
    </row>
    <row r="65095" spans="1:100">
      <c r="A65095" s="374"/>
      <c r="C65095" s="374"/>
      <c r="CV65095" s="376"/>
    </row>
    <row r="65096" spans="1:100">
      <c r="A65096" s="374"/>
      <c r="C65096" s="374"/>
      <c r="CV65096" s="376"/>
    </row>
    <row r="65097" spans="1:100">
      <c r="A65097" s="374"/>
      <c r="C65097" s="374"/>
      <c r="CV65097" s="376"/>
    </row>
    <row r="65098" spans="1:100">
      <c r="A65098" s="374"/>
      <c r="C65098" s="374"/>
      <c r="CV65098" s="376"/>
    </row>
    <row r="65099" spans="1:100">
      <c r="A65099" s="374"/>
      <c r="C65099" s="374"/>
      <c r="CV65099" s="376"/>
    </row>
    <row r="65100" spans="1:100">
      <c r="A65100" s="374"/>
      <c r="C65100" s="374"/>
      <c r="CV65100" s="376"/>
    </row>
    <row r="65101" spans="1:100">
      <c r="A65101" s="374"/>
      <c r="C65101" s="374"/>
      <c r="CV65101" s="376"/>
    </row>
    <row r="65102" spans="1:100">
      <c r="A65102" s="374"/>
      <c r="C65102" s="374"/>
      <c r="CV65102" s="376"/>
    </row>
    <row r="65103" spans="1:100">
      <c r="A65103" s="374"/>
      <c r="C65103" s="374"/>
      <c r="CV65103" s="376"/>
    </row>
    <row r="65104" spans="1:100">
      <c r="A65104" s="374"/>
      <c r="C65104" s="374"/>
      <c r="CV65104" s="376"/>
    </row>
    <row r="65105" spans="1:100">
      <c r="A65105" s="374"/>
      <c r="C65105" s="374"/>
      <c r="CV65105" s="376"/>
    </row>
    <row r="65106" spans="1:100">
      <c r="A65106" s="374"/>
      <c r="C65106" s="374"/>
      <c r="CV65106" s="376"/>
    </row>
    <row r="65107" spans="1:100">
      <c r="A65107" s="374"/>
      <c r="C65107" s="374"/>
      <c r="CV65107" s="376"/>
    </row>
    <row r="65108" spans="1:100">
      <c r="A65108" s="374"/>
      <c r="C65108" s="374"/>
      <c r="CV65108" s="376"/>
    </row>
    <row r="65109" spans="1:100">
      <c r="A65109" s="374"/>
      <c r="C65109" s="374"/>
      <c r="CV65109" s="376"/>
    </row>
    <row r="65110" spans="1:100">
      <c r="A65110" s="374"/>
      <c r="C65110" s="374"/>
      <c r="CV65110" s="376"/>
    </row>
    <row r="65111" spans="1:100">
      <c r="A65111" s="374"/>
      <c r="C65111" s="374"/>
      <c r="CV65111" s="376"/>
    </row>
    <row r="65112" spans="1:100">
      <c r="A65112" s="374"/>
      <c r="C65112" s="374"/>
      <c r="CV65112" s="376"/>
    </row>
    <row r="65113" spans="1:100">
      <c r="A65113" s="374"/>
      <c r="C65113" s="374"/>
      <c r="CV65113" s="376"/>
    </row>
    <row r="65114" spans="1:100">
      <c r="A65114" s="374"/>
      <c r="C65114" s="374"/>
      <c r="CV65114" s="376"/>
    </row>
    <row r="65115" spans="1:100">
      <c r="A65115" s="374"/>
      <c r="C65115" s="374"/>
      <c r="CV65115" s="376"/>
    </row>
    <row r="65116" spans="1:100">
      <c r="A65116" s="374"/>
      <c r="C65116" s="374"/>
      <c r="CV65116" s="376"/>
    </row>
    <row r="65117" spans="1:100">
      <c r="A65117" s="374"/>
      <c r="C65117" s="374"/>
      <c r="CV65117" s="376"/>
    </row>
    <row r="65118" spans="1:100">
      <c r="A65118" s="374"/>
      <c r="C65118" s="374"/>
      <c r="CV65118" s="376"/>
    </row>
    <row r="65119" spans="1:100">
      <c r="A65119" s="374"/>
      <c r="C65119" s="374"/>
      <c r="CV65119" s="376"/>
    </row>
    <row r="65120" spans="1:100">
      <c r="A65120" s="374"/>
      <c r="C65120" s="374"/>
      <c r="CV65120" s="376"/>
    </row>
    <row r="65121" spans="1:100">
      <c r="A65121" s="374"/>
      <c r="C65121" s="374"/>
      <c r="CV65121" s="376"/>
    </row>
    <row r="65122" spans="1:100">
      <c r="A65122" s="374"/>
      <c r="C65122" s="374"/>
      <c r="CV65122" s="376"/>
    </row>
    <row r="65123" spans="1:100">
      <c r="A65123" s="374"/>
      <c r="C65123" s="374"/>
      <c r="CV65123" s="376"/>
    </row>
    <row r="65124" spans="1:100">
      <c r="A65124" s="374"/>
      <c r="C65124" s="374"/>
      <c r="CV65124" s="376"/>
    </row>
    <row r="65125" spans="1:100">
      <c r="A65125" s="374"/>
      <c r="C65125" s="374"/>
      <c r="CV65125" s="376"/>
    </row>
    <row r="65126" spans="1:100">
      <c r="A65126" s="374"/>
      <c r="C65126" s="374"/>
      <c r="CV65126" s="376"/>
    </row>
    <row r="65127" spans="1:100">
      <c r="A65127" s="374"/>
      <c r="C65127" s="374"/>
      <c r="CV65127" s="376"/>
    </row>
    <row r="65128" spans="1:100">
      <c r="A65128" s="374"/>
      <c r="C65128" s="374"/>
      <c r="CV65128" s="376"/>
    </row>
    <row r="65129" spans="1:100">
      <c r="A65129" s="374"/>
      <c r="C65129" s="374"/>
      <c r="CV65129" s="376"/>
    </row>
    <row r="65130" spans="1:100">
      <c r="A65130" s="374"/>
      <c r="C65130" s="374"/>
      <c r="CV65130" s="376"/>
    </row>
    <row r="65131" spans="1:100">
      <c r="A65131" s="374"/>
      <c r="C65131" s="374"/>
      <c r="CV65131" s="376"/>
    </row>
    <row r="65132" spans="1:100">
      <c r="A65132" s="374"/>
      <c r="C65132" s="374"/>
      <c r="CV65132" s="376"/>
    </row>
    <row r="65133" spans="1:100">
      <c r="A65133" s="374"/>
      <c r="C65133" s="374"/>
      <c r="CV65133" s="376"/>
    </row>
    <row r="65134" spans="1:100">
      <c r="A65134" s="374"/>
      <c r="C65134" s="374"/>
      <c r="CV65134" s="376"/>
    </row>
    <row r="65135" spans="1:100">
      <c r="A65135" s="374"/>
      <c r="C65135" s="374"/>
      <c r="CV65135" s="376"/>
    </row>
    <row r="65136" spans="1:100">
      <c r="A65136" s="374"/>
      <c r="C65136" s="374"/>
      <c r="CV65136" s="376"/>
    </row>
    <row r="65137" spans="1:100">
      <c r="A65137" s="374"/>
      <c r="C65137" s="374"/>
      <c r="CV65137" s="376"/>
    </row>
    <row r="65138" spans="1:100">
      <c r="A65138" s="374"/>
      <c r="C65138" s="374"/>
      <c r="CV65138" s="376"/>
    </row>
    <row r="65139" spans="1:100">
      <c r="A65139" s="374"/>
      <c r="C65139" s="374"/>
      <c r="CV65139" s="376"/>
    </row>
    <row r="65140" spans="1:100">
      <c r="A65140" s="374"/>
      <c r="C65140" s="374"/>
      <c r="CV65140" s="376"/>
    </row>
    <row r="65141" spans="1:100">
      <c r="A65141" s="374"/>
      <c r="C65141" s="374"/>
      <c r="CV65141" s="376"/>
    </row>
    <row r="65142" spans="1:100">
      <c r="A65142" s="374"/>
      <c r="C65142" s="374"/>
      <c r="CV65142" s="376"/>
    </row>
    <row r="65143" spans="1:100">
      <c r="A65143" s="374"/>
      <c r="C65143" s="374"/>
      <c r="CV65143" s="376"/>
    </row>
    <row r="65144" spans="1:100">
      <c r="A65144" s="374"/>
      <c r="C65144" s="374"/>
      <c r="CV65144" s="376"/>
    </row>
    <row r="65145" spans="1:100">
      <c r="A65145" s="374"/>
      <c r="C65145" s="374"/>
      <c r="CV65145" s="376"/>
    </row>
    <row r="65146" spans="1:100">
      <c r="A65146" s="374"/>
      <c r="C65146" s="374"/>
      <c r="CV65146" s="376"/>
    </row>
    <row r="65147" spans="1:100">
      <c r="A65147" s="374"/>
      <c r="C65147" s="374"/>
      <c r="CV65147" s="376"/>
    </row>
    <row r="65148" spans="1:100">
      <c r="A65148" s="374"/>
      <c r="C65148" s="374"/>
      <c r="CV65148" s="376"/>
    </row>
    <row r="65149" spans="1:100">
      <c r="A65149" s="374"/>
      <c r="C65149" s="374"/>
      <c r="CV65149" s="376"/>
    </row>
    <row r="65150" spans="1:100">
      <c r="A65150" s="374"/>
      <c r="C65150" s="374"/>
      <c r="CV65150" s="376"/>
    </row>
    <row r="65151" spans="1:100">
      <c r="A65151" s="374"/>
      <c r="C65151" s="374"/>
      <c r="CV65151" s="376"/>
    </row>
    <row r="65152" spans="1:100">
      <c r="A65152" s="374"/>
      <c r="C65152" s="374"/>
      <c r="CV65152" s="376"/>
    </row>
    <row r="65153" spans="1:100">
      <c r="A65153" s="374"/>
      <c r="C65153" s="374"/>
      <c r="CV65153" s="376"/>
    </row>
    <row r="65154" spans="1:100">
      <c r="A65154" s="374"/>
      <c r="C65154" s="374"/>
      <c r="CV65154" s="376"/>
    </row>
    <row r="65155" spans="1:100">
      <c r="A65155" s="374"/>
      <c r="C65155" s="374"/>
      <c r="CV65155" s="376"/>
    </row>
    <row r="65156" spans="1:100">
      <c r="A65156" s="374"/>
      <c r="C65156" s="374"/>
      <c r="CV65156" s="376"/>
    </row>
    <row r="65157" spans="1:100">
      <c r="A65157" s="374"/>
      <c r="C65157" s="374"/>
      <c r="CV65157" s="376"/>
    </row>
    <row r="65158" spans="1:100">
      <c r="A65158" s="374"/>
      <c r="C65158" s="374"/>
      <c r="CV65158" s="376"/>
    </row>
    <row r="65159" spans="1:100">
      <c r="A65159" s="374"/>
      <c r="C65159" s="374"/>
      <c r="CV65159" s="376"/>
    </row>
    <row r="65160" spans="1:100">
      <c r="A65160" s="374"/>
      <c r="C65160" s="374"/>
      <c r="CV65160" s="376"/>
    </row>
    <row r="65161" spans="1:100">
      <c r="A65161" s="374"/>
      <c r="C65161" s="374"/>
      <c r="CV65161" s="376"/>
    </row>
    <row r="65162" spans="1:100">
      <c r="A65162" s="374"/>
      <c r="C65162" s="374"/>
      <c r="CV65162" s="376"/>
    </row>
    <row r="65163" spans="1:100">
      <c r="A65163" s="374"/>
      <c r="C65163" s="374"/>
      <c r="CV65163" s="376"/>
    </row>
    <row r="65164" spans="1:100">
      <c r="A65164" s="374"/>
      <c r="C65164" s="374"/>
      <c r="CV65164" s="376"/>
    </row>
    <row r="65165" spans="1:100">
      <c r="A65165" s="374"/>
      <c r="C65165" s="374"/>
      <c r="CV65165" s="376"/>
    </row>
    <row r="65166" spans="1:100">
      <c r="A65166" s="374"/>
      <c r="C65166" s="374"/>
      <c r="CV65166" s="376"/>
    </row>
    <row r="65167" spans="1:100">
      <c r="A65167" s="374"/>
      <c r="C65167" s="374"/>
      <c r="CV65167" s="376"/>
    </row>
    <row r="65168" spans="1:100">
      <c r="A65168" s="374"/>
      <c r="C65168" s="374"/>
      <c r="CV65168" s="376"/>
    </row>
    <row r="65169" spans="1:100">
      <c r="A65169" s="374"/>
      <c r="C65169" s="374"/>
      <c r="CV65169" s="376"/>
    </row>
    <row r="65170" spans="1:100">
      <c r="A65170" s="374"/>
      <c r="C65170" s="374"/>
      <c r="CV65170" s="376"/>
    </row>
    <row r="65171" spans="1:100">
      <c r="A65171" s="374"/>
      <c r="C65171" s="374"/>
      <c r="CV65171" s="376"/>
    </row>
    <row r="65172" spans="1:100">
      <c r="A65172" s="374"/>
      <c r="C65172" s="374"/>
      <c r="CV65172" s="376"/>
    </row>
    <row r="65173" spans="1:100">
      <c r="A65173" s="374"/>
      <c r="C65173" s="374"/>
      <c r="CV65173" s="376"/>
    </row>
    <row r="65174" spans="1:100">
      <c r="A65174" s="374"/>
      <c r="C65174" s="374"/>
      <c r="CV65174" s="376"/>
    </row>
    <row r="65175" spans="1:100">
      <c r="A65175" s="374"/>
      <c r="C65175" s="374"/>
      <c r="CV65175" s="376"/>
    </row>
    <row r="65176" spans="1:100">
      <c r="A65176" s="374"/>
      <c r="C65176" s="374"/>
      <c r="CV65176" s="376"/>
    </row>
    <row r="65177" spans="1:100">
      <c r="A65177" s="374"/>
      <c r="C65177" s="374"/>
      <c r="CV65177" s="376"/>
    </row>
    <row r="65178" spans="1:100">
      <c r="A65178" s="374"/>
      <c r="C65178" s="374"/>
      <c r="CV65178" s="376"/>
    </row>
    <row r="65179" spans="1:100">
      <c r="A65179" s="374"/>
      <c r="C65179" s="374"/>
      <c r="CV65179" s="376"/>
    </row>
    <row r="65180" spans="1:100">
      <c r="A65180" s="374"/>
      <c r="C65180" s="374"/>
      <c r="CV65180" s="376"/>
    </row>
    <row r="65181" spans="1:100">
      <c r="A65181" s="374"/>
      <c r="C65181" s="374"/>
      <c r="CV65181" s="376"/>
    </row>
    <row r="65182" spans="1:100">
      <c r="A65182" s="374"/>
      <c r="C65182" s="374"/>
      <c r="CV65182" s="376"/>
    </row>
    <row r="65183" spans="1:100">
      <c r="A65183" s="374"/>
      <c r="C65183" s="374"/>
      <c r="CV65183" s="376"/>
    </row>
    <row r="65184" spans="1:100">
      <c r="A65184" s="374"/>
      <c r="C65184" s="374"/>
      <c r="CV65184" s="376"/>
    </row>
    <row r="65185" spans="1:100">
      <c r="A65185" s="374"/>
      <c r="C65185" s="374"/>
      <c r="CV65185" s="376"/>
    </row>
    <row r="65186" spans="1:100">
      <c r="A65186" s="374"/>
      <c r="C65186" s="374"/>
      <c r="CV65186" s="376"/>
    </row>
    <row r="65187" spans="1:100">
      <c r="A65187" s="374"/>
      <c r="C65187" s="374"/>
      <c r="CV65187" s="376"/>
    </row>
    <row r="65188" spans="1:100">
      <c r="A65188" s="374"/>
      <c r="C65188" s="374"/>
      <c r="CV65188" s="376"/>
    </row>
    <row r="65189" spans="1:100">
      <c r="A65189" s="374"/>
      <c r="C65189" s="374"/>
      <c r="CV65189" s="376"/>
    </row>
    <row r="65190" spans="1:100">
      <c r="A65190" s="374"/>
      <c r="C65190" s="374"/>
      <c r="CV65190" s="376"/>
    </row>
    <row r="65191" spans="1:100">
      <c r="A65191" s="374"/>
      <c r="C65191" s="374"/>
      <c r="CV65191" s="376"/>
    </row>
    <row r="65192" spans="1:100">
      <c r="A65192" s="374"/>
      <c r="C65192" s="374"/>
      <c r="CV65192" s="376"/>
    </row>
    <row r="65193" spans="1:100">
      <c r="A65193" s="374"/>
      <c r="C65193" s="374"/>
      <c r="CV65193" s="376"/>
    </row>
    <row r="65194" spans="1:100">
      <c r="A65194" s="374"/>
      <c r="C65194" s="374"/>
      <c r="CV65194" s="376"/>
    </row>
    <row r="65195" spans="1:100">
      <c r="A65195" s="374"/>
      <c r="C65195" s="374"/>
      <c r="CV65195" s="376"/>
    </row>
    <row r="65196" spans="1:100">
      <c r="A65196" s="374"/>
      <c r="C65196" s="374"/>
      <c r="CV65196" s="376"/>
    </row>
    <row r="65197" spans="1:100">
      <c r="A65197" s="374"/>
      <c r="C65197" s="374"/>
      <c r="CV65197" s="376"/>
    </row>
    <row r="65198" spans="1:100">
      <c r="A65198" s="374"/>
      <c r="C65198" s="374"/>
      <c r="CV65198" s="376"/>
    </row>
    <row r="65199" spans="1:100">
      <c r="A65199" s="374"/>
      <c r="C65199" s="374"/>
      <c r="CV65199" s="376"/>
    </row>
    <row r="65200" spans="1:100">
      <c r="A65200" s="374"/>
      <c r="C65200" s="374"/>
      <c r="CV65200" s="376"/>
    </row>
    <row r="65201" spans="1:100">
      <c r="A65201" s="374"/>
      <c r="C65201" s="374"/>
      <c r="CV65201" s="376"/>
    </row>
    <row r="65202" spans="1:100">
      <c r="A65202" s="374"/>
      <c r="C65202" s="374"/>
      <c r="CV65202" s="376"/>
    </row>
    <row r="65203" spans="1:100">
      <c r="A65203" s="374"/>
      <c r="C65203" s="374"/>
      <c r="CV65203" s="376"/>
    </row>
    <row r="65204" spans="1:100">
      <c r="A65204" s="374"/>
      <c r="C65204" s="374"/>
      <c r="CV65204" s="376"/>
    </row>
    <row r="65205" spans="1:100">
      <c r="A65205" s="374"/>
      <c r="C65205" s="374"/>
      <c r="CV65205" s="376"/>
    </row>
    <row r="65206" spans="1:100">
      <c r="A65206" s="374"/>
      <c r="C65206" s="374"/>
      <c r="CV65206" s="376"/>
    </row>
    <row r="65207" spans="1:100">
      <c r="A65207" s="374"/>
      <c r="C65207" s="374"/>
      <c r="CV65207" s="376"/>
    </row>
    <row r="65208" spans="1:100">
      <c r="A65208" s="374"/>
      <c r="C65208" s="374"/>
      <c r="CV65208" s="376"/>
    </row>
    <row r="65209" spans="1:100">
      <c r="A65209" s="374"/>
      <c r="C65209" s="374"/>
      <c r="CV65209" s="376"/>
    </row>
    <row r="65210" spans="1:100">
      <c r="A65210" s="374"/>
      <c r="C65210" s="374"/>
      <c r="CV65210" s="376"/>
    </row>
    <row r="65211" spans="1:100">
      <c r="A65211" s="374"/>
      <c r="C65211" s="374"/>
      <c r="CV65211" s="376"/>
    </row>
    <row r="65212" spans="1:100">
      <c r="A65212" s="374"/>
      <c r="C65212" s="374"/>
      <c r="CV65212" s="376"/>
    </row>
    <row r="65213" spans="1:100">
      <c r="A65213" s="374"/>
      <c r="C65213" s="374"/>
      <c r="CV65213" s="376"/>
    </row>
    <row r="65214" spans="1:100">
      <c r="A65214" s="374"/>
      <c r="C65214" s="374"/>
      <c r="CV65214" s="376"/>
    </row>
    <row r="65215" spans="1:100">
      <c r="A65215" s="374"/>
      <c r="C65215" s="374"/>
      <c r="CV65215" s="376"/>
    </row>
    <row r="65216" spans="1:100">
      <c r="A65216" s="374"/>
      <c r="C65216" s="374"/>
      <c r="CV65216" s="376"/>
    </row>
    <row r="65217" spans="1:100">
      <c r="A65217" s="374"/>
      <c r="C65217" s="374"/>
      <c r="CV65217" s="376"/>
    </row>
    <row r="65218" spans="1:100">
      <c r="A65218" s="374"/>
      <c r="C65218" s="374"/>
      <c r="CV65218" s="376"/>
    </row>
    <row r="65219" spans="1:100">
      <c r="A65219" s="374"/>
      <c r="C65219" s="374"/>
      <c r="CV65219" s="376"/>
    </row>
    <row r="65220" spans="1:100">
      <c r="A65220" s="374"/>
      <c r="C65220" s="374"/>
      <c r="CV65220" s="376"/>
    </row>
    <row r="65221" spans="1:100">
      <c r="A65221" s="374"/>
      <c r="C65221" s="374"/>
      <c r="CV65221" s="376"/>
    </row>
    <row r="65222" spans="1:100">
      <c r="A65222" s="374"/>
      <c r="C65222" s="374"/>
      <c r="CV65222" s="376"/>
    </row>
    <row r="65223" spans="1:100">
      <c r="A65223" s="374"/>
      <c r="C65223" s="374"/>
      <c r="CV65223" s="376"/>
    </row>
    <row r="65224" spans="1:100">
      <c r="A65224" s="374"/>
      <c r="C65224" s="374"/>
      <c r="CV65224" s="376"/>
    </row>
    <row r="65225" spans="1:100">
      <c r="A65225" s="374"/>
      <c r="C65225" s="374"/>
      <c r="CV65225" s="376"/>
    </row>
    <row r="65226" spans="1:100">
      <c r="A65226" s="374"/>
      <c r="C65226" s="374"/>
      <c r="CV65226" s="376"/>
    </row>
    <row r="65227" spans="1:100">
      <c r="A65227" s="374"/>
      <c r="C65227" s="374"/>
      <c r="CV65227" s="376"/>
    </row>
    <row r="65228" spans="1:100">
      <c r="A65228" s="374"/>
      <c r="C65228" s="374"/>
      <c r="CV65228" s="376"/>
    </row>
    <row r="65229" spans="1:100">
      <c r="A65229" s="374"/>
      <c r="C65229" s="374"/>
      <c r="CV65229" s="376"/>
    </row>
    <row r="65230" spans="1:100">
      <c r="A65230" s="374"/>
      <c r="C65230" s="374"/>
      <c r="CV65230" s="376"/>
    </row>
    <row r="65231" spans="1:100">
      <c r="A65231" s="374"/>
      <c r="C65231" s="374"/>
      <c r="CV65231" s="376"/>
    </row>
    <row r="65232" spans="1:100">
      <c r="A65232" s="374"/>
      <c r="C65232" s="374"/>
      <c r="CV65232" s="376"/>
    </row>
    <row r="65233" spans="1:100">
      <c r="A65233" s="374"/>
      <c r="C65233" s="374"/>
      <c r="CV65233" s="376"/>
    </row>
    <row r="65234" spans="1:100">
      <c r="A65234" s="374"/>
      <c r="C65234" s="374"/>
      <c r="CV65234" s="376"/>
    </row>
    <row r="65235" spans="1:100">
      <c r="A65235" s="374"/>
      <c r="C65235" s="374"/>
      <c r="CV65235" s="376"/>
    </row>
    <row r="65236" spans="1:100">
      <c r="A65236" s="374"/>
      <c r="C65236" s="374"/>
      <c r="CV65236" s="376"/>
    </row>
    <row r="65237" spans="1:100">
      <c r="A65237" s="374"/>
      <c r="C65237" s="374"/>
      <c r="CV65237" s="376"/>
    </row>
    <row r="65238" spans="1:100">
      <c r="A65238" s="374"/>
      <c r="C65238" s="374"/>
      <c r="CV65238" s="376"/>
    </row>
    <row r="65239" spans="1:100">
      <c r="A65239" s="374"/>
      <c r="C65239" s="374"/>
      <c r="CV65239" s="376"/>
    </row>
    <row r="65240" spans="1:100">
      <c r="A65240" s="374"/>
      <c r="C65240" s="374"/>
      <c r="CV65240" s="376"/>
    </row>
    <row r="65241" spans="1:100">
      <c r="A65241" s="374"/>
      <c r="C65241" s="374"/>
      <c r="CV65241" s="376"/>
    </row>
    <row r="65242" spans="1:100">
      <c r="A65242" s="374"/>
      <c r="C65242" s="374"/>
      <c r="CV65242" s="376"/>
    </row>
    <row r="65243" spans="1:100">
      <c r="A65243" s="374"/>
      <c r="C65243" s="374"/>
      <c r="CV65243" s="376"/>
    </row>
    <row r="65244" spans="1:100">
      <c r="A65244" s="374"/>
      <c r="C65244" s="374"/>
      <c r="CV65244" s="376"/>
    </row>
    <row r="65245" spans="1:100">
      <c r="A65245" s="374"/>
      <c r="C65245" s="374"/>
      <c r="CV65245" s="376"/>
    </row>
    <row r="65246" spans="1:100">
      <c r="A65246" s="374"/>
      <c r="C65246" s="374"/>
      <c r="CV65246" s="376"/>
    </row>
    <row r="65247" spans="1:100">
      <c r="A65247" s="374"/>
      <c r="C65247" s="374"/>
      <c r="CV65247" s="376"/>
    </row>
    <row r="65248" spans="1:100">
      <c r="A65248" s="374"/>
      <c r="C65248" s="374"/>
      <c r="CV65248" s="376"/>
    </row>
    <row r="65249" spans="1:100">
      <c r="A65249" s="374"/>
      <c r="C65249" s="374"/>
      <c r="CV65249" s="376"/>
    </row>
    <row r="65250" spans="1:100">
      <c r="A65250" s="374"/>
      <c r="C65250" s="374"/>
      <c r="CV65250" s="376"/>
    </row>
    <row r="65251" spans="1:100">
      <c r="A65251" s="374"/>
      <c r="C65251" s="374"/>
      <c r="CV65251" s="376"/>
    </row>
    <row r="65252" spans="1:100">
      <c r="A65252" s="374"/>
      <c r="C65252" s="374"/>
      <c r="CV65252" s="376"/>
    </row>
    <row r="65253" spans="1:100">
      <c r="A65253" s="374"/>
      <c r="C65253" s="374"/>
      <c r="CV65253" s="376"/>
    </row>
    <row r="65254" spans="1:100">
      <c r="A65254" s="374"/>
      <c r="C65254" s="374"/>
      <c r="CV65254" s="376"/>
    </row>
    <row r="65255" spans="1:100">
      <c r="A65255" s="374"/>
      <c r="C65255" s="374"/>
      <c r="CV65255" s="376"/>
    </row>
    <row r="65256" spans="1:100">
      <c r="A65256" s="374"/>
      <c r="C65256" s="374"/>
      <c r="CV65256" s="376"/>
    </row>
    <row r="65257" spans="1:100">
      <c r="A65257" s="374"/>
      <c r="C65257" s="374"/>
      <c r="CV65257" s="376"/>
    </row>
    <row r="65258" spans="1:100">
      <c r="A65258" s="374"/>
      <c r="C65258" s="374"/>
      <c r="CV65258" s="376"/>
    </row>
    <row r="65259" spans="1:100">
      <c r="A65259" s="374"/>
      <c r="C65259" s="374"/>
      <c r="CV65259" s="376"/>
    </row>
    <row r="65260" spans="1:100">
      <c r="A65260" s="374"/>
      <c r="C65260" s="374"/>
      <c r="CV65260" s="376"/>
    </row>
    <row r="65261" spans="1:100">
      <c r="A65261" s="374"/>
      <c r="C65261" s="374"/>
      <c r="CV65261" s="376"/>
    </row>
    <row r="65262" spans="1:100">
      <c r="A65262" s="374"/>
      <c r="C65262" s="374"/>
      <c r="CV65262" s="376"/>
    </row>
    <row r="65263" spans="1:100">
      <c r="A65263" s="374"/>
      <c r="C65263" s="374"/>
      <c r="CV65263" s="376"/>
    </row>
    <row r="65264" spans="1:100">
      <c r="A65264" s="374"/>
      <c r="C65264" s="374"/>
      <c r="CV65264" s="376"/>
    </row>
    <row r="65265" spans="1:100">
      <c r="A65265" s="374"/>
      <c r="C65265" s="374"/>
      <c r="CV65265" s="376"/>
    </row>
    <row r="65266" spans="1:100">
      <c r="A65266" s="374"/>
      <c r="C65266" s="374"/>
      <c r="CV65266" s="376"/>
    </row>
    <row r="65267" spans="1:100">
      <c r="A65267" s="374"/>
      <c r="C65267" s="374"/>
      <c r="CV65267" s="376"/>
    </row>
    <row r="65268" spans="1:100">
      <c r="A65268" s="374"/>
      <c r="C65268" s="374"/>
      <c r="CV65268" s="376"/>
    </row>
    <row r="65269" spans="1:100">
      <c r="A65269" s="374"/>
      <c r="C65269" s="374"/>
      <c r="CV65269" s="376"/>
    </row>
    <row r="65270" spans="1:100">
      <c r="A65270" s="374"/>
      <c r="C65270" s="374"/>
      <c r="CV65270" s="376"/>
    </row>
    <row r="65271" spans="1:100">
      <c r="A65271" s="374"/>
      <c r="C65271" s="374"/>
      <c r="CV65271" s="376"/>
    </row>
    <row r="65272" spans="1:100">
      <c r="A65272" s="374"/>
      <c r="C65272" s="374"/>
      <c r="CV65272" s="376"/>
    </row>
    <row r="65273" spans="1:100">
      <c r="A65273" s="374"/>
      <c r="C65273" s="374"/>
      <c r="CV65273" s="376"/>
    </row>
    <row r="65274" spans="1:100">
      <c r="A65274" s="374"/>
      <c r="C65274" s="374"/>
      <c r="CV65274" s="376"/>
    </row>
    <row r="65275" spans="1:100">
      <c r="A65275" s="374"/>
      <c r="C65275" s="374"/>
      <c r="CV65275" s="376"/>
    </row>
    <row r="65276" spans="1:100">
      <c r="A65276" s="374"/>
      <c r="C65276" s="374"/>
      <c r="CV65276" s="376"/>
    </row>
    <row r="65277" spans="1:100">
      <c r="A65277" s="374"/>
      <c r="C65277" s="374"/>
      <c r="CV65277" s="376"/>
    </row>
    <row r="65278" spans="1:100">
      <c r="A65278" s="374"/>
      <c r="C65278" s="374"/>
      <c r="CV65278" s="376"/>
    </row>
    <row r="65279" spans="1:100">
      <c r="A65279" s="374"/>
      <c r="C65279" s="374"/>
      <c r="CV65279" s="376"/>
    </row>
    <row r="65280" spans="1:100">
      <c r="A65280" s="374"/>
      <c r="C65280" s="374"/>
      <c r="CV65280" s="376"/>
    </row>
    <row r="65281" spans="1:100">
      <c r="A65281" s="374"/>
      <c r="C65281" s="374"/>
      <c r="CV65281" s="376"/>
    </row>
    <row r="65282" spans="1:100">
      <c r="A65282" s="374"/>
      <c r="C65282" s="374"/>
      <c r="CV65282" s="376"/>
    </row>
    <row r="65283" spans="1:100">
      <c r="A65283" s="374"/>
      <c r="C65283" s="374"/>
      <c r="CV65283" s="376"/>
    </row>
    <row r="65284" spans="1:100">
      <c r="A65284" s="374"/>
      <c r="C65284" s="374"/>
      <c r="CV65284" s="376"/>
    </row>
    <row r="65285" spans="1:100">
      <c r="A65285" s="374"/>
      <c r="C65285" s="374"/>
      <c r="CV65285" s="376"/>
    </row>
    <row r="65286" spans="1:100">
      <c r="A65286" s="374"/>
      <c r="C65286" s="374"/>
      <c r="CV65286" s="376"/>
    </row>
    <row r="65287" spans="1:100">
      <c r="A65287" s="374"/>
      <c r="C65287" s="374"/>
      <c r="CV65287" s="376"/>
    </row>
    <row r="65288" spans="1:100">
      <c r="A65288" s="374"/>
      <c r="C65288" s="374"/>
      <c r="CV65288" s="376"/>
    </row>
    <row r="65289" spans="1:100">
      <c r="A65289" s="374"/>
      <c r="C65289" s="374"/>
      <c r="CV65289" s="376"/>
    </row>
    <row r="65290" spans="1:100">
      <c r="A65290" s="374"/>
      <c r="C65290" s="374"/>
      <c r="CV65290" s="376"/>
    </row>
    <row r="65291" spans="1:100">
      <c r="A65291" s="374"/>
      <c r="C65291" s="374"/>
      <c r="CV65291" s="376"/>
    </row>
    <row r="65292" spans="1:100">
      <c r="A65292" s="374"/>
      <c r="C65292" s="374"/>
      <c r="CV65292" s="376"/>
    </row>
    <row r="65293" spans="1:100">
      <c r="A65293" s="374"/>
      <c r="C65293" s="374"/>
      <c r="CV65293" s="376"/>
    </row>
    <row r="65294" spans="1:100">
      <c r="A65294" s="374"/>
      <c r="C65294" s="374"/>
      <c r="CV65294" s="376"/>
    </row>
    <row r="65295" spans="1:100">
      <c r="A65295" s="374"/>
      <c r="C65295" s="374"/>
      <c r="CV65295" s="376"/>
    </row>
    <row r="65296" spans="1:100">
      <c r="A65296" s="374"/>
      <c r="C65296" s="374"/>
      <c r="CV65296" s="376"/>
    </row>
    <row r="65297" spans="1:100">
      <c r="A65297" s="374"/>
      <c r="C65297" s="374"/>
      <c r="CV65297" s="376"/>
    </row>
    <row r="65298" spans="1:100">
      <c r="A65298" s="374"/>
      <c r="C65298" s="374"/>
      <c r="CV65298" s="376"/>
    </row>
    <row r="65299" spans="1:100">
      <c r="A65299" s="374"/>
      <c r="C65299" s="374"/>
      <c r="CV65299" s="376"/>
    </row>
    <row r="65300" spans="1:100">
      <c r="A65300" s="374"/>
      <c r="C65300" s="374"/>
      <c r="CV65300" s="376"/>
    </row>
    <row r="65301" spans="1:100">
      <c r="A65301" s="374"/>
      <c r="C65301" s="374"/>
      <c r="CV65301" s="376"/>
    </row>
    <row r="65302" spans="1:100">
      <c r="A65302" s="374"/>
      <c r="C65302" s="374"/>
      <c r="CV65302" s="376"/>
    </row>
    <row r="65303" spans="1:100">
      <c r="A65303" s="374"/>
      <c r="C65303" s="374"/>
      <c r="CV65303" s="376"/>
    </row>
    <row r="65304" spans="1:100">
      <c r="A65304" s="374"/>
      <c r="C65304" s="374"/>
      <c r="CV65304" s="376"/>
    </row>
    <row r="65305" spans="1:100">
      <c r="A65305" s="374"/>
      <c r="C65305" s="374"/>
      <c r="CV65305" s="376"/>
    </row>
    <row r="65306" spans="1:100">
      <c r="A65306" s="374"/>
      <c r="C65306" s="374"/>
      <c r="CV65306" s="376"/>
    </row>
    <row r="65307" spans="1:100">
      <c r="A65307" s="374"/>
      <c r="C65307" s="374"/>
      <c r="CV65307" s="376"/>
    </row>
    <row r="65308" spans="1:100">
      <c r="A65308" s="374"/>
      <c r="C65308" s="374"/>
      <c r="CV65308" s="376"/>
    </row>
    <row r="65309" spans="1:100">
      <c r="A65309" s="374"/>
      <c r="C65309" s="374"/>
      <c r="CV65309" s="376"/>
    </row>
    <row r="65310" spans="1:100">
      <c r="A65310" s="374"/>
      <c r="C65310" s="374"/>
      <c r="CV65310" s="376"/>
    </row>
    <row r="65311" spans="1:100">
      <c r="A65311" s="374"/>
      <c r="C65311" s="374"/>
      <c r="CV65311" s="376"/>
    </row>
    <row r="65312" spans="1:100">
      <c r="A65312" s="374"/>
      <c r="C65312" s="374"/>
      <c r="CV65312" s="376"/>
    </row>
    <row r="65313" spans="1:100">
      <c r="A65313" s="374"/>
      <c r="C65313" s="374"/>
      <c r="CV65313" s="376"/>
    </row>
    <row r="65314" spans="1:100">
      <c r="A65314" s="374"/>
      <c r="C65314" s="374"/>
      <c r="CV65314" s="376"/>
    </row>
    <row r="65315" spans="1:100">
      <c r="A65315" s="374"/>
      <c r="C65315" s="374"/>
      <c r="CV65315" s="376"/>
    </row>
    <row r="65316" spans="1:100">
      <c r="A65316" s="374"/>
      <c r="C65316" s="374"/>
      <c r="CV65316" s="376"/>
    </row>
    <row r="65317" spans="1:100">
      <c r="A65317" s="374"/>
      <c r="C65317" s="374"/>
      <c r="CV65317" s="376"/>
    </row>
    <row r="65318" spans="1:100">
      <c r="A65318" s="374"/>
      <c r="C65318" s="374"/>
      <c r="CV65318" s="376"/>
    </row>
    <row r="65319" spans="1:100">
      <c r="A65319" s="374"/>
      <c r="C65319" s="374"/>
      <c r="CV65319" s="376"/>
    </row>
    <row r="65320" spans="1:100">
      <c r="A65320" s="374"/>
      <c r="C65320" s="374"/>
      <c r="CV65320" s="376"/>
    </row>
    <row r="65321" spans="1:100">
      <c r="A65321" s="374"/>
      <c r="C65321" s="374"/>
      <c r="CV65321" s="376"/>
    </row>
    <row r="65322" spans="1:100">
      <c r="A65322" s="374"/>
      <c r="C65322" s="374"/>
      <c r="CV65322" s="376"/>
    </row>
    <row r="65323" spans="1:100">
      <c r="A65323" s="374"/>
      <c r="C65323" s="374"/>
      <c r="CV65323" s="376"/>
    </row>
    <row r="65324" spans="1:100">
      <c r="A65324" s="374"/>
      <c r="C65324" s="374"/>
      <c r="CV65324" s="376"/>
    </row>
    <row r="65325" spans="1:100">
      <c r="A65325" s="374"/>
      <c r="C65325" s="374"/>
      <c r="CV65325" s="376"/>
    </row>
    <row r="65326" spans="1:100">
      <c r="A65326" s="374"/>
      <c r="C65326" s="374"/>
      <c r="CV65326" s="376"/>
    </row>
    <row r="65327" spans="1:100">
      <c r="A65327" s="374"/>
      <c r="C65327" s="374"/>
      <c r="CV65327" s="376"/>
    </row>
    <row r="65328" spans="1:100">
      <c r="A65328" s="374"/>
      <c r="C65328" s="374"/>
      <c r="CV65328" s="376"/>
    </row>
    <row r="65329" spans="1:100">
      <c r="A65329" s="374"/>
      <c r="C65329" s="374"/>
      <c r="CV65329" s="376"/>
    </row>
    <row r="65330" spans="1:100">
      <c r="A65330" s="374"/>
      <c r="C65330" s="374"/>
      <c r="CV65330" s="376"/>
    </row>
    <row r="65331" spans="1:100">
      <c r="A65331" s="374"/>
      <c r="C65331" s="374"/>
      <c r="CV65331" s="376"/>
    </row>
    <row r="65332" spans="1:100">
      <c r="A65332" s="374"/>
      <c r="C65332" s="374"/>
      <c r="CV65332" s="376"/>
    </row>
    <row r="65333" spans="1:100">
      <c r="A65333" s="374"/>
      <c r="C65333" s="374"/>
      <c r="CV65333" s="376"/>
    </row>
    <row r="65334" spans="1:100">
      <c r="A65334" s="374"/>
      <c r="C65334" s="374"/>
      <c r="CV65334" s="376"/>
    </row>
    <row r="65335" spans="1:100">
      <c r="A65335" s="374"/>
      <c r="C65335" s="374"/>
      <c r="CV65335" s="376"/>
    </row>
    <row r="65336" spans="1:100">
      <c r="A65336" s="374"/>
      <c r="C65336" s="374"/>
      <c r="CV65336" s="376"/>
    </row>
    <row r="65337" spans="1:100">
      <c r="A65337" s="374"/>
      <c r="C65337" s="374"/>
      <c r="CV65337" s="376"/>
    </row>
    <row r="65338" spans="1:100">
      <c r="A65338" s="374"/>
      <c r="C65338" s="374"/>
      <c r="CV65338" s="376"/>
    </row>
    <row r="65339" spans="1:100">
      <c r="A65339" s="374"/>
      <c r="C65339" s="374"/>
      <c r="CV65339" s="376"/>
    </row>
    <row r="65340" spans="1:100">
      <c r="A65340" s="374"/>
      <c r="C65340" s="374"/>
      <c r="CV65340" s="376"/>
    </row>
    <row r="65341" spans="1:100">
      <c r="A65341" s="374"/>
      <c r="C65341" s="374"/>
      <c r="CV65341" s="376"/>
    </row>
    <row r="65342" spans="1:100">
      <c r="A65342" s="374"/>
      <c r="C65342" s="374"/>
      <c r="CV65342" s="376"/>
    </row>
    <row r="65343" spans="1:100">
      <c r="A65343" s="374"/>
      <c r="C65343" s="374"/>
      <c r="CV65343" s="376"/>
    </row>
    <row r="65344" spans="1:100">
      <c r="A65344" s="374"/>
      <c r="C65344" s="374"/>
      <c r="CV65344" s="376"/>
    </row>
    <row r="65345" spans="1:100">
      <c r="A65345" s="374"/>
      <c r="C65345" s="374"/>
      <c r="CV65345" s="376"/>
    </row>
    <row r="65346" spans="1:100">
      <c r="A65346" s="374"/>
      <c r="C65346" s="374"/>
      <c r="CV65346" s="376"/>
    </row>
    <row r="65347" spans="1:100">
      <c r="A65347" s="374"/>
      <c r="C65347" s="374"/>
      <c r="CV65347" s="376"/>
    </row>
    <row r="65348" spans="1:100">
      <c r="A65348" s="374"/>
      <c r="C65348" s="374"/>
      <c r="CV65348" s="376"/>
    </row>
    <row r="65349" spans="1:100">
      <c r="A65349" s="374"/>
      <c r="C65349" s="374"/>
      <c r="CV65349" s="376"/>
    </row>
    <row r="65350" spans="1:100">
      <c r="A65350" s="374"/>
      <c r="C65350" s="374"/>
      <c r="CV65350" s="376"/>
    </row>
    <row r="65351" spans="1:100">
      <c r="A65351" s="374"/>
      <c r="C65351" s="374"/>
      <c r="CV65351" s="376"/>
    </row>
    <row r="65352" spans="1:100">
      <c r="A65352" s="374"/>
      <c r="C65352" s="374"/>
      <c r="CV65352" s="376"/>
    </row>
    <row r="65353" spans="1:100">
      <c r="A65353" s="374"/>
      <c r="C65353" s="374"/>
      <c r="CV65353" s="376"/>
    </row>
    <row r="65354" spans="1:100">
      <c r="A65354" s="374"/>
      <c r="C65354" s="374"/>
      <c r="CV65354" s="376"/>
    </row>
    <row r="65355" spans="1:100">
      <c r="A65355" s="374"/>
      <c r="C65355" s="374"/>
      <c r="CV65355" s="376"/>
    </row>
    <row r="65356" spans="1:100">
      <c r="A65356" s="374"/>
      <c r="C65356" s="374"/>
      <c r="CV65356" s="376"/>
    </row>
    <row r="65357" spans="1:100">
      <c r="A65357" s="374"/>
      <c r="C65357" s="374"/>
      <c r="CV65357" s="376"/>
    </row>
    <row r="65358" spans="1:100">
      <c r="A65358" s="374"/>
      <c r="C65358" s="374"/>
      <c r="CV65358" s="376"/>
    </row>
    <row r="65359" spans="1:100">
      <c r="A65359" s="374"/>
      <c r="C65359" s="374"/>
      <c r="CV65359" s="376"/>
    </row>
    <row r="65360" spans="1:100">
      <c r="A65360" s="374"/>
      <c r="C65360" s="374"/>
      <c r="CV65360" s="376"/>
    </row>
    <row r="65361" spans="1:100">
      <c r="A65361" s="374"/>
      <c r="C65361" s="374"/>
      <c r="CV65361" s="376"/>
    </row>
    <row r="65362" spans="1:100">
      <c r="A65362" s="374"/>
      <c r="C65362" s="374"/>
      <c r="CV65362" s="376"/>
    </row>
    <row r="65363" spans="1:100">
      <c r="A65363" s="374"/>
      <c r="C65363" s="374"/>
      <c r="CV65363" s="376"/>
    </row>
    <row r="65364" spans="1:100">
      <c r="A65364" s="374"/>
      <c r="C65364" s="374"/>
      <c r="CV65364" s="376"/>
    </row>
    <row r="65365" spans="1:100">
      <c r="A65365" s="374"/>
      <c r="C65365" s="374"/>
      <c r="CV65365" s="376"/>
    </row>
    <row r="65366" spans="1:100">
      <c r="A65366" s="374"/>
      <c r="C65366" s="374"/>
      <c r="CV65366" s="376"/>
    </row>
    <row r="65367" spans="1:100">
      <c r="A65367" s="374"/>
      <c r="C65367" s="374"/>
      <c r="CV65367" s="376"/>
    </row>
    <row r="65368" spans="1:100">
      <c r="A65368" s="374"/>
      <c r="C65368" s="374"/>
      <c r="CV65368" s="376"/>
    </row>
    <row r="65369" spans="1:100">
      <c r="A65369" s="374"/>
      <c r="C65369" s="374"/>
      <c r="CV65369" s="376"/>
    </row>
    <row r="65370" spans="1:100">
      <c r="A65370" s="374"/>
      <c r="C65370" s="374"/>
      <c r="CV65370" s="376"/>
    </row>
    <row r="65371" spans="1:100">
      <c r="A65371" s="374"/>
      <c r="C65371" s="374"/>
      <c r="CV65371" s="376"/>
    </row>
    <row r="65372" spans="1:100">
      <c r="A65372" s="374"/>
      <c r="C65372" s="374"/>
      <c r="CV65372" s="376"/>
    </row>
    <row r="65373" spans="1:100">
      <c r="A65373" s="374"/>
      <c r="C65373" s="374"/>
      <c r="CV65373" s="376"/>
    </row>
    <row r="65374" spans="1:100">
      <c r="A65374" s="374"/>
      <c r="C65374" s="374"/>
      <c r="CV65374" s="376"/>
    </row>
    <row r="65375" spans="1:100">
      <c r="A65375" s="374"/>
      <c r="C65375" s="374"/>
      <c r="CV65375" s="376"/>
    </row>
    <row r="65376" spans="1:100">
      <c r="A65376" s="374"/>
      <c r="C65376" s="374"/>
      <c r="CV65376" s="376"/>
    </row>
    <row r="65377" spans="1:100">
      <c r="A65377" s="374"/>
      <c r="C65377" s="374"/>
      <c r="CV65377" s="376"/>
    </row>
    <row r="65378" spans="1:100">
      <c r="A65378" s="374"/>
      <c r="C65378" s="374"/>
      <c r="CV65378" s="376"/>
    </row>
    <row r="65379" spans="1:100">
      <c r="A65379" s="374"/>
      <c r="C65379" s="374"/>
      <c r="CV65379" s="376"/>
    </row>
    <row r="65380" spans="1:100">
      <c r="A65380" s="374"/>
      <c r="C65380" s="374"/>
      <c r="CV65380" s="376"/>
    </row>
    <row r="65381" spans="1:100">
      <c r="A65381" s="374"/>
      <c r="C65381" s="374"/>
      <c r="CV65381" s="376"/>
    </row>
    <row r="65382" spans="1:100">
      <c r="A65382" s="374"/>
      <c r="C65382" s="374"/>
      <c r="CV65382" s="376"/>
    </row>
    <row r="65383" spans="1:100">
      <c r="A65383" s="374"/>
      <c r="C65383" s="374"/>
      <c r="CV65383" s="376"/>
    </row>
    <row r="65384" spans="1:100">
      <c r="A65384" s="374"/>
      <c r="C65384" s="374"/>
      <c r="CV65384" s="376"/>
    </row>
    <row r="65385" spans="1:100">
      <c r="A65385" s="374"/>
      <c r="C65385" s="374"/>
      <c r="CV65385" s="376"/>
    </row>
    <row r="65386" spans="1:100">
      <c r="A65386" s="374"/>
      <c r="C65386" s="374"/>
      <c r="CV65386" s="376"/>
    </row>
    <row r="65387" spans="1:100">
      <c r="A65387" s="374"/>
      <c r="C65387" s="374"/>
      <c r="CV65387" s="376"/>
    </row>
    <row r="65388" spans="1:100">
      <c r="A65388" s="374"/>
      <c r="C65388" s="374"/>
      <c r="CV65388" s="376"/>
    </row>
    <row r="65389" spans="1:100">
      <c r="A65389" s="374"/>
      <c r="C65389" s="374"/>
      <c r="CV65389" s="376"/>
    </row>
    <row r="65390" spans="1:100">
      <c r="A65390" s="374"/>
      <c r="C65390" s="374"/>
      <c r="CV65390" s="376"/>
    </row>
    <row r="65391" spans="1:100">
      <c r="A65391" s="374"/>
      <c r="C65391" s="374"/>
      <c r="CV65391" s="376"/>
    </row>
    <row r="65392" spans="1:100">
      <c r="A65392" s="374"/>
      <c r="C65392" s="374"/>
      <c r="CV65392" s="376"/>
    </row>
    <row r="65393" spans="1:100">
      <c r="A65393" s="374"/>
      <c r="C65393" s="374"/>
      <c r="CV65393" s="376"/>
    </row>
    <row r="65394" spans="1:100">
      <c r="A65394" s="374"/>
      <c r="C65394" s="374"/>
      <c r="CV65394" s="376"/>
    </row>
    <row r="65395" spans="1:100">
      <c r="A65395" s="374"/>
      <c r="C65395" s="374"/>
      <c r="CV65395" s="376"/>
    </row>
    <row r="65396" spans="1:100">
      <c r="A65396" s="374"/>
      <c r="C65396" s="374"/>
      <c r="CV65396" s="376"/>
    </row>
    <row r="65397" spans="1:100">
      <c r="A65397" s="374"/>
      <c r="C65397" s="374"/>
      <c r="CV65397" s="376"/>
    </row>
    <row r="65398" spans="1:100">
      <c r="A65398" s="374"/>
      <c r="C65398" s="374"/>
      <c r="CV65398" s="376"/>
    </row>
    <row r="65399" spans="1:100">
      <c r="A65399" s="374"/>
      <c r="C65399" s="374"/>
      <c r="CV65399" s="376"/>
    </row>
    <row r="65400" spans="1:100">
      <c r="A65400" s="374"/>
      <c r="C65400" s="374"/>
      <c r="CV65400" s="376"/>
    </row>
    <row r="65401" spans="1:100">
      <c r="A65401" s="374"/>
      <c r="C65401" s="374"/>
      <c r="CV65401" s="376"/>
    </row>
    <row r="65402" spans="1:100">
      <c r="A65402" s="374"/>
      <c r="C65402" s="374"/>
      <c r="CV65402" s="376"/>
    </row>
    <row r="65403" spans="1:100">
      <c r="A65403" s="374"/>
      <c r="C65403" s="374"/>
      <c r="CV65403" s="376"/>
    </row>
    <row r="65404" spans="1:100">
      <c r="A65404" s="374"/>
      <c r="C65404" s="374"/>
      <c r="CV65404" s="376"/>
    </row>
    <row r="65405" spans="1:100">
      <c r="A65405" s="374"/>
      <c r="C65405" s="374"/>
      <c r="CV65405" s="376"/>
    </row>
    <row r="65406" spans="1:100">
      <c r="A65406" s="374"/>
      <c r="C65406" s="374"/>
      <c r="CV65406" s="376"/>
    </row>
    <row r="65407" spans="1:100">
      <c r="A65407" s="374"/>
      <c r="C65407" s="374"/>
      <c r="CV65407" s="376"/>
    </row>
    <row r="65408" spans="1:100">
      <c r="A65408" s="374"/>
      <c r="C65408" s="374"/>
      <c r="CV65408" s="376"/>
    </row>
    <row r="65409" spans="1:100">
      <c r="A65409" s="374"/>
      <c r="C65409" s="374"/>
      <c r="CV65409" s="376"/>
    </row>
    <row r="65410" spans="1:100">
      <c r="A65410" s="374"/>
      <c r="C65410" s="374"/>
      <c r="CV65410" s="376"/>
    </row>
    <row r="65411" spans="1:100">
      <c r="A65411" s="374"/>
      <c r="C65411" s="374"/>
      <c r="CV65411" s="376"/>
    </row>
    <row r="65412" spans="1:100">
      <c r="A65412" s="374"/>
      <c r="C65412" s="374"/>
      <c r="CV65412" s="376"/>
    </row>
    <row r="65413" spans="1:100">
      <c r="A65413" s="374"/>
      <c r="C65413" s="374"/>
      <c r="CV65413" s="376"/>
    </row>
    <row r="65414" spans="1:100">
      <c r="A65414" s="374"/>
      <c r="C65414" s="374"/>
      <c r="CV65414" s="376"/>
    </row>
    <row r="65415" spans="1:100">
      <c r="A65415" s="374"/>
      <c r="C65415" s="374"/>
      <c r="CV65415" s="376"/>
    </row>
    <row r="65416" spans="1:100">
      <c r="A65416" s="374"/>
      <c r="C65416" s="374"/>
      <c r="CV65416" s="376"/>
    </row>
    <row r="65417" spans="1:100">
      <c r="A65417" s="374"/>
      <c r="C65417" s="374"/>
      <c r="CV65417" s="376"/>
    </row>
    <row r="65418" spans="1:100">
      <c r="A65418" s="374"/>
      <c r="C65418" s="374"/>
      <c r="CV65418" s="376"/>
    </row>
    <row r="65419" spans="1:100">
      <c r="A65419" s="374"/>
      <c r="C65419" s="374"/>
      <c r="CV65419" s="376"/>
    </row>
    <row r="65420" spans="1:100">
      <c r="A65420" s="374"/>
      <c r="C65420" s="374"/>
      <c r="CV65420" s="376"/>
    </row>
    <row r="65421" spans="1:100">
      <c r="A65421" s="374"/>
      <c r="C65421" s="374"/>
      <c r="CV65421" s="376"/>
    </row>
    <row r="65422" spans="1:100">
      <c r="A65422" s="374"/>
      <c r="C65422" s="374"/>
      <c r="CV65422" s="376"/>
    </row>
    <row r="65423" spans="1:100">
      <c r="A65423" s="374"/>
      <c r="C65423" s="374"/>
      <c r="CV65423" s="376"/>
    </row>
    <row r="65424" spans="1:100">
      <c r="A65424" s="374"/>
      <c r="C65424" s="374"/>
      <c r="CV65424" s="376"/>
    </row>
    <row r="65425" spans="1:100">
      <c r="A65425" s="374"/>
      <c r="C65425" s="374"/>
      <c r="CV65425" s="376"/>
    </row>
    <row r="65426" spans="1:100">
      <c r="A65426" s="374"/>
      <c r="C65426" s="374"/>
      <c r="CV65426" s="376"/>
    </row>
    <row r="65427" spans="1:100">
      <c r="A65427" s="374"/>
      <c r="C65427" s="374"/>
      <c r="CV65427" s="376"/>
    </row>
    <row r="65428" spans="1:100">
      <c r="A65428" s="374"/>
      <c r="C65428" s="374"/>
      <c r="CV65428" s="376"/>
    </row>
    <row r="65429" spans="1:100">
      <c r="A65429" s="374"/>
      <c r="C65429" s="374"/>
      <c r="CV65429" s="376"/>
    </row>
    <row r="65430" spans="1:100">
      <c r="A65430" s="374"/>
      <c r="C65430" s="374"/>
      <c r="CV65430" s="376"/>
    </row>
    <row r="65431" spans="1:100">
      <c r="A65431" s="374"/>
      <c r="C65431" s="374"/>
      <c r="CV65431" s="376"/>
    </row>
    <row r="65432" spans="1:100">
      <c r="A65432" s="374"/>
      <c r="C65432" s="374"/>
      <c r="CV65432" s="376"/>
    </row>
    <row r="65433" spans="1:100">
      <c r="A65433" s="374"/>
      <c r="C65433" s="374"/>
      <c r="CV65433" s="376"/>
    </row>
    <row r="65434" spans="1:100">
      <c r="A65434" s="374"/>
      <c r="C65434" s="374"/>
      <c r="CV65434" s="376"/>
    </row>
    <row r="65435" spans="1:100">
      <c r="A65435" s="374"/>
      <c r="C65435" s="374"/>
      <c r="CV65435" s="376"/>
    </row>
    <row r="65436" spans="1:100">
      <c r="A65436" s="374"/>
      <c r="C65436" s="374"/>
      <c r="CV65436" s="376"/>
    </row>
    <row r="65437" spans="1:100">
      <c r="A65437" s="374"/>
      <c r="C65437" s="374"/>
      <c r="CV65437" s="376"/>
    </row>
    <row r="65438" spans="1:100">
      <c r="A65438" s="374"/>
      <c r="C65438" s="374"/>
      <c r="CV65438" s="376"/>
    </row>
    <row r="65439" spans="1:100">
      <c r="A65439" s="374"/>
      <c r="C65439" s="374"/>
      <c r="CV65439" s="376"/>
    </row>
    <row r="65440" spans="1:100">
      <c r="A65440" s="374"/>
      <c r="C65440" s="374"/>
      <c r="CV65440" s="376"/>
    </row>
    <row r="65441" spans="1:100">
      <c r="A65441" s="374"/>
      <c r="C65441" s="374"/>
      <c r="CV65441" s="376"/>
    </row>
    <row r="65442" spans="1:100">
      <c r="A65442" s="374"/>
      <c r="C65442" s="374"/>
      <c r="CV65442" s="376"/>
    </row>
    <row r="65443" spans="1:100">
      <c r="A65443" s="374"/>
      <c r="C65443" s="374"/>
      <c r="CV65443" s="376"/>
    </row>
    <row r="65444" spans="1:100">
      <c r="A65444" s="374"/>
      <c r="C65444" s="374"/>
      <c r="CV65444" s="376"/>
    </row>
    <row r="65445" spans="1:100">
      <c r="A65445" s="374"/>
      <c r="C65445" s="374"/>
      <c r="CV65445" s="376"/>
    </row>
    <row r="65446" spans="1:100">
      <c r="A65446" s="374"/>
      <c r="C65446" s="374"/>
      <c r="CV65446" s="376"/>
    </row>
    <row r="65447" spans="1:100">
      <c r="A65447" s="374"/>
      <c r="C65447" s="374"/>
      <c r="CV65447" s="376"/>
    </row>
    <row r="65448" spans="1:100">
      <c r="A65448" s="374"/>
      <c r="C65448" s="374"/>
      <c r="CV65448" s="376"/>
    </row>
    <row r="65449" spans="1:100">
      <c r="A65449" s="374"/>
      <c r="C65449" s="374"/>
      <c r="CV65449" s="376"/>
    </row>
    <row r="65450" spans="1:100">
      <c r="A65450" s="374"/>
      <c r="C65450" s="374"/>
      <c r="CV65450" s="376"/>
    </row>
    <row r="65451" spans="1:100">
      <c r="A65451" s="374"/>
      <c r="C65451" s="374"/>
      <c r="CV65451" s="376"/>
    </row>
    <row r="65452" spans="1:100">
      <c r="A65452" s="374"/>
      <c r="C65452" s="374"/>
      <c r="CV65452" s="376"/>
    </row>
    <row r="65453" spans="1:100">
      <c r="A65453" s="374"/>
      <c r="C65453" s="374"/>
      <c r="CV65453" s="376"/>
    </row>
    <row r="65454" spans="1:100">
      <c r="A65454" s="374"/>
      <c r="C65454" s="374"/>
      <c r="CV65454" s="376"/>
    </row>
    <row r="65455" spans="1:100">
      <c r="A65455" s="374"/>
      <c r="C65455" s="374"/>
      <c r="CV65455" s="376"/>
    </row>
    <row r="65456" spans="1:100">
      <c r="A65456" s="374"/>
      <c r="C65456" s="374"/>
      <c r="CV65456" s="376"/>
    </row>
    <row r="65457" spans="1:100">
      <c r="A65457" s="374"/>
      <c r="C65457" s="374"/>
      <c r="CV65457" s="376"/>
    </row>
    <row r="65458" spans="1:100">
      <c r="A65458" s="374"/>
      <c r="C65458" s="374"/>
      <c r="CV65458" s="376"/>
    </row>
    <row r="65459" spans="1:100">
      <c r="A65459" s="374"/>
      <c r="C65459" s="374"/>
      <c r="CV65459" s="376"/>
    </row>
    <row r="65460" spans="1:100">
      <c r="A65460" s="374"/>
      <c r="C65460" s="374"/>
      <c r="CV65460" s="376"/>
    </row>
    <row r="65461" spans="1:100">
      <c r="A65461" s="374"/>
      <c r="C65461" s="374"/>
      <c r="CV65461" s="376"/>
    </row>
    <row r="65462" spans="1:100">
      <c r="A65462" s="374"/>
      <c r="C65462" s="374"/>
      <c r="CV65462" s="376"/>
    </row>
    <row r="65463" spans="1:100">
      <c r="A65463" s="374"/>
      <c r="C65463" s="374"/>
      <c r="CV65463" s="376"/>
    </row>
    <row r="65464" spans="1:100">
      <c r="A65464" s="374"/>
      <c r="C65464" s="374"/>
      <c r="CV65464" s="376"/>
    </row>
    <row r="65465" spans="1:100">
      <c r="A65465" s="374"/>
      <c r="C65465" s="374"/>
      <c r="CV65465" s="376"/>
    </row>
    <row r="65466" spans="1:100">
      <c r="A65466" s="374"/>
      <c r="C65466" s="374"/>
      <c r="CV65466" s="376"/>
    </row>
    <row r="65467" spans="1:100">
      <c r="A65467" s="374"/>
      <c r="C65467" s="374"/>
      <c r="CV65467" s="376"/>
    </row>
    <row r="65468" spans="1:100">
      <c r="A65468" s="374"/>
      <c r="C65468" s="374"/>
      <c r="CV65468" s="376"/>
    </row>
    <row r="65469" spans="1:100">
      <c r="A65469" s="374"/>
      <c r="C65469" s="374"/>
      <c r="CV65469" s="376"/>
    </row>
    <row r="65470" spans="1:100">
      <c r="A65470" s="374"/>
      <c r="C65470" s="374"/>
      <c r="CV65470" s="376"/>
    </row>
    <row r="65471" spans="1:100">
      <c r="A65471" s="374"/>
      <c r="C65471" s="374"/>
      <c r="CV65471" s="376"/>
    </row>
    <row r="65472" spans="1:100">
      <c r="A65472" s="374"/>
      <c r="C65472" s="374"/>
      <c r="CV65472" s="376"/>
    </row>
    <row r="65473" spans="1:100">
      <c r="A65473" s="374"/>
      <c r="C65473" s="374"/>
      <c r="CV65473" s="376"/>
    </row>
    <row r="65474" spans="1:100">
      <c r="A65474" s="374"/>
      <c r="C65474" s="374"/>
      <c r="CV65474" s="376"/>
    </row>
    <row r="65475" spans="1:100">
      <c r="A65475" s="374"/>
      <c r="C65475" s="374"/>
      <c r="CV65475" s="376"/>
    </row>
    <row r="65476" spans="1:100">
      <c r="A65476" s="374"/>
      <c r="C65476" s="374"/>
      <c r="CV65476" s="376"/>
    </row>
    <row r="65477" spans="1:100">
      <c r="A65477" s="374"/>
      <c r="C65477" s="374"/>
      <c r="CV65477" s="376"/>
    </row>
    <row r="65478" spans="1:100">
      <c r="A65478" s="374"/>
      <c r="C65478" s="374"/>
      <c r="CV65478" s="376"/>
    </row>
    <row r="65479" spans="1:100">
      <c r="A65479" s="374"/>
      <c r="C65479" s="374"/>
      <c r="CV65479" s="376"/>
    </row>
    <row r="65480" spans="1:100">
      <c r="A65480" s="374"/>
      <c r="C65480" s="374"/>
      <c r="CV65480" s="376"/>
    </row>
    <row r="65481" spans="1:100">
      <c r="A65481" s="374"/>
      <c r="C65481" s="374"/>
      <c r="CV65481" s="376"/>
    </row>
    <row r="65482" spans="1:100">
      <c r="A65482" s="374"/>
      <c r="C65482" s="374"/>
      <c r="CV65482" s="376"/>
    </row>
    <row r="65483" spans="1:100">
      <c r="A65483" s="374"/>
      <c r="C65483" s="374"/>
      <c r="CV65483" s="376"/>
    </row>
    <row r="65484" spans="1:100">
      <c r="A65484" s="374"/>
      <c r="C65484" s="374"/>
      <c r="CV65484" s="376"/>
    </row>
    <row r="65485" spans="1:100">
      <c r="A65485" s="374"/>
      <c r="C65485" s="374"/>
      <c r="CV65485" s="376"/>
    </row>
    <row r="65486" spans="1:100">
      <c r="A65486" s="374"/>
      <c r="C65486" s="374"/>
      <c r="CV65486" s="376"/>
    </row>
    <row r="65487" spans="1:100">
      <c r="A65487" s="374"/>
      <c r="C65487" s="374"/>
      <c r="CV65487" s="376"/>
    </row>
    <row r="65488" spans="1:100">
      <c r="A65488" s="374"/>
      <c r="C65488" s="374"/>
      <c r="CV65488" s="376"/>
    </row>
    <row r="65489" spans="1:100">
      <c r="A65489" s="374"/>
      <c r="C65489" s="374"/>
      <c r="CV65489" s="376"/>
    </row>
    <row r="65490" spans="1:100">
      <c r="A65490" s="374"/>
      <c r="C65490" s="374"/>
      <c r="CV65490" s="376"/>
    </row>
    <row r="65491" spans="1:100">
      <c r="A65491" s="374"/>
      <c r="C65491" s="374"/>
      <c r="CV65491" s="376"/>
    </row>
    <row r="65492" spans="1:100">
      <c r="A65492" s="374"/>
      <c r="C65492" s="374"/>
      <c r="CV65492" s="376"/>
    </row>
    <row r="65493" spans="1:100">
      <c r="A65493" s="374"/>
      <c r="C65493" s="374"/>
      <c r="CV65493" s="376"/>
    </row>
    <row r="65494" spans="1:100">
      <c r="A65494" s="374"/>
      <c r="C65494" s="374"/>
      <c r="CV65494" s="376"/>
    </row>
    <row r="65495" spans="1:100">
      <c r="A65495" s="374"/>
      <c r="C65495" s="374"/>
      <c r="CV65495" s="376"/>
    </row>
    <row r="65496" spans="1:100">
      <c r="A65496" s="374"/>
      <c r="C65496" s="374"/>
      <c r="CV65496" s="376"/>
    </row>
    <row r="65497" spans="1:100">
      <c r="A65497" s="374"/>
      <c r="C65497" s="374"/>
      <c r="CV65497" s="376"/>
    </row>
    <row r="65498" spans="1:100">
      <c r="A65498" s="374"/>
      <c r="C65498" s="374"/>
      <c r="CV65498" s="376"/>
    </row>
    <row r="65499" spans="1:100">
      <c r="A65499" s="374"/>
      <c r="C65499" s="374"/>
      <c r="CV65499" s="376"/>
    </row>
    <row r="65500" spans="1:100">
      <c r="A65500" s="374"/>
      <c r="C65500" s="374"/>
      <c r="CV65500" s="376"/>
    </row>
    <row r="65501" spans="1:100">
      <c r="A65501" s="374"/>
      <c r="C65501" s="374"/>
      <c r="CV65501" s="376"/>
    </row>
    <row r="65502" spans="1:100">
      <c r="A65502" s="374"/>
      <c r="C65502" s="374"/>
      <c r="CV65502" s="376"/>
    </row>
    <row r="65503" spans="1:100">
      <c r="A65503" s="374"/>
      <c r="C65503" s="374"/>
      <c r="CV65503" s="376"/>
    </row>
    <row r="65504" spans="1:100">
      <c r="A65504" s="374"/>
      <c r="C65504" s="374"/>
      <c r="CV65504" s="376"/>
    </row>
    <row r="65505" spans="1:100">
      <c r="A65505" s="374"/>
      <c r="C65505" s="374"/>
      <c r="CV65505" s="376"/>
    </row>
    <row r="65506" spans="1:100">
      <c r="A65506" s="374"/>
      <c r="C65506" s="374"/>
      <c r="CV65506" s="376"/>
    </row>
    <row r="65507" spans="1:100">
      <c r="A65507" s="374"/>
      <c r="C65507" s="374"/>
      <c r="CV65507" s="376"/>
    </row>
    <row r="65508" spans="1:100">
      <c r="A65508" s="374"/>
      <c r="C65508" s="374"/>
      <c r="CV65508" s="376"/>
    </row>
    <row r="65509" spans="1:100">
      <c r="A65509" s="374"/>
      <c r="C65509" s="374"/>
      <c r="CV65509" s="376"/>
    </row>
    <row r="65510" spans="1:100">
      <c r="A65510" s="374"/>
      <c r="C65510" s="374"/>
      <c r="CV65510" s="376"/>
    </row>
    <row r="65511" spans="1:100">
      <c r="A65511" s="374"/>
      <c r="C65511" s="374"/>
      <c r="CV65511" s="376"/>
    </row>
    <row r="65512" spans="1:100">
      <c r="A65512" s="374"/>
      <c r="C65512" s="374"/>
      <c r="CV65512" s="376"/>
    </row>
    <row r="65513" spans="1:100">
      <c r="A65513" s="374"/>
      <c r="C65513" s="374"/>
      <c r="CV65513" s="376"/>
    </row>
    <row r="65514" spans="1:100">
      <c r="A65514" s="374"/>
      <c r="C65514" s="374"/>
      <c r="CV65514" s="376"/>
    </row>
    <row r="65515" spans="1:100">
      <c r="A65515" s="374"/>
      <c r="C65515" s="374"/>
      <c r="CV65515" s="376"/>
    </row>
  </sheetData>
  <phoneticPr fontId="5" type="noConversion"/>
  <printOptions gridLinesSet="0"/>
  <pageMargins left="0" right="0" top="0" bottom="0" header="0" footer="0"/>
  <pageSetup scale="63" fitToHeight="0" orientation="landscape" r:id="rId1"/>
  <headerFooter alignWithMargins="0"/>
  <ignoredErrors>
    <ignoredError sqref="A3:EA3 A6:EA15 A5:CP5 CR5:EA5 A4:DS4 DU4:EA4 A49:EA53 A47:CP48 CR47:EA48 A57:EA57 A54:CP54 CR54:EA54 A55:CP55 CR55:EA55 A56:CP56 CR56:EA56 A17:EA19 A16:CQ16 CS16:EA16 A23:EA27 A22:CQ22 CV22:DU22 A21:EA21 A20:DT20 EA22 A29:EA35 A28:CQ28 CS28:EA28 A39:EA39 A37:CQ37 CS37:EA37 A36:CQ36 CS36:EA36 A38:CQ38 CS38:EA38 A41:EA46 A40:CQ40 CS40:EA40 A113:EA131 A106:CA106 CV106:EA106 A107:CQ107 CV107:DU107 A108:CQ108 CV108:DU108 A109:CQ109 CV109:DU109 A183:EA244 A182:CT182 CV182:EA182 A133:EA181 A132:CQ132 CV132:DU132 EA132 A112:DU112 EA112 EA107 EA108 EA109 A1:DS1 EA1 A2:DS2 EA2 A59:EA105 A58:DU58 DW58:EA58 DY20:EA20 EH3:XFD3 EH6:XFD15 EH5:XFD5 EH4:XFD4 EH49:XFD53 EH47:XFD48 EH57:XFD57 EH54:XFD54 EH55:XFD55 EH56:XFD56 EH17:XFD19 EH16:XFD16 EH23:XFD27 EH21:XFD21 EH22:XFD22 EH29:XFD35 EH28:XFD28 EH39:XFD39 EH37:XFD37 EH36:XFD36 EH38:XFD38 EH41:XFD46 EH40:XFD40 EH113:XFD131 EH106:XFD106 EH183:XFD244 EH182:XFD182 EH133:XFD181 EH132:XFD132 EH112:XFD112 EH107:XFD107 EH108:XFD108 EH109:XFD109 EH1:XFD1 EH2:XFD2 EH59:XFD105 EH58:XFD58 EH20:XFD20 A246:EA1048576 EH246:XFD1048576" unlockedFormula="1"/>
  </ignoredErrors>
  <drawing r:id="rId2"/>
  <legacy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B1:EC107"/>
  <sheetViews>
    <sheetView zoomScale="85" zoomScaleNormal="85" workbookViewId="0">
      <pane xSplit="3" ySplit="4" topLeftCell="CO63" activePane="bottomRight" state="frozen"/>
      <selection pane="topRight" activeCell="D1" sqref="D1"/>
      <selection pane="bottomLeft" activeCell="A5" sqref="A5"/>
      <selection pane="bottomRight" activeCell="EB66" sqref="EB66"/>
    </sheetView>
  </sheetViews>
  <sheetFormatPr defaultRowHeight="12.75" outlineLevelRow="1" outlineLevelCol="1"/>
  <cols>
    <col min="1" max="1" width="3.5703125" style="974" customWidth="1"/>
    <col min="2" max="2" width="42.7109375" style="974" customWidth="1"/>
    <col min="3" max="3" width="3.5703125" style="974" customWidth="1"/>
    <col min="4" max="91" width="10.5703125" style="974" hidden="1" customWidth="1" outlineLevel="1"/>
    <col min="92" max="92" width="10.5703125" style="974" customWidth="1" collapsed="1"/>
    <col min="93" max="99" width="10.5703125" style="974" customWidth="1"/>
    <col min="100" max="100" width="3.5703125" style="974" customWidth="1"/>
    <col min="101" max="122" width="10.5703125" style="974" hidden="1" customWidth="1" outlineLevel="1"/>
    <col min="123" max="123" width="10.5703125" style="974" customWidth="1" collapsed="1"/>
    <col min="124" max="130" width="10.5703125" style="974" customWidth="1"/>
    <col min="131" max="131" width="3.5703125" style="974" customWidth="1"/>
    <col min="132" max="132" width="11.42578125" style="974" bestFit="1" customWidth="1"/>
    <col min="133" max="16384" width="9.140625" style="974"/>
  </cols>
  <sheetData>
    <row r="1" spans="2:130" ht="15">
      <c r="B1" s="374"/>
      <c r="CR1" s="1096"/>
      <c r="CS1" s="1096"/>
      <c r="CT1" s="1096"/>
      <c r="CU1" s="1096"/>
    </row>
    <row r="2" spans="2:130" ht="15">
      <c r="B2" s="123"/>
      <c r="CR2" s="1141"/>
      <c r="CS2" s="1141"/>
      <c r="CT2" s="1141"/>
      <c r="CU2" s="1141"/>
    </row>
    <row r="3" spans="2:130" ht="15">
      <c r="B3" s="374"/>
      <c r="CR3" s="1096"/>
      <c r="CS3" s="1096"/>
      <c r="CT3" s="1096"/>
      <c r="CU3" s="1096"/>
      <c r="DS3" s="1141"/>
      <c r="DT3" s="1141"/>
      <c r="DU3" s="1141"/>
      <c r="DV3" s="1141"/>
    </row>
    <row r="4" spans="2:130" ht="15">
      <c r="B4" s="364" t="s">
        <v>438</v>
      </c>
      <c r="C4" s="896"/>
      <c r="D4" s="1050" t="str">
        <f>Financials!D$4</f>
        <v>1Q95</v>
      </c>
      <c r="E4" s="1051" t="str">
        <f>Financials!E$4</f>
        <v>2Q95</v>
      </c>
      <c r="F4" s="1051" t="str">
        <f>Financials!F$4</f>
        <v>3Q95</v>
      </c>
      <c r="G4" s="1052" t="str">
        <f>Financials!G$4</f>
        <v>4Q95</v>
      </c>
      <c r="H4" s="1051" t="str">
        <f>Financials!H$4</f>
        <v>1Q96</v>
      </c>
      <c r="I4" s="1051" t="str">
        <f>Financials!I$4</f>
        <v>2Q96</v>
      </c>
      <c r="J4" s="1051" t="str">
        <f>Financials!J$4</f>
        <v>3Q96</v>
      </c>
      <c r="K4" s="1052" t="str">
        <f>Financials!K$4</f>
        <v>4Q96</v>
      </c>
      <c r="L4" s="1051" t="str">
        <f>Financials!L$4</f>
        <v>1Q97</v>
      </c>
      <c r="M4" s="1051" t="str">
        <f>Financials!M$4</f>
        <v>2Q97</v>
      </c>
      <c r="N4" s="1051" t="str">
        <f>Financials!N$4</f>
        <v>3Q97</v>
      </c>
      <c r="O4" s="1052" t="str">
        <f>Financials!O$4</f>
        <v>4Q97</v>
      </c>
      <c r="P4" s="1051" t="str">
        <f>Financials!P$4</f>
        <v>1Q98</v>
      </c>
      <c r="Q4" s="1051" t="str">
        <f>Financials!Q$4</f>
        <v>2Q98</v>
      </c>
      <c r="R4" s="1051" t="str">
        <f>Financials!R$4</f>
        <v>3Q98</v>
      </c>
      <c r="S4" s="1052" t="str">
        <f>Financials!S$4</f>
        <v>4Q98</v>
      </c>
      <c r="T4" s="1051" t="str">
        <f>Financials!T$4</f>
        <v>1Q99</v>
      </c>
      <c r="U4" s="1051" t="str">
        <f>Financials!U$4</f>
        <v>2Q99</v>
      </c>
      <c r="V4" s="1051" t="str">
        <f>Financials!V$4</f>
        <v>3Q99</v>
      </c>
      <c r="W4" s="1052" t="str">
        <f>Financials!W$4</f>
        <v>4Q99</v>
      </c>
      <c r="X4" s="1051" t="str">
        <f>Financials!X$4</f>
        <v>1Q00</v>
      </c>
      <c r="Y4" s="1051" t="str">
        <f>Financials!Y$4</f>
        <v>2Q00</v>
      </c>
      <c r="Z4" s="1051" t="str">
        <f>Financials!Z$4</f>
        <v>3Q00</v>
      </c>
      <c r="AA4" s="1052" t="str">
        <f>Financials!AA$4</f>
        <v>4Q00</v>
      </c>
      <c r="AB4" s="1051" t="str">
        <f>Financials!AB$4</f>
        <v>1Q01</v>
      </c>
      <c r="AC4" s="1051" t="str">
        <f>Financials!AC$4</f>
        <v>2Q01</v>
      </c>
      <c r="AD4" s="1051" t="str">
        <f>Financials!AD$4</f>
        <v>3Q01</v>
      </c>
      <c r="AE4" s="1052" t="str">
        <f>Financials!AE$4</f>
        <v>4Q01</v>
      </c>
      <c r="AF4" s="1051" t="str">
        <f>Financials!AF$4</f>
        <v>1Q02</v>
      </c>
      <c r="AG4" s="1051" t="str">
        <f>Financials!AG$4</f>
        <v>2Q02</v>
      </c>
      <c r="AH4" s="1051" t="str">
        <f>Financials!AH$4</f>
        <v>3Q02</v>
      </c>
      <c r="AI4" s="1052" t="str">
        <f>Financials!AI$4</f>
        <v>4Q02</v>
      </c>
      <c r="AJ4" s="1051" t="str">
        <f>Financials!AJ$4</f>
        <v>1Q03</v>
      </c>
      <c r="AK4" s="1051" t="str">
        <f>Financials!AK$4</f>
        <v>2Q03</v>
      </c>
      <c r="AL4" s="1051" t="str">
        <f>Financials!AL$4</f>
        <v>3Q03</v>
      </c>
      <c r="AM4" s="1052" t="str">
        <f>Financials!AM$4</f>
        <v>4Q03</v>
      </c>
      <c r="AN4" s="1051" t="str">
        <f>Financials!AN$4</f>
        <v>1Q04</v>
      </c>
      <c r="AO4" s="1051" t="str">
        <f>Financials!AO$4</f>
        <v>2Q04</v>
      </c>
      <c r="AP4" s="1051" t="str">
        <f>Financials!AP$4</f>
        <v>3Q04</v>
      </c>
      <c r="AQ4" s="1052" t="str">
        <f>Financials!AQ$4</f>
        <v>4Q04</v>
      </c>
      <c r="AR4" s="1051" t="str">
        <f>Financials!AR$4</f>
        <v>1Q05</v>
      </c>
      <c r="AS4" s="1051" t="str">
        <f>Financials!AS$4</f>
        <v>2Q05</v>
      </c>
      <c r="AT4" s="1051" t="str">
        <f>Financials!AT$4</f>
        <v>3Q05</v>
      </c>
      <c r="AU4" s="1052" t="str">
        <f>Financials!AU$4</f>
        <v>4Q05</v>
      </c>
      <c r="AV4" s="1051" t="str">
        <f>Financials!AV$4</f>
        <v>1Q06</v>
      </c>
      <c r="AW4" s="1051" t="str">
        <f>Financials!AW$4</f>
        <v>2Q06</v>
      </c>
      <c r="AX4" s="1051" t="str">
        <f>Financials!AX$4</f>
        <v>3Q06</v>
      </c>
      <c r="AY4" s="1052" t="str">
        <f>Financials!AY$4</f>
        <v>4Q06</v>
      </c>
      <c r="AZ4" s="1051" t="str">
        <f>Financials!AZ$4</f>
        <v>1Q07</v>
      </c>
      <c r="BA4" s="1051" t="str">
        <f>Financials!BA$4</f>
        <v>2Q07</v>
      </c>
      <c r="BB4" s="1051" t="str">
        <f>Financials!BB$4</f>
        <v>3Q07</v>
      </c>
      <c r="BC4" s="1052" t="str">
        <f>Financials!BC$4</f>
        <v>4Q07</v>
      </c>
      <c r="BD4" s="1051" t="str">
        <f>Financials!BD$4</f>
        <v>1Q08</v>
      </c>
      <c r="BE4" s="1051" t="str">
        <f>Financials!BE$4</f>
        <v>2Q08</v>
      </c>
      <c r="BF4" s="1051" t="str">
        <f>Financials!BF$4</f>
        <v>3Q08</v>
      </c>
      <c r="BG4" s="1052" t="str">
        <f>Financials!BG$4</f>
        <v>4Q08</v>
      </c>
      <c r="BH4" s="1051" t="str">
        <f>Financials!BH$4</f>
        <v>1Q09</v>
      </c>
      <c r="BI4" s="1051" t="str">
        <f>Financials!BI$4</f>
        <v>2Q09</v>
      </c>
      <c r="BJ4" s="1051" t="str">
        <f>Financials!BJ$4</f>
        <v>3Q09</v>
      </c>
      <c r="BK4" s="1052" t="str">
        <f>Financials!BK$4</f>
        <v>4Q09</v>
      </c>
      <c r="BL4" s="1051" t="str">
        <f>Financials!BL$4</f>
        <v>1Q10</v>
      </c>
      <c r="BM4" s="1051" t="str">
        <f>Financials!BM$4</f>
        <v>2Q10</v>
      </c>
      <c r="BN4" s="1051" t="str">
        <f>Financials!BN$4</f>
        <v>3Q10</v>
      </c>
      <c r="BO4" s="1052" t="str">
        <f>Financials!BO$4</f>
        <v>4Q10</v>
      </c>
      <c r="BP4" s="1051" t="str">
        <f>Financials!BP$4</f>
        <v>1Q11</v>
      </c>
      <c r="BQ4" s="1051" t="str">
        <f>Financials!BQ$4</f>
        <v>2Q11</v>
      </c>
      <c r="BR4" s="1051" t="str">
        <f>Financials!BR$4</f>
        <v>3Q11</v>
      </c>
      <c r="BS4" s="1052" t="str">
        <f>Financials!BS$4</f>
        <v>4Q11</v>
      </c>
      <c r="BT4" s="1051" t="str">
        <f>Financials!BT$4</f>
        <v>1Q12</v>
      </c>
      <c r="BU4" s="1051" t="str">
        <f>Financials!BU$4</f>
        <v>2Q12</v>
      </c>
      <c r="BV4" s="1051" t="str">
        <f>Financials!BV$4</f>
        <v>3Q12</v>
      </c>
      <c r="BW4" s="1052" t="str">
        <f>Financials!BW$4</f>
        <v>4Q12</v>
      </c>
      <c r="BX4" s="1051" t="str">
        <f>Financials!BX$4</f>
        <v>1Q13</v>
      </c>
      <c r="BY4" s="1051" t="str">
        <f>Financials!BY$4</f>
        <v>2Q13</v>
      </c>
      <c r="BZ4" s="1051" t="str">
        <f>Financials!BZ$4</f>
        <v>3Q13</v>
      </c>
      <c r="CA4" s="1052" t="str">
        <f>Financials!CA$4</f>
        <v>4Q13</v>
      </c>
      <c r="CB4" s="1051" t="str">
        <f>Financials!CB$4</f>
        <v>1Q14</v>
      </c>
      <c r="CC4" s="1051" t="str">
        <f>Financials!CC$4</f>
        <v>2Q14</v>
      </c>
      <c r="CD4" s="1051" t="str">
        <f>Financials!CD$4</f>
        <v>3Q14</v>
      </c>
      <c r="CE4" s="1052" t="str">
        <f>Financials!CE$4</f>
        <v>4Q14</v>
      </c>
      <c r="CF4" s="1051" t="str">
        <f>Financials!CF$4</f>
        <v>1Q15</v>
      </c>
      <c r="CG4" s="1051" t="str">
        <f>Financials!CG$4</f>
        <v>2Q15</v>
      </c>
      <c r="CH4" s="1051" t="str">
        <f>Financials!CH$4</f>
        <v>3Q15</v>
      </c>
      <c r="CI4" s="1052" t="str">
        <f>Financials!CI$4</f>
        <v>4Q15</v>
      </c>
      <c r="CJ4" s="1051" t="str">
        <f>Financials!CJ$4</f>
        <v>1Q16</v>
      </c>
      <c r="CK4" s="1051" t="str">
        <f>Financials!CK$4</f>
        <v>2Q16</v>
      </c>
      <c r="CL4" s="1051" t="str">
        <f>Financials!CL$4</f>
        <v>3Q16</v>
      </c>
      <c r="CM4" s="1052" t="str">
        <f>Financials!CM$4</f>
        <v>4Q16</v>
      </c>
      <c r="CN4" s="1051" t="str">
        <f>Financials!CN$4</f>
        <v>1Q17</v>
      </c>
      <c r="CO4" s="1051" t="str">
        <f>Financials!CO$4</f>
        <v>2Q17</v>
      </c>
      <c r="CP4" s="1051" t="str">
        <f>Financials!CP$4</f>
        <v>3Q17</v>
      </c>
      <c r="CQ4" s="1052" t="str">
        <f>Financials!CQ$4</f>
        <v>4Q17</v>
      </c>
      <c r="CR4" s="1051" t="str">
        <f>Financials!CR$4</f>
        <v>1Q18e</v>
      </c>
      <c r="CS4" s="1051" t="str">
        <f>Financials!CS$4</f>
        <v>2Q18e</v>
      </c>
      <c r="CT4" s="1051" t="str">
        <f>Financials!CT$4</f>
        <v>3Q18e</v>
      </c>
      <c r="CU4" s="1052" t="str">
        <f>Financials!CU$4</f>
        <v>4Q18e</v>
      </c>
      <c r="CV4" s="376"/>
      <c r="CW4" s="366">
        <f>Financials!CW$4</f>
        <v>1994</v>
      </c>
      <c r="CX4" s="366">
        <f>Financials!CX$4</f>
        <v>1995</v>
      </c>
      <c r="CY4" s="366">
        <f>Financials!CY$4</f>
        <v>1996</v>
      </c>
      <c r="CZ4" s="366">
        <f>Financials!CZ$4</f>
        <v>1997</v>
      </c>
      <c r="DA4" s="366">
        <f>Financials!DA$4</f>
        <v>1998</v>
      </c>
      <c r="DB4" s="366">
        <f>Financials!DB$4</f>
        <v>1999</v>
      </c>
      <c r="DC4" s="366">
        <f>Financials!DC$4</f>
        <v>2000</v>
      </c>
      <c r="DD4" s="366">
        <f>Financials!DD$4</f>
        <v>2001</v>
      </c>
      <c r="DE4" s="366">
        <f>Financials!DE$4</f>
        <v>2002</v>
      </c>
      <c r="DF4" s="366">
        <f>Financials!DF$4</f>
        <v>2003</v>
      </c>
      <c r="DG4" s="366">
        <f>Financials!DG$4</f>
        <v>2004</v>
      </c>
      <c r="DH4" s="366">
        <f>Financials!DH$4</f>
        <v>2005</v>
      </c>
      <c r="DI4" s="366">
        <f>Financials!DI$4</f>
        <v>2006</v>
      </c>
      <c r="DJ4" s="366">
        <f>Financials!DJ$4</f>
        <v>2007</v>
      </c>
      <c r="DK4" s="366">
        <f>Financials!DK$4</f>
        <v>2008</v>
      </c>
      <c r="DL4" s="366">
        <f>Financials!DL$4</f>
        <v>2009</v>
      </c>
      <c r="DM4" s="366">
        <f>Financials!DM$4</f>
        <v>2010</v>
      </c>
      <c r="DN4" s="366">
        <f>Financials!DN$4</f>
        <v>2011</v>
      </c>
      <c r="DO4" s="366">
        <f>Financials!DO$4</f>
        <v>2012</v>
      </c>
      <c r="DP4" s="366">
        <f>Financials!DP$4</f>
        <v>2013</v>
      </c>
      <c r="DQ4" s="366">
        <f>Financials!DQ$4</f>
        <v>2014</v>
      </c>
      <c r="DR4" s="366">
        <f>Financials!DR$4</f>
        <v>2015</v>
      </c>
      <c r="DS4" s="366">
        <f>Financials!DS$4</f>
        <v>2016</v>
      </c>
      <c r="DT4" s="366">
        <f>Financials!DT$4</f>
        <v>2017</v>
      </c>
      <c r="DU4" s="366" t="str">
        <f>Financials!DU$4</f>
        <v>2018e</v>
      </c>
      <c r="DV4" s="366" t="str">
        <f>Financials!DV$4</f>
        <v>2019e</v>
      </c>
      <c r="DW4" s="366" t="str">
        <f>Financials!DW$4</f>
        <v>2020e</v>
      </c>
      <c r="DX4" s="366" t="str">
        <f>Financials!DX$4</f>
        <v>2021e</v>
      </c>
      <c r="DY4" s="366" t="str">
        <f>Financials!DY$4</f>
        <v>2022e</v>
      </c>
      <c r="DZ4" s="366" t="str">
        <f>Financials!DZ$4</f>
        <v>2023e</v>
      </c>
    </row>
    <row r="5" spans="2:130" ht="15">
      <c r="B5" s="975"/>
      <c r="C5" s="976"/>
      <c r="D5" s="977"/>
      <c r="E5" s="978"/>
      <c r="F5" s="978"/>
      <c r="G5" s="979"/>
      <c r="H5" s="978"/>
      <c r="I5" s="978"/>
      <c r="J5" s="978"/>
      <c r="K5" s="979"/>
      <c r="L5" s="978"/>
      <c r="M5" s="978"/>
      <c r="N5" s="978"/>
      <c r="O5" s="979"/>
      <c r="P5" s="978"/>
      <c r="Q5" s="978"/>
      <c r="R5" s="978"/>
      <c r="S5" s="979"/>
      <c r="T5" s="978"/>
      <c r="U5" s="978"/>
      <c r="V5" s="978"/>
      <c r="W5" s="979"/>
      <c r="X5" s="978">
        <v>1000000</v>
      </c>
      <c r="Y5" s="978"/>
      <c r="Z5" s="978"/>
      <c r="AA5" s="979"/>
      <c r="AB5" s="978"/>
      <c r="AC5" s="978"/>
      <c r="AD5" s="978"/>
      <c r="AE5" s="979"/>
      <c r="AF5" s="978"/>
      <c r="AG5" s="978"/>
      <c r="AH5" s="978"/>
      <c r="AI5" s="979"/>
      <c r="AJ5" s="978"/>
      <c r="AK5" s="978"/>
      <c r="AL5" s="978"/>
      <c r="AM5" s="979"/>
      <c r="AN5" s="978"/>
      <c r="AO5" s="978"/>
      <c r="AP5" s="978"/>
      <c r="AQ5" s="979"/>
      <c r="AR5" s="978"/>
      <c r="AS5" s="978"/>
      <c r="AT5" s="978"/>
      <c r="AU5" s="979"/>
      <c r="AV5" s="978"/>
      <c r="AW5" s="978"/>
      <c r="AX5" s="978"/>
      <c r="AY5" s="979"/>
      <c r="AZ5" s="978"/>
      <c r="BA5" s="978"/>
      <c r="BB5" s="978"/>
      <c r="BC5" s="979"/>
      <c r="BD5" s="978"/>
      <c r="BE5" s="978"/>
      <c r="BF5" s="978"/>
      <c r="BG5" s="979"/>
      <c r="BH5" s="978"/>
      <c r="BI5" s="978"/>
      <c r="BJ5" s="978"/>
      <c r="BK5" s="979"/>
      <c r="BL5" s="978"/>
      <c r="BM5" s="978"/>
      <c r="BN5" s="978"/>
      <c r="BO5" s="979"/>
      <c r="BP5" s="978"/>
      <c r="BQ5" s="978"/>
      <c r="BR5" s="978"/>
      <c r="BS5" s="979"/>
      <c r="BT5" s="978"/>
      <c r="BU5" s="978"/>
      <c r="BV5" s="978"/>
      <c r="BW5" s="979"/>
      <c r="BX5" s="978"/>
      <c r="BY5" s="978"/>
      <c r="BZ5" s="978"/>
      <c r="CA5" s="979"/>
      <c r="CB5" s="978"/>
      <c r="CC5" s="978"/>
      <c r="CD5" s="978"/>
      <c r="CE5" s="979"/>
      <c r="CF5" s="978"/>
      <c r="CG5" s="978"/>
      <c r="CH5" s="978"/>
      <c r="CI5" s="979"/>
      <c r="CJ5" s="978"/>
      <c r="CK5" s="978"/>
      <c r="CL5" s="978"/>
      <c r="CM5" s="980"/>
      <c r="CN5" s="588"/>
      <c r="CO5" s="588"/>
      <c r="CP5" s="978"/>
      <c r="CQ5" s="979"/>
      <c r="CR5" s="588"/>
      <c r="CS5" s="588"/>
      <c r="CT5" s="588"/>
      <c r="CU5" s="980"/>
      <c r="CV5" s="376"/>
      <c r="CW5" s="978"/>
      <c r="CX5" s="978"/>
      <c r="CY5" s="978"/>
      <c r="CZ5" s="978"/>
      <c r="DA5" s="978"/>
      <c r="DB5" s="978"/>
      <c r="DC5" s="978"/>
      <c r="DD5" s="978"/>
      <c r="DE5" s="978"/>
      <c r="DF5" s="978"/>
      <c r="DG5" s="978"/>
      <c r="DH5" s="978"/>
      <c r="DI5" s="978"/>
      <c r="DJ5" s="978"/>
      <c r="DK5" s="978"/>
      <c r="DL5" s="978"/>
      <c r="DM5" s="978"/>
      <c r="DN5" s="978"/>
      <c r="DO5" s="978"/>
      <c r="DP5" s="978"/>
      <c r="DQ5" s="665"/>
      <c r="DR5" s="665"/>
      <c r="DS5" s="665"/>
      <c r="DT5" s="665"/>
      <c r="DU5" s="665"/>
      <c r="DV5" s="665"/>
      <c r="DW5" s="665"/>
      <c r="DX5" s="665"/>
      <c r="DY5" s="665"/>
      <c r="DZ5" s="665"/>
    </row>
    <row r="6" spans="2:130" ht="15">
      <c r="B6" s="981" t="s">
        <v>425</v>
      </c>
      <c r="C6" s="982"/>
      <c r="D6" s="983"/>
      <c r="E6" s="984"/>
      <c r="F6" s="984"/>
      <c r="G6" s="985"/>
      <c r="H6" s="984"/>
      <c r="I6" s="984"/>
      <c r="J6" s="984"/>
      <c r="K6" s="985"/>
      <c r="L6" s="984"/>
      <c r="M6" s="984"/>
      <c r="N6" s="984"/>
      <c r="O6" s="985"/>
      <c r="P6" s="984"/>
      <c r="Q6" s="984"/>
      <c r="R6" s="984"/>
      <c r="S6" s="985"/>
      <c r="T6" s="984"/>
      <c r="U6" s="984"/>
      <c r="V6" s="984"/>
      <c r="W6" s="985"/>
      <c r="X6" s="984">
        <v>5.2303660000000001</v>
      </c>
      <c r="Y6" s="984">
        <v>5.1246780000000003</v>
      </c>
      <c r="Z6" s="984">
        <v>4.1685999999999996</v>
      </c>
      <c r="AA6" s="985">
        <v>4.8594549999999996</v>
      </c>
      <c r="AB6" s="984">
        <v>5.3222940000000003</v>
      </c>
      <c r="AC6" s="984">
        <v>5.0780469999999998</v>
      </c>
      <c r="AD6" s="984">
        <v>4.2500669999999996</v>
      </c>
      <c r="AE6" s="985">
        <v>4.6782009999999996</v>
      </c>
      <c r="AF6" s="984">
        <v>4.8881670000000002</v>
      </c>
      <c r="AG6" s="984">
        <v>5.0846200000000001</v>
      </c>
      <c r="AH6" s="984">
        <v>4.3723510000000001</v>
      </c>
      <c r="AI6" s="985">
        <v>4.7788409999999999</v>
      </c>
      <c r="AJ6" s="984">
        <v>4.944032</v>
      </c>
      <c r="AK6" s="984">
        <v>5.1103259999999997</v>
      </c>
      <c r="AL6" s="984">
        <v>4.3542870000000002</v>
      </c>
      <c r="AM6" s="985">
        <v>4.9846019999999998</v>
      </c>
      <c r="AN6" s="984">
        <v>5.1508219999999998</v>
      </c>
      <c r="AO6" s="984">
        <v>5.3865740000000004</v>
      </c>
      <c r="AP6" s="984">
        <v>4.6152139999999999</v>
      </c>
      <c r="AQ6" s="985">
        <v>5.0206119999999999</v>
      </c>
      <c r="AR6" s="984">
        <v>5.0712060000000001</v>
      </c>
      <c r="AS6" s="984">
        <v>5.4990199999999998</v>
      </c>
      <c r="AT6" s="984">
        <v>4.5420439999999997</v>
      </c>
      <c r="AU6" s="985">
        <v>5.0586380000000002</v>
      </c>
      <c r="AV6" s="984">
        <v>5.3903100000000004</v>
      </c>
      <c r="AW6" s="984">
        <v>5.4475280000000001</v>
      </c>
      <c r="AX6" s="984">
        <v>4.6529119999999997</v>
      </c>
      <c r="AY6" s="985">
        <v>5.2355720000000003</v>
      </c>
      <c r="AZ6" s="984">
        <v>5.6713149999999999</v>
      </c>
      <c r="BA6" s="984">
        <v>5.732151</v>
      </c>
      <c r="BB6" s="984">
        <v>4.9259870000000001</v>
      </c>
      <c r="BC6" s="985">
        <v>5.683745</v>
      </c>
      <c r="BD6" s="984">
        <v>5.8561379999999996</v>
      </c>
      <c r="BE6" s="984">
        <v>6.0182260000000003</v>
      </c>
      <c r="BF6" s="984">
        <v>4.8451129999999996</v>
      </c>
      <c r="BG6" s="985">
        <v>4.0658859999999999</v>
      </c>
      <c r="BH6" s="984">
        <v>3.4753910000000001</v>
      </c>
      <c r="BI6" s="984">
        <v>4.2936529999999999</v>
      </c>
      <c r="BJ6" s="984">
        <v>4.1406369999999999</v>
      </c>
      <c r="BK6" s="985">
        <v>4.5702309999999997</v>
      </c>
      <c r="BL6" s="984">
        <v>4.752739</v>
      </c>
      <c r="BM6" s="984">
        <v>5.0327830000000002</v>
      </c>
      <c r="BN6" s="984">
        <v>4.2869020000000004</v>
      </c>
      <c r="BO6" s="985">
        <v>4.9541339999999998</v>
      </c>
      <c r="BP6" s="984">
        <v>5.3316270000000001</v>
      </c>
      <c r="BQ6" s="984">
        <v>5.3191090000000001</v>
      </c>
      <c r="BR6" s="984">
        <v>4.5491700000000002</v>
      </c>
      <c r="BS6" s="985">
        <v>4.9828330000000003</v>
      </c>
      <c r="BT6" s="984">
        <v>5.2552079999999997</v>
      </c>
      <c r="BU6" s="984">
        <v>5.0169969999999999</v>
      </c>
      <c r="BV6" s="984">
        <v>4.3530069999999998</v>
      </c>
      <c r="BW6" s="985">
        <v>4.6739579999999998</v>
      </c>
      <c r="BX6" s="984">
        <v>4.820379</v>
      </c>
      <c r="BY6" s="984">
        <v>5.1531580000000003</v>
      </c>
      <c r="BZ6" s="984">
        <v>4.564165</v>
      </c>
      <c r="CA6" s="985">
        <v>4.961271</v>
      </c>
      <c r="CB6" s="984">
        <v>5.2343650000000004</v>
      </c>
      <c r="CC6" s="984">
        <v>5.3533439999999999</v>
      </c>
      <c r="CD6" s="984">
        <v>4.5665380000000004</v>
      </c>
      <c r="CE6" s="985">
        <v>4.9950599999999996</v>
      </c>
      <c r="CF6" s="984">
        <v>5.4447229999999998</v>
      </c>
      <c r="CG6" s="984">
        <v>5.4799429999999996</v>
      </c>
      <c r="CH6" s="984">
        <v>4.8107889999999998</v>
      </c>
      <c r="CI6" s="985">
        <v>5.2147160000000001</v>
      </c>
      <c r="CJ6" s="984">
        <v>5.5259080000000003</v>
      </c>
      <c r="CK6" s="984">
        <v>5.8989229999999999</v>
      </c>
      <c r="CL6" s="984">
        <v>4.7448290000000002</v>
      </c>
      <c r="CM6" s="986">
        <v>5.3704039999999997</v>
      </c>
      <c r="CN6" s="660">
        <v>5.854851</v>
      </c>
      <c r="CO6" s="660">
        <v>5.727468</v>
      </c>
      <c r="CP6" s="984">
        <v>5.0025630000000003</v>
      </c>
      <c r="CQ6" s="1170">
        <v>5.7971149999999998</v>
      </c>
      <c r="CR6" s="1128">
        <v>5.9115919999999997</v>
      </c>
      <c r="CS6" s="1128">
        <v>6.0254659999999998</v>
      </c>
      <c r="CT6" s="1128">
        <v>5.0789840000000002</v>
      </c>
      <c r="CU6" s="1129">
        <v>5.7607160000000004</v>
      </c>
      <c r="CV6" s="660"/>
      <c r="CW6" s="984"/>
      <c r="CX6" s="984"/>
      <c r="CY6" s="984"/>
      <c r="CZ6" s="984"/>
      <c r="DA6" s="984"/>
      <c r="DB6" s="984"/>
      <c r="DC6" s="987">
        <f>SUM(X6:AA6)</f>
        <v>19.383098999999998</v>
      </c>
      <c r="DD6" s="987">
        <f>SUM(AB6:AE6)</f>
        <v>19.328609</v>
      </c>
      <c r="DE6" s="987">
        <f>SUM(AF6:AI6)</f>
        <v>19.123978999999999</v>
      </c>
      <c r="DF6" s="987">
        <f>SUM(AJ6:AM6)</f>
        <v>19.393246999999999</v>
      </c>
      <c r="DG6" s="987">
        <f>SUM(AN6:AQ6)</f>
        <v>20.173222000000003</v>
      </c>
      <c r="DH6" s="987">
        <f>SUM(AR6:AU6)</f>
        <v>20.170907999999997</v>
      </c>
      <c r="DI6" s="987">
        <f>SUM(AV6:AY6)</f>
        <v>20.726322000000003</v>
      </c>
      <c r="DJ6" s="987">
        <f>SUM(AZ6:BC6)</f>
        <v>22.013198000000003</v>
      </c>
      <c r="DK6" s="987">
        <f>SUM(BD6:BG6)</f>
        <v>20.785362999999997</v>
      </c>
      <c r="DL6" s="987">
        <f>SUM(BH6:BK6)</f>
        <v>16.479911999999999</v>
      </c>
      <c r="DM6" s="987">
        <f>SUM(BL6:BO6)</f>
        <v>19.026558000000001</v>
      </c>
      <c r="DN6" s="987">
        <f>SUM(BP6:BS6)</f>
        <v>20.182739000000002</v>
      </c>
      <c r="DO6" s="987">
        <f>SUM(BT6:BW6)</f>
        <v>19.29917</v>
      </c>
      <c r="DP6" s="987">
        <f>SUM(BX6:CA6)</f>
        <v>19.498972999999999</v>
      </c>
      <c r="DQ6" s="987">
        <f>SUM(CB6:CE6)</f>
        <v>20.149307</v>
      </c>
      <c r="DR6" s="987">
        <f>SUM(CF6:CI6)</f>
        <v>20.950170999999997</v>
      </c>
      <c r="DS6" s="987">
        <f>SUM(CJ6:CM6)</f>
        <v>21.540064000000001</v>
      </c>
      <c r="DT6" s="988">
        <f>SUM(CN6:CQ6)</f>
        <v>22.381996999999998</v>
      </c>
      <c r="DU6" s="988">
        <f>SUM(CR6:CU6)</f>
        <v>22.776758000000001</v>
      </c>
      <c r="DV6" s="1130">
        <v>22.832283</v>
      </c>
      <c r="DW6" s="1130">
        <v>22.980007000000001</v>
      </c>
      <c r="DX6" s="1130">
        <v>23.387557000000001</v>
      </c>
      <c r="DY6" s="1130">
        <v>23.628457000000001</v>
      </c>
      <c r="DZ6" s="1130">
        <v>23.846972999999998</v>
      </c>
    </row>
    <row r="7" spans="2:130" ht="15">
      <c r="B7" s="989" t="s">
        <v>341</v>
      </c>
      <c r="C7" s="898"/>
      <c r="D7" s="990"/>
      <c r="E7" s="991"/>
      <c r="F7" s="991"/>
      <c r="G7" s="992"/>
      <c r="H7" s="991"/>
      <c r="I7" s="991"/>
      <c r="J7" s="991"/>
      <c r="K7" s="992"/>
      <c r="L7" s="991"/>
      <c r="M7" s="991"/>
      <c r="N7" s="991"/>
      <c r="O7" s="992"/>
      <c r="P7" s="991"/>
      <c r="Q7" s="991"/>
      <c r="R7" s="991"/>
      <c r="S7" s="992"/>
      <c r="T7" s="991"/>
      <c r="U7" s="991"/>
      <c r="V7" s="991"/>
      <c r="W7" s="992"/>
      <c r="X7" s="991"/>
      <c r="Y7" s="991">
        <f t="shared" ref="Y7:BD7" si="0">Y6/X6-1</f>
        <v>-2.0206616515937803E-2</v>
      </c>
      <c r="Z7" s="991">
        <f t="shared" si="0"/>
        <v>-0.18656352652791075</v>
      </c>
      <c r="AA7" s="992">
        <f t="shared" si="0"/>
        <v>0.16572830206784062</v>
      </c>
      <c r="AB7" s="991">
        <f t="shared" si="0"/>
        <v>9.5245042911190847E-2</v>
      </c>
      <c r="AC7" s="991">
        <f t="shared" si="0"/>
        <v>-4.5891301758226866E-2</v>
      </c>
      <c r="AD7" s="991">
        <f t="shared" si="0"/>
        <v>-0.16305087369218918</v>
      </c>
      <c r="AE7" s="992">
        <f t="shared" si="0"/>
        <v>0.10073582369407363</v>
      </c>
      <c r="AF7" s="991">
        <f t="shared" si="0"/>
        <v>4.4881782548462645E-2</v>
      </c>
      <c r="AG7" s="991">
        <f t="shared" si="0"/>
        <v>4.0189502527225418E-2</v>
      </c>
      <c r="AH7" s="991">
        <f t="shared" si="0"/>
        <v>-0.14008303472039207</v>
      </c>
      <c r="AI7" s="992">
        <f t="shared" si="0"/>
        <v>9.2968290972065049E-2</v>
      </c>
      <c r="AJ7" s="991">
        <f t="shared" si="0"/>
        <v>3.4567168064390419E-2</v>
      </c>
      <c r="AK7" s="991">
        <f t="shared" si="0"/>
        <v>3.3635300095145038E-2</v>
      </c>
      <c r="AL7" s="991">
        <f t="shared" si="0"/>
        <v>-0.14794339930564104</v>
      </c>
      <c r="AM7" s="992">
        <f t="shared" si="0"/>
        <v>0.14475733914645494</v>
      </c>
      <c r="AN7" s="991">
        <f t="shared" si="0"/>
        <v>3.334669448032157E-2</v>
      </c>
      <c r="AO7" s="991">
        <f t="shared" si="0"/>
        <v>4.5769781988195479E-2</v>
      </c>
      <c r="AP7" s="991">
        <f t="shared" si="0"/>
        <v>-0.14320048327564061</v>
      </c>
      <c r="AQ7" s="992">
        <f t="shared" si="0"/>
        <v>8.7839480466127773E-2</v>
      </c>
      <c r="AR7" s="991">
        <f t="shared" si="0"/>
        <v>1.007725751362587E-2</v>
      </c>
      <c r="AS7" s="991">
        <f t="shared" si="0"/>
        <v>8.4361392536607571E-2</v>
      </c>
      <c r="AT7" s="991">
        <f t="shared" si="0"/>
        <v>-0.17402664474760954</v>
      </c>
      <c r="AU7" s="992">
        <f t="shared" si="0"/>
        <v>0.11373601840933301</v>
      </c>
      <c r="AV7" s="991">
        <f t="shared" si="0"/>
        <v>6.556547434309401E-2</v>
      </c>
      <c r="AW7" s="991">
        <f t="shared" si="0"/>
        <v>1.0614973906881042E-2</v>
      </c>
      <c r="AX7" s="991">
        <f t="shared" si="0"/>
        <v>-0.14586726309621545</v>
      </c>
      <c r="AY7" s="992">
        <f t="shared" si="0"/>
        <v>0.12522480545516457</v>
      </c>
      <c r="AZ7" s="991">
        <f t="shared" si="0"/>
        <v>8.3227391391045513E-2</v>
      </c>
      <c r="BA7" s="991">
        <f t="shared" si="0"/>
        <v>1.072696543923235E-2</v>
      </c>
      <c r="BB7" s="991">
        <f t="shared" si="0"/>
        <v>-0.14063900270596497</v>
      </c>
      <c r="BC7" s="992">
        <f t="shared" si="0"/>
        <v>0.15382866418445684</v>
      </c>
      <c r="BD7" s="991">
        <f t="shared" si="0"/>
        <v>3.0330882191231145E-2</v>
      </c>
      <c r="BE7" s="991">
        <f t="shared" ref="BE7:CJ7" si="1">BE6/BD6-1</f>
        <v>2.7678309493389897E-2</v>
      </c>
      <c r="BF7" s="991">
        <f t="shared" si="1"/>
        <v>-0.19492671096100422</v>
      </c>
      <c r="BG7" s="992">
        <f t="shared" si="1"/>
        <v>-0.16082741517070909</v>
      </c>
      <c r="BH7" s="991">
        <f t="shared" si="1"/>
        <v>-0.14523156822399841</v>
      </c>
      <c r="BI7" s="991">
        <f t="shared" si="1"/>
        <v>0.23544458738599472</v>
      </c>
      <c r="BJ7" s="991">
        <f t="shared" si="1"/>
        <v>-3.563771921019232E-2</v>
      </c>
      <c r="BK7" s="992">
        <f t="shared" si="1"/>
        <v>0.10375070309230194</v>
      </c>
      <c r="BL7" s="991">
        <f t="shared" si="1"/>
        <v>3.9934086482718456E-2</v>
      </c>
      <c r="BM7" s="991">
        <f t="shared" si="1"/>
        <v>5.8922654915407824E-2</v>
      </c>
      <c r="BN7" s="991">
        <f t="shared" si="1"/>
        <v>-0.14820448249010532</v>
      </c>
      <c r="BO7" s="992">
        <f t="shared" si="1"/>
        <v>0.15564433243400466</v>
      </c>
      <c r="BP7" s="991">
        <f t="shared" si="1"/>
        <v>7.6197575600498446E-2</v>
      </c>
      <c r="BQ7" s="991">
        <f t="shared" si="1"/>
        <v>-2.3478761736333009E-3</v>
      </c>
      <c r="BR7" s="991">
        <f t="shared" si="1"/>
        <v>-0.14474961878013781</v>
      </c>
      <c r="BS7" s="992">
        <f t="shared" si="1"/>
        <v>9.532793894270819E-2</v>
      </c>
      <c r="BT7" s="991">
        <f t="shared" si="1"/>
        <v>5.4662678841534307E-2</v>
      </c>
      <c r="BU7" s="991">
        <f t="shared" si="1"/>
        <v>-4.5328557880106701E-2</v>
      </c>
      <c r="BV7" s="991">
        <f t="shared" si="1"/>
        <v>-0.13234809588285579</v>
      </c>
      <c r="BW7" s="992">
        <f t="shared" si="1"/>
        <v>7.3730871556144884E-2</v>
      </c>
      <c r="BX7" s="991">
        <f t="shared" si="1"/>
        <v>3.1326982399071612E-2</v>
      </c>
      <c r="BY7" s="991">
        <f t="shared" si="1"/>
        <v>6.9035857968844372E-2</v>
      </c>
      <c r="BZ7" s="991">
        <f t="shared" si="1"/>
        <v>-0.11429748515376403</v>
      </c>
      <c r="CA7" s="992">
        <f t="shared" si="1"/>
        <v>8.7005180575198349E-2</v>
      </c>
      <c r="CB7" s="991">
        <f t="shared" si="1"/>
        <v>5.5045168869025884E-2</v>
      </c>
      <c r="CC7" s="991">
        <f t="shared" si="1"/>
        <v>2.2730359843075476E-2</v>
      </c>
      <c r="CD7" s="991">
        <f t="shared" si="1"/>
        <v>-0.14697467601558944</v>
      </c>
      <c r="CE7" s="992">
        <f t="shared" si="1"/>
        <v>9.3839578253810396E-2</v>
      </c>
      <c r="CF7" s="991">
        <f t="shared" si="1"/>
        <v>9.0021541282787387E-2</v>
      </c>
      <c r="CG7" s="991">
        <f t="shared" si="1"/>
        <v>6.4686486346503536E-3</v>
      </c>
      <c r="CH7" s="991">
        <f t="shared" si="1"/>
        <v>-0.12210966427935466</v>
      </c>
      <c r="CI7" s="992">
        <f t="shared" si="1"/>
        <v>8.3962734595094624E-2</v>
      </c>
      <c r="CJ7" s="991">
        <f t="shared" si="1"/>
        <v>5.9675733060055469E-2</v>
      </c>
      <c r="CK7" s="991">
        <f t="shared" ref="CK7:CU7" si="2">CK6/CJ6-1</f>
        <v>6.7502933454556269E-2</v>
      </c>
      <c r="CL7" s="991">
        <f t="shared" si="2"/>
        <v>-0.19564486602045827</v>
      </c>
      <c r="CM7" s="992">
        <f t="shared" si="2"/>
        <v>0.13184352902918084</v>
      </c>
      <c r="CN7" s="991">
        <f t="shared" si="2"/>
        <v>9.0206807532543287E-2</v>
      </c>
      <c r="CO7" s="991">
        <f t="shared" si="2"/>
        <v>-2.1756830361694957E-2</v>
      </c>
      <c r="CP7" s="991">
        <f t="shared" si="2"/>
        <v>-0.1265663989742063</v>
      </c>
      <c r="CQ7" s="992">
        <f t="shared" si="2"/>
        <v>0.15882898426266689</v>
      </c>
      <c r="CR7" s="991">
        <f t="shared" si="2"/>
        <v>1.9747236340835084E-2</v>
      </c>
      <c r="CS7" s="991">
        <f t="shared" si="2"/>
        <v>1.9262831399731173E-2</v>
      </c>
      <c r="CT7" s="991">
        <f t="shared" si="2"/>
        <v>-0.15708029885157426</v>
      </c>
      <c r="CU7" s="992">
        <f t="shared" si="2"/>
        <v>0.1342260578099872</v>
      </c>
      <c r="CV7" s="416"/>
      <c r="CW7" s="991"/>
      <c r="CX7" s="991"/>
      <c r="CY7" s="991"/>
      <c r="CZ7" s="991"/>
      <c r="DA7" s="991"/>
      <c r="DB7" s="991"/>
      <c r="DC7" s="991"/>
      <c r="DD7" s="991"/>
      <c r="DE7" s="991"/>
      <c r="DF7" s="991"/>
      <c r="DG7" s="991"/>
      <c r="DH7" s="991"/>
      <c r="DI7" s="991"/>
      <c r="DJ7" s="991"/>
      <c r="DK7" s="991"/>
      <c r="DL7" s="991"/>
      <c r="DM7" s="991"/>
      <c r="DN7" s="991"/>
      <c r="DO7" s="991"/>
      <c r="DP7" s="991"/>
      <c r="DQ7" s="991"/>
      <c r="DR7" s="991"/>
      <c r="DS7" s="991"/>
      <c r="DT7" s="991"/>
      <c r="DU7" s="991"/>
      <c r="DV7" s="991"/>
      <c r="DW7" s="991"/>
      <c r="DX7" s="991"/>
      <c r="DY7" s="991"/>
      <c r="DZ7" s="991"/>
    </row>
    <row r="8" spans="2:130" ht="15">
      <c r="B8" s="989" t="s">
        <v>293</v>
      </c>
      <c r="C8" s="898"/>
      <c r="D8" s="990"/>
      <c r="E8" s="991"/>
      <c r="F8" s="991"/>
      <c r="G8" s="992"/>
      <c r="H8" s="991"/>
      <c r="I8" s="991"/>
      <c r="J8" s="991"/>
      <c r="K8" s="992"/>
      <c r="L8" s="991"/>
      <c r="M8" s="991"/>
      <c r="N8" s="991"/>
      <c r="O8" s="992"/>
      <c r="P8" s="991"/>
      <c r="Q8" s="991"/>
      <c r="R8" s="991"/>
      <c r="S8" s="992"/>
      <c r="T8" s="991"/>
      <c r="U8" s="991"/>
      <c r="V8" s="991"/>
      <c r="W8" s="992"/>
      <c r="X8" s="991"/>
      <c r="Y8" s="991"/>
      <c r="Z8" s="991"/>
      <c r="AA8" s="992"/>
      <c r="AB8" s="991">
        <f t="shared" ref="AB8:BG8" si="3">AB6/X6-1</f>
        <v>1.7575825477605278E-2</v>
      </c>
      <c r="AC8" s="991">
        <f t="shared" si="3"/>
        <v>-9.0993034098924008E-3</v>
      </c>
      <c r="AD8" s="991">
        <f t="shared" si="3"/>
        <v>1.9543012042412267E-2</v>
      </c>
      <c r="AE8" s="992">
        <f t="shared" si="3"/>
        <v>-3.7299244462599246E-2</v>
      </c>
      <c r="AF8" s="991">
        <f t="shared" si="3"/>
        <v>-8.156764733402555E-2</v>
      </c>
      <c r="AG8" s="991">
        <f t="shared" si="3"/>
        <v>1.2943952665267489E-3</v>
      </c>
      <c r="AH8" s="991">
        <f t="shared" si="3"/>
        <v>2.8772252296258127E-2</v>
      </c>
      <c r="AI8" s="992">
        <f t="shared" si="3"/>
        <v>2.1512542962561998E-2</v>
      </c>
      <c r="AJ8" s="991">
        <f t="shared" si="3"/>
        <v>1.1428619357726433E-2</v>
      </c>
      <c r="AK8" s="991">
        <f t="shared" si="3"/>
        <v>5.0556383761224399E-3</v>
      </c>
      <c r="AL8" s="991">
        <f t="shared" si="3"/>
        <v>-4.1314157989602585E-3</v>
      </c>
      <c r="AM8" s="992">
        <f t="shared" si="3"/>
        <v>4.3056674201966461E-2</v>
      </c>
      <c r="AN8" s="991">
        <f t="shared" si="3"/>
        <v>4.1826185591031795E-2</v>
      </c>
      <c r="AO8" s="991">
        <f t="shared" si="3"/>
        <v>5.4056825337561731E-2</v>
      </c>
      <c r="AP8" s="991">
        <f t="shared" si="3"/>
        <v>5.9924162095883915E-2</v>
      </c>
      <c r="AQ8" s="992">
        <f t="shared" si="3"/>
        <v>7.2242477935049454E-3</v>
      </c>
      <c r="AR8" s="991">
        <f t="shared" si="3"/>
        <v>-1.5456950366368627E-2</v>
      </c>
      <c r="AS8" s="991">
        <f t="shared" si="3"/>
        <v>2.0875235353677413E-2</v>
      </c>
      <c r="AT8" s="991">
        <f t="shared" si="3"/>
        <v>-1.5854086072715212E-2</v>
      </c>
      <c r="AU8" s="992">
        <f t="shared" si="3"/>
        <v>7.5739770370624182E-3</v>
      </c>
      <c r="AV8" s="991">
        <f t="shared" si="3"/>
        <v>6.2924677088645131E-2</v>
      </c>
      <c r="AW8" s="991">
        <f t="shared" si="3"/>
        <v>-9.3638502860509121E-3</v>
      </c>
      <c r="AX8" s="991">
        <f t="shared" si="3"/>
        <v>2.4409274767043243E-2</v>
      </c>
      <c r="AY8" s="992">
        <f t="shared" si="3"/>
        <v>3.4976608328170622E-2</v>
      </c>
      <c r="AZ8" s="991">
        <f t="shared" si="3"/>
        <v>5.213151006157335E-2</v>
      </c>
      <c r="BA8" s="991">
        <f t="shared" si="3"/>
        <v>5.2248102258492191E-2</v>
      </c>
      <c r="BB8" s="991">
        <f t="shared" si="3"/>
        <v>5.8689053220864817E-2</v>
      </c>
      <c r="BC8" s="992">
        <f t="shared" si="3"/>
        <v>8.5601535037623355E-2</v>
      </c>
      <c r="BD8" s="991">
        <f t="shared" si="3"/>
        <v>3.2589090889855399E-2</v>
      </c>
      <c r="BE8" s="991">
        <f t="shared" si="3"/>
        <v>4.9907094212975345E-2</v>
      </c>
      <c r="BF8" s="991">
        <f t="shared" si="3"/>
        <v>-1.6417826518827727E-2</v>
      </c>
      <c r="BG8" s="992">
        <f t="shared" si="3"/>
        <v>-0.28464665462648309</v>
      </c>
      <c r="BH8" s="991">
        <f t="shared" ref="BH8:CM8" si="4">BH6/BD6-1</f>
        <v>-0.40653874618391839</v>
      </c>
      <c r="BI8" s="991">
        <f t="shared" si="4"/>
        <v>-0.28655836454131167</v>
      </c>
      <c r="BJ8" s="991">
        <f t="shared" si="4"/>
        <v>-0.1453992920288959</v>
      </c>
      <c r="BK8" s="992">
        <f t="shared" si="4"/>
        <v>0.12404307449839957</v>
      </c>
      <c r="BL8" s="991">
        <f t="shared" si="4"/>
        <v>0.36754080332256134</v>
      </c>
      <c r="BM8" s="991">
        <f t="shared" si="4"/>
        <v>0.17214479139324967</v>
      </c>
      <c r="BN8" s="991">
        <f t="shared" si="4"/>
        <v>3.5324274984742887E-2</v>
      </c>
      <c r="BO8" s="992">
        <f t="shared" si="4"/>
        <v>8.4000786831125218E-2</v>
      </c>
      <c r="BP8" s="991">
        <f t="shared" si="4"/>
        <v>0.12180092363582351</v>
      </c>
      <c r="BQ8" s="991">
        <f t="shared" si="4"/>
        <v>5.6892180727839747E-2</v>
      </c>
      <c r="BR8" s="991">
        <f t="shared" si="4"/>
        <v>6.1178911950867887E-2</v>
      </c>
      <c r="BS8" s="992">
        <f t="shared" si="4"/>
        <v>5.7929397953306871E-3</v>
      </c>
      <c r="BT8" s="991">
        <f t="shared" si="4"/>
        <v>-1.4333148211606028E-2</v>
      </c>
      <c r="BU8" s="991">
        <f t="shared" si="4"/>
        <v>-5.6797482435498203E-2</v>
      </c>
      <c r="BV8" s="991">
        <f t="shared" si="4"/>
        <v>-4.3120613210761549E-2</v>
      </c>
      <c r="BW8" s="992">
        <f t="shared" si="4"/>
        <v>-6.1987829012130291E-2</v>
      </c>
      <c r="BX8" s="991">
        <f t="shared" si="4"/>
        <v>-8.2742490877620756E-2</v>
      </c>
      <c r="BY8" s="991">
        <f t="shared" si="4"/>
        <v>2.7139940486310854E-2</v>
      </c>
      <c r="BZ8" s="991">
        <f t="shared" si="4"/>
        <v>4.8508536742532193E-2</v>
      </c>
      <c r="CA8" s="992">
        <f t="shared" si="4"/>
        <v>6.1471027339141671E-2</v>
      </c>
      <c r="CB8" s="991">
        <f t="shared" si="4"/>
        <v>8.5882458619955138E-2</v>
      </c>
      <c r="CC8" s="991">
        <f t="shared" si="4"/>
        <v>3.8847246678638481E-2</v>
      </c>
      <c r="CD8" s="991">
        <f t="shared" si="4"/>
        <v>5.1991985390542617E-4</v>
      </c>
      <c r="CE8" s="992">
        <f t="shared" si="4"/>
        <v>6.8105531828435151E-3</v>
      </c>
      <c r="CF8" s="991">
        <f t="shared" si="4"/>
        <v>4.0187873791758699E-2</v>
      </c>
      <c r="CG8" s="991">
        <f t="shared" si="4"/>
        <v>2.364858301652184E-2</v>
      </c>
      <c r="CH8" s="991">
        <f t="shared" si="4"/>
        <v>5.3487127447532368E-2</v>
      </c>
      <c r="CI8" s="992">
        <f t="shared" si="4"/>
        <v>4.3974646951187912E-2</v>
      </c>
      <c r="CJ8" s="991">
        <f t="shared" si="4"/>
        <v>1.4910767728679719E-2</v>
      </c>
      <c r="CK8" s="991">
        <f t="shared" si="4"/>
        <v>7.6456999643974566E-2</v>
      </c>
      <c r="CL8" s="991">
        <f t="shared" si="4"/>
        <v>-1.371084867783634E-2</v>
      </c>
      <c r="CM8" s="992">
        <f t="shared" si="4"/>
        <v>2.9855508909785167E-2</v>
      </c>
      <c r="CN8" s="991">
        <f t="shared" ref="CN8:CU8" si="5">CN6/CJ6-1</f>
        <v>5.9527411603667701E-2</v>
      </c>
      <c r="CO8" s="991">
        <f t="shared" si="5"/>
        <v>-2.9065475172332267E-2</v>
      </c>
      <c r="CP8" s="991">
        <f t="shared" si="5"/>
        <v>5.4318922768344269E-2</v>
      </c>
      <c r="CQ8" s="992">
        <f t="shared" si="5"/>
        <v>7.9456033475321375E-2</v>
      </c>
      <c r="CR8" s="991">
        <f t="shared" si="5"/>
        <v>9.6912799318034093E-3</v>
      </c>
      <c r="CS8" s="991">
        <f t="shared" si="5"/>
        <v>5.2029622863017266E-2</v>
      </c>
      <c r="CT8" s="991">
        <f t="shared" si="5"/>
        <v>1.5276369333079742E-2</v>
      </c>
      <c r="CU8" s="992">
        <f t="shared" si="5"/>
        <v>-6.2788128232749152E-3</v>
      </c>
      <c r="CV8" s="416"/>
      <c r="CW8" s="991"/>
      <c r="CX8" s="991"/>
      <c r="CY8" s="991"/>
      <c r="CZ8" s="991"/>
      <c r="DA8" s="991"/>
      <c r="DB8" s="991"/>
      <c r="DC8" s="991"/>
      <c r="DD8" s="991">
        <f t="shared" ref="DD8:DZ8" si="6">DD6/DC6-1</f>
        <v>-2.8112119738953334E-3</v>
      </c>
      <c r="DE8" s="991">
        <f t="shared" si="6"/>
        <v>-1.0586897380975624E-2</v>
      </c>
      <c r="DF8" s="991">
        <f t="shared" si="6"/>
        <v>1.4080124225194002E-2</v>
      </c>
      <c r="DG8" s="991">
        <f t="shared" si="6"/>
        <v>4.0218896814958605E-2</v>
      </c>
      <c r="DH8" s="991">
        <f t="shared" si="6"/>
        <v>-1.1470651539979837E-4</v>
      </c>
      <c r="DI8" s="991">
        <f t="shared" si="6"/>
        <v>2.7535399001374028E-2</v>
      </c>
      <c r="DJ8" s="991">
        <f t="shared" si="6"/>
        <v>6.2088970730069581E-2</v>
      </c>
      <c r="DK8" s="991">
        <f t="shared" si="6"/>
        <v>-5.5777220556504581E-2</v>
      </c>
      <c r="DL8" s="991">
        <f t="shared" si="6"/>
        <v>-0.20713860036988518</v>
      </c>
      <c r="DM8" s="991">
        <f t="shared" si="6"/>
        <v>0.154530315453141</v>
      </c>
      <c r="DN8" s="991">
        <f t="shared" si="6"/>
        <v>6.0766692535770161E-2</v>
      </c>
      <c r="DO8" s="991">
        <f t="shared" si="6"/>
        <v>-4.3778448504932954E-2</v>
      </c>
      <c r="DP8" s="991">
        <f t="shared" si="6"/>
        <v>1.0352932276362026E-2</v>
      </c>
      <c r="DQ8" s="991">
        <f t="shared" si="6"/>
        <v>3.3352218088614327E-2</v>
      </c>
      <c r="DR8" s="991">
        <f t="shared" si="6"/>
        <v>3.9746478625790838E-2</v>
      </c>
      <c r="DS8" s="991">
        <f t="shared" si="6"/>
        <v>2.8156953945626784E-2</v>
      </c>
      <c r="DT8" s="991">
        <f t="shared" si="6"/>
        <v>3.9086838367796695E-2</v>
      </c>
      <c r="DU8" s="991">
        <f t="shared" si="6"/>
        <v>1.763743422894759E-2</v>
      </c>
      <c r="DV8" s="991">
        <f t="shared" si="6"/>
        <v>2.437792068563871E-3</v>
      </c>
      <c r="DW8" s="991">
        <f t="shared" si="6"/>
        <v>6.4699618518218038E-3</v>
      </c>
      <c r="DX8" s="991">
        <f t="shared" si="6"/>
        <v>1.7734981542868899E-2</v>
      </c>
      <c r="DY8" s="991">
        <f t="shared" si="6"/>
        <v>1.0300349027476452E-2</v>
      </c>
      <c r="DZ8" s="991">
        <f t="shared" si="6"/>
        <v>9.2480012554352342E-3</v>
      </c>
    </row>
    <row r="9" spans="2:130" ht="15">
      <c r="B9" s="981" t="s">
        <v>339</v>
      </c>
      <c r="C9" s="982"/>
      <c r="D9" s="983"/>
      <c r="E9" s="984"/>
      <c r="F9" s="984"/>
      <c r="G9" s="985"/>
      <c r="H9" s="984"/>
      <c r="I9" s="984"/>
      <c r="J9" s="984"/>
      <c r="K9" s="985"/>
      <c r="L9" s="984"/>
      <c r="M9" s="984"/>
      <c r="N9" s="984"/>
      <c r="O9" s="985"/>
      <c r="P9" s="984"/>
      <c r="Q9" s="984"/>
      <c r="R9" s="984"/>
      <c r="S9" s="985"/>
      <c r="T9" s="984"/>
      <c r="U9" s="984"/>
      <c r="V9" s="984"/>
      <c r="W9" s="985"/>
      <c r="X9" s="984">
        <v>0.52330900000000002</v>
      </c>
      <c r="Y9" s="984">
        <v>0.60796499999999998</v>
      </c>
      <c r="Z9" s="984">
        <v>0.52861400000000003</v>
      </c>
      <c r="AA9" s="985">
        <v>0.56094900000000003</v>
      </c>
      <c r="AB9" s="984">
        <v>0.56225800000000004</v>
      </c>
      <c r="AC9" s="984">
        <v>0.61396899999999999</v>
      </c>
      <c r="AD9" s="984">
        <v>0.56096199999999996</v>
      </c>
      <c r="AE9" s="985">
        <v>0.57294699999999998</v>
      </c>
      <c r="AF9" s="984">
        <v>0.69354000000000005</v>
      </c>
      <c r="AG9" s="984">
        <v>0.86758400000000002</v>
      </c>
      <c r="AH9" s="984">
        <v>0.77496399999999999</v>
      </c>
      <c r="AI9" s="985">
        <v>0.95772699999999999</v>
      </c>
      <c r="AJ9" s="984">
        <v>1.0245150000000001</v>
      </c>
      <c r="AK9" s="984">
        <v>1.069733</v>
      </c>
      <c r="AL9" s="984">
        <v>1.0841670000000001</v>
      </c>
      <c r="AM9" s="985">
        <v>1.1988209999999999</v>
      </c>
      <c r="AN9" s="984">
        <v>1.250909</v>
      </c>
      <c r="AO9" s="984">
        <v>1.3772800000000001</v>
      </c>
      <c r="AP9" s="984">
        <v>1.088829</v>
      </c>
      <c r="AQ9" s="985">
        <v>1.1739390000000001</v>
      </c>
      <c r="AR9" s="984">
        <v>1.279957</v>
      </c>
      <c r="AS9" s="984">
        <v>1.4906969999999999</v>
      </c>
      <c r="AT9" s="984">
        <v>1.3923669999999999</v>
      </c>
      <c r="AU9" s="985">
        <v>1.509744</v>
      </c>
      <c r="AV9" s="984">
        <v>1.7524519999999999</v>
      </c>
      <c r="AW9" s="984">
        <v>1.788235</v>
      </c>
      <c r="AX9" s="984">
        <v>1.5888800000000001</v>
      </c>
      <c r="AY9" s="985">
        <v>1.87419</v>
      </c>
      <c r="AZ9" s="984">
        <v>2.0656919999999999</v>
      </c>
      <c r="BA9" s="984">
        <v>2.10703</v>
      </c>
      <c r="BB9" s="984">
        <v>1.945031</v>
      </c>
      <c r="BC9" s="985">
        <v>2.2764470000000001</v>
      </c>
      <c r="BD9" s="984">
        <v>2.3487290000000001</v>
      </c>
      <c r="BE9" s="984">
        <v>2.4494539999999998</v>
      </c>
      <c r="BF9" s="984">
        <v>2.0100690000000001</v>
      </c>
      <c r="BG9" s="985">
        <v>1.9983089999999999</v>
      </c>
      <c r="BH9" s="984">
        <v>2.4252690000000001</v>
      </c>
      <c r="BI9" s="984">
        <v>3.232167</v>
      </c>
      <c r="BJ9" s="984">
        <v>3.4113220000000002</v>
      </c>
      <c r="BK9" s="985">
        <v>3.9894270000000001</v>
      </c>
      <c r="BL9" s="984">
        <v>4.2456670000000001</v>
      </c>
      <c r="BM9" s="984">
        <v>4.0501209999999999</v>
      </c>
      <c r="BN9" s="984">
        <v>3.943794</v>
      </c>
      <c r="BO9" s="985">
        <v>4.8808629999999997</v>
      </c>
      <c r="BP9" s="984">
        <v>4.591755</v>
      </c>
      <c r="BQ9" s="984">
        <v>4.0445820000000001</v>
      </c>
      <c r="BR9" s="984">
        <v>4.1811109999999996</v>
      </c>
      <c r="BS9" s="985">
        <v>4.7947300000000004</v>
      </c>
      <c r="BT9" s="984">
        <v>4.5616859999999999</v>
      </c>
      <c r="BU9" s="984">
        <v>4.5979840000000003</v>
      </c>
      <c r="BV9" s="984">
        <v>4.465878</v>
      </c>
      <c r="BW9" s="985">
        <v>4.9425220000000003</v>
      </c>
      <c r="BX9" s="984">
        <v>5.1899430000000004</v>
      </c>
      <c r="BY9" s="984">
        <v>5.0975529999999996</v>
      </c>
      <c r="BZ9" s="984">
        <v>5.009309</v>
      </c>
      <c r="CA9" s="985">
        <v>5.9611090000000004</v>
      </c>
      <c r="CB9" s="984">
        <v>5.6546469999999998</v>
      </c>
      <c r="CC9" s="984">
        <v>5.6907509999999997</v>
      </c>
      <c r="CD9" s="984">
        <v>5.3100560000000003</v>
      </c>
      <c r="CE9" s="985">
        <v>6.3293939999999997</v>
      </c>
      <c r="CF9" s="984">
        <v>6.0583970000000003</v>
      </c>
      <c r="CG9" s="984">
        <v>5.7951459999999999</v>
      </c>
      <c r="CH9" s="984">
        <v>4.9107560000000001</v>
      </c>
      <c r="CI9" s="985">
        <v>7.258699</v>
      </c>
      <c r="CJ9" s="984">
        <v>6.4710729999999996</v>
      </c>
      <c r="CK9" s="984">
        <v>6.1427800000000001</v>
      </c>
      <c r="CL9" s="984">
        <v>6.3668810000000002</v>
      </c>
      <c r="CM9" s="986">
        <v>8.3881150000000009</v>
      </c>
      <c r="CN9" s="660">
        <v>6.9046900000000004</v>
      </c>
      <c r="CO9" s="660">
        <v>6.1392980000000001</v>
      </c>
      <c r="CP9" s="984">
        <v>6.3570529999999996</v>
      </c>
      <c r="CQ9" s="1170">
        <v>8.309564</v>
      </c>
      <c r="CR9" s="1128">
        <v>6.6935789999999997</v>
      </c>
      <c r="CS9" s="1128">
        <v>6.6179410000000001</v>
      </c>
      <c r="CT9" s="1128">
        <v>6.537852</v>
      </c>
      <c r="CU9" s="1129">
        <v>8.4378159999999998</v>
      </c>
      <c r="CV9" s="660"/>
      <c r="CW9" s="984"/>
      <c r="CX9" s="984"/>
      <c r="CY9" s="984"/>
      <c r="CZ9" s="984"/>
      <c r="DA9" s="984"/>
      <c r="DB9" s="984"/>
      <c r="DC9" s="987">
        <f>SUM(X9:AA9)</f>
        <v>2.220837</v>
      </c>
      <c r="DD9" s="987">
        <f>SUM(AB9:AE9)</f>
        <v>2.310136</v>
      </c>
      <c r="DE9" s="987">
        <f>SUM(AF9:AI9)</f>
        <v>3.2938150000000004</v>
      </c>
      <c r="DF9" s="987">
        <f>SUM(AJ9:AM9)</f>
        <v>4.3772359999999999</v>
      </c>
      <c r="DG9" s="987">
        <f>SUM(AN9:AQ9)</f>
        <v>4.8909570000000002</v>
      </c>
      <c r="DH9" s="987">
        <f>SUM(AR9:AU9)</f>
        <v>5.6727650000000001</v>
      </c>
      <c r="DI9" s="987">
        <f>SUM(AV9:AY9)</f>
        <v>7.0037570000000002</v>
      </c>
      <c r="DJ9" s="987">
        <f>SUM(AZ9:BC9)</f>
        <v>8.3942000000000014</v>
      </c>
      <c r="DK9" s="987">
        <f>SUM(BD9:BG9)</f>
        <v>8.8065609999999985</v>
      </c>
      <c r="DL9" s="987">
        <f>SUM(BH9:BK9)</f>
        <v>13.058185000000002</v>
      </c>
      <c r="DM9" s="987">
        <f>SUM(BL9:BO9)</f>
        <v>17.120445</v>
      </c>
      <c r="DN9" s="987">
        <f>SUM(BP9:BS9)</f>
        <v>17.612178</v>
      </c>
      <c r="DO9" s="987">
        <f>SUM(BT9:BW9)</f>
        <v>18.568069999999999</v>
      </c>
      <c r="DP9" s="987">
        <f>SUM(BX9:CA9)</f>
        <v>21.257914</v>
      </c>
      <c r="DQ9" s="987">
        <f>SUM(CB9:CE9)</f>
        <v>22.984848</v>
      </c>
      <c r="DR9" s="987">
        <f>SUM(CF9:CI9)</f>
        <v>24.022998000000001</v>
      </c>
      <c r="DS9" s="987">
        <f>SUM(CJ9:CM9)</f>
        <v>27.368848999999997</v>
      </c>
      <c r="DT9" s="988">
        <f>SUM(CN9:CQ9)</f>
        <v>27.710605000000001</v>
      </c>
      <c r="DU9" s="988">
        <f>SUM(CR9:CU9)</f>
        <v>28.287188</v>
      </c>
      <c r="DV9" s="1130">
        <v>29.648596999999999</v>
      </c>
      <c r="DW9" s="1130">
        <v>30.739955999999999</v>
      </c>
      <c r="DX9" s="1130">
        <v>31.537785</v>
      </c>
      <c r="DY9" s="1130">
        <v>32.212736</v>
      </c>
      <c r="DZ9" s="1130">
        <v>32.855561999999999</v>
      </c>
    </row>
    <row r="10" spans="2:130" ht="15">
      <c r="B10" s="989" t="s">
        <v>341</v>
      </c>
      <c r="C10" s="898"/>
      <c r="D10" s="990"/>
      <c r="E10" s="991"/>
      <c r="F10" s="991"/>
      <c r="G10" s="992"/>
      <c r="H10" s="991"/>
      <c r="I10" s="991"/>
      <c r="J10" s="991"/>
      <c r="K10" s="992"/>
      <c r="L10" s="991"/>
      <c r="M10" s="991"/>
      <c r="N10" s="991"/>
      <c r="O10" s="992"/>
      <c r="P10" s="991"/>
      <c r="Q10" s="991"/>
      <c r="R10" s="991"/>
      <c r="S10" s="992"/>
      <c r="T10" s="991"/>
      <c r="U10" s="991"/>
      <c r="V10" s="991"/>
      <c r="W10" s="992"/>
      <c r="X10" s="991"/>
      <c r="Y10" s="991">
        <f t="shared" ref="Y10:BD10" si="7">Y9/X9-1</f>
        <v>0.16177057914157777</v>
      </c>
      <c r="Z10" s="991">
        <f t="shared" si="7"/>
        <v>-0.13051902658870163</v>
      </c>
      <c r="AA10" s="992">
        <f t="shared" si="7"/>
        <v>6.1169397707968365E-2</v>
      </c>
      <c r="AB10" s="991">
        <f t="shared" si="7"/>
        <v>2.3335454738309114E-3</v>
      </c>
      <c r="AC10" s="991">
        <f t="shared" si="7"/>
        <v>9.1970234305247756E-2</v>
      </c>
      <c r="AD10" s="991">
        <f t="shared" si="7"/>
        <v>-8.6334977824613302E-2</v>
      </c>
      <c r="AE10" s="992">
        <f t="shared" si="7"/>
        <v>2.136508355289668E-2</v>
      </c>
      <c r="AF10" s="991">
        <f t="shared" si="7"/>
        <v>0.21047845612246863</v>
      </c>
      <c r="AG10" s="991">
        <f t="shared" si="7"/>
        <v>0.25095019753727255</v>
      </c>
      <c r="AH10" s="991">
        <f t="shared" si="7"/>
        <v>-0.10675623340218354</v>
      </c>
      <c r="AI10" s="992">
        <f t="shared" si="7"/>
        <v>0.23583418068452211</v>
      </c>
      <c r="AJ10" s="991">
        <f t="shared" si="7"/>
        <v>6.9735947717877833E-2</v>
      </c>
      <c r="AK10" s="991">
        <f t="shared" si="7"/>
        <v>4.4136005817386748E-2</v>
      </c>
      <c r="AL10" s="991">
        <f t="shared" si="7"/>
        <v>1.3493086592635706E-2</v>
      </c>
      <c r="AM10" s="992">
        <f t="shared" si="7"/>
        <v>0.10575308047560927</v>
      </c>
      <c r="AN10" s="991">
        <f t="shared" si="7"/>
        <v>4.3449355658601307E-2</v>
      </c>
      <c r="AO10" s="991">
        <f t="shared" si="7"/>
        <v>0.10102333583018419</v>
      </c>
      <c r="AP10" s="991">
        <f t="shared" si="7"/>
        <v>-0.20943526370817844</v>
      </c>
      <c r="AQ10" s="992">
        <f t="shared" si="7"/>
        <v>7.8166544057882481E-2</v>
      </c>
      <c r="AR10" s="991">
        <f t="shared" si="7"/>
        <v>9.0309632783304616E-2</v>
      </c>
      <c r="AS10" s="991">
        <f t="shared" si="7"/>
        <v>0.16464615608180577</v>
      </c>
      <c r="AT10" s="991">
        <f t="shared" si="7"/>
        <v>-6.5962432338697918E-2</v>
      </c>
      <c r="AU10" s="992">
        <f t="shared" si="7"/>
        <v>8.4300331737250378E-2</v>
      </c>
      <c r="AV10" s="991">
        <f t="shared" si="7"/>
        <v>0.16076102968450279</v>
      </c>
      <c r="AW10" s="991">
        <f t="shared" si="7"/>
        <v>2.0418818889190726E-2</v>
      </c>
      <c r="AX10" s="991">
        <f t="shared" si="7"/>
        <v>-0.11148143280944611</v>
      </c>
      <c r="AY10" s="992">
        <f t="shared" si="7"/>
        <v>0.17956673883490248</v>
      </c>
      <c r="AZ10" s="991">
        <f t="shared" si="7"/>
        <v>0.10217854112976799</v>
      </c>
      <c r="BA10" s="991">
        <f t="shared" si="7"/>
        <v>2.0011695838489052E-2</v>
      </c>
      <c r="BB10" s="991">
        <f t="shared" si="7"/>
        <v>-7.6884999264367426E-2</v>
      </c>
      <c r="BC10" s="992">
        <f t="shared" si="7"/>
        <v>0.1703911145889192</v>
      </c>
      <c r="BD10" s="991">
        <f t="shared" si="7"/>
        <v>3.1752111953408102E-2</v>
      </c>
      <c r="BE10" s="991">
        <f t="shared" ref="BE10:CJ10" si="8">BE9/BD9-1</f>
        <v>4.2884896469537193E-2</v>
      </c>
      <c r="BF10" s="991">
        <f t="shared" si="8"/>
        <v>-0.17938079261745665</v>
      </c>
      <c r="BG10" s="992">
        <f t="shared" si="8"/>
        <v>-5.8505454290376235E-3</v>
      </c>
      <c r="BH10" s="991">
        <f t="shared" si="8"/>
        <v>0.21366065007964252</v>
      </c>
      <c r="BI10" s="991">
        <f t="shared" si="8"/>
        <v>0.33270453710495618</v>
      </c>
      <c r="BJ10" s="991">
        <f t="shared" si="8"/>
        <v>5.5428757239338156E-2</v>
      </c>
      <c r="BK10" s="992">
        <f t="shared" si="8"/>
        <v>0.16946655871242866</v>
      </c>
      <c r="BL10" s="991">
        <f t="shared" si="8"/>
        <v>6.4229775353703777E-2</v>
      </c>
      <c r="BM10" s="991">
        <f t="shared" si="8"/>
        <v>-4.6057780791569414E-2</v>
      </c>
      <c r="BN10" s="991">
        <f t="shared" si="8"/>
        <v>-2.6252795904122328E-2</v>
      </c>
      <c r="BO10" s="992">
        <f t="shared" si="8"/>
        <v>0.23760597029155162</v>
      </c>
      <c r="BP10" s="991">
        <f t="shared" si="8"/>
        <v>-5.9232967612489751E-2</v>
      </c>
      <c r="BQ10" s="991">
        <f t="shared" si="8"/>
        <v>-0.119164241123492</v>
      </c>
      <c r="BR10" s="991">
        <f t="shared" si="8"/>
        <v>3.3756022253968343E-2</v>
      </c>
      <c r="BS10" s="992">
        <f t="shared" si="8"/>
        <v>0.14675979661865024</v>
      </c>
      <c r="BT10" s="991">
        <f t="shared" si="8"/>
        <v>-4.8604196690950396E-2</v>
      </c>
      <c r="BU10" s="991">
        <f t="shared" si="8"/>
        <v>7.957145669386323E-3</v>
      </c>
      <c r="BV10" s="991">
        <f t="shared" si="8"/>
        <v>-2.8731287451196019E-2</v>
      </c>
      <c r="BW10" s="992">
        <f t="shared" si="8"/>
        <v>0.10673018833026804</v>
      </c>
      <c r="BX10" s="991">
        <f t="shared" si="8"/>
        <v>5.005966589526567E-2</v>
      </c>
      <c r="BY10" s="991">
        <f t="shared" si="8"/>
        <v>-1.7801736936224666E-2</v>
      </c>
      <c r="BZ10" s="991">
        <f t="shared" si="8"/>
        <v>-1.7311051008199296E-2</v>
      </c>
      <c r="CA10" s="992">
        <f t="shared" si="8"/>
        <v>0.19000624637050745</v>
      </c>
      <c r="CB10" s="991">
        <f t="shared" si="8"/>
        <v>-5.1410232559075952E-2</v>
      </c>
      <c r="CC10" s="991">
        <f t="shared" si="8"/>
        <v>6.3848371083110589E-3</v>
      </c>
      <c r="CD10" s="991">
        <f t="shared" si="8"/>
        <v>-6.689714591272744E-2</v>
      </c>
      <c r="CE10" s="992">
        <f t="shared" si="8"/>
        <v>0.19196370057114254</v>
      </c>
      <c r="CF10" s="991">
        <f t="shared" si="8"/>
        <v>-4.2815631322682624E-2</v>
      </c>
      <c r="CG10" s="991">
        <f t="shared" si="8"/>
        <v>-4.3452253129004359E-2</v>
      </c>
      <c r="CH10" s="991">
        <f t="shared" si="8"/>
        <v>-0.15260875222125547</v>
      </c>
      <c r="CI10" s="992">
        <f t="shared" si="8"/>
        <v>0.47812251311203413</v>
      </c>
      <c r="CJ10" s="991">
        <f t="shared" si="8"/>
        <v>-0.10850787448274135</v>
      </c>
      <c r="CK10" s="991">
        <f t="shared" ref="CK10:CU10" si="9">CK9/CJ9-1</f>
        <v>-5.0732390130662997E-2</v>
      </c>
      <c r="CL10" s="991">
        <f t="shared" si="9"/>
        <v>3.6482016285785956E-2</v>
      </c>
      <c r="CM10" s="992">
        <f t="shared" si="9"/>
        <v>0.31746062161362842</v>
      </c>
      <c r="CN10" s="991">
        <f t="shared" si="9"/>
        <v>-0.17684843376610837</v>
      </c>
      <c r="CO10" s="991">
        <f t="shared" si="9"/>
        <v>-0.11085103024176324</v>
      </c>
      <c r="CP10" s="991">
        <f t="shared" si="9"/>
        <v>3.5469038968299005E-2</v>
      </c>
      <c r="CQ10" s="992">
        <f t="shared" si="9"/>
        <v>0.30714090318265397</v>
      </c>
      <c r="CR10" s="991">
        <f t="shared" si="9"/>
        <v>-0.19447289893910202</v>
      </c>
      <c r="CS10" s="991">
        <f t="shared" si="9"/>
        <v>-1.130008325889631E-2</v>
      </c>
      <c r="CT10" s="991">
        <f t="shared" si="9"/>
        <v>-1.2101800242703908E-2</v>
      </c>
      <c r="CU10" s="992">
        <f t="shared" si="9"/>
        <v>0.29060982108496791</v>
      </c>
      <c r="CV10" s="416"/>
      <c r="CW10" s="991"/>
      <c r="CX10" s="991"/>
      <c r="CY10" s="991"/>
      <c r="CZ10" s="991"/>
      <c r="DA10" s="991"/>
      <c r="DB10" s="991"/>
      <c r="DC10" s="991"/>
      <c r="DD10" s="991"/>
      <c r="DE10" s="991"/>
      <c r="DF10" s="991"/>
      <c r="DG10" s="991"/>
      <c r="DH10" s="991"/>
      <c r="DI10" s="991"/>
      <c r="DJ10" s="991"/>
      <c r="DK10" s="991"/>
      <c r="DL10" s="991"/>
      <c r="DM10" s="991"/>
      <c r="DN10" s="991"/>
      <c r="DO10" s="991"/>
      <c r="DP10" s="991"/>
      <c r="DQ10" s="991"/>
      <c r="DR10" s="991"/>
      <c r="DS10" s="991"/>
      <c r="DT10" s="991"/>
      <c r="DU10" s="991"/>
      <c r="DV10" s="991"/>
      <c r="DW10" s="991"/>
      <c r="DX10" s="991"/>
      <c r="DY10" s="991"/>
      <c r="DZ10" s="991"/>
    </row>
    <row r="11" spans="2:130" ht="15">
      <c r="B11" s="989" t="s">
        <v>293</v>
      </c>
      <c r="C11" s="898"/>
      <c r="D11" s="990"/>
      <c r="E11" s="991"/>
      <c r="F11" s="991"/>
      <c r="G11" s="992"/>
      <c r="H11" s="991"/>
      <c r="I11" s="991"/>
      <c r="J11" s="991"/>
      <c r="K11" s="992"/>
      <c r="L11" s="991"/>
      <c r="M11" s="991"/>
      <c r="N11" s="991"/>
      <c r="O11" s="992"/>
      <c r="P11" s="991"/>
      <c r="Q11" s="991"/>
      <c r="R11" s="991"/>
      <c r="S11" s="992"/>
      <c r="T11" s="991"/>
      <c r="U11" s="991"/>
      <c r="V11" s="991"/>
      <c r="W11" s="992"/>
      <c r="X11" s="991"/>
      <c r="Y11" s="991"/>
      <c r="Z11" s="991"/>
      <c r="AA11" s="992"/>
      <c r="AB11" s="991">
        <f t="shared" ref="AB11:BG11" si="10">AB9/X9-1</f>
        <v>7.4428301443315581E-2</v>
      </c>
      <c r="AC11" s="991">
        <f t="shared" si="10"/>
        <v>9.8755684948970135E-3</v>
      </c>
      <c r="AD11" s="991">
        <f t="shared" si="10"/>
        <v>6.1193990321860348E-2</v>
      </c>
      <c r="AE11" s="992">
        <f t="shared" si="10"/>
        <v>2.1388753701316876E-2</v>
      </c>
      <c r="AF11" s="991">
        <f t="shared" si="10"/>
        <v>0.23349067509933152</v>
      </c>
      <c r="AG11" s="991">
        <f t="shared" si="10"/>
        <v>0.41307460148639441</v>
      </c>
      <c r="AH11" s="991">
        <f t="shared" si="10"/>
        <v>0.38149108139232246</v>
      </c>
      <c r="AI11" s="992">
        <f t="shared" si="10"/>
        <v>0.67158044286818863</v>
      </c>
      <c r="AJ11" s="991">
        <f t="shared" si="10"/>
        <v>0.47722553854139638</v>
      </c>
      <c r="AK11" s="991">
        <f t="shared" si="10"/>
        <v>0.23300222226320444</v>
      </c>
      <c r="AL11" s="991">
        <f t="shared" si="10"/>
        <v>0.39899014663906995</v>
      </c>
      <c r="AM11" s="992">
        <f t="shared" si="10"/>
        <v>0.25173561985826853</v>
      </c>
      <c r="AN11" s="991">
        <f t="shared" si="10"/>
        <v>0.22097675485473611</v>
      </c>
      <c r="AO11" s="991">
        <f t="shared" si="10"/>
        <v>0.28749884316927687</v>
      </c>
      <c r="AP11" s="991">
        <f t="shared" si="10"/>
        <v>4.3000755418676206E-3</v>
      </c>
      <c r="AQ11" s="992">
        <f t="shared" si="10"/>
        <v>-2.0755392172809639E-2</v>
      </c>
      <c r="AR11" s="991">
        <f t="shared" si="10"/>
        <v>2.3221513315516917E-2</v>
      </c>
      <c r="AS11" s="991">
        <f t="shared" si="10"/>
        <v>8.2348542053903184E-2</v>
      </c>
      <c r="AT11" s="991">
        <f t="shared" si="10"/>
        <v>0.27877472036472195</v>
      </c>
      <c r="AU11" s="992">
        <f t="shared" si="10"/>
        <v>0.28604978623250421</v>
      </c>
      <c r="AV11" s="991">
        <f t="shared" si="10"/>
        <v>0.36914911985324506</v>
      </c>
      <c r="AW11" s="991">
        <f t="shared" si="10"/>
        <v>0.19959656456006836</v>
      </c>
      <c r="AX11" s="991">
        <f t="shared" si="10"/>
        <v>0.14113592177924361</v>
      </c>
      <c r="AY11" s="992">
        <f t="shared" si="10"/>
        <v>0.24139589228372493</v>
      </c>
      <c r="AZ11" s="991">
        <f t="shared" si="10"/>
        <v>0.17874384005952804</v>
      </c>
      <c r="BA11" s="991">
        <f t="shared" si="10"/>
        <v>0.17827354905814952</v>
      </c>
      <c r="BB11" s="991">
        <f t="shared" si="10"/>
        <v>0.22415223301948539</v>
      </c>
      <c r="BC11" s="992">
        <f t="shared" si="10"/>
        <v>0.21462978673453592</v>
      </c>
      <c r="BD11" s="991">
        <f t="shared" si="10"/>
        <v>0.13701800655664065</v>
      </c>
      <c r="BE11" s="991">
        <f t="shared" si="10"/>
        <v>0.16251500927846307</v>
      </c>
      <c r="BF11" s="991">
        <f t="shared" si="10"/>
        <v>3.3438027465886311E-2</v>
      </c>
      <c r="BG11" s="992">
        <f t="shared" si="10"/>
        <v>-0.12218074921138078</v>
      </c>
      <c r="BH11" s="991">
        <f t="shared" ref="BH11:CM11" si="11">BH9/BD9-1</f>
        <v>3.2587837932771313E-2</v>
      </c>
      <c r="BI11" s="991">
        <f t="shared" si="11"/>
        <v>0.3195459069653892</v>
      </c>
      <c r="BJ11" s="991">
        <f t="shared" si="11"/>
        <v>0.69711686514244042</v>
      </c>
      <c r="BK11" s="992">
        <f t="shared" si="11"/>
        <v>0.99640145743225905</v>
      </c>
      <c r="BL11" s="991">
        <f t="shared" si="11"/>
        <v>0.75059632560346912</v>
      </c>
      <c r="BM11" s="991">
        <f t="shared" si="11"/>
        <v>0.25306675057322225</v>
      </c>
      <c r="BN11" s="991">
        <f t="shared" si="11"/>
        <v>0.15608963328586389</v>
      </c>
      <c r="BO11" s="992">
        <f t="shared" si="11"/>
        <v>0.22344963324306977</v>
      </c>
      <c r="BP11" s="991">
        <f t="shared" si="11"/>
        <v>8.1515578117643317E-2</v>
      </c>
      <c r="BQ11" s="991">
        <f t="shared" si="11"/>
        <v>-1.367613461424888E-3</v>
      </c>
      <c r="BR11" s="991">
        <f t="shared" si="11"/>
        <v>6.0174796148074527E-2</v>
      </c>
      <c r="BS11" s="992">
        <f t="shared" si="11"/>
        <v>-1.7647084132457636E-2</v>
      </c>
      <c r="BT11" s="991">
        <f t="shared" si="11"/>
        <v>-6.5484765628828212E-3</v>
      </c>
      <c r="BU11" s="991">
        <f t="shared" si="11"/>
        <v>0.13682551126420495</v>
      </c>
      <c r="BV11" s="991">
        <f t="shared" si="11"/>
        <v>6.8107974172415098E-2</v>
      </c>
      <c r="BW11" s="992">
        <f t="shared" si="11"/>
        <v>3.0823842009873426E-2</v>
      </c>
      <c r="BX11" s="991">
        <f t="shared" si="11"/>
        <v>0.13772473598577384</v>
      </c>
      <c r="BY11" s="991">
        <f t="shared" si="11"/>
        <v>0.10864957337824555</v>
      </c>
      <c r="BZ11" s="991">
        <f t="shared" si="11"/>
        <v>0.12168514231691963</v>
      </c>
      <c r="CA11" s="992">
        <f t="shared" si="11"/>
        <v>0.20608648782949279</v>
      </c>
      <c r="CB11" s="991">
        <f t="shared" si="11"/>
        <v>8.9539326347129355E-2</v>
      </c>
      <c r="CC11" s="991">
        <f t="shared" si="11"/>
        <v>0.11636916771635342</v>
      </c>
      <c r="CD11" s="991">
        <f t="shared" si="11"/>
        <v>6.0037621955443488E-2</v>
      </c>
      <c r="CE11" s="992">
        <f t="shared" si="11"/>
        <v>6.1781289354044588E-2</v>
      </c>
      <c r="CF11" s="991">
        <f t="shared" si="11"/>
        <v>7.1401450877481842E-2</v>
      </c>
      <c r="CG11" s="991">
        <f t="shared" si="11"/>
        <v>1.8344678936049075E-2</v>
      </c>
      <c r="CH11" s="991">
        <f t="shared" si="11"/>
        <v>-7.5196947075511056E-2</v>
      </c>
      <c r="CI11" s="992">
        <f t="shared" si="11"/>
        <v>0.14682369275794804</v>
      </c>
      <c r="CJ11" s="991">
        <f t="shared" si="11"/>
        <v>6.8116368075581635E-2</v>
      </c>
      <c r="CK11" s="991">
        <f t="shared" si="11"/>
        <v>5.9987099548484135E-2</v>
      </c>
      <c r="CL11" s="991">
        <f t="shared" si="11"/>
        <v>0.29651748121877763</v>
      </c>
      <c r="CM11" s="992">
        <f t="shared" si="11"/>
        <v>0.15559482491283916</v>
      </c>
      <c r="CN11" s="991">
        <f t="shared" ref="CN11:CU11" si="12">CN9/CJ9-1</f>
        <v>6.7008516207435864E-2</v>
      </c>
      <c r="CO11" s="991">
        <f t="shared" si="12"/>
        <v>-5.6684432781251015E-4</v>
      </c>
      <c r="CP11" s="991">
        <f t="shared" si="12"/>
        <v>-1.5436129558571432E-3</v>
      </c>
      <c r="CQ11" s="992">
        <f t="shared" si="12"/>
        <v>-9.3645592603345262E-3</v>
      </c>
      <c r="CR11" s="991">
        <f t="shared" si="12"/>
        <v>-3.0575014953604152E-2</v>
      </c>
      <c r="CS11" s="991">
        <f t="shared" si="12"/>
        <v>7.7963799769941167E-2</v>
      </c>
      <c r="CT11" s="991">
        <f t="shared" si="12"/>
        <v>2.8440694139249878E-2</v>
      </c>
      <c r="CU11" s="992">
        <f t="shared" si="12"/>
        <v>1.543426345834753E-2</v>
      </c>
      <c r="CV11" s="416"/>
      <c r="CW11" s="991"/>
      <c r="CX11" s="991"/>
      <c r="CY11" s="991"/>
      <c r="CZ11" s="991"/>
      <c r="DA11" s="991"/>
      <c r="DB11" s="991"/>
      <c r="DC11" s="991"/>
      <c r="DD11" s="991">
        <f t="shared" ref="DD11:DZ11" si="13">DD9/DC9-1</f>
        <v>4.0209614663300419E-2</v>
      </c>
      <c r="DE11" s="991">
        <f t="shared" si="13"/>
        <v>0.42580999560199073</v>
      </c>
      <c r="DF11" s="991">
        <f t="shared" si="13"/>
        <v>0.32892588077958207</v>
      </c>
      <c r="DG11" s="991">
        <f t="shared" si="13"/>
        <v>0.11736196083555939</v>
      </c>
      <c r="DH11" s="991">
        <f t="shared" si="13"/>
        <v>0.15984765353692532</v>
      </c>
      <c r="DI11" s="991">
        <f t="shared" si="13"/>
        <v>0.23462843957047408</v>
      </c>
      <c r="DJ11" s="991">
        <f t="shared" si="13"/>
        <v>0.19852816138538243</v>
      </c>
      <c r="DK11" s="991">
        <f t="shared" si="13"/>
        <v>4.9124514545757503E-2</v>
      </c>
      <c r="DL11" s="991">
        <f t="shared" si="13"/>
        <v>0.48277914613888484</v>
      </c>
      <c r="DM11" s="991">
        <f t="shared" si="13"/>
        <v>0.31108917510358425</v>
      </c>
      <c r="DN11" s="991">
        <f t="shared" si="13"/>
        <v>2.8721975392578925E-2</v>
      </c>
      <c r="DO11" s="991">
        <f t="shared" si="13"/>
        <v>5.4274491207163544E-2</v>
      </c>
      <c r="DP11" s="991">
        <f t="shared" si="13"/>
        <v>0.14486395193469215</v>
      </c>
      <c r="DQ11" s="991">
        <f t="shared" si="13"/>
        <v>8.123722769788233E-2</v>
      </c>
      <c r="DR11" s="991">
        <f t="shared" si="13"/>
        <v>4.5166711565810758E-2</v>
      </c>
      <c r="DS11" s="991">
        <f t="shared" si="13"/>
        <v>0.1392769961517708</v>
      </c>
      <c r="DT11" s="991">
        <f t="shared" si="13"/>
        <v>1.2487043207407122E-2</v>
      </c>
      <c r="DU11" s="991">
        <f t="shared" si="13"/>
        <v>2.0807304640227064E-2</v>
      </c>
      <c r="DV11" s="991">
        <f t="shared" si="13"/>
        <v>4.8128113688783669E-2</v>
      </c>
      <c r="DW11" s="991">
        <f t="shared" si="13"/>
        <v>3.6809802500941347E-2</v>
      </c>
      <c r="DX11" s="991">
        <f t="shared" si="13"/>
        <v>2.5954136043655929E-2</v>
      </c>
      <c r="DY11" s="991">
        <f t="shared" si="13"/>
        <v>2.1401344450791226E-2</v>
      </c>
      <c r="DZ11" s="991">
        <f t="shared" si="13"/>
        <v>1.9955647356374895E-2</v>
      </c>
    </row>
    <row r="12" spans="2:130" ht="15">
      <c r="B12" s="981" t="s">
        <v>426</v>
      </c>
      <c r="C12" s="982"/>
      <c r="D12" s="983"/>
      <c r="E12" s="984"/>
      <c r="F12" s="984"/>
      <c r="G12" s="985"/>
      <c r="H12" s="984"/>
      <c r="I12" s="984"/>
      <c r="J12" s="984"/>
      <c r="K12" s="985"/>
      <c r="L12" s="984"/>
      <c r="M12" s="984"/>
      <c r="N12" s="984"/>
      <c r="O12" s="985"/>
      <c r="P12" s="984"/>
      <c r="Q12" s="984"/>
      <c r="R12" s="984"/>
      <c r="S12" s="985"/>
      <c r="T12" s="984"/>
      <c r="U12" s="984"/>
      <c r="V12" s="984"/>
      <c r="W12" s="985"/>
      <c r="X12" s="984">
        <v>3.2404269999999999</v>
      </c>
      <c r="Y12" s="984">
        <v>3.0376780000000001</v>
      </c>
      <c r="Z12" s="984">
        <v>3.134261</v>
      </c>
      <c r="AA12" s="985">
        <v>3.20628</v>
      </c>
      <c r="AB12" s="984">
        <v>3.139783</v>
      </c>
      <c r="AC12" s="984">
        <v>3.0009079999999999</v>
      </c>
      <c r="AD12" s="984">
        <v>3.050624</v>
      </c>
      <c r="AE12" s="985">
        <v>3.0279159999999998</v>
      </c>
      <c r="AF12" s="984">
        <v>3.2518790000000002</v>
      </c>
      <c r="AG12" s="984">
        <v>3.0756670000000002</v>
      </c>
      <c r="AH12" s="984">
        <v>3.163643</v>
      </c>
      <c r="AI12" s="985">
        <v>3.3721399999999999</v>
      </c>
      <c r="AJ12" s="984">
        <v>3.414012</v>
      </c>
      <c r="AK12" s="984">
        <v>3.1029080000000002</v>
      </c>
      <c r="AL12" s="984">
        <v>2.9828100000000002</v>
      </c>
      <c r="AM12" s="985">
        <v>3.3373650000000001</v>
      </c>
      <c r="AN12" s="984">
        <v>3.4170240000000001</v>
      </c>
      <c r="AO12" s="984">
        <v>3.2414540000000001</v>
      </c>
      <c r="AP12" s="984">
        <v>3.212704</v>
      </c>
      <c r="AQ12" s="985">
        <v>3.4333209999999998</v>
      </c>
      <c r="AR12" s="984">
        <v>3.614115</v>
      </c>
      <c r="AS12" s="984">
        <v>3.4073709999999999</v>
      </c>
      <c r="AT12" s="984">
        <v>3.2415579999999999</v>
      </c>
      <c r="AU12" s="985">
        <v>3.6896580000000001</v>
      </c>
      <c r="AV12" s="984">
        <v>3.7737690000000002</v>
      </c>
      <c r="AW12" s="984">
        <v>3.5567069999999998</v>
      </c>
      <c r="AX12" s="984">
        <v>3.4530910000000001</v>
      </c>
      <c r="AY12" s="985">
        <v>3.8849969999999998</v>
      </c>
      <c r="AZ12" s="984">
        <v>3.787207</v>
      </c>
      <c r="BA12" s="984">
        <v>3.6696019999999998</v>
      </c>
      <c r="BB12" s="984">
        <v>3.4638149999999999</v>
      </c>
      <c r="BC12" s="985">
        <v>4.1357299999999997</v>
      </c>
      <c r="BD12" s="984">
        <v>4.0036360000000002</v>
      </c>
      <c r="BE12" s="984">
        <v>3.777142</v>
      </c>
      <c r="BF12" s="984">
        <v>3.49011</v>
      </c>
      <c r="BG12" s="985">
        <v>3.4100109999999999</v>
      </c>
      <c r="BH12" s="984">
        <v>2.2443780000000002</v>
      </c>
      <c r="BI12" s="984">
        <v>2.4766910000000002</v>
      </c>
      <c r="BJ12" s="984">
        <v>2.9357280000000001</v>
      </c>
      <c r="BK12" s="985">
        <v>3.404042</v>
      </c>
      <c r="BL12" s="984">
        <v>3.3708610000000001</v>
      </c>
      <c r="BM12" s="984">
        <v>3.2927650000000002</v>
      </c>
      <c r="BN12" s="984">
        <v>3.3262299999999998</v>
      </c>
      <c r="BO12" s="985">
        <v>3.3134709999999998</v>
      </c>
      <c r="BP12" s="984">
        <v>2.8481299999999998</v>
      </c>
      <c r="BQ12" s="984">
        <v>2.6119330000000001</v>
      </c>
      <c r="BR12" s="984">
        <v>3.3149479999999998</v>
      </c>
      <c r="BS12" s="985">
        <v>3.703195</v>
      </c>
      <c r="BT12" s="984">
        <v>3.825895</v>
      </c>
      <c r="BU12" s="984">
        <v>3.5339930000000002</v>
      </c>
      <c r="BV12" s="984">
        <v>3.2269709999999998</v>
      </c>
      <c r="BW12" s="985">
        <v>3.3413740000000001</v>
      </c>
      <c r="BX12" s="984">
        <v>3.337726</v>
      </c>
      <c r="BY12" s="984">
        <v>3.291703</v>
      </c>
      <c r="BZ12" s="984">
        <v>3.2531080000000001</v>
      </c>
      <c r="CA12" s="985">
        <v>3.612581</v>
      </c>
      <c r="CB12" s="984">
        <v>3.6615790000000001</v>
      </c>
      <c r="CC12" s="984">
        <v>3.431403</v>
      </c>
      <c r="CD12" s="984">
        <v>3.2016209999999998</v>
      </c>
      <c r="CE12" s="985">
        <v>3.373796</v>
      </c>
      <c r="CF12" s="984">
        <v>3.4355009999999999</v>
      </c>
      <c r="CG12" s="984">
        <v>3.245762</v>
      </c>
      <c r="CH12" s="984">
        <v>3.155964</v>
      </c>
      <c r="CI12" s="985">
        <v>3.4282330000000001</v>
      </c>
      <c r="CJ12" s="984">
        <v>3.3284069999999999</v>
      </c>
      <c r="CK12" s="984">
        <v>3.0989450000000001</v>
      </c>
      <c r="CL12" s="984">
        <v>3.0065360000000001</v>
      </c>
      <c r="CM12" s="986">
        <v>3.4802559999999998</v>
      </c>
      <c r="CN12" s="660">
        <v>3.4446340000000002</v>
      </c>
      <c r="CO12" s="660">
        <v>3.2970989999999998</v>
      </c>
      <c r="CP12" s="984">
        <v>3.2634799999999999</v>
      </c>
      <c r="CQ12" s="1170">
        <v>3.3861569999999999</v>
      </c>
      <c r="CR12" s="1128">
        <v>3.3935970000000002</v>
      </c>
      <c r="CS12" s="1128">
        <v>3.1585549999999998</v>
      </c>
      <c r="CT12" s="1128">
        <v>3.122207</v>
      </c>
      <c r="CU12" s="1129">
        <v>3.2359900000000001</v>
      </c>
      <c r="CV12" s="660"/>
      <c r="CW12" s="984"/>
      <c r="CX12" s="984"/>
      <c r="CY12" s="984"/>
      <c r="CZ12" s="984"/>
      <c r="DA12" s="984"/>
      <c r="DB12" s="984"/>
      <c r="DC12" s="987">
        <f>SUM(X12:AA12)</f>
        <v>12.618646</v>
      </c>
      <c r="DD12" s="987">
        <f>SUM(AB12:AE12)</f>
        <v>12.219230999999999</v>
      </c>
      <c r="DE12" s="987">
        <f>SUM(AF12:AI12)</f>
        <v>12.863329</v>
      </c>
      <c r="DF12" s="987">
        <f>SUM(AJ12:AM12)</f>
        <v>12.837095000000001</v>
      </c>
      <c r="DG12" s="987">
        <f>SUM(AN12:AQ12)</f>
        <v>13.304503</v>
      </c>
      <c r="DH12" s="987">
        <f>SUM(AR12:AU12)</f>
        <v>13.952701999999999</v>
      </c>
      <c r="DI12" s="987">
        <f>SUM(AV12:AY12)</f>
        <v>14.668564</v>
      </c>
      <c r="DJ12" s="987">
        <f>SUM(AZ12:BC12)</f>
        <v>15.056353999999999</v>
      </c>
      <c r="DK12" s="987">
        <f>SUM(BD12:BG12)</f>
        <v>14.680899</v>
      </c>
      <c r="DL12" s="987">
        <f>SUM(BH12:BK12)</f>
        <v>11.060839</v>
      </c>
      <c r="DM12" s="987">
        <f>SUM(BL12:BO12)</f>
        <v>13.303326999999999</v>
      </c>
      <c r="DN12" s="987">
        <f>SUM(BP12:BS12)</f>
        <v>12.478206</v>
      </c>
      <c r="DO12" s="987">
        <f>SUM(BT12:BW12)</f>
        <v>13.928233000000001</v>
      </c>
      <c r="DP12" s="987">
        <f>SUM(BX12:CA12)</f>
        <v>13.495118</v>
      </c>
      <c r="DQ12" s="987">
        <f>SUM(CB12:CE12)</f>
        <v>13.668399000000001</v>
      </c>
      <c r="DR12" s="987">
        <f>SUM(CF12:CI12)</f>
        <v>13.265459999999999</v>
      </c>
      <c r="DS12" s="987">
        <f>SUM(CJ12:CM12)</f>
        <v>12.914144</v>
      </c>
      <c r="DT12" s="988">
        <f>SUM(CN12:CQ12)</f>
        <v>13.391369999999998</v>
      </c>
      <c r="DU12" s="988">
        <f>SUM(CR12:CU12)</f>
        <v>12.910349</v>
      </c>
      <c r="DV12" s="1130">
        <v>12.933814999999999</v>
      </c>
      <c r="DW12" s="1130">
        <v>12.580867</v>
      </c>
      <c r="DX12" s="1130">
        <v>12.512722</v>
      </c>
      <c r="DY12" s="1130">
        <v>12.441662000000001</v>
      </c>
      <c r="DZ12" s="1130">
        <v>12.518022</v>
      </c>
    </row>
    <row r="13" spans="2:130" ht="15">
      <c r="B13" s="989" t="s">
        <v>341</v>
      </c>
      <c r="C13" s="898"/>
      <c r="D13" s="990"/>
      <c r="E13" s="991"/>
      <c r="F13" s="991"/>
      <c r="G13" s="992"/>
      <c r="H13" s="991"/>
      <c r="I13" s="991"/>
      <c r="J13" s="991"/>
      <c r="K13" s="992"/>
      <c r="L13" s="991"/>
      <c r="M13" s="991"/>
      <c r="N13" s="991"/>
      <c r="O13" s="992"/>
      <c r="P13" s="991"/>
      <c r="Q13" s="991"/>
      <c r="R13" s="991"/>
      <c r="S13" s="992"/>
      <c r="T13" s="991"/>
      <c r="U13" s="991"/>
      <c r="V13" s="991"/>
      <c r="W13" s="992"/>
      <c r="X13" s="991"/>
      <c r="Y13" s="991">
        <f t="shared" ref="Y13:BD13" si="14">Y12/X12-1</f>
        <v>-6.256860592755209E-2</v>
      </c>
      <c r="Z13" s="991">
        <f t="shared" si="14"/>
        <v>3.1795009214274694E-2</v>
      </c>
      <c r="AA13" s="992">
        <f t="shared" si="14"/>
        <v>2.2977984284014763E-2</v>
      </c>
      <c r="AB13" s="991">
        <f t="shared" si="14"/>
        <v>-2.0739611013386283E-2</v>
      </c>
      <c r="AC13" s="991">
        <f t="shared" si="14"/>
        <v>-4.4230763718384414E-2</v>
      </c>
      <c r="AD13" s="991">
        <f t="shared" si="14"/>
        <v>1.6566985725653627E-2</v>
      </c>
      <c r="AE13" s="992">
        <f t="shared" si="14"/>
        <v>-7.4437229891327616E-3</v>
      </c>
      <c r="AF13" s="991">
        <f t="shared" si="14"/>
        <v>7.3966054540482773E-2</v>
      </c>
      <c r="AG13" s="991">
        <f t="shared" si="14"/>
        <v>-5.4187748068116881E-2</v>
      </c>
      <c r="AH13" s="991">
        <f t="shared" si="14"/>
        <v>2.8603876817613783E-2</v>
      </c>
      <c r="AI13" s="992">
        <f t="shared" si="14"/>
        <v>6.5904085890854391E-2</v>
      </c>
      <c r="AJ13" s="991">
        <f t="shared" si="14"/>
        <v>1.2417040810879687E-2</v>
      </c>
      <c r="AK13" s="991">
        <f t="shared" si="14"/>
        <v>-9.1125631661517215E-2</v>
      </c>
      <c r="AL13" s="991">
        <f t="shared" si="14"/>
        <v>-3.8704982551851397E-2</v>
      </c>
      <c r="AM13" s="992">
        <f t="shared" si="14"/>
        <v>0.11886610276886556</v>
      </c>
      <c r="AN13" s="991">
        <f t="shared" si="14"/>
        <v>2.3868830649329542E-2</v>
      </c>
      <c r="AO13" s="991">
        <f t="shared" si="14"/>
        <v>-5.1380967766102903E-2</v>
      </c>
      <c r="AP13" s="991">
        <f t="shared" si="14"/>
        <v>-8.8694764756803712E-3</v>
      </c>
      <c r="AQ13" s="992">
        <f t="shared" si="14"/>
        <v>6.8670191838401395E-2</v>
      </c>
      <c r="AR13" s="991">
        <f t="shared" si="14"/>
        <v>5.2658635764031514E-2</v>
      </c>
      <c r="AS13" s="991">
        <f t="shared" si="14"/>
        <v>-5.7204599189566441E-2</v>
      </c>
      <c r="AT13" s="991">
        <f t="shared" si="14"/>
        <v>-4.8663030823470677E-2</v>
      </c>
      <c r="AU13" s="992">
        <f t="shared" si="14"/>
        <v>0.13823599639432649</v>
      </c>
      <c r="AV13" s="991">
        <f t="shared" si="14"/>
        <v>2.2796421782181442E-2</v>
      </c>
      <c r="AW13" s="991">
        <f t="shared" si="14"/>
        <v>-5.7518623953930481E-2</v>
      </c>
      <c r="AX13" s="991">
        <f t="shared" si="14"/>
        <v>-2.9132565600708649E-2</v>
      </c>
      <c r="AY13" s="992">
        <f t="shared" si="14"/>
        <v>0.12507808221677319</v>
      </c>
      <c r="AZ13" s="991">
        <f t="shared" si="14"/>
        <v>-2.5171190608383909E-2</v>
      </c>
      <c r="BA13" s="991">
        <f t="shared" si="14"/>
        <v>-3.1053227351977353E-2</v>
      </c>
      <c r="BB13" s="991">
        <f t="shared" si="14"/>
        <v>-5.6078833617378643E-2</v>
      </c>
      <c r="BC13" s="992">
        <f t="shared" si="14"/>
        <v>0.19398120280673181</v>
      </c>
      <c r="BD13" s="991">
        <f t="shared" si="14"/>
        <v>-3.1939705928578421E-2</v>
      </c>
      <c r="BE13" s="991">
        <f t="shared" ref="BE13:CJ13" si="15">BE12/BD12-1</f>
        <v>-5.6572075982931569E-2</v>
      </c>
      <c r="BF13" s="991">
        <f t="shared" si="15"/>
        <v>-7.5991847804504076E-2</v>
      </c>
      <c r="BG13" s="992">
        <f t="shared" si="15"/>
        <v>-2.2950279504084459E-2</v>
      </c>
      <c r="BH13" s="991">
        <f t="shared" si="15"/>
        <v>-0.34182675657057993</v>
      </c>
      <c r="BI13" s="991">
        <f t="shared" si="15"/>
        <v>0.10350885635129203</v>
      </c>
      <c r="BJ13" s="991">
        <f t="shared" si="15"/>
        <v>0.18534286271480771</v>
      </c>
      <c r="BK13" s="992">
        <f t="shared" si="15"/>
        <v>0.15952227181809753</v>
      </c>
      <c r="BL13" s="991">
        <f t="shared" si="15"/>
        <v>-9.7475295545706997E-3</v>
      </c>
      <c r="BM13" s="991">
        <f t="shared" si="15"/>
        <v>-2.3167968065132327E-2</v>
      </c>
      <c r="BN13" s="991">
        <f t="shared" si="15"/>
        <v>1.0163191117495307E-2</v>
      </c>
      <c r="BO13" s="992">
        <f t="shared" si="15"/>
        <v>-3.8358742480225638E-3</v>
      </c>
      <c r="BP13" s="991">
        <f t="shared" si="15"/>
        <v>-0.14043913467176872</v>
      </c>
      <c r="BQ13" s="991">
        <f t="shared" si="15"/>
        <v>-8.2930554433961912E-2</v>
      </c>
      <c r="BR13" s="991">
        <f t="shared" si="15"/>
        <v>0.26915506638187114</v>
      </c>
      <c r="BS13" s="992">
        <f t="shared" si="15"/>
        <v>0.11712008755491787</v>
      </c>
      <c r="BT13" s="991">
        <f t="shared" si="15"/>
        <v>3.3133550893215125E-2</v>
      </c>
      <c r="BU13" s="991">
        <f t="shared" si="15"/>
        <v>-7.6296396006686029E-2</v>
      </c>
      <c r="BV13" s="991">
        <f t="shared" si="15"/>
        <v>-8.6876799133444926E-2</v>
      </c>
      <c r="BW13" s="992">
        <f t="shared" si="15"/>
        <v>3.5452131426033873E-2</v>
      </c>
      <c r="BX13" s="991">
        <f t="shared" si="15"/>
        <v>-1.091766440991071E-3</v>
      </c>
      <c r="BY13" s="991">
        <f t="shared" si="15"/>
        <v>-1.3788729212643513E-2</v>
      </c>
      <c r="BZ13" s="991">
        <f t="shared" si="15"/>
        <v>-1.1724933871615995E-2</v>
      </c>
      <c r="CA13" s="992">
        <f t="shared" si="15"/>
        <v>0.11050140358082183</v>
      </c>
      <c r="CB13" s="991">
        <f t="shared" si="15"/>
        <v>1.3563156092555539E-2</v>
      </c>
      <c r="CC13" s="991">
        <f t="shared" si="15"/>
        <v>-6.2862497299662312E-2</v>
      </c>
      <c r="CD13" s="991">
        <f t="shared" si="15"/>
        <v>-6.69644457383759E-2</v>
      </c>
      <c r="CE13" s="992">
        <f t="shared" si="15"/>
        <v>5.3777445862580375E-2</v>
      </c>
      <c r="CF13" s="991">
        <f t="shared" si="15"/>
        <v>1.8289487568305729E-2</v>
      </c>
      <c r="CG13" s="991">
        <f t="shared" si="15"/>
        <v>-5.5228917121549315E-2</v>
      </c>
      <c r="CH13" s="991">
        <f t="shared" si="15"/>
        <v>-2.7666230610870479E-2</v>
      </c>
      <c r="CI13" s="992">
        <f t="shared" si="15"/>
        <v>8.6271262916814084E-2</v>
      </c>
      <c r="CJ13" s="991">
        <f t="shared" si="15"/>
        <v>-2.9118790933988503E-2</v>
      </c>
      <c r="CK13" s="991">
        <f t="shared" ref="CK13:CU13" si="16">CK12/CJ12-1</f>
        <v>-6.8940487145952911E-2</v>
      </c>
      <c r="CL13" s="991">
        <f t="shared" si="16"/>
        <v>-2.9819503088954424E-2</v>
      </c>
      <c r="CM13" s="992">
        <f t="shared" si="16"/>
        <v>0.15756338856411478</v>
      </c>
      <c r="CN13" s="991">
        <f t="shared" si="16"/>
        <v>-1.02354539436178E-2</v>
      </c>
      <c r="CO13" s="991">
        <f t="shared" si="16"/>
        <v>-4.2830384882690087E-2</v>
      </c>
      <c r="CP13" s="991">
        <f t="shared" si="16"/>
        <v>-1.0196539442703934E-2</v>
      </c>
      <c r="CQ13" s="992">
        <f t="shared" si="16"/>
        <v>3.7590853935063118E-2</v>
      </c>
      <c r="CR13" s="991">
        <f t="shared" si="16"/>
        <v>2.1971810521486113E-3</v>
      </c>
      <c r="CS13" s="991">
        <f t="shared" si="16"/>
        <v>-6.9260433693217105E-2</v>
      </c>
      <c r="CT13" s="991">
        <f t="shared" si="16"/>
        <v>-1.1507793912089448E-2</v>
      </c>
      <c r="CU13" s="992">
        <f t="shared" si="16"/>
        <v>3.6443131413131935E-2</v>
      </c>
      <c r="CV13" s="416"/>
      <c r="CW13" s="991"/>
      <c r="CX13" s="991"/>
      <c r="CY13" s="991"/>
      <c r="CZ13" s="991"/>
      <c r="DA13" s="991"/>
      <c r="DB13" s="991"/>
      <c r="DC13" s="991"/>
      <c r="DD13" s="991"/>
      <c r="DE13" s="991"/>
      <c r="DF13" s="991"/>
      <c r="DG13" s="991"/>
      <c r="DH13" s="991"/>
      <c r="DI13" s="991"/>
      <c r="DJ13" s="991"/>
      <c r="DK13" s="991"/>
      <c r="DL13" s="991"/>
      <c r="DM13" s="991"/>
      <c r="DN13" s="991"/>
      <c r="DO13" s="991"/>
      <c r="DP13" s="991"/>
      <c r="DQ13" s="991"/>
      <c r="DR13" s="991"/>
      <c r="DS13" s="991"/>
      <c r="DT13" s="991"/>
      <c r="DU13" s="991"/>
      <c r="DV13" s="991"/>
      <c r="DW13" s="991"/>
      <c r="DX13" s="991"/>
      <c r="DY13" s="991"/>
      <c r="DZ13" s="991"/>
    </row>
    <row r="14" spans="2:130" ht="15">
      <c r="B14" s="989" t="s">
        <v>293</v>
      </c>
      <c r="C14" s="898"/>
      <c r="D14" s="990"/>
      <c r="E14" s="991"/>
      <c r="F14" s="991"/>
      <c r="G14" s="992"/>
      <c r="H14" s="991"/>
      <c r="I14" s="991"/>
      <c r="J14" s="991"/>
      <c r="K14" s="992"/>
      <c r="L14" s="991"/>
      <c r="M14" s="991"/>
      <c r="N14" s="991"/>
      <c r="O14" s="992"/>
      <c r="P14" s="991"/>
      <c r="Q14" s="991"/>
      <c r="R14" s="991"/>
      <c r="S14" s="992"/>
      <c r="T14" s="991"/>
      <c r="U14" s="991"/>
      <c r="V14" s="991"/>
      <c r="W14" s="992"/>
      <c r="X14" s="991"/>
      <c r="Y14" s="991"/>
      <c r="Z14" s="991"/>
      <c r="AA14" s="992"/>
      <c r="AB14" s="991">
        <f t="shared" ref="AB14:BG14" si="17">AB12/X12-1</f>
        <v>-3.1058869710689385E-2</v>
      </c>
      <c r="AC14" s="991">
        <f t="shared" si="17"/>
        <v>-1.2104640452345605E-2</v>
      </c>
      <c r="AD14" s="991">
        <f t="shared" si="17"/>
        <v>-2.6684759182467599E-2</v>
      </c>
      <c r="AE14" s="992">
        <f t="shared" si="17"/>
        <v>-5.5629576955225413E-2</v>
      </c>
      <c r="AF14" s="991">
        <f t="shared" si="17"/>
        <v>3.5701830349422314E-2</v>
      </c>
      <c r="AG14" s="991">
        <f t="shared" si="17"/>
        <v>2.4912126596350337E-2</v>
      </c>
      <c r="AH14" s="991">
        <f t="shared" si="17"/>
        <v>3.7047830214408606E-2</v>
      </c>
      <c r="AI14" s="992">
        <f t="shared" si="17"/>
        <v>0.1136834707435741</v>
      </c>
      <c r="AJ14" s="991">
        <f t="shared" si="17"/>
        <v>4.985825118339271E-2</v>
      </c>
      <c r="AK14" s="991">
        <f t="shared" si="17"/>
        <v>8.856940624586418E-3</v>
      </c>
      <c r="AL14" s="991">
        <f t="shared" si="17"/>
        <v>-5.715973641779426E-2</v>
      </c>
      <c r="AM14" s="992">
        <f t="shared" si="17"/>
        <v>-1.0312442543903844E-2</v>
      </c>
      <c r="AN14" s="991">
        <f t="shared" si="17"/>
        <v>8.8224645959056325E-4</v>
      </c>
      <c r="AO14" s="991">
        <f t="shared" si="17"/>
        <v>4.4650373133847232E-2</v>
      </c>
      <c r="AP14" s="991">
        <f t="shared" si="17"/>
        <v>7.7072961402167683E-2</v>
      </c>
      <c r="AQ14" s="992">
        <f t="shared" si="17"/>
        <v>2.875202442645608E-2</v>
      </c>
      <c r="AR14" s="991">
        <f t="shared" si="17"/>
        <v>5.7679138337922042E-2</v>
      </c>
      <c r="AS14" s="991">
        <f t="shared" si="17"/>
        <v>5.1185980118798602E-2</v>
      </c>
      <c r="AT14" s="991">
        <f t="shared" si="17"/>
        <v>8.9812195583534038E-3</v>
      </c>
      <c r="AU14" s="992">
        <f t="shared" si="17"/>
        <v>7.4661530337536197E-2</v>
      </c>
      <c r="AV14" s="991">
        <f t="shared" si="17"/>
        <v>4.4175130011081531E-2</v>
      </c>
      <c r="AW14" s="991">
        <f t="shared" si="17"/>
        <v>4.3827337850794512E-2</v>
      </c>
      <c r="AX14" s="991">
        <f t="shared" si="17"/>
        <v>6.5256583408348723E-2</v>
      </c>
      <c r="AY14" s="992">
        <f t="shared" si="17"/>
        <v>5.294230522178478E-2</v>
      </c>
      <c r="AZ14" s="991">
        <f t="shared" si="17"/>
        <v>3.5608962816748857E-3</v>
      </c>
      <c r="BA14" s="991">
        <f t="shared" si="17"/>
        <v>3.1741439483207401E-2</v>
      </c>
      <c r="BB14" s="991">
        <f t="shared" si="17"/>
        <v>3.1056233386261844E-3</v>
      </c>
      <c r="BC14" s="992">
        <f t="shared" si="17"/>
        <v>6.4538788575640993E-2</v>
      </c>
      <c r="BD14" s="991">
        <f t="shared" si="17"/>
        <v>5.7147391204124931E-2</v>
      </c>
      <c r="BE14" s="991">
        <f t="shared" si="17"/>
        <v>2.930563041986578E-2</v>
      </c>
      <c r="BF14" s="991">
        <f t="shared" si="17"/>
        <v>7.5913407615590955E-3</v>
      </c>
      <c r="BG14" s="992">
        <f t="shared" si="17"/>
        <v>-0.17547542997245946</v>
      </c>
      <c r="BH14" s="991">
        <f t="shared" ref="BH14:CM14" si="18">BH12/BD12-1</f>
        <v>-0.43941507169982486</v>
      </c>
      <c r="BI14" s="991">
        <f t="shared" si="18"/>
        <v>-0.34429497223032646</v>
      </c>
      <c r="BJ14" s="991">
        <f t="shared" si="18"/>
        <v>-0.15884370406663395</v>
      </c>
      <c r="BK14" s="992">
        <f t="shared" si="18"/>
        <v>-1.750434236135856E-3</v>
      </c>
      <c r="BL14" s="991">
        <f t="shared" si="18"/>
        <v>0.50191322495586732</v>
      </c>
      <c r="BM14" s="991">
        <f t="shared" si="18"/>
        <v>0.32950174244586816</v>
      </c>
      <c r="BN14" s="991">
        <f t="shared" si="18"/>
        <v>0.13301709150166485</v>
      </c>
      <c r="BO14" s="992">
        <f t="shared" si="18"/>
        <v>-2.6606898504777599E-2</v>
      </c>
      <c r="BP14" s="991">
        <f t="shared" si="18"/>
        <v>-0.15507343672729323</v>
      </c>
      <c r="BQ14" s="991">
        <f t="shared" si="18"/>
        <v>-0.20676604616484928</v>
      </c>
      <c r="BR14" s="991">
        <f t="shared" si="18"/>
        <v>-3.3918279854370237E-3</v>
      </c>
      <c r="BS14" s="992">
        <f t="shared" si="18"/>
        <v>0.11761805067857845</v>
      </c>
      <c r="BT14" s="991">
        <f t="shared" si="18"/>
        <v>0.34330069203301816</v>
      </c>
      <c r="BU14" s="991">
        <f t="shared" si="18"/>
        <v>0.35301824357669198</v>
      </c>
      <c r="BV14" s="991">
        <f t="shared" si="18"/>
        <v>-2.6539481162298761E-2</v>
      </c>
      <c r="BW14" s="992">
        <f t="shared" si="18"/>
        <v>-9.7705089794083211E-2</v>
      </c>
      <c r="BX14" s="991">
        <f t="shared" si="18"/>
        <v>-0.12759602655065028</v>
      </c>
      <c r="BY14" s="991">
        <f t="shared" si="18"/>
        <v>-6.8559841516381059E-2</v>
      </c>
      <c r="BZ14" s="991">
        <f t="shared" si="18"/>
        <v>8.0995459829047434E-3</v>
      </c>
      <c r="CA14" s="992">
        <f t="shared" si="18"/>
        <v>8.1166310625509164E-2</v>
      </c>
      <c r="CB14" s="991">
        <f t="shared" si="18"/>
        <v>9.7028036453561617E-2</v>
      </c>
      <c r="CC14" s="991">
        <f t="shared" si="18"/>
        <v>4.2440037877050196E-2</v>
      </c>
      <c r="CD14" s="991">
        <f t="shared" si="18"/>
        <v>-1.5827018346762589E-2</v>
      </c>
      <c r="CE14" s="992">
        <f t="shared" si="18"/>
        <v>-6.6098171916422088E-2</v>
      </c>
      <c r="CF14" s="991">
        <f t="shared" si="18"/>
        <v>-6.1743308010014264E-2</v>
      </c>
      <c r="CG14" s="991">
        <f t="shared" si="18"/>
        <v>-5.4100611324289227E-2</v>
      </c>
      <c r="CH14" s="991">
        <f t="shared" si="18"/>
        <v>-1.4260588620576886E-2</v>
      </c>
      <c r="CI14" s="992">
        <f t="shared" si="18"/>
        <v>1.6135237578087214E-2</v>
      </c>
      <c r="CJ14" s="991">
        <f t="shared" si="18"/>
        <v>-3.1172745983773509E-2</v>
      </c>
      <c r="CK14" s="991">
        <f t="shared" si="18"/>
        <v>-4.5233445951982865E-2</v>
      </c>
      <c r="CL14" s="991">
        <f t="shared" si="18"/>
        <v>-4.7347815120831527E-2</v>
      </c>
      <c r="CM14" s="992">
        <f t="shared" si="18"/>
        <v>1.5174872886411173E-2</v>
      </c>
      <c r="CN14" s="991">
        <f t="shared" ref="CN14:CU14" si="19">CN12/CJ12-1</f>
        <v>3.4919707836211122E-2</v>
      </c>
      <c r="CO14" s="991">
        <f t="shared" si="19"/>
        <v>6.3942406205983016E-2</v>
      </c>
      <c r="CP14" s="991">
        <f t="shared" si="19"/>
        <v>8.5461807209359808E-2</v>
      </c>
      <c r="CQ14" s="992">
        <f t="shared" si="19"/>
        <v>-2.7037953529855274E-2</v>
      </c>
      <c r="CR14" s="991">
        <f t="shared" si="19"/>
        <v>-1.4816378169640099E-2</v>
      </c>
      <c r="CS14" s="991">
        <f t="shared" si="19"/>
        <v>-4.2019969676373115E-2</v>
      </c>
      <c r="CT14" s="991">
        <f t="shared" si="19"/>
        <v>-4.3289065659970372E-2</v>
      </c>
      <c r="CU14" s="992">
        <f t="shared" si="19"/>
        <v>-4.4347323529298821E-2</v>
      </c>
      <c r="CV14" s="416"/>
      <c r="CW14" s="991"/>
      <c r="CX14" s="991"/>
      <c r="CY14" s="991"/>
      <c r="CZ14" s="991"/>
      <c r="DA14" s="991"/>
      <c r="DB14" s="991"/>
      <c r="DC14" s="991"/>
      <c r="DD14" s="991">
        <f t="shared" ref="DD14:DZ14" si="20">DD12/DC12-1</f>
        <v>-3.1652762110927046E-2</v>
      </c>
      <c r="DE14" s="991">
        <f t="shared" si="20"/>
        <v>5.2711827773777475E-2</v>
      </c>
      <c r="DF14" s="991">
        <f t="shared" si="20"/>
        <v>-2.039440956536076E-3</v>
      </c>
      <c r="DG14" s="991">
        <f t="shared" si="20"/>
        <v>3.6410729997713664E-2</v>
      </c>
      <c r="DH14" s="991">
        <f t="shared" si="20"/>
        <v>4.8720271625328548E-2</v>
      </c>
      <c r="DI14" s="991">
        <f t="shared" si="20"/>
        <v>5.1306334787341035E-2</v>
      </c>
      <c r="DJ14" s="991">
        <f t="shared" si="20"/>
        <v>2.6436807311199573E-2</v>
      </c>
      <c r="DK14" s="991">
        <f t="shared" si="20"/>
        <v>-2.493664800920592E-2</v>
      </c>
      <c r="DL14" s="991">
        <f t="shared" si="20"/>
        <v>-0.24658299195437561</v>
      </c>
      <c r="DM14" s="991">
        <f t="shared" si="20"/>
        <v>0.20274122062530697</v>
      </c>
      <c r="DN14" s="991">
        <f t="shared" si="20"/>
        <v>-6.2023657691042233E-2</v>
      </c>
      <c r="DO14" s="991">
        <f t="shared" si="20"/>
        <v>0.1162047653324525</v>
      </c>
      <c r="DP14" s="991">
        <f t="shared" si="20"/>
        <v>-3.109619145515452E-2</v>
      </c>
      <c r="DQ14" s="991">
        <f t="shared" si="20"/>
        <v>1.2840273052818096E-2</v>
      </c>
      <c r="DR14" s="991">
        <f t="shared" si="20"/>
        <v>-2.9479604743759769E-2</v>
      </c>
      <c r="DS14" s="991">
        <f t="shared" si="20"/>
        <v>-2.6483514329695201E-2</v>
      </c>
      <c r="DT14" s="991">
        <f t="shared" si="20"/>
        <v>3.6953746218099992E-2</v>
      </c>
      <c r="DU14" s="991">
        <f t="shared" si="20"/>
        <v>-3.5920223248256056E-2</v>
      </c>
      <c r="DV14" s="991">
        <f t="shared" si="20"/>
        <v>1.8176115920645053E-3</v>
      </c>
      <c r="DW14" s="991">
        <f t="shared" si="20"/>
        <v>-2.7288777518466145E-2</v>
      </c>
      <c r="DX14" s="991">
        <f t="shared" si="20"/>
        <v>-5.4165583341752033E-3</v>
      </c>
      <c r="DY14" s="991">
        <f t="shared" si="20"/>
        <v>-5.6790201204821589E-3</v>
      </c>
      <c r="DZ14" s="991">
        <f t="shared" si="20"/>
        <v>6.137443695223288E-3</v>
      </c>
    </row>
    <row r="15" spans="2:130" ht="15">
      <c r="B15" s="981" t="s">
        <v>427</v>
      </c>
      <c r="C15" s="982"/>
      <c r="D15" s="983"/>
      <c r="E15" s="984"/>
      <c r="F15" s="984"/>
      <c r="G15" s="985"/>
      <c r="H15" s="984"/>
      <c r="I15" s="984"/>
      <c r="J15" s="984"/>
      <c r="K15" s="985"/>
      <c r="L15" s="984"/>
      <c r="M15" s="984"/>
      <c r="N15" s="984"/>
      <c r="O15" s="985"/>
      <c r="P15" s="984"/>
      <c r="Q15" s="984"/>
      <c r="R15" s="984"/>
      <c r="S15" s="985"/>
      <c r="T15" s="984"/>
      <c r="U15" s="984"/>
      <c r="V15" s="984"/>
      <c r="W15" s="985"/>
      <c r="X15" s="984">
        <v>0.175735</v>
      </c>
      <c r="Y15" s="984">
        <v>0.16708899999999999</v>
      </c>
      <c r="Z15" s="984">
        <v>0.173293</v>
      </c>
      <c r="AA15" s="985">
        <v>0.160301</v>
      </c>
      <c r="AB15" s="984">
        <v>0.19814899999999999</v>
      </c>
      <c r="AC15" s="984">
        <v>0.191136</v>
      </c>
      <c r="AD15" s="984">
        <v>0.18307999999999999</v>
      </c>
      <c r="AE15" s="985">
        <v>0.18279599999999999</v>
      </c>
      <c r="AF15" s="984">
        <v>0.20505799999999999</v>
      </c>
      <c r="AG15" s="984">
        <v>0.203593</v>
      </c>
      <c r="AH15" s="984">
        <v>0.22167200000000001</v>
      </c>
      <c r="AI15" s="985">
        <v>0.240652</v>
      </c>
      <c r="AJ15" s="984">
        <v>0.26165100000000002</v>
      </c>
      <c r="AK15" s="984">
        <v>0.25477</v>
      </c>
      <c r="AL15" s="984">
        <v>0.29540899999999998</v>
      </c>
      <c r="AM15" s="985">
        <v>0.30282399999999998</v>
      </c>
      <c r="AN15" s="984">
        <v>0.31485299999999999</v>
      </c>
      <c r="AO15" s="984">
        <v>0.29938300000000001</v>
      </c>
      <c r="AP15" s="984">
        <v>0.34185700000000002</v>
      </c>
      <c r="AQ15" s="985">
        <v>0.36516799999999999</v>
      </c>
      <c r="AR15" s="984">
        <v>0.36921999999999999</v>
      </c>
      <c r="AS15" s="984">
        <v>0.33776600000000001</v>
      </c>
      <c r="AT15" s="984">
        <v>0.41234700000000002</v>
      </c>
      <c r="AU15" s="985">
        <v>0.40236300000000003</v>
      </c>
      <c r="AV15" s="984">
        <v>0.43304300000000001</v>
      </c>
      <c r="AW15" s="984">
        <v>0.40879799999999999</v>
      </c>
      <c r="AX15" s="984">
        <v>0.45082</v>
      </c>
      <c r="AY15" s="985">
        <v>0.45234799999999997</v>
      </c>
      <c r="AZ15" s="984">
        <v>0.46847</v>
      </c>
      <c r="BA15" s="984">
        <v>0.42741099999999999</v>
      </c>
      <c r="BB15" s="984">
        <v>0.421124</v>
      </c>
      <c r="BC15" s="985">
        <v>0.47737400000000002</v>
      </c>
      <c r="BD15" s="984">
        <v>0.41688599999999998</v>
      </c>
      <c r="BE15" s="984">
        <v>0.412968</v>
      </c>
      <c r="BF15" s="984">
        <v>0.47333999999999998</v>
      </c>
      <c r="BG15" s="985">
        <v>0.48689300000000002</v>
      </c>
      <c r="BH15" s="984">
        <v>0.47405900000000001</v>
      </c>
      <c r="BI15" s="984">
        <v>0.41054000000000002</v>
      </c>
      <c r="BJ15" s="984">
        <v>0.42582399999999998</v>
      </c>
      <c r="BK15" s="985">
        <v>0.51790099999999994</v>
      </c>
      <c r="BL15" s="984">
        <v>0.54020199999999996</v>
      </c>
      <c r="BM15" s="984">
        <v>0.53112700000000002</v>
      </c>
      <c r="BN15" s="984">
        <v>0.510602</v>
      </c>
      <c r="BO15" s="985">
        <v>0.59468699999999997</v>
      </c>
      <c r="BP15" s="984">
        <v>0.56780299999999995</v>
      </c>
      <c r="BQ15" s="984">
        <v>0.51682300000000003</v>
      </c>
      <c r="BR15" s="984">
        <v>0.58382800000000001</v>
      </c>
      <c r="BS15" s="985">
        <v>0.635293</v>
      </c>
      <c r="BT15" s="984">
        <v>0.49840600000000002</v>
      </c>
      <c r="BU15" s="984">
        <v>0.40966399999999997</v>
      </c>
      <c r="BV15" s="984">
        <v>0.390204</v>
      </c>
      <c r="BW15" s="985">
        <v>0.38064900000000002</v>
      </c>
      <c r="BX15" s="984">
        <v>0.47034999999999999</v>
      </c>
      <c r="BY15" s="984">
        <v>0.351962</v>
      </c>
      <c r="BZ15" s="984">
        <v>0.33932800000000002</v>
      </c>
      <c r="CA15" s="985">
        <v>0.421649</v>
      </c>
      <c r="CB15" s="984">
        <v>0.462899</v>
      </c>
      <c r="CC15" s="984">
        <v>0.44616800000000001</v>
      </c>
      <c r="CD15" s="984">
        <v>0.50517599999999996</v>
      </c>
      <c r="CE15" s="985">
        <v>0.56660900000000003</v>
      </c>
      <c r="CF15" s="984">
        <v>0.56290499999999999</v>
      </c>
      <c r="CG15" s="984">
        <v>0.49840899999999999</v>
      </c>
      <c r="CH15" s="984">
        <v>0.47635100000000002</v>
      </c>
      <c r="CI15" s="985">
        <v>0.44489499999999998</v>
      </c>
      <c r="CJ15" s="984">
        <v>0.54170399999999996</v>
      </c>
      <c r="CK15" s="984">
        <v>0.55259999999999998</v>
      </c>
      <c r="CL15" s="984">
        <v>0.565415</v>
      </c>
      <c r="CM15" s="986">
        <v>0.634409</v>
      </c>
      <c r="CN15" s="660">
        <v>0.65741799999999995</v>
      </c>
      <c r="CO15" s="660">
        <v>0.57358500000000001</v>
      </c>
      <c r="CP15" s="984">
        <v>0.60904000000000003</v>
      </c>
      <c r="CQ15" s="1170">
        <v>0.69318000000000002</v>
      </c>
      <c r="CR15" s="1128">
        <v>0.65481</v>
      </c>
      <c r="CS15" s="1128">
        <v>0.55406299999999997</v>
      </c>
      <c r="CT15" s="1128">
        <v>0.75114999999999998</v>
      </c>
      <c r="CU15" s="1129">
        <v>0.78956300000000001</v>
      </c>
      <c r="CV15" s="660"/>
      <c r="CW15" s="984"/>
      <c r="CX15" s="984"/>
      <c r="CY15" s="984"/>
      <c r="CZ15" s="984"/>
      <c r="DA15" s="984"/>
      <c r="DB15" s="984"/>
      <c r="DC15" s="987">
        <f>SUM(X15:AA15)</f>
        <v>0.67641800000000007</v>
      </c>
      <c r="DD15" s="987">
        <f>SUM(AB15:AE15)</f>
        <v>0.75516099999999997</v>
      </c>
      <c r="DE15" s="987">
        <f>SUM(AF15:AI15)</f>
        <v>0.87097499999999994</v>
      </c>
      <c r="DF15" s="987">
        <f>SUM(AJ15:AM15)</f>
        <v>1.114654</v>
      </c>
      <c r="DG15" s="987">
        <f>SUM(AN15:AQ15)</f>
        <v>1.321261</v>
      </c>
      <c r="DH15" s="987">
        <f>SUM(AR15:AU15)</f>
        <v>1.5216960000000002</v>
      </c>
      <c r="DI15" s="987">
        <f>SUM(AV15:AY15)</f>
        <v>1.745009</v>
      </c>
      <c r="DJ15" s="987">
        <f>SUM(AZ15:BC15)</f>
        <v>1.7943789999999999</v>
      </c>
      <c r="DK15" s="987">
        <f>SUM(BD15:BG15)</f>
        <v>1.790087</v>
      </c>
      <c r="DL15" s="987">
        <f>SUM(BH15:BK15)</f>
        <v>1.8283240000000001</v>
      </c>
      <c r="DM15" s="987">
        <f>SUM(BL15:BO15)</f>
        <v>2.1766179999999999</v>
      </c>
      <c r="DN15" s="987">
        <f>SUM(BP15:BS15)</f>
        <v>2.303747</v>
      </c>
      <c r="DO15" s="987">
        <f>SUM(BT15:BW15)</f>
        <v>1.6789229999999999</v>
      </c>
      <c r="DP15" s="987">
        <f>SUM(BX15:CA15)</f>
        <v>1.5832889999999999</v>
      </c>
      <c r="DQ15" s="987">
        <f>SUM(CB15:CE15)</f>
        <v>1.9808520000000001</v>
      </c>
      <c r="DR15" s="987">
        <f>SUM(CF15:CI15)</f>
        <v>1.9825599999999999</v>
      </c>
      <c r="DS15" s="987">
        <f>SUM(CJ15:CM15)</f>
        <v>2.2941279999999997</v>
      </c>
      <c r="DT15" s="988">
        <f>SUM(CN15:CQ15)</f>
        <v>2.533223</v>
      </c>
      <c r="DU15" s="988">
        <f>SUM(CR15:CU15)</f>
        <v>2.7495859999999999</v>
      </c>
      <c r="DV15" s="1130">
        <v>2.8423029999999998</v>
      </c>
      <c r="DW15" s="1130">
        <v>3.047704</v>
      </c>
      <c r="DX15" s="1130">
        <v>3.3269540000000002</v>
      </c>
      <c r="DY15" s="1130">
        <v>3.403203</v>
      </c>
      <c r="DZ15" s="1130">
        <v>3.2327300000000001</v>
      </c>
    </row>
    <row r="16" spans="2:130" ht="15">
      <c r="B16" s="989" t="s">
        <v>341</v>
      </c>
      <c r="C16" s="898"/>
      <c r="D16" s="990"/>
      <c r="E16" s="991"/>
      <c r="F16" s="991"/>
      <c r="G16" s="992"/>
      <c r="H16" s="991"/>
      <c r="I16" s="991"/>
      <c r="J16" s="991"/>
      <c r="K16" s="992"/>
      <c r="L16" s="991"/>
      <c r="M16" s="991"/>
      <c r="N16" s="991"/>
      <c r="O16" s="992"/>
      <c r="P16" s="991"/>
      <c r="Q16" s="991"/>
      <c r="R16" s="991"/>
      <c r="S16" s="992"/>
      <c r="T16" s="991"/>
      <c r="U16" s="991"/>
      <c r="V16" s="991"/>
      <c r="W16" s="992"/>
      <c r="X16" s="991"/>
      <c r="Y16" s="991">
        <f t="shared" ref="Y16:BD16" si="21">Y15/X15-1</f>
        <v>-4.9199078157453058E-2</v>
      </c>
      <c r="Z16" s="991">
        <f t="shared" si="21"/>
        <v>3.7129912800962561E-2</v>
      </c>
      <c r="AA16" s="992">
        <f t="shared" si="21"/>
        <v>-7.4971291396651929E-2</v>
      </c>
      <c r="AB16" s="991">
        <f t="shared" si="21"/>
        <v>0.23610582591499729</v>
      </c>
      <c r="AC16" s="991">
        <f t="shared" si="21"/>
        <v>-3.5392558125451057E-2</v>
      </c>
      <c r="AD16" s="991">
        <f t="shared" si="21"/>
        <v>-4.2147999330319763E-2</v>
      </c>
      <c r="AE16" s="992">
        <f t="shared" si="21"/>
        <v>-1.5512344330347316E-3</v>
      </c>
      <c r="AF16" s="991">
        <f t="shared" si="21"/>
        <v>0.12178603470535454</v>
      </c>
      <c r="AG16" s="991">
        <f t="shared" si="21"/>
        <v>-7.1443201435691384E-3</v>
      </c>
      <c r="AH16" s="991">
        <f t="shared" si="21"/>
        <v>8.8799713153202786E-2</v>
      </c>
      <c r="AI16" s="992">
        <f t="shared" si="21"/>
        <v>8.5622000072178794E-2</v>
      </c>
      <c r="AJ16" s="991">
        <f t="shared" si="21"/>
        <v>8.7258780313481887E-2</v>
      </c>
      <c r="AK16" s="991">
        <f t="shared" si="21"/>
        <v>-2.6298389839901293E-2</v>
      </c>
      <c r="AL16" s="991">
        <f t="shared" si="21"/>
        <v>0.15951250147191587</v>
      </c>
      <c r="AM16" s="992">
        <f t="shared" si="21"/>
        <v>2.5100792460622356E-2</v>
      </c>
      <c r="AN16" s="991">
        <f t="shared" si="21"/>
        <v>3.9722743243600256E-2</v>
      </c>
      <c r="AO16" s="991">
        <f t="shared" si="21"/>
        <v>-4.9134040329931739E-2</v>
      </c>
      <c r="AP16" s="991">
        <f t="shared" si="21"/>
        <v>0.14187178296696867</v>
      </c>
      <c r="AQ16" s="992">
        <f t="shared" si="21"/>
        <v>6.8189330626548417E-2</v>
      </c>
      <c r="AR16" s="991">
        <f t="shared" si="21"/>
        <v>1.1096262542172441E-2</v>
      </c>
      <c r="AS16" s="991">
        <f t="shared" si="21"/>
        <v>-8.5190401386707082E-2</v>
      </c>
      <c r="AT16" s="991">
        <f t="shared" si="21"/>
        <v>0.22080671233931182</v>
      </c>
      <c r="AU16" s="992">
        <f t="shared" si="21"/>
        <v>-2.4212617043412488E-2</v>
      </c>
      <c r="AV16" s="991">
        <f t="shared" si="21"/>
        <v>7.624955574941028E-2</v>
      </c>
      <c r="AW16" s="991">
        <f t="shared" si="21"/>
        <v>-5.5987511632794029E-2</v>
      </c>
      <c r="AX16" s="991">
        <f t="shared" si="21"/>
        <v>0.10279404498065059</v>
      </c>
      <c r="AY16" s="992">
        <f t="shared" si="21"/>
        <v>3.3893793531785121E-3</v>
      </c>
      <c r="AZ16" s="991">
        <f t="shared" si="21"/>
        <v>3.5640701406881581E-2</v>
      </c>
      <c r="BA16" s="991">
        <f t="shared" si="21"/>
        <v>-8.7644886545563239E-2</v>
      </c>
      <c r="BB16" s="991">
        <f t="shared" si="21"/>
        <v>-1.4709495076167922E-2</v>
      </c>
      <c r="BC16" s="992">
        <f t="shared" si="21"/>
        <v>0.13357110969690633</v>
      </c>
      <c r="BD16" s="991">
        <f t="shared" si="21"/>
        <v>-0.12670987527598909</v>
      </c>
      <c r="BE16" s="991">
        <f t="shared" ref="BE16:CJ16" si="22">BE15/BD15-1</f>
        <v>-9.3982527597472609E-3</v>
      </c>
      <c r="BF16" s="991">
        <f t="shared" si="22"/>
        <v>0.14619050386470622</v>
      </c>
      <c r="BG16" s="992">
        <f t="shared" si="22"/>
        <v>2.8632695314150691E-2</v>
      </c>
      <c r="BH16" s="991">
        <f t="shared" si="22"/>
        <v>-2.6358974148324221E-2</v>
      </c>
      <c r="BI16" s="991">
        <f t="shared" si="22"/>
        <v>-0.13398965107718652</v>
      </c>
      <c r="BJ16" s="991">
        <f t="shared" si="22"/>
        <v>3.7229015443074776E-2</v>
      </c>
      <c r="BK16" s="992">
        <f t="shared" si="22"/>
        <v>0.21623252799278569</v>
      </c>
      <c r="BL16" s="991">
        <f t="shared" si="22"/>
        <v>4.3060353233533188E-2</v>
      </c>
      <c r="BM16" s="991">
        <f t="shared" si="22"/>
        <v>-1.6799271383667436E-2</v>
      </c>
      <c r="BN16" s="991">
        <f t="shared" si="22"/>
        <v>-3.8644241396125656E-2</v>
      </c>
      <c r="BO16" s="992">
        <f t="shared" si="22"/>
        <v>0.16467816420617232</v>
      </c>
      <c r="BP16" s="991">
        <f t="shared" si="22"/>
        <v>-4.5206974425201829E-2</v>
      </c>
      <c r="BQ16" s="991">
        <f t="shared" si="22"/>
        <v>-8.9784661229334706E-2</v>
      </c>
      <c r="BR16" s="991">
        <f t="shared" si="22"/>
        <v>0.12964786783869919</v>
      </c>
      <c r="BS16" s="992">
        <f t="shared" si="22"/>
        <v>8.8150962269709643E-2</v>
      </c>
      <c r="BT16" s="991">
        <f t="shared" si="22"/>
        <v>-0.21547065684652589</v>
      </c>
      <c r="BU16" s="991">
        <f t="shared" si="22"/>
        <v>-0.17805162859195123</v>
      </c>
      <c r="BV16" s="991">
        <f t="shared" si="22"/>
        <v>-4.7502343383846179E-2</v>
      </c>
      <c r="BW16" s="992">
        <f t="shared" si="22"/>
        <v>-2.4487191315311962E-2</v>
      </c>
      <c r="BX16" s="991">
        <f t="shared" si="22"/>
        <v>0.23565279299301967</v>
      </c>
      <c r="BY16" s="991">
        <f t="shared" si="22"/>
        <v>-0.2517019240990751</v>
      </c>
      <c r="BZ16" s="991">
        <f t="shared" si="22"/>
        <v>-3.5895920582335483E-2</v>
      </c>
      <c r="CA16" s="992">
        <f t="shared" si="22"/>
        <v>0.24260008015843071</v>
      </c>
      <c r="CB16" s="991">
        <f t="shared" si="22"/>
        <v>9.7830185770629186E-2</v>
      </c>
      <c r="CC16" s="991">
        <f t="shared" si="22"/>
        <v>-3.6143953648636096E-2</v>
      </c>
      <c r="CD16" s="991">
        <f t="shared" si="22"/>
        <v>0.13225511466532769</v>
      </c>
      <c r="CE16" s="992">
        <f t="shared" si="22"/>
        <v>0.12160712306206167</v>
      </c>
      <c r="CF16" s="991">
        <f t="shared" si="22"/>
        <v>-6.5371358379412436E-3</v>
      </c>
      <c r="CG16" s="991">
        <f t="shared" si="22"/>
        <v>-0.1145770600723035</v>
      </c>
      <c r="CH16" s="991">
        <f t="shared" si="22"/>
        <v>-4.4256825217843132E-2</v>
      </c>
      <c r="CI16" s="992">
        <f t="shared" si="22"/>
        <v>-6.6035339487058975E-2</v>
      </c>
      <c r="CJ16" s="991">
        <f t="shared" si="22"/>
        <v>0.21759965834635131</v>
      </c>
      <c r="CK16" s="991">
        <f t="shared" ref="CK16:CU16" si="23">CK15/CJ15-1</f>
        <v>2.0114305967834811E-2</v>
      </c>
      <c r="CL16" s="991">
        <f t="shared" si="23"/>
        <v>2.3190372783206792E-2</v>
      </c>
      <c r="CM16" s="992">
        <f t="shared" si="23"/>
        <v>0.12202364634825758</v>
      </c>
      <c r="CN16" s="991">
        <f t="shared" si="23"/>
        <v>3.6268400984223126E-2</v>
      </c>
      <c r="CO16" s="991">
        <f t="shared" si="23"/>
        <v>-0.12751856505297987</v>
      </c>
      <c r="CP16" s="991">
        <f t="shared" si="23"/>
        <v>6.1812983254443621E-2</v>
      </c>
      <c r="CQ16" s="992">
        <f t="shared" si="23"/>
        <v>0.13815184552738735</v>
      </c>
      <c r="CR16" s="991">
        <f t="shared" si="23"/>
        <v>-5.5353587812689398E-2</v>
      </c>
      <c r="CS16" s="991">
        <f t="shared" si="23"/>
        <v>-0.15385684397000665</v>
      </c>
      <c r="CT16" s="991">
        <f t="shared" si="23"/>
        <v>0.35571225654844318</v>
      </c>
      <c r="CU16" s="992">
        <f t="shared" si="23"/>
        <v>5.1138920322172821E-2</v>
      </c>
      <c r="CV16" s="416"/>
      <c r="CW16" s="991"/>
      <c r="CX16" s="991"/>
      <c r="CY16" s="991"/>
      <c r="CZ16" s="991"/>
      <c r="DA16" s="991"/>
      <c r="DB16" s="991"/>
      <c r="DC16" s="991"/>
      <c r="DD16" s="991"/>
      <c r="DE16" s="991"/>
      <c r="DF16" s="991"/>
      <c r="DG16" s="991"/>
      <c r="DH16" s="991"/>
      <c r="DI16" s="991"/>
      <c r="DJ16" s="991"/>
      <c r="DK16" s="991"/>
      <c r="DL16" s="991"/>
      <c r="DM16" s="991"/>
      <c r="DN16" s="991"/>
      <c r="DO16" s="991"/>
      <c r="DP16" s="991"/>
      <c r="DQ16" s="991"/>
      <c r="DR16" s="991"/>
      <c r="DS16" s="991"/>
      <c r="DT16" s="991"/>
      <c r="DU16" s="991"/>
      <c r="DV16" s="991"/>
      <c r="DW16" s="991"/>
      <c r="DX16" s="991"/>
      <c r="DY16" s="991"/>
      <c r="DZ16" s="991"/>
    </row>
    <row r="17" spans="2:130" ht="15">
      <c r="B17" s="989" t="s">
        <v>293</v>
      </c>
      <c r="C17" s="898"/>
      <c r="D17" s="990"/>
      <c r="E17" s="991"/>
      <c r="F17" s="991"/>
      <c r="G17" s="992"/>
      <c r="H17" s="991"/>
      <c r="I17" s="991"/>
      <c r="J17" s="991"/>
      <c r="K17" s="992"/>
      <c r="L17" s="991"/>
      <c r="M17" s="991"/>
      <c r="N17" s="991"/>
      <c r="O17" s="992"/>
      <c r="P17" s="991"/>
      <c r="Q17" s="991"/>
      <c r="R17" s="991"/>
      <c r="S17" s="992"/>
      <c r="T17" s="991"/>
      <c r="U17" s="991"/>
      <c r="V17" s="991"/>
      <c r="W17" s="992"/>
      <c r="X17" s="991"/>
      <c r="Y17" s="991"/>
      <c r="Z17" s="991"/>
      <c r="AA17" s="992"/>
      <c r="AB17" s="991">
        <f t="shared" ref="AB17:BG17" si="24">AB15/X15-1</f>
        <v>0.12754431388169674</v>
      </c>
      <c r="AC17" s="991">
        <f t="shared" si="24"/>
        <v>0.14391731352752135</v>
      </c>
      <c r="AD17" s="991">
        <f t="shared" si="24"/>
        <v>5.6476603209592913E-2</v>
      </c>
      <c r="AE17" s="992">
        <f t="shared" si="24"/>
        <v>0.14032975464906627</v>
      </c>
      <c r="AF17" s="991">
        <f t="shared" si="24"/>
        <v>3.4867700568763871E-2</v>
      </c>
      <c r="AG17" s="991">
        <f t="shared" si="24"/>
        <v>6.5173489033986343E-2</v>
      </c>
      <c r="AH17" s="991">
        <f t="shared" si="24"/>
        <v>0.21079309591435447</v>
      </c>
      <c r="AI17" s="992">
        <f t="shared" si="24"/>
        <v>0.31650583163745383</v>
      </c>
      <c r="AJ17" s="991">
        <f t="shared" si="24"/>
        <v>0.27598533097952793</v>
      </c>
      <c r="AK17" s="991">
        <f t="shared" si="24"/>
        <v>0.25136915316341923</v>
      </c>
      <c r="AL17" s="991">
        <f t="shared" si="24"/>
        <v>0.33264011692951723</v>
      </c>
      <c r="AM17" s="992">
        <f t="shared" si="24"/>
        <v>0.25834815418114121</v>
      </c>
      <c r="AN17" s="991">
        <f t="shared" si="24"/>
        <v>0.20333191923592864</v>
      </c>
      <c r="AO17" s="991">
        <f t="shared" si="24"/>
        <v>0.17511088432704014</v>
      </c>
      <c r="AP17" s="991">
        <f t="shared" si="24"/>
        <v>0.15723285343371418</v>
      </c>
      <c r="AQ17" s="992">
        <f t="shared" si="24"/>
        <v>0.20587535994505068</v>
      </c>
      <c r="AR17" s="991">
        <f t="shared" si="24"/>
        <v>0.17267423210196498</v>
      </c>
      <c r="AS17" s="991">
        <f t="shared" si="24"/>
        <v>0.12820701242221499</v>
      </c>
      <c r="AT17" s="991">
        <f t="shared" si="24"/>
        <v>0.20619732812257752</v>
      </c>
      <c r="AU17" s="992">
        <f t="shared" si="24"/>
        <v>0.10185722735836666</v>
      </c>
      <c r="AV17" s="991">
        <f t="shared" si="24"/>
        <v>0.17285900005416832</v>
      </c>
      <c r="AW17" s="991">
        <f t="shared" si="24"/>
        <v>0.21029943807251161</v>
      </c>
      <c r="AX17" s="991">
        <f t="shared" si="24"/>
        <v>9.3302485527965384E-2</v>
      </c>
      <c r="AY17" s="992">
        <f t="shared" si="24"/>
        <v>0.12422861943071295</v>
      </c>
      <c r="AZ17" s="991">
        <f t="shared" si="24"/>
        <v>8.1809427701175164E-2</v>
      </c>
      <c r="BA17" s="991">
        <f t="shared" si="24"/>
        <v>4.5531044672429966E-2</v>
      </c>
      <c r="BB17" s="991">
        <f t="shared" si="24"/>
        <v>-6.5871079366487728E-2</v>
      </c>
      <c r="BC17" s="992">
        <f t="shared" si="24"/>
        <v>5.5324661543767251E-2</v>
      </c>
      <c r="BD17" s="991">
        <f t="shared" si="24"/>
        <v>-0.11011164001963847</v>
      </c>
      <c r="BE17" s="991">
        <f t="shared" si="24"/>
        <v>-3.3791830345966778E-2</v>
      </c>
      <c r="BF17" s="991">
        <f t="shared" si="24"/>
        <v>0.12399198335882056</v>
      </c>
      <c r="BG17" s="992">
        <f t="shared" si="24"/>
        <v>1.9940340278272295E-2</v>
      </c>
      <c r="BH17" s="991">
        <f t="shared" ref="BH17:CM17" si="25">BH15/BD15-1</f>
        <v>0.13714300792063061</v>
      </c>
      <c r="BI17" s="991">
        <f t="shared" si="25"/>
        <v>-5.8793901706669649E-3</v>
      </c>
      <c r="BJ17" s="991">
        <f t="shared" si="25"/>
        <v>-0.10038450162673762</v>
      </c>
      <c r="BK17" s="992">
        <f t="shared" si="25"/>
        <v>6.3685450396698817E-2</v>
      </c>
      <c r="BL17" s="991">
        <f t="shared" si="25"/>
        <v>0.1395248270784859</v>
      </c>
      <c r="BM17" s="991">
        <f t="shared" si="25"/>
        <v>0.29372777317679155</v>
      </c>
      <c r="BN17" s="991">
        <f t="shared" si="25"/>
        <v>0.19909164349590447</v>
      </c>
      <c r="BO17" s="992">
        <f t="shared" si="25"/>
        <v>0.14826385737814762</v>
      </c>
      <c r="BP17" s="991">
        <f t="shared" si="25"/>
        <v>5.1093850078304026E-2</v>
      </c>
      <c r="BQ17" s="991">
        <f t="shared" si="25"/>
        <v>-2.6931411884539846E-2</v>
      </c>
      <c r="BR17" s="991">
        <f t="shared" si="25"/>
        <v>0.14341111080645996</v>
      </c>
      <c r="BS17" s="992">
        <f t="shared" si="25"/>
        <v>6.8281297556529896E-2</v>
      </c>
      <c r="BT17" s="991">
        <f t="shared" si="25"/>
        <v>-0.12222020665618172</v>
      </c>
      <c r="BU17" s="991">
        <f t="shared" si="25"/>
        <v>-0.20734177851991886</v>
      </c>
      <c r="BV17" s="991">
        <f t="shared" si="25"/>
        <v>-0.33164562165569311</v>
      </c>
      <c r="BW17" s="992">
        <f t="shared" si="25"/>
        <v>-0.40082922368104168</v>
      </c>
      <c r="BX17" s="991">
        <f t="shared" si="25"/>
        <v>-5.6291457165443481E-2</v>
      </c>
      <c r="BY17" s="991">
        <f t="shared" si="25"/>
        <v>-0.14085201531010771</v>
      </c>
      <c r="BZ17" s="991">
        <f t="shared" si="25"/>
        <v>-0.13038308167010071</v>
      </c>
      <c r="CA17" s="992">
        <f t="shared" si="25"/>
        <v>0.10771077817096586</v>
      </c>
      <c r="CB17" s="991">
        <f t="shared" si="25"/>
        <v>-1.5841394706069933E-2</v>
      </c>
      <c r="CC17" s="991">
        <f t="shared" si="25"/>
        <v>0.26765957688614117</v>
      </c>
      <c r="CD17" s="991">
        <f t="shared" si="25"/>
        <v>0.48875424368162945</v>
      </c>
      <c r="CE17" s="992">
        <f t="shared" si="25"/>
        <v>0.34379306010449451</v>
      </c>
      <c r="CF17" s="991">
        <f t="shared" si="25"/>
        <v>0.21604280847441881</v>
      </c>
      <c r="CG17" s="991">
        <f t="shared" si="25"/>
        <v>0.11708818203008731</v>
      </c>
      <c r="CH17" s="991">
        <f t="shared" si="25"/>
        <v>-5.7059321899694204E-2</v>
      </c>
      <c r="CI17" s="992">
        <f t="shared" si="25"/>
        <v>-0.21481127197061822</v>
      </c>
      <c r="CJ17" s="991">
        <f t="shared" si="25"/>
        <v>-3.7663548911450517E-2</v>
      </c>
      <c r="CK17" s="991">
        <f t="shared" si="25"/>
        <v>0.10872797240820287</v>
      </c>
      <c r="CL17" s="991">
        <f t="shared" si="25"/>
        <v>0.1869713719505155</v>
      </c>
      <c r="CM17" s="992">
        <f t="shared" si="25"/>
        <v>0.42597466818013241</v>
      </c>
      <c r="CN17" s="991">
        <f t="shared" ref="CN17:CU17" si="26">CN15/CJ15-1</f>
        <v>0.21361112341795518</v>
      </c>
      <c r="CO17" s="991">
        <f t="shared" si="26"/>
        <v>3.7975027144408369E-2</v>
      </c>
      <c r="CP17" s="991">
        <f t="shared" si="26"/>
        <v>7.7155717481849573E-2</v>
      </c>
      <c r="CQ17" s="992">
        <f t="shared" si="26"/>
        <v>9.2638975802676216E-2</v>
      </c>
      <c r="CR17" s="991">
        <f t="shared" si="26"/>
        <v>-3.9670346720046545E-3</v>
      </c>
      <c r="CS17" s="991">
        <f t="shared" si="26"/>
        <v>-3.4035060191601962E-2</v>
      </c>
      <c r="CT17" s="991">
        <f t="shared" si="26"/>
        <v>0.23333442795218695</v>
      </c>
      <c r="CU17" s="992">
        <f t="shared" si="26"/>
        <v>0.13904469257624275</v>
      </c>
      <c r="CV17" s="416"/>
      <c r="CW17" s="991"/>
      <c r="CX17" s="991"/>
      <c r="CY17" s="991"/>
      <c r="CZ17" s="991"/>
      <c r="DA17" s="991"/>
      <c r="DB17" s="991"/>
      <c r="DC17" s="991"/>
      <c r="DD17" s="991">
        <f t="shared" ref="DD17:DZ17" si="27">DD15/DC15-1</f>
        <v>0.11641174540003352</v>
      </c>
      <c r="DE17" s="991">
        <f t="shared" si="27"/>
        <v>0.15336332252327645</v>
      </c>
      <c r="DF17" s="991">
        <f t="shared" si="27"/>
        <v>0.27977726111541679</v>
      </c>
      <c r="DG17" s="991">
        <f t="shared" si="27"/>
        <v>0.18535527616641567</v>
      </c>
      <c r="DH17" s="991">
        <f t="shared" si="27"/>
        <v>0.1516997777123521</v>
      </c>
      <c r="DI17" s="991">
        <f t="shared" si="27"/>
        <v>0.14675270224801795</v>
      </c>
      <c r="DJ17" s="991">
        <f t="shared" si="27"/>
        <v>2.8292117691083529E-2</v>
      </c>
      <c r="DK17" s="991">
        <f t="shared" si="27"/>
        <v>-2.3919138598924583E-3</v>
      </c>
      <c r="DL17" s="991">
        <f t="shared" si="27"/>
        <v>2.1360414326231147E-2</v>
      </c>
      <c r="DM17" s="991">
        <f t="shared" si="27"/>
        <v>0.19049905815380641</v>
      </c>
      <c r="DN17" s="991">
        <f t="shared" si="27"/>
        <v>5.8406665753935716E-2</v>
      </c>
      <c r="DO17" s="991">
        <f t="shared" si="27"/>
        <v>-0.27122075470961005</v>
      </c>
      <c r="DP17" s="991">
        <f t="shared" si="27"/>
        <v>-5.696151640069258E-2</v>
      </c>
      <c r="DQ17" s="991">
        <f t="shared" si="27"/>
        <v>0.25109945183728311</v>
      </c>
      <c r="DR17" s="991">
        <f t="shared" si="27"/>
        <v>8.6225523158711681E-4</v>
      </c>
      <c r="DS17" s="991">
        <f t="shared" si="27"/>
        <v>0.15715438624808331</v>
      </c>
      <c r="DT17" s="991">
        <f t="shared" si="27"/>
        <v>0.1042204271078162</v>
      </c>
      <c r="DU17" s="991">
        <f t="shared" si="27"/>
        <v>8.5410167205966392E-2</v>
      </c>
      <c r="DV17" s="991">
        <f t="shared" si="27"/>
        <v>3.3720349172566388E-2</v>
      </c>
      <c r="DW17" s="991">
        <f t="shared" si="27"/>
        <v>7.2265694403446767E-2</v>
      </c>
      <c r="DX17" s="991">
        <f t="shared" si="27"/>
        <v>9.1626352165433467E-2</v>
      </c>
      <c r="DY17" s="991">
        <f t="shared" si="27"/>
        <v>2.291856154308114E-2</v>
      </c>
      <c r="DZ17" s="991">
        <f t="shared" si="27"/>
        <v>-5.00919281042006E-2</v>
      </c>
    </row>
    <row r="18" spans="2:130" ht="15">
      <c r="B18" s="981" t="s">
        <v>337</v>
      </c>
      <c r="C18" s="982"/>
      <c r="D18" s="983"/>
      <c r="E18" s="984"/>
      <c r="F18" s="984"/>
      <c r="G18" s="985"/>
      <c r="H18" s="984"/>
      <c r="I18" s="984"/>
      <c r="J18" s="984"/>
      <c r="K18" s="985"/>
      <c r="L18" s="984"/>
      <c r="M18" s="984"/>
      <c r="N18" s="984"/>
      <c r="O18" s="985"/>
      <c r="P18" s="984"/>
      <c r="Q18" s="984"/>
      <c r="R18" s="984"/>
      <c r="S18" s="985"/>
      <c r="T18" s="984"/>
      <c r="U18" s="984"/>
      <c r="V18" s="984"/>
      <c r="W18" s="985"/>
      <c r="X18" s="984">
        <v>4.6662819999999998</v>
      </c>
      <c r="Y18" s="984">
        <v>4.6913910000000003</v>
      </c>
      <c r="Z18" s="984">
        <v>3.875505</v>
      </c>
      <c r="AA18" s="985">
        <v>3.978844</v>
      </c>
      <c r="AB18" s="984">
        <v>3.9213550000000001</v>
      </c>
      <c r="AC18" s="984">
        <v>4.2690650000000003</v>
      </c>
      <c r="AD18" s="984">
        <v>3.4839899999999999</v>
      </c>
      <c r="AE18" s="985">
        <v>3.854225</v>
      </c>
      <c r="AF18" s="984">
        <v>4.0677659999999998</v>
      </c>
      <c r="AG18" s="984">
        <v>4.5539370000000003</v>
      </c>
      <c r="AH18" s="984">
        <v>3.8631289999999998</v>
      </c>
      <c r="AI18" s="985">
        <v>3.8958140000000001</v>
      </c>
      <c r="AJ18" s="984">
        <v>4.170458</v>
      </c>
      <c r="AK18" s="984">
        <v>4.1679529999999998</v>
      </c>
      <c r="AL18" s="984">
        <v>3.6615039999999999</v>
      </c>
      <c r="AM18" s="985">
        <v>3.9102009999999998</v>
      </c>
      <c r="AN18" s="984">
        <v>4.1577320000000002</v>
      </c>
      <c r="AO18" s="984">
        <v>4.1815709999999999</v>
      </c>
      <c r="AP18" s="984">
        <v>3.6450619999999998</v>
      </c>
      <c r="AQ18" s="985">
        <v>3.800764</v>
      </c>
      <c r="AR18" s="984">
        <v>3.9641120000000001</v>
      </c>
      <c r="AS18" s="984">
        <v>4.1526550000000002</v>
      </c>
      <c r="AT18" s="984">
        <v>3.7414399999999999</v>
      </c>
      <c r="AU18" s="985">
        <v>3.933316</v>
      </c>
      <c r="AV18" s="984">
        <v>4.1481969999999997</v>
      </c>
      <c r="AW18" s="984">
        <v>4.1311140000000002</v>
      </c>
      <c r="AX18" s="984">
        <v>3.4137490000000001</v>
      </c>
      <c r="AY18" s="985">
        <v>3.6208040000000001</v>
      </c>
      <c r="AZ18" s="984">
        <v>3.824557</v>
      </c>
      <c r="BA18" s="984">
        <v>4.0669259999999996</v>
      </c>
      <c r="BB18" s="984">
        <v>3.5594030000000001</v>
      </c>
      <c r="BC18" s="985">
        <v>3.6505879999999999</v>
      </c>
      <c r="BD18" s="984">
        <v>3.4949729999999999</v>
      </c>
      <c r="BE18" s="984">
        <v>3.4828190000000001</v>
      </c>
      <c r="BF18" s="984">
        <v>2.9703680000000001</v>
      </c>
      <c r="BG18" s="985">
        <v>2.6899829999999998</v>
      </c>
      <c r="BH18" s="984">
        <v>1.6985730000000001</v>
      </c>
      <c r="BI18" s="984">
        <v>1.7765139999999999</v>
      </c>
      <c r="BJ18" s="984">
        <v>2.3547920000000002</v>
      </c>
      <c r="BK18" s="985">
        <v>2.7528670000000002</v>
      </c>
      <c r="BL18" s="984">
        <v>2.8970919999999998</v>
      </c>
      <c r="BM18" s="984">
        <v>3.0896669999999999</v>
      </c>
      <c r="BN18" s="984">
        <v>2.9810970000000001</v>
      </c>
      <c r="BO18" s="985">
        <v>2.97275</v>
      </c>
      <c r="BP18" s="984">
        <v>3.3808189999999998</v>
      </c>
      <c r="BQ18" s="984">
        <v>3.1236470000000001</v>
      </c>
      <c r="BR18" s="984">
        <v>3.18221</v>
      </c>
      <c r="BS18" s="985">
        <v>3.4391780000000001</v>
      </c>
      <c r="BT18" s="984">
        <v>3.9644940000000002</v>
      </c>
      <c r="BU18" s="984">
        <v>3.9864929999999998</v>
      </c>
      <c r="BV18" s="984">
        <v>3.6666219999999998</v>
      </c>
      <c r="BW18" s="985">
        <v>3.8167330000000002</v>
      </c>
      <c r="BX18" s="984">
        <v>4.0147909999999998</v>
      </c>
      <c r="BY18" s="984">
        <v>4.2583140000000004</v>
      </c>
      <c r="BZ18" s="984">
        <v>3.883067</v>
      </c>
      <c r="CA18" s="985">
        <v>4.0208149999999998</v>
      </c>
      <c r="CB18" s="984">
        <v>4.2043160000000004</v>
      </c>
      <c r="CC18" s="984">
        <v>4.4116999999999997</v>
      </c>
      <c r="CD18" s="984">
        <v>4.176787</v>
      </c>
      <c r="CE18" s="985">
        <v>4.2367670000000004</v>
      </c>
      <c r="CF18" s="984">
        <v>4.2647570000000004</v>
      </c>
      <c r="CG18" s="984">
        <v>4.5341509999999996</v>
      </c>
      <c r="CH18" s="984">
        <v>4.3676979999999999</v>
      </c>
      <c r="CI18" s="985">
        <v>4.3287829999999996</v>
      </c>
      <c r="CJ18" s="984">
        <v>4.4552719999999999</v>
      </c>
      <c r="CK18" s="984">
        <v>4.5993849999999998</v>
      </c>
      <c r="CL18" s="984">
        <v>4.4243649999999999</v>
      </c>
      <c r="CM18" s="986">
        <v>4.3576629999999996</v>
      </c>
      <c r="CN18" s="660">
        <v>4.5276189999999996</v>
      </c>
      <c r="CO18" s="660">
        <v>4.4568909999999997</v>
      </c>
      <c r="CP18" s="984">
        <v>4.0650919999999999</v>
      </c>
      <c r="CQ18" s="1170">
        <v>4.1808139999999998</v>
      </c>
      <c r="CR18" s="588">
        <f>$DU$18*0.26</f>
        <v>4.3630599999999999</v>
      </c>
      <c r="CS18" s="588">
        <f>$DU$18*0.26</f>
        <v>4.3630599999999999</v>
      </c>
      <c r="CT18" s="588">
        <f>$DU$18*0.24</f>
        <v>4.0274399999999995</v>
      </c>
      <c r="CU18" s="980">
        <f>$DU$18*0.24</f>
        <v>4.0274399999999995</v>
      </c>
      <c r="CV18" s="660"/>
      <c r="CW18" s="984"/>
      <c r="CX18" s="984"/>
      <c r="CY18" s="984"/>
      <c r="CZ18" s="984"/>
      <c r="DA18" s="984"/>
      <c r="DB18" s="984"/>
      <c r="DC18" s="987">
        <f>SUM(X18:AA18)</f>
        <v>17.212022000000001</v>
      </c>
      <c r="DD18" s="987">
        <f>SUM(AB18:AE18)</f>
        <v>15.528635</v>
      </c>
      <c r="DE18" s="987">
        <f>SUM(AF18:AI18)</f>
        <v>16.380646000000002</v>
      </c>
      <c r="DF18" s="987">
        <f>SUM(AJ18:AM18)</f>
        <v>15.910116000000002</v>
      </c>
      <c r="DG18" s="987">
        <f>SUM(AN18:AQ18)</f>
        <v>15.785129000000001</v>
      </c>
      <c r="DH18" s="987">
        <f>SUM(AR18:AU18)</f>
        <v>15.791523</v>
      </c>
      <c r="DI18" s="987">
        <f>SUM(AV18:AY18)</f>
        <v>15.313863999999999</v>
      </c>
      <c r="DJ18" s="987">
        <f>SUM(AZ18:BC18)</f>
        <v>15.101474</v>
      </c>
      <c r="DK18" s="987">
        <f>SUM(BD18:BG18)</f>
        <v>12.638142999999999</v>
      </c>
      <c r="DL18" s="987">
        <f>SUM(BH18:BK18)</f>
        <v>8.5827460000000002</v>
      </c>
      <c r="DM18" s="987">
        <f>SUM(BL18:BO18)</f>
        <v>11.940605999999999</v>
      </c>
      <c r="DN18" s="987">
        <f>SUM(BP18:BS18)</f>
        <v>13.125854</v>
      </c>
      <c r="DO18" s="987">
        <f>SUM(BT18:BW18)</f>
        <v>15.434342000000001</v>
      </c>
      <c r="DP18" s="987">
        <f>SUM(BX18:CA18)</f>
        <v>16.176987</v>
      </c>
      <c r="DQ18" s="987">
        <f>SUM(CB18:CE18)</f>
        <v>17.02957</v>
      </c>
      <c r="DR18" s="987">
        <f>SUM(CF18:CI18)</f>
        <v>17.495389000000003</v>
      </c>
      <c r="DS18" s="987">
        <f>SUM(CJ18:CM18)</f>
        <v>17.836684999999999</v>
      </c>
      <c r="DT18" s="988">
        <f>SUM(CN18:CQ18)</f>
        <v>17.230415999999998</v>
      </c>
      <c r="DU18" s="1197">
        <v>16.780999999999999</v>
      </c>
      <c r="DV18" s="1197">
        <v>16.109760000000001</v>
      </c>
      <c r="DW18" s="1197">
        <v>16</v>
      </c>
      <c r="DX18" s="1197">
        <v>16.079999999999998</v>
      </c>
      <c r="DY18" s="950">
        <f>DX18*1.005</f>
        <v>16.160399999999996</v>
      </c>
      <c r="DZ18" s="950">
        <f>DY18*1.005</f>
        <v>16.241201999999994</v>
      </c>
    </row>
    <row r="19" spans="2:130" ht="15">
      <c r="B19" s="989" t="s">
        <v>341</v>
      </c>
      <c r="C19" s="898"/>
      <c r="D19" s="990"/>
      <c r="E19" s="991"/>
      <c r="F19" s="991"/>
      <c r="G19" s="992"/>
      <c r="H19" s="991"/>
      <c r="I19" s="991"/>
      <c r="J19" s="991"/>
      <c r="K19" s="992"/>
      <c r="L19" s="991"/>
      <c r="M19" s="991"/>
      <c r="N19" s="991"/>
      <c r="O19" s="992"/>
      <c r="P19" s="991"/>
      <c r="Q19" s="991"/>
      <c r="R19" s="991"/>
      <c r="S19" s="992"/>
      <c r="T19" s="991"/>
      <c r="U19" s="991"/>
      <c r="V19" s="991"/>
      <c r="W19" s="992"/>
      <c r="X19" s="991"/>
      <c r="Y19" s="991">
        <f t="shared" ref="Y19:BD19" si="28">Y18/X18-1</f>
        <v>5.3809435434892805E-3</v>
      </c>
      <c r="Z19" s="991">
        <f t="shared" si="28"/>
        <v>-0.17391131969175033</v>
      </c>
      <c r="AA19" s="992">
        <f t="shared" si="28"/>
        <v>2.666465402573337E-2</v>
      </c>
      <c r="AB19" s="991">
        <f t="shared" si="28"/>
        <v>-1.4448669010395987E-2</v>
      </c>
      <c r="AC19" s="991">
        <f t="shared" si="28"/>
        <v>8.8670880346206848E-2</v>
      </c>
      <c r="AD19" s="991">
        <f t="shared" si="28"/>
        <v>-0.18389858200800413</v>
      </c>
      <c r="AE19" s="992">
        <f t="shared" si="28"/>
        <v>0.10626752660024863</v>
      </c>
      <c r="AF19" s="991">
        <f t="shared" si="28"/>
        <v>5.5404393879443958E-2</v>
      </c>
      <c r="AG19" s="991">
        <f t="shared" si="28"/>
        <v>0.11951793687247503</v>
      </c>
      <c r="AH19" s="991">
        <f t="shared" si="28"/>
        <v>-0.15169467649640311</v>
      </c>
      <c r="AI19" s="992">
        <f t="shared" si="28"/>
        <v>8.460758105670374E-3</v>
      </c>
      <c r="AJ19" s="991">
        <f t="shared" si="28"/>
        <v>7.0497205462067614E-2</v>
      </c>
      <c r="AK19" s="991">
        <f t="shared" si="28"/>
        <v>-6.0065345340976073E-4</v>
      </c>
      <c r="AL19" s="991">
        <f t="shared" si="28"/>
        <v>-0.12151024735643612</v>
      </c>
      <c r="AM19" s="992">
        <f t="shared" si="28"/>
        <v>6.7922088846550377E-2</v>
      </c>
      <c r="AN19" s="991">
        <f t="shared" si="28"/>
        <v>6.3303906883559247E-2</v>
      </c>
      <c r="AO19" s="991">
        <f t="shared" si="28"/>
        <v>5.7336547906405855E-3</v>
      </c>
      <c r="AP19" s="991">
        <f t="shared" si="28"/>
        <v>-0.12830321427042612</v>
      </c>
      <c r="AQ19" s="992">
        <f t="shared" si="28"/>
        <v>4.271587149957945E-2</v>
      </c>
      <c r="AR19" s="991">
        <f t="shared" si="28"/>
        <v>4.2977675014812755E-2</v>
      </c>
      <c r="AS19" s="991">
        <f t="shared" si="28"/>
        <v>4.7562480575725541E-2</v>
      </c>
      <c r="AT19" s="991">
        <f t="shared" si="28"/>
        <v>-9.9024599924626644E-2</v>
      </c>
      <c r="AU19" s="992">
        <f t="shared" si="28"/>
        <v>5.1283997605200193E-2</v>
      </c>
      <c r="AV19" s="991">
        <f t="shared" si="28"/>
        <v>5.4631003458659233E-2</v>
      </c>
      <c r="AW19" s="991">
        <f t="shared" si="28"/>
        <v>-4.1181747154244164E-3</v>
      </c>
      <c r="AX19" s="991">
        <f t="shared" si="28"/>
        <v>-0.17364928685095593</v>
      </c>
      <c r="AY19" s="992">
        <f t="shared" si="28"/>
        <v>6.0653258338559723E-2</v>
      </c>
      <c r="AZ19" s="991">
        <f t="shared" si="28"/>
        <v>5.6272860944696301E-2</v>
      </c>
      <c r="BA19" s="991">
        <f t="shared" si="28"/>
        <v>6.3371783973934726E-2</v>
      </c>
      <c r="BB19" s="991">
        <f t="shared" si="28"/>
        <v>-0.12479277960798885</v>
      </c>
      <c r="BC19" s="992">
        <f t="shared" si="28"/>
        <v>2.5618060107270857E-2</v>
      </c>
      <c r="BD19" s="991">
        <f t="shared" si="28"/>
        <v>-4.2627379479689309E-2</v>
      </c>
      <c r="BE19" s="991">
        <f t="shared" ref="BE19:CJ19" si="29">BE18/BD18-1</f>
        <v>-3.477566207235272E-3</v>
      </c>
      <c r="BF19" s="991">
        <f t="shared" si="29"/>
        <v>-0.14713684518202064</v>
      </c>
      <c r="BG19" s="992">
        <f t="shared" si="29"/>
        <v>-9.4394027945359116E-2</v>
      </c>
      <c r="BH19" s="991">
        <f t="shared" si="29"/>
        <v>-0.36855623251150649</v>
      </c>
      <c r="BI19" s="991">
        <f t="shared" si="29"/>
        <v>4.5886164445095856E-2</v>
      </c>
      <c r="BJ19" s="991">
        <f t="shared" si="29"/>
        <v>0.32551277389314137</v>
      </c>
      <c r="BK19" s="992">
        <f t="shared" si="29"/>
        <v>0.16904890113436766</v>
      </c>
      <c r="BL19" s="991">
        <f t="shared" si="29"/>
        <v>5.2390834718858414E-2</v>
      </c>
      <c r="BM19" s="991">
        <f t="shared" si="29"/>
        <v>6.6471827611964018E-2</v>
      </c>
      <c r="BN19" s="991">
        <f t="shared" si="29"/>
        <v>-3.5139709230800564E-2</v>
      </c>
      <c r="BO19" s="992">
        <f t="shared" si="29"/>
        <v>-2.7999759819958836E-3</v>
      </c>
      <c r="BP19" s="991">
        <f t="shared" si="29"/>
        <v>0.13726986796737028</v>
      </c>
      <c r="BQ19" s="991">
        <f t="shared" si="29"/>
        <v>-7.6067958681017789E-2</v>
      </c>
      <c r="BR19" s="991">
        <f t="shared" si="29"/>
        <v>1.8748277254119872E-2</v>
      </c>
      <c r="BS19" s="992">
        <f t="shared" si="29"/>
        <v>8.0751427467074866E-2</v>
      </c>
      <c r="BT19" s="991">
        <f t="shared" si="29"/>
        <v>0.15274463839905938</v>
      </c>
      <c r="BU19" s="991">
        <f t="shared" si="29"/>
        <v>5.5490057495357625E-3</v>
      </c>
      <c r="BV19" s="991">
        <f t="shared" si="29"/>
        <v>-8.0238696016774691E-2</v>
      </c>
      <c r="BW19" s="992">
        <f t="shared" si="29"/>
        <v>4.0939862358323476E-2</v>
      </c>
      <c r="BX19" s="991">
        <f t="shared" si="29"/>
        <v>5.1892023885348859E-2</v>
      </c>
      <c r="BY19" s="991">
        <f t="shared" si="29"/>
        <v>6.0656457583968981E-2</v>
      </c>
      <c r="BZ19" s="991">
        <f t="shared" si="29"/>
        <v>-8.8121026302898309E-2</v>
      </c>
      <c r="CA19" s="992">
        <f t="shared" si="29"/>
        <v>3.5474020922121596E-2</v>
      </c>
      <c r="CB19" s="991">
        <f t="shared" si="29"/>
        <v>4.5637762493424994E-2</v>
      </c>
      <c r="CC19" s="991">
        <f t="shared" si="29"/>
        <v>4.9326454053405966E-2</v>
      </c>
      <c r="CD19" s="991">
        <f t="shared" si="29"/>
        <v>-5.3247727633338515E-2</v>
      </c>
      <c r="CE19" s="992">
        <f t="shared" si="29"/>
        <v>1.436032050473246E-2</v>
      </c>
      <c r="CF19" s="991">
        <f t="shared" si="29"/>
        <v>6.6064525143818553E-3</v>
      </c>
      <c r="CG19" s="991">
        <f t="shared" si="29"/>
        <v>6.3167491137243958E-2</v>
      </c>
      <c r="CH19" s="991">
        <f t="shared" si="29"/>
        <v>-3.6710952061367097E-2</v>
      </c>
      <c r="CI19" s="992">
        <f t="shared" si="29"/>
        <v>-8.9097277330072444E-3</v>
      </c>
      <c r="CJ19" s="991">
        <f t="shared" si="29"/>
        <v>2.9220452954098253E-2</v>
      </c>
      <c r="CK19" s="991">
        <f t="shared" ref="CK19:CU19" si="30">CK18/CJ18-1</f>
        <v>3.2346622159096006E-2</v>
      </c>
      <c r="CL19" s="991">
        <f t="shared" si="30"/>
        <v>-3.8052913596056892E-2</v>
      </c>
      <c r="CM19" s="992">
        <f t="shared" si="30"/>
        <v>-1.5076061762535509E-2</v>
      </c>
      <c r="CN19" s="991">
        <f t="shared" si="30"/>
        <v>3.9001639181368564E-2</v>
      </c>
      <c r="CO19" s="991">
        <f t="shared" si="30"/>
        <v>-1.562145578062113E-2</v>
      </c>
      <c r="CP19" s="991">
        <f t="shared" si="30"/>
        <v>-8.7908589193677833E-2</v>
      </c>
      <c r="CQ19" s="992">
        <f t="shared" si="30"/>
        <v>2.8467252401667587E-2</v>
      </c>
      <c r="CR19" s="991">
        <f t="shared" si="30"/>
        <v>4.3591032751038483E-2</v>
      </c>
      <c r="CS19" s="991">
        <f t="shared" si="30"/>
        <v>0</v>
      </c>
      <c r="CT19" s="991">
        <f t="shared" si="30"/>
        <v>-7.6923076923076983E-2</v>
      </c>
      <c r="CU19" s="992">
        <f t="shared" si="30"/>
        <v>0</v>
      </c>
      <c r="CV19" s="416"/>
      <c r="CW19" s="991"/>
      <c r="CX19" s="991"/>
      <c r="CY19" s="991"/>
      <c r="CZ19" s="991"/>
      <c r="DA19" s="991"/>
      <c r="DB19" s="991"/>
      <c r="DC19" s="991"/>
      <c r="DD19" s="991"/>
      <c r="DE19" s="991"/>
      <c r="DF19" s="991"/>
      <c r="DG19" s="991"/>
      <c r="DH19" s="991"/>
      <c r="DI19" s="991"/>
      <c r="DJ19" s="991"/>
      <c r="DK19" s="991"/>
      <c r="DL19" s="991"/>
      <c r="DM19" s="991"/>
      <c r="DN19" s="991"/>
      <c r="DO19" s="991"/>
      <c r="DP19" s="991"/>
      <c r="DQ19" s="991"/>
      <c r="DR19" s="991"/>
      <c r="DS19" s="991"/>
      <c r="DT19" s="991"/>
      <c r="DU19" s="991"/>
      <c r="DV19" s="991"/>
      <c r="DW19" s="991"/>
      <c r="DX19" s="991"/>
      <c r="DY19" s="991"/>
      <c r="DZ19" s="991"/>
    </row>
    <row r="20" spans="2:130" ht="15">
      <c r="B20" s="989" t="s">
        <v>293</v>
      </c>
      <c r="C20" s="898"/>
      <c r="D20" s="990"/>
      <c r="E20" s="991"/>
      <c r="F20" s="991"/>
      <c r="G20" s="992"/>
      <c r="H20" s="991"/>
      <c r="I20" s="991"/>
      <c r="J20" s="991"/>
      <c r="K20" s="992"/>
      <c r="L20" s="991"/>
      <c r="M20" s="991"/>
      <c r="N20" s="991"/>
      <c r="O20" s="992"/>
      <c r="P20" s="991"/>
      <c r="Q20" s="991"/>
      <c r="R20" s="991"/>
      <c r="S20" s="992"/>
      <c r="T20" s="991"/>
      <c r="U20" s="991"/>
      <c r="V20" s="991"/>
      <c r="W20" s="992"/>
      <c r="X20" s="991"/>
      <c r="Y20" s="991"/>
      <c r="Z20" s="991"/>
      <c r="AA20" s="992"/>
      <c r="AB20" s="991">
        <f t="shared" ref="AB20:BG20" si="31">AB18/X18-1</f>
        <v>-0.15964037321362057</v>
      </c>
      <c r="AC20" s="991">
        <f t="shared" si="31"/>
        <v>-9.0021488296328278E-2</v>
      </c>
      <c r="AD20" s="991">
        <f t="shared" si="31"/>
        <v>-0.10102296345895567</v>
      </c>
      <c r="AE20" s="992">
        <f t="shared" si="31"/>
        <v>-3.1320403614718217E-2</v>
      </c>
      <c r="AF20" s="991">
        <f t="shared" si="31"/>
        <v>3.7336838924300286E-2</v>
      </c>
      <c r="AG20" s="991">
        <f t="shared" si="31"/>
        <v>6.6729365797897122E-2</v>
      </c>
      <c r="AH20" s="991">
        <f t="shared" si="31"/>
        <v>0.10882321705860232</v>
      </c>
      <c r="AI20" s="992">
        <f t="shared" si="31"/>
        <v>1.0790496143842088E-2</v>
      </c>
      <c r="AJ20" s="991">
        <f t="shared" si="31"/>
        <v>2.5245306637599274E-2</v>
      </c>
      <c r="AK20" s="991">
        <f t="shared" si="31"/>
        <v>-8.4758309129002063E-2</v>
      </c>
      <c r="AL20" s="991">
        <f t="shared" si="31"/>
        <v>-5.2192147867699989E-2</v>
      </c>
      <c r="AM20" s="992">
        <f t="shared" si="31"/>
        <v>3.6929381125483385E-3</v>
      </c>
      <c r="AN20" s="991">
        <f t="shared" si="31"/>
        <v>-3.0514634124116924E-3</v>
      </c>
      <c r="AO20" s="991">
        <f t="shared" si="31"/>
        <v>3.2673113156507227E-3</v>
      </c>
      <c r="AP20" s="991">
        <f t="shared" si="31"/>
        <v>-4.4905044484452317E-3</v>
      </c>
      <c r="AQ20" s="992">
        <f t="shared" si="31"/>
        <v>-2.7987563810658256E-2</v>
      </c>
      <c r="AR20" s="991">
        <f t="shared" si="31"/>
        <v>-4.6568658104947591E-2</v>
      </c>
      <c r="AS20" s="991">
        <f t="shared" si="31"/>
        <v>-6.9151043949748914E-3</v>
      </c>
      <c r="AT20" s="991">
        <f t="shared" si="31"/>
        <v>2.6440702517542825E-2</v>
      </c>
      <c r="AU20" s="992">
        <f t="shared" si="31"/>
        <v>3.4875093533826451E-2</v>
      </c>
      <c r="AV20" s="991">
        <f t="shared" si="31"/>
        <v>4.6437890755861577E-2</v>
      </c>
      <c r="AW20" s="991">
        <f t="shared" si="31"/>
        <v>-5.187283797955744E-3</v>
      </c>
      <c r="AX20" s="991">
        <f t="shared" si="31"/>
        <v>-8.758419218268898E-2</v>
      </c>
      <c r="AY20" s="992">
        <f t="shared" si="31"/>
        <v>-7.9452553519727354E-2</v>
      </c>
      <c r="AZ20" s="991">
        <f t="shared" si="31"/>
        <v>-7.8019438324650414E-2</v>
      </c>
      <c r="BA20" s="991">
        <f t="shared" si="31"/>
        <v>-1.5537697579878107E-2</v>
      </c>
      <c r="BB20" s="991">
        <f t="shared" si="31"/>
        <v>4.2666874453862969E-2</v>
      </c>
      <c r="BC20" s="992">
        <f t="shared" si="31"/>
        <v>8.2257973643422577E-3</v>
      </c>
      <c r="BD20" s="991">
        <f t="shared" si="31"/>
        <v>-8.6175732248205517E-2</v>
      </c>
      <c r="BE20" s="991">
        <f t="shared" si="31"/>
        <v>-0.14362370989784412</v>
      </c>
      <c r="BF20" s="991">
        <f t="shared" si="31"/>
        <v>-0.16548702127856829</v>
      </c>
      <c r="BG20" s="992">
        <f t="shared" si="31"/>
        <v>-0.26313706175553098</v>
      </c>
      <c r="BH20" s="991">
        <f t="shared" ref="BH20:CM20" si="32">BH18/BD18-1</f>
        <v>-0.51399538708882719</v>
      </c>
      <c r="BI20" s="991">
        <f t="shared" si="32"/>
        <v>-0.48992066484075114</v>
      </c>
      <c r="BJ20" s="991">
        <f t="shared" si="32"/>
        <v>-0.20723896837024902</v>
      </c>
      <c r="BK20" s="992">
        <f t="shared" si="32"/>
        <v>2.3377099409178648E-2</v>
      </c>
      <c r="BL20" s="991">
        <f t="shared" si="32"/>
        <v>0.7056034683231156</v>
      </c>
      <c r="BM20" s="991">
        <f t="shared" si="32"/>
        <v>0.73917402283348177</v>
      </c>
      <c r="BN20" s="991">
        <f t="shared" si="32"/>
        <v>0.26597041267339105</v>
      </c>
      <c r="BO20" s="992">
        <f t="shared" si="32"/>
        <v>7.9874182079991529E-2</v>
      </c>
      <c r="BP20" s="991">
        <f t="shared" si="32"/>
        <v>0.16696984424381411</v>
      </c>
      <c r="BQ20" s="991">
        <f t="shared" si="32"/>
        <v>1.0997948969905247E-2</v>
      </c>
      <c r="BR20" s="991">
        <f t="shared" si="32"/>
        <v>6.7462749450957205E-2</v>
      </c>
      <c r="BS20" s="992">
        <f t="shared" si="32"/>
        <v>0.15690118577075096</v>
      </c>
      <c r="BT20" s="991">
        <f t="shared" si="32"/>
        <v>0.17264307849666016</v>
      </c>
      <c r="BU20" s="991">
        <f t="shared" si="32"/>
        <v>0.27623031667790876</v>
      </c>
      <c r="BV20" s="991">
        <f t="shared" si="32"/>
        <v>0.15222502600394061</v>
      </c>
      <c r="BW20" s="992">
        <f t="shared" si="32"/>
        <v>0.10978059292075026</v>
      </c>
      <c r="BX20" s="991">
        <f t="shared" si="32"/>
        <v>1.2686864956788835E-2</v>
      </c>
      <c r="BY20" s="991">
        <f t="shared" si="32"/>
        <v>6.8185495371495763E-2</v>
      </c>
      <c r="BZ20" s="991">
        <f t="shared" si="32"/>
        <v>5.9031173652479119E-2</v>
      </c>
      <c r="CA20" s="992">
        <f t="shared" si="32"/>
        <v>5.3470337065757434E-2</v>
      </c>
      <c r="CB20" s="991">
        <f t="shared" si="32"/>
        <v>4.7206691456666228E-2</v>
      </c>
      <c r="CC20" s="991">
        <f t="shared" si="32"/>
        <v>3.6020359231376364E-2</v>
      </c>
      <c r="CD20" s="991">
        <f t="shared" si="32"/>
        <v>7.5641239257524973E-2</v>
      </c>
      <c r="CE20" s="992">
        <f t="shared" si="32"/>
        <v>5.3708514318614675E-2</v>
      </c>
      <c r="CF20" s="991">
        <f t="shared" si="32"/>
        <v>1.4375941294612504E-2</v>
      </c>
      <c r="CG20" s="991">
        <f t="shared" si="32"/>
        <v>2.7755967087517153E-2</v>
      </c>
      <c r="CH20" s="991">
        <f t="shared" si="32"/>
        <v>4.5707621671873477E-2</v>
      </c>
      <c r="CI20" s="992">
        <f t="shared" si="32"/>
        <v>2.1718447108372674E-2</v>
      </c>
      <c r="CJ20" s="991">
        <f t="shared" si="32"/>
        <v>4.4671947311417659E-2</v>
      </c>
      <c r="CK20" s="991">
        <f t="shared" si="32"/>
        <v>1.4387257945313259E-2</v>
      </c>
      <c r="CL20" s="991">
        <f t="shared" si="32"/>
        <v>1.2974111305314562E-2</v>
      </c>
      <c r="CM20" s="992">
        <f t="shared" si="32"/>
        <v>6.6716210999719916E-3</v>
      </c>
      <c r="CN20" s="991">
        <f t="shared" ref="CN20:CU20" si="33">CN18/CJ18-1</f>
        <v>1.62385147304136E-2</v>
      </c>
      <c r="CO20" s="991">
        <f t="shared" si="33"/>
        <v>-3.0981098559916154E-2</v>
      </c>
      <c r="CP20" s="991">
        <f t="shared" si="33"/>
        <v>-8.1203291319771331E-2</v>
      </c>
      <c r="CQ20" s="992">
        <f t="shared" si="33"/>
        <v>-4.0583450349418904E-2</v>
      </c>
      <c r="CR20" s="991">
        <f t="shared" si="33"/>
        <v>-3.6345593566949774E-2</v>
      </c>
      <c r="CS20" s="991">
        <f t="shared" si="33"/>
        <v>-2.1053016553467363E-2</v>
      </c>
      <c r="CT20" s="991">
        <f t="shared" si="33"/>
        <v>-9.262274998942277E-3</v>
      </c>
      <c r="CU20" s="992">
        <f t="shared" si="33"/>
        <v>-3.6685200537503015E-2</v>
      </c>
      <c r="CV20" s="416"/>
      <c r="CW20" s="991"/>
      <c r="CX20" s="991"/>
      <c r="CY20" s="991"/>
      <c r="CZ20" s="991"/>
      <c r="DA20" s="991"/>
      <c r="DB20" s="991"/>
      <c r="DC20" s="991"/>
      <c r="DD20" s="991">
        <f t="shared" ref="DD20:DZ20" si="34">DD18/DC18-1</f>
        <v>-9.7802977477021713E-2</v>
      </c>
      <c r="DE20" s="991">
        <f t="shared" si="34"/>
        <v>5.4867089090573806E-2</v>
      </c>
      <c r="DF20" s="991">
        <f t="shared" si="34"/>
        <v>-2.8724752369351014E-2</v>
      </c>
      <c r="DG20" s="991">
        <f t="shared" si="34"/>
        <v>-7.8558195301656752E-3</v>
      </c>
      <c r="DH20" s="991">
        <f t="shared" si="34"/>
        <v>4.0506479231172676E-4</v>
      </c>
      <c r="DI20" s="991">
        <f t="shared" si="34"/>
        <v>-3.0247810803302522E-2</v>
      </c>
      <c r="DJ20" s="991">
        <f t="shared" si="34"/>
        <v>-1.3869131918632593E-2</v>
      </c>
      <c r="DK20" s="991">
        <f t="shared" si="34"/>
        <v>-0.16311858034520343</v>
      </c>
      <c r="DL20" s="991">
        <f t="shared" si="34"/>
        <v>-0.32088551300614332</v>
      </c>
      <c r="DM20" s="991">
        <f t="shared" si="34"/>
        <v>0.39123376131601684</v>
      </c>
      <c r="DN20" s="991">
        <f t="shared" si="34"/>
        <v>9.9261963756278604E-2</v>
      </c>
      <c r="DO20" s="991">
        <f t="shared" si="34"/>
        <v>0.17587335650693658</v>
      </c>
      <c r="DP20" s="991">
        <f t="shared" si="34"/>
        <v>4.8116401722859248E-2</v>
      </c>
      <c r="DQ20" s="991">
        <f t="shared" si="34"/>
        <v>5.2703448423368382E-2</v>
      </c>
      <c r="DR20" s="991">
        <f t="shared" si="34"/>
        <v>2.7353538580246139E-2</v>
      </c>
      <c r="DS20" s="991">
        <f t="shared" si="34"/>
        <v>1.9507768589769325E-2</v>
      </c>
      <c r="DT20" s="991">
        <f t="shared" si="34"/>
        <v>-3.3990004308536048E-2</v>
      </c>
      <c r="DU20" s="991">
        <f t="shared" si="34"/>
        <v>-2.6082713267050472E-2</v>
      </c>
      <c r="DV20" s="991">
        <f t="shared" si="34"/>
        <v>-3.9999999999999813E-2</v>
      </c>
      <c r="DW20" s="991">
        <f t="shared" si="34"/>
        <v>-6.8132610293387685E-3</v>
      </c>
      <c r="DX20" s="991">
        <f t="shared" si="34"/>
        <v>4.9999999999998934E-3</v>
      </c>
      <c r="DY20" s="991">
        <f t="shared" si="34"/>
        <v>4.9999999999998934E-3</v>
      </c>
      <c r="DZ20" s="991">
        <f t="shared" si="34"/>
        <v>4.9999999999998934E-3</v>
      </c>
    </row>
    <row r="21" spans="2:130" ht="15">
      <c r="B21" s="981" t="s">
        <v>338</v>
      </c>
      <c r="C21" s="898"/>
      <c r="D21" s="990"/>
      <c r="E21" s="991"/>
      <c r="F21" s="991"/>
      <c r="G21" s="992"/>
      <c r="H21" s="991"/>
      <c r="I21" s="991"/>
      <c r="J21" s="991"/>
      <c r="K21" s="992"/>
      <c r="L21" s="991"/>
      <c r="M21" s="991"/>
      <c r="N21" s="991"/>
      <c r="O21" s="992"/>
      <c r="P21" s="991"/>
      <c r="Q21" s="991"/>
      <c r="R21" s="991"/>
      <c r="S21" s="992"/>
      <c r="T21" s="991"/>
      <c r="U21" s="991"/>
      <c r="V21" s="991"/>
      <c r="W21" s="992"/>
      <c r="X21" s="984">
        <v>0.44327699999999998</v>
      </c>
      <c r="Y21" s="984">
        <v>0.52628699999999995</v>
      </c>
      <c r="Z21" s="984">
        <v>0.55853299999999995</v>
      </c>
      <c r="AA21" s="985">
        <v>0.50254200000000004</v>
      </c>
      <c r="AB21" s="984">
        <v>0.51369100000000001</v>
      </c>
      <c r="AC21" s="984">
        <v>0.61681900000000001</v>
      </c>
      <c r="AD21" s="984">
        <v>0.51482899999999998</v>
      </c>
      <c r="AE21" s="985">
        <v>0.41886299999999999</v>
      </c>
      <c r="AF21" s="984">
        <v>0.41752499999999998</v>
      </c>
      <c r="AG21" s="984">
        <v>0.50433799999999995</v>
      </c>
      <c r="AH21" s="984">
        <v>0.49116500000000002</v>
      </c>
      <c r="AI21" s="985">
        <v>0.49493700000000002</v>
      </c>
      <c r="AJ21" s="984">
        <v>0.44189000000000001</v>
      </c>
      <c r="AK21" s="984">
        <v>0.45783000000000001</v>
      </c>
      <c r="AL21" s="984">
        <v>0.47142000000000001</v>
      </c>
      <c r="AM21" s="985">
        <v>0.52773899999999996</v>
      </c>
      <c r="AN21" s="984">
        <v>0.55796100000000004</v>
      </c>
      <c r="AO21" s="984">
        <v>0.60159799999999997</v>
      </c>
      <c r="AP21" s="984">
        <v>0.66087899999999999</v>
      </c>
      <c r="AQ21" s="985">
        <v>0.66157299999999997</v>
      </c>
      <c r="AR21" s="984">
        <v>0.64795899999999995</v>
      </c>
      <c r="AS21" s="984">
        <v>0.73459399999999997</v>
      </c>
      <c r="AT21" s="984">
        <v>0.73801700000000003</v>
      </c>
      <c r="AU21" s="985">
        <v>0.71454499999999999</v>
      </c>
      <c r="AV21" s="984">
        <v>0.70586599999999999</v>
      </c>
      <c r="AW21" s="984">
        <v>0.76356299999999999</v>
      </c>
      <c r="AX21" s="984">
        <v>0.80444000000000004</v>
      </c>
      <c r="AY21" s="985">
        <v>0.78959500000000005</v>
      </c>
      <c r="AZ21" s="984">
        <v>0.77364299999999997</v>
      </c>
      <c r="BA21" s="984">
        <v>0.87083500000000003</v>
      </c>
      <c r="BB21" s="984">
        <v>0.95941500000000002</v>
      </c>
      <c r="BC21" s="985">
        <v>0.97955400000000004</v>
      </c>
      <c r="BD21" s="984">
        <v>0.90496900000000002</v>
      </c>
      <c r="BE21" s="984">
        <v>1.0539130000000001</v>
      </c>
      <c r="BF21" s="984">
        <v>1.0911580000000001</v>
      </c>
      <c r="BG21" s="985">
        <v>0.71962599999999999</v>
      </c>
      <c r="BH21" s="984">
        <v>0.75351800000000002</v>
      </c>
      <c r="BI21" s="984">
        <v>0.93273600000000001</v>
      </c>
      <c r="BJ21" s="984">
        <v>0.99133899999999997</v>
      </c>
      <c r="BK21" s="985">
        <v>1.0184820000000001</v>
      </c>
      <c r="BL21" s="984">
        <v>0.92503800000000003</v>
      </c>
      <c r="BM21" s="984">
        <v>1.0521020000000001</v>
      </c>
      <c r="BN21" s="984">
        <v>1.104916</v>
      </c>
      <c r="BO21" s="985">
        <v>1.0935410000000001</v>
      </c>
      <c r="BP21" s="984">
        <v>1.0230030000000001</v>
      </c>
      <c r="BQ21" s="984">
        <v>1.141062</v>
      </c>
      <c r="BR21" s="984">
        <v>1.1505700000000001</v>
      </c>
      <c r="BS21" s="985">
        <v>1.006966</v>
      </c>
      <c r="BT21" s="984">
        <v>0.95409600000000006</v>
      </c>
      <c r="BU21" s="984">
        <v>1.0290360000000001</v>
      </c>
      <c r="BV21" s="984">
        <v>1.1677200000000001</v>
      </c>
      <c r="BW21" s="985">
        <v>1.1400429999999999</v>
      </c>
      <c r="BX21" s="984">
        <v>1.0203549999999999</v>
      </c>
      <c r="BY21" s="984">
        <v>1.2506969999999999</v>
      </c>
      <c r="BZ21" s="984">
        <v>1.2096370000000001</v>
      </c>
      <c r="CA21" s="985">
        <v>1.053974</v>
      </c>
      <c r="CB21" s="984">
        <v>0.94764599999999999</v>
      </c>
      <c r="CC21" s="984">
        <v>0.95455199999999996</v>
      </c>
      <c r="CD21" s="984">
        <v>0.99168500000000004</v>
      </c>
      <c r="CE21" s="985">
        <v>0.948986</v>
      </c>
      <c r="CF21" s="984">
        <v>0.81777200000000005</v>
      </c>
      <c r="CG21" s="984">
        <v>0.80261899999999997</v>
      </c>
      <c r="CH21" s="984">
        <v>0.78278599999999998</v>
      </c>
      <c r="CI21" s="985">
        <v>0.69175600000000004</v>
      </c>
      <c r="CJ21" s="984">
        <v>0.61316400000000004</v>
      </c>
      <c r="CK21" s="984">
        <v>0.68410899999999997</v>
      </c>
      <c r="CL21" s="984">
        <v>0.69073600000000002</v>
      </c>
      <c r="CM21" s="986">
        <v>0.749139</v>
      </c>
      <c r="CN21" s="660">
        <v>0.73454600000000003</v>
      </c>
      <c r="CO21" s="660">
        <v>0.79471400000000003</v>
      </c>
      <c r="CP21" s="984">
        <v>0.86344399999999999</v>
      </c>
      <c r="CQ21" s="1170">
        <v>0.86607699999999999</v>
      </c>
      <c r="CR21" s="1128">
        <v>0.82053799999999999</v>
      </c>
      <c r="CS21" s="1128">
        <v>1.000127</v>
      </c>
      <c r="CT21" s="1128">
        <v>1.0492319999999999</v>
      </c>
      <c r="CU21" s="1129">
        <v>0.94681599999999999</v>
      </c>
      <c r="CV21" s="416"/>
      <c r="CW21" s="991"/>
      <c r="CX21" s="991"/>
      <c r="CY21" s="991"/>
      <c r="CZ21" s="991"/>
      <c r="DA21" s="991"/>
      <c r="DB21" s="991"/>
      <c r="DC21" s="987">
        <f>SUM(X21:AA21)</f>
        <v>2.0306389999999999</v>
      </c>
      <c r="DD21" s="987">
        <f>SUM(AB21:AE21)</f>
        <v>2.0642019999999999</v>
      </c>
      <c r="DE21" s="987">
        <f>SUM(AF21:AI21)</f>
        <v>1.9079649999999999</v>
      </c>
      <c r="DF21" s="987">
        <f>SUM(AJ21:AM21)</f>
        <v>1.898879</v>
      </c>
      <c r="DG21" s="987">
        <f>SUM(AN21:AQ21)</f>
        <v>2.482011</v>
      </c>
      <c r="DH21" s="987">
        <f>SUM(AR21:AU21)</f>
        <v>2.8351150000000001</v>
      </c>
      <c r="DI21" s="987">
        <f>SUM(AV21:AY21)</f>
        <v>3.0634639999999997</v>
      </c>
      <c r="DJ21" s="987">
        <f>SUM(AZ21:BC21)</f>
        <v>3.5834469999999996</v>
      </c>
      <c r="DK21" s="987">
        <f>SUM(BD21:BG21)</f>
        <v>3.769666</v>
      </c>
      <c r="DL21" s="987">
        <f>SUM(BH21:BK21)</f>
        <v>3.696075</v>
      </c>
      <c r="DM21" s="987">
        <f>SUM(BL21:BO21)</f>
        <v>4.1755969999999998</v>
      </c>
      <c r="DN21" s="987">
        <f>SUM(BP21:BS21)</f>
        <v>4.3216010000000002</v>
      </c>
      <c r="DO21" s="987">
        <f>SUM(BT21:BW21)</f>
        <v>4.2908950000000008</v>
      </c>
      <c r="DP21" s="987">
        <f>SUM(BX21:CA21)</f>
        <v>4.5346630000000001</v>
      </c>
      <c r="DQ21" s="987">
        <f>SUM(CB21:CE21)</f>
        <v>3.8428689999999999</v>
      </c>
      <c r="DR21" s="987">
        <f>SUM(CF21:CI21)</f>
        <v>3.0949330000000002</v>
      </c>
      <c r="DS21" s="987">
        <f>SUM(CJ21:CM21)</f>
        <v>2.7371480000000004</v>
      </c>
      <c r="DT21" s="988">
        <f>SUM(CN21:CQ21)</f>
        <v>3.2587809999999999</v>
      </c>
      <c r="DU21" s="988">
        <f>SUM(CR21:CU21)</f>
        <v>3.816713</v>
      </c>
      <c r="DV21" s="1130">
        <v>4.1040590000000003</v>
      </c>
      <c r="DW21" s="1130">
        <v>4.2126159999999997</v>
      </c>
      <c r="DX21" s="1130">
        <v>4.4354180000000003</v>
      </c>
      <c r="DY21" s="1130">
        <v>4.7363799999999996</v>
      </c>
      <c r="DZ21" s="1130">
        <v>4.8382079999999998</v>
      </c>
    </row>
    <row r="22" spans="2:130" ht="15">
      <c r="B22" s="989" t="s">
        <v>341</v>
      </c>
      <c r="C22" s="898"/>
      <c r="D22" s="990"/>
      <c r="E22" s="991"/>
      <c r="F22" s="991"/>
      <c r="G22" s="992"/>
      <c r="H22" s="991"/>
      <c r="I22" s="991"/>
      <c r="J22" s="991"/>
      <c r="K22" s="992"/>
      <c r="L22" s="991"/>
      <c r="M22" s="991"/>
      <c r="N22" s="991"/>
      <c r="O22" s="992"/>
      <c r="P22" s="991"/>
      <c r="Q22" s="991"/>
      <c r="R22" s="991"/>
      <c r="S22" s="992"/>
      <c r="T22" s="991"/>
      <c r="U22" s="991"/>
      <c r="V22" s="991"/>
      <c r="W22" s="992"/>
      <c r="X22" s="991"/>
      <c r="Y22" s="991">
        <f t="shared" ref="Y22:BD22" si="35">Y21/X21-1</f>
        <v>0.18726439675417406</v>
      </c>
      <c r="Z22" s="991">
        <f t="shared" si="35"/>
        <v>6.1270751510107635E-2</v>
      </c>
      <c r="AA22" s="992">
        <f t="shared" si="35"/>
        <v>-0.10024653870048839</v>
      </c>
      <c r="AB22" s="991">
        <f t="shared" si="35"/>
        <v>2.2185210390375243E-2</v>
      </c>
      <c r="AC22" s="991">
        <f t="shared" si="35"/>
        <v>0.20075882193770189</v>
      </c>
      <c r="AD22" s="991">
        <f t="shared" si="35"/>
        <v>-0.1653483436794263</v>
      </c>
      <c r="AE22" s="992">
        <f t="shared" si="35"/>
        <v>-0.18640364082054428</v>
      </c>
      <c r="AF22" s="991">
        <f t="shared" si="35"/>
        <v>-3.1943618796599349E-3</v>
      </c>
      <c r="AG22" s="991">
        <f t="shared" si="35"/>
        <v>0.20792287886952865</v>
      </c>
      <c r="AH22" s="991">
        <f t="shared" si="35"/>
        <v>-2.6119388188080128E-2</v>
      </c>
      <c r="AI22" s="992">
        <f t="shared" si="35"/>
        <v>7.6797003043782563E-3</v>
      </c>
      <c r="AJ22" s="991">
        <f t="shared" si="35"/>
        <v>-0.10717929756716515</v>
      </c>
      <c r="AK22" s="991">
        <f t="shared" si="35"/>
        <v>3.6072325691914209E-2</v>
      </c>
      <c r="AL22" s="991">
        <f t="shared" si="35"/>
        <v>2.9683506978572805E-2</v>
      </c>
      <c r="AM22" s="992">
        <f t="shared" si="35"/>
        <v>0.11946671757668303</v>
      </c>
      <c r="AN22" s="991">
        <f t="shared" si="35"/>
        <v>5.726694445549807E-2</v>
      </c>
      <c r="AO22" s="991">
        <f t="shared" si="35"/>
        <v>7.8207975109371386E-2</v>
      </c>
      <c r="AP22" s="991">
        <f t="shared" si="35"/>
        <v>9.8539223867100567E-2</v>
      </c>
      <c r="AQ22" s="992">
        <f t="shared" si="35"/>
        <v>1.0501165871512619E-3</v>
      </c>
      <c r="AR22" s="991">
        <f t="shared" si="35"/>
        <v>-2.0578227950657002E-2</v>
      </c>
      <c r="AS22" s="991">
        <f t="shared" si="35"/>
        <v>0.1337044473492921</v>
      </c>
      <c r="AT22" s="991">
        <f t="shared" si="35"/>
        <v>4.6597167959445684E-3</v>
      </c>
      <c r="AU22" s="992">
        <f t="shared" si="35"/>
        <v>-3.1804145432964392E-2</v>
      </c>
      <c r="AV22" s="991">
        <f t="shared" si="35"/>
        <v>-1.2146190932691425E-2</v>
      </c>
      <c r="AW22" s="991">
        <f t="shared" si="35"/>
        <v>8.1739310294021816E-2</v>
      </c>
      <c r="AX22" s="991">
        <f t="shared" si="35"/>
        <v>5.3534547902399643E-2</v>
      </c>
      <c r="AY22" s="992">
        <f t="shared" si="35"/>
        <v>-1.8453831236636686E-2</v>
      </c>
      <c r="AZ22" s="991">
        <f t="shared" si="35"/>
        <v>-2.0202762175545841E-2</v>
      </c>
      <c r="BA22" s="991">
        <f t="shared" si="35"/>
        <v>0.12562900459255766</v>
      </c>
      <c r="BB22" s="991">
        <f t="shared" si="35"/>
        <v>0.10171846561059206</v>
      </c>
      <c r="BC22" s="992">
        <f t="shared" si="35"/>
        <v>2.099091633964445E-2</v>
      </c>
      <c r="BD22" s="991">
        <f t="shared" si="35"/>
        <v>-7.6141795143504054E-2</v>
      </c>
      <c r="BE22" s="991">
        <f t="shared" ref="BE22:CJ22" si="36">BE21/BD21-1</f>
        <v>0.16458464323087307</v>
      </c>
      <c r="BF22" s="991">
        <f t="shared" si="36"/>
        <v>3.5339729180681845E-2</v>
      </c>
      <c r="BG22" s="992">
        <f t="shared" si="36"/>
        <v>-0.34049331077625788</v>
      </c>
      <c r="BH22" s="991">
        <f t="shared" si="36"/>
        <v>4.7096686334290316E-2</v>
      </c>
      <c r="BI22" s="991">
        <f t="shared" si="36"/>
        <v>0.23784169721227633</v>
      </c>
      <c r="BJ22" s="991">
        <f t="shared" si="36"/>
        <v>6.2829139220529573E-2</v>
      </c>
      <c r="BK22" s="992">
        <f t="shared" si="36"/>
        <v>2.7380139387233049E-2</v>
      </c>
      <c r="BL22" s="991">
        <f t="shared" si="36"/>
        <v>-9.1748307775689764E-2</v>
      </c>
      <c r="BM22" s="991">
        <f t="shared" si="36"/>
        <v>0.13736084355453504</v>
      </c>
      <c r="BN22" s="991">
        <f t="shared" si="36"/>
        <v>5.0198554892966651E-2</v>
      </c>
      <c r="BO22" s="992">
        <f t="shared" si="36"/>
        <v>-1.0294900245810479E-2</v>
      </c>
      <c r="BP22" s="991">
        <f t="shared" si="36"/>
        <v>-6.4504211547623758E-2</v>
      </c>
      <c r="BQ22" s="991">
        <f t="shared" si="36"/>
        <v>0.11540435365292168</v>
      </c>
      <c r="BR22" s="991">
        <f t="shared" si="36"/>
        <v>8.3325884132501304E-3</v>
      </c>
      <c r="BS22" s="992">
        <f t="shared" si="36"/>
        <v>-0.12481118054529494</v>
      </c>
      <c r="BT22" s="991">
        <f t="shared" si="36"/>
        <v>-5.2504255357181839E-2</v>
      </c>
      <c r="BU22" s="991">
        <f t="shared" si="36"/>
        <v>7.8545555164260206E-2</v>
      </c>
      <c r="BV22" s="991">
        <f t="shared" si="36"/>
        <v>0.13477079519083879</v>
      </c>
      <c r="BW22" s="992">
        <f t="shared" si="36"/>
        <v>-2.3701743568663836E-2</v>
      </c>
      <c r="BX22" s="991">
        <f t="shared" si="36"/>
        <v>-0.10498551370430764</v>
      </c>
      <c r="BY22" s="991">
        <f t="shared" si="36"/>
        <v>0.22574692141460573</v>
      </c>
      <c r="BZ22" s="991">
        <f t="shared" si="36"/>
        <v>-3.2829694162534895E-2</v>
      </c>
      <c r="CA22" s="992">
        <f t="shared" si="36"/>
        <v>-0.1286857131519622</v>
      </c>
      <c r="CB22" s="991">
        <f t="shared" si="36"/>
        <v>-0.1008829439815403</v>
      </c>
      <c r="CC22" s="991">
        <f t="shared" si="36"/>
        <v>7.2875314199605246E-3</v>
      </c>
      <c r="CD22" s="991">
        <f t="shared" si="36"/>
        <v>3.8900971345720459E-2</v>
      </c>
      <c r="CE22" s="992">
        <f t="shared" si="36"/>
        <v>-4.3057019113932338E-2</v>
      </c>
      <c r="CF22" s="991">
        <f t="shared" si="36"/>
        <v>-0.13826758245116355</v>
      </c>
      <c r="CG22" s="991">
        <f t="shared" si="36"/>
        <v>-1.8529614611407674E-2</v>
      </c>
      <c r="CH22" s="991">
        <f t="shared" si="36"/>
        <v>-2.4710354477030849E-2</v>
      </c>
      <c r="CI22" s="992">
        <f t="shared" si="36"/>
        <v>-0.11628976501879174</v>
      </c>
      <c r="CJ22" s="991">
        <f t="shared" si="36"/>
        <v>-0.11361231416857964</v>
      </c>
      <c r="CK22" s="991">
        <f t="shared" ref="CK22:CU22" si="37">CK21/CJ21-1</f>
        <v>0.11570313977989555</v>
      </c>
      <c r="CL22" s="991">
        <f t="shared" si="37"/>
        <v>9.6870527942185536E-3</v>
      </c>
      <c r="CM22" s="992">
        <f t="shared" si="37"/>
        <v>8.4551840355794328E-2</v>
      </c>
      <c r="CN22" s="991">
        <f t="shared" si="37"/>
        <v>-1.9479696024369275E-2</v>
      </c>
      <c r="CO22" s="991">
        <f t="shared" si="37"/>
        <v>8.1911820362509546E-2</v>
      </c>
      <c r="CP22" s="991">
        <f t="shared" si="37"/>
        <v>8.6483942651066847E-2</v>
      </c>
      <c r="CQ22" s="992">
        <f t="shared" si="37"/>
        <v>3.0494160594085606E-3</v>
      </c>
      <c r="CR22" s="991">
        <f t="shared" si="37"/>
        <v>-5.2580775150477432E-2</v>
      </c>
      <c r="CS22" s="991">
        <f t="shared" si="37"/>
        <v>0.21886737725736038</v>
      </c>
      <c r="CT22" s="991">
        <f t="shared" si="37"/>
        <v>4.9098764456913857E-2</v>
      </c>
      <c r="CU22" s="992">
        <f t="shared" si="37"/>
        <v>-9.761044268569774E-2</v>
      </c>
      <c r="CV22" s="416"/>
      <c r="CW22" s="991"/>
      <c r="CX22" s="991"/>
      <c r="CY22" s="991"/>
      <c r="CZ22" s="991"/>
      <c r="DA22" s="991"/>
      <c r="DB22" s="991"/>
      <c r="DC22" s="991"/>
      <c r="DD22" s="991"/>
      <c r="DE22" s="991"/>
      <c r="DF22" s="991"/>
      <c r="DG22" s="991"/>
      <c r="DH22" s="991"/>
      <c r="DI22" s="991"/>
      <c r="DJ22" s="991"/>
      <c r="DK22" s="991"/>
      <c r="DL22" s="991"/>
      <c r="DM22" s="991"/>
      <c r="DN22" s="991"/>
      <c r="DO22" s="991"/>
      <c r="DP22" s="991"/>
      <c r="DQ22" s="991"/>
      <c r="DR22" s="991"/>
      <c r="DS22" s="991"/>
      <c r="DT22" s="991"/>
      <c r="DU22" s="991"/>
      <c r="DV22" s="991"/>
      <c r="DW22" s="991"/>
      <c r="DX22" s="991"/>
      <c r="DY22" s="991"/>
      <c r="DZ22" s="991"/>
    </row>
    <row r="23" spans="2:130" ht="15">
      <c r="B23" s="989" t="s">
        <v>293</v>
      </c>
      <c r="C23" s="898"/>
      <c r="D23" s="990"/>
      <c r="E23" s="991"/>
      <c r="F23" s="991"/>
      <c r="G23" s="992"/>
      <c r="H23" s="991"/>
      <c r="I23" s="991"/>
      <c r="J23" s="991"/>
      <c r="K23" s="992"/>
      <c r="L23" s="991"/>
      <c r="M23" s="991"/>
      <c r="N23" s="991"/>
      <c r="O23" s="992"/>
      <c r="P23" s="991"/>
      <c r="Q23" s="991"/>
      <c r="R23" s="991"/>
      <c r="S23" s="992"/>
      <c r="T23" s="991"/>
      <c r="U23" s="991"/>
      <c r="V23" s="991"/>
      <c r="W23" s="992"/>
      <c r="X23" s="991"/>
      <c r="Y23" s="991"/>
      <c r="Z23" s="991"/>
      <c r="AA23" s="992"/>
      <c r="AB23" s="991">
        <f t="shared" ref="AB23:BG23" si="38">AB21/X21-1</f>
        <v>0.15884875596974357</v>
      </c>
      <c r="AC23" s="991">
        <f t="shared" si="38"/>
        <v>0.17202020950546015</v>
      </c>
      <c r="AD23" s="991">
        <f t="shared" si="38"/>
        <v>-7.8247838534159952E-2</v>
      </c>
      <c r="AE23" s="992">
        <f t="shared" si="38"/>
        <v>-0.16651145575892179</v>
      </c>
      <c r="AF23" s="991">
        <f t="shared" si="38"/>
        <v>-0.18720592729870689</v>
      </c>
      <c r="AG23" s="991">
        <f t="shared" si="38"/>
        <v>-0.18235657461913468</v>
      </c>
      <c r="AH23" s="991">
        <f t="shared" si="38"/>
        <v>-4.5964776653995676E-2</v>
      </c>
      <c r="AI23" s="992">
        <f t="shared" si="38"/>
        <v>0.18162024337313154</v>
      </c>
      <c r="AJ23" s="991">
        <f t="shared" si="38"/>
        <v>5.8355787078618215E-2</v>
      </c>
      <c r="AK23" s="991">
        <f t="shared" si="38"/>
        <v>-9.2215934551828194E-2</v>
      </c>
      <c r="AL23" s="991">
        <f t="shared" si="38"/>
        <v>-4.0200340007940372E-2</v>
      </c>
      <c r="AM23" s="992">
        <f t="shared" si="38"/>
        <v>6.6275101679607484E-2</v>
      </c>
      <c r="AN23" s="991">
        <f t="shared" si="38"/>
        <v>0.26266944262146685</v>
      </c>
      <c r="AO23" s="991">
        <f t="shared" si="38"/>
        <v>0.31402048795404403</v>
      </c>
      <c r="AP23" s="991">
        <f t="shared" si="38"/>
        <v>0.40189003436426107</v>
      </c>
      <c r="AQ23" s="992">
        <f t="shared" si="38"/>
        <v>0.25359884336764948</v>
      </c>
      <c r="AR23" s="991">
        <f t="shared" si="38"/>
        <v>0.1612980118682128</v>
      </c>
      <c r="AS23" s="991">
        <f t="shared" si="38"/>
        <v>0.22107121366759874</v>
      </c>
      <c r="AT23" s="991">
        <f t="shared" si="38"/>
        <v>0.1167203073482439</v>
      </c>
      <c r="AU23" s="992">
        <f t="shared" si="38"/>
        <v>8.0069773101381081E-2</v>
      </c>
      <c r="AV23" s="991">
        <f t="shared" si="38"/>
        <v>8.9368308797316054E-2</v>
      </c>
      <c r="AW23" s="991">
        <f t="shared" si="38"/>
        <v>3.9435388799799576E-2</v>
      </c>
      <c r="AX23" s="991">
        <f t="shared" si="38"/>
        <v>9.0001991824036676E-2</v>
      </c>
      <c r="AY23" s="992">
        <f t="shared" si="38"/>
        <v>0.10503187342994491</v>
      </c>
      <c r="AZ23" s="991">
        <f t="shared" si="38"/>
        <v>9.6019641121686039E-2</v>
      </c>
      <c r="BA23" s="991">
        <f t="shared" si="38"/>
        <v>0.14048873504871251</v>
      </c>
      <c r="BB23" s="991">
        <f t="shared" si="38"/>
        <v>0.19264954502511067</v>
      </c>
      <c r="BC23" s="992">
        <f t="shared" si="38"/>
        <v>0.24057776455018076</v>
      </c>
      <c r="BD23" s="991">
        <f t="shared" si="38"/>
        <v>0.1697501302280251</v>
      </c>
      <c r="BE23" s="991">
        <f t="shared" si="38"/>
        <v>0.2102327076885977</v>
      </c>
      <c r="BF23" s="991">
        <f t="shared" si="38"/>
        <v>0.13731596858502315</v>
      </c>
      <c r="BG23" s="992">
        <f t="shared" si="38"/>
        <v>-0.26535341594235751</v>
      </c>
      <c r="BH23" s="991">
        <f t="shared" ref="BH23:CM23" si="39">BH21/BD21-1</f>
        <v>-0.16735490386963536</v>
      </c>
      <c r="BI23" s="991">
        <f t="shared" si="39"/>
        <v>-0.11497818131098114</v>
      </c>
      <c r="BJ23" s="991">
        <f t="shared" si="39"/>
        <v>-9.1479877341320015E-2</v>
      </c>
      <c r="BK23" s="992">
        <f t="shared" si="39"/>
        <v>0.41529349967900009</v>
      </c>
      <c r="BL23" s="991">
        <f t="shared" si="39"/>
        <v>0.2276256174371416</v>
      </c>
      <c r="BM23" s="991">
        <f t="shared" si="39"/>
        <v>0.12797404624674091</v>
      </c>
      <c r="BN23" s="991">
        <f t="shared" si="39"/>
        <v>0.11456928457369275</v>
      </c>
      <c r="BO23" s="992">
        <f t="shared" si="39"/>
        <v>7.3696933279135068E-2</v>
      </c>
      <c r="BP23" s="991">
        <f t="shared" si="39"/>
        <v>0.10590375746726099</v>
      </c>
      <c r="BQ23" s="991">
        <f t="shared" si="39"/>
        <v>8.4554539388766337E-2</v>
      </c>
      <c r="BR23" s="991">
        <f t="shared" si="39"/>
        <v>4.1318978094262437E-2</v>
      </c>
      <c r="BS23" s="992">
        <f t="shared" si="39"/>
        <v>-7.9169413858282467E-2</v>
      </c>
      <c r="BT23" s="991">
        <f t="shared" si="39"/>
        <v>-6.7357573731455345E-2</v>
      </c>
      <c r="BU23" s="991">
        <f t="shared" si="39"/>
        <v>-9.8176961462216772E-2</v>
      </c>
      <c r="BV23" s="991">
        <f t="shared" si="39"/>
        <v>1.4905655457729594E-2</v>
      </c>
      <c r="BW23" s="992">
        <f t="shared" si="39"/>
        <v>0.13215639852785488</v>
      </c>
      <c r="BX23" s="991">
        <f t="shared" si="39"/>
        <v>6.9446890040415044E-2</v>
      </c>
      <c r="BY23" s="991">
        <f t="shared" si="39"/>
        <v>0.215406458083099</v>
      </c>
      <c r="BZ23" s="991">
        <f t="shared" si="39"/>
        <v>3.5896447778577034E-2</v>
      </c>
      <c r="CA23" s="992">
        <f t="shared" si="39"/>
        <v>-7.5496275140499058E-2</v>
      </c>
      <c r="CB23" s="991">
        <f t="shared" si="39"/>
        <v>-7.125853256954684E-2</v>
      </c>
      <c r="CC23" s="991">
        <f t="shared" si="39"/>
        <v>-0.23678396925874134</v>
      </c>
      <c r="CD23" s="991">
        <f t="shared" si="39"/>
        <v>-0.18017967373683186</v>
      </c>
      <c r="CE23" s="992">
        <f t="shared" si="39"/>
        <v>-9.961156537068272E-2</v>
      </c>
      <c r="CF23" s="991">
        <f t="shared" si="39"/>
        <v>-0.13704906684563634</v>
      </c>
      <c r="CG23" s="991">
        <f t="shared" si="39"/>
        <v>-0.15916681333232763</v>
      </c>
      <c r="CH23" s="991">
        <f t="shared" si="39"/>
        <v>-0.21065055940142285</v>
      </c>
      <c r="CI23" s="992">
        <f t="shared" si="39"/>
        <v>-0.27105773952408141</v>
      </c>
      <c r="CJ23" s="991">
        <f t="shared" si="39"/>
        <v>-0.25020176772988068</v>
      </c>
      <c r="CK23" s="991">
        <f t="shared" si="39"/>
        <v>-0.14765411733337985</v>
      </c>
      <c r="CL23" s="991">
        <f t="shared" si="39"/>
        <v>-0.11759280314159937</v>
      </c>
      <c r="CM23" s="992">
        <f t="shared" si="39"/>
        <v>8.2952659608301227E-2</v>
      </c>
      <c r="CN23" s="991">
        <f t="shared" ref="CN23:CU23" si="40">CN21/CJ21-1</f>
        <v>0.19796008898108819</v>
      </c>
      <c r="CO23" s="991">
        <f t="shared" si="40"/>
        <v>0.16167745198499084</v>
      </c>
      <c r="CP23" s="991">
        <f t="shared" si="40"/>
        <v>0.25003474554677907</v>
      </c>
      <c r="CQ23" s="992">
        <f t="shared" si="40"/>
        <v>0.15609653215224406</v>
      </c>
      <c r="CR23" s="991">
        <f t="shared" si="40"/>
        <v>0.11706822989982912</v>
      </c>
      <c r="CS23" s="991">
        <f t="shared" si="40"/>
        <v>0.25847411773292017</v>
      </c>
      <c r="CT23" s="991">
        <f t="shared" si="40"/>
        <v>0.21517087384937517</v>
      </c>
      <c r="CU23" s="992">
        <f t="shared" si="40"/>
        <v>9.3223812663308259E-2</v>
      </c>
      <c r="CV23" s="416"/>
      <c r="CW23" s="991"/>
      <c r="CX23" s="991"/>
      <c r="CY23" s="991"/>
      <c r="CZ23" s="991"/>
      <c r="DA23" s="991"/>
      <c r="DB23" s="991"/>
      <c r="DC23" s="991"/>
      <c r="DD23" s="991">
        <f t="shared" ref="DD23:DZ23" si="41">DD21/DC21-1</f>
        <v>1.6528294787995224E-2</v>
      </c>
      <c r="DE23" s="991">
        <f t="shared" si="41"/>
        <v>-7.5688813401014077E-2</v>
      </c>
      <c r="DF23" s="991">
        <f t="shared" si="41"/>
        <v>-4.7621418631892398E-3</v>
      </c>
      <c r="DG23" s="991">
        <f t="shared" si="41"/>
        <v>0.30709276367793836</v>
      </c>
      <c r="DH23" s="991">
        <f t="shared" si="41"/>
        <v>0.14226528407811245</v>
      </c>
      <c r="DI23" s="991">
        <f t="shared" si="41"/>
        <v>8.0543117298592648E-2</v>
      </c>
      <c r="DJ23" s="991">
        <f t="shared" si="41"/>
        <v>0.16973693831558001</v>
      </c>
      <c r="DK23" s="991">
        <f t="shared" si="41"/>
        <v>5.196644459929245E-2</v>
      </c>
      <c r="DL23" s="991">
        <f t="shared" si="41"/>
        <v>-1.9521888676609533E-2</v>
      </c>
      <c r="DM23" s="991">
        <f t="shared" si="41"/>
        <v>0.12973816819193318</v>
      </c>
      <c r="DN23" s="991">
        <f t="shared" si="41"/>
        <v>3.4966018032870583E-2</v>
      </c>
      <c r="DO23" s="991">
        <f t="shared" si="41"/>
        <v>-7.1052371563222749E-3</v>
      </c>
      <c r="DP23" s="991">
        <f t="shared" si="41"/>
        <v>5.6810525543039114E-2</v>
      </c>
      <c r="DQ23" s="991">
        <f t="shared" si="41"/>
        <v>-0.15255687137059581</v>
      </c>
      <c r="DR23" s="991">
        <f t="shared" si="41"/>
        <v>-0.19462958534365848</v>
      </c>
      <c r="DS23" s="991">
        <f t="shared" si="41"/>
        <v>-0.11560347186837316</v>
      </c>
      <c r="DT23" s="991">
        <f t="shared" si="41"/>
        <v>0.19057537261412216</v>
      </c>
      <c r="DU23" s="991">
        <f t="shared" si="41"/>
        <v>0.17120880476472644</v>
      </c>
      <c r="DV23" s="991">
        <f t="shared" si="41"/>
        <v>7.5286247616731972E-2</v>
      </c>
      <c r="DW23" s="991">
        <f t="shared" si="41"/>
        <v>2.6451130454021143E-2</v>
      </c>
      <c r="DX23" s="991">
        <f t="shared" si="41"/>
        <v>5.2889226077098117E-2</v>
      </c>
      <c r="DY23" s="991">
        <f t="shared" si="41"/>
        <v>6.7854258606516726E-2</v>
      </c>
      <c r="DZ23" s="991">
        <f t="shared" si="41"/>
        <v>2.1499119580776993E-2</v>
      </c>
    </row>
    <row r="24" spans="2:130" ht="15">
      <c r="B24" s="981" t="s">
        <v>428</v>
      </c>
      <c r="C24" s="898"/>
      <c r="D24" s="990"/>
      <c r="E24" s="991"/>
      <c r="F24" s="991"/>
      <c r="G24" s="992"/>
      <c r="H24" s="991"/>
      <c r="I24" s="991"/>
      <c r="J24" s="991"/>
      <c r="K24" s="992"/>
      <c r="L24" s="991"/>
      <c r="M24" s="991"/>
      <c r="N24" s="991"/>
      <c r="O24" s="992"/>
      <c r="P24" s="991"/>
      <c r="Q24" s="991"/>
      <c r="R24" s="991"/>
      <c r="S24" s="992"/>
      <c r="T24" s="991"/>
      <c r="U24" s="991"/>
      <c r="V24" s="991"/>
      <c r="W24" s="992"/>
      <c r="X24" s="984">
        <v>0.53934800000000005</v>
      </c>
      <c r="Y24" s="984">
        <v>0.54793199999999997</v>
      </c>
      <c r="Z24" s="984">
        <v>0.56578200000000001</v>
      </c>
      <c r="AA24" s="985">
        <v>0.51578199999999996</v>
      </c>
      <c r="AB24" s="984">
        <v>0.56020400000000004</v>
      </c>
      <c r="AC24" s="984">
        <v>0.56477500000000003</v>
      </c>
      <c r="AD24" s="984">
        <v>0.57109100000000002</v>
      </c>
      <c r="AE24" s="985">
        <v>0.54970799999999997</v>
      </c>
      <c r="AF24" s="984">
        <v>0.65742100000000003</v>
      </c>
      <c r="AG24" s="984">
        <v>0.62353000000000003</v>
      </c>
      <c r="AH24" s="984">
        <v>0.68002799999999997</v>
      </c>
      <c r="AI24" s="985">
        <v>0.65544400000000003</v>
      </c>
      <c r="AJ24" s="984">
        <v>0.74023799999999995</v>
      </c>
      <c r="AK24" s="984">
        <v>0.74104499999999995</v>
      </c>
      <c r="AL24" s="984">
        <v>0.797682</v>
      </c>
      <c r="AM24" s="985">
        <v>0.79237400000000002</v>
      </c>
      <c r="AN24" s="984">
        <v>0.864927</v>
      </c>
      <c r="AO24" s="984">
        <v>0.86532399999999998</v>
      </c>
      <c r="AP24" s="984">
        <v>0.91151599999999999</v>
      </c>
      <c r="AQ24" s="985">
        <v>0.96669899999999997</v>
      </c>
      <c r="AR24" s="984">
        <v>1.029531</v>
      </c>
      <c r="AS24" s="984">
        <v>1.036324</v>
      </c>
      <c r="AT24" s="984">
        <v>1.0967009999999999</v>
      </c>
      <c r="AU24" s="985">
        <v>1.050881</v>
      </c>
      <c r="AV24" s="984">
        <v>1.0730470000000001</v>
      </c>
      <c r="AW24" s="984">
        <v>1.034481</v>
      </c>
      <c r="AX24" s="984">
        <v>1.0797410000000001</v>
      </c>
      <c r="AY24" s="985">
        <v>1.0907450000000001</v>
      </c>
      <c r="AZ24" s="984">
        <v>1.0892440000000001</v>
      </c>
      <c r="BA24" s="984">
        <v>1.1142749999999999</v>
      </c>
      <c r="BB24" s="984">
        <v>1.199953</v>
      </c>
      <c r="BC24" s="985">
        <v>1.2288859999999999</v>
      </c>
      <c r="BD24" s="984">
        <v>1.3332329999999999</v>
      </c>
      <c r="BE24" s="984">
        <v>1.2985869999999999</v>
      </c>
      <c r="BF24" s="984">
        <v>1.307525</v>
      </c>
      <c r="BG24" s="985">
        <v>1.12442</v>
      </c>
      <c r="BH24" s="984">
        <v>1.0408379999999999</v>
      </c>
      <c r="BI24" s="984">
        <v>1.0662799999999999</v>
      </c>
      <c r="BJ24" s="984">
        <v>1.2622230000000001</v>
      </c>
      <c r="BK24" s="985">
        <v>1.4389989999999999</v>
      </c>
      <c r="BL24" s="984">
        <v>1.5747420000000001</v>
      </c>
      <c r="BM24" s="984">
        <v>1.580605</v>
      </c>
      <c r="BN24" s="984">
        <v>1.715015</v>
      </c>
      <c r="BO24" s="985">
        <v>1.754923</v>
      </c>
      <c r="BP24" s="984">
        <v>1.9170940000000001</v>
      </c>
      <c r="BQ24" s="984">
        <v>1.6193139999999999</v>
      </c>
      <c r="BR24" s="984">
        <v>1.836363</v>
      </c>
      <c r="BS24" s="985">
        <v>1.484164</v>
      </c>
      <c r="BT24" s="984">
        <v>2.0292620000000001</v>
      </c>
      <c r="BU24" s="984">
        <v>2.0292650000000001</v>
      </c>
      <c r="BV24" s="984">
        <v>2.0265240000000002</v>
      </c>
      <c r="BW24" s="985">
        <v>2.1720809999999999</v>
      </c>
      <c r="BX24" s="984">
        <v>2.2517879999999999</v>
      </c>
      <c r="BY24" s="984">
        <v>1.997663</v>
      </c>
      <c r="BZ24" s="984">
        <v>2.012121</v>
      </c>
      <c r="CA24" s="985">
        <v>1.936928</v>
      </c>
      <c r="CB24" s="984">
        <v>2.036546</v>
      </c>
      <c r="CC24" s="984">
        <v>1.8945749999999999</v>
      </c>
      <c r="CD24" s="984">
        <v>1.946345</v>
      </c>
      <c r="CE24" s="985">
        <v>1.8980760000000001</v>
      </c>
      <c r="CF24" s="984">
        <v>2.0698349999999999</v>
      </c>
      <c r="CG24" s="984">
        <v>1.9030750000000001</v>
      </c>
      <c r="CH24" s="984">
        <v>2.0354920000000001</v>
      </c>
      <c r="CI24" s="985">
        <v>1.9707650000000001</v>
      </c>
      <c r="CJ24" s="984">
        <v>2.0999439999999998</v>
      </c>
      <c r="CK24" s="984">
        <v>2.0414829999999999</v>
      </c>
      <c r="CL24" s="984">
        <v>2.1628729999999998</v>
      </c>
      <c r="CM24" s="986">
        <v>2.124463</v>
      </c>
      <c r="CN24" s="660">
        <v>2.2052339999999999</v>
      </c>
      <c r="CO24" s="660">
        <v>2.0472769999999998</v>
      </c>
      <c r="CP24" s="984">
        <v>2.2756810000000001</v>
      </c>
      <c r="CQ24" s="1170">
        <v>2.1362739999999998</v>
      </c>
      <c r="CR24" s="1128">
        <v>2.2876180000000002</v>
      </c>
      <c r="CS24" s="1128">
        <v>2.2051500000000002</v>
      </c>
      <c r="CT24" s="1128">
        <v>2.3248250000000001</v>
      </c>
      <c r="CU24" s="1129">
        <v>2.2709329999999999</v>
      </c>
      <c r="CV24" s="416"/>
      <c r="CW24" s="991"/>
      <c r="CX24" s="991"/>
      <c r="CY24" s="991"/>
      <c r="CZ24" s="991"/>
      <c r="DA24" s="991"/>
      <c r="DB24" s="991"/>
      <c r="DC24" s="987">
        <f>SUM(X24:AA24)</f>
        <v>2.168844</v>
      </c>
      <c r="DD24" s="987">
        <f>SUM(AB24:AE24)</f>
        <v>2.2457780000000001</v>
      </c>
      <c r="DE24" s="987">
        <f>SUM(AF24:AI24)</f>
        <v>2.6164230000000002</v>
      </c>
      <c r="DF24" s="987">
        <f>SUM(AJ24:AM24)</f>
        <v>3.071339</v>
      </c>
      <c r="DG24" s="987">
        <f>SUM(AN24:AQ24)</f>
        <v>3.608466</v>
      </c>
      <c r="DH24" s="987">
        <f>SUM(AR24:AU24)</f>
        <v>4.2134369999999999</v>
      </c>
      <c r="DI24" s="987">
        <f>SUM(AV24:AY24)</f>
        <v>4.2780140000000006</v>
      </c>
      <c r="DJ24" s="987">
        <f>SUM(AZ24:BC24)</f>
        <v>4.632358</v>
      </c>
      <c r="DK24" s="987">
        <f>SUM(BD24:BG24)</f>
        <v>5.0637650000000001</v>
      </c>
      <c r="DL24" s="987">
        <f>SUM(BH24:BK24)</f>
        <v>4.8083399999999994</v>
      </c>
      <c r="DM24" s="987">
        <f>SUM(BL24:BO24)</f>
        <v>6.6252849999999999</v>
      </c>
      <c r="DN24" s="987">
        <f>SUM(BP24:BS24)</f>
        <v>6.856935</v>
      </c>
      <c r="DO24" s="987">
        <f>SUM(BT24:BW24)</f>
        <v>8.2571320000000004</v>
      </c>
      <c r="DP24" s="987">
        <f>SUM(BX24:CA24)</f>
        <v>8.1984999999999992</v>
      </c>
      <c r="DQ24" s="987">
        <f>SUM(CB24:CE24)</f>
        <v>7.7755419999999997</v>
      </c>
      <c r="DR24" s="987">
        <f>SUM(CF24:CI24)</f>
        <v>7.9791670000000003</v>
      </c>
      <c r="DS24" s="987">
        <f>SUM(CJ24:CM24)</f>
        <v>8.428763</v>
      </c>
      <c r="DT24" s="988">
        <f>SUM(CN24:CQ24)</f>
        <v>8.6644660000000009</v>
      </c>
      <c r="DU24" s="988">
        <f>SUM(CR24:CU24)</f>
        <v>9.0885259999999999</v>
      </c>
      <c r="DV24" s="1130">
        <v>9.63035</v>
      </c>
      <c r="DW24" s="1130">
        <v>10.423813000000001</v>
      </c>
      <c r="DX24" s="1130">
        <v>11.000883</v>
      </c>
      <c r="DY24" s="1130">
        <v>11.729540999999999</v>
      </c>
      <c r="DZ24" s="1130">
        <v>12.375771</v>
      </c>
    </row>
    <row r="25" spans="2:130" ht="15">
      <c r="B25" s="989" t="s">
        <v>341</v>
      </c>
      <c r="C25" s="898"/>
      <c r="D25" s="990"/>
      <c r="E25" s="991"/>
      <c r="F25" s="991"/>
      <c r="G25" s="992"/>
      <c r="H25" s="991"/>
      <c r="I25" s="991"/>
      <c r="J25" s="991"/>
      <c r="K25" s="992"/>
      <c r="L25" s="991"/>
      <c r="M25" s="991"/>
      <c r="N25" s="991"/>
      <c r="O25" s="992"/>
      <c r="P25" s="991"/>
      <c r="Q25" s="991"/>
      <c r="R25" s="991"/>
      <c r="S25" s="992"/>
      <c r="T25" s="991"/>
      <c r="U25" s="991"/>
      <c r="V25" s="991"/>
      <c r="W25" s="992"/>
      <c r="X25" s="991"/>
      <c r="Y25" s="991">
        <f t="shared" ref="Y25:BD25" si="42">Y24/X24-1</f>
        <v>1.5915512804348886E-2</v>
      </c>
      <c r="Z25" s="991">
        <f t="shared" si="42"/>
        <v>3.2577035106546193E-2</v>
      </c>
      <c r="AA25" s="992">
        <f t="shared" si="42"/>
        <v>-8.83732603723697E-2</v>
      </c>
      <c r="AB25" s="991">
        <f t="shared" si="42"/>
        <v>8.6125533655691866E-2</v>
      </c>
      <c r="AC25" s="991">
        <f t="shared" si="42"/>
        <v>8.1595276006598549E-3</v>
      </c>
      <c r="AD25" s="991">
        <f t="shared" si="42"/>
        <v>1.1183214554468579E-2</v>
      </c>
      <c r="AE25" s="992">
        <f t="shared" si="42"/>
        <v>-3.7442369079533799E-2</v>
      </c>
      <c r="AF25" s="991">
        <f t="shared" si="42"/>
        <v>0.1959458476136422</v>
      </c>
      <c r="AG25" s="991">
        <f t="shared" si="42"/>
        <v>-5.155144116175181E-2</v>
      </c>
      <c r="AH25" s="991">
        <f t="shared" si="42"/>
        <v>9.0609914518948509E-2</v>
      </c>
      <c r="AI25" s="992">
        <f t="shared" si="42"/>
        <v>-3.615145258724628E-2</v>
      </c>
      <c r="AJ25" s="991">
        <f t="shared" si="42"/>
        <v>0.12936879428295911</v>
      </c>
      <c r="AK25" s="991">
        <f t="shared" si="42"/>
        <v>1.0901899118931357E-3</v>
      </c>
      <c r="AL25" s="991">
        <f t="shared" si="42"/>
        <v>7.6428556970224548E-2</v>
      </c>
      <c r="AM25" s="992">
        <f t="shared" si="42"/>
        <v>-6.6542807785557878E-3</v>
      </c>
      <c r="AN25" s="991">
        <f t="shared" si="42"/>
        <v>9.1564084636800214E-2</v>
      </c>
      <c r="AO25" s="991">
        <f t="shared" si="42"/>
        <v>4.5899827384277003E-4</v>
      </c>
      <c r="AP25" s="991">
        <f t="shared" si="42"/>
        <v>5.338116127600756E-2</v>
      </c>
      <c r="AQ25" s="992">
        <f t="shared" si="42"/>
        <v>6.0539804018799437E-2</v>
      </c>
      <c r="AR25" s="991">
        <f t="shared" si="42"/>
        <v>6.4996446670576802E-2</v>
      </c>
      <c r="AS25" s="991">
        <f t="shared" si="42"/>
        <v>6.5981500314220565E-3</v>
      </c>
      <c r="AT25" s="991">
        <f t="shared" si="42"/>
        <v>5.8260736989590001E-2</v>
      </c>
      <c r="AU25" s="992">
        <f t="shared" si="42"/>
        <v>-4.1779847013908022E-2</v>
      </c>
      <c r="AV25" s="991">
        <f t="shared" si="42"/>
        <v>2.1092778345026764E-2</v>
      </c>
      <c r="AW25" s="991">
        <f t="shared" si="42"/>
        <v>-3.5940643792862881E-2</v>
      </c>
      <c r="AX25" s="991">
        <f t="shared" si="42"/>
        <v>4.3751407710726609E-2</v>
      </c>
      <c r="AY25" s="992">
        <f t="shared" si="42"/>
        <v>1.0191332921506202E-2</v>
      </c>
      <c r="AZ25" s="991">
        <f t="shared" si="42"/>
        <v>-1.3761236586002923E-3</v>
      </c>
      <c r="BA25" s="991">
        <f t="shared" si="42"/>
        <v>2.2980158715586008E-2</v>
      </c>
      <c r="BB25" s="991">
        <f t="shared" si="42"/>
        <v>7.6891252159476009E-2</v>
      </c>
      <c r="BC25" s="992">
        <f t="shared" si="42"/>
        <v>2.411177771129358E-2</v>
      </c>
      <c r="BD25" s="991">
        <f t="shared" si="42"/>
        <v>8.4911863264778065E-2</v>
      </c>
      <c r="BE25" s="991">
        <f t="shared" ref="BE25:CJ25" si="43">BE24/BD24-1</f>
        <v>-2.5986455480774939E-2</v>
      </c>
      <c r="BF25" s="991">
        <f t="shared" si="43"/>
        <v>6.8828657610158217E-3</v>
      </c>
      <c r="BG25" s="992">
        <f t="shared" si="43"/>
        <v>-0.14003938739221056</v>
      </c>
      <c r="BH25" s="991">
        <f t="shared" si="43"/>
        <v>-7.4333434126038322E-2</v>
      </c>
      <c r="BI25" s="991">
        <f t="shared" si="43"/>
        <v>2.4443765504333914E-2</v>
      </c>
      <c r="BJ25" s="991">
        <f t="shared" si="43"/>
        <v>0.18376317665153641</v>
      </c>
      <c r="BK25" s="992">
        <f t="shared" si="43"/>
        <v>0.14005132215147387</v>
      </c>
      <c r="BL25" s="991">
        <f t="shared" si="43"/>
        <v>9.433154574812086E-2</v>
      </c>
      <c r="BM25" s="991">
        <f t="shared" si="43"/>
        <v>3.7231495698977213E-3</v>
      </c>
      <c r="BN25" s="991">
        <f t="shared" si="43"/>
        <v>8.5037058594652049E-2</v>
      </c>
      <c r="BO25" s="992">
        <f t="shared" si="43"/>
        <v>2.3269767319819445E-2</v>
      </c>
      <c r="BP25" s="991">
        <f t="shared" si="43"/>
        <v>9.2409182625106556E-2</v>
      </c>
      <c r="BQ25" s="991">
        <f t="shared" si="43"/>
        <v>-0.15532884668148783</v>
      </c>
      <c r="BR25" s="991">
        <f t="shared" si="43"/>
        <v>0.13403762333926594</v>
      </c>
      <c r="BS25" s="992">
        <f t="shared" si="43"/>
        <v>-0.19179160111590132</v>
      </c>
      <c r="BT25" s="991">
        <f t="shared" si="43"/>
        <v>0.36727612312385971</v>
      </c>
      <c r="BU25" s="991">
        <f t="shared" si="43"/>
        <v>1.4783699688880603E-6</v>
      </c>
      <c r="BV25" s="991">
        <f t="shared" si="43"/>
        <v>-1.3507353647749243E-3</v>
      </c>
      <c r="BW25" s="992">
        <f t="shared" si="43"/>
        <v>7.1825944326343816E-2</v>
      </c>
      <c r="BX25" s="991">
        <f t="shared" si="43"/>
        <v>3.6696145309498052E-2</v>
      </c>
      <c r="BY25" s="991">
        <f t="shared" si="43"/>
        <v>-0.11285476252649007</v>
      </c>
      <c r="BZ25" s="991">
        <f t="shared" si="43"/>
        <v>7.2374569684676704E-3</v>
      </c>
      <c r="CA25" s="992">
        <f t="shared" si="43"/>
        <v>-3.7370018999851484E-2</v>
      </c>
      <c r="CB25" s="991">
        <f t="shared" si="43"/>
        <v>5.1430925671992034E-2</v>
      </c>
      <c r="CC25" s="991">
        <f t="shared" si="43"/>
        <v>-6.971165885769337E-2</v>
      </c>
      <c r="CD25" s="991">
        <f t="shared" si="43"/>
        <v>2.732538959925046E-2</v>
      </c>
      <c r="CE25" s="992">
        <f t="shared" si="43"/>
        <v>-2.4799817093064114E-2</v>
      </c>
      <c r="CF25" s="991">
        <f t="shared" si="43"/>
        <v>9.049110783762071E-2</v>
      </c>
      <c r="CG25" s="991">
        <f t="shared" si="43"/>
        <v>-8.0566808465408979E-2</v>
      </c>
      <c r="CH25" s="991">
        <f t="shared" si="43"/>
        <v>6.9580547272177995E-2</v>
      </c>
      <c r="CI25" s="992">
        <f t="shared" si="43"/>
        <v>-3.1799191546810324E-2</v>
      </c>
      <c r="CJ25" s="991">
        <f t="shared" si="43"/>
        <v>6.5547642666680117E-2</v>
      </c>
      <c r="CK25" s="991">
        <f t="shared" ref="CK25:CU25" si="44">CK24/CJ24-1</f>
        <v>-2.7839313810272937E-2</v>
      </c>
      <c r="CL25" s="991">
        <f t="shared" si="44"/>
        <v>5.9461675654413959E-2</v>
      </c>
      <c r="CM25" s="992">
        <f t="shared" si="44"/>
        <v>-1.7758786576927976E-2</v>
      </c>
      <c r="CN25" s="991">
        <f t="shared" si="44"/>
        <v>3.8019490101733888E-2</v>
      </c>
      <c r="CO25" s="991">
        <f t="shared" si="44"/>
        <v>-7.1628226301607922E-2</v>
      </c>
      <c r="CP25" s="991">
        <f t="shared" si="44"/>
        <v>0.11156477604154214</v>
      </c>
      <c r="CQ25" s="992">
        <f t="shared" si="44"/>
        <v>-6.1259464749233383E-2</v>
      </c>
      <c r="CR25" s="991">
        <f t="shared" si="44"/>
        <v>7.0844844809233365E-2</v>
      </c>
      <c r="CS25" s="991">
        <f t="shared" si="44"/>
        <v>-3.6049725085219642E-2</v>
      </c>
      <c r="CT25" s="991">
        <f t="shared" si="44"/>
        <v>5.4270684533932023E-2</v>
      </c>
      <c r="CU25" s="992">
        <f t="shared" si="44"/>
        <v>-2.3181099652662129E-2</v>
      </c>
      <c r="CV25" s="416"/>
      <c r="CW25" s="991"/>
      <c r="CX25" s="991"/>
      <c r="CY25" s="991"/>
      <c r="CZ25" s="991"/>
      <c r="DA25" s="991"/>
      <c r="DB25" s="991"/>
      <c r="DC25" s="991"/>
      <c r="DD25" s="991"/>
      <c r="DE25" s="991"/>
      <c r="DF25" s="991"/>
      <c r="DG25" s="991"/>
      <c r="DH25" s="991"/>
      <c r="DI25" s="991"/>
      <c r="DJ25" s="991"/>
      <c r="DK25" s="991"/>
      <c r="DL25" s="991"/>
      <c r="DM25" s="991"/>
      <c r="DN25" s="991"/>
      <c r="DO25" s="991"/>
      <c r="DP25" s="991"/>
      <c r="DQ25" s="991"/>
      <c r="DR25" s="991"/>
      <c r="DS25" s="991"/>
      <c r="DT25" s="991"/>
      <c r="DU25" s="991"/>
      <c r="DV25" s="991"/>
      <c r="DW25" s="991"/>
      <c r="DX25" s="991"/>
      <c r="DY25" s="991"/>
      <c r="DZ25" s="991"/>
    </row>
    <row r="26" spans="2:130" ht="15">
      <c r="B26" s="989" t="s">
        <v>293</v>
      </c>
      <c r="C26" s="898"/>
      <c r="D26" s="990"/>
      <c r="E26" s="991"/>
      <c r="F26" s="991"/>
      <c r="G26" s="992"/>
      <c r="H26" s="991"/>
      <c r="I26" s="991"/>
      <c r="J26" s="991"/>
      <c r="K26" s="992"/>
      <c r="L26" s="991"/>
      <c r="M26" s="991"/>
      <c r="N26" s="991"/>
      <c r="O26" s="992"/>
      <c r="P26" s="991"/>
      <c r="Q26" s="991"/>
      <c r="R26" s="991"/>
      <c r="S26" s="992"/>
      <c r="T26" s="991"/>
      <c r="U26" s="991"/>
      <c r="V26" s="991"/>
      <c r="W26" s="992"/>
      <c r="X26" s="991"/>
      <c r="Y26" s="991"/>
      <c r="Z26" s="991"/>
      <c r="AA26" s="992"/>
      <c r="AB26" s="991">
        <f t="shared" ref="AB26:BG26" si="45">AB24/X24-1</f>
        <v>3.8668911352225166E-2</v>
      </c>
      <c r="AC26" s="991">
        <f t="shared" si="45"/>
        <v>3.0739215815101195E-2</v>
      </c>
      <c r="AD26" s="991">
        <f t="shared" si="45"/>
        <v>9.3834727863382206E-3</v>
      </c>
      <c r="AE26" s="992">
        <f t="shared" si="45"/>
        <v>6.5775851037841671E-2</v>
      </c>
      <c r="AF26" s="991">
        <f t="shared" si="45"/>
        <v>0.1735385680930519</v>
      </c>
      <c r="AG26" s="991">
        <f t="shared" si="45"/>
        <v>0.10403257934575705</v>
      </c>
      <c r="AH26" s="991">
        <f t="shared" si="45"/>
        <v>0.19075243700215894</v>
      </c>
      <c r="AI26" s="992">
        <f t="shared" si="45"/>
        <v>0.19234939276852447</v>
      </c>
      <c r="AJ26" s="991">
        <f t="shared" si="45"/>
        <v>0.1259725503140301</v>
      </c>
      <c r="AK26" s="991">
        <f t="shared" si="45"/>
        <v>0.18846727503087246</v>
      </c>
      <c r="AL26" s="991">
        <f t="shared" si="45"/>
        <v>0.17301346415147623</v>
      </c>
      <c r="AM26" s="992">
        <f t="shared" si="45"/>
        <v>0.20891182160489685</v>
      </c>
      <c r="AN26" s="991">
        <f t="shared" si="45"/>
        <v>0.16844447326400447</v>
      </c>
      <c r="AO26" s="991">
        <f t="shared" si="45"/>
        <v>0.16770776403592236</v>
      </c>
      <c r="AP26" s="991">
        <f t="shared" si="45"/>
        <v>0.1427059906077861</v>
      </c>
      <c r="AQ26" s="992">
        <f t="shared" si="45"/>
        <v>0.22000343272242651</v>
      </c>
      <c r="AR26" s="991">
        <f t="shared" si="45"/>
        <v>0.19030970243731549</v>
      </c>
      <c r="AS26" s="991">
        <f t="shared" si="45"/>
        <v>0.19761384175176011</v>
      </c>
      <c r="AT26" s="991">
        <f t="shared" si="45"/>
        <v>0.20316154625919891</v>
      </c>
      <c r="AU26" s="992">
        <f t="shared" si="45"/>
        <v>8.708191484629646E-2</v>
      </c>
      <c r="AV26" s="991">
        <f t="shared" si="45"/>
        <v>4.2267789896564656E-2</v>
      </c>
      <c r="AW26" s="991">
        <f t="shared" si="45"/>
        <v>-1.7784013493850059E-3</v>
      </c>
      <c r="AX26" s="991">
        <f t="shared" si="45"/>
        <v>-1.5464561443820912E-2</v>
      </c>
      <c r="AY26" s="992">
        <f t="shared" si="45"/>
        <v>3.793388594902769E-2</v>
      </c>
      <c r="AZ26" s="991">
        <f t="shared" si="45"/>
        <v>1.5094399406549774E-2</v>
      </c>
      <c r="BA26" s="991">
        <f t="shared" si="45"/>
        <v>7.7134331128362765E-2</v>
      </c>
      <c r="BB26" s="991">
        <f t="shared" si="45"/>
        <v>0.11133410697565438</v>
      </c>
      <c r="BC26" s="992">
        <f t="shared" si="45"/>
        <v>0.12664830001512706</v>
      </c>
      <c r="BD26" s="991">
        <f t="shared" si="45"/>
        <v>0.22399847967948383</v>
      </c>
      <c r="BE26" s="991">
        <f t="shared" si="45"/>
        <v>0.16540979560700908</v>
      </c>
      <c r="BF26" s="991">
        <f t="shared" si="45"/>
        <v>8.9646844501409584E-2</v>
      </c>
      <c r="BG26" s="992">
        <f t="shared" si="45"/>
        <v>-8.5008698935458593E-2</v>
      </c>
      <c r="BH26" s="991">
        <f t="shared" ref="BH26:CM26" si="46">BH24/BD24-1</f>
        <v>-0.21931275328468469</v>
      </c>
      <c r="BI26" s="991">
        <f t="shared" si="46"/>
        <v>-0.17889213429673945</v>
      </c>
      <c r="BJ26" s="991">
        <f t="shared" si="46"/>
        <v>-3.4647138678036704E-2</v>
      </c>
      <c r="BK26" s="992">
        <f t="shared" si="46"/>
        <v>0.27977001476316676</v>
      </c>
      <c r="BL26" s="991">
        <f t="shared" si="46"/>
        <v>0.5129559066828846</v>
      </c>
      <c r="BM26" s="991">
        <f t="shared" si="46"/>
        <v>0.4823545410211203</v>
      </c>
      <c r="BN26" s="991">
        <f t="shared" si="46"/>
        <v>0.35872583529217872</v>
      </c>
      <c r="BO26" s="992">
        <f t="shared" si="46"/>
        <v>0.21954428043382945</v>
      </c>
      <c r="BP26" s="991">
        <f t="shared" si="46"/>
        <v>0.2174019617181735</v>
      </c>
      <c r="BQ26" s="991">
        <f t="shared" si="46"/>
        <v>2.4489989592592742E-2</v>
      </c>
      <c r="BR26" s="991">
        <f t="shared" si="46"/>
        <v>7.075623245277729E-2</v>
      </c>
      <c r="BS26" s="992">
        <f t="shared" si="46"/>
        <v>-0.15428540169568694</v>
      </c>
      <c r="BT26" s="991">
        <f t="shared" si="46"/>
        <v>5.8509389732584793E-2</v>
      </c>
      <c r="BU26" s="991">
        <f t="shared" si="46"/>
        <v>0.25316337659033405</v>
      </c>
      <c r="BV26" s="991">
        <f t="shared" si="46"/>
        <v>0.10355305568670259</v>
      </c>
      <c r="BW26" s="992">
        <f t="shared" si="46"/>
        <v>0.46350470702698621</v>
      </c>
      <c r="BX26" s="991">
        <f t="shared" si="46"/>
        <v>0.10965858523936278</v>
      </c>
      <c r="BY26" s="991">
        <f t="shared" si="46"/>
        <v>-1.5573126230433276E-2</v>
      </c>
      <c r="BZ26" s="991">
        <f t="shared" si="46"/>
        <v>-7.1072437336050509E-3</v>
      </c>
      <c r="CA26" s="992">
        <f t="shared" si="46"/>
        <v>-0.10826161639460041</v>
      </c>
      <c r="CB26" s="991">
        <f t="shared" si="46"/>
        <v>-9.5587151188300079E-2</v>
      </c>
      <c r="CC26" s="991">
        <f t="shared" si="46"/>
        <v>-5.1604299624110839E-2</v>
      </c>
      <c r="CD26" s="991">
        <f t="shared" si="46"/>
        <v>-3.268988296429487E-2</v>
      </c>
      <c r="CE26" s="992">
        <f t="shared" si="46"/>
        <v>-2.0058566967899649E-2</v>
      </c>
      <c r="CF26" s="991">
        <f t="shared" si="46"/>
        <v>1.6345812959785766E-2</v>
      </c>
      <c r="CG26" s="991">
        <f t="shared" si="46"/>
        <v>4.4864943325020334E-3</v>
      </c>
      <c r="CH26" s="991">
        <f t="shared" si="46"/>
        <v>4.5802260133738004E-2</v>
      </c>
      <c r="CI26" s="992">
        <f t="shared" si="46"/>
        <v>3.8296148310183575E-2</v>
      </c>
      <c r="CJ26" s="991">
        <f t="shared" si="46"/>
        <v>1.454657013723315E-2</v>
      </c>
      <c r="CK26" s="991">
        <f t="shared" si="46"/>
        <v>7.272861027547517E-2</v>
      </c>
      <c r="CL26" s="991">
        <f t="shared" si="46"/>
        <v>6.2579956099065859E-2</v>
      </c>
      <c r="CM26" s="992">
        <f t="shared" si="46"/>
        <v>7.7989004269915396E-2</v>
      </c>
      <c r="CN26" s="991">
        <f t="shared" ref="CN26:CU26" si="47">CN24/CJ24-1</f>
        <v>5.0139432289622921E-2</v>
      </c>
      <c r="CO26" s="991">
        <f t="shared" si="47"/>
        <v>2.8381328671363004E-3</v>
      </c>
      <c r="CP26" s="991">
        <f t="shared" si="47"/>
        <v>5.2156552881283513E-2</v>
      </c>
      <c r="CQ26" s="992">
        <f t="shared" si="47"/>
        <v>5.5595225711155827E-3</v>
      </c>
      <c r="CR26" s="991">
        <f t="shared" si="47"/>
        <v>3.735839371241334E-2</v>
      </c>
      <c r="CS26" s="991">
        <f t="shared" si="47"/>
        <v>7.7113649007926277E-2</v>
      </c>
      <c r="CT26" s="991">
        <f t="shared" si="47"/>
        <v>2.1595293892245904E-2</v>
      </c>
      <c r="CU26" s="992">
        <f t="shared" si="47"/>
        <v>6.3034517107824151E-2</v>
      </c>
      <c r="CV26" s="416"/>
      <c r="CW26" s="991"/>
      <c r="CX26" s="991"/>
      <c r="CY26" s="991"/>
      <c r="CZ26" s="991"/>
      <c r="DA26" s="991"/>
      <c r="DB26" s="991"/>
      <c r="DC26" s="991"/>
      <c r="DD26" s="991">
        <f t="shared" ref="DD26:DZ26" si="48">DD24/DC24-1</f>
        <v>3.5472353013863644E-2</v>
      </c>
      <c r="DE26" s="991">
        <f t="shared" si="48"/>
        <v>0.16504080100526419</v>
      </c>
      <c r="DF26" s="991">
        <f t="shared" si="48"/>
        <v>0.17386943930702325</v>
      </c>
      <c r="DG26" s="991">
        <f t="shared" si="48"/>
        <v>0.17488365823505636</v>
      </c>
      <c r="DH26" s="991">
        <f t="shared" si="48"/>
        <v>0.16765323547457567</v>
      </c>
      <c r="DI26" s="991">
        <f t="shared" si="48"/>
        <v>1.5326442521865324E-2</v>
      </c>
      <c r="DJ26" s="991">
        <f t="shared" si="48"/>
        <v>8.2829088450855792E-2</v>
      </c>
      <c r="DK26" s="991">
        <f t="shared" si="48"/>
        <v>9.3129028455918084E-2</v>
      </c>
      <c r="DL26" s="991">
        <f t="shared" si="48"/>
        <v>-5.0441716785830426E-2</v>
      </c>
      <c r="DM26" s="991">
        <f t="shared" si="48"/>
        <v>0.37787365286148655</v>
      </c>
      <c r="DN26" s="991">
        <f t="shared" si="48"/>
        <v>3.4964533601196113E-2</v>
      </c>
      <c r="DO26" s="991">
        <f t="shared" si="48"/>
        <v>0.20420158569389968</v>
      </c>
      <c r="DP26" s="991">
        <f t="shared" si="48"/>
        <v>-7.1007705823282752E-3</v>
      </c>
      <c r="DQ26" s="991">
        <f t="shared" si="48"/>
        <v>-5.1589681039214463E-2</v>
      </c>
      <c r="DR26" s="991">
        <f t="shared" si="48"/>
        <v>2.6187885037467495E-2</v>
      </c>
      <c r="DS26" s="991">
        <f t="shared" si="48"/>
        <v>5.6346232633055493E-2</v>
      </c>
      <c r="DT26" s="991">
        <f t="shared" si="48"/>
        <v>2.7964127120432947E-2</v>
      </c>
      <c r="DU26" s="991">
        <f t="shared" si="48"/>
        <v>4.8942427611811112E-2</v>
      </c>
      <c r="DV26" s="991">
        <f t="shared" si="48"/>
        <v>5.9616267808443313E-2</v>
      </c>
      <c r="DW26" s="991">
        <f t="shared" si="48"/>
        <v>8.2391917220038913E-2</v>
      </c>
      <c r="DX26" s="991">
        <f t="shared" si="48"/>
        <v>5.5360739875130127E-2</v>
      </c>
      <c r="DY26" s="991">
        <f t="shared" si="48"/>
        <v>6.6236319393634169E-2</v>
      </c>
      <c r="DZ26" s="991">
        <f t="shared" si="48"/>
        <v>5.5094227472328283E-2</v>
      </c>
    </row>
    <row r="27" spans="2:130" ht="15">
      <c r="B27" s="1053" t="s">
        <v>340</v>
      </c>
      <c r="C27" s="1054"/>
      <c r="D27" s="1055"/>
      <c r="E27" s="1056"/>
      <c r="F27" s="1056"/>
      <c r="G27" s="1057"/>
      <c r="H27" s="1056"/>
      <c r="I27" s="1056"/>
      <c r="J27" s="1056"/>
      <c r="K27" s="1057"/>
      <c r="L27" s="1056"/>
      <c r="M27" s="1056"/>
      <c r="N27" s="1056"/>
      <c r="O27" s="1057"/>
      <c r="P27" s="1056"/>
      <c r="Q27" s="1056"/>
      <c r="R27" s="1056"/>
      <c r="S27" s="1057"/>
      <c r="T27" s="1056"/>
      <c r="U27" s="1056"/>
      <c r="V27" s="1056"/>
      <c r="W27" s="1057"/>
      <c r="X27" s="1058">
        <f t="shared" ref="X27:BC27" si="49">X6+X9+X12+X15+X18+X21+X24</f>
        <v>14.818744000000001</v>
      </c>
      <c r="Y27" s="1058">
        <f t="shared" si="49"/>
        <v>14.703020000000002</v>
      </c>
      <c r="Z27" s="1058">
        <f t="shared" si="49"/>
        <v>13.004588</v>
      </c>
      <c r="AA27" s="1059">
        <f t="shared" si="49"/>
        <v>13.784153</v>
      </c>
      <c r="AB27" s="1058">
        <f t="shared" si="49"/>
        <v>14.217734000000002</v>
      </c>
      <c r="AC27" s="1058">
        <f t="shared" si="49"/>
        <v>14.334719</v>
      </c>
      <c r="AD27" s="1058">
        <f t="shared" si="49"/>
        <v>12.614643000000001</v>
      </c>
      <c r="AE27" s="1059">
        <f t="shared" si="49"/>
        <v>13.284656</v>
      </c>
      <c r="AF27" s="1058">
        <f t="shared" si="49"/>
        <v>14.181355999999999</v>
      </c>
      <c r="AG27" s="1058">
        <f t="shared" si="49"/>
        <v>14.913269000000001</v>
      </c>
      <c r="AH27" s="1058">
        <f t="shared" si="49"/>
        <v>13.566951999999999</v>
      </c>
      <c r="AI27" s="1059">
        <f t="shared" si="49"/>
        <v>14.395555</v>
      </c>
      <c r="AJ27" s="1058">
        <f t="shared" si="49"/>
        <v>14.996796000000002</v>
      </c>
      <c r="AK27" s="1058">
        <f t="shared" si="49"/>
        <v>14.904565</v>
      </c>
      <c r="AL27" s="1058">
        <f t="shared" si="49"/>
        <v>13.647279000000001</v>
      </c>
      <c r="AM27" s="1059">
        <f t="shared" si="49"/>
        <v>15.053925999999999</v>
      </c>
      <c r="AN27" s="1058">
        <f t="shared" si="49"/>
        <v>15.714227999999999</v>
      </c>
      <c r="AO27" s="1058">
        <f t="shared" si="49"/>
        <v>15.953183999999998</v>
      </c>
      <c r="AP27" s="1058">
        <f t="shared" si="49"/>
        <v>14.476061</v>
      </c>
      <c r="AQ27" s="1059">
        <f t="shared" si="49"/>
        <v>15.422076000000002</v>
      </c>
      <c r="AR27" s="1058">
        <f t="shared" si="49"/>
        <v>15.976100000000001</v>
      </c>
      <c r="AS27" s="1058">
        <f t="shared" si="49"/>
        <v>16.658427</v>
      </c>
      <c r="AT27" s="1058">
        <f t="shared" si="49"/>
        <v>15.164473999999998</v>
      </c>
      <c r="AU27" s="1059">
        <f t="shared" si="49"/>
        <v>16.359144999999998</v>
      </c>
      <c r="AV27" s="1058">
        <f t="shared" si="49"/>
        <v>17.276683999999999</v>
      </c>
      <c r="AW27" s="1058">
        <f t="shared" si="49"/>
        <v>17.130426</v>
      </c>
      <c r="AX27" s="1058">
        <f t="shared" si="49"/>
        <v>15.443633</v>
      </c>
      <c r="AY27" s="1059">
        <f t="shared" si="49"/>
        <v>16.948250999999999</v>
      </c>
      <c r="AZ27" s="1058">
        <f t="shared" si="49"/>
        <v>17.680128000000003</v>
      </c>
      <c r="BA27" s="1058">
        <f t="shared" si="49"/>
        <v>17.988229999999998</v>
      </c>
      <c r="BB27" s="1058">
        <f t="shared" si="49"/>
        <v>16.474727999999999</v>
      </c>
      <c r="BC27" s="1059">
        <f t="shared" si="49"/>
        <v>18.432323999999998</v>
      </c>
      <c r="BD27" s="1058">
        <f t="shared" ref="BD27:CI27" si="50">BD6+BD9+BD12+BD15+BD18+BD21+BD24</f>
        <v>18.358564000000001</v>
      </c>
      <c r="BE27" s="1058">
        <f t="shared" si="50"/>
        <v>18.493109</v>
      </c>
      <c r="BF27" s="1058">
        <f t="shared" si="50"/>
        <v>16.187683</v>
      </c>
      <c r="BG27" s="1059">
        <f t="shared" si="50"/>
        <v>14.495127999999999</v>
      </c>
      <c r="BH27" s="1058">
        <f t="shared" si="50"/>
        <v>12.112026</v>
      </c>
      <c r="BI27" s="1058">
        <f t="shared" si="50"/>
        <v>14.188580999999999</v>
      </c>
      <c r="BJ27" s="1058">
        <f t="shared" si="50"/>
        <v>15.521865000000002</v>
      </c>
      <c r="BK27" s="1059">
        <f t="shared" si="50"/>
        <v>17.691948999999997</v>
      </c>
      <c r="BL27" s="1058">
        <f t="shared" si="50"/>
        <v>18.306341</v>
      </c>
      <c r="BM27" s="1058">
        <f t="shared" si="50"/>
        <v>18.629169999999998</v>
      </c>
      <c r="BN27" s="1058">
        <f t="shared" si="50"/>
        <v>17.868556000000002</v>
      </c>
      <c r="BO27" s="1059">
        <f t="shared" si="50"/>
        <v>19.564369000000003</v>
      </c>
      <c r="BP27" s="1058">
        <f t="shared" si="50"/>
        <v>19.660230999999996</v>
      </c>
      <c r="BQ27" s="1058">
        <f t="shared" si="50"/>
        <v>18.376470000000001</v>
      </c>
      <c r="BR27" s="1058">
        <f t="shared" si="50"/>
        <v>18.798199999999998</v>
      </c>
      <c r="BS27" s="1059">
        <f t="shared" si="50"/>
        <v>20.046359000000002</v>
      </c>
      <c r="BT27" s="1058">
        <f t="shared" si="50"/>
        <v>21.089046999999997</v>
      </c>
      <c r="BU27" s="1058">
        <f t="shared" si="50"/>
        <v>20.603432000000002</v>
      </c>
      <c r="BV27" s="1058">
        <f t="shared" si="50"/>
        <v>19.296925999999999</v>
      </c>
      <c r="BW27" s="1059">
        <f t="shared" si="50"/>
        <v>20.467359999999996</v>
      </c>
      <c r="BX27" s="1058">
        <f t="shared" si="50"/>
        <v>21.105332000000001</v>
      </c>
      <c r="BY27" s="1058">
        <f t="shared" si="50"/>
        <v>21.401049999999998</v>
      </c>
      <c r="BZ27" s="1058">
        <f t="shared" si="50"/>
        <v>20.270735000000002</v>
      </c>
      <c r="CA27" s="1059">
        <f t="shared" si="50"/>
        <v>21.968327000000002</v>
      </c>
      <c r="CB27" s="1058">
        <f t="shared" si="50"/>
        <v>22.201998000000003</v>
      </c>
      <c r="CC27" s="1058">
        <f t="shared" si="50"/>
        <v>22.182492999999997</v>
      </c>
      <c r="CD27" s="1058">
        <f t="shared" si="50"/>
        <v>20.698208000000001</v>
      </c>
      <c r="CE27" s="1059">
        <f t="shared" si="50"/>
        <v>22.348688000000003</v>
      </c>
      <c r="CF27" s="1058">
        <f t="shared" si="50"/>
        <v>22.653890000000004</v>
      </c>
      <c r="CG27" s="1058">
        <f t="shared" si="50"/>
        <v>22.259105000000002</v>
      </c>
      <c r="CH27" s="1058">
        <f t="shared" si="50"/>
        <v>20.539836000000001</v>
      </c>
      <c r="CI27" s="1059">
        <f t="shared" si="50"/>
        <v>23.337847</v>
      </c>
      <c r="CJ27" s="1058">
        <f t="shared" ref="CJ27:CU27" si="51">CJ6+CJ9+CJ12+CJ15+CJ18+CJ21+CJ24</f>
        <v>23.035472000000002</v>
      </c>
      <c r="CK27" s="1058">
        <f t="shared" si="51"/>
        <v>23.018225000000001</v>
      </c>
      <c r="CL27" s="1058">
        <f t="shared" si="51"/>
        <v>21.961635000000005</v>
      </c>
      <c r="CM27" s="1060">
        <f t="shared" si="51"/>
        <v>25.104448999999999</v>
      </c>
      <c r="CN27" s="1061">
        <f t="shared" si="51"/>
        <v>24.328992000000003</v>
      </c>
      <c r="CO27" s="1061">
        <f t="shared" si="51"/>
        <v>23.036331999999998</v>
      </c>
      <c r="CP27" s="1058">
        <f t="shared" si="51"/>
        <v>22.436352999999997</v>
      </c>
      <c r="CQ27" s="1059">
        <f t="shared" ref="CQ27" si="52">CQ6+CQ9+CQ12+CQ15+CQ18+CQ21+CQ24</f>
        <v>25.369181000000001</v>
      </c>
      <c r="CR27" s="1061">
        <f t="shared" si="51"/>
        <v>24.124794000000001</v>
      </c>
      <c r="CS27" s="1061">
        <f t="shared" si="51"/>
        <v>23.924361999999999</v>
      </c>
      <c r="CT27" s="1061">
        <f t="shared" si="51"/>
        <v>22.891689999999997</v>
      </c>
      <c r="CU27" s="1060">
        <f t="shared" si="51"/>
        <v>25.469273999999999</v>
      </c>
      <c r="CV27" s="416"/>
      <c r="CW27" s="1056"/>
      <c r="CX27" s="1056"/>
      <c r="CY27" s="1056"/>
      <c r="CZ27" s="1056"/>
      <c r="DA27" s="1056"/>
      <c r="DB27" s="1056"/>
      <c r="DC27" s="1058">
        <f t="shared" ref="DC27:DZ27" si="53">DC6+DC9+DC12+DC15+DC18+DC21+DC24</f>
        <v>56.310504999999992</v>
      </c>
      <c r="DD27" s="1058">
        <f t="shared" si="53"/>
        <v>54.451752000000006</v>
      </c>
      <c r="DE27" s="1058">
        <f t="shared" si="53"/>
        <v>57.057132000000003</v>
      </c>
      <c r="DF27" s="1058">
        <f t="shared" si="53"/>
        <v>58.60256600000001</v>
      </c>
      <c r="DG27" s="1058">
        <f t="shared" si="53"/>
        <v>61.565549000000011</v>
      </c>
      <c r="DH27" s="1058">
        <f t="shared" si="53"/>
        <v>64.158146000000002</v>
      </c>
      <c r="DI27" s="1058">
        <f t="shared" si="53"/>
        <v>66.798994000000008</v>
      </c>
      <c r="DJ27" s="1058">
        <f t="shared" si="53"/>
        <v>70.575409999999991</v>
      </c>
      <c r="DK27" s="1058">
        <f t="shared" si="53"/>
        <v>67.534483999999992</v>
      </c>
      <c r="DL27" s="1058">
        <f t="shared" si="53"/>
        <v>59.514421000000006</v>
      </c>
      <c r="DM27" s="1058">
        <f t="shared" si="53"/>
        <v>74.368435999999988</v>
      </c>
      <c r="DN27" s="1058">
        <f t="shared" si="53"/>
        <v>76.881259999999997</v>
      </c>
      <c r="DO27" s="1058">
        <f t="shared" si="53"/>
        <v>81.456765000000004</v>
      </c>
      <c r="DP27" s="1058">
        <f t="shared" si="53"/>
        <v>84.745443999999992</v>
      </c>
      <c r="DQ27" s="1062">
        <f t="shared" si="53"/>
        <v>87.431386999999987</v>
      </c>
      <c r="DR27" s="1062">
        <f t="shared" si="53"/>
        <v>88.790678</v>
      </c>
      <c r="DS27" s="1062">
        <f t="shared" si="53"/>
        <v>93.119781000000003</v>
      </c>
      <c r="DT27" s="1062">
        <f t="shared" si="53"/>
        <v>95.17085800000001</v>
      </c>
      <c r="DU27" s="1062">
        <f t="shared" si="53"/>
        <v>96.410119999999978</v>
      </c>
      <c r="DV27" s="1062">
        <f t="shared" si="53"/>
        <v>98.101167000000004</v>
      </c>
      <c r="DW27" s="1062">
        <f t="shared" si="53"/>
        <v>99.984962999999993</v>
      </c>
      <c r="DX27" s="1062">
        <f t="shared" si="53"/>
        <v>102.281319</v>
      </c>
      <c r="DY27" s="1062">
        <f t="shared" si="53"/>
        <v>104.31237900000001</v>
      </c>
      <c r="DZ27" s="1062">
        <f t="shared" si="53"/>
        <v>105.908468</v>
      </c>
    </row>
    <row r="28" spans="2:130" ht="15">
      <c r="B28" s="989" t="s">
        <v>341</v>
      </c>
      <c r="C28" s="898"/>
      <c r="D28" s="990"/>
      <c r="E28" s="991"/>
      <c r="F28" s="991"/>
      <c r="G28" s="992"/>
      <c r="H28" s="991"/>
      <c r="I28" s="991"/>
      <c r="J28" s="991"/>
      <c r="K28" s="992"/>
      <c r="L28" s="991"/>
      <c r="M28" s="991"/>
      <c r="N28" s="991"/>
      <c r="O28" s="992"/>
      <c r="P28" s="991"/>
      <c r="Q28" s="991"/>
      <c r="R28" s="991"/>
      <c r="S28" s="992"/>
      <c r="T28" s="991"/>
      <c r="U28" s="991"/>
      <c r="V28" s="991"/>
      <c r="W28" s="992"/>
      <c r="X28" s="991"/>
      <c r="Y28" s="991">
        <f t="shared" ref="Y28:BD28" si="54">Y27/X27-1</f>
        <v>-7.8092988177674849E-3</v>
      </c>
      <c r="Z28" s="991">
        <f t="shared" si="54"/>
        <v>-0.11551586000699188</v>
      </c>
      <c r="AA28" s="992">
        <f t="shared" si="54"/>
        <v>5.9945382352751153E-2</v>
      </c>
      <c r="AB28" s="991">
        <f t="shared" si="54"/>
        <v>3.1455033907415331E-2</v>
      </c>
      <c r="AC28" s="991">
        <f t="shared" si="54"/>
        <v>8.2281044222656252E-3</v>
      </c>
      <c r="AD28" s="991">
        <f t="shared" si="54"/>
        <v>-0.11999370200420389</v>
      </c>
      <c r="AE28" s="992">
        <f t="shared" si="54"/>
        <v>5.3113908970709556E-2</v>
      </c>
      <c r="AF28" s="991">
        <f t="shared" si="54"/>
        <v>6.7498925075666127E-2</v>
      </c>
      <c r="AG28" s="991">
        <f t="shared" si="54"/>
        <v>5.1610931987040143E-2</v>
      </c>
      <c r="AH28" s="991">
        <f t="shared" si="54"/>
        <v>-9.0276451125504531E-2</v>
      </c>
      <c r="AI28" s="992">
        <f t="shared" si="54"/>
        <v>6.1075103678409182E-2</v>
      </c>
      <c r="AJ28" s="991">
        <f t="shared" si="54"/>
        <v>4.1765739493892395E-2</v>
      </c>
      <c r="AK28" s="991">
        <f t="shared" si="54"/>
        <v>-6.150046983369073E-3</v>
      </c>
      <c r="AL28" s="991">
        <f t="shared" si="54"/>
        <v>-8.4355766169626478E-2</v>
      </c>
      <c r="AM28" s="992">
        <f t="shared" si="54"/>
        <v>0.10307160863348641</v>
      </c>
      <c r="AN28" s="991">
        <f t="shared" si="54"/>
        <v>4.3862444919684052E-2</v>
      </c>
      <c r="AO28" s="991">
        <f t="shared" si="54"/>
        <v>1.5206346757855371E-2</v>
      </c>
      <c r="AP28" s="991">
        <f t="shared" si="54"/>
        <v>-9.2591109085183199E-2</v>
      </c>
      <c r="AQ28" s="992">
        <f t="shared" si="54"/>
        <v>6.5350304893023292E-2</v>
      </c>
      <c r="AR28" s="991">
        <f t="shared" si="54"/>
        <v>3.5924087003591287E-2</v>
      </c>
      <c r="AS28" s="991">
        <f t="shared" si="54"/>
        <v>4.2709234418913278E-2</v>
      </c>
      <c r="AT28" s="991">
        <f t="shared" si="54"/>
        <v>-8.968151674825009E-2</v>
      </c>
      <c r="AU28" s="992">
        <f t="shared" si="54"/>
        <v>7.8780905951634006E-2</v>
      </c>
      <c r="AV28" s="991">
        <f t="shared" si="54"/>
        <v>5.6087222162283012E-2</v>
      </c>
      <c r="AW28" s="991">
        <f t="shared" si="54"/>
        <v>-8.4656291681899365E-3</v>
      </c>
      <c r="AX28" s="991">
        <f t="shared" si="54"/>
        <v>-9.8467662158547631E-2</v>
      </c>
      <c r="AY28" s="992">
        <f t="shared" si="54"/>
        <v>9.7426428094995465E-2</v>
      </c>
      <c r="AZ28" s="991">
        <f t="shared" si="54"/>
        <v>4.3183039949078239E-2</v>
      </c>
      <c r="BA28" s="991">
        <f t="shared" si="54"/>
        <v>1.7426457546008356E-2</v>
      </c>
      <c r="BB28" s="991">
        <f t="shared" si="54"/>
        <v>-8.4138461649645335E-2</v>
      </c>
      <c r="BC28" s="992">
        <f t="shared" si="54"/>
        <v>0.11882417724893535</v>
      </c>
      <c r="BD28" s="991">
        <f t="shared" si="54"/>
        <v>-4.0016657693298097E-3</v>
      </c>
      <c r="BE28" s="991">
        <f t="shared" ref="BE28:CJ28" si="55">BE27/BD27-1</f>
        <v>7.3287322472497252E-3</v>
      </c>
      <c r="BF28" s="991">
        <f t="shared" si="55"/>
        <v>-0.12466405729831587</v>
      </c>
      <c r="BG28" s="992">
        <f t="shared" si="55"/>
        <v>-0.10455820020691042</v>
      </c>
      <c r="BH28" s="991">
        <f t="shared" si="55"/>
        <v>-0.16440710285552496</v>
      </c>
      <c r="BI28" s="991">
        <f t="shared" si="55"/>
        <v>0.17144571849499002</v>
      </c>
      <c r="BJ28" s="991">
        <f t="shared" si="55"/>
        <v>9.396880491431836E-2</v>
      </c>
      <c r="BK28" s="992">
        <f t="shared" si="55"/>
        <v>0.13980819959457169</v>
      </c>
      <c r="BL28" s="991">
        <f t="shared" si="55"/>
        <v>3.4727208404229604E-2</v>
      </c>
      <c r="BM28" s="991">
        <f t="shared" si="55"/>
        <v>1.7634818448973411E-2</v>
      </c>
      <c r="BN28" s="991">
        <f t="shared" si="55"/>
        <v>-4.0829194215308395E-2</v>
      </c>
      <c r="BO28" s="992">
        <f t="shared" si="55"/>
        <v>9.4904870880444969E-2</v>
      </c>
      <c r="BP28" s="991">
        <f t="shared" si="55"/>
        <v>4.8998258006682782E-3</v>
      </c>
      <c r="BQ28" s="991">
        <f t="shared" si="55"/>
        <v>-6.529735077883847E-2</v>
      </c>
      <c r="BR28" s="991">
        <f t="shared" si="55"/>
        <v>2.2949456560481751E-2</v>
      </c>
      <c r="BS28" s="992">
        <f t="shared" si="55"/>
        <v>6.6397793405751804E-2</v>
      </c>
      <c r="BT28" s="991">
        <f t="shared" si="55"/>
        <v>5.2013834532245617E-2</v>
      </c>
      <c r="BU28" s="991">
        <f t="shared" si="55"/>
        <v>-2.3026882153565076E-2</v>
      </c>
      <c r="BV28" s="991">
        <f t="shared" si="55"/>
        <v>-6.3412056787432447E-2</v>
      </c>
      <c r="BW28" s="992">
        <f t="shared" si="55"/>
        <v>6.065390933250181E-2</v>
      </c>
      <c r="BX28" s="991">
        <f t="shared" si="55"/>
        <v>3.1170214429218301E-2</v>
      </c>
      <c r="BY28" s="991">
        <f t="shared" si="55"/>
        <v>1.4011530356404567E-2</v>
      </c>
      <c r="BZ28" s="991">
        <f t="shared" si="55"/>
        <v>-5.2815866511222387E-2</v>
      </c>
      <c r="CA28" s="992">
        <f t="shared" si="55"/>
        <v>8.3745951984474098E-2</v>
      </c>
      <c r="CB28" s="991">
        <f t="shared" si="55"/>
        <v>1.0636722587022751E-2</v>
      </c>
      <c r="CC28" s="991">
        <f t="shared" si="55"/>
        <v>-8.7852453639558625E-4</v>
      </c>
      <c r="CD28" s="991">
        <f t="shared" si="55"/>
        <v>-6.6912452085525098E-2</v>
      </c>
      <c r="CE28" s="992">
        <f t="shared" si="55"/>
        <v>7.9740236449455049E-2</v>
      </c>
      <c r="CF28" s="991">
        <f t="shared" si="55"/>
        <v>1.365637213244919E-2</v>
      </c>
      <c r="CG28" s="991">
        <f t="shared" si="55"/>
        <v>-1.7426808375956671E-2</v>
      </c>
      <c r="CH28" s="991">
        <f t="shared" si="55"/>
        <v>-7.7238909650680032E-2</v>
      </c>
      <c r="CI28" s="992">
        <f t="shared" si="55"/>
        <v>0.13622362904942364</v>
      </c>
      <c r="CJ28" s="991">
        <f t="shared" si="55"/>
        <v>-1.2956422244091215E-2</v>
      </c>
      <c r="CK28" s="991">
        <f t="shared" ref="CK28:CU28" si="56">CK27/CJ27-1</f>
        <v>-7.4871485159933027E-4</v>
      </c>
      <c r="CL28" s="991">
        <f t="shared" si="56"/>
        <v>-4.5902323050539096E-2</v>
      </c>
      <c r="CM28" s="992">
        <f t="shared" si="56"/>
        <v>0.14310473696516657</v>
      </c>
      <c r="CN28" s="991">
        <f t="shared" si="56"/>
        <v>-3.0889226049135576E-2</v>
      </c>
      <c r="CO28" s="991">
        <f t="shared" si="56"/>
        <v>-5.3132493117676427E-2</v>
      </c>
      <c r="CP28" s="991">
        <f t="shared" si="56"/>
        <v>-2.6044901592840453E-2</v>
      </c>
      <c r="CQ28" s="992">
        <f t="shared" si="56"/>
        <v>0.13071767947313018</v>
      </c>
      <c r="CR28" s="991">
        <f t="shared" si="56"/>
        <v>-4.9051130188239034E-2</v>
      </c>
      <c r="CS28" s="991">
        <f t="shared" si="56"/>
        <v>-8.3081331181523721E-3</v>
      </c>
      <c r="CT28" s="991">
        <f t="shared" si="56"/>
        <v>-4.3164035053473992E-2</v>
      </c>
      <c r="CU28" s="992">
        <f t="shared" si="56"/>
        <v>0.11259911347742357</v>
      </c>
      <c r="CV28" s="416"/>
      <c r="CW28" s="991"/>
      <c r="CX28" s="991"/>
      <c r="CY28" s="991"/>
      <c r="CZ28" s="991"/>
      <c r="DA28" s="991"/>
      <c r="DB28" s="991"/>
      <c r="DC28" s="991"/>
      <c r="DD28" s="991"/>
      <c r="DE28" s="991"/>
      <c r="DF28" s="991"/>
      <c r="DG28" s="991"/>
      <c r="DH28" s="991"/>
      <c r="DI28" s="991"/>
      <c r="DJ28" s="991"/>
      <c r="DK28" s="991"/>
      <c r="DL28" s="991"/>
      <c r="DM28" s="991"/>
      <c r="DN28" s="991"/>
      <c r="DO28" s="991"/>
      <c r="DP28" s="991"/>
      <c r="DQ28" s="991"/>
      <c r="DR28" s="991"/>
      <c r="DS28" s="991"/>
      <c r="DT28" s="991"/>
      <c r="DU28" s="991"/>
      <c r="DV28" s="991"/>
      <c r="DW28" s="991"/>
      <c r="DX28" s="991"/>
      <c r="DY28" s="991"/>
      <c r="DZ28" s="991"/>
    </row>
    <row r="29" spans="2:130" ht="15">
      <c r="B29" s="989" t="s">
        <v>293</v>
      </c>
      <c r="C29" s="898"/>
      <c r="D29" s="990"/>
      <c r="E29" s="991"/>
      <c r="F29" s="991"/>
      <c r="G29" s="992"/>
      <c r="H29" s="991"/>
      <c r="I29" s="991"/>
      <c r="J29" s="991"/>
      <c r="K29" s="992"/>
      <c r="L29" s="991"/>
      <c r="M29" s="991"/>
      <c r="N29" s="991"/>
      <c r="O29" s="992"/>
      <c r="P29" s="991"/>
      <c r="Q29" s="991"/>
      <c r="R29" s="991"/>
      <c r="S29" s="992"/>
      <c r="T29" s="991"/>
      <c r="U29" s="991"/>
      <c r="V29" s="991"/>
      <c r="W29" s="992"/>
      <c r="X29" s="991"/>
      <c r="Y29" s="991"/>
      <c r="Z29" s="991"/>
      <c r="AA29" s="992"/>
      <c r="AB29" s="991">
        <f t="shared" ref="AB29:BG29" si="57">AB27/X27-1</f>
        <v>-4.0557418361502062E-2</v>
      </c>
      <c r="AC29" s="991">
        <f t="shared" si="57"/>
        <v>-2.5049343604239271E-2</v>
      </c>
      <c r="AD29" s="991">
        <f t="shared" si="57"/>
        <v>-2.9985186766393501E-2</v>
      </c>
      <c r="AE29" s="992">
        <f t="shared" si="57"/>
        <v>-3.6237046991570709E-2</v>
      </c>
      <c r="AF29" s="991">
        <f t="shared" si="57"/>
        <v>-2.5586355744172673E-3</v>
      </c>
      <c r="AG29" s="991">
        <f t="shared" si="57"/>
        <v>4.0360051703838939E-2</v>
      </c>
      <c r="AH29" s="991">
        <f t="shared" si="57"/>
        <v>7.549234647385572E-2</v>
      </c>
      <c r="AI29" s="992">
        <f t="shared" si="57"/>
        <v>8.3622714807218168E-2</v>
      </c>
      <c r="AJ29" s="991">
        <f t="shared" si="57"/>
        <v>5.7500848296876628E-2</v>
      </c>
      <c r="AK29" s="991">
        <f t="shared" si="57"/>
        <v>-5.8364131968657862E-4</v>
      </c>
      <c r="AL29" s="991">
        <f t="shared" si="57"/>
        <v>5.9207845653175273E-3</v>
      </c>
      <c r="AM29" s="992">
        <f t="shared" si="57"/>
        <v>4.5734325630376826E-2</v>
      </c>
      <c r="AN29" s="991">
        <f t="shared" si="57"/>
        <v>4.7839018414333134E-2</v>
      </c>
      <c r="AO29" s="991">
        <f t="shared" si="57"/>
        <v>7.0355558850593747E-2</v>
      </c>
      <c r="AP29" s="991">
        <f t="shared" si="57"/>
        <v>6.0728735742853868E-2</v>
      </c>
      <c r="AQ29" s="992">
        <f t="shared" si="57"/>
        <v>2.4455414487888572E-2</v>
      </c>
      <c r="AR29" s="991">
        <f t="shared" si="57"/>
        <v>1.6664643022870962E-2</v>
      </c>
      <c r="AS29" s="991">
        <f t="shared" si="57"/>
        <v>4.420703729111386E-2</v>
      </c>
      <c r="AT29" s="991">
        <f t="shared" si="57"/>
        <v>4.7555270732832611E-2</v>
      </c>
      <c r="AU29" s="992">
        <f t="shared" si="57"/>
        <v>6.0761534309647702E-2</v>
      </c>
      <c r="AV29" s="991">
        <f t="shared" si="57"/>
        <v>8.1408103354385641E-2</v>
      </c>
      <c r="AW29" s="991">
        <f t="shared" si="57"/>
        <v>2.833394773708231E-2</v>
      </c>
      <c r="AX29" s="991">
        <f t="shared" si="57"/>
        <v>1.8408749291271231E-2</v>
      </c>
      <c r="AY29" s="992">
        <f t="shared" si="57"/>
        <v>3.6010806188220723E-2</v>
      </c>
      <c r="AZ29" s="991">
        <f t="shared" si="57"/>
        <v>2.3351934896766346E-2</v>
      </c>
      <c r="BA29" s="991">
        <f t="shared" si="57"/>
        <v>5.0074878464785311E-2</v>
      </c>
      <c r="BB29" s="991">
        <f t="shared" si="57"/>
        <v>6.6765054569737581E-2</v>
      </c>
      <c r="BC29" s="992">
        <f t="shared" si="57"/>
        <v>8.756496466803565E-2</v>
      </c>
      <c r="BD29" s="991">
        <f t="shared" si="57"/>
        <v>3.837279911095659E-2</v>
      </c>
      <c r="BE29" s="991">
        <f t="shared" si="57"/>
        <v>2.8067186154502322E-2</v>
      </c>
      <c r="BF29" s="991">
        <f t="shared" si="57"/>
        <v>-1.7423352907556255E-2</v>
      </c>
      <c r="BG29" s="992">
        <f t="shared" si="57"/>
        <v>-0.21360279908274171</v>
      </c>
      <c r="BH29" s="991">
        <f t="shared" ref="BH29:CM29" si="58">BH27/BD27-1</f>
        <v>-0.34025199356550984</v>
      </c>
      <c r="BI29" s="991">
        <f t="shared" si="58"/>
        <v>-0.2327638905929772</v>
      </c>
      <c r="BJ29" s="991">
        <f t="shared" si="58"/>
        <v>-4.1131148911181303E-2</v>
      </c>
      <c r="BK29" s="992">
        <f t="shared" si="58"/>
        <v>0.22054451675073161</v>
      </c>
      <c r="BL29" s="991">
        <f t="shared" si="58"/>
        <v>0.51141856861932089</v>
      </c>
      <c r="BM29" s="991">
        <f t="shared" si="58"/>
        <v>0.31296921094505503</v>
      </c>
      <c r="BN29" s="991">
        <f t="shared" si="58"/>
        <v>0.15118614934481123</v>
      </c>
      <c r="BO29" s="992">
        <f t="shared" si="58"/>
        <v>0.10583458046369043</v>
      </c>
      <c r="BP29" s="991">
        <f t="shared" si="58"/>
        <v>7.3957433656457905E-2</v>
      </c>
      <c r="BQ29" s="991">
        <f t="shared" si="58"/>
        <v>-1.3564748187922304E-2</v>
      </c>
      <c r="BR29" s="991">
        <f t="shared" si="58"/>
        <v>5.2026811791618499E-2</v>
      </c>
      <c r="BS29" s="992">
        <f t="shared" si="58"/>
        <v>2.4636112721038828E-2</v>
      </c>
      <c r="BT29" s="991">
        <f t="shared" si="58"/>
        <v>7.2675443131873685E-2</v>
      </c>
      <c r="BU29" s="991">
        <f t="shared" si="58"/>
        <v>0.12118551604307037</v>
      </c>
      <c r="BV29" s="991">
        <f t="shared" si="58"/>
        <v>2.6530518879467335E-2</v>
      </c>
      <c r="BW29" s="992">
        <f t="shared" si="58"/>
        <v>2.1001369874698694E-2</v>
      </c>
      <c r="BX29" s="991">
        <f t="shared" si="58"/>
        <v>7.7220179745451922E-4</v>
      </c>
      <c r="BY29" s="991">
        <f t="shared" si="58"/>
        <v>3.8712870748911943E-2</v>
      </c>
      <c r="BZ29" s="991">
        <f t="shared" si="58"/>
        <v>5.0464462578132974E-2</v>
      </c>
      <c r="CA29" s="992">
        <f t="shared" si="58"/>
        <v>7.3334665535760735E-2</v>
      </c>
      <c r="CB29" s="991">
        <f t="shared" si="58"/>
        <v>5.1961561182738203E-2</v>
      </c>
      <c r="CC29" s="991">
        <f t="shared" si="58"/>
        <v>3.6514236451015147E-2</v>
      </c>
      <c r="CD29" s="991">
        <f t="shared" si="58"/>
        <v>2.1088184518222919E-2</v>
      </c>
      <c r="CE29" s="992">
        <f t="shared" si="58"/>
        <v>1.731406310548822E-2</v>
      </c>
      <c r="CF29" s="991">
        <f t="shared" si="58"/>
        <v>2.035366366576552E-2</v>
      </c>
      <c r="CG29" s="991">
        <f t="shared" si="58"/>
        <v>3.4537146027726617E-3</v>
      </c>
      <c r="CH29" s="991">
        <f t="shared" si="58"/>
        <v>-7.6514836453475121E-3</v>
      </c>
      <c r="CI29" s="992">
        <f t="shared" si="58"/>
        <v>4.4260271564934728E-2</v>
      </c>
      <c r="CJ29" s="991">
        <f t="shared" si="58"/>
        <v>1.6843994563406017E-2</v>
      </c>
      <c r="CK29" s="991">
        <f t="shared" si="58"/>
        <v>3.4103797075399012E-2</v>
      </c>
      <c r="CL29" s="991">
        <f t="shared" si="58"/>
        <v>6.922153614079507E-2</v>
      </c>
      <c r="CM29" s="992">
        <f t="shared" si="58"/>
        <v>7.5696871266659693E-2</v>
      </c>
      <c r="CN29" s="991">
        <f t="shared" ref="CN29:CU29" si="59">CN27/CJ27-1</f>
        <v>5.615339681340159E-2</v>
      </c>
      <c r="CO29" s="991">
        <f t="shared" si="59"/>
        <v>7.8663754481489434E-4</v>
      </c>
      <c r="CP29" s="991">
        <f t="shared" si="59"/>
        <v>2.1615785892079131E-2</v>
      </c>
      <c r="CQ29" s="992">
        <f t="shared" si="59"/>
        <v>1.0545222482277961E-2</v>
      </c>
      <c r="CR29" s="991">
        <f>CR27/CN27-1</f>
        <v>-8.3931960682959161E-3</v>
      </c>
      <c r="CS29" s="991">
        <f t="shared" si="59"/>
        <v>3.8549105821187091E-2</v>
      </c>
      <c r="CT29" s="991">
        <f t="shared" si="59"/>
        <v>2.0294608486504107E-2</v>
      </c>
      <c r="CU29" s="992">
        <f t="shared" si="59"/>
        <v>3.9454564969991779E-3</v>
      </c>
      <c r="CV29" s="416"/>
      <c r="CW29" s="991"/>
      <c r="CX29" s="991"/>
      <c r="CY29" s="991"/>
      <c r="CZ29" s="991"/>
      <c r="DA29" s="991"/>
      <c r="DB29" s="991"/>
      <c r="DC29" s="991"/>
      <c r="DD29" s="991">
        <f t="shared" ref="DD29:DZ29" si="60">DD27/DC27-1</f>
        <v>-3.3008991839089119E-2</v>
      </c>
      <c r="DE29" s="991">
        <f t="shared" si="60"/>
        <v>4.7847496256869793E-2</v>
      </c>
      <c r="DF29" s="991">
        <f t="shared" si="60"/>
        <v>2.7085728739397741E-2</v>
      </c>
      <c r="DG29" s="991">
        <f t="shared" si="60"/>
        <v>5.0560635860211312E-2</v>
      </c>
      <c r="DH29" s="991">
        <f t="shared" si="60"/>
        <v>4.2111165125807482E-2</v>
      </c>
      <c r="DI29" s="991">
        <f t="shared" si="60"/>
        <v>4.1161538551940158E-2</v>
      </c>
      <c r="DJ29" s="991">
        <f t="shared" si="60"/>
        <v>5.6534025048341041E-2</v>
      </c>
      <c r="DK29" s="991">
        <f t="shared" si="60"/>
        <v>-4.3087613660338642E-2</v>
      </c>
      <c r="DL29" s="991">
        <f t="shared" si="60"/>
        <v>-0.11875507925699091</v>
      </c>
      <c r="DM29" s="991">
        <f t="shared" si="60"/>
        <v>0.24958681863005916</v>
      </c>
      <c r="DN29" s="991">
        <f t="shared" si="60"/>
        <v>3.378885095822115E-2</v>
      </c>
      <c r="DO29" s="991">
        <f t="shared" si="60"/>
        <v>5.9513917956079299E-2</v>
      </c>
      <c r="DP29" s="991">
        <f t="shared" si="60"/>
        <v>4.0373307238508627E-2</v>
      </c>
      <c r="DQ29" s="991">
        <f t="shared" si="60"/>
        <v>3.1694246595722619E-2</v>
      </c>
      <c r="DR29" s="991">
        <f t="shared" si="60"/>
        <v>1.554694540074042E-2</v>
      </c>
      <c r="DS29" s="991">
        <f t="shared" si="60"/>
        <v>4.8756278221008698E-2</v>
      </c>
      <c r="DT29" s="991">
        <f t="shared" si="60"/>
        <v>2.202622233400664E-2</v>
      </c>
      <c r="DU29" s="991">
        <f t="shared" si="60"/>
        <v>1.3021444022286444E-2</v>
      </c>
      <c r="DV29" s="991">
        <f t="shared" si="60"/>
        <v>1.7540139977006763E-2</v>
      </c>
      <c r="DW29" s="991">
        <f t="shared" si="60"/>
        <v>1.9202585021236285E-2</v>
      </c>
      <c r="DX29" s="991">
        <f t="shared" si="60"/>
        <v>2.2967013549827442E-2</v>
      </c>
      <c r="DY29" s="991">
        <f t="shared" si="60"/>
        <v>1.9857585137321276E-2</v>
      </c>
      <c r="DZ29" s="991">
        <f t="shared" si="60"/>
        <v>1.5301050702716701E-2</v>
      </c>
    </row>
    <row r="30" spans="2:130" ht="15">
      <c r="B30" s="989" t="s">
        <v>461</v>
      </c>
      <c r="C30" s="898"/>
      <c r="D30" s="990"/>
      <c r="E30" s="991"/>
      <c r="F30" s="991"/>
      <c r="G30" s="992"/>
      <c r="H30" s="991"/>
      <c r="I30" s="991"/>
      <c r="J30" s="991"/>
      <c r="K30" s="992"/>
      <c r="L30" s="991"/>
      <c r="M30" s="991"/>
      <c r="N30" s="991"/>
      <c r="O30" s="992"/>
      <c r="P30" s="991"/>
      <c r="Q30" s="991"/>
      <c r="R30" s="991"/>
      <c r="S30" s="992"/>
      <c r="T30" s="991"/>
      <c r="U30" s="991"/>
      <c r="V30" s="991"/>
      <c r="W30" s="992"/>
      <c r="X30" s="991"/>
      <c r="Y30" s="991"/>
      <c r="Z30" s="991"/>
      <c r="AA30" s="992"/>
      <c r="AB30" s="991"/>
      <c r="AC30" s="991"/>
      <c r="AD30" s="991"/>
      <c r="AE30" s="992"/>
      <c r="AF30" s="991"/>
      <c r="AG30" s="991"/>
      <c r="AH30" s="991"/>
      <c r="AI30" s="992"/>
      <c r="AJ30" s="991"/>
      <c r="AK30" s="991"/>
      <c r="AL30" s="991"/>
      <c r="AM30" s="992"/>
      <c r="AN30" s="991"/>
      <c r="AO30" s="991"/>
      <c r="AP30" s="991"/>
      <c r="AQ30" s="992"/>
      <c r="AR30" s="991"/>
      <c r="AS30" s="991"/>
      <c r="AT30" s="991"/>
      <c r="AU30" s="992"/>
      <c r="AV30" s="991"/>
      <c r="AW30" s="991"/>
      <c r="AX30" s="991"/>
      <c r="AY30" s="992"/>
      <c r="AZ30" s="991"/>
      <c r="BA30" s="991"/>
      <c r="BB30" s="991"/>
      <c r="BC30" s="992"/>
      <c r="BD30" s="991"/>
      <c r="BE30" s="991"/>
      <c r="BF30" s="991"/>
      <c r="BG30" s="992"/>
      <c r="BH30" s="991"/>
      <c r="BI30" s="991"/>
      <c r="BJ30" s="991"/>
      <c r="BK30" s="992"/>
      <c r="BL30" s="991"/>
      <c r="BM30" s="991"/>
      <c r="BN30" s="991"/>
      <c r="BO30" s="992"/>
      <c r="BP30" s="991"/>
      <c r="BQ30" s="991"/>
      <c r="BR30" s="991"/>
      <c r="BS30" s="992"/>
      <c r="BT30" s="991">
        <f>BT35*BT31+BT36*BT32+BT37*BT8+BT38*BT11</f>
        <v>6.4002996773763796E-2</v>
      </c>
      <c r="BU30" s="991">
        <f t="shared" ref="BU30:CU30" si="61">BU35*BU31+BU36*BU32+BU37*BU8+BU38*BU11</f>
        <v>8.2249500125005648E-2</v>
      </c>
      <c r="BV30" s="991">
        <f t="shared" si="61"/>
        <v>1.6194305748354676E-2</v>
      </c>
      <c r="BW30" s="992">
        <f t="shared" si="61"/>
        <v>1.2031515214187705E-2</v>
      </c>
      <c r="BX30" s="991">
        <f t="shared" si="61"/>
        <v>-2.9265489838929532E-2</v>
      </c>
      <c r="BY30" s="991">
        <f t="shared" si="61"/>
        <v>3.8387721849770712E-2</v>
      </c>
      <c r="BZ30" s="991">
        <f t="shared" si="61"/>
        <v>4.6902739369713856E-2</v>
      </c>
      <c r="CA30" s="992">
        <f t="shared" si="61"/>
        <v>5.2434327041550023E-2</v>
      </c>
      <c r="CB30" s="991">
        <f t="shared" si="61"/>
        <v>5.8064890695154095E-2</v>
      </c>
      <c r="CC30" s="991">
        <f t="shared" si="61"/>
        <v>2.3358297053566818E-2</v>
      </c>
      <c r="CD30" s="991">
        <f t="shared" si="61"/>
        <v>6.8453036271811079E-3</v>
      </c>
      <c r="CE30" s="992">
        <f t="shared" si="61"/>
        <v>7.4287319616273412E-3</v>
      </c>
      <c r="CF30" s="991">
        <f t="shared" si="61"/>
        <v>1.7172444530711258E-2</v>
      </c>
      <c r="CG30" s="991">
        <f t="shared" si="61"/>
        <v>5.4161612641504247E-3</v>
      </c>
      <c r="CH30" s="991">
        <f t="shared" si="61"/>
        <v>1.3720331410156111E-2</v>
      </c>
      <c r="CI30" s="992">
        <f t="shared" si="61"/>
        <v>3.3493573760891168E-2</v>
      </c>
      <c r="CJ30" s="991">
        <f t="shared" si="61"/>
        <v>1.1946681481157892E-2</v>
      </c>
      <c r="CK30" s="991">
        <f t="shared" si="61"/>
        <v>3.4858147273851198E-2</v>
      </c>
      <c r="CL30" s="991">
        <f t="shared" si="61"/>
        <v>3.0201335983286698E-2</v>
      </c>
      <c r="CM30" s="992">
        <f t="shared" si="61"/>
        <v>4.3174094556419837E-2</v>
      </c>
      <c r="CN30" s="991">
        <f t="shared" si="61"/>
        <v>5.0848581471066433E-2</v>
      </c>
      <c r="CO30" s="991">
        <f t="shared" si="61"/>
        <v>-8.1370829369095867E-3</v>
      </c>
      <c r="CP30" s="991">
        <f t="shared" si="61"/>
        <v>1.9504456875568323E-2</v>
      </c>
      <c r="CQ30" s="992">
        <f t="shared" ref="CQ30" si="62">CQ35*CQ31+CQ36*CQ32+CQ37*CQ8+CQ38*CQ11</f>
        <v>2.4638122093189867E-2</v>
      </c>
      <c r="CR30" s="991">
        <f t="shared" si="61"/>
        <v>-4.2485623946887218E-3</v>
      </c>
      <c r="CS30" s="991">
        <f t="shared" si="61"/>
        <v>3.8465063166173895E-2</v>
      </c>
      <c r="CT30" s="991">
        <f t="shared" si="61"/>
        <v>1.7398058259704252E-2</v>
      </c>
      <c r="CU30" s="992">
        <f t="shared" si="61"/>
        <v>-5.6475860428073701E-3</v>
      </c>
      <c r="CV30" s="416"/>
      <c r="CW30" s="991"/>
      <c r="CX30" s="991"/>
      <c r="CY30" s="991"/>
      <c r="CZ30" s="991"/>
      <c r="DA30" s="991"/>
      <c r="DB30" s="991"/>
      <c r="DC30" s="991"/>
      <c r="DD30" s="991"/>
      <c r="DE30" s="991"/>
      <c r="DF30" s="991"/>
      <c r="DG30" s="991"/>
      <c r="DH30" s="991"/>
      <c r="DI30" s="991"/>
      <c r="DJ30" s="991"/>
      <c r="DK30" s="991"/>
      <c r="DL30" s="991"/>
      <c r="DM30" s="991"/>
      <c r="DN30" s="991"/>
      <c r="DO30" s="991">
        <f t="shared" ref="DO30:DZ30" si="63">DO35*DO31+DO36*DO32+DO37*DO8+DO38*DO11</f>
        <v>4.1844582161538309E-2</v>
      </c>
      <c r="DP30" s="991">
        <f t="shared" si="63"/>
        <v>2.564211214150032E-2</v>
      </c>
      <c r="DQ30" s="991">
        <f t="shared" si="63"/>
        <v>2.3797965412562593E-2</v>
      </c>
      <c r="DR30" s="991">
        <f t="shared" si="63"/>
        <v>1.7733181068286231E-2</v>
      </c>
      <c r="DS30" s="991">
        <f t="shared" si="63"/>
        <v>2.9752178270922792E-2</v>
      </c>
      <c r="DT30" s="991">
        <f t="shared" si="63"/>
        <v>2.0577005047435974E-2</v>
      </c>
      <c r="DU30" s="991">
        <f t="shared" si="63"/>
        <v>1.1146125802660006E-2</v>
      </c>
      <c r="DV30" s="991">
        <f t="shared" si="63"/>
        <v>4.6788144984034538E-3</v>
      </c>
      <c r="DW30" s="991">
        <f t="shared" si="63"/>
        <v>1.0086807309189056E-2</v>
      </c>
      <c r="DX30" s="991">
        <f t="shared" si="63"/>
        <v>1.8508882193610417E-2</v>
      </c>
      <c r="DY30" s="991">
        <f t="shared" si="63"/>
        <v>1.6952037158212547E-2</v>
      </c>
      <c r="DZ30" s="991">
        <f t="shared" si="63"/>
        <v>1.3362763583738391E-2</v>
      </c>
    </row>
    <row r="31" spans="2:130" ht="15" hidden="1" outlineLevel="1">
      <c r="B31" s="989" t="s">
        <v>459</v>
      </c>
      <c r="C31" s="898"/>
      <c r="D31" s="990"/>
      <c r="E31" s="991"/>
      <c r="F31" s="991"/>
      <c r="G31" s="992"/>
      <c r="H31" s="991"/>
      <c r="I31" s="991"/>
      <c r="J31" s="991"/>
      <c r="K31" s="992"/>
      <c r="L31" s="991"/>
      <c r="M31" s="991"/>
      <c r="N31" s="991"/>
      <c r="O31" s="992"/>
      <c r="P31" s="991"/>
      <c r="Q31" s="991"/>
      <c r="R31" s="991"/>
      <c r="S31" s="992"/>
      <c r="T31" s="991"/>
      <c r="U31" s="991"/>
      <c r="V31" s="991"/>
      <c r="W31" s="992"/>
      <c r="X31" s="991"/>
      <c r="Y31" s="991"/>
      <c r="Z31" s="991"/>
      <c r="AA31" s="992"/>
      <c r="AB31" s="991"/>
      <c r="AC31" s="991"/>
      <c r="AD31" s="991"/>
      <c r="AE31" s="992"/>
      <c r="AF31" s="991"/>
      <c r="AG31" s="991"/>
      <c r="AH31" s="991"/>
      <c r="AI31" s="992"/>
      <c r="AJ31" s="991"/>
      <c r="AK31" s="991"/>
      <c r="AL31" s="991"/>
      <c r="AM31" s="992"/>
      <c r="AN31" s="991"/>
      <c r="AO31" s="991"/>
      <c r="AP31" s="991"/>
      <c r="AQ31" s="992"/>
      <c r="AR31" s="991"/>
      <c r="AS31" s="991"/>
      <c r="AT31" s="991"/>
      <c r="AU31" s="992"/>
      <c r="AV31" s="991"/>
      <c r="AW31" s="991"/>
      <c r="AX31" s="991"/>
      <c r="AY31" s="992"/>
      <c r="AZ31" s="991"/>
      <c r="BA31" s="991"/>
      <c r="BB31" s="991"/>
      <c r="BC31" s="992"/>
      <c r="BD31" s="991"/>
      <c r="BE31" s="991"/>
      <c r="BF31" s="991"/>
      <c r="BG31" s="992"/>
      <c r="BH31" s="991"/>
      <c r="BI31" s="991"/>
      <c r="BJ31" s="991"/>
      <c r="BK31" s="992"/>
      <c r="BL31" s="991"/>
      <c r="BM31" s="991"/>
      <c r="BN31" s="991"/>
      <c r="BO31" s="992"/>
      <c r="BP31" s="991"/>
      <c r="BQ31" s="991"/>
      <c r="BR31" s="991"/>
      <c r="BS31" s="992"/>
      <c r="BT31" s="991">
        <f t="shared" ref="BT31:CN31" si="64">(BT18+BT21)/(BP18+BP21)-1</f>
        <v>0.11689119133334636</v>
      </c>
      <c r="BU31" s="991">
        <f t="shared" si="64"/>
        <v>0.17605421612588334</v>
      </c>
      <c r="BV31" s="991">
        <f t="shared" si="64"/>
        <v>0.11575985856655535</v>
      </c>
      <c r="BW31" s="992">
        <f t="shared" si="64"/>
        <v>0.11484828201695652</v>
      </c>
      <c r="BX31" s="991">
        <f t="shared" si="64"/>
        <v>2.369703512592003E-2</v>
      </c>
      <c r="BY31" s="991">
        <f t="shared" si="64"/>
        <v>9.8390817798082786E-2</v>
      </c>
      <c r="BZ31" s="991">
        <f t="shared" si="64"/>
        <v>5.3443053884065561E-2</v>
      </c>
      <c r="CA31" s="992">
        <f t="shared" si="64"/>
        <v>2.3808419020750593E-2</v>
      </c>
      <c r="CB31" s="991">
        <f t="shared" si="64"/>
        <v>2.3200121704514798E-2</v>
      </c>
      <c r="CC31" s="991">
        <f t="shared" si="64"/>
        <v>-2.5913725712292224E-2</v>
      </c>
      <c r="CD31" s="991">
        <f t="shared" si="64"/>
        <v>1.4877754528831888E-2</v>
      </c>
      <c r="CE31" s="992">
        <f t="shared" si="64"/>
        <v>2.1865736683830628E-2</v>
      </c>
      <c r="CF31" s="991">
        <f t="shared" si="64"/>
        <v>-1.347700157726317E-2</v>
      </c>
      <c r="CG31" s="991">
        <f t="shared" si="64"/>
        <v>-5.4939648752984072E-3</v>
      </c>
      <c r="CH31" s="991">
        <f t="shared" si="64"/>
        <v>-3.4803322916329149E-3</v>
      </c>
      <c r="CI31" s="992">
        <f t="shared" si="64"/>
        <v>-3.1859211188809189E-2</v>
      </c>
      <c r="CJ31" s="991">
        <f t="shared" si="64"/>
        <v>-2.7728321864961547E-3</v>
      </c>
      <c r="CK31" s="991">
        <f t="shared" si="64"/>
        <v>-9.9828173220879446E-3</v>
      </c>
      <c r="CL31" s="991">
        <f t="shared" si="64"/>
        <v>-6.8698398053463894E-3</v>
      </c>
      <c r="CM31" s="992">
        <f t="shared" si="64"/>
        <v>1.7182019699478523E-2</v>
      </c>
      <c r="CN31" s="991">
        <f t="shared" si="64"/>
        <v>3.822263909418977E-2</v>
      </c>
      <c r="CO31" s="991">
        <f t="shared" ref="CO31:CU31" si="65">(CO18+CO21)/(CK18+CK21)-1</f>
        <v>-6.0355893278198902E-3</v>
      </c>
      <c r="CP31" s="991">
        <f t="shared" si="65"/>
        <v>-3.6473375599035074E-2</v>
      </c>
      <c r="CQ31" s="992">
        <f t="shared" si="65"/>
        <v>-1.173160815712071E-2</v>
      </c>
      <c r="CR31" s="991">
        <f t="shared" si="65"/>
        <v>-1.4930546647625054E-2</v>
      </c>
      <c r="CS31" s="991">
        <f t="shared" si="65"/>
        <v>2.1247218707423743E-2</v>
      </c>
      <c r="CT31" s="991">
        <f t="shared" si="65"/>
        <v>3.0056795770589728E-2</v>
      </c>
      <c r="CU31" s="992">
        <f t="shared" si="65"/>
        <v>-1.4392028676664559E-2</v>
      </c>
      <c r="CV31" s="416"/>
      <c r="CW31" s="991"/>
      <c r="CX31" s="991"/>
      <c r="CY31" s="991"/>
      <c r="CZ31" s="991"/>
      <c r="DA31" s="991"/>
      <c r="DB31" s="991"/>
      <c r="DC31" s="991"/>
      <c r="DD31" s="991"/>
      <c r="DE31" s="991"/>
      <c r="DF31" s="991"/>
      <c r="DG31" s="991"/>
      <c r="DH31" s="991"/>
      <c r="DI31" s="991"/>
      <c r="DJ31" s="991"/>
      <c r="DK31" s="991"/>
      <c r="DL31" s="991"/>
      <c r="DM31" s="991"/>
      <c r="DN31" s="991"/>
      <c r="DO31" s="991">
        <f t="shared" ref="DO31:DZ31" si="66">(DO18+DO21)/(DN18+DN21)-1</f>
        <v>0.13055096001107325</v>
      </c>
      <c r="DP31" s="991">
        <f t="shared" si="66"/>
        <v>5.0007662772315387E-2</v>
      </c>
      <c r="DQ31" s="991">
        <f t="shared" si="66"/>
        <v>7.763215388440825E-3</v>
      </c>
      <c r="DR31" s="991">
        <f t="shared" si="66"/>
        <v>-1.3516245034899677E-2</v>
      </c>
      <c r="DS31" s="991">
        <f t="shared" si="66"/>
        <v>-8.0081311987267867E-4</v>
      </c>
      <c r="DT31" s="991">
        <f t="shared" si="66"/>
        <v>-4.113769174659998E-3</v>
      </c>
      <c r="DU31" s="991">
        <f t="shared" si="66"/>
        <v>5.296254411532253E-3</v>
      </c>
      <c r="DV31" s="991">
        <f t="shared" si="66"/>
        <v>-1.8637700214581998E-2</v>
      </c>
      <c r="DW31" s="991">
        <f t="shared" si="66"/>
        <v>-5.9513741564654055E-5</v>
      </c>
      <c r="DX31" s="991">
        <f t="shared" si="66"/>
        <v>1.498084166839142E-2</v>
      </c>
      <c r="DY31" s="991">
        <f t="shared" si="66"/>
        <v>1.8589043615879541E-2</v>
      </c>
      <c r="DZ31" s="991">
        <f t="shared" si="66"/>
        <v>8.7396239994870228E-3</v>
      </c>
    </row>
    <row r="32" spans="2:130" ht="15" hidden="1" outlineLevel="1">
      <c r="B32" s="989" t="s">
        <v>458</v>
      </c>
      <c r="C32" s="898"/>
      <c r="D32" s="990"/>
      <c r="E32" s="991"/>
      <c r="F32" s="991"/>
      <c r="G32" s="992"/>
      <c r="H32" s="991"/>
      <c r="I32" s="991"/>
      <c r="J32" s="991"/>
      <c r="K32" s="992"/>
      <c r="L32" s="991"/>
      <c r="M32" s="991"/>
      <c r="N32" s="991"/>
      <c r="O32" s="992"/>
      <c r="P32" s="991"/>
      <c r="Q32" s="991"/>
      <c r="R32" s="991"/>
      <c r="S32" s="992"/>
      <c r="T32" s="991"/>
      <c r="U32" s="991"/>
      <c r="V32" s="991"/>
      <c r="W32" s="992"/>
      <c r="X32" s="991"/>
      <c r="Y32" s="991"/>
      <c r="Z32" s="991"/>
      <c r="AA32" s="992"/>
      <c r="AB32" s="991"/>
      <c r="AC32" s="991"/>
      <c r="AD32" s="991"/>
      <c r="AE32" s="992"/>
      <c r="AF32" s="991"/>
      <c r="AG32" s="991"/>
      <c r="AH32" s="991"/>
      <c r="AI32" s="992"/>
      <c r="AJ32" s="991"/>
      <c r="AK32" s="991"/>
      <c r="AL32" s="991"/>
      <c r="AM32" s="992"/>
      <c r="AN32" s="991"/>
      <c r="AO32" s="991"/>
      <c r="AP32" s="991"/>
      <c r="AQ32" s="992"/>
      <c r="AR32" s="991"/>
      <c r="AS32" s="991"/>
      <c r="AT32" s="991"/>
      <c r="AU32" s="992"/>
      <c r="AV32" s="991"/>
      <c r="AW32" s="991"/>
      <c r="AX32" s="991"/>
      <c r="AY32" s="992"/>
      <c r="AZ32" s="991"/>
      <c r="BA32" s="991"/>
      <c r="BB32" s="991"/>
      <c r="BC32" s="992"/>
      <c r="BD32" s="991"/>
      <c r="BE32" s="991"/>
      <c r="BF32" s="991"/>
      <c r="BG32" s="992"/>
      <c r="BH32" s="991"/>
      <c r="BI32" s="991"/>
      <c r="BJ32" s="991"/>
      <c r="BK32" s="992"/>
      <c r="BL32" s="991"/>
      <c r="BM32" s="991"/>
      <c r="BN32" s="991"/>
      <c r="BO32" s="992"/>
      <c r="BP32" s="991"/>
      <c r="BQ32" s="991"/>
      <c r="BR32" s="991"/>
      <c r="BS32" s="992"/>
      <c r="BT32" s="991">
        <f t="shared" ref="BT32:CN32" si="67">(BT12+BT24)/(BP12+BP24)-1</f>
        <v>0.22872649848149851</v>
      </c>
      <c r="BU32" s="991">
        <f t="shared" si="67"/>
        <v>0.31480341374540433</v>
      </c>
      <c r="BV32" s="991">
        <f t="shared" si="67"/>
        <v>1.9836503756034185E-2</v>
      </c>
      <c r="BW32" s="992">
        <f t="shared" si="67"/>
        <v>6.2863588195843034E-2</v>
      </c>
      <c r="BX32" s="991">
        <f t="shared" si="67"/>
        <v>-4.5369065253075269E-2</v>
      </c>
      <c r="BY32" s="991">
        <f t="shared" si="67"/>
        <v>-4.9232302366706726E-2</v>
      </c>
      <c r="BZ32" s="991">
        <f t="shared" si="67"/>
        <v>2.2335607057777374E-3</v>
      </c>
      <c r="CA32" s="992">
        <f t="shared" si="67"/>
        <v>6.5392752820145894E-3</v>
      </c>
      <c r="CB32" s="991">
        <f t="shared" si="67"/>
        <v>1.9431206362485298E-2</v>
      </c>
      <c r="CC32" s="991">
        <f t="shared" si="67"/>
        <v>6.9218125574974643E-3</v>
      </c>
      <c r="CD32" s="991">
        <f t="shared" si="67"/>
        <v>-2.2271206057704163E-2</v>
      </c>
      <c r="CE32" s="992">
        <f t="shared" si="67"/>
        <v>-5.00291106834857E-2</v>
      </c>
      <c r="CF32" s="991">
        <f t="shared" si="67"/>
        <v>-3.3833761105626858E-2</v>
      </c>
      <c r="CG32" s="991">
        <f t="shared" si="67"/>
        <v>-3.3259806931233982E-2</v>
      </c>
      <c r="CH32" s="991">
        <f t="shared" si="67"/>
        <v>8.4479967427912861E-3</v>
      </c>
      <c r="CI32" s="992">
        <f t="shared" si="67"/>
        <v>2.4114014907797632E-2</v>
      </c>
      <c r="CJ32" s="991">
        <f t="shared" si="67"/>
        <v>-1.3983705989970563E-2</v>
      </c>
      <c r="CK32" s="991">
        <f t="shared" si="67"/>
        <v>-1.6331843482324526E-3</v>
      </c>
      <c r="CL32" s="991">
        <f t="shared" si="67"/>
        <v>-4.2467854875396505E-3</v>
      </c>
      <c r="CM32" s="992">
        <f t="shared" si="67"/>
        <v>3.8103551807205482E-2</v>
      </c>
      <c r="CN32" s="991">
        <f t="shared" si="67"/>
        <v>4.0807420153929019E-2</v>
      </c>
      <c r="CO32" s="991">
        <f t="shared" ref="CO32:CU32" si="68">(CO12+CO24)/(CK12+CK24)-1</f>
        <v>3.9675295520139375E-2</v>
      </c>
      <c r="CP32" s="991">
        <f t="shared" si="68"/>
        <v>7.1526938572668675E-2</v>
      </c>
      <c r="CQ32" s="992">
        <f t="shared" si="68"/>
        <v>-1.4681913580324002E-2</v>
      </c>
      <c r="CR32" s="991">
        <f t="shared" si="68"/>
        <v>5.548271216248013E-3</v>
      </c>
      <c r="CS32" s="991">
        <f t="shared" si="68"/>
        <v>3.6166991244628299E-3</v>
      </c>
      <c r="CT32" s="991">
        <f t="shared" si="68"/>
        <v>-1.663230225660528E-2</v>
      </c>
      <c r="CU32" s="992">
        <f t="shared" si="68"/>
        <v>-2.8081835698805513E-3</v>
      </c>
      <c r="CV32" s="416"/>
      <c r="CW32" s="991"/>
      <c r="CX32" s="991"/>
      <c r="CY32" s="991"/>
      <c r="CZ32" s="991"/>
      <c r="DA32" s="991"/>
      <c r="DB32" s="991"/>
      <c r="DC32" s="991"/>
      <c r="DD32" s="991"/>
      <c r="DE32" s="991"/>
      <c r="DF32" s="991"/>
      <c r="DG32" s="991"/>
      <c r="DH32" s="991"/>
      <c r="DI32" s="991"/>
      <c r="DJ32" s="991"/>
      <c r="DK32" s="991"/>
      <c r="DL32" s="991"/>
      <c r="DM32" s="991"/>
      <c r="DN32" s="991"/>
      <c r="DO32" s="991">
        <f t="shared" ref="DO32:DZ32" si="69">(DO12+DO24)/(DN12+DN24)-1</f>
        <v>0.14741159632608847</v>
      </c>
      <c r="DP32" s="991">
        <f t="shared" si="69"/>
        <v>-2.2165377941719688E-2</v>
      </c>
      <c r="DQ32" s="991">
        <f t="shared" si="69"/>
        <v>-1.1509237417197893E-2</v>
      </c>
      <c r="DR32" s="991">
        <f t="shared" si="69"/>
        <v>-9.2946534408018255E-3</v>
      </c>
      <c r="DS32" s="991">
        <f t="shared" si="69"/>
        <v>4.6261108749989788E-3</v>
      </c>
      <c r="DT32" s="991">
        <f t="shared" si="69"/>
        <v>3.3403556507086929E-2</v>
      </c>
      <c r="DU32" s="991">
        <f t="shared" si="69"/>
        <v>-2.5825817711013777E-3</v>
      </c>
      <c r="DV32" s="991">
        <f t="shared" si="69"/>
        <v>2.5696314016057764E-2</v>
      </c>
      <c r="DW32" s="991">
        <f t="shared" si="69"/>
        <v>1.9522769843244969E-2</v>
      </c>
      <c r="DX32" s="991">
        <f t="shared" si="69"/>
        <v>2.2122672430131551E-2</v>
      </c>
      <c r="DY32" s="991">
        <f t="shared" si="69"/>
        <v>2.7966702681277544E-2</v>
      </c>
      <c r="DZ32" s="991">
        <f t="shared" si="69"/>
        <v>2.9894664324320308E-2</v>
      </c>
    </row>
    <row r="33" spans="2:130" ht="15" collapsed="1">
      <c r="B33" s="975"/>
      <c r="C33" s="976"/>
      <c r="D33" s="977"/>
      <c r="E33" s="978"/>
      <c r="F33" s="978"/>
      <c r="G33" s="979"/>
      <c r="H33" s="978"/>
      <c r="I33" s="978"/>
      <c r="J33" s="978"/>
      <c r="K33" s="979"/>
      <c r="L33" s="978"/>
      <c r="M33" s="978"/>
      <c r="N33" s="978"/>
      <c r="O33" s="979"/>
      <c r="P33" s="978"/>
      <c r="Q33" s="978"/>
      <c r="R33" s="978"/>
      <c r="S33" s="979"/>
      <c r="T33" s="978"/>
      <c r="U33" s="978"/>
      <c r="V33" s="978"/>
      <c r="W33" s="979"/>
      <c r="X33" s="978"/>
      <c r="Y33" s="978"/>
      <c r="Z33" s="978"/>
      <c r="AA33" s="979"/>
      <c r="AB33" s="978"/>
      <c r="AC33" s="978"/>
      <c r="AD33" s="978"/>
      <c r="AE33" s="979"/>
      <c r="AF33" s="978"/>
      <c r="AG33" s="978"/>
      <c r="AH33" s="978"/>
      <c r="AI33" s="979"/>
      <c r="AJ33" s="978"/>
      <c r="AK33" s="978"/>
      <c r="AL33" s="978"/>
      <c r="AM33" s="979"/>
      <c r="AN33" s="978"/>
      <c r="AO33" s="978"/>
      <c r="AP33" s="978"/>
      <c r="AQ33" s="979"/>
      <c r="AR33" s="978"/>
      <c r="AS33" s="978"/>
      <c r="AT33" s="978"/>
      <c r="AU33" s="979"/>
      <c r="AV33" s="978"/>
      <c r="AW33" s="978"/>
      <c r="AX33" s="978"/>
      <c r="AY33" s="979"/>
      <c r="AZ33" s="978"/>
      <c r="BA33" s="978"/>
      <c r="BB33" s="978"/>
      <c r="BC33" s="979"/>
      <c r="BD33" s="978"/>
      <c r="BE33" s="978"/>
      <c r="BF33" s="978"/>
      <c r="BG33" s="979"/>
      <c r="BH33" s="978"/>
      <c r="BI33" s="978"/>
      <c r="BJ33" s="978"/>
      <c r="BK33" s="979"/>
      <c r="BL33" s="978"/>
      <c r="BM33" s="978"/>
      <c r="BN33" s="978"/>
      <c r="BO33" s="979"/>
      <c r="BP33" s="978"/>
      <c r="BQ33" s="978"/>
      <c r="BR33" s="978"/>
      <c r="BS33" s="979"/>
      <c r="BT33" s="978"/>
      <c r="BU33" s="978"/>
      <c r="BV33" s="978"/>
      <c r="BW33" s="979"/>
      <c r="BX33" s="978"/>
      <c r="BY33" s="978"/>
      <c r="BZ33" s="978"/>
      <c r="CA33" s="979"/>
      <c r="CB33" s="978"/>
      <c r="CC33" s="978"/>
      <c r="CD33" s="978"/>
      <c r="CE33" s="979"/>
      <c r="CF33" s="978"/>
      <c r="CG33" s="978"/>
      <c r="CH33" s="978"/>
      <c r="CI33" s="979"/>
      <c r="CJ33" s="978"/>
      <c r="CK33" s="978"/>
      <c r="CL33" s="978"/>
      <c r="CM33" s="980"/>
      <c r="CN33" s="588"/>
      <c r="CO33" s="588"/>
      <c r="CP33" s="978"/>
      <c r="CQ33" s="979"/>
      <c r="CR33" s="588"/>
      <c r="CS33" s="588"/>
      <c r="CT33" s="588"/>
      <c r="CU33" s="980"/>
      <c r="CV33" s="376"/>
      <c r="CW33" s="978"/>
      <c r="CX33" s="978"/>
      <c r="CY33" s="978"/>
      <c r="CZ33" s="978"/>
      <c r="DA33" s="978"/>
      <c r="DB33" s="978"/>
      <c r="DC33" s="978"/>
      <c r="DD33" s="978"/>
      <c r="DE33" s="978"/>
      <c r="DF33" s="978"/>
      <c r="DG33" s="978"/>
      <c r="DH33" s="978"/>
      <c r="DI33" s="978"/>
      <c r="DJ33" s="978"/>
      <c r="DK33" s="978"/>
      <c r="DL33" s="978"/>
      <c r="DM33" s="978"/>
      <c r="DN33" s="978"/>
      <c r="DO33" s="978"/>
      <c r="DP33" s="978"/>
      <c r="DQ33" s="665"/>
      <c r="DR33" s="665"/>
      <c r="DS33" s="665"/>
      <c r="DT33" s="665"/>
      <c r="DU33" s="665"/>
      <c r="DV33" s="665"/>
      <c r="DW33" s="665"/>
      <c r="DX33" s="665"/>
      <c r="DY33" s="665"/>
      <c r="DZ33" s="665"/>
    </row>
    <row r="34" spans="2:130" s="1118" customFormat="1" ht="15">
      <c r="B34" s="1119" t="s">
        <v>460</v>
      </c>
      <c r="C34" s="1120"/>
      <c r="D34" s="1121"/>
      <c r="E34" s="1122"/>
      <c r="F34" s="1122"/>
      <c r="G34" s="1123"/>
      <c r="H34" s="1122"/>
      <c r="I34" s="1122"/>
      <c r="J34" s="1122"/>
      <c r="K34" s="1123"/>
      <c r="L34" s="1122"/>
      <c r="M34" s="1122"/>
      <c r="N34" s="1122"/>
      <c r="O34" s="1123"/>
      <c r="P34" s="1122"/>
      <c r="Q34" s="1122"/>
      <c r="R34" s="1122"/>
      <c r="S34" s="1123"/>
      <c r="T34" s="1122"/>
      <c r="U34" s="1122"/>
      <c r="V34" s="1122"/>
      <c r="W34" s="1123"/>
      <c r="X34" s="1122"/>
      <c r="Y34" s="1122"/>
      <c r="Z34" s="1122"/>
      <c r="AA34" s="1123"/>
      <c r="AB34" s="1122"/>
      <c r="AC34" s="1122"/>
      <c r="AD34" s="1122"/>
      <c r="AE34" s="1123"/>
      <c r="AF34" s="1122"/>
      <c r="AG34" s="1122"/>
      <c r="AH34" s="1122"/>
      <c r="AI34" s="1123"/>
      <c r="AJ34" s="1122"/>
      <c r="AK34" s="1122"/>
      <c r="AL34" s="1122"/>
      <c r="AM34" s="1123"/>
      <c r="AN34" s="1122"/>
      <c r="AO34" s="1122"/>
      <c r="AP34" s="1122"/>
      <c r="AQ34" s="1123"/>
      <c r="AR34" s="1122"/>
      <c r="AS34" s="1122"/>
      <c r="AT34" s="1122"/>
      <c r="AU34" s="1123"/>
      <c r="AV34" s="1122"/>
      <c r="AW34" s="1122"/>
      <c r="AX34" s="1122"/>
      <c r="AY34" s="1123"/>
      <c r="AZ34" s="1122"/>
      <c r="BA34" s="1122"/>
      <c r="BB34" s="1122"/>
      <c r="BC34" s="1123"/>
      <c r="BD34" s="1122"/>
      <c r="BE34" s="1122"/>
      <c r="BF34" s="1122"/>
      <c r="BG34" s="1123"/>
      <c r="BH34" s="1122"/>
      <c r="BI34" s="1122"/>
      <c r="BJ34" s="1122"/>
      <c r="BK34" s="1123"/>
      <c r="BL34" s="1122"/>
      <c r="BM34" s="1122"/>
      <c r="BN34" s="1122"/>
      <c r="BO34" s="1123"/>
      <c r="BP34" s="1122"/>
      <c r="BQ34" s="1122"/>
      <c r="BR34" s="1122"/>
      <c r="BS34" s="1123"/>
      <c r="BT34" s="1122"/>
      <c r="BU34" s="1122"/>
      <c r="BV34" s="1122"/>
      <c r="BW34" s="1123"/>
      <c r="BX34" s="1122"/>
      <c r="BY34" s="1122"/>
      <c r="BZ34" s="1122"/>
      <c r="CA34" s="1123"/>
      <c r="CB34" s="1122"/>
      <c r="CC34" s="1122"/>
      <c r="CD34" s="1122"/>
      <c r="CE34" s="1123"/>
      <c r="CF34" s="1122"/>
      <c r="CG34" s="1122"/>
      <c r="CH34" s="1122"/>
      <c r="CI34" s="1123"/>
      <c r="CJ34" s="1122"/>
      <c r="CK34" s="1122"/>
      <c r="CL34" s="1122"/>
      <c r="CM34" s="980"/>
      <c r="CN34" s="588"/>
      <c r="CO34" s="588"/>
      <c r="CP34" s="1122"/>
      <c r="CQ34" s="1123"/>
      <c r="CR34" s="588"/>
      <c r="CS34" s="588"/>
      <c r="CT34" s="588"/>
      <c r="CU34" s="980"/>
      <c r="CV34" s="376"/>
      <c r="CW34" s="1122"/>
      <c r="CX34" s="1122"/>
      <c r="CY34" s="1122"/>
      <c r="CZ34" s="1122"/>
      <c r="DA34" s="1122"/>
      <c r="DB34" s="1122"/>
      <c r="DC34" s="1122"/>
      <c r="DD34" s="1122"/>
      <c r="DE34" s="1122"/>
      <c r="DF34" s="1122"/>
      <c r="DG34" s="1122"/>
      <c r="DH34" s="1122"/>
      <c r="DI34" s="1122"/>
      <c r="DJ34" s="1122"/>
      <c r="DK34" s="1122"/>
      <c r="DL34" s="1122"/>
      <c r="DM34" s="1122"/>
      <c r="DN34" s="1122"/>
      <c r="DO34" s="1122"/>
      <c r="DP34" s="1122"/>
      <c r="DQ34" s="937"/>
      <c r="DR34" s="937"/>
      <c r="DS34" s="937"/>
      <c r="DT34" s="937"/>
      <c r="DU34" s="937"/>
      <c r="DV34" s="937"/>
      <c r="DW34" s="937"/>
      <c r="DX34" s="937"/>
      <c r="DY34" s="937"/>
      <c r="DZ34" s="937"/>
    </row>
    <row r="35" spans="2:130" ht="15">
      <c r="B35" s="989" t="s">
        <v>459</v>
      </c>
      <c r="C35" s="898"/>
      <c r="D35" s="1019"/>
      <c r="E35" s="1020"/>
      <c r="F35" s="1020"/>
      <c r="G35" s="1021"/>
      <c r="H35" s="1020"/>
      <c r="I35" s="1020"/>
      <c r="J35" s="1020"/>
      <c r="K35" s="1021"/>
      <c r="L35" s="1020"/>
      <c r="M35" s="1020"/>
      <c r="N35" s="1020"/>
      <c r="O35" s="1021"/>
      <c r="P35" s="1020"/>
      <c r="Q35" s="1020"/>
      <c r="R35" s="1020"/>
      <c r="S35" s="1021"/>
      <c r="T35" s="1020"/>
      <c r="U35" s="1020"/>
      <c r="V35" s="1020"/>
      <c r="W35" s="1021"/>
      <c r="X35" s="1020"/>
      <c r="Y35" s="1020"/>
      <c r="Z35" s="1020"/>
      <c r="AA35" s="1021"/>
      <c r="AB35" s="1020"/>
      <c r="AC35" s="1020"/>
      <c r="AD35" s="1020"/>
      <c r="AE35" s="1021"/>
      <c r="AF35" s="1020"/>
      <c r="AG35" s="1020"/>
      <c r="AH35" s="1020"/>
      <c r="AI35" s="1021"/>
      <c r="AJ35" s="1022"/>
      <c r="AK35" s="1022"/>
      <c r="AL35" s="1022"/>
      <c r="AM35" s="1023"/>
      <c r="AN35" s="1022"/>
      <c r="AO35" s="1022"/>
      <c r="AP35" s="1022"/>
      <c r="AQ35" s="1023"/>
      <c r="AR35" s="1022"/>
      <c r="AS35" s="1022"/>
      <c r="AT35" s="1022"/>
      <c r="AU35" s="1023"/>
      <c r="AV35" s="1022"/>
      <c r="AW35" s="1022"/>
      <c r="AX35" s="1022"/>
      <c r="AY35" s="1023"/>
      <c r="AZ35" s="1022"/>
      <c r="BA35" s="1022"/>
      <c r="BB35" s="1022"/>
      <c r="BC35" s="1023"/>
      <c r="BD35" s="1022"/>
      <c r="BE35" s="1022"/>
      <c r="BF35" s="1022"/>
      <c r="BG35" s="1023"/>
      <c r="BH35" s="1022"/>
      <c r="BI35" s="1022"/>
      <c r="BJ35" s="1022"/>
      <c r="BK35" s="1023"/>
      <c r="BL35" s="1022"/>
      <c r="BM35" s="1022"/>
      <c r="BN35" s="1022"/>
      <c r="BO35" s="1023"/>
      <c r="BP35" s="1022"/>
      <c r="BQ35" s="1022"/>
      <c r="BR35" s="1022"/>
      <c r="BS35" s="1023"/>
      <c r="BT35" s="1097">
        <v>0.26</v>
      </c>
      <c r="BU35" s="1022">
        <f>BT35</f>
        <v>0.26</v>
      </c>
      <c r="BV35" s="1022">
        <f t="shared" ref="BV35" si="70">BU35</f>
        <v>0.26</v>
      </c>
      <c r="BW35" s="1023">
        <f t="shared" ref="BW35" si="71">BV35</f>
        <v>0.26</v>
      </c>
      <c r="BX35" s="1097">
        <v>0.27</v>
      </c>
      <c r="BY35" s="1022">
        <f>BX35</f>
        <v>0.27</v>
      </c>
      <c r="BZ35" s="1022">
        <f t="shared" ref="BZ35" si="72">BY35</f>
        <v>0.27</v>
      </c>
      <c r="CA35" s="1023">
        <f t="shared" ref="CA35" si="73">BZ35</f>
        <v>0.27</v>
      </c>
      <c r="CB35" s="1097">
        <v>0.28000000000000003</v>
      </c>
      <c r="CC35" s="1022">
        <f>CB35</f>
        <v>0.28000000000000003</v>
      </c>
      <c r="CD35" s="1022">
        <f t="shared" ref="CD35" si="74">CC35</f>
        <v>0.28000000000000003</v>
      </c>
      <c r="CE35" s="1023">
        <f t="shared" ref="CE35" si="75">CD35</f>
        <v>0.28000000000000003</v>
      </c>
      <c r="CF35" s="1097">
        <v>0.27</v>
      </c>
      <c r="CG35" s="1022">
        <f>CF35</f>
        <v>0.27</v>
      </c>
      <c r="CH35" s="1022">
        <f t="shared" ref="CH35" si="76">CG35</f>
        <v>0.27</v>
      </c>
      <c r="CI35" s="1023">
        <f t="shared" ref="CI35" si="77">CH35</f>
        <v>0.27</v>
      </c>
      <c r="CJ35" s="1097">
        <v>0.33</v>
      </c>
      <c r="CK35" s="1022">
        <f>CJ35</f>
        <v>0.33</v>
      </c>
      <c r="CL35" s="1022">
        <f t="shared" ref="CL35" si="78">CK35</f>
        <v>0.33</v>
      </c>
      <c r="CM35" s="1023">
        <f t="shared" ref="CM35" si="79">CL35</f>
        <v>0.33</v>
      </c>
      <c r="CN35" s="1022">
        <f t="shared" ref="CN35" si="80">CM35</f>
        <v>0.33</v>
      </c>
      <c r="CO35" s="1022">
        <f t="shared" ref="CO35" si="81">CN35</f>
        <v>0.33</v>
      </c>
      <c r="CP35" s="1022">
        <f t="shared" ref="CP35:CQ35" si="82">CO35</f>
        <v>0.33</v>
      </c>
      <c r="CQ35" s="1023">
        <f t="shared" si="82"/>
        <v>0.33</v>
      </c>
      <c r="CR35" s="1097">
        <f t="shared" ref="CR35" si="83">CQ35</f>
        <v>0.33</v>
      </c>
      <c r="CS35" s="1097">
        <f t="shared" ref="CS35" si="84">CR35</f>
        <v>0.33</v>
      </c>
      <c r="CT35" s="1097">
        <f t="shared" ref="CT35" si="85">CS35</f>
        <v>0.33</v>
      </c>
      <c r="CU35" s="1098">
        <f t="shared" ref="CU35" si="86">CT35</f>
        <v>0.33</v>
      </c>
      <c r="CV35" s="416"/>
      <c r="CW35" s="1022"/>
      <c r="CX35" s="1020"/>
      <c r="CY35" s="1020"/>
      <c r="CZ35" s="1020"/>
      <c r="DA35" s="1022"/>
      <c r="DB35" s="1022"/>
      <c r="DC35" s="1020"/>
      <c r="DD35" s="1020"/>
      <c r="DE35" s="1020"/>
      <c r="DF35" s="1022"/>
      <c r="DG35" s="1022"/>
      <c r="DH35" s="1022"/>
      <c r="DI35" s="1022"/>
      <c r="DJ35" s="1022"/>
      <c r="DK35" s="1022"/>
      <c r="DL35" s="1022"/>
      <c r="DM35" s="1022"/>
      <c r="DN35" s="1022"/>
      <c r="DO35" s="1022">
        <f>AVERAGE(BT35:BW35)</f>
        <v>0.26</v>
      </c>
      <c r="DP35" s="1022">
        <f>AVERAGE(BX35:CA35)</f>
        <v>0.27</v>
      </c>
      <c r="DQ35" s="1022">
        <f>AVERAGE(CB35:CE35)</f>
        <v>0.28000000000000003</v>
      </c>
      <c r="DR35" s="1022">
        <f>AVERAGE(CF35:CI35)</f>
        <v>0.27</v>
      </c>
      <c r="DS35" s="1022">
        <f>AVERAGE(CJ35:CM35)</f>
        <v>0.33</v>
      </c>
      <c r="DT35" s="1022">
        <f>AVERAGE(CN35:CQ35)</f>
        <v>0.33</v>
      </c>
      <c r="DU35" s="1022">
        <f>AVERAGE(CR35:CU35)</f>
        <v>0.33</v>
      </c>
      <c r="DV35" s="1097">
        <f>DU35</f>
        <v>0.33</v>
      </c>
      <c r="DW35" s="1097">
        <f t="shared" ref="DW35" si="87">DV35</f>
        <v>0.33</v>
      </c>
      <c r="DX35" s="1097">
        <f t="shared" ref="DX35" si="88">DW35</f>
        <v>0.33</v>
      </c>
      <c r="DY35" s="1097">
        <f t="shared" ref="DY35" si="89">DX35</f>
        <v>0.33</v>
      </c>
      <c r="DZ35" s="1097">
        <f t="shared" ref="DZ35" si="90">DY35</f>
        <v>0.33</v>
      </c>
    </row>
    <row r="36" spans="2:130" ht="15">
      <c r="B36" s="989" t="s">
        <v>458</v>
      </c>
      <c r="C36" s="898"/>
      <c r="D36" s="1019"/>
      <c r="E36" s="1020"/>
      <c r="F36" s="1020"/>
      <c r="G36" s="1021"/>
      <c r="H36" s="1020"/>
      <c r="I36" s="1020"/>
      <c r="J36" s="1020"/>
      <c r="K36" s="1021"/>
      <c r="L36" s="1020"/>
      <c r="M36" s="1020"/>
      <c r="N36" s="1020"/>
      <c r="O36" s="1021"/>
      <c r="P36" s="1020"/>
      <c r="Q36" s="1020"/>
      <c r="R36" s="1020"/>
      <c r="S36" s="1021"/>
      <c r="T36" s="1020"/>
      <c r="U36" s="1020"/>
      <c r="V36" s="1020"/>
      <c r="W36" s="1021"/>
      <c r="X36" s="1020"/>
      <c r="Y36" s="1020"/>
      <c r="Z36" s="1020"/>
      <c r="AA36" s="1021"/>
      <c r="AB36" s="1020"/>
      <c r="AC36" s="1020"/>
      <c r="AD36" s="1020"/>
      <c r="AE36" s="1021"/>
      <c r="AF36" s="1020"/>
      <c r="AG36" s="1020"/>
      <c r="AH36" s="1020"/>
      <c r="AI36" s="1021"/>
      <c r="AJ36" s="1022"/>
      <c r="AK36" s="1022"/>
      <c r="AL36" s="1022"/>
      <c r="AM36" s="1023"/>
      <c r="AN36" s="1022"/>
      <c r="AO36" s="1022"/>
      <c r="AP36" s="1022"/>
      <c r="AQ36" s="1023"/>
      <c r="AR36" s="1022"/>
      <c r="AS36" s="1022"/>
      <c r="AT36" s="1022"/>
      <c r="AU36" s="1023"/>
      <c r="AV36" s="1022"/>
      <c r="AW36" s="1022"/>
      <c r="AX36" s="1022"/>
      <c r="AY36" s="1023"/>
      <c r="AZ36" s="1022"/>
      <c r="BA36" s="1022"/>
      <c r="BB36" s="1022"/>
      <c r="BC36" s="1023"/>
      <c r="BD36" s="1022"/>
      <c r="BE36" s="1022"/>
      <c r="BF36" s="1022"/>
      <c r="BG36" s="1023"/>
      <c r="BH36" s="1022"/>
      <c r="BI36" s="1022"/>
      <c r="BJ36" s="1022"/>
      <c r="BK36" s="1023"/>
      <c r="BL36" s="1022"/>
      <c r="BM36" s="1022"/>
      <c r="BN36" s="1022"/>
      <c r="BO36" s="1023"/>
      <c r="BP36" s="1022"/>
      <c r="BQ36" s="1022"/>
      <c r="BR36" s="1022"/>
      <c r="BS36" s="1023"/>
      <c r="BT36" s="1097">
        <f>0.24-BT38</f>
        <v>0.18</v>
      </c>
      <c r="BU36" s="1022">
        <f>BT36</f>
        <v>0.18</v>
      </c>
      <c r="BV36" s="1022">
        <f t="shared" ref="BV36" si="91">BU36</f>
        <v>0.18</v>
      </c>
      <c r="BW36" s="1023">
        <f t="shared" ref="BW36" si="92">BV36</f>
        <v>0.18</v>
      </c>
      <c r="BX36" s="1097">
        <f>0.27-BX38</f>
        <v>0.19</v>
      </c>
      <c r="BY36" s="1022">
        <f>BX36</f>
        <v>0.19</v>
      </c>
      <c r="BZ36" s="1022">
        <f t="shared" ref="BZ36" si="93">BY36</f>
        <v>0.19</v>
      </c>
      <c r="CA36" s="1023">
        <f t="shared" ref="CA36" si="94">BZ36</f>
        <v>0.19</v>
      </c>
      <c r="CB36" s="1097">
        <f>0.26-CB38</f>
        <v>0.16</v>
      </c>
      <c r="CC36" s="1022">
        <f>CB36</f>
        <v>0.16</v>
      </c>
      <c r="CD36" s="1022">
        <f t="shared" ref="CD36" si="95">CC36</f>
        <v>0.16</v>
      </c>
      <c r="CE36" s="1023">
        <f t="shared" ref="CE36" si="96">CD36</f>
        <v>0.16</v>
      </c>
      <c r="CF36" s="1097">
        <f>0.3-CF38</f>
        <v>0.16999999999999998</v>
      </c>
      <c r="CG36" s="1022">
        <f>CF36</f>
        <v>0.16999999999999998</v>
      </c>
      <c r="CH36" s="1022">
        <f t="shared" ref="CH36" si="97">CG36</f>
        <v>0.16999999999999998</v>
      </c>
      <c r="CI36" s="1023">
        <f t="shared" ref="CI36" si="98">CH36</f>
        <v>0.16999999999999998</v>
      </c>
      <c r="CJ36" s="1097">
        <v>0.14000000000000001</v>
      </c>
      <c r="CK36" s="1022">
        <f>CJ36</f>
        <v>0.14000000000000001</v>
      </c>
      <c r="CL36" s="1022">
        <f t="shared" ref="CL36" si="99">CK36</f>
        <v>0.14000000000000001</v>
      </c>
      <c r="CM36" s="1023">
        <f t="shared" ref="CM36" si="100">CL36</f>
        <v>0.14000000000000001</v>
      </c>
      <c r="CN36" s="1022">
        <f t="shared" ref="CN36" si="101">CM36</f>
        <v>0.14000000000000001</v>
      </c>
      <c r="CO36" s="1022">
        <f t="shared" ref="CO36" si="102">CN36</f>
        <v>0.14000000000000001</v>
      </c>
      <c r="CP36" s="1022">
        <f t="shared" ref="CP36:CQ36" si="103">CO36</f>
        <v>0.14000000000000001</v>
      </c>
      <c r="CQ36" s="1023">
        <f t="shared" si="103"/>
        <v>0.14000000000000001</v>
      </c>
      <c r="CR36" s="1097">
        <f t="shared" ref="CR36" si="104">CQ36</f>
        <v>0.14000000000000001</v>
      </c>
      <c r="CS36" s="1097">
        <f t="shared" ref="CS36" si="105">CR36</f>
        <v>0.14000000000000001</v>
      </c>
      <c r="CT36" s="1097">
        <f t="shared" ref="CT36" si="106">CS36</f>
        <v>0.14000000000000001</v>
      </c>
      <c r="CU36" s="1098">
        <f t="shared" ref="CU36" si="107">CT36</f>
        <v>0.14000000000000001</v>
      </c>
      <c r="CV36" s="416"/>
      <c r="CW36" s="1022"/>
      <c r="CX36" s="1020"/>
      <c r="CY36" s="1020"/>
      <c r="CZ36" s="1020"/>
      <c r="DA36" s="1022"/>
      <c r="DB36" s="1022"/>
      <c r="DC36" s="1020"/>
      <c r="DD36" s="1020"/>
      <c r="DE36" s="1020"/>
      <c r="DF36" s="1022"/>
      <c r="DG36" s="1022"/>
      <c r="DH36" s="1022"/>
      <c r="DI36" s="1022"/>
      <c r="DJ36" s="1022"/>
      <c r="DK36" s="1022"/>
      <c r="DL36" s="1022"/>
      <c r="DM36" s="1022"/>
      <c r="DN36" s="1022"/>
      <c r="DO36" s="1022">
        <f>AVERAGE(BT36:BW36)</f>
        <v>0.18</v>
      </c>
      <c r="DP36" s="1022">
        <f>AVERAGE(BX36:CA36)</f>
        <v>0.19</v>
      </c>
      <c r="DQ36" s="1022">
        <f>AVERAGE(CB36:CE36)</f>
        <v>0.16</v>
      </c>
      <c r="DR36" s="1022">
        <f>AVERAGE(CF36:CI36)</f>
        <v>0.16999999999999998</v>
      </c>
      <c r="DS36" s="1022">
        <f>AVERAGE(CJ36:CM36)</f>
        <v>0.14000000000000001</v>
      </c>
      <c r="DT36" s="1022">
        <f>AVERAGE(CN36:CQ36)</f>
        <v>0.14000000000000001</v>
      </c>
      <c r="DU36" s="1022">
        <f>AVERAGE(CR36:CU36)</f>
        <v>0.14000000000000001</v>
      </c>
      <c r="DV36" s="1097">
        <f>DU36</f>
        <v>0.14000000000000001</v>
      </c>
      <c r="DW36" s="1097">
        <f t="shared" ref="DW36" si="108">DV36</f>
        <v>0.14000000000000001</v>
      </c>
      <c r="DX36" s="1097">
        <f t="shared" ref="DX36" si="109">DW36</f>
        <v>0.14000000000000001</v>
      </c>
      <c r="DY36" s="1097">
        <f t="shared" ref="DY36" si="110">DX36</f>
        <v>0.14000000000000001</v>
      </c>
      <c r="DZ36" s="1097">
        <f t="shared" ref="DZ36" si="111">DY36</f>
        <v>0.14000000000000001</v>
      </c>
    </row>
    <row r="37" spans="2:130" ht="15">
      <c r="B37" s="989" t="s">
        <v>456</v>
      </c>
      <c r="C37" s="898"/>
      <c r="D37" s="1019"/>
      <c r="E37" s="1020"/>
      <c r="F37" s="1020"/>
      <c r="G37" s="1021"/>
      <c r="H37" s="1020"/>
      <c r="I37" s="1020"/>
      <c r="J37" s="1020"/>
      <c r="K37" s="1021"/>
      <c r="L37" s="1020"/>
      <c r="M37" s="1020"/>
      <c r="N37" s="1020"/>
      <c r="O37" s="1021"/>
      <c r="P37" s="1020"/>
      <c r="Q37" s="1020"/>
      <c r="R37" s="1020"/>
      <c r="S37" s="1021"/>
      <c r="T37" s="1020"/>
      <c r="U37" s="1020"/>
      <c r="V37" s="1020"/>
      <c r="W37" s="1021"/>
      <c r="X37" s="1020"/>
      <c r="Y37" s="1020"/>
      <c r="Z37" s="1020"/>
      <c r="AA37" s="1021"/>
      <c r="AB37" s="1020"/>
      <c r="AC37" s="1020"/>
      <c r="AD37" s="1020"/>
      <c r="AE37" s="1021"/>
      <c r="AF37" s="1020"/>
      <c r="AG37" s="1020"/>
      <c r="AH37" s="1020"/>
      <c r="AI37" s="1021"/>
      <c r="AJ37" s="1022"/>
      <c r="AK37" s="1022"/>
      <c r="AL37" s="1022"/>
      <c r="AM37" s="1023"/>
      <c r="AN37" s="1022"/>
      <c r="AO37" s="1022"/>
      <c r="AP37" s="1022"/>
      <c r="AQ37" s="1023"/>
      <c r="AR37" s="1022"/>
      <c r="AS37" s="1022"/>
      <c r="AT37" s="1022"/>
      <c r="AU37" s="1023"/>
      <c r="AV37" s="1022"/>
      <c r="AW37" s="1022"/>
      <c r="AX37" s="1022"/>
      <c r="AY37" s="1023"/>
      <c r="AZ37" s="1022"/>
      <c r="BA37" s="1022"/>
      <c r="BB37" s="1022"/>
      <c r="BC37" s="1023"/>
      <c r="BD37" s="1022"/>
      <c r="BE37" s="1022"/>
      <c r="BF37" s="1022"/>
      <c r="BG37" s="1023"/>
      <c r="BH37" s="1022"/>
      <c r="BI37" s="1022"/>
      <c r="BJ37" s="1022"/>
      <c r="BK37" s="1023"/>
      <c r="BL37" s="1022"/>
      <c r="BM37" s="1022"/>
      <c r="BN37" s="1022"/>
      <c r="BO37" s="1023"/>
      <c r="BP37" s="1022"/>
      <c r="BQ37" s="1022"/>
      <c r="BR37" s="1022"/>
      <c r="BS37" s="1023"/>
      <c r="BT37" s="1097">
        <v>0.5</v>
      </c>
      <c r="BU37" s="1022">
        <f>BT37</f>
        <v>0.5</v>
      </c>
      <c r="BV37" s="1022">
        <f t="shared" ref="BV37:BV38" si="112">BU37</f>
        <v>0.5</v>
      </c>
      <c r="BW37" s="1023">
        <f t="shared" ref="BW37:BW38" si="113">BV37</f>
        <v>0.5</v>
      </c>
      <c r="BX37" s="1097">
        <v>0.46</v>
      </c>
      <c r="BY37" s="1022">
        <f>BX37</f>
        <v>0.46</v>
      </c>
      <c r="BZ37" s="1022">
        <f t="shared" ref="BZ37:BZ38" si="114">BY37</f>
        <v>0.46</v>
      </c>
      <c r="CA37" s="1023">
        <f t="shared" ref="CA37:CA38" si="115">BZ37</f>
        <v>0.46</v>
      </c>
      <c r="CB37" s="1097">
        <v>0.46</v>
      </c>
      <c r="CC37" s="1022">
        <f>CB37</f>
        <v>0.46</v>
      </c>
      <c r="CD37" s="1022">
        <f t="shared" ref="CD37:CD38" si="116">CC37</f>
        <v>0.46</v>
      </c>
      <c r="CE37" s="1023">
        <f t="shared" ref="CE37:CE38" si="117">CD37</f>
        <v>0.46</v>
      </c>
      <c r="CF37" s="1097">
        <v>0.43</v>
      </c>
      <c r="CG37" s="1022">
        <f>CF37</f>
        <v>0.43</v>
      </c>
      <c r="CH37" s="1022">
        <f t="shared" ref="CH37:CH38" si="118">CG37</f>
        <v>0.43</v>
      </c>
      <c r="CI37" s="1023">
        <f t="shared" ref="CI37:CI38" si="119">CH37</f>
        <v>0.43</v>
      </c>
      <c r="CJ37" s="1097">
        <v>0.4</v>
      </c>
      <c r="CK37" s="1022">
        <f>CJ37</f>
        <v>0.4</v>
      </c>
      <c r="CL37" s="1022">
        <f t="shared" ref="CL37:CL38" si="120">CK37</f>
        <v>0.4</v>
      </c>
      <c r="CM37" s="1023">
        <f t="shared" ref="CM37:CM38" si="121">CL37</f>
        <v>0.4</v>
      </c>
      <c r="CN37" s="1022">
        <f t="shared" ref="CN37:CN38" si="122">CM37</f>
        <v>0.4</v>
      </c>
      <c r="CO37" s="1022">
        <f t="shared" ref="CO37:CO38" si="123">CN37</f>
        <v>0.4</v>
      </c>
      <c r="CP37" s="1022">
        <f t="shared" ref="CP37:CQ38" si="124">CO37</f>
        <v>0.4</v>
      </c>
      <c r="CQ37" s="1023">
        <f t="shared" si="124"/>
        <v>0.4</v>
      </c>
      <c r="CR37" s="1097">
        <f t="shared" ref="CR37:CR38" si="125">CQ37</f>
        <v>0.4</v>
      </c>
      <c r="CS37" s="1097">
        <f t="shared" ref="CS37:CS38" si="126">CR37</f>
        <v>0.4</v>
      </c>
      <c r="CT37" s="1097">
        <f t="shared" ref="CT37:CT38" si="127">CS37</f>
        <v>0.4</v>
      </c>
      <c r="CU37" s="1098">
        <f t="shared" ref="CU37:CU38" si="128">CT37</f>
        <v>0.4</v>
      </c>
      <c r="CV37" s="416"/>
      <c r="CW37" s="1022"/>
      <c r="CX37" s="1020"/>
      <c r="CY37" s="1020"/>
      <c r="CZ37" s="1020"/>
      <c r="DA37" s="1022"/>
      <c r="DB37" s="1022"/>
      <c r="DC37" s="1020"/>
      <c r="DD37" s="1020"/>
      <c r="DE37" s="1020"/>
      <c r="DF37" s="1022"/>
      <c r="DG37" s="1022"/>
      <c r="DH37" s="1022"/>
      <c r="DI37" s="1022"/>
      <c r="DJ37" s="1022"/>
      <c r="DK37" s="1022"/>
      <c r="DL37" s="1022"/>
      <c r="DM37" s="1022"/>
      <c r="DN37" s="1022"/>
      <c r="DO37" s="1022">
        <f>AVERAGE(BT37:BW37)</f>
        <v>0.5</v>
      </c>
      <c r="DP37" s="1022">
        <f>AVERAGE(BX37:CA37)</f>
        <v>0.46</v>
      </c>
      <c r="DQ37" s="1022">
        <f>AVERAGE(CB37:CE37)</f>
        <v>0.46</v>
      </c>
      <c r="DR37" s="1022">
        <f>AVERAGE(CF37:CI37)</f>
        <v>0.43</v>
      </c>
      <c r="DS37" s="1022">
        <f>AVERAGE(CJ37:CM37)</f>
        <v>0.4</v>
      </c>
      <c r="DT37" s="1022">
        <f>AVERAGE(CN37:CQ37)</f>
        <v>0.4</v>
      </c>
      <c r="DU37" s="1022">
        <f>AVERAGE(CR37:CU37)</f>
        <v>0.4</v>
      </c>
      <c r="DV37" s="1097">
        <f>DU37</f>
        <v>0.4</v>
      </c>
      <c r="DW37" s="1097">
        <f t="shared" ref="DW37:DW38" si="129">DV37</f>
        <v>0.4</v>
      </c>
      <c r="DX37" s="1097">
        <f t="shared" ref="DX37:DX38" si="130">DW37</f>
        <v>0.4</v>
      </c>
      <c r="DY37" s="1097">
        <f t="shared" ref="DY37:DY38" si="131">DX37</f>
        <v>0.4</v>
      </c>
      <c r="DZ37" s="1097">
        <f t="shared" ref="DZ37:DZ38" si="132">DY37</f>
        <v>0.4</v>
      </c>
    </row>
    <row r="38" spans="2:130" ht="15">
      <c r="B38" s="989" t="s">
        <v>457</v>
      </c>
      <c r="C38" s="898"/>
      <c r="D38" s="1019"/>
      <c r="E38" s="1020"/>
      <c r="F38" s="1020"/>
      <c r="G38" s="1021"/>
      <c r="H38" s="1020"/>
      <c r="I38" s="1020"/>
      <c r="J38" s="1020"/>
      <c r="K38" s="1021"/>
      <c r="L38" s="1020"/>
      <c r="M38" s="1020"/>
      <c r="N38" s="1020"/>
      <c r="O38" s="1021"/>
      <c r="P38" s="1020"/>
      <c r="Q38" s="1020"/>
      <c r="R38" s="1020"/>
      <c r="S38" s="1021"/>
      <c r="T38" s="1020"/>
      <c r="U38" s="1020"/>
      <c r="V38" s="1020"/>
      <c r="W38" s="1021"/>
      <c r="X38" s="1020"/>
      <c r="Y38" s="1020"/>
      <c r="Z38" s="1020"/>
      <c r="AA38" s="1021"/>
      <c r="AB38" s="1020"/>
      <c r="AC38" s="1020"/>
      <c r="AD38" s="1020"/>
      <c r="AE38" s="1021"/>
      <c r="AF38" s="1020"/>
      <c r="AG38" s="1020"/>
      <c r="AH38" s="1020"/>
      <c r="AI38" s="1021"/>
      <c r="AJ38" s="1022"/>
      <c r="AK38" s="1022"/>
      <c r="AL38" s="1022"/>
      <c r="AM38" s="1023"/>
      <c r="AN38" s="1022"/>
      <c r="AO38" s="1022"/>
      <c r="AP38" s="1022"/>
      <c r="AQ38" s="1023"/>
      <c r="AR38" s="1022"/>
      <c r="AS38" s="1022"/>
      <c r="AT38" s="1022"/>
      <c r="AU38" s="1023"/>
      <c r="AV38" s="1022"/>
      <c r="AW38" s="1022"/>
      <c r="AX38" s="1022"/>
      <c r="AY38" s="1023"/>
      <c r="AZ38" s="1022"/>
      <c r="BA38" s="1022"/>
      <c r="BB38" s="1022"/>
      <c r="BC38" s="1023"/>
      <c r="BD38" s="1022"/>
      <c r="BE38" s="1022"/>
      <c r="BF38" s="1022"/>
      <c r="BG38" s="1023"/>
      <c r="BH38" s="1022"/>
      <c r="BI38" s="1022"/>
      <c r="BJ38" s="1022"/>
      <c r="BK38" s="1023"/>
      <c r="BL38" s="1022"/>
      <c r="BM38" s="1022"/>
      <c r="BN38" s="1022"/>
      <c r="BO38" s="1023"/>
      <c r="BP38" s="1022"/>
      <c r="BQ38" s="1022"/>
      <c r="BR38" s="1022"/>
      <c r="BS38" s="1023"/>
      <c r="BT38" s="1097">
        <v>0.06</v>
      </c>
      <c r="BU38" s="1022">
        <f>BT38</f>
        <v>0.06</v>
      </c>
      <c r="BV38" s="1022">
        <f t="shared" si="112"/>
        <v>0.06</v>
      </c>
      <c r="BW38" s="1023">
        <f t="shared" si="113"/>
        <v>0.06</v>
      </c>
      <c r="BX38" s="1097">
        <v>0.08</v>
      </c>
      <c r="BY38" s="1022">
        <f>BX38</f>
        <v>0.08</v>
      </c>
      <c r="BZ38" s="1022">
        <f t="shared" si="114"/>
        <v>0.08</v>
      </c>
      <c r="CA38" s="1023">
        <f t="shared" si="115"/>
        <v>0.08</v>
      </c>
      <c r="CB38" s="1097">
        <v>0.1</v>
      </c>
      <c r="CC38" s="1022">
        <f>CB38</f>
        <v>0.1</v>
      </c>
      <c r="CD38" s="1022">
        <f t="shared" si="116"/>
        <v>0.1</v>
      </c>
      <c r="CE38" s="1023">
        <f t="shared" si="117"/>
        <v>0.1</v>
      </c>
      <c r="CF38" s="1097">
        <v>0.13</v>
      </c>
      <c r="CG38" s="1022">
        <f>CF38</f>
        <v>0.13</v>
      </c>
      <c r="CH38" s="1022">
        <f t="shared" si="118"/>
        <v>0.13</v>
      </c>
      <c r="CI38" s="1023">
        <f t="shared" si="119"/>
        <v>0.13</v>
      </c>
      <c r="CJ38" s="1097">
        <v>0.13</v>
      </c>
      <c r="CK38" s="1022">
        <f>CJ38</f>
        <v>0.13</v>
      </c>
      <c r="CL38" s="1022">
        <f t="shared" si="120"/>
        <v>0.13</v>
      </c>
      <c r="CM38" s="1023">
        <f t="shared" si="121"/>
        <v>0.13</v>
      </c>
      <c r="CN38" s="1022">
        <f t="shared" si="122"/>
        <v>0.13</v>
      </c>
      <c r="CO38" s="1022">
        <f t="shared" si="123"/>
        <v>0.13</v>
      </c>
      <c r="CP38" s="1022">
        <f t="shared" si="124"/>
        <v>0.13</v>
      </c>
      <c r="CQ38" s="1023">
        <f t="shared" si="124"/>
        <v>0.13</v>
      </c>
      <c r="CR38" s="1097">
        <f t="shared" si="125"/>
        <v>0.13</v>
      </c>
      <c r="CS38" s="1097">
        <f t="shared" si="126"/>
        <v>0.13</v>
      </c>
      <c r="CT38" s="1097">
        <f t="shared" si="127"/>
        <v>0.13</v>
      </c>
      <c r="CU38" s="1098">
        <f t="shared" si="128"/>
        <v>0.13</v>
      </c>
      <c r="CV38" s="416"/>
      <c r="CW38" s="1022"/>
      <c r="CX38" s="1020"/>
      <c r="CY38" s="1020"/>
      <c r="CZ38" s="1020"/>
      <c r="DA38" s="1022"/>
      <c r="DB38" s="1022"/>
      <c r="DC38" s="1020"/>
      <c r="DD38" s="1020"/>
      <c r="DE38" s="1020"/>
      <c r="DF38" s="1022"/>
      <c r="DG38" s="1022"/>
      <c r="DH38" s="1022"/>
      <c r="DI38" s="1022"/>
      <c r="DJ38" s="1022"/>
      <c r="DK38" s="1022"/>
      <c r="DL38" s="1022"/>
      <c r="DM38" s="1022"/>
      <c r="DN38" s="1022"/>
      <c r="DO38" s="1022">
        <f>AVERAGE(BT38:BW38)</f>
        <v>0.06</v>
      </c>
      <c r="DP38" s="1022">
        <f>AVERAGE(BX38:CA38)</f>
        <v>0.08</v>
      </c>
      <c r="DQ38" s="1022">
        <f>AVERAGE(CB38:CE38)</f>
        <v>0.1</v>
      </c>
      <c r="DR38" s="1022">
        <f>AVERAGE(CF38:CI38)</f>
        <v>0.13</v>
      </c>
      <c r="DS38" s="1022">
        <f>AVERAGE(CJ38:CM38)</f>
        <v>0.13</v>
      </c>
      <c r="DT38" s="1022">
        <f>AVERAGE(CN38:CQ38)</f>
        <v>0.13</v>
      </c>
      <c r="DU38" s="1022">
        <f>AVERAGE(CR38:CU38)</f>
        <v>0.13</v>
      </c>
      <c r="DV38" s="1097">
        <f>DU38</f>
        <v>0.13</v>
      </c>
      <c r="DW38" s="1097">
        <f t="shared" si="129"/>
        <v>0.13</v>
      </c>
      <c r="DX38" s="1097">
        <f t="shared" si="130"/>
        <v>0.13</v>
      </c>
      <c r="DY38" s="1097">
        <f t="shared" si="131"/>
        <v>0.13</v>
      </c>
      <c r="DZ38" s="1097">
        <f t="shared" si="132"/>
        <v>0.13</v>
      </c>
    </row>
    <row r="39" spans="2:130" ht="15">
      <c r="B39" s="975"/>
      <c r="C39" s="976"/>
      <c r="D39" s="977"/>
      <c r="E39" s="978"/>
      <c r="F39" s="978"/>
      <c r="G39" s="979"/>
      <c r="H39" s="978"/>
      <c r="I39" s="978"/>
      <c r="J39" s="978"/>
      <c r="K39" s="979"/>
      <c r="L39" s="978"/>
      <c r="M39" s="978"/>
      <c r="N39" s="978"/>
      <c r="O39" s="979"/>
      <c r="P39" s="978"/>
      <c r="Q39" s="978"/>
      <c r="R39" s="978"/>
      <c r="S39" s="979"/>
      <c r="T39" s="978"/>
      <c r="U39" s="978"/>
      <c r="V39" s="978"/>
      <c r="W39" s="979"/>
      <c r="X39" s="978"/>
      <c r="Y39" s="978"/>
      <c r="Z39" s="978"/>
      <c r="AA39" s="979"/>
      <c r="AB39" s="978"/>
      <c r="AC39" s="978"/>
      <c r="AD39" s="978"/>
      <c r="AE39" s="979"/>
      <c r="AF39" s="978"/>
      <c r="AG39" s="978"/>
      <c r="AH39" s="978"/>
      <c r="AI39" s="979"/>
      <c r="AJ39" s="978"/>
      <c r="AK39" s="978"/>
      <c r="AL39" s="978"/>
      <c r="AM39" s="979"/>
      <c r="AN39" s="978"/>
      <c r="AO39" s="978"/>
      <c r="AP39" s="978"/>
      <c r="AQ39" s="979"/>
      <c r="AR39" s="978"/>
      <c r="AS39" s="978"/>
      <c r="AT39" s="978"/>
      <c r="AU39" s="979"/>
      <c r="AV39" s="978"/>
      <c r="AW39" s="978"/>
      <c r="AX39" s="978"/>
      <c r="AY39" s="979"/>
      <c r="AZ39" s="978"/>
      <c r="BA39" s="978"/>
      <c r="BB39" s="978"/>
      <c r="BC39" s="979"/>
      <c r="BD39" s="978"/>
      <c r="BE39" s="978"/>
      <c r="BF39" s="978"/>
      <c r="BG39" s="979"/>
      <c r="BH39" s="978"/>
      <c r="BI39" s="978"/>
      <c r="BJ39" s="978"/>
      <c r="BK39" s="979"/>
      <c r="BL39" s="978"/>
      <c r="BM39" s="978"/>
      <c r="BN39" s="978"/>
      <c r="BO39" s="979"/>
      <c r="BP39" s="978"/>
      <c r="BQ39" s="978"/>
      <c r="BR39" s="978"/>
      <c r="BS39" s="979"/>
      <c r="BT39" s="978"/>
      <c r="BU39" s="978"/>
      <c r="BV39" s="978"/>
      <c r="BW39" s="979"/>
      <c r="BX39" s="978"/>
      <c r="BY39" s="978"/>
      <c r="BZ39" s="978"/>
      <c r="CA39" s="979"/>
      <c r="CB39" s="978"/>
      <c r="CC39" s="978"/>
      <c r="CD39" s="978"/>
      <c r="CE39" s="979"/>
      <c r="CF39" s="978"/>
      <c r="CG39" s="978"/>
      <c r="CH39" s="978"/>
      <c r="CI39" s="979"/>
      <c r="CJ39" s="978"/>
      <c r="CK39" s="978"/>
      <c r="CL39" s="978"/>
      <c r="CM39" s="980"/>
      <c r="CN39" s="588"/>
      <c r="CO39" s="588"/>
      <c r="CP39" s="978"/>
      <c r="CQ39" s="979"/>
      <c r="CR39" s="588"/>
      <c r="CS39" s="588"/>
      <c r="CT39" s="588"/>
      <c r="CU39" s="980"/>
      <c r="CV39" s="376"/>
      <c r="CW39" s="978"/>
      <c r="CX39" s="978"/>
      <c r="CY39" s="978"/>
      <c r="CZ39" s="978"/>
      <c r="DA39" s="978"/>
      <c r="DB39" s="978"/>
      <c r="DC39" s="978"/>
      <c r="DD39" s="978"/>
      <c r="DE39" s="978"/>
      <c r="DF39" s="978"/>
      <c r="DG39" s="978"/>
      <c r="DH39" s="978"/>
      <c r="DI39" s="978"/>
      <c r="DJ39" s="978"/>
      <c r="DK39" s="978"/>
      <c r="DL39" s="978"/>
      <c r="DM39" s="978"/>
      <c r="DN39" s="978"/>
      <c r="DO39" s="978"/>
      <c r="DP39" s="978"/>
      <c r="DQ39" s="665"/>
      <c r="DR39" s="665"/>
      <c r="DS39" s="665"/>
      <c r="DT39" s="665"/>
      <c r="DU39" s="665"/>
      <c r="DV39" s="665"/>
      <c r="DW39" s="665"/>
      <c r="DX39" s="665"/>
      <c r="DY39" s="665"/>
      <c r="DZ39" s="665"/>
    </row>
    <row r="40" spans="2:130" ht="15">
      <c r="B40" s="993" t="s">
        <v>400</v>
      </c>
      <c r="C40" s="994"/>
      <c r="D40" s="995"/>
      <c r="E40" s="996"/>
      <c r="F40" s="996"/>
      <c r="G40" s="997"/>
      <c r="H40" s="996"/>
      <c r="I40" s="996"/>
      <c r="J40" s="996"/>
      <c r="K40" s="997"/>
      <c r="L40" s="996"/>
      <c r="M40" s="996"/>
      <c r="N40" s="996"/>
      <c r="O40" s="997"/>
      <c r="P40" s="996"/>
      <c r="Q40" s="996"/>
      <c r="R40" s="996"/>
      <c r="S40" s="997"/>
      <c r="T40" s="996"/>
      <c r="U40" s="996"/>
      <c r="V40" s="996"/>
      <c r="W40" s="997"/>
      <c r="X40" s="996"/>
      <c r="Y40" s="996"/>
      <c r="Z40" s="996"/>
      <c r="AA40" s="997"/>
      <c r="AB40" s="996"/>
      <c r="AC40" s="996"/>
      <c r="AD40" s="996"/>
      <c r="AE40" s="997"/>
      <c r="AF40" s="996"/>
      <c r="AG40" s="996"/>
      <c r="AH40" s="996"/>
      <c r="AI40" s="997"/>
      <c r="AJ40" s="996"/>
      <c r="AK40" s="996"/>
      <c r="AL40" s="996"/>
      <c r="AM40" s="997"/>
      <c r="AN40" s="996"/>
      <c r="AO40" s="996"/>
      <c r="AP40" s="996"/>
      <c r="AQ40" s="997"/>
      <c r="AR40" s="996"/>
      <c r="AS40" s="996"/>
      <c r="AT40" s="996"/>
      <c r="AU40" s="997"/>
      <c r="AV40" s="996"/>
      <c r="AW40" s="996"/>
      <c r="AX40" s="996"/>
      <c r="AY40" s="997"/>
      <c r="AZ40" s="996"/>
      <c r="BA40" s="996"/>
      <c r="BB40" s="996"/>
      <c r="BC40" s="997"/>
      <c r="BD40" s="996"/>
      <c r="BE40" s="996"/>
      <c r="BF40" s="996"/>
      <c r="BG40" s="997"/>
      <c r="BH40" s="996"/>
      <c r="BI40" s="996"/>
      <c r="BJ40" s="996"/>
      <c r="BK40" s="997"/>
      <c r="BL40" s="996"/>
      <c r="BM40" s="996"/>
      <c r="BN40" s="996"/>
      <c r="BO40" s="997"/>
      <c r="BP40" s="996"/>
      <c r="BQ40" s="996"/>
      <c r="BR40" s="996"/>
      <c r="BS40" s="997"/>
      <c r="BT40" s="996"/>
      <c r="BU40" s="996"/>
      <c r="BV40" s="996"/>
      <c r="BW40" s="997"/>
      <c r="BX40" s="996"/>
      <c r="BY40" s="996"/>
      <c r="BZ40" s="996"/>
      <c r="CA40" s="997"/>
      <c r="CB40" s="996"/>
      <c r="CC40" s="996"/>
      <c r="CD40" s="996"/>
      <c r="CE40" s="997"/>
      <c r="CF40" s="996"/>
      <c r="CG40" s="996"/>
      <c r="CH40" s="996"/>
      <c r="CI40" s="997"/>
      <c r="CJ40" s="996"/>
      <c r="CK40" s="996"/>
      <c r="CL40" s="996"/>
      <c r="CM40" s="998"/>
      <c r="CN40" s="999">
        <v>212</v>
      </c>
      <c r="CO40" s="999">
        <v>234</v>
      </c>
      <c r="CP40" s="1000">
        <v>268</v>
      </c>
      <c r="CQ40" s="1169">
        <v>255</v>
      </c>
      <c r="CR40" s="1002"/>
      <c r="CS40" s="1002"/>
      <c r="CT40" s="1002"/>
      <c r="CU40" s="1001"/>
      <c r="CV40" s="537"/>
      <c r="CW40" s="996"/>
      <c r="CX40" s="996"/>
      <c r="CY40" s="996"/>
      <c r="CZ40" s="996"/>
      <c r="DA40" s="996"/>
      <c r="DB40" s="996"/>
      <c r="DC40" s="996"/>
      <c r="DD40" s="996"/>
      <c r="DE40" s="996"/>
      <c r="DF40" s="996"/>
      <c r="DG40" s="996"/>
      <c r="DH40" s="996"/>
      <c r="DI40" s="996"/>
      <c r="DJ40" s="996"/>
      <c r="DK40" s="996"/>
      <c r="DL40" s="996"/>
      <c r="DM40" s="996"/>
      <c r="DN40" s="996"/>
      <c r="DO40" s="996"/>
      <c r="DP40" s="996"/>
      <c r="DQ40" s="942"/>
      <c r="DR40" s="942"/>
      <c r="DS40" s="942"/>
      <c r="DT40" s="999">
        <f>AVERAGE(875,905)</f>
        <v>890</v>
      </c>
      <c r="DU40" s="999">
        <f>AVERAGE(650,730)</f>
        <v>690</v>
      </c>
      <c r="DV40" s="999">
        <f>AVERAGE(675,800)</f>
        <v>737.5</v>
      </c>
      <c r="DW40" s="942">
        <f>AVERAGE(700,825)</f>
        <v>762.5</v>
      </c>
      <c r="DX40" s="942"/>
      <c r="DY40" s="942"/>
      <c r="DZ40" s="942"/>
    </row>
    <row r="41" spans="2:130" ht="15">
      <c r="B41" s="975"/>
      <c r="C41" s="976"/>
      <c r="D41" s="977"/>
      <c r="E41" s="978"/>
      <c r="F41" s="978"/>
      <c r="G41" s="979"/>
      <c r="H41" s="978"/>
      <c r="I41" s="978"/>
      <c r="J41" s="978"/>
      <c r="K41" s="979"/>
      <c r="L41" s="978"/>
      <c r="M41" s="978"/>
      <c r="N41" s="978"/>
      <c r="O41" s="979"/>
      <c r="P41" s="978"/>
      <c r="Q41" s="978"/>
      <c r="R41" s="978"/>
      <c r="S41" s="979"/>
      <c r="T41" s="978"/>
      <c r="U41" s="978"/>
      <c r="V41" s="978"/>
      <c r="W41" s="979"/>
      <c r="X41" s="978"/>
      <c r="Y41" s="978"/>
      <c r="Z41" s="978"/>
      <c r="AA41" s="979"/>
      <c r="AB41" s="978"/>
      <c r="AC41" s="978"/>
      <c r="AD41" s="978"/>
      <c r="AE41" s="979"/>
      <c r="AF41" s="978"/>
      <c r="AG41" s="978"/>
      <c r="AH41" s="978"/>
      <c r="AI41" s="979"/>
      <c r="AJ41" s="978"/>
      <c r="AK41" s="978"/>
      <c r="AL41" s="978"/>
      <c r="AM41" s="979"/>
      <c r="AN41" s="978"/>
      <c r="AO41" s="978"/>
      <c r="AP41" s="978"/>
      <c r="AQ41" s="979"/>
      <c r="AR41" s="978"/>
      <c r="AS41" s="978"/>
      <c r="AT41" s="978"/>
      <c r="AU41" s="979"/>
      <c r="AV41" s="978"/>
      <c r="AW41" s="978"/>
      <c r="AX41" s="978"/>
      <c r="AY41" s="979"/>
      <c r="AZ41" s="978"/>
      <c r="BA41" s="978"/>
      <c r="BB41" s="978"/>
      <c r="BC41" s="979"/>
      <c r="BD41" s="978"/>
      <c r="BE41" s="978"/>
      <c r="BF41" s="978"/>
      <c r="BG41" s="979"/>
      <c r="BH41" s="978"/>
      <c r="BI41" s="978"/>
      <c r="BJ41" s="978"/>
      <c r="BK41" s="979"/>
      <c r="BL41" s="978"/>
      <c r="BM41" s="978"/>
      <c r="BN41" s="978"/>
      <c r="BO41" s="979"/>
      <c r="BP41" s="978"/>
      <c r="BQ41" s="978"/>
      <c r="BR41" s="978"/>
      <c r="BS41" s="979"/>
      <c r="BT41" s="978"/>
      <c r="BU41" s="978"/>
      <c r="BV41" s="978"/>
      <c r="BW41" s="979"/>
      <c r="BX41" s="978"/>
      <c r="BY41" s="978"/>
      <c r="BZ41" s="978"/>
      <c r="CA41" s="979"/>
      <c r="CB41" s="978"/>
      <c r="CC41" s="978"/>
      <c r="CD41" s="978"/>
      <c r="CE41" s="979"/>
      <c r="CF41" s="978"/>
      <c r="CG41" s="978"/>
      <c r="CH41" s="978"/>
      <c r="CI41" s="979"/>
      <c r="CJ41" s="978"/>
      <c r="CK41" s="978"/>
      <c r="CL41" s="978"/>
      <c r="CM41" s="980"/>
      <c r="CN41" s="588"/>
      <c r="CO41" s="588"/>
      <c r="CP41" s="978"/>
      <c r="CQ41" s="979"/>
      <c r="CR41" s="588"/>
      <c r="CS41" s="588"/>
      <c r="CT41" s="588"/>
      <c r="CU41" s="980"/>
      <c r="CV41" s="376"/>
      <c r="CW41" s="978"/>
      <c r="CX41" s="978"/>
      <c r="CY41" s="978"/>
      <c r="CZ41" s="978"/>
      <c r="DA41" s="978"/>
      <c r="DB41" s="978"/>
      <c r="DC41" s="978"/>
      <c r="DD41" s="978"/>
      <c r="DE41" s="978"/>
      <c r="DF41" s="978"/>
      <c r="DG41" s="978"/>
      <c r="DH41" s="978"/>
      <c r="DI41" s="978"/>
      <c r="DJ41" s="978"/>
      <c r="DK41" s="978"/>
      <c r="DL41" s="978"/>
      <c r="DM41" s="978"/>
      <c r="DN41" s="978"/>
      <c r="DO41" s="978"/>
      <c r="DP41" s="978"/>
      <c r="DQ41" s="665"/>
      <c r="DR41" s="665"/>
      <c r="DS41" s="665"/>
      <c r="DT41" s="665"/>
      <c r="DU41" s="991">
        <f>DU40/DT64</f>
        <v>7.0413192779076067E-2</v>
      </c>
      <c r="DV41" s="665"/>
      <c r="DW41" s="665"/>
      <c r="DX41" s="665"/>
      <c r="DY41" s="665"/>
      <c r="DZ41" s="665"/>
    </row>
    <row r="42" spans="2:130" ht="15">
      <c r="B42" s="364" t="s">
        <v>289</v>
      </c>
      <c r="C42" s="896"/>
      <c r="D42" s="365" t="str">
        <f>D$4</f>
        <v>1Q95</v>
      </c>
      <c r="E42" s="366" t="str">
        <f t="shared" ref="E42:BP42" si="133">E$4</f>
        <v>2Q95</v>
      </c>
      <c r="F42" s="366" t="str">
        <f t="shared" si="133"/>
        <v>3Q95</v>
      </c>
      <c r="G42" s="367" t="str">
        <f t="shared" si="133"/>
        <v>4Q95</v>
      </c>
      <c r="H42" s="366" t="str">
        <f t="shared" si="133"/>
        <v>1Q96</v>
      </c>
      <c r="I42" s="366" t="str">
        <f t="shared" si="133"/>
        <v>2Q96</v>
      </c>
      <c r="J42" s="366" t="str">
        <f t="shared" si="133"/>
        <v>3Q96</v>
      </c>
      <c r="K42" s="367" t="str">
        <f t="shared" si="133"/>
        <v>4Q96</v>
      </c>
      <c r="L42" s="366" t="str">
        <f t="shared" si="133"/>
        <v>1Q97</v>
      </c>
      <c r="M42" s="366" t="str">
        <f t="shared" si="133"/>
        <v>2Q97</v>
      </c>
      <c r="N42" s="366" t="str">
        <f t="shared" si="133"/>
        <v>3Q97</v>
      </c>
      <c r="O42" s="367" t="str">
        <f t="shared" si="133"/>
        <v>4Q97</v>
      </c>
      <c r="P42" s="366" t="str">
        <f t="shared" si="133"/>
        <v>1Q98</v>
      </c>
      <c r="Q42" s="366" t="str">
        <f t="shared" si="133"/>
        <v>2Q98</v>
      </c>
      <c r="R42" s="366" t="str">
        <f t="shared" si="133"/>
        <v>3Q98</v>
      </c>
      <c r="S42" s="367" t="str">
        <f t="shared" si="133"/>
        <v>4Q98</v>
      </c>
      <c r="T42" s="366" t="str">
        <f t="shared" si="133"/>
        <v>1Q99</v>
      </c>
      <c r="U42" s="366" t="str">
        <f t="shared" si="133"/>
        <v>2Q99</v>
      </c>
      <c r="V42" s="366" t="str">
        <f t="shared" si="133"/>
        <v>3Q99</v>
      </c>
      <c r="W42" s="367" t="str">
        <f t="shared" si="133"/>
        <v>4Q99</v>
      </c>
      <c r="X42" s="366" t="str">
        <f t="shared" si="133"/>
        <v>1Q00</v>
      </c>
      <c r="Y42" s="366" t="str">
        <f t="shared" si="133"/>
        <v>2Q00</v>
      </c>
      <c r="Z42" s="366" t="str">
        <f t="shared" si="133"/>
        <v>3Q00</v>
      </c>
      <c r="AA42" s="367" t="str">
        <f t="shared" si="133"/>
        <v>4Q00</v>
      </c>
      <c r="AB42" s="366" t="str">
        <f t="shared" si="133"/>
        <v>1Q01</v>
      </c>
      <c r="AC42" s="366" t="str">
        <f t="shared" si="133"/>
        <v>2Q01</v>
      </c>
      <c r="AD42" s="366" t="str">
        <f t="shared" si="133"/>
        <v>3Q01</v>
      </c>
      <c r="AE42" s="367" t="str">
        <f t="shared" si="133"/>
        <v>4Q01</v>
      </c>
      <c r="AF42" s="366" t="str">
        <f t="shared" si="133"/>
        <v>1Q02</v>
      </c>
      <c r="AG42" s="366" t="str">
        <f t="shared" si="133"/>
        <v>2Q02</v>
      </c>
      <c r="AH42" s="366" t="str">
        <f t="shared" si="133"/>
        <v>3Q02</v>
      </c>
      <c r="AI42" s="367" t="str">
        <f t="shared" si="133"/>
        <v>4Q02</v>
      </c>
      <c r="AJ42" s="366" t="str">
        <f t="shared" si="133"/>
        <v>1Q03</v>
      </c>
      <c r="AK42" s="366" t="str">
        <f t="shared" si="133"/>
        <v>2Q03</v>
      </c>
      <c r="AL42" s="366" t="str">
        <f t="shared" si="133"/>
        <v>3Q03</v>
      </c>
      <c r="AM42" s="367" t="str">
        <f t="shared" si="133"/>
        <v>4Q03</v>
      </c>
      <c r="AN42" s="366" t="str">
        <f t="shared" si="133"/>
        <v>1Q04</v>
      </c>
      <c r="AO42" s="366" t="str">
        <f t="shared" si="133"/>
        <v>2Q04</v>
      </c>
      <c r="AP42" s="366" t="str">
        <f t="shared" si="133"/>
        <v>3Q04</v>
      </c>
      <c r="AQ42" s="367" t="str">
        <f t="shared" si="133"/>
        <v>4Q04</v>
      </c>
      <c r="AR42" s="366" t="str">
        <f t="shared" si="133"/>
        <v>1Q05</v>
      </c>
      <c r="AS42" s="366" t="str">
        <f t="shared" si="133"/>
        <v>2Q05</v>
      </c>
      <c r="AT42" s="366" t="str">
        <f t="shared" si="133"/>
        <v>3Q05</v>
      </c>
      <c r="AU42" s="367" t="str">
        <f t="shared" si="133"/>
        <v>4Q05</v>
      </c>
      <c r="AV42" s="366" t="str">
        <f t="shared" si="133"/>
        <v>1Q06</v>
      </c>
      <c r="AW42" s="366" t="str">
        <f t="shared" si="133"/>
        <v>2Q06</v>
      </c>
      <c r="AX42" s="366" t="str">
        <f t="shared" si="133"/>
        <v>3Q06</v>
      </c>
      <c r="AY42" s="367" t="str">
        <f t="shared" si="133"/>
        <v>4Q06</v>
      </c>
      <c r="AZ42" s="366" t="str">
        <f t="shared" si="133"/>
        <v>1Q07</v>
      </c>
      <c r="BA42" s="366" t="str">
        <f t="shared" si="133"/>
        <v>2Q07</v>
      </c>
      <c r="BB42" s="366" t="str">
        <f t="shared" si="133"/>
        <v>3Q07</v>
      </c>
      <c r="BC42" s="367" t="str">
        <f t="shared" si="133"/>
        <v>4Q07</v>
      </c>
      <c r="BD42" s="366" t="str">
        <f t="shared" si="133"/>
        <v>1Q08</v>
      </c>
      <c r="BE42" s="366" t="str">
        <f t="shared" si="133"/>
        <v>2Q08</v>
      </c>
      <c r="BF42" s="366" t="str">
        <f t="shared" si="133"/>
        <v>3Q08</v>
      </c>
      <c r="BG42" s="367" t="str">
        <f t="shared" si="133"/>
        <v>4Q08</v>
      </c>
      <c r="BH42" s="366" t="str">
        <f t="shared" si="133"/>
        <v>1Q09</v>
      </c>
      <c r="BI42" s="366" t="str">
        <f t="shared" si="133"/>
        <v>2Q09</v>
      </c>
      <c r="BJ42" s="366" t="str">
        <f t="shared" si="133"/>
        <v>3Q09</v>
      </c>
      <c r="BK42" s="367" t="str">
        <f t="shared" si="133"/>
        <v>4Q09</v>
      </c>
      <c r="BL42" s="366" t="str">
        <f t="shared" si="133"/>
        <v>1Q10</v>
      </c>
      <c r="BM42" s="366" t="str">
        <f t="shared" si="133"/>
        <v>2Q10</v>
      </c>
      <c r="BN42" s="366" t="str">
        <f t="shared" si="133"/>
        <v>3Q10</v>
      </c>
      <c r="BO42" s="367" t="str">
        <f t="shared" si="133"/>
        <v>4Q10</v>
      </c>
      <c r="BP42" s="366" t="str">
        <f t="shared" si="133"/>
        <v>1Q11</v>
      </c>
      <c r="BQ42" s="366" t="str">
        <f t="shared" ref="BQ42:CU42" si="134">BQ$4</f>
        <v>2Q11</v>
      </c>
      <c r="BR42" s="366" t="str">
        <f t="shared" si="134"/>
        <v>3Q11</v>
      </c>
      <c r="BS42" s="367" t="str">
        <f t="shared" si="134"/>
        <v>4Q11</v>
      </c>
      <c r="BT42" s="366" t="str">
        <f t="shared" si="134"/>
        <v>1Q12</v>
      </c>
      <c r="BU42" s="366" t="str">
        <f t="shared" si="134"/>
        <v>2Q12</v>
      </c>
      <c r="BV42" s="366" t="str">
        <f t="shared" si="134"/>
        <v>3Q12</v>
      </c>
      <c r="BW42" s="367" t="str">
        <f t="shared" si="134"/>
        <v>4Q12</v>
      </c>
      <c r="BX42" s="366" t="str">
        <f t="shared" si="134"/>
        <v>1Q13</v>
      </c>
      <c r="BY42" s="366" t="str">
        <f t="shared" si="134"/>
        <v>2Q13</v>
      </c>
      <c r="BZ42" s="366" t="str">
        <f t="shared" si="134"/>
        <v>3Q13</v>
      </c>
      <c r="CA42" s="367" t="str">
        <f t="shared" si="134"/>
        <v>4Q13</v>
      </c>
      <c r="CB42" s="366" t="str">
        <f t="shared" si="134"/>
        <v>1Q14</v>
      </c>
      <c r="CC42" s="366" t="str">
        <f t="shared" si="134"/>
        <v>2Q14</v>
      </c>
      <c r="CD42" s="366" t="str">
        <f t="shared" si="134"/>
        <v>3Q14</v>
      </c>
      <c r="CE42" s="367" t="str">
        <f t="shared" si="134"/>
        <v>4Q14</v>
      </c>
      <c r="CF42" s="366" t="str">
        <f t="shared" si="134"/>
        <v>1Q15</v>
      </c>
      <c r="CG42" s="366" t="str">
        <f t="shared" si="134"/>
        <v>2Q15</v>
      </c>
      <c r="CH42" s="366" t="str">
        <f t="shared" si="134"/>
        <v>3Q15</v>
      </c>
      <c r="CI42" s="367" t="str">
        <f t="shared" si="134"/>
        <v>4Q15</v>
      </c>
      <c r="CJ42" s="366" t="str">
        <f t="shared" si="134"/>
        <v>1Q16</v>
      </c>
      <c r="CK42" s="366" t="str">
        <f t="shared" si="134"/>
        <v>2Q16</v>
      </c>
      <c r="CL42" s="366" t="str">
        <f t="shared" si="134"/>
        <v>3Q16</v>
      </c>
      <c r="CM42" s="367" t="str">
        <f t="shared" si="134"/>
        <v>4Q16</v>
      </c>
      <c r="CN42" s="366" t="str">
        <f t="shared" si="134"/>
        <v>1Q17</v>
      </c>
      <c r="CO42" s="366" t="str">
        <f t="shared" si="134"/>
        <v>2Q17</v>
      </c>
      <c r="CP42" s="366" t="str">
        <f t="shared" si="134"/>
        <v>3Q17</v>
      </c>
      <c r="CQ42" s="367" t="str">
        <f t="shared" si="134"/>
        <v>4Q17</v>
      </c>
      <c r="CR42" s="366" t="str">
        <f t="shared" si="134"/>
        <v>1Q18e</v>
      </c>
      <c r="CS42" s="366" t="str">
        <f t="shared" si="134"/>
        <v>2Q18e</v>
      </c>
      <c r="CT42" s="366" t="str">
        <f t="shared" si="134"/>
        <v>3Q18e</v>
      </c>
      <c r="CU42" s="367" t="str">
        <f t="shared" si="134"/>
        <v>4Q18e</v>
      </c>
      <c r="CV42" s="376"/>
      <c r="CW42" s="366">
        <f t="shared" ref="CW42:DZ42" si="135">CW$4</f>
        <v>1994</v>
      </c>
      <c r="CX42" s="366">
        <f t="shared" si="135"/>
        <v>1995</v>
      </c>
      <c r="CY42" s="366">
        <f t="shared" si="135"/>
        <v>1996</v>
      </c>
      <c r="CZ42" s="366">
        <f t="shared" si="135"/>
        <v>1997</v>
      </c>
      <c r="DA42" s="366">
        <f t="shared" si="135"/>
        <v>1998</v>
      </c>
      <c r="DB42" s="366">
        <f t="shared" si="135"/>
        <v>1999</v>
      </c>
      <c r="DC42" s="366">
        <f t="shared" si="135"/>
        <v>2000</v>
      </c>
      <c r="DD42" s="366">
        <f t="shared" si="135"/>
        <v>2001</v>
      </c>
      <c r="DE42" s="366">
        <f t="shared" si="135"/>
        <v>2002</v>
      </c>
      <c r="DF42" s="366">
        <f t="shared" si="135"/>
        <v>2003</v>
      </c>
      <c r="DG42" s="366">
        <f t="shared" si="135"/>
        <v>2004</v>
      </c>
      <c r="DH42" s="366">
        <f t="shared" si="135"/>
        <v>2005</v>
      </c>
      <c r="DI42" s="366">
        <f t="shared" si="135"/>
        <v>2006</v>
      </c>
      <c r="DJ42" s="366">
        <f t="shared" si="135"/>
        <v>2007</v>
      </c>
      <c r="DK42" s="366">
        <f t="shared" si="135"/>
        <v>2008</v>
      </c>
      <c r="DL42" s="366">
        <f t="shared" si="135"/>
        <v>2009</v>
      </c>
      <c r="DM42" s="366">
        <f t="shared" si="135"/>
        <v>2010</v>
      </c>
      <c r="DN42" s="366">
        <f t="shared" si="135"/>
        <v>2011</v>
      </c>
      <c r="DO42" s="366">
        <f t="shared" si="135"/>
        <v>2012</v>
      </c>
      <c r="DP42" s="366">
        <f t="shared" si="135"/>
        <v>2013</v>
      </c>
      <c r="DQ42" s="366">
        <f t="shared" si="135"/>
        <v>2014</v>
      </c>
      <c r="DR42" s="366">
        <f t="shared" si="135"/>
        <v>2015</v>
      </c>
      <c r="DS42" s="366">
        <f t="shared" si="135"/>
        <v>2016</v>
      </c>
      <c r="DT42" s="366">
        <f t="shared" si="135"/>
        <v>2017</v>
      </c>
      <c r="DU42" s="366" t="str">
        <f t="shared" si="135"/>
        <v>2018e</v>
      </c>
      <c r="DV42" s="366" t="str">
        <f t="shared" si="135"/>
        <v>2019e</v>
      </c>
      <c r="DW42" s="366" t="str">
        <f t="shared" si="135"/>
        <v>2020e</v>
      </c>
      <c r="DX42" s="366" t="str">
        <f t="shared" si="135"/>
        <v>2021e</v>
      </c>
      <c r="DY42" s="366" t="str">
        <f t="shared" si="135"/>
        <v>2022e</v>
      </c>
      <c r="DZ42" s="366" t="str">
        <f t="shared" si="135"/>
        <v>2023e</v>
      </c>
    </row>
    <row r="43" spans="2:130" ht="15">
      <c r="B43" s="975"/>
      <c r="C43" s="976"/>
      <c r="D43" s="977"/>
      <c r="E43" s="978"/>
      <c r="F43" s="978"/>
      <c r="G43" s="979"/>
      <c r="H43" s="978"/>
      <c r="I43" s="978"/>
      <c r="J43" s="978"/>
      <c r="K43" s="979"/>
      <c r="L43" s="978"/>
      <c r="M43" s="978"/>
      <c r="N43" s="978"/>
      <c r="O43" s="979"/>
      <c r="P43" s="978"/>
      <c r="Q43" s="978"/>
      <c r="R43" s="978"/>
      <c r="S43" s="979"/>
      <c r="T43" s="978"/>
      <c r="U43" s="978"/>
      <c r="V43" s="978"/>
      <c r="W43" s="979"/>
      <c r="X43" s="978"/>
      <c r="Y43" s="978"/>
      <c r="Z43" s="978"/>
      <c r="AA43" s="979"/>
      <c r="AB43" s="978"/>
      <c r="AC43" s="978"/>
      <c r="AD43" s="978"/>
      <c r="AE43" s="979"/>
      <c r="AF43" s="978"/>
      <c r="AG43" s="978"/>
      <c r="AH43" s="978"/>
      <c r="AI43" s="979"/>
      <c r="AJ43" s="978"/>
      <c r="AK43" s="978"/>
      <c r="AL43" s="978"/>
      <c r="AM43" s="979"/>
      <c r="AN43" s="978"/>
      <c r="AO43" s="978"/>
      <c r="AP43" s="978"/>
      <c r="AQ43" s="979"/>
      <c r="AR43" s="978"/>
      <c r="AS43" s="978"/>
      <c r="AT43" s="978"/>
      <c r="AU43" s="979"/>
      <c r="AV43" s="978"/>
      <c r="AW43" s="978"/>
      <c r="AX43" s="978"/>
      <c r="AY43" s="979"/>
      <c r="AZ43" s="978"/>
      <c r="BA43" s="978"/>
      <c r="BB43" s="978"/>
      <c r="BC43" s="979"/>
      <c r="BD43" s="978"/>
      <c r="BE43" s="978"/>
      <c r="BF43" s="978"/>
      <c r="BG43" s="979"/>
      <c r="BH43" s="978"/>
      <c r="BI43" s="978"/>
      <c r="BJ43" s="978"/>
      <c r="BK43" s="979"/>
      <c r="BL43" s="978"/>
      <c r="BM43" s="978"/>
      <c r="BN43" s="978"/>
      <c r="BO43" s="979"/>
      <c r="BP43" s="978"/>
      <c r="BQ43" s="978"/>
      <c r="BR43" s="978"/>
      <c r="BS43" s="979"/>
      <c r="BT43" s="978"/>
      <c r="BU43" s="978"/>
      <c r="BV43" s="978"/>
      <c r="BW43" s="979"/>
      <c r="BX43" s="978"/>
      <c r="BY43" s="978"/>
      <c r="BZ43" s="978"/>
      <c r="CA43" s="979"/>
      <c r="CB43" s="978"/>
      <c r="CC43" s="978"/>
      <c r="CD43" s="978"/>
      <c r="CE43" s="979"/>
      <c r="CF43" s="978"/>
      <c r="CG43" s="978"/>
      <c r="CH43" s="978"/>
      <c r="CI43" s="979"/>
      <c r="CJ43" s="991"/>
      <c r="CK43" s="991"/>
      <c r="CL43" s="991"/>
      <c r="CM43" s="992"/>
      <c r="CN43" s="991"/>
      <c r="CO43" s="991"/>
      <c r="CP43" s="991"/>
      <c r="CQ43" s="992"/>
      <c r="CR43" s="991"/>
      <c r="CS43" s="991"/>
      <c r="CT43" s="991"/>
      <c r="CU43" s="992"/>
      <c r="CV43" s="376"/>
      <c r="CW43" s="978"/>
      <c r="CX43" s="978"/>
      <c r="CY43" s="978"/>
      <c r="CZ43" s="978"/>
      <c r="DA43" s="978"/>
      <c r="DB43" s="978"/>
      <c r="DC43" s="978"/>
      <c r="DD43" s="978"/>
      <c r="DE43" s="978"/>
      <c r="DF43" s="978"/>
      <c r="DG43" s="978"/>
      <c r="DH43" s="978"/>
      <c r="DI43" s="978"/>
      <c r="DJ43" s="978"/>
      <c r="DK43" s="978"/>
      <c r="DL43" s="978"/>
      <c r="DM43" s="978"/>
      <c r="DN43" s="978"/>
      <c r="DO43" s="978"/>
      <c r="DP43" s="978"/>
      <c r="DQ43" s="665"/>
      <c r="DR43" s="665"/>
      <c r="DS43" s="665"/>
      <c r="DT43" s="665"/>
      <c r="DU43" s="665"/>
      <c r="DV43" s="665"/>
      <c r="DW43" s="665"/>
      <c r="DX43" s="665"/>
      <c r="DY43" s="665"/>
      <c r="DZ43" s="665"/>
    </row>
    <row r="44" spans="2:130" ht="15">
      <c r="B44" s="937" t="s">
        <v>80</v>
      </c>
      <c r="C44" s="658"/>
      <c r="D44" s="1003"/>
      <c r="E44" s="1004"/>
      <c r="F44" s="1004"/>
      <c r="G44" s="1005"/>
      <c r="H44" s="1004"/>
      <c r="I44" s="1004"/>
      <c r="J44" s="1004"/>
      <c r="K44" s="1005"/>
      <c r="L44" s="1004"/>
      <c r="M44" s="1004"/>
      <c r="N44" s="1004"/>
      <c r="O44" s="1005"/>
      <c r="P44" s="1004"/>
      <c r="Q44" s="1004"/>
      <c r="R44" s="1004"/>
      <c r="S44" s="1005"/>
      <c r="T44" s="1004"/>
      <c r="U44" s="1004"/>
      <c r="V44" s="1004"/>
      <c r="W44" s="1005"/>
      <c r="X44" s="1004"/>
      <c r="Y44" s="1004"/>
      <c r="Z44" s="1004"/>
      <c r="AA44" s="1005"/>
      <c r="AB44" s="1004"/>
      <c r="AC44" s="1004"/>
      <c r="AD44" s="1004"/>
      <c r="AE44" s="1005"/>
      <c r="AF44" s="1006">
        <v>389.3</v>
      </c>
      <c r="AG44" s="1006">
        <v>434.2</v>
      </c>
      <c r="AH44" s="1006">
        <v>416.6</v>
      </c>
      <c r="AI44" s="1007">
        <v>408.1</v>
      </c>
      <c r="AJ44" s="1006">
        <v>465.8</v>
      </c>
      <c r="AK44" s="1006">
        <v>471.6</v>
      </c>
      <c r="AL44" s="1006">
        <v>451.4</v>
      </c>
      <c r="AM44" s="1007">
        <v>480.9</v>
      </c>
      <c r="AN44" s="1006">
        <v>557.1</v>
      </c>
      <c r="AO44" s="1006">
        <v>559.6</v>
      </c>
      <c r="AP44" s="1006">
        <v>532.70000000000005</v>
      </c>
      <c r="AQ44" s="1007">
        <v>567.6</v>
      </c>
      <c r="AR44" s="1006">
        <v>722</v>
      </c>
      <c r="AS44" s="1006">
        <v>732.7</v>
      </c>
      <c r="AT44" s="1006">
        <v>700</v>
      </c>
      <c r="AU44" s="1007">
        <v>700.7</v>
      </c>
      <c r="AV44" s="1006">
        <v>785.9</v>
      </c>
      <c r="AW44" s="1006">
        <v>792</v>
      </c>
      <c r="AX44" s="1006">
        <v>736.4</v>
      </c>
      <c r="AY44" s="1007">
        <v>840.6</v>
      </c>
      <c r="AZ44" s="1006">
        <v>894.1</v>
      </c>
      <c r="BA44" s="1006">
        <v>955.4</v>
      </c>
      <c r="BB44" s="1006">
        <v>933.9</v>
      </c>
      <c r="BC44" s="1007">
        <v>977.9</v>
      </c>
      <c r="BD44" s="1006">
        <v>1098.0999999999999</v>
      </c>
      <c r="BE44" s="1006">
        <v>1109</v>
      </c>
      <c r="BF44" s="1006">
        <v>974.1</v>
      </c>
      <c r="BG44" s="1007">
        <v>680.3</v>
      </c>
      <c r="BH44" s="1006">
        <v>624.5</v>
      </c>
      <c r="BI44" s="1006">
        <v>670.4</v>
      </c>
      <c r="BJ44" s="1006">
        <v>735.3</v>
      </c>
      <c r="BK44" s="1007">
        <v>853</v>
      </c>
      <c r="BL44" s="1006">
        <v>906</v>
      </c>
      <c r="BM44" s="1006">
        <v>1017.6</v>
      </c>
      <c r="BN44" s="1006">
        <v>1018.8</v>
      </c>
      <c r="BO44" s="1007">
        <v>1118.4000000000001</v>
      </c>
      <c r="BP44" s="1006">
        <v>1249.4000000000001</v>
      </c>
      <c r="BQ44" s="1006">
        <v>1297.9000000000001</v>
      </c>
      <c r="BR44" s="1006">
        <v>1258.2</v>
      </c>
      <c r="BS44" s="1007">
        <v>1245.0999999999999</v>
      </c>
      <c r="BT44" s="1006">
        <v>1308.2</v>
      </c>
      <c r="BU44" s="1006">
        <v>1269.5999999999999</v>
      </c>
      <c r="BV44" s="1006">
        <v>1168</v>
      </c>
      <c r="BW44" s="1007">
        <v>1167.2</v>
      </c>
      <c r="BX44" s="1006">
        <v>1257.5</v>
      </c>
      <c r="BY44" s="1006">
        <v>1288.3</v>
      </c>
      <c r="BZ44" s="1006">
        <v>1210.3</v>
      </c>
      <c r="CA44" s="1007">
        <v>1266</v>
      </c>
      <c r="CB44" s="1006">
        <v>1412.1</v>
      </c>
      <c r="CC44" s="1006">
        <v>1497.5</v>
      </c>
      <c r="CD44" s="1006">
        <v>1412.4</v>
      </c>
      <c r="CE44" s="1007">
        <v>1383.9</v>
      </c>
      <c r="CF44" s="1006">
        <v>1380.9</v>
      </c>
      <c r="CG44" s="1006">
        <v>1413</v>
      </c>
      <c r="CH44" s="1006">
        <v>1308.9000000000001</v>
      </c>
      <c r="CI44" s="1007">
        <v>1397.2</v>
      </c>
      <c r="CJ44" s="1006">
        <v>1399.2</v>
      </c>
      <c r="CK44" s="1006">
        <v>1444.2</v>
      </c>
      <c r="CL44" s="1006">
        <v>1359.3</v>
      </c>
      <c r="CM44" s="1007">
        <v>1387.4</v>
      </c>
      <c r="CN44" s="1006">
        <v>1495.4</v>
      </c>
      <c r="CO44" s="1006">
        <v>1481.8</v>
      </c>
      <c r="CP44" s="1006">
        <v>1506.4</v>
      </c>
      <c r="CQ44" s="1007">
        <v>1577.9</v>
      </c>
      <c r="CR44" s="937">
        <f>CN44*(1+CR49)</f>
        <v>1602.4808145994705</v>
      </c>
      <c r="CS44" s="937">
        <f>CO44*(1+CS49)</f>
        <v>1657.4660650058352</v>
      </c>
      <c r="CT44" s="937">
        <f>CP44*(1+CT49)</f>
        <v>1559.5677982240697</v>
      </c>
      <c r="CU44" s="926">
        <f>CQ44*(1+CU49)</f>
        <v>1631.4625358066151</v>
      </c>
      <c r="CV44" s="406"/>
      <c r="CW44" s="1004"/>
      <c r="CX44" s="1008"/>
      <c r="CY44" s="1008"/>
      <c r="CZ44" s="1008"/>
      <c r="DA44" s="1008"/>
      <c r="DB44" s="1008"/>
      <c r="DC44" s="1008"/>
      <c r="DD44" s="1008"/>
      <c r="DE44" s="1008">
        <f>SUM(AF44:AI44)</f>
        <v>1648.1999999999998</v>
      </c>
      <c r="DF44" s="1008">
        <f>SUM(AJ44:AM44)</f>
        <v>1869.7000000000003</v>
      </c>
      <c r="DG44" s="1008">
        <f>SUM(AN44:AQ44)</f>
        <v>2217</v>
      </c>
      <c r="DH44" s="1008">
        <f>SUM(AR44:AU44)</f>
        <v>2855.3999999999996</v>
      </c>
      <c r="DI44" s="1008">
        <f>SUM(AV44:AY44)</f>
        <v>3154.9</v>
      </c>
      <c r="DJ44" s="1008">
        <f>SUM(AZ44:BC44)</f>
        <v>3761.3</v>
      </c>
      <c r="DK44" s="1008">
        <f>SUM(BD44:BG44)</f>
        <v>3861.5</v>
      </c>
      <c r="DL44" s="1008">
        <f>SUM(BH44:BK44)</f>
        <v>2883.2</v>
      </c>
      <c r="DM44" s="1008">
        <f>SUM(BL44:BO44)</f>
        <v>4060.7999999999997</v>
      </c>
      <c r="DN44" s="1008">
        <f>SUM(BP44:BS44)</f>
        <v>5050.6000000000004</v>
      </c>
      <c r="DO44" s="1008">
        <f>SUM(BT44:BW44)</f>
        <v>4913</v>
      </c>
      <c r="DP44" s="1008">
        <f>SUM(BX44:CA44)</f>
        <v>5022.1000000000004</v>
      </c>
      <c r="DQ44" s="1008">
        <f>SUM(CB44:CE44)</f>
        <v>5705.9</v>
      </c>
      <c r="DR44" s="1008">
        <f>SUM(CF44:CI44)</f>
        <v>5500</v>
      </c>
      <c r="DS44" s="1008">
        <f>SUM(CJ44:CM44)</f>
        <v>5590.1</v>
      </c>
      <c r="DT44" s="665">
        <f>SUM(CN44:CQ44)</f>
        <v>6061.5</v>
      </c>
      <c r="DU44" s="665">
        <f>SUM(CR44:CU44)</f>
        <v>6450.9772136359907</v>
      </c>
      <c r="DV44" s="665">
        <f>DU44*(1+DV49)</f>
        <v>6757.6575733607269</v>
      </c>
      <c r="DW44" s="665">
        <f>DV44*(1+DW49)</f>
        <v>7022.5752189248024</v>
      </c>
      <c r="DX44" s="665">
        <f>DW44*(1+DX49)</f>
        <v>7254.0885513217791</v>
      </c>
      <c r="DY44" s="665">
        <f>DX44*(1+DY49)</f>
        <v>7398.137232323319</v>
      </c>
      <c r="DZ44" s="665">
        <f>DY44*(1+DZ49)</f>
        <v>7437.3551328975209</v>
      </c>
    </row>
    <row r="45" spans="2:130" ht="15">
      <c r="B45" s="1009" t="s">
        <v>342</v>
      </c>
      <c r="C45" s="908"/>
      <c r="D45" s="1010"/>
      <c r="E45" s="941"/>
      <c r="F45" s="941"/>
      <c r="G45" s="930"/>
      <c r="H45" s="941"/>
      <c r="I45" s="941"/>
      <c r="J45" s="941"/>
      <c r="K45" s="930"/>
      <c r="L45" s="941"/>
      <c r="M45" s="941"/>
      <c r="N45" s="941"/>
      <c r="O45" s="930"/>
      <c r="P45" s="941"/>
      <c r="Q45" s="941"/>
      <c r="R45" s="941"/>
      <c r="S45" s="930"/>
      <c r="T45" s="941"/>
      <c r="U45" s="941"/>
      <c r="V45" s="941"/>
      <c r="W45" s="930"/>
      <c r="X45" s="941"/>
      <c r="Y45" s="941"/>
      <c r="Z45" s="941"/>
      <c r="AA45" s="930"/>
      <c r="AB45" s="941"/>
      <c r="AC45" s="941"/>
      <c r="AD45" s="941"/>
      <c r="AE45" s="930"/>
      <c r="AF45" s="941"/>
      <c r="AG45" s="941">
        <f t="shared" ref="AG45:BL45" si="136">AG44-AF44</f>
        <v>44.899999999999977</v>
      </c>
      <c r="AH45" s="941">
        <f t="shared" si="136"/>
        <v>-17.599999999999966</v>
      </c>
      <c r="AI45" s="930">
        <f t="shared" si="136"/>
        <v>-8.5</v>
      </c>
      <c r="AJ45" s="941">
        <f t="shared" si="136"/>
        <v>57.699999999999989</v>
      </c>
      <c r="AK45" s="941">
        <f t="shared" si="136"/>
        <v>5.8000000000000114</v>
      </c>
      <c r="AL45" s="941">
        <f t="shared" si="136"/>
        <v>-20.200000000000045</v>
      </c>
      <c r="AM45" s="930">
        <f t="shared" si="136"/>
        <v>29.5</v>
      </c>
      <c r="AN45" s="941">
        <f t="shared" si="136"/>
        <v>76.200000000000045</v>
      </c>
      <c r="AO45" s="941">
        <f t="shared" si="136"/>
        <v>2.5</v>
      </c>
      <c r="AP45" s="941">
        <f t="shared" si="136"/>
        <v>-26.899999999999977</v>
      </c>
      <c r="AQ45" s="930">
        <f t="shared" si="136"/>
        <v>34.899999999999977</v>
      </c>
      <c r="AR45" s="941">
        <f t="shared" si="136"/>
        <v>154.39999999999998</v>
      </c>
      <c r="AS45" s="941">
        <f t="shared" si="136"/>
        <v>10.700000000000045</v>
      </c>
      <c r="AT45" s="941">
        <f t="shared" si="136"/>
        <v>-32.700000000000045</v>
      </c>
      <c r="AU45" s="930">
        <f t="shared" si="136"/>
        <v>0.70000000000004547</v>
      </c>
      <c r="AV45" s="941">
        <f t="shared" si="136"/>
        <v>85.199999999999932</v>
      </c>
      <c r="AW45" s="941">
        <f t="shared" si="136"/>
        <v>6.1000000000000227</v>
      </c>
      <c r="AX45" s="941">
        <f t="shared" si="136"/>
        <v>-55.600000000000023</v>
      </c>
      <c r="AY45" s="930">
        <f t="shared" si="136"/>
        <v>104.20000000000005</v>
      </c>
      <c r="AZ45" s="941">
        <f t="shared" si="136"/>
        <v>53.5</v>
      </c>
      <c r="BA45" s="941">
        <f t="shared" si="136"/>
        <v>61.299999999999955</v>
      </c>
      <c r="BB45" s="941">
        <f t="shared" si="136"/>
        <v>-21.5</v>
      </c>
      <c r="BC45" s="930">
        <f t="shared" si="136"/>
        <v>44</v>
      </c>
      <c r="BD45" s="941">
        <f t="shared" si="136"/>
        <v>120.19999999999993</v>
      </c>
      <c r="BE45" s="941">
        <f t="shared" si="136"/>
        <v>10.900000000000091</v>
      </c>
      <c r="BF45" s="941">
        <f t="shared" si="136"/>
        <v>-134.89999999999998</v>
      </c>
      <c r="BG45" s="930">
        <f t="shared" si="136"/>
        <v>-293.80000000000007</v>
      </c>
      <c r="BH45" s="941">
        <f t="shared" si="136"/>
        <v>-55.799999999999955</v>
      </c>
      <c r="BI45" s="941">
        <f t="shared" si="136"/>
        <v>45.899999999999977</v>
      </c>
      <c r="BJ45" s="941">
        <f t="shared" si="136"/>
        <v>64.899999999999977</v>
      </c>
      <c r="BK45" s="930">
        <f t="shared" si="136"/>
        <v>117.70000000000005</v>
      </c>
      <c r="BL45" s="941">
        <f t="shared" si="136"/>
        <v>53</v>
      </c>
      <c r="BM45" s="941">
        <f t="shared" ref="BM45:CR45" si="137">BM44-BL44</f>
        <v>111.60000000000002</v>
      </c>
      <c r="BN45" s="941">
        <f t="shared" si="137"/>
        <v>1.1999999999999318</v>
      </c>
      <c r="BO45" s="930">
        <f t="shared" si="137"/>
        <v>99.600000000000136</v>
      </c>
      <c r="BP45" s="941">
        <f t="shared" si="137"/>
        <v>131</v>
      </c>
      <c r="BQ45" s="941">
        <f t="shared" si="137"/>
        <v>48.5</v>
      </c>
      <c r="BR45" s="941">
        <f t="shared" si="137"/>
        <v>-39.700000000000045</v>
      </c>
      <c r="BS45" s="930">
        <f t="shared" si="137"/>
        <v>-13.100000000000136</v>
      </c>
      <c r="BT45" s="941">
        <f t="shared" si="137"/>
        <v>63.100000000000136</v>
      </c>
      <c r="BU45" s="941">
        <f t="shared" si="137"/>
        <v>-38.600000000000136</v>
      </c>
      <c r="BV45" s="941">
        <f t="shared" si="137"/>
        <v>-101.59999999999991</v>
      </c>
      <c r="BW45" s="930">
        <f t="shared" si="137"/>
        <v>-0.79999999999995453</v>
      </c>
      <c r="BX45" s="941">
        <f t="shared" si="137"/>
        <v>90.299999999999955</v>
      </c>
      <c r="BY45" s="941">
        <f t="shared" si="137"/>
        <v>30.799999999999955</v>
      </c>
      <c r="BZ45" s="941">
        <f t="shared" si="137"/>
        <v>-78</v>
      </c>
      <c r="CA45" s="930">
        <f t="shared" si="137"/>
        <v>55.700000000000045</v>
      </c>
      <c r="CB45" s="941">
        <f t="shared" si="137"/>
        <v>146.09999999999991</v>
      </c>
      <c r="CC45" s="941">
        <f t="shared" si="137"/>
        <v>85.400000000000091</v>
      </c>
      <c r="CD45" s="941">
        <f t="shared" si="137"/>
        <v>-85.099999999999909</v>
      </c>
      <c r="CE45" s="930">
        <f t="shared" si="137"/>
        <v>-28.5</v>
      </c>
      <c r="CF45" s="941">
        <f t="shared" si="137"/>
        <v>-3</v>
      </c>
      <c r="CG45" s="941">
        <f t="shared" si="137"/>
        <v>32.099999999999909</v>
      </c>
      <c r="CH45" s="941">
        <f t="shared" si="137"/>
        <v>-104.09999999999991</v>
      </c>
      <c r="CI45" s="930">
        <f t="shared" si="137"/>
        <v>88.299999999999955</v>
      </c>
      <c r="CJ45" s="941">
        <f t="shared" si="137"/>
        <v>2</v>
      </c>
      <c r="CK45" s="941">
        <f t="shared" si="137"/>
        <v>45</v>
      </c>
      <c r="CL45" s="941">
        <f t="shared" si="137"/>
        <v>-84.900000000000091</v>
      </c>
      <c r="CM45" s="930">
        <f t="shared" si="137"/>
        <v>28.100000000000136</v>
      </c>
      <c r="CN45" s="941">
        <f t="shared" si="137"/>
        <v>108</v>
      </c>
      <c r="CO45" s="941">
        <f t="shared" si="137"/>
        <v>-13.600000000000136</v>
      </c>
      <c r="CP45" s="941">
        <f t="shared" si="137"/>
        <v>24.600000000000136</v>
      </c>
      <c r="CQ45" s="930">
        <f t="shared" si="137"/>
        <v>71.5</v>
      </c>
      <c r="CR45" s="941">
        <f t="shared" si="137"/>
        <v>24.580814599470386</v>
      </c>
      <c r="CS45" s="941">
        <f t="shared" ref="CS45:CU45" si="138">CS44-CR44</f>
        <v>54.985250406364685</v>
      </c>
      <c r="CT45" s="941">
        <f t="shared" si="138"/>
        <v>-97.898266781765415</v>
      </c>
      <c r="CU45" s="930">
        <f t="shared" si="138"/>
        <v>71.894737582545304</v>
      </c>
      <c r="CV45" s="648"/>
      <c r="CW45" s="941"/>
      <c r="CX45" s="941"/>
      <c r="CY45" s="941"/>
      <c r="CZ45" s="941"/>
      <c r="DA45" s="941"/>
      <c r="DB45" s="941"/>
      <c r="DC45" s="941"/>
      <c r="DD45" s="941"/>
      <c r="DE45" s="941"/>
      <c r="DF45" s="941"/>
      <c r="DG45" s="941"/>
      <c r="DH45" s="941"/>
      <c r="DI45" s="941"/>
      <c r="DJ45" s="941"/>
      <c r="DK45" s="941"/>
      <c r="DL45" s="941"/>
      <c r="DM45" s="941"/>
      <c r="DN45" s="941"/>
      <c r="DO45" s="941"/>
      <c r="DP45" s="941"/>
      <c r="DQ45" s="941"/>
      <c r="DR45" s="941"/>
      <c r="DS45" s="941"/>
      <c r="DT45" s="941"/>
      <c r="DU45" s="1006"/>
      <c r="DV45" s="1006"/>
      <c r="DW45" s="1006"/>
      <c r="DX45" s="1006"/>
      <c r="DY45" s="1006"/>
      <c r="DZ45" s="1006"/>
    </row>
    <row r="46" spans="2:130" ht="15">
      <c r="B46" s="1009" t="s">
        <v>343</v>
      </c>
      <c r="C46" s="908"/>
      <c r="D46" s="1010"/>
      <c r="E46" s="941"/>
      <c r="F46" s="941"/>
      <c r="G46" s="930"/>
      <c r="H46" s="941"/>
      <c r="I46" s="941"/>
      <c r="J46" s="941"/>
      <c r="K46" s="930"/>
      <c r="L46" s="941"/>
      <c r="M46" s="941"/>
      <c r="N46" s="941"/>
      <c r="O46" s="930"/>
      <c r="P46" s="941"/>
      <c r="Q46" s="941"/>
      <c r="R46" s="941"/>
      <c r="S46" s="930"/>
      <c r="T46" s="941"/>
      <c r="U46" s="941"/>
      <c r="V46" s="941"/>
      <c r="W46" s="930"/>
      <c r="X46" s="941"/>
      <c r="Y46" s="941"/>
      <c r="Z46" s="941"/>
      <c r="AA46" s="930"/>
      <c r="AB46" s="941"/>
      <c r="AC46" s="941"/>
      <c r="AD46" s="941"/>
      <c r="AE46" s="930"/>
      <c r="AF46" s="941"/>
      <c r="AG46" s="941"/>
      <c r="AH46" s="941"/>
      <c r="AI46" s="930"/>
      <c r="AJ46" s="941">
        <f t="shared" ref="AJ46:BO46" si="139">AJ44-AF44</f>
        <v>76.5</v>
      </c>
      <c r="AK46" s="941">
        <f t="shared" si="139"/>
        <v>37.400000000000034</v>
      </c>
      <c r="AL46" s="941">
        <f t="shared" si="139"/>
        <v>34.799999999999955</v>
      </c>
      <c r="AM46" s="930">
        <f t="shared" si="139"/>
        <v>72.799999999999955</v>
      </c>
      <c r="AN46" s="941">
        <f t="shared" si="139"/>
        <v>91.300000000000011</v>
      </c>
      <c r="AO46" s="941">
        <f t="shared" si="139"/>
        <v>88</v>
      </c>
      <c r="AP46" s="941">
        <f t="shared" si="139"/>
        <v>81.300000000000068</v>
      </c>
      <c r="AQ46" s="930">
        <f t="shared" si="139"/>
        <v>86.700000000000045</v>
      </c>
      <c r="AR46" s="941">
        <f t="shared" si="139"/>
        <v>164.89999999999998</v>
      </c>
      <c r="AS46" s="941">
        <f t="shared" si="139"/>
        <v>173.10000000000002</v>
      </c>
      <c r="AT46" s="941">
        <f t="shared" si="139"/>
        <v>167.29999999999995</v>
      </c>
      <c r="AU46" s="930">
        <f t="shared" si="139"/>
        <v>133.10000000000002</v>
      </c>
      <c r="AV46" s="941">
        <f t="shared" si="139"/>
        <v>63.899999999999977</v>
      </c>
      <c r="AW46" s="941">
        <f t="shared" si="139"/>
        <v>59.299999999999955</v>
      </c>
      <c r="AX46" s="941">
        <f t="shared" si="139"/>
        <v>36.399999999999977</v>
      </c>
      <c r="AY46" s="930">
        <f t="shared" si="139"/>
        <v>139.89999999999998</v>
      </c>
      <c r="AZ46" s="941">
        <f t="shared" si="139"/>
        <v>108.20000000000005</v>
      </c>
      <c r="BA46" s="941">
        <f t="shared" si="139"/>
        <v>163.39999999999998</v>
      </c>
      <c r="BB46" s="941">
        <f t="shared" si="139"/>
        <v>197.5</v>
      </c>
      <c r="BC46" s="930">
        <f t="shared" si="139"/>
        <v>137.29999999999995</v>
      </c>
      <c r="BD46" s="941">
        <f t="shared" si="139"/>
        <v>203.99999999999989</v>
      </c>
      <c r="BE46" s="941">
        <f t="shared" si="139"/>
        <v>153.60000000000002</v>
      </c>
      <c r="BF46" s="941">
        <f t="shared" si="139"/>
        <v>40.200000000000045</v>
      </c>
      <c r="BG46" s="930">
        <f t="shared" si="139"/>
        <v>-297.60000000000002</v>
      </c>
      <c r="BH46" s="941">
        <f t="shared" si="139"/>
        <v>-473.59999999999991</v>
      </c>
      <c r="BI46" s="941">
        <f t="shared" si="139"/>
        <v>-438.6</v>
      </c>
      <c r="BJ46" s="941">
        <f t="shared" si="139"/>
        <v>-238.80000000000007</v>
      </c>
      <c r="BK46" s="930">
        <f t="shared" si="139"/>
        <v>172.70000000000005</v>
      </c>
      <c r="BL46" s="941">
        <f t="shared" si="139"/>
        <v>281.5</v>
      </c>
      <c r="BM46" s="941">
        <f t="shared" si="139"/>
        <v>347.20000000000005</v>
      </c>
      <c r="BN46" s="941">
        <f t="shared" si="139"/>
        <v>283.5</v>
      </c>
      <c r="BO46" s="930">
        <f t="shared" si="139"/>
        <v>265.40000000000009</v>
      </c>
      <c r="BP46" s="941">
        <f t="shared" ref="BP46:CU46" si="140">BP44-BL44</f>
        <v>343.40000000000009</v>
      </c>
      <c r="BQ46" s="941">
        <f t="shared" si="140"/>
        <v>280.30000000000007</v>
      </c>
      <c r="BR46" s="941">
        <f t="shared" si="140"/>
        <v>239.40000000000009</v>
      </c>
      <c r="BS46" s="930">
        <f t="shared" si="140"/>
        <v>126.69999999999982</v>
      </c>
      <c r="BT46" s="941">
        <f t="shared" si="140"/>
        <v>58.799999999999955</v>
      </c>
      <c r="BU46" s="941">
        <f t="shared" si="140"/>
        <v>-28.300000000000182</v>
      </c>
      <c r="BV46" s="941">
        <f t="shared" si="140"/>
        <v>-90.200000000000045</v>
      </c>
      <c r="BW46" s="930">
        <f t="shared" si="140"/>
        <v>-77.899999999999864</v>
      </c>
      <c r="BX46" s="941">
        <f t="shared" si="140"/>
        <v>-50.700000000000045</v>
      </c>
      <c r="BY46" s="941">
        <f t="shared" si="140"/>
        <v>18.700000000000045</v>
      </c>
      <c r="BZ46" s="941">
        <f t="shared" si="140"/>
        <v>42.299999999999955</v>
      </c>
      <c r="CA46" s="930">
        <f t="shared" si="140"/>
        <v>98.799999999999955</v>
      </c>
      <c r="CB46" s="941">
        <f t="shared" si="140"/>
        <v>154.59999999999991</v>
      </c>
      <c r="CC46" s="941">
        <f t="shared" si="140"/>
        <v>209.20000000000005</v>
      </c>
      <c r="CD46" s="941">
        <f t="shared" si="140"/>
        <v>202.10000000000014</v>
      </c>
      <c r="CE46" s="930">
        <f t="shared" si="140"/>
        <v>117.90000000000009</v>
      </c>
      <c r="CF46" s="941">
        <f t="shared" si="140"/>
        <v>-31.199999999999818</v>
      </c>
      <c r="CG46" s="941">
        <f t="shared" si="140"/>
        <v>-84.5</v>
      </c>
      <c r="CH46" s="941">
        <f t="shared" si="140"/>
        <v>-103.5</v>
      </c>
      <c r="CI46" s="930">
        <f t="shared" si="140"/>
        <v>13.299999999999955</v>
      </c>
      <c r="CJ46" s="941">
        <f t="shared" si="140"/>
        <v>18.299999999999955</v>
      </c>
      <c r="CK46" s="941">
        <f t="shared" si="140"/>
        <v>31.200000000000045</v>
      </c>
      <c r="CL46" s="941">
        <f t="shared" si="140"/>
        <v>50.399999999999864</v>
      </c>
      <c r="CM46" s="930">
        <f t="shared" si="140"/>
        <v>-9.7999999999999545</v>
      </c>
      <c r="CN46" s="941">
        <f t="shared" si="140"/>
        <v>96.200000000000045</v>
      </c>
      <c r="CO46" s="941">
        <f t="shared" si="140"/>
        <v>37.599999999999909</v>
      </c>
      <c r="CP46" s="941">
        <f t="shared" si="140"/>
        <v>147.10000000000014</v>
      </c>
      <c r="CQ46" s="930">
        <f t="shared" si="140"/>
        <v>190.5</v>
      </c>
      <c r="CR46" s="941">
        <f t="shared" si="140"/>
        <v>107.08081459947039</v>
      </c>
      <c r="CS46" s="941">
        <f t="shared" si="140"/>
        <v>175.66606500583521</v>
      </c>
      <c r="CT46" s="941">
        <f t="shared" si="140"/>
        <v>53.167798224069656</v>
      </c>
      <c r="CU46" s="930">
        <f t="shared" si="140"/>
        <v>53.56253580661496</v>
      </c>
      <c r="CV46" s="648"/>
      <c r="CW46" s="941"/>
      <c r="CX46" s="941"/>
      <c r="CY46" s="941"/>
      <c r="CZ46" s="941"/>
      <c r="DA46" s="941"/>
      <c r="DB46" s="941"/>
      <c r="DC46" s="941"/>
      <c r="DD46" s="941"/>
      <c r="DE46" s="941"/>
      <c r="DF46" s="941">
        <f t="shared" ref="DF46:DZ46" si="141">DF44-DE44</f>
        <v>221.50000000000045</v>
      </c>
      <c r="DG46" s="941">
        <f t="shared" si="141"/>
        <v>347.29999999999973</v>
      </c>
      <c r="DH46" s="941">
        <f t="shared" si="141"/>
        <v>638.39999999999964</v>
      </c>
      <c r="DI46" s="941">
        <f t="shared" si="141"/>
        <v>299.50000000000045</v>
      </c>
      <c r="DJ46" s="941">
        <f t="shared" si="141"/>
        <v>606.40000000000009</v>
      </c>
      <c r="DK46" s="941">
        <f t="shared" si="141"/>
        <v>100.19999999999982</v>
      </c>
      <c r="DL46" s="941">
        <f t="shared" si="141"/>
        <v>-978.30000000000018</v>
      </c>
      <c r="DM46" s="941">
        <f t="shared" si="141"/>
        <v>1177.5999999999999</v>
      </c>
      <c r="DN46" s="941">
        <f t="shared" si="141"/>
        <v>989.80000000000064</v>
      </c>
      <c r="DO46" s="941">
        <f t="shared" si="141"/>
        <v>-137.60000000000036</v>
      </c>
      <c r="DP46" s="941">
        <f t="shared" si="141"/>
        <v>109.10000000000036</v>
      </c>
      <c r="DQ46" s="941">
        <f t="shared" si="141"/>
        <v>683.79999999999927</v>
      </c>
      <c r="DR46" s="941">
        <f t="shared" si="141"/>
        <v>-205.89999999999964</v>
      </c>
      <c r="DS46" s="941">
        <f t="shared" si="141"/>
        <v>90.100000000000364</v>
      </c>
      <c r="DT46" s="941">
        <f t="shared" si="141"/>
        <v>471.39999999999964</v>
      </c>
      <c r="DU46" s="941">
        <f t="shared" si="141"/>
        <v>389.47721363599067</v>
      </c>
      <c r="DV46" s="941">
        <f t="shared" si="141"/>
        <v>306.68035972473626</v>
      </c>
      <c r="DW46" s="941">
        <f t="shared" si="141"/>
        <v>264.91764556407543</v>
      </c>
      <c r="DX46" s="941">
        <f t="shared" si="141"/>
        <v>231.51333239697669</v>
      </c>
      <c r="DY46" s="941">
        <f t="shared" si="141"/>
        <v>144.04868100153999</v>
      </c>
      <c r="DZ46" s="941">
        <f t="shared" si="141"/>
        <v>39.217900574201849</v>
      </c>
    </row>
    <row r="47" spans="2:130" ht="15">
      <c r="B47" s="1009" t="s">
        <v>344</v>
      </c>
      <c r="C47" s="908"/>
      <c r="D47" s="1010"/>
      <c r="E47" s="941"/>
      <c r="F47" s="941"/>
      <c r="G47" s="930"/>
      <c r="H47" s="941"/>
      <c r="I47" s="941"/>
      <c r="J47" s="941"/>
      <c r="K47" s="930"/>
      <c r="L47" s="941"/>
      <c r="M47" s="941"/>
      <c r="N47" s="941"/>
      <c r="O47" s="930"/>
      <c r="P47" s="941"/>
      <c r="Q47" s="941"/>
      <c r="R47" s="941"/>
      <c r="S47" s="930"/>
      <c r="T47" s="941"/>
      <c r="U47" s="941"/>
      <c r="V47" s="941"/>
      <c r="W47" s="930"/>
      <c r="X47" s="941"/>
      <c r="Y47" s="941"/>
      <c r="Z47" s="941"/>
      <c r="AA47" s="930"/>
      <c r="AB47" s="941"/>
      <c r="AC47" s="941"/>
      <c r="AD47" s="941"/>
      <c r="AE47" s="930"/>
      <c r="AF47" s="941"/>
      <c r="AG47" s="941"/>
      <c r="AH47" s="941"/>
      <c r="AI47" s="930"/>
      <c r="AJ47" s="941"/>
      <c r="AK47" s="941"/>
      <c r="AL47" s="941"/>
      <c r="AM47" s="930"/>
      <c r="AN47" s="941">
        <f t="shared" ref="AN47:BS47" si="142">AJ46+AN46</f>
        <v>167.8</v>
      </c>
      <c r="AO47" s="941">
        <f t="shared" si="142"/>
        <v>125.40000000000003</v>
      </c>
      <c r="AP47" s="941">
        <f t="shared" si="142"/>
        <v>116.10000000000002</v>
      </c>
      <c r="AQ47" s="930">
        <f t="shared" si="142"/>
        <v>159.5</v>
      </c>
      <c r="AR47" s="941">
        <f t="shared" si="142"/>
        <v>256.2</v>
      </c>
      <c r="AS47" s="941">
        <f t="shared" si="142"/>
        <v>261.10000000000002</v>
      </c>
      <c r="AT47" s="941">
        <f t="shared" si="142"/>
        <v>248.60000000000002</v>
      </c>
      <c r="AU47" s="930">
        <f t="shared" si="142"/>
        <v>219.80000000000007</v>
      </c>
      <c r="AV47" s="941">
        <f t="shared" si="142"/>
        <v>228.79999999999995</v>
      </c>
      <c r="AW47" s="941">
        <f t="shared" si="142"/>
        <v>232.39999999999998</v>
      </c>
      <c r="AX47" s="941">
        <f t="shared" si="142"/>
        <v>203.69999999999993</v>
      </c>
      <c r="AY47" s="930">
        <f t="shared" si="142"/>
        <v>273</v>
      </c>
      <c r="AZ47" s="941">
        <f t="shared" si="142"/>
        <v>172.10000000000002</v>
      </c>
      <c r="BA47" s="941">
        <f t="shared" si="142"/>
        <v>222.69999999999993</v>
      </c>
      <c r="BB47" s="941">
        <f t="shared" si="142"/>
        <v>233.89999999999998</v>
      </c>
      <c r="BC47" s="930">
        <f t="shared" si="142"/>
        <v>277.19999999999993</v>
      </c>
      <c r="BD47" s="941">
        <f t="shared" si="142"/>
        <v>312.19999999999993</v>
      </c>
      <c r="BE47" s="941">
        <f t="shared" si="142"/>
        <v>317</v>
      </c>
      <c r="BF47" s="941">
        <f t="shared" si="142"/>
        <v>237.70000000000005</v>
      </c>
      <c r="BG47" s="930">
        <f t="shared" si="142"/>
        <v>-160.30000000000007</v>
      </c>
      <c r="BH47" s="941">
        <f t="shared" si="142"/>
        <v>-269.60000000000002</v>
      </c>
      <c r="BI47" s="941">
        <f t="shared" si="142"/>
        <v>-285</v>
      </c>
      <c r="BJ47" s="941">
        <f t="shared" si="142"/>
        <v>-198.60000000000002</v>
      </c>
      <c r="BK47" s="930">
        <f t="shared" si="142"/>
        <v>-124.89999999999998</v>
      </c>
      <c r="BL47" s="941">
        <f t="shared" si="142"/>
        <v>-192.09999999999991</v>
      </c>
      <c r="BM47" s="941">
        <f t="shared" si="142"/>
        <v>-91.399999999999977</v>
      </c>
      <c r="BN47" s="941">
        <f t="shared" si="142"/>
        <v>44.699999999999932</v>
      </c>
      <c r="BO47" s="930">
        <f t="shared" si="142"/>
        <v>438.10000000000014</v>
      </c>
      <c r="BP47" s="941">
        <f t="shared" si="142"/>
        <v>624.90000000000009</v>
      </c>
      <c r="BQ47" s="941">
        <f t="shared" si="142"/>
        <v>627.50000000000011</v>
      </c>
      <c r="BR47" s="941">
        <f t="shared" si="142"/>
        <v>522.90000000000009</v>
      </c>
      <c r="BS47" s="930">
        <f t="shared" si="142"/>
        <v>392.09999999999991</v>
      </c>
      <c r="BT47" s="941">
        <f t="shared" ref="BT47:CU47" si="143">BP46+BT46</f>
        <v>402.20000000000005</v>
      </c>
      <c r="BU47" s="941">
        <f t="shared" si="143"/>
        <v>251.99999999999989</v>
      </c>
      <c r="BV47" s="941">
        <f t="shared" si="143"/>
        <v>149.20000000000005</v>
      </c>
      <c r="BW47" s="930">
        <f t="shared" si="143"/>
        <v>48.799999999999955</v>
      </c>
      <c r="BX47" s="941">
        <f t="shared" si="143"/>
        <v>8.0999999999999091</v>
      </c>
      <c r="BY47" s="941">
        <f t="shared" si="143"/>
        <v>-9.6000000000001364</v>
      </c>
      <c r="BZ47" s="941">
        <f t="shared" si="143"/>
        <v>-47.900000000000091</v>
      </c>
      <c r="CA47" s="930">
        <f t="shared" si="143"/>
        <v>20.900000000000091</v>
      </c>
      <c r="CB47" s="941">
        <f t="shared" si="143"/>
        <v>103.89999999999986</v>
      </c>
      <c r="CC47" s="941">
        <f t="shared" si="143"/>
        <v>227.90000000000009</v>
      </c>
      <c r="CD47" s="941">
        <f t="shared" si="143"/>
        <v>244.40000000000009</v>
      </c>
      <c r="CE47" s="930">
        <f t="shared" si="143"/>
        <v>216.70000000000005</v>
      </c>
      <c r="CF47" s="941">
        <f t="shared" si="143"/>
        <v>123.40000000000009</v>
      </c>
      <c r="CG47" s="941">
        <f t="shared" si="143"/>
        <v>124.70000000000005</v>
      </c>
      <c r="CH47" s="941">
        <f t="shared" si="143"/>
        <v>98.600000000000136</v>
      </c>
      <c r="CI47" s="930">
        <f t="shared" si="143"/>
        <v>131.20000000000005</v>
      </c>
      <c r="CJ47" s="941">
        <f t="shared" si="143"/>
        <v>-12.899999999999864</v>
      </c>
      <c r="CK47" s="941">
        <f t="shared" si="143"/>
        <v>-53.299999999999955</v>
      </c>
      <c r="CL47" s="941">
        <f t="shared" si="143"/>
        <v>-53.100000000000136</v>
      </c>
      <c r="CM47" s="930">
        <f t="shared" si="143"/>
        <v>3.5</v>
      </c>
      <c r="CN47" s="941">
        <f t="shared" si="143"/>
        <v>114.5</v>
      </c>
      <c r="CO47" s="941">
        <f t="shared" si="143"/>
        <v>68.799999999999955</v>
      </c>
      <c r="CP47" s="941">
        <f t="shared" si="143"/>
        <v>197.5</v>
      </c>
      <c r="CQ47" s="930">
        <f t="shared" si="143"/>
        <v>180.70000000000005</v>
      </c>
      <c r="CR47" s="941">
        <f t="shared" si="143"/>
        <v>203.28081459947043</v>
      </c>
      <c r="CS47" s="941">
        <f t="shared" si="143"/>
        <v>213.26606500583512</v>
      </c>
      <c r="CT47" s="941">
        <f t="shared" si="143"/>
        <v>200.26779822406979</v>
      </c>
      <c r="CU47" s="930">
        <f t="shared" si="143"/>
        <v>244.06253580661496</v>
      </c>
      <c r="CV47" s="648"/>
      <c r="CW47" s="941"/>
      <c r="CX47" s="941"/>
      <c r="CY47" s="941"/>
      <c r="CZ47" s="941"/>
      <c r="DA47" s="941"/>
      <c r="DB47" s="941"/>
      <c r="DC47" s="941"/>
      <c r="DD47" s="941"/>
      <c r="DE47" s="941"/>
      <c r="DF47" s="941"/>
      <c r="DG47" s="941">
        <f t="shared" ref="DG47:DZ47" si="144">DF46+DG46</f>
        <v>568.80000000000018</v>
      </c>
      <c r="DH47" s="941">
        <f t="shared" si="144"/>
        <v>985.69999999999936</v>
      </c>
      <c r="DI47" s="941">
        <f t="shared" si="144"/>
        <v>937.90000000000009</v>
      </c>
      <c r="DJ47" s="941">
        <f t="shared" si="144"/>
        <v>905.90000000000055</v>
      </c>
      <c r="DK47" s="941">
        <f t="shared" si="144"/>
        <v>706.59999999999991</v>
      </c>
      <c r="DL47" s="941">
        <f t="shared" si="144"/>
        <v>-878.10000000000036</v>
      </c>
      <c r="DM47" s="941">
        <f t="shared" si="144"/>
        <v>199.29999999999973</v>
      </c>
      <c r="DN47" s="941">
        <f t="shared" si="144"/>
        <v>2167.4000000000005</v>
      </c>
      <c r="DO47" s="941">
        <f t="shared" si="144"/>
        <v>852.20000000000027</v>
      </c>
      <c r="DP47" s="941">
        <f t="shared" si="144"/>
        <v>-28.5</v>
      </c>
      <c r="DQ47" s="941">
        <f t="shared" si="144"/>
        <v>792.89999999999964</v>
      </c>
      <c r="DR47" s="941">
        <f t="shared" si="144"/>
        <v>477.89999999999964</v>
      </c>
      <c r="DS47" s="941">
        <f t="shared" si="144"/>
        <v>-115.79999999999927</v>
      </c>
      <c r="DT47" s="941">
        <f t="shared" si="144"/>
        <v>561.5</v>
      </c>
      <c r="DU47" s="941">
        <f t="shared" si="144"/>
        <v>860.8772136359903</v>
      </c>
      <c r="DV47" s="941">
        <f t="shared" si="144"/>
        <v>696.15757336072693</v>
      </c>
      <c r="DW47" s="941">
        <f t="shared" si="144"/>
        <v>571.59800528881169</v>
      </c>
      <c r="DX47" s="941">
        <f t="shared" si="144"/>
        <v>496.43097796105212</v>
      </c>
      <c r="DY47" s="941">
        <f t="shared" si="144"/>
        <v>375.56201339851668</v>
      </c>
      <c r="DZ47" s="941">
        <f t="shared" si="144"/>
        <v>183.26658157574184</v>
      </c>
    </row>
    <row r="48" spans="2:130" ht="15">
      <c r="B48" s="989" t="s">
        <v>341</v>
      </c>
      <c r="C48" s="898"/>
      <c r="D48" s="990"/>
      <c r="E48" s="991"/>
      <c r="F48" s="991"/>
      <c r="G48" s="992"/>
      <c r="H48" s="991"/>
      <c r="I48" s="991"/>
      <c r="J48" s="991"/>
      <c r="K48" s="992"/>
      <c r="L48" s="991"/>
      <c r="M48" s="991"/>
      <c r="N48" s="991"/>
      <c r="O48" s="992"/>
      <c r="P48" s="991"/>
      <c r="Q48" s="991"/>
      <c r="R48" s="991"/>
      <c r="S48" s="992"/>
      <c r="T48" s="991"/>
      <c r="U48" s="991"/>
      <c r="V48" s="991"/>
      <c r="W48" s="992"/>
      <c r="X48" s="991"/>
      <c r="Y48" s="991"/>
      <c r="Z48" s="991"/>
      <c r="AA48" s="992"/>
      <c r="AB48" s="991"/>
      <c r="AC48" s="991"/>
      <c r="AD48" s="991"/>
      <c r="AE48" s="992"/>
      <c r="AF48" s="991"/>
      <c r="AG48" s="991">
        <f t="shared" ref="AG48:BL48" si="145">AG44/AF44-1</f>
        <v>0.11533521705625471</v>
      </c>
      <c r="AH48" s="991">
        <f t="shared" si="145"/>
        <v>-4.0534315983417724E-2</v>
      </c>
      <c r="AI48" s="992">
        <f t="shared" si="145"/>
        <v>-2.040326452232355E-2</v>
      </c>
      <c r="AJ48" s="991">
        <f t="shared" si="145"/>
        <v>0.14138691497182054</v>
      </c>
      <c r="AK48" s="991">
        <f t="shared" si="145"/>
        <v>1.2451696006869906E-2</v>
      </c>
      <c r="AL48" s="991">
        <f t="shared" si="145"/>
        <v>-4.2832909245123063E-2</v>
      </c>
      <c r="AM48" s="992">
        <f t="shared" si="145"/>
        <v>6.5352237483385034E-2</v>
      </c>
      <c r="AN48" s="991">
        <f t="shared" si="145"/>
        <v>0.15845290081097962</v>
      </c>
      <c r="AO48" s="991">
        <f t="shared" si="145"/>
        <v>4.4875246813858016E-3</v>
      </c>
      <c r="AP48" s="991">
        <f t="shared" si="145"/>
        <v>-4.807005003573972E-2</v>
      </c>
      <c r="AQ48" s="992">
        <f t="shared" si="145"/>
        <v>6.5515299418059003E-2</v>
      </c>
      <c r="AR48" s="991">
        <f t="shared" si="145"/>
        <v>0.27202255109231843</v>
      </c>
      <c r="AS48" s="991">
        <f t="shared" si="145"/>
        <v>1.4819944598337909E-2</v>
      </c>
      <c r="AT48" s="991">
        <f t="shared" si="145"/>
        <v>-4.4629452709157968E-2</v>
      </c>
      <c r="AU48" s="992">
        <f t="shared" si="145"/>
        <v>1.0000000000001119E-3</v>
      </c>
      <c r="AV48" s="991">
        <f t="shared" si="145"/>
        <v>0.1215926930212643</v>
      </c>
      <c r="AW48" s="991">
        <f t="shared" si="145"/>
        <v>7.7618017559486496E-3</v>
      </c>
      <c r="AX48" s="991">
        <f t="shared" si="145"/>
        <v>-7.0202020202020265E-2</v>
      </c>
      <c r="AY48" s="992">
        <f t="shared" si="145"/>
        <v>0.14149918522542104</v>
      </c>
      <c r="AZ48" s="991">
        <f t="shared" si="145"/>
        <v>6.3645015465144006E-2</v>
      </c>
      <c r="BA48" s="991">
        <f t="shared" si="145"/>
        <v>6.8560563695336141E-2</v>
      </c>
      <c r="BB48" s="991">
        <f t="shared" si="145"/>
        <v>-2.2503663387063E-2</v>
      </c>
      <c r="BC48" s="992">
        <f t="shared" si="145"/>
        <v>4.7114252061248418E-2</v>
      </c>
      <c r="BD48" s="991">
        <f t="shared" si="145"/>
        <v>0.12291645362511505</v>
      </c>
      <c r="BE48" s="991">
        <f t="shared" si="145"/>
        <v>9.9262362262089177E-3</v>
      </c>
      <c r="BF48" s="991">
        <f t="shared" si="145"/>
        <v>-0.12164111812443645</v>
      </c>
      <c r="BG48" s="992">
        <f t="shared" si="145"/>
        <v>-0.30161174417410952</v>
      </c>
      <c r="BH48" s="991">
        <f t="shared" si="145"/>
        <v>-8.2022637071879956E-2</v>
      </c>
      <c r="BI48" s="991">
        <f t="shared" si="145"/>
        <v>7.3498799039231288E-2</v>
      </c>
      <c r="BJ48" s="991">
        <f t="shared" si="145"/>
        <v>9.680787589498796E-2</v>
      </c>
      <c r="BK48" s="992">
        <f t="shared" si="145"/>
        <v>0.16007071943424456</v>
      </c>
      <c r="BL48" s="991">
        <f t="shared" si="145"/>
        <v>6.2133645955451344E-2</v>
      </c>
      <c r="BM48" s="991">
        <f t="shared" ref="BM48:CU48" si="146">BM44/BL44-1</f>
        <v>0.12317880794701996</v>
      </c>
      <c r="BN48" s="991">
        <f t="shared" si="146"/>
        <v>1.179245283018826E-3</v>
      </c>
      <c r="BO48" s="992">
        <f t="shared" si="146"/>
        <v>9.7762073027090723E-2</v>
      </c>
      <c r="BP48" s="991">
        <f t="shared" si="146"/>
        <v>0.11713161659513593</v>
      </c>
      <c r="BQ48" s="991">
        <f t="shared" si="146"/>
        <v>3.8818632943812936E-2</v>
      </c>
      <c r="BR48" s="991">
        <f t="shared" si="146"/>
        <v>-3.0587872717466658E-2</v>
      </c>
      <c r="BS48" s="992">
        <f t="shared" si="146"/>
        <v>-1.0411699252901085E-2</v>
      </c>
      <c r="BT48" s="991">
        <f t="shared" si="146"/>
        <v>5.0678660348566495E-2</v>
      </c>
      <c r="BU48" s="991">
        <f t="shared" si="146"/>
        <v>-2.9506191713805308E-2</v>
      </c>
      <c r="BV48" s="991">
        <f t="shared" si="146"/>
        <v>-8.0025204788909843E-2</v>
      </c>
      <c r="BW48" s="992">
        <f t="shared" si="146"/>
        <v>-6.8493150684922899E-4</v>
      </c>
      <c r="BX48" s="991">
        <f t="shared" si="146"/>
        <v>7.7364633310486486E-2</v>
      </c>
      <c r="BY48" s="991">
        <f t="shared" si="146"/>
        <v>2.4493041749502842E-2</v>
      </c>
      <c r="BZ48" s="991">
        <f t="shared" si="146"/>
        <v>-6.0544904137235123E-2</v>
      </c>
      <c r="CA48" s="992">
        <f t="shared" si="146"/>
        <v>4.6021647525406939E-2</v>
      </c>
      <c r="CB48" s="991">
        <f t="shared" si="146"/>
        <v>0.11540284360189568</v>
      </c>
      <c r="CC48" s="991">
        <f t="shared" si="146"/>
        <v>6.0477303307131303E-2</v>
      </c>
      <c r="CD48" s="991">
        <f t="shared" si="146"/>
        <v>-5.6828046744574201E-2</v>
      </c>
      <c r="CE48" s="992">
        <f t="shared" si="146"/>
        <v>-2.0178419711129991E-2</v>
      </c>
      <c r="CF48" s="991">
        <f t="shared" si="146"/>
        <v>-2.1677866897896747E-3</v>
      </c>
      <c r="CG48" s="991">
        <f t="shared" si="146"/>
        <v>2.324570932000869E-2</v>
      </c>
      <c r="CH48" s="991">
        <f t="shared" si="146"/>
        <v>-7.3673036093418243E-2</v>
      </c>
      <c r="CI48" s="992">
        <f t="shared" si="146"/>
        <v>6.7461226984490752E-2</v>
      </c>
      <c r="CJ48" s="991">
        <f t="shared" si="146"/>
        <v>1.4314342971657457E-3</v>
      </c>
      <c r="CK48" s="991">
        <f t="shared" si="146"/>
        <v>3.2161234991423759E-2</v>
      </c>
      <c r="CL48" s="991">
        <f t="shared" si="146"/>
        <v>-5.878687162442886E-2</v>
      </c>
      <c r="CM48" s="992">
        <f t="shared" si="146"/>
        <v>2.0672404914294118E-2</v>
      </c>
      <c r="CN48" s="991">
        <f t="shared" si="146"/>
        <v>7.7843448176445174E-2</v>
      </c>
      <c r="CO48" s="991">
        <f t="shared" si="146"/>
        <v>-9.0945566403638489E-3</v>
      </c>
      <c r="CP48" s="991">
        <f t="shared" si="146"/>
        <v>1.6601430692401165E-2</v>
      </c>
      <c r="CQ48" s="992">
        <f t="shared" si="146"/>
        <v>4.7464152947424232E-2</v>
      </c>
      <c r="CR48" s="991">
        <f t="shared" si="146"/>
        <v>1.5578182774238059E-2</v>
      </c>
      <c r="CS48" s="991">
        <f t="shared" si="146"/>
        <v>3.4312579536315946E-2</v>
      </c>
      <c r="CT48" s="991">
        <f t="shared" si="146"/>
        <v>-5.9065020303399551E-2</v>
      </c>
      <c r="CU48" s="992">
        <f t="shared" si="146"/>
        <v>4.6099142124128356E-2</v>
      </c>
      <c r="CV48" s="416"/>
      <c r="CW48" s="991"/>
      <c r="CX48" s="991"/>
      <c r="CY48" s="991"/>
      <c r="CZ48" s="991"/>
      <c r="DA48" s="991"/>
      <c r="DB48" s="991"/>
      <c r="DC48" s="991"/>
      <c r="DD48" s="991"/>
      <c r="DE48" s="991"/>
      <c r="DF48" s="991"/>
      <c r="DG48" s="991"/>
      <c r="DH48" s="991"/>
      <c r="DI48" s="991"/>
      <c r="DJ48" s="991"/>
      <c r="DK48" s="991"/>
      <c r="DL48" s="991"/>
      <c r="DM48" s="991"/>
      <c r="DN48" s="991"/>
      <c r="DO48" s="991"/>
      <c r="DP48" s="991"/>
      <c r="DQ48" s="991"/>
      <c r="DR48" s="991"/>
      <c r="DS48" s="991"/>
      <c r="DT48" s="991"/>
      <c r="DU48" s="1011"/>
      <c r="DV48" s="1011"/>
      <c r="DW48" s="1011"/>
      <c r="DX48" s="1011"/>
      <c r="DY48" s="1011"/>
      <c r="DZ48" s="1011"/>
    </row>
    <row r="49" spans="2:130" ht="15">
      <c r="B49" s="989" t="s">
        <v>293</v>
      </c>
      <c r="C49" s="898"/>
      <c r="D49" s="990"/>
      <c r="E49" s="991"/>
      <c r="F49" s="991"/>
      <c r="G49" s="992"/>
      <c r="H49" s="991"/>
      <c r="I49" s="991"/>
      <c r="J49" s="991"/>
      <c r="K49" s="992"/>
      <c r="L49" s="991"/>
      <c r="M49" s="991"/>
      <c r="N49" s="991"/>
      <c r="O49" s="992"/>
      <c r="P49" s="991"/>
      <c r="Q49" s="991"/>
      <c r="R49" s="991"/>
      <c r="S49" s="992"/>
      <c r="T49" s="991"/>
      <c r="U49" s="991"/>
      <c r="V49" s="991"/>
      <c r="W49" s="992"/>
      <c r="X49" s="991"/>
      <c r="Y49" s="991"/>
      <c r="Z49" s="991"/>
      <c r="AA49" s="992"/>
      <c r="AB49" s="991"/>
      <c r="AC49" s="991"/>
      <c r="AD49" s="991"/>
      <c r="AE49" s="992"/>
      <c r="AF49" s="991"/>
      <c r="AG49" s="991"/>
      <c r="AH49" s="991"/>
      <c r="AI49" s="992"/>
      <c r="AJ49" s="991">
        <f t="shared" ref="AJ49:BO49" si="147">AJ44/AF44-1</f>
        <v>0.19650655021834051</v>
      </c>
      <c r="AK49" s="991">
        <f t="shared" si="147"/>
        <v>8.613542146476294E-2</v>
      </c>
      <c r="AL49" s="991">
        <f t="shared" si="147"/>
        <v>8.3533365338454013E-2</v>
      </c>
      <c r="AM49" s="992">
        <f t="shared" si="147"/>
        <v>0.17838765008576307</v>
      </c>
      <c r="AN49" s="991">
        <f t="shared" si="147"/>
        <v>0.19600686990124516</v>
      </c>
      <c r="AO49" s="991">
        <f t="shared" si="147"/>
        <v>0.18659881255301092</v>
      </c>
      <c r="AP49" s="991">
        <f t="shared" si="147"/>
        <v>0.1801063358440409</v>
      </c>
      <c r="AQ49" s="992">
        <f t="shared" si="147"/>
        <v>0.18028696194635074</v>
      </c>
      <c r="AR49" s="991">
        <f t="shared" si="147"/>
        <v>0.29599712798420397</v>
      </c>
      <c r="AS49" s="991">
        <f t="shared" si="147"/>
        <v>0.30932809149392426</v>
      </c>
      <c r="AT49" s="991">
        <f t="shared" si="147"/>
        <v>0.31406044678055189</v>
      </c>
      <c r="AU49" s="992">
        <f t="shared" si="147"/>
        <v>0.23449612403100772</v>
      </c>
      <c r="AV49" s="991">
        <f t="shared" si="147"/>
        <v>8.8504155124653705E-2</v>
      </c>
      <c r="AW49" s="991">
        <f t="shared" si="147"/>
        <v>8.0933533506209798E-2</v>
      </c>
      <c r="AX49" s="991">
        <f t="shared" si="147"/>
        <v>5.2000000000000046E-2</v>
      </c>
      <c r="AY49" s="992">
        <f t="shared" si="147"/>
        <v>0.19965748537177097</v>
      </c>
      <c r="AZ49" s="991">
        <f t="shared" si="147"/>
        <v>0.13767654917928507</v>
      </c>
      <c r="BA49" s="991">
        <f t="shared" si="147"/>
        <v>0.20631313131313123</v>
      </c>
      <c r="BB49" s="991">
        <f t="shared" si="147"/>
        <v>0.26819663226507329</v>
      </c>
      <c r="BC49" s="992">
        <f t="shared" si="147"/>
        <v>0.16333571258624779</v>
      </c>
      <c r="BD49" s="991">
        <f t="shared" si="147"/>
        <v>0.22816239794206461</v>
      </c>
      <c r="BE49" s="991">
        <f t="shared" si="147"/>
        <v>0.16077035796525019</v>
      </c>
      <c r="BF49" s="991">
        <f t="shared" si="147"/>
        <v>4.3045293928686279E-2</v>
      </c>
      <c r="BG49" s="992">
        <f t="shared" si="147"/>
        <v>-0.30432559566417838</v>
      </c>
      <c r="BH49" s="991">
        <f t="shared" si="147"/>
        <v>-0.4312904107094071</v>
      </c>
      <c r="BI49" s="991">
        <f t="shared" si="147"/>
        <v>-0.3954914337240758</v>
      </c>
      <c r="BJ49" s="991">
        <f t="shared" si="147"/>
        <v>-0.24514936864798287</v>
      </c>
      <c r="BK49" s="992">
        <f t="shared" si="147"/>
        <v>0.25385859179773629</v>
      </c>
      <c r="BL49" s="991">
        <f t="shared" si="147"/>
        <v>0.45076060848678945</v>
      </c>
      <c r="BM49" s="991">
        <f t="shared" si="147"/>
        <v>0.5178997613365155</v>
      </c>
      <c r="BN49" s="991">
        <f t="shared" si="147"/>
        <v>0.38555691554467564</v>
      </c>
      <c r="BO49" s="992">
        <f t="shared" si="147"/>
        <v>0.31113716295427918</v>
      </c>
      <c r="BP49" s="991">
        <f t="shared" ref="BP49:CQ49" si="148">BP44/BL44-1</f>
        <v>0.37902869757174407</v>
      </c>
      <c r="BQ49" s="991">
        <f t="shared" si="148"/>
        <v>0.27545204402515733</v>
      </c>
      <c r="BR49" s="991">
        <f t="shared" si="148"/>
        <v>0.23498233215547715</v>
      </c>
      <c r="BS49" s="992">
        <f t="shared" si="148"/>
        <v>0.11328683834048614</v>
      </c>
      <c r="BT49" s="991">
        <f t="shared" si="148"/>
        <v>4.7062590043220665E-2</v>
      </c>
      <c r="BU49" s="991">
        <f t="shared" si="148"/>
        <v>-2.1804453347715635E-2</v>
      </c>
      <c r="BV49" s="991">
        <f t="shared" si="148"/>
        <v>-7.1689715466539572E-2</v>
      </c>
      <c r="BW49" s="992">
        <f t="shared" si="148"/>
        <v>-6.2565255802746633E-2</v>
      </c>
      <c r="BX49" s="991">
        <f t="shared" si="148"/>
        <v>-3.8755541966060236E-2</v>
      </c>
      <c r="BY49" s="991">
        <f t="shared" si="148"/>
        <v>1.4729048519218635E-2</v>
      </c>
      <c r="BZ49" s="991">
        <f t="shared" si="148"/>
        <v>3.6215753424657438E-2</v>
      </c>
      <c r="CA49" s="992">
        <f t="shared" si="148"/>
        <v>8.4647018505825899E-2</v>
      </c>
      <c r="CB49" s="991">
        <f t="shared" si="148"/>
        <v>0.12294234592445319</v>
      </c>
      <c r="CC49" s="991">
        <f t="shared" si="148"/>
        <v>0.16238453776294337</v>
      </c>
      <c r="CD49" s="991">
        <f t="shared" si="148"/>
        <v>0.16698339254730254</v>
      </c>
      <c r="CE49" s="992">
        <f t="shared" si="148"/>
        <v>9.3127962085308047E-2</v>
      </c>
      <c r="CF49" s="991">
        <f t="shared" si="148"/>
        <v>-2.2094752496282011E-2</v>
      </c>
      <c r="CG49" s="991">
        <f t="shared" si="148"/>
        <v>-5.6427378964941544E-2</v>
      </c>
      <c r="CH49" s="991">
        <f t="shared" si="148"/>
        <v>-7.3279524214103664E-2</v>
      </c>
      <c r="CI49" s="992">
        <f t="shared" si="148"/>
        <v>9.6105209914010281E-3</v>
      </c>
      <c r="CJ49" s="991">
        <f t="shared" si="148"/>
        <v>1.3252226808603051E-2</v>
      </c>
      <c r="CK49" s="991">
        <f t="shared" si="148"/>
        <v>2.2080679405520165E-2</v>
      </c>
      <c r="CL49" s="991">
        <f t="shared" si="148"/>
        <v>3.8505615402246063E-2</v>
      </c>
      <c r="CM49" s="992">
        <f t="shared" si="148"/>
        <v>-7.0140280561121759E-3</v>
      </c>
      <c r="CN49" s="991">
        <f t="shared" si="148"/>
        <v>6.8753573470554663E-2</v>
      </c>
      <c r="CO49" s="991">
        <f t="shared" si="148"/>
        <v>2.6035175183492631E-2</v>
      </c>
      <c r="CP49" s="991">
        <f t="shared" si="148"/>
        <v>0.1082174648716252</v>
      </c>
      <c r="CQ49" s="992">
        <f t="shared" si="148"/>
        <v>0.13730719331122954</v>
      </c>
      <c r="CR49" s="991">
        <f>CR29+CR50</f>
        <v>7.1606803931704086E-2</v>
      </c>
      <c r="CS49" s="991">
        <f>CS29+CS50</f>
        <v>0.11854910582118709</v>
      </c>
      <c r="CT49" s="991">
        <f>CT29+CT50</f>
        <v>3.5294608486504106E-2</v>
      </c>
      <c r="CU49" s="992">
        <f>CU29+CU50</f>
        <v>3.3945456496999177E-2</v>
      </c>
      <c r="CV49" s="416"/>
      <c r="CW49" s="991"/>
      <c r="CX49" s="991"/>
      <c r="CY49" s="991"/>
      <c r="CZ49" s="991"/>
      <c r="DA49" s="991"/>
      <c r="DB49" s="991"/>
      <c r="DC49" s="991"/>
      <c r="DD49" s="991"/>
      <c r="DE49" s="991"/>
      <c r="DF49" s="991">
        <f t="shared" ref="DF49:DU49" si="149">DF44/DE44-1</f>
        <v>0.13438903045746908</v>
      </c>
      <c r="DG49" s="991">
        <f t="shared" si="149"/>
        <v>0.18575172487564839</v>
      </c>
      <c r="DH49" s="991">
        <f t="shared" si="149"/>
        <v>0.28795669824086589</v>
      </c>
      <c r="DI49" s="991">
        <f t="shared" si="149"/>
        <v>0.10488898227919052</v>
      </c>
      <c r="DJ49" s="991">
        <f t="shared" si="149"/>
        <v>0.19220894481600048</v>
      </c>
      <c r="DK49" s="991">
        <f t="shared" si="149"/>
        <v>2.6639725626777855E-2</v>
      </c>
      <c r="DL49" s="991">
        <f t="shared" si="149"/>
        <v>-0.25334714489188148</v>
      </c>
      <c r="DM49" s="991">
        <f t="shared" si="149"/>
        <v>0.40843507214206443</v>
      </c>
      <c r="DN49" s="991">
        <f t="shared" si="149"/>
        <v>0.2437450748620964</v>
      </c>
      <c r="DO49" s="991">
        <f t="shared" si="149"/>
        <v>-2.72442878073893E-2</v>
      </c>
      <c r="DP49" s="991">
        <f t="shared" si="149"/>
        <v>2.2206391207001852E-2</v>
      </c>
      <c r="DQ49" s="991">
        <f t="shared" si="149"/>
        <v>0.13615818084068398</v>
      </c>
      <c r="DR49" s="991">
        <f t="shared" si="149"/>
        <v>-3.6085455405807987E-2</v>
      </c>
      <c r="DS49" s="991">
        <f t="shared" si="149"/>
        <v>1.6381818181818275E-2</v>
      </c>
      <c r="DT49" s="991">
        <f t="shared" si="149"/>
        <v>8.4327650668145404E-2</v>
      </c>
      <c r="DU49" s="991">
        <f t="shared" si="149"/>
        <v>6.4254262746183288E-2</v>
      </c>
      <c r="DV49" s="991">
        <f>DV29+DV50</f>
        <v>4.7540139977006762E-2</v>
      </c>
      <c r="DW49" s="991">
        <f>DW29+DW50</f>
        <v>3.9202585021236282E-2</v>
      </c>
      <c r="DX49" s="991">
        <f>DX29+DX50</f>
        <v>3.2967013549827437E-2</v>
      </c>
      <c r="DY49" s="991">
        <f>DY29+DY50</f>
        <v>1.9857585137321276E-2</v>
      </c>
      <c r="DZ49" s="991">
        <f>DZ29+DZ50</f>
        <v>5.3010507027167007E-3</v>
      </c>
    </row>
    <row r="50" spans="2:130" ht="15">
      <c r="B50" s="1013" t="s">
        <v>346</v>
      </c>
      <c r="C50" s="898"/>
      <c r="D50" s="990"/>
      <c r="E50" s="991"/>
      <c r="F50" s="991"/>
      <c r="G50" s="992"/>
      <c r="H50" s="991"/>
      <c r="I50" s="991"/>
      <c r="J50" s="991"/>
      <c r="K50" s="992"/>
      <c r="L50" s="991"/>
      <c r="M50" s="991"/>
      <c r="N50" s="991"/>
      <c r="O50" s="992"/>
      <c r="P50" s="991"/>
      <c r="Q50" s="991"/>
      <c r="R50" s="991"/>
      <c r="S50" s="992"/>
      <c r="T50" s="991"/>
      <c r="U50" s="991"/>
      <c r="V50" s="991"/>
      <c r="W50" s="992"/>
      <c r="X50" s="991"/>
      <c r="Y50" s="991"/>
      <c r="Z50" s="991"/>
      <c r="AA50" s="992"/>
      <c r="AB50" s="991"/>
      <c r="AC50" s="991"/>
      <c r="AD50" s="991"/>
      <c r="AE50" s="992"/>
      <c r="AF50" s="991"/>
      <c r="AG50" s="991"/>
      <c r="AH50" s="991"/>
      <c r="AI50" s="992"/>
      <c r="AJ50" s="991"/>
      <c r="AK50" s="991"/>
      <c r="AL50" s="991"/>
      <c r="AM50" s="992"/>
      <c r="AN50" s="991">
        <f t="shared" ref="AN50:BS50" si="150">AN49-AN29</f>
        <v>0.14816785148691203</v>
      </c>
      <c r="AO50" s="991">
        <f t="shared" si="150"/>
        <v>0.11624325370241717</v>
      </c>
      <c r="AP50" s="991">
        <f t="shared" si="150"/>
        <v>0.11937760010118703</v>
      </c>
      <c r="AQ50" s="992">
        <f t="shared" si="150"/>
        <v>0.15583154745846217</v>
      </c>
      <c r="AR50" s="991">
        <f t="shared" si="150"/>
        <v>0.27933248496133301</v>
      </c>
      <c r="AS50" s="991">
        <f t="shared" si="150"/>
        <v>0.2651210542028104</v>
      </c>
      <c r="AT50" s="991">
        <f t="shared" si="150"/>
        <v>0.26650517604771928</v>
      </c>
      <c r="AU50" s="992">
        <f t="shared" si="150"/>
        <v>0.17373458972136002</v>
      </c>
      <c r="AV50" s="991">
        <f t="shared" si="150"/>
        <v>7.0960517702680637E-3</v>
      </c>
      <c r="AW50" s="991">
        <f t="shared" si="150"/>
        <v>5.2599585769127488E-2</v>
      </c>
      <c r="AX50" s="991">
        <f t="shared" si="150"/>
        <v>3.3591250708728815E-2</v>
      </c>
      <c r="AY50" s="992">
        <f t="shared" si="150"/>
        <v>0.16364667918355025</v>
      </c>
      <c r="AZ50" s="991">
        <f t="shared" si="150"/>
        <v>0.11432461428251872</v>
      </c>
      <c r="BA50" s="991">
        <f t="shared" si="150"/>
        <v>0.15623825284834592</v>
      </c>
      <c r="BB50" s="991">
        <f t="shared" si="150"/>
        <v>0.20143157769533571</v>
      </c>
      <c r="BC50" s="992">
        <f t="shared" si="150"/>
        <v>7.5770747918212145E-2</v>
      </c>
      <c r="BD50" s="991">
        <f t="shared" si="150"/>
        <v>0.18978959883110802</v>
      </c>
      <c r="BE50" s="991">
        <f t="shared" si="150"/>
        <v>0.13270317181074787</v>
      </c>
      <c r="BF50" s="991">
        <f t="shared" si="150"/>
        <v>6.0468646836242534E-2</v>
      </c>
      <c r="BG50" s="992">
        <f t="shared" si="150"/>
        <v>-9.0722796581436671E-2</v>
      </c>
      <c r="BH50" s="991">
        <f t="shared" si="150"/>
        <v>-9.1038417143897266E-2</v>
      </c>
      <c r="BI50" s="991">
        <f t="shared" si="150"/>
        <v>-0.16272754313109861</v>
      </c>
      <c r="BJ50" s="991">
        <f t="shared" si="150"/>
        <v>-0.20401821973680156</v>
      </c>
      <c r="BK50" s="992">
        <f t="shared" si="150"/>
        <v>3.3314075047004676E-2</v>
      </c>
      <c r="BL50" s="991">
        <f t="shared" si="150"/>
        <v>-6.0657960132531441E-2</v>
      </c>
      <c r="BM50" s="991">
        <f t="shared" si="150"/>
        <v>0.20493055039146046</v>
      </c>
      <c r="BN50" s="991">
        <f t="shared" si="150"/>
        <v>0.23437076619986441</v>
      </c>
      <c r="BO50" s="992">
        <f t="shared" si="150"/>
        <v>0.20530258249058875</v>
      </c>
      <c r="BP50" s="991">
        <f t="shared" si="150"/>
        <v>0.30507126391528616</v>
      </c>
      <c r="BQ50" s="991">
        <f t="shared" si="150"/>
        <v>0.28901679221307963</v>
      </c>
      <c r="BR50" s="991">
        <f t="shared" si="150"/>
        <v>0.18295552036385865</v>
      </c>
      <c r="BS50" s="992">
        <f t="shared" si="150"/>
        <v>8.8650725619447313E-2</v>
      </c>
      <c r="BT50" s="991">
        <f t="shared" ref="BT50:CP50" si="151">BT49-BT29</f>
        <v>-2.561285308865302E-2</v>
      </c>
      <c r="BU50" s="991">
        <f t="shared" si="151"/>
        <v>-0.14298996939078601</v>
      </c>
      <c r="BV50" s="991">
        <f t="shared" si="151"/>
        <v>-9.8220234346006907E-2</v>
      </c>
      <c r="BW50" s="992">
        <f t="shared" si="151"/>
        <v>-8.3566625677445328E-2</v>
      </c>
      <c r="BX50" s="991">
        <f t="shared" si="151"/>
        <v>-3.9527743763514755E-2</v>
      </c>
      <c r="BY50" s="991">
        <f t="shared" si="151"/>
        <v>-2.3983822229693308E-2</v>
      </c>
      <c r="BZ50" s="991">
        <f t="shared" si="151"/>
        <v>-1.4248709153475536E-2</v>
      </c>
      <c r="CA50" s="992">
        <f t="shared" si="151"/>
        <v>1.1312352970065165E-2</v>
      </c>
      <c r="CB50" s="991">
        <f t="shared" si="151"/>
        <v>7.0980784741714986E-2</v>
      </c>
      <c r="CC50" s="991">
        <f t="shared" si="151"/>
        <v>0.12587030131192822</v>
      </c>
      <c r="CD50" s="991">
        <f t="shared" si="151"/>
        <v>0.14589520802907963</v>
      </c>
      <c r="CE50" s="992">
        <f t="shared" si="151"/>
        <v>7.5813898979819827E-2</v>
      </c>
      <c r="CF50" s="991">
        <f t="shared" si="151"/>
        <v>-4.2448416162047531E-2</v>
      </c>
      <c r="CG50" s="991">
        <f t="shared" si="151"/>
        <v>-5.9881093567714205E-2</v>
      </c>
      <c r="CH50" s="991">
        <f t="shared" si="151"/>
        <v>-6.5628040568756152E-2</v>
      </c>
      <c r="CI50" s="992">
        <f t="shared" si="151"/>
        <v>-3.46497505735337E-2</v>
      </c>
      <c r="CJ50" s="991">
        <f t="shared" si="151"/>
        <v>-3.5917677548029658E-3</v>
      </c>
      <c r="CK50" s="991">
        <f t="shared" si="151"/>
        <v>-1.2023117669878847E-2</v>
      </c>
      <c r="CL50" s="991">
        <f t="shared" si="151"/>
        <v>-3.0715920738549007E-2</v>
      </c>
      <c r="CM50" s="992">
        <f t="shared" si="151"/>
        <v>-8.2710899322771869E-2</v>
      </c>
      <c r="CN50" s="991">
        <f t="shared" si="151"/>
        <v>1.2600176657153073E-2</v>
      </c>
      <c r="CO50" s="991">
        <f t="shared" si="151"/>
        <v>2.5248537638677737E-2</v>
      </c>
      <c r="CP50" s="991">
        <f t="shared" si="151"/>
        <v>8.6601678979546071E-2</v>
      </c>
      <c r="CQ50" s="992">
        <f t="shared" ref="CQ50" si="152">CQ49-CQ29</f>
        <v>0.12676197082895158</v>
      </c>
      <c r="CR50" s="1011">
        <v>0.08</v>
      </c>
      <c r="CS50" s="1011">
        <v>0.08</v>
      </c>
      <c r="CT50" s="1011">
        <v>1.4999999999999999E-2</v>
      </c>
      <c r="CU50" s="1012">
        <v>0.03</v>
      </c>
      <c r="CV50" s="416"/>
      <c r="CW50" s="991"/>
      <c r="CX50" s="991"/>
      <c r="CY50" s="991"/>
      <c r="CZ50" s="991"/>
      <c r="DA50" s="991"/>
      <c r="DB50" s="991"/>
      <c r="DC50" s="991"/>
      <c r="DD50" s="991"/>
      <c r="DE50" s="991"/>
      <c r="DF50" s="991">
        <f t="shared" ref="DF50:DU50" si="153">DF49-DF29</f>
        <v>0.10730330171807134</v>
      </c>
      <c r="DG50" s="991">
        <f t="shared" si="153"/>
        <v>0.13519108901543708</v>
      </c>
      <c r="DH50" s="991">
        <f t="shared" si="153"/>
        <v>0.24584553311505841</v>
      </c>
      <c r="DI50" s="991">
        <f t="shared" si="153"/>
        <v>6.3727443727250366E-2</v>
      </c>
      <c r="DJ50" s="991">
        <f t="shared" si="153"/>
        <v>0.13567491976765944</v>
      </c>
      <c r="DK50" s="991">
        <f t="shared" si="153"/>
        <v>6.9727339287116497E-2</v>
      </c>
      <c r="DL50" s="991">
        <f t="shared" si="153"/>
        <v>-0.13459206563489057</v>
      </c>
      <c r="DM50" s="991">
        <f t="shared" si="153"/>
        <v>0.15884825351200527</v>
      </c>
      <c r="DN50" s="991">
        <f t="shared" si="153"/>
        <v>0.20995622390387525</v>
      </c>
      <c r="DO50" s="991">
        <f t="shared" si="153"/>
        <v>-8.6758205763468599E-2</v>
      </c>
      <c r="DP50" s="991">
        <f t="shared" si="153"/>
        <v>-1.8166916031506775E-2</v>
      </c>
      <c r="DQ50" s="991">
        <f t="shared" si="153"/>
        <v>0.10446393424496137</v>
      </c>
      <c r="DR50" s="991">
        <f t="shared" si="153"/>
        <v>-5.1632400806548406E-2</v>
      </c>
      <c r="DS50" s="991">
        <f t="shared" si="153"/>
        <v>-3.2374460039190422E-2</v>
      </c>
      <c r="DT50" s="991">
        <f t="shared" si="153"/>
        <v>6.2301428334138764E-2</v>
      </c>
      <c r="DU50" s="991">
        <f t="shared" si="153"/>
        <v>5.1232818723896845E-2</v>
      </c>
      <c r="DV50" s="1011">
        <v>0.03</v>
      </c>
      <c r="DW50" s="1011">
        <f>DV50-0.01</f>
        <v>1.9999999999999997E-2</v>
      </c>
      <c r="DX50" s="1011">
        <f>DW50-0.01</f>
        <v>9.9999999999999967E-3</v>
      </c>
      <c r="DY50" s="1011">
        <f>DX50-0.01</f>
        <v>0</v>
      </c>
      <c r="DZ50" s="1011">
        <f>DY50-0.01</f>
        <v>-0.01</v>
      </c>
    </row>
    <row r="51" spans="2:130" ht="15">
      <c r="B51" s="1013" t="s">
        <v>462</v>
      </c>
      <c r="C51" s="898"/>
      <c r="D51" s="990"/>
      <c r="E51" s="991"/>
      <c r="F51" s="991"/>
      <c r="G51" s="992"/>
      <c r="H51" s="991"/>
      <c r="I51" s="991"/>
      <c r="J51" s="991"/>
      <c r="K51" s="992"/>
      <c r="L51" s="991"/>
      <c r="M51" s="991"/>
      <c r="N51" s="991"/>
      <c r="O51" s="992"/>
      <c r="P51" s="991"/>
      <c r="Q51" s="991"/>
      <c r="R51" s="991"/>
      <c r="S51" s="992"/>
      <c r="T51" s="991"/>
      <c r="U51" s="991"/>
      <c r="V51" s="991"/>
      <c r="W51" s="992"/>
      <c r="X51" s="991"/>
      <c r="Y51" s="991"/>
      <c r="Z51" s="991"/>
      <c r="AA51" s="992"/>
      <c r="AB51" s="991"/>
      <c r="AC51" s="991"/>
      <c r="AD51" s="991"/>
      <c r="AE51" s="992"/>
      <c r="AF51" s="991"/>
      <c r="AG51" s="991"/>
      <c r="AH51" s="991"/>
      <c r="AI51" s="992"/>
      <c r="AJ51" s="991"/>
      <c r="AK51" s="991"/>
      <c r="AL51" s="991"/>
      <c r="AM51" s="992"/>
      <c r="AN51" s="991"/>
      <c r="AO51" s="991"/>
      <c r="AP51" s="991"/>
      <c r="AQ51" s="992"/>
      <c r="AR51" s="991"/>
      <c r="AS51" s="991"/>
      <c r="AT51" s="991"/>
      <c r="AU51" s="992"/>
      <c r="AV51" s="991"/>
      <c r="AW51" s="991"/>
      <c r="AX51" s="991"/>
      <c r="AY51" s="992"/>
      <c r="AZ51" s="991"/>
      <c r="BA51" s="991"/>
      <c r="BB51" s="991"/>
      <c r="BC51" s="992"/>
      <c r="BD51" s="991"/>
      <c r="BE51" s="991"/>
      <c r="BF51" s="991"/>
      <c r="BG51" s="992"/>
      <c r="BH51" s="991"/>
      <c r="BI51" s="991"/>
      <c r="BJ51" s="991"/>
      <c r="BK51" s="992"/>
      <c r="BL51" s="991"/>
      <c r="BM51" s="991"/>
      <c r="BN51" s="991"/>
      <c r="BO51" s="992"/>
      <c r="BP51" s="991"/>
      <c r="BQ51" s="991"/>
      <c r="BR51" s="991"/>
      <c r="BS51" s="992"/>
      <c r="BT51" s="991">
        <f>BT49-BT30</f>
        <v>-1.6940406730543131E-2</v>
      </c>
      <c r="BU51" s="991">
        <f t="shared" ref="BU51:CU51" si="154">BU49-BU30</f>
        <v>-0.10405395347272128</v>
      </c>
      <c r="BV51" s="991">
        <f t="shared" si="154"/>
        <v>-8.7884021214894248E-2</v>
      </c>
      <c r="BW51" s="992">
        <f t="shared" si="154"/>
        <v>-7.4596771016934335E-2</v>
      </c>
      <c r="BX51" s="991">
        <f t="shared" si="154"/>
        <v>-9.4900521271307041E-3</v>
      </c>
      <c r="BY51" s="991">
        <f t="shared" si="154"/>
        <v>-2.3658673330552077E-2</v>
      </c>
      <c r="BZ51" s="991">
        <f t="shared" si="154"/>
        <v>-1.0686985945056418E-2</v>
      </c>
      <c r="CA51" s="992">
        <f t="shared" si="154"/>
        <v>3.2212691464275876E-2</v>
      </c>
      <c r="CB51" s="991">
        <f t="shared" si="154"/>
        <v>6.4877455229299094E-2</v>
      </c>
      <c r="CC51" s="991">
        <f t="shared" si="154"/>
        <v>0.13902624070937655</v>
      </c>
      <c r="CD51" s="991">
        <f t="shared" si="154"/>
        <v>0.16013808892012144</v>
      </c>
      <c r="CE51" s="992">
        <f t="shared" si="154"/>
        <v>8.5699230123680706E-2</v>
      </c>
      <c r="CF51" s="991">
        <f t="shared" si="154"/>
        <v>-3.9267197026993272E-2</v>
      </c>
      <c r="CG51" s="991">
        <f t="shared" si="154"/>
        <v>-6.184354022909197E-2</v>
      </c>
      <c r="CH51" s="991">
        <f t="shared" si="154"/>
        <v>-8.699985562425977E-2</v>
      </c>
      <c r="CI51" s="992">
        <f t="shared" si="154"/>
        <v>-2.388305276949014E-2</v>
      </c>
      <c r="CJ51" s="991">
        <f t="shared" si="154"/>
        <v>1.3055453274451595E-3</v>
      </c>
      <c r="CK51" s="991">
        <f t="shared" si="154"/>
        <v>-1.2777467868331033E-2</v>
      </c>
      <c r="CL51" s="991">
        <f t="shared" si="154"/>
        <v>8.3042794189593649E-3</v>
      </c>
      <c r="CM51" s="992">
        <f t="shared" si="154"/>
        <v>-5.0188122612532013E-2</v>
      </c>
      <c r="CN51" s="991">
        <f t="shared" si="154"/>
        <v>1.790499199948823E-2</v>
      </c>
      <c r="CO51" s="991">
        <f t="shared" si="154"/>
        <v>3.417225812040222E-2</v>
      </c>
      <c r="CP51" s="991">
        <f t="shared" si="154"/>
        <v>8.8713007996056886E-2</v>
      </c>
      <c r="CQ51" s="992">
        <f t="shared" ref="CQ51" si="155">CQ49-CQ30</f>
        <v>0.11266907121803967</v>
      </c>
      <c r="CR51" s="991">
        <f t="shared" si="154"/>
        <v>7.5855366326392809E-2</v>
      </c>
      <c r="CS51" s="991">
        <f t="shared" si="154"/>
        <v>8.0084042655013205E-2</v>
      </c>
      <c r="CT51" s="991">
        <f t="shared" si="154"/>
        <v>1.7896550226799854E-2</v>
      </c>
      <c r="CU51" s="992">
        <f t="shared" si="154"/>
        <v>3.9593042539806549E-2</v>
      </c>
      <c r="CV51" s="416"/>
      <c r="CW51" s="991"/>
      <c r="CX51" s="991"/>
      <c r="CY51" s="991"/>
      <c r="CZ51" s="991"/>
      <c r="DA51" s="991"/>
      <c r="DB51" s="991"/>
      <c r="DC51" s="991"/>
      <c r="DD51" s="991"/>
      <c r="DE51" s="991"/>
      <c r="DF51" s="991"/>
      <c r="DG51" s="991"/>
      <c r="DH51" s="991"/>
      <c r="DI51" s="991"/>
      <c r="DJ51" s="991"/>
      <c r="DK51" s="991"/>
      <c r="DL51" s="991"/>
      <c r="DM51" s="991"/>
      <c r="DN51" s="991"/>
      <c r="DO51" s="991">
        <f>DO49-DO30</f>
        <v>-6.9088869968927602E-2</v>
      </c>
      <c r="DP51" s="991">
        <f t="shared" ref="DP51:DZ51" si="156">DP49-DP30</f>
        <v>-3.4357209344984679E-3</v>
      </c>
      <c r="DQ51" s="991">
        <f t="shared" si="156"/>
        <v>0.11236021542812138</v>
      </c>
      <c r="DR51" s="991">
        <f t="shared" si="156"/>
        <v>-5.3818636474094218E-2</v>
      </c>
      <c r="DS51" s="991">
        <f t="shared" si="156"/>
        <v>-1.3370360089104517E-2</v>
      </c>
      <c r="DT51" s="991">
        <f t="shared" si="156"/>
        <v>6.3750645620709423E-2</v>
      </c>
      <c r="DU51" s="991">
        <f t="shared" si="156"/>
        <v>5.3108136943523281E-2</v>
      </c>
      <c r="DV51" s="991">
        <f t="shared" si="156"/>
        <v>4.2861325478603308E-2</v>
      </c>
      <c r="DW51" s="991">
        <f t="shared" si="156"/>
        <v>2.9115777712047226E-2</v>
      </c>
      <c r="DX51" s="991">
        <f t="shared" si="156"/>
        <v>1.445813135621702E-2</v>
      </c>
      <c r="DY51" s="991">
        <f t="shared" si="156"/>
        <v>2.9055479791087295E-3</v>
      </c>
      <c r="DZ51" s="991">
        <f t="shared" si="156"/>
        <v>-8.06171288102169E-3</v>
      </c>
    </row>
    <row r="52" spans="2:130" ht="15">
      <c r="B52" s="989" t="s">
        <v>345</v>
      </c>
      <c r="C52" s="898"/>
      <c r="D52" s="990"/>
      <c r="E52" s="991"/>
      <c r="F52" s="991"/>
      <c r="G52" s="992"/>
      <c r="H52" s="991"/>
      <c r="I52" s="991"/>
      <c r="J52" s="991"/>
      <c r="K52" s="992"/>
      <c r="L52" s="991"/>
      <c r="M52" s="991"/>
      <c r="N52" s="991"/>
      <c r="O52" s="992"/>
      <c r="P52" s="991"/>
      <c r="Q52" s="991"/>
      <c r="R52" s="991"/>
      <c r="S52" s="992"/>
      <c r="T52" s="991"/>
      <c r="U52" s="991"/>
      <c r="V52" s="991"/>
      <c r="W52" s="992"/>
      <c r="X52" s="991"/>
      <c r="Y52" s="991"/>
      <c r="Z52" s="991"/>
      <c r="AA52" s="992"/>
      <c r="AB52" s="991"/>
      <c r="AC52" s="991"/>
      <c r="AD52" s="991"/>
      <c r="AE52" s="992"/>
      <c r="AF52" s="991"/>
      <c r="AG52" s="991"/>
      <c r="AH52" s="991"/>
      <c r="AI52" s="992"/>
      <c r="AJ52" s="991"/>
      <c r="AK52" s="991"/>
      <c r="AL52" s="991"/>
      <c r="AM52" s="992"/>
      <c r="AN52" s="991">
        <f t="shared" ref="AN52:BS52" si="157">AJ49+AN49</f>
        <v>0.39251342011958568</v>
      </c>
      <c r="AO52" s="991">
        <f t="shared" si="157"/>
        <v>0.27273423401777386</v>
      </c>
      <c r="AP52" s="991">
        <f t="shared" si="157"/>
        <v>0.26363970118249491</v>
      </c>
      <c r="AQ52" s="992">
        <f t="shared" si="157"/>
        <v>0.35867461203211382</v>
      </c>
      <c r="AR52" s="991">
        <f t="shared" si="157"/>
        <v>0.49200399788544913</v>
      </c>
      <c r="AS52" s="991">
        <f t="shared" si="157"/>
        <v>0.49592690404693518</v>
      </c>
      <c r="AT52" s="991">
        <f t="shared" si="157"/>
        <v>0.49416678262459279</v>
      </c>
      <c r="AU52" s="992">
        <f t="shared" si="157"/>
        <v>0.41478308597735847</v>
      </c>
      <c r="AV52" s="991">
        <f t="shared" si="157"/>
        <v>0.38450128310885767</v>
      </c>
      <c r="AW52" s="991">
        <f t="shared" si="157"/>
        <v>0.39026162500013406</v>
      </c>
      <c r="AX52" s="991">
        <f t="shared" si="157"/>
        <v>0.36606044678055194</v>
      </c>
      <c r="AY52" s="992">
        <f t="shared" si="157"/>
        <v>0.4341536094027787</v>
      </c>
      <c r="AZ52" s="991">
        <f t="shared" si="157"/>
        <v>0.22618070430393877</v>
      </c>
      <c r="BA52" s="991">
        <f t="shared" si="157"/>
        <v>0.28724666481934102</v>
      </c>
      <c r="BB52" s="991">
        <f t="shared" si="157"/>
        <v>0.32019663226507333</v>
      </c>
      <c r="BC52" s="992">
        <f t="shared" si="157"/>
        <v>0.36299319795801877</v>
      </c>
      <c r="BD52" s="991">
        <f t="shared" si="157"/>
        <v>0.36583894712134968</v>
      </c>
      <c r="BE52" s="991">
        <f t="shared" si="157"/>
        <v>0.36708348927838141</v>
      </c>
      <c r="BF52" s="991">
        <f t="shared" si="157"/>
        <v>0.31124192619375957</v>
      </c>
      <c r="BG52" s="992">
        <f t="shared" si="157"/>
        <v>-0.14098988307793059</v>
      </c>
      <c r="BH52" s="991">
        <f t="shared" si="157"/>
        <v>-0.20312801276734249</v>
      </c>
      <c r="BI52" s="991">
        <f t="shared" si="157"/>
        <v>-0.23472107575882561</v>
      </c>
      <c r="BJ52" s="991">
        <f t="shared" si="157"/>
        <v>-0.20210407471929659</v>
      </c>
      <c r="BK52" s="992">
        <f t="shared" si="157"/>
        <v>-5.0467003866442095E-2</v>
      </c>
      <c r="BL52" s="991">
        <f t="shared" si="157"/>
        <v>1.9470197777382348E-2</v>
      </c>
      <c r="BM52" s="991">
        <f t="shared" si="157"/>
        <v>0.12240832761243969</v>
      </c>
      <c r="BN52" s="991">
        <f t="shared" si="157"/>
        <v>0.14040754689669277</v>
      </c>
      <c r="BO52" s="992">
        <f t="shared" si="157"/>
        <v>0.56499575475201547</v>
      </c>
      <c r="BP52" s="991">
        <f t="shared" si="157"/>
        <v>0.82978930605853352</v>
      </c>
      <c r="BQ52" s="991">
        <f t="shared" si="157"/>
        <v>0.79335180536167282</v>
      </c>
      <c r="BR52" s="991">
        <f t="shared" si="157"/>
        <v>0.62053924770015279</v>
      </c>
      <c r="BS52" s="992">
        <f t="shared" si="157"/>
        <v>0.42442400129476532</v>
      </c>
      <c r="BT52" s="991">
        <f t="shared" ref="BT52:CU52" si="158">BP49+BT49</f>
        <v>0.42609128761496473</v>
      </c>
      <c r="BU52" s="991">
        <f t="shared" si="158"/>
        <v>0.25364759067744169</v>
      </c>
      <c r="BV52" s="991">
        <f t="shared" si="158"/>
        <v>0.16329261668893758</v>
      </c>
      <c r="BW52" s="992">
        <f t="shared" si="158"/>
        <v>5.0721582537739507E-2</v>
      </c>
      <c r="BX52" s="991">
        <f t="shared" si="158"/>
        <v>8.3070480771604283E-3</v>
      </c>
      <c r="BY52" s="991">
        <f t="shared" si="158"/>
        <v>-7.0754048284970006E-3</v>
      </c>
      <c r="BZ52" s="991">
        <f t="shared" si="158"/>
        <v>-3.5473962041882134E-2</v>
      </c>
      <c r="CA52" s="992">
        <f t="shared" si="158"/>
        <v>2.2081762703079266E-2</v>
      </c>
      <c r="CB52" s="991">
        <f t="shared" si="158"/>
        <v>8.4186803958392953E-2</v>
      </c>
      <c r="CC52" s="991">
        <f t="shared" si="158"/>
        <v>0.17711358628216201</v>
      </c>
      <c r="CD52" s="991">
        <f t="shared" si="158"/>
        <v>0.20319914597195998</v>
      </c>
      <c r="CE52" s="992">
        <f t="shared" si="158"/>
        <v>0.17777498059113395</v>
      </c>
      <c r="CF52" s="991">
        <f t="shared" si="158"/>
        <v>0.10084759342817118</v>
      </c>
      <c r="CG52" s="991">
        <f t="shared" si="158"/>
        <v>0.10595715879800183</v>
      </c>
      <c r="CH52" s="991">
        <f t="shared" si="158"/>
        <v>9.3703868333198881E-2</v>
      </c>
      <c r="CI52" s="992">
        <f t="shared" si="158"/>
        <v>0.10273848307670908</v>
      </c>
      <c r="CJ52" s="991">
        <f t="shared" si="158"/>
        <v>-8.8425256876789593E-3</v>
      </c>
      <c r="CK52" s="991">
        <f t="shared" si="158"/>
        <v>-3.4346699559421379E-2</v>
      </c>
      <c r="CL52" s="991">
        <f t="shared" si="158"/>
        <v>-3.4773908811857601E-2</v>
      </c>
      <c r="CM52" s="992">
        <f t="shared" si="158"/>
        <v>2.5964929352888522E-3</v>
      </c>
      <c r="CN52" s="991">
        <f t="shared" si="158"/>
        <v>8.2005800279157715E-2</v>
      </c>
      <c r="CO52" s="991">
        <f t="shared" si="158"/>
        <v>4.8115854589012796E-2</v>
      </c>
      <c r="CP52" s="991">
        <f t="shared" si="158"/>
        <v>0.14672308027387126</v>
      </c>
      <c r="CQ52" s="992">
        <f t="shared" si="158"/>
        <v>0.13029316525511736</v>
      </c>
      <c r="CR52" s="991">
        <f>CN49+CR49</f>
        <v>0.14036037740225876</v>
      </c>
      <c r="CS52" s="991">
        <f>CO49+CS49</f>
        <v>0.14458428100467974</v>
      </c>
      <c r="CT52" s="991">
        <f t="shared" si="158"/>
        <v>0.14351207335812932</v>
      </c>
      <c r="CU52" s="992">
        <f t="shared" si="158"/>
        <v>0.17125264980822871</v>
      </c>
      <c r="CV52" s="416"/>
      <c r="CW52" s="991"/>
      <c r="CX52" s="991"/>
      <c r="CY52" s="991"/>
      <c r="CZ52" s="991"/>
      <c r="DA52" s="991"/>
      <c r="DB52" s="991"/>
      <c r="DC52" s="991"/>
      <c r="DD52" s="991"/>
      <c r="DE52" s="991"/>
      <c r="DF52" s="991"/>
      <c r="DG52" s="991">
        <f t="shared" ref="DG52:DZ52" si="159">DF49+DG49</f>
        <v>0.32014075533311748</v>
      </c>
      <c r="DH52" s="991">
        <f t="shared" si="159"/>
        <v>0.47370842311651429</v>
      </c>
      <c r="DI52" s="991">
        <f t="shared" si="159"/>
        <v>0.39284568052005642</v>
      </c>
      <c r="DJ52" s="991">
        <f t="shared" si="159"/>
        <v>0.29709792709519101</v>
      </c>
      <c r="DK52" s="991">
        <f t="shared" si="159"/>
        <v>0.21884867044277834</v>
      </c>
      <c r="DL52" s="991">
        <f t="shared" si="159"/>
        <v>-0.22670741926510363</v>
      </c>
      <c r="DM52" s="991">
        <f t="shared" si="159"/>
        <v>0.15508792725018294</v>
      </c>
      <c r="DN52" s="991">
        <f t="shared" si="159"/>
        <v>0.65218014700416083</v>
      </c>
      <c r="DO52" s="991">
        <f t="shared" si="159"/>
        <v>0.2165007870547071</v>
      </c>
      <c r="DP52" s="991">
        <f t="shared" si="159"/>
        <v>-5.0378966003874481E-3</v>
      </c>
      <c r="DQ52" s="991">
        <f t="shared" si="159"/>
        <v>0.15836457204768584</v>
      </c>
      <c r="DR52" s="991">
        <f t="shared" si="159"/>
        <v>0.100072725434876</v>
      </c>
      <c r="DS52" s="991">
        <f t="shared" si="159"/>
        <v>-1.9703637223989712E-2</v>
      </c>
      <c r="DT52" s="991">
        <f t="shared" si="159"/>
        <v>0.10070946884996368</v>
      </c>
      <c r="DU52" s="991">
        <f t="shared" si="159"/>
        <v>0.14858191341432869</v>
      </c>
      <c r="DV52" s="991">
        <f t="shared" si="159"/>
        <v>0.11179440272319005</v>
      </c>
      <c r="DW52" s="991">
        <f t="shared" si="159"/>
        <v>8.6742724998243037E-2</v>
      </c>
      <c r="DX52" s="991">
        <f t="shared" si="159"/>
        <v>7.2169598571063726E-2</v>
      </c>
      <c r="DY52" s="991">
        <f t="shared" si="159"/>
        <v>5.2824598687148713E-2</v>
      </c>
      <c r="DZ52" s="991">
        <f t="shared" si="159"/>
        <v>2.5158635840037975E-2</v>
      </c>
    </row>
    <row r="53" spans="2:130" ht="15" collapsed="1">
      <c r="B53" s="937" t="s">
        <v>81</v>
      </c>
      <c r="C53" s="658"/>
      <c r="D53" s="1003"/>
      <c r="E53" s="1004"/>
      <c r="F53" s="1004"/>
      <c r="G53" s="1005"/>
      <c r="H53" s="1004"/>
      <c r="I53" s="1004"/>
      <c r="J53" s="1004"/>
      <c r="K53" s="1005"/>
      <c r="L53" s="1004"/>
      <c r="M53" s="1004"/>
      <c r="N53" s="1004"/>
      <c r="O53" s="1005"/>
      <c r="P53" s="1004"/>
      <c r="Q53" s="1004"/>
      <c r="R53" s="1004"/>
      <c r="S53" s="1005"/>
      <c r="T53" s="1004"/>
      <c r="U53" s="1004"/>
      <c r="V53" s="1004"/>
      <c r="W53" s="1005"/>
      <c r="X53" s="1004"/>
      <c r="Y53" s="1004"/>
      <c r="Z53" s="1004"/>
      <c r="AA53" s="1005"/>
      <c r="AB53" s="1004"/>
      <c r="AC53" s="1004"/>
      <c r="AD53" s="1004"/>
      <c r="AE53" s="1005"/>
      <c r="AF53" s="1006">
        <v>253.7</v>
      </c>
      <c r="AG53" s="1006">
        <v>288.3</v>
      </c>
      <c r="AH53" s="1006">
        <v>277.5</v>
      </c>
      <c r="AI53" s="1007">
        <v>302.60000000000002</v>
      </c>
      <c r="AJ53" s="1006">
        <v>321.7</v>
      </c>
      <c r="AK53" s="1006">
        <v>309.3</v>
      </c>
      <c r="AL53" s="1006">
        <v>284.3</v>
      </c>
      <c r="AM53" s="1007">
        <v>330.2</v>
      </c>
      <c r="AN53" s="1006">
        <v>359.6</v>
      </c>
      <c r="AO53" s="1006">
        <v>347.4</v>
      </c>
      <c r="AP53" s="1006">
        <v>318.7</v>
      </c>
      <c r="AQ53" s="1007">
        <v>332.9</v>
      </c>
      <c r="AR53" s="1006">
        <v>370.6</v>
      </c>
      <c r="AS53" s="1006">
        <v>388.3</v>
      </c>
      <c r="AT53" s="1006">
        <v>358.8</v>
      </c>
      <c r="AU53" s="1007">
        <v>355.2</v>
      </c>
      <c r="AV53" s="1006">
        <v>377</v>
      </c>
      <c r="AW53" s="1006">
        <v>386.3</v>
      </c>
      <c r="AX53" s="1006">
        <v>330.1</v>
      </c>
      <c r="AY53" s="1007">
        <v>368</v>
      </c>
      <c r="AZ53" s="1006">
        <v>392</v>
      </c>
      <c r="BA53" s="1006">
        <v>417.7</v>
      </c>
      <c r="BB53" s="1006">
        <v>387.2</v>
      </c>
      <c r="BC53" s="1007">
        <v>401.9</v>
      </c>
      <c r="BD53" s="1006">
        <v>409.8</v>
      </c>
      <c r="BE53" s="1006">
        <v>414.4</v>
      </c>
      <c r="BF53" s="1006">
        <v>347.2</v>
      </c>
      <c r="BG53" s="1007">
        <v>255</v>
      </c>
      <c r="BH53" s="1006">
        <v>198.2</v>
      </c>
      <c r="BI53" s="1006">
        <v>248.8</v>
      </c>
      <c r="BJ53" s="1006">
        <v>296.8</v>
      </c>
      <c r="BK53" s="1007">
        <v>349.7</v>
      </c>
      <c r="BL53" s="1006">
        <v>385.8</v>
      </c>
      <c r="BM53" s="1006">
        <v>408.7</v>
      </c>
      <c r="BN53" s="1006">
        <v>397.1</v>
      </c>
      <c r="BO53" s="1007">
        <v>419.8</v>
      </c>
      <c r="BP53" s="1006">
        <v>486.4</v>
      </c>
      <c r="BQ53" s="1006">
        <v>525.70000000000005</v>
      </c>
      <c r="BR53" s="1006">
        <v>538.70000000000005</v>
      </c>
      <c r="BS53" s="1007">
        <v>533.70000000000005</v>
      </c>
      <c r="BT53" s="1006">
        <v>611.4</v>
      </c>
      <c r="BU53" s="1006">
        <v>593.9</v>
      </c>
      <c r="BV53" s="1006">
        <v>534.4</v>
      </c>
      <c r="BW53" s="1007">
        <v>559</v>
      </c>
      <c r="BX53" s="1006">
        <v>601.4</v>
      </c>
      <c r="BY53" s="1006">
        <v>613.5</v>
      </c>
      <c r="BZ53" s="1006">
        <v>604</v>
      </c>
      <c r="CA53" s="1007">
        <v>627.6</v>
      </c>
      <c r="CB53" s="1006">
        <v>680.7</v>
      </c>
      <c r="CC53" s="1006">
        <v>708.7</v>
      </c>
      <c r="CD53" s="1006">
        <v>627</v>
      </c>
      <c r="CE53" s="1007">
        <v>615</v>
      </c>
      <c r="CF53" s="1006">
        <v>611.20000000000005</v>
      </c>
      <c r="CG53" s="1006">
        <v>626.9</v>
      </c>
      <c r="CH53" s="1006">
        <v>583.70000000000005</v>
      </c>
      <c r="CI53" s="1007">
        <v>734.9</v>
      </c>
      <c r="CJ53" s="1006">
        <v>879.2</v>
      </c>
      <c r="CK53" s="1006">
        <v>895.4</v>
      </c>
      <c r="CL53" s="1006">
        <v>865.9</v>
      </c>
      <c r="CM53" s="1007">
        <v>883.2</v>
      </c>
      <c r="CN53" s="1006">
        <v>924.9</v>
      </c>
      <c r="CO53" s="1006">
        <v>921</v>
      </c>
      <c r="CP53" s="1006">
        <v>921.8</v>
      </c>
      <c r="CQ53" s="1007">
        <v>1022.6</v>
      </c>
      <c r="CR53" s="937">
        <f>CN53*(1+CR58)</f>
        <v>1078.9946329564332</v>
      </c>
      <c r="CS53" s="937">
        <f>CO53*(1+CS58)</f>
        <v>1085.4437264613134</v>
      </c>
      <c r="CT53" s="937">
        <f>CP53*(1+CT58)</f>
        <v>1078.7775701028593</v>
      </c>
      <c r="CU53" s="926">
        <f>CQ53*(1+CU58)</f>
        <v>1185.1376238138314</v>
      </c>
      <c r="CV53" s="406"/>
      <c r="CW53" s="1004"/>
      <c r="CX53" s="1008"/>
      <c r="CY53" s="1008"/>
      <c r="CZ53" s="1008"/>
      <c r="DA53" s="1008"/>
      <c r="DB53" s="1008"/>
      <c r="DC53" s="1008"/>
      <c r="DD53" s="1008"/>
      <c r="DE53" s="1008">
        <f>SUM(AF53:AI53)</f>
        <v>1122.0999999999999</v>
      </c>
      <c r="DF53" s="1008">
        <f>SUM(AJ53:AM53)</f>
        <v>1245.5</v>
      </c>
      <c r="DG53" s="1008">
        <f>SUM(AN53:AQ53)</f>
        <v>1358.6</v>
      </c>
      <c r="DH53" s="1008">
        <f>SUM(AR53:AU53)</f>
        <v>1472.9</v>
      </c>
      <c r="DI53" s="1008">
        <f>SUM(AV53:AY53)</f>
        <v>1461.4</v>
      </c>
      <c r="DJ53" s="1008">
        <f>SUM(AZ53:BC53)</f>
        <v>1598.8000000000002</v>
      </c>
      <c r="DK53" s="1008">
        <f>SUM(BD53:BG53)</f>
        <v>1426.4</v>
      </c>
      <c r="DL53" s="1008">
        <f>SUM(BH53:BK53)</f>
        <v>1093.5</v>
      </c>
      <c r="DM53" s="1008">
        <f>SUM(BL53:BO53)</f>
        <v>1611.3999999999999</v>
      </c>
      <c r="DN53" s="1008">
        <f>SUM(BP53:BS53)</f>
        <v>2084.5</v>
      </c>
      <c r="DO53" s="1008">
        <f>SUM(BT53:BW53)</f>
        <v>2298.6999999999998</v>
      </c>
      <c r="DP53" s="1008">
        <f>SUM(BX53:CA53)</f>
        <v>2446.5</v>
      </c>
      <c r="DQ53" s="1008">
        <f>SUM(CB53:CE53)</f>
        <v>2631.4</v>
      </c>
      <c r="DR53" s="1008">
        <f>SUM(CF53:CI53)</f>
        <v>2556.6999999999998</v>
      </c>
      <c r="DS53" s="1008">
        <f>SUM(CJ53:CM53)</f>
        <v>3523.7</v>
      </c>
      <c r="DT53" s="665">
        <f>SUM(CN53:CQ53)</f>
        <v>3790.2999999999997</v>
      </c>
      <c r="DU53" s="665">
        <f>SUM(CR53:CU53)</f>
        <v>4428.3535533344366</v>
      </c>
      <c r="DV53" s="665">
        <f>DU53*(1+DV58)</f>
        <v>4727.4451721943196</v>
      </c>
      <c r="DW53" s="665">
        <f>DV53*(1+DW58)</f>
        <v>5007.3221469343871</v>
      </c>
      <c r="DX53" s="665">
        <f>DW53*(1+DX58)</f>
        <v>5272.5450469394118</v>
      </c>
      <c r="DY53" s="665">
        <f>DX53*(1+DY58)</f>
        <v>5482.6959600381615</v>
      </c>
      <c r="DZ53" s="665">
        <f>DY53*(1+DZ58)</f>
        <v>5621.4139285106667</v>
      </c>
    </row>
    <row r="54" spans="2:130" ht="15">
      <c r="B54" s="1009" t="s">
        <v>342</v>
      </c>
      <c r="C54" s="908"/>
      <c r="D54" s="1010"/>
      <c r="E54" s="941"/>
      <c r="F54" s="941"/>
      <c r="G54" s="930"/>
      <c r="H54" s="941"/>
      <c r="I54" s="941"/>
      <c r="J54" s="941"/>
      <c r="K54" s="930"/>
      <c r="L54" s="941"/>
      <c r="M54" s="941"/>
      <c r="N54" s="941"/>
      <c r="O54" s="930"/>
      <c r="P54" s="941"/>
      <c r="Q54" s="941"/>
      <c r="R54" s="941"/>
      <c r="S54" s="930"/>
      <c r="T54" s="941"/>
      <c r="U54" s="941"/>
      <c r="V54" s="941"/>
      <c r="W54" s="930"/>
      <c r="X54" s="941"/>
      <c r="Y54" s="941"/>
      <c r="Z54" s="941"/>
      <c r="AA54" s="930"/>
      <c r="AB54" s="941"/>
      <c r="AC54" s="941"/>
      <c r="AD54" s="941"/>
      <c r="AE54" s="930"/>
      <c r="AF54" s="941"/>
      <c r="AG54" s="941">
        <f t="shared" ref="AG54:BL54" si="160">AG53-AF53</f>
        <v>34.600000000000023</v>
      </c>
      <c r="AH54" s="941">
        <f t="shared" si="160"/>
        <v>-10.800000000000011</v>
      </c>
      <c r="AI54" s="930">
        <f t="shared" si="160"/>
        <v>25.100000000000023</v>
      </c>
      <c r="AJ54" s="941">
        <f t="shared" si="160"/>
        <v>19.099999999999966</v>
      </c>
      <c r="AK54" s="941">
        <f t="shared" si="160"/>
        <v>-12.399999999999977</v>
      </c>
      <c r="AL54" s="941">
        <f t="shared" si="160"/>
        <v>-25</v>
      </c>
      <c r="AM54" s="930">
        <f t="shared" si="160"/>
        <v>45.899999999999977</v>
      </c>
      <c r="AN54" s="941">
        <f t="shared" si="160"/>
        <v>29.400000000000034</v>
      </c>
      <c r="AO54" s="941">
        <f t="shared" si="160"/>
        <v>-12.200000000000045</v>
      </c>
      <c r="AP54" s="941">
        <f t="shared" si="160"/>
        <v>-28.699999999999989</v>
      </c>
      <c r="AQ54" s="930">
        <f t="shared" si="160"/>
        <v>14.199999999999989</v>
      </c>
      <c r="AR54" s="941">
        <f t="shared" si="160"/>
        <v>37.700000000000045</v>
      </c>
      <c r="AS54" s="941">
        <f t="shared" si="160"/>
        <v>17.699999999999989</v>
      </c>
      <c r="AT54" s="941">
        <f t="shared" si="160"/>
        <v>-29.5</v>
      </c>
      <c r="AU54" s="930">
        <f t="shared" si="160"/>
        <v>-3.6000000000000227</v>
      </c>
      <c r="AV54" s="941">
        <f t="shared" si="160"/>
        <v>21.800000000000011</v>
      </c>
      <c r="AW54" s="941">
        <f t="shared" si="160"/>
        <v>9.3000000000000114</v>
      </c>
      <c r="AX54" s="941">
        <f t="shared" si="160"/>
        <v>-56.199999999999989</v>
      </c>
      <c r="AY54" s="930">
        <f t="shared" si="160"/>
        <v>37.899999999999977</v>
      </c>
      <c r="AZ54" s="941">
        <f t="shared" si="160"/>
        <v>24</v>
      </c>
      <c r="BA54" s="941">
        <f t="shared" si="160"/>
        <v>25.699999999999989</v>
      </c>
      <c r="BB54" s="941">
        <f t="shared" si="160"/>
        <v>-30.5</v>
      </c>
      <c r="BC54" s="930">
        <f t="shared" si="160"/>
        <v>14.699999999999989</v>
      </c>
      <c r="BD54" s="941">
        <f t="shared" si="160"/>
        <v>7.9000000000000341</v>
      </c>
      <c r="BE54" s="941">
        <f t="shared" si="160"/>
        <v>4.5999999999999659</v>
      </c>
      <c r="BF54" s="941">
        <f t="shared" si="160"/>
        <v>-67.199999999999989</v>
      </c>
      <c r="BG54" s="930">
        <f t="shared" si="160"/>
        <v>-92.199999999999989</v>
      </c>
      <c r="BH54" s="941">
        <f t="shared" si="160"/>
        <v>-56.800000000000011</v>
      </c>
      <c r="BI54" s="941">
        <f t="shared" si="160"/>
        <v>50.600000000000023</v>
      </c>
      <c r="BJ54" s="941">
        <f t="shared" si="160"/>
        <v>48</v>
      </c>
      <c r="BK54" s="930">
        <f t="shared" si="160"/>
        <v>52.899999999999977</v>
      </c>
      <c r="BL54" s="941">
        <f t="shared" si="160"/>
        <v>36.100000000000023</v>
      </c>
      <c r="BM54" s="941">
        <f t="shared" ref="BM54:CP54" si="161">BM53-BL53</f>
        <v>22.899999999999977</v>
      </c>
      <c r="BN54" s="941">
        <f t="shared" si="161"/>
        <v>-11.599999999999966</v>
      </c>
      <c r="BO54" s="930">
        <f t="shared" si="161"/>
        <v>22.699999999999989</v>
      </c>
      <c r="BP54" s="941">
        <f t="shared" si="161"/>
        <v>66.599999999999966</v>
      </c>
      <c r="BQ54" s="941">
        <f t="shared" si="161"/>
        <v>39.300000000000068</v>
      </c>
      <c r="BR54" s="941">
        <f t="shared" si="161"/>
        <v>13</v>
      </c>
      <c r="BS54" s="930">
        <f t="shared" si="161"/>
        <v>-5</v>
      </c>
      <c r="BT54" s="941">
        <f t="shared" si="161"/>
        <v>77.699999999999932</v>
      </c>
      <c r="BU54" s="941">
        <f t="shared" si="161"/>
        <v>-17.5</v>
      </c>
      <c r="BV54" s="941">
        <f t="shared" si="161"/>
        <v>-59.5</v>
      </c>
      <c r="BW54" s="930">
        <f t="shared" si="161"/>
        <v>24.600000000000023</v>
      </c>
      <c r="BX54" s="941">
        <f t="shared" si="161"/>
        <v>42.399999999999977</v>
      </c>
      <c r="BY54" s="941">
        <f t="shared" si="161"/>
        <v>12.100000000000023</v>
      </c>
      <c r="BZ54" s="941">
        <f t="shared" si="161"/>
        <v>-9.5</v>
      </c>
      <c r="CA54" s="930">
        <f t="shared" si="161"/>
        <v>23.600000000000023</v>
      </c>
      <c r="CB54" s="941">
        <f t="shared" si="161"/>
        <v>53.100000000000023</v>
      </c>
      <c r="CC54" s="941">
        <f t="shared" si="161"/>
        <v>28</v>
      </c>
      <c r="CD54" s="941">
        <f t="shared" si="161"/>
        <v>-81.700000000000045</v>
      </c>
      <c r="CE54" s="930">
        <f t="shared" si="161"/>
        <v>-12</v>
      </c>
      <c r="CF54" s="941">
        <f t="shared" si="161"/>
        <v>-3.7999999999999545</v>
      </c>
      <c r="CG54" s="941">
        <f t="shared" si="161"/>
        <v>15.699999999999932</v>
      </c>
      <c r="CH54" s="941">
        <f t="shared" si="161"/>
        <v>-43.199999999999932</v>
      </c>
      <c r="CI54" s="930">
        <f t="shared" si="161"/>
        <v>151.19999999999993</v>
      </c>
      <c r="CJ54" s="941">
        <f t="shared" si="161"/>
        <v>144.30000000000007</v>
      </c>
      <c r="CK54" s="941">
        <f t="shared" si="161"/>
        <v>16.199999999999932</v>
      </c>
      <c r="CL54" s="941">
        <f t="shared" si="161"/>
        <v>-29.5</v>
      </c>
      <c r="CM54" s="930">
        <f t="shared" si="161"/>
        <v>17.300000000000068</v>
      </c>
      <c r="CN54" s="941">
        <f t="shared" si="161"/>
        <v>41.699999999999932</v>
      </c>
      <c r="CO54" s="941">
        <f t="shared" si="161"/>
        <v>-3.8999999999999773</v>
      </c>
      <c r="CP54" s="941">
        <f t="shared" si="161"/>
        <v>0.79999999999995453</v>
      </c>
      <c r="CQ54" s="1007">
        <f>CQ53-CP53-15</f>
        <v>85.800000000000068</v>
      </c>
      <c r="CR54" s="941">
        <f>CR53-CQ53</f>
        <v>56.394632956433156</v>
      </c>
      <c r="CS54" s="941">
        <f>CS53-CR53</f>
        <v>6.4490935048802385</v>
      </c>
      <c r="CT54" s="941">
        <f>CT53-CS53</f>
        <v>-6.6661563584541454</v>
      </c>
      <c r="CU54" s="930">
        <f>CU53-CT53</f>
        <v>106.36005371097212</v>
      </c>
      <c r="CV54" s="648"/>
      <c r="CW54" s="941"/>
      <c r="CX54" s="941"/>
      <c r="CY54" s="941"/>
      <c r="CZ54" s="941"/>
      <c r="DA54" s="941"/>
      <c r="DB54" s="941"/>
      <c r="DC54" s="941"/>
      <c r="DD54" s="941"/>
      <c r="DE54" s="941"/>
      <c r="DF54" s="941"/>
      <c r="DG54" s="941"/>
      <c r="DH54" s="941"/>
      <c r="DI54" s="941"/>
      <c r="DJ54" s="941"/>
      <c r="DK54" s="941"/>
      <c r="DL54" s="941"/>
      <c r="DM54" s="941"/>
      <c r="DN54" s="941"/>
      <c r="DO54" s="941"/>
      <c r="DP54" s="941"/>
      <c r="DQ54" s="941"/>
      <c r="DR54" s="941"/>
      <c r="DS54" s="941"/>
      <c r="DT54" s="941"/>
      <c r="DU54" s="1006"/>
      <c r="DV54" s="1006"/>
      <c r="DW54" s="1006"/>
      <c r="DX54" s="1006"/>
      <c r="DY54" s="1006"/>
      <c r="DZ54" s="1006"/>
    </row>
    <row r="55" spans="2:130" ht="15">
      <c r="B55" s="1009" t="s">
        <v>343</v>
      </c>
      <c r="C55" s="908"/>
      <c r="D55" s="1010"/>
      <c r="E55" s="941"/>
      <c r="F55" s="941"/>
      <c r="G55" s="930"/>
      <c r="H55" s="941"/>
      <c r="I55" s="941"/>
      <c r="J55" s="941"/>
      <c r="K55" s="930"/>
      <c r="L55" s="941"/>
      <c r="M55" s="941"/>
      <c r="N55" s="941"/>
      <c r="O55" s="930"/>
      <c r="P55" s="941"/>
      <c r="Q55" s="941"/>
      <c r="R55" s="941"/>
      <c r="S55" s="930"/>
      <c r="T55" s="941"/>
      <c r="U55" s="941"/>
      <c r="V55" s="941"/>
      <c r="W55" s="930"/>
      <c r="X55" s="941"/>
      <c r="Y55" s="941"/>
      <c r="Z55" s="941"/>
      <c r="AA55" s="930"/>
      <c r="AB55" s="941"/>
      <c r="AC55" s="941"/>
      <c r="AD55" s="941"/>
      <c r="AE55" s="930"/>
      <c r="AF55" s="941"/>
      <c r="AG55" s="941"/>
      <c r="AH55" s="941"/>
      <c r="AI55" s="930"/>
      <c r="AJ55" s="941">
        <f t="shared" ref="AJ55:BO55" si="162">AJ53-AF53</f>
        <v>68</v>
      </c>
      <c r="AK55" s="941">
        <f t="shared" si="162"/>
        <v>21</v>
      </c>
      <c r="AL55" s="941">
        <f t="shared" si="162"/>
        <v>6.8000000000000114</v>
      </c>
      <c r="AM55" s="930">
        <f t="shared" si="162"/>
        <v>27.599999999999966</v>
      </c>
      <c r="AN55" s="941">
        <f t="shared" si="162"/>
        <v>37.900000000000034</v>
      </c>
      <c r="AO55" s="941">
        <f t="shared" si="162"/>
        <v>38.099999999999966</v>
      </c>
      <c r="AP55" s="941">
        <f t="shared" si="162"/>
        <v>34.399999999999977</v>
      </c>
      <c r="AQ55" s="930">
        <f t="shared" si="162"/>
        <v>2.6999999999999886</v>
      </c>
      <c r="AR55" s="941">
        <f t="shared" si="162"/>
        <v>11</v>
      </c>
      <c r="AS55" s="941">
        <f t="shared" si="162"/>
        <v>40.900000000000034</v>
      </c>
      <c r="AT55" s="941">
        <f t="shared" si="162"/>
        <v>40.100000000000023</v>
      </c>
      <c r="AU55" s="930">
        <f t="shared" si="162"/>
        <v>22.300000000000011</v>
      </c>
      <c r="AV55" s="941">
        <f t="shared" si="162"/>
        <v>6.3999999999999773</v>
      </c>
      <c r="AW55" s="941">
        <f t="shared" si="162"/>
        <v>-2</v>
      </c>
      <c r="AX55" s="941">
        <f t="shared" si="162"/>
        <v>-28.699999999999989</v>
      </c>
      <c r="AY55" s="930">
        <f t="shared" si="162"/>
        <v>12.800000000000011</v>
      </c>
      <c r="AZ55" s="941">
        <f t="shared" si="162"/>
        <v>15</v>
      </c>
      <c r="BA55" s="941">
        <f t="shared" si="162"/>
        <v>31.399999999999977</v>
      </c>
      <c r="BB55" s="941">
        <f t="shared" si="162"/>
        <v>57.099999999999966</v>
      </c>
      <c r="BC55" s="930">
        <f t="shared" si="162"/>
        <v>33.899999999999977</v>
      </c>
      <c r="BD55" s="941">
        <f t="shared" si="162"/>
        <v>17.800000000000011</v>
      </c>
      <c r="BE55" s="941">
        <f t="shared" si="162"/>
        <v>-3.3000000000000114</v>
      </c>
      <c r="BF55" s="941">
        <f t="shared" si="162"/>
        <v>-40</v>
      </c>
      <c r="BG55" s="930">
        <f t="shared" si="162"/>
        <v>-146.89999999999998</v>
      </c>
      <c r="BH55" s="941">
        <f t="shared" si="162"/>
        <v>-211.60000000000002</v>
      </c>
      <c r="BI55" s="941">
        <f t="shared" si="162"/>
        <v>-165.59999999999997</v>
      </c>
      <c r="BJ55" s="941">
        <f t="shared" si="162"/>
        <v>-50.399999999999977</v>
      </c>
      <c r="BK55" s="930">
        <f t="shared" si="162"/>
        <v>94.699999999999989</v>
      </c>
      <c r="BL55" s="941">
        <f t="shared" si="162"/>
        <v>187.60000000000002</v>
      </c>
      <c r="BM55" s="941">
        <f t="shared" si="162"/>
        <v>159.89999999999998</v>
      </c>
      <c r="BN55" s="941">
        <f t="shared" si="162"/>
        <v>100.30000000000001</v>
      </c>
      <c r="BO55" s="930">
        <f t="shared" si="162"/>
        <v>70.100000000000023</v>
      </c>
      <c r="BP55" s="941">
        <f t="shared" ref="BP55:CO55" si="163">BP53-BL53</f>
        <v>100.59999999999997</v>
      </c>
      <c r="BQ55" s="941">
        <f t="shared" si="163"/>
        <v>117.00000000000006</v>
      </c>
      <c r="BR55" s="941">
        <f t="shared" si="163"/>
        <v>141.60000000000002</v>
      </c>
      <c r="BS55" s="930">
        <f t="shared" si="163"/>
        <v>113.90000000000003</v>
      </c>
      <c r="BT55" s="941">
        <f t="shared" si="163"/>
        <v>125</v>
      </c>
      <c r="BU55" s="941">
        <f t="shared" si="163"/>
        <v>68.199999999999932</v>
      </c>
      <c r="BV55" s="941">
        <f t="shared" si="163"/>
        <v>-4.3000000000000682</v>
      </c>
      <c r="BW55" s="930">
        <f t="shared" si="163"/>
        <v>25.299999999999955</v>
      </c>
      <c r="BX55" s="941">
        <f t="shared" si="163"/>
        <v>-10</v>
      </c>
      <c r="BY55" s="941">
        <f t="shared" si="163"/>
        <v>19.600000000000023</v>
      </c>
      <c r="BZ55" s="941">
        <f t="shared" si="163"/>
        <v>69.600000000000023</v>
      </c>
      <c r="CA55" s="930">
        <f t="shared" si="163"/>
        <v>68.600000000000023</v>
      </c>
      <c r="CB55" s="941">
        <f t="shared" si="163"/>
        <v>79.300000000000068</v>
      </c>
      <c r="CC55" s="941">
        <f t="shared" si="163"/>
        <v>95.200000000000045</v>
      </c>
      <c r="CD55" s="941">
        <f t="shared" si="163"/>
        <v>23</v>
      </c>
      <c r="CE55" s="930">
        <f t="shared" si="163"/>
        <v>-12.600000000000023</v>
      </c>
      <c r="CF55" s="941">
        <f t="shared" si="163"/>
        <v>-69.5</v>
      </c>
      <c r="CG55" s="941">
        <f t="shared" si="163"/>
        <v>-81.800000000000068</v>
      </c>
      <c r="CH55" s="941">
        <f t="shared" si="163"/>
        <v>-43.299999999999955</v>
      </c>
      <c r="CI55" s="930">
        <f t="shared" si="163"/>
        <v>119.89999999999998</v>
      </c>
      <c r="CJ55" s="941">
        <f t="shared" si="163"/>
        <v>268</v>
      </c>
      <c r="CK55" s="941">
        <f t="shared" si="163"/>
        <v>268.5</v>
      </c>
      <c r="CL55" s="941">
        <f t="shared" si="163"/>
        <v>282.19999999999993</v>
      </c>
      <c r="CM55" s="930">
        <f t="shared" si="163"/>
        <v>148.30000000000007</v>
      </c>
      <c r="CN55" s="941">
        <f t="shared" si="163"/>
        <v>45.699999999999932</v>
      </c>
      <c r="CO55" s="941">
        <f t="shared" si="163"/>
        <v>25.600000000000023</v>
      </c>
      <c r="CP55" s="941">
        <f>CP53-CL53</f>
        <v>55.899999999999977</v>
      </c>
      <c r="CQ55" s="1007">
        <f>CQ53-CM53-15</f>
        <v>124.39999999999998</v>
      </c>
      <c r="CR55" s="1006">
        <f>CR53-CN53-15</f>
        <v>139.0946329564332</v>
      </c>
      <c r="CS55" s="1006">
        <f>CS53-CO53-15</f>
        <v>149.44372646131342</v>
      </c>
      <c r="CT55" s="1006">
        <f>CT53-CP53-15</f>
        <v>141.97757010285932</v>
      </c>
      <c r="CU55" s="930">
        <f>CU53-CQ53</f>
        <v>162.53762381383137</v>
      </c>
      <c r="CV55" s="648"/>
      <c r="CW55" s="941"/>
      <c r="CX55" s="941"/>
      <c r="CY55" s="941"/>
      <c r="CZ55" s="941"/>
      <c r="DA55" s="941"/>
      <c r="DB55" s="941"/>
      <c r="DC55" s="941"/>
      <c r="DD55" s="941"/>
      <c r="DE55" s="941"/>
      <c r="DF55" s="941">
        <f t="shared" ref="DF55:DZ55" si="164">DF53-DE53</f>
        <v>123.40000000000009</v>
      </c>
      <c r="DG55" s="941">
        <f t="shared" si="164"/>
        <v>113.09999999999991</v>
      </c>
      <c r="DH55" s="941">
        <f t="shared" si="164"/>
        <v>114.30000000000018</v>
      </c>
      <c r="DI55" s="941">
        <f t="shared" si="164"/>
        <v>-11.5</v>
      </c>
      <c r="DJ55" s="941">
        <f t="shared" si="164"/>
        <v>137.40000000000009</v>
      </c>
      <c r="DK55" s="941">
        <f t="shared" si="164"/>
        <v>-172.40000000000009</v>
      </c>
      <c r="DL55" s="941">
        <f t="shared" si="164"/>
        <v>-332.90000000000009</v>
      </c>
      <c r="DM55" s="941">
        <f t="shared" si="164"/>
        <v>517.89999999999986</v>
      </c>
      <c r="DN55" s="941">
        <f t="shared" si="164"/>
        <v>473.10000000000014</v>
      </c>
      <c r="DO55" s="941">
        <f t="shared" si="164"/>
        <v>214.19999999999982</v>
      </c>
      <c r="DP55" s="941">
        <f t="shared" si="164"/>
        <v>147.80000000000018</v>
      </c>
      <c r="DQ55" s="941">
        <f t="shared" si="164"/>
        <v>184.90000000000009</v>
      </c>
      <c r="DR55" s="941">
        <f t="shared" si="164"/>
        <v>-74.700000000000273</v>
      </c>
      <c r="DS55" s="941">
        <f t="shared" si="164"/>
        <v>967</v>
      </c>
      <c r="DT55" s="941">
        <f t="shared" si="164"/>
        <v>266.59999999999991</v>
      </c>
      <c r="DU55" s="941">
        <f t="shared" si="164"/>
        <v>638.05355333443686</v>
      </c>
      <c r="DV55" s="941">
        <f t="shared" si="164"/>
        <v>299.09161885988306</v>
      </c>
      <c r="DW55" s="941">
        <f t="shared" si="164"/>
        <v>279.87697474006745</v>
      </c>
      <c r="DX55" s="941">
        <f t="shared" si="164"/>
        <v>265.22290000502471</v>
      </c>
      <c r="DY55" s="941">
        <f t="shared" si="164"/>
        <v>210.1509130987497</v>
      </c>
      <c r="DZ55" s="941">
        <f t="shared" si="164"/>
        <v>138.71796847250516</v>
      </c>
    </row>
    <row r="56" spans="2:130" ht="15">
      <c r="B56" s="1009" t="s">
        <v>344</v>
      </c>
      <c r="C56" s="908"/>
      <c r="D56" s="1010"/>
      <c r="E56" s="941"/>
      <c r="F56" s="941"/>
      <c r="G56" s="930"/>
      <c r="H56" s="941"/>
      <c r="I56" s="941"/>
      <c r="J56" s="941"/>
      <c r="K56" s="930"/>
      <c r="L56" s="941"/>
      <c r="M56" s="941"/>
      <c r="N56" s="941"/>
      <c r="O56" s="930"/>
      <c r="P56" s="941"/>
      <c r="Q56" s="941"/>
      <c r="R56" s="941"/>
      <c r="S56" s="930"/>
      <c r="T56" s="941"/>
      <c r="U56" s="941"/>
      <c r="V56" s="941"/>
      <c r="W56" s="930"/>
      <c r="X56" s="941"/>
      <c r="Y56" s="941"/>
      <c r="Z56" s="941"/>
      <c r="AA56" s="930"/>
      <c r="AB56" s="941"/>
      <c r="AC56" s="941"/>
      <c r="AD56" s="941"/>
      <c r="AE56" s="930"/>
      <c r="AF56" s="941"/>
      <c r="AG56" s="941"/>
      <c r="AH56" s="941"/>
      <c r="AI56" s="930"/>
      <c r="AJ56" s="941"/>
      <c r="AK56" s="941"/>
      <c r="AL56" s="941"/>
      <c r="AM56" s="930"/>
      <c r="AN56" s="941">
        <f t="shared" ref="AN56:BS56" si="165">AJ55+AN55</f>
        <v>105.90000000000003</v>
      </c>
      <c r="AO56" s="941">
        <f t="shared" si="165"/>
        <v>59.099999999999966</v>
      </c>
      <c r="AP56" s="941">
        <f t="shared" si="165"/>
        <v>41.199999999999989</v>
      </c>
      <c r="AQ56" s="930">
        <f t="shared" si="165"/>
        <v>30.299999999999955</v>
      </c>
      <c r="AR56" s="941">
        <f t="shared" si="165"/>
        <v>48.900000000000034</v>
      </c>
      <c r="AS56" s="941">
        <f t="shared" si="165"/>
        <v>79</v>
      </c>
      <c r="AT56" s="941">
        <f t="shared" si="165"/>
        <v>74.5</v>
      </c>
      <c r="AU56" s="930">
        <f t="shared" si="165"/>
        <v>25</v>
      </c>
      <c r="AV56" s="941">
        <f t="shared" si="165"/>
        <v>17.399999999999977</v>
      </c>
      <c r="AW56" s="941">
        <f t="shared" si="165"/>
        <v>38.900000000000034</v>
      </c>
      <c r="AX56" s="941">
        <f t="shared" si="165"/>
        <v>11.400000000000034</v>
      </c>
      <c r="AY56" s="930">
        <f t="shared" si="165"/>
        <v>35.100000000000023</v>
      </c>
      <c r="AZ56" s="941">
        <f t="shared" si="165"/>
        <v>21.399999999999977</v>
      </c>
      <c r="BA56" s="941">
        <f t="shared" si="165"/>
        <v>29.399999999999977</v>
      </c>
      <c r="BB56" s="941">
        <f t="shared" si="165"/>
        <v>28.399999999999977</v>
      </c>
      <c r="BC56" s="930">
        <f t="shared" si="165"/>
        <v>46.699999999999989</v>
      </c>
      <c r="BD56" s="941">
        <f t="shared" si="165"/>
        <v>32.800000000000011</v>
      </c>
      <c r="BE56" s="941">
        <f t="shared" si="165"/>
        <v>28.099999999999966</v>
      </c>
      <c r="BF56" s="941">
        <f t="shared" si="165"/>
        <v>17.099999999999966</v>
      </c>
      <c r="BG56" s="930">
        <f t="shared" si="165"/>
        <v>-113</v>
      </c>
      <c r="BH56" s="941">
        <f t="shared" si="165"/>
        <v>-193.8</v>
      </c>
      <c r="BI56" s="941">
        <f t="shared" si="165"/>
        <v>-168.89999999999998</v>
      </c>
      <c r="BJ56" s="941">
        <f t="shared" si="165"/>
        <v>-90.399999999999977</v>
      </c>
      <c r="BK56" s="930">
        <f t="shared" si="165"/>
        <v>-52.199999999999989</v>
      </c>
      <c r="BL56" s="941">
        <f t="shared" si="165"/>
        <v>-24</v>
      </c>
      <c r="BM56" s="941">
        <f t="shared" si="165"/>
        <v>-5.6999999999999886</v>
      </c>
      <c r="BN56" s="941">
        <f t="shared" si="165"/>
        <v>49.900000000000034</v>
      </c>
      <c r="BO56" s="930">
        <f t="shared" si="165"/>
        <v>164.8</v>
      </c>
      <c r="BP56" s="941">
        <f t="shared" si="165"/>
        <v>288.2</v>
      </c>
      <c r="BQ56" s="941">
        <f t="shared" si="165"/>
        <v>276.90000000000003</v>
      </c>
      <c r="BR56" s="941">
        <f t="shared" si="165"/>
        <v>241.90000000000003</v>
      </c>
      <c r="BS56" s="930">
        <f t="shared" si="165"/>
        <v>184.00000000000006</v>
      </c>
      <c r="BT56" s="941">
        <f t="shared" ref="BT56:CM56" si="166">BP55+BT55</f>
        <v>225.59999999999997</v>
      </c>
      <c r="BU56" s="941">
        <f t="shared" si="166"/>
        <v>185.2</v>
      </c>
      <c r="BV56" s="941">
        <f t="shared" si="166"/>
        <v>137.29999999999995</v>
      </c>
      <c r="BW56" s="930">
        <f t="shared" si="166"/>
        <v>139.19999999999999</v>
      </c>
      <c r="BX56" s="941">
        <f t="shared" si="166"/>
        <v>115</v>
      </c>
      <c r="BY56" s="941">
        <f t="shared" si="166"/>
        <v>87.799999999999955</v>
      </c>
      <c r="BZ56" s="941">
        <f t="shared" si="166"/>
        <v>65.299999999999955</v>
      </c>
      <c r="CA56" s="930">
        <f t="shared" si="166"/>
        <v>93.899999999999977</v>
      </c>
      <c r="CB56" s="941">
        <f t="shared" si="166"/>
        <v>69.300000000000068</v>
      </c>
      <c r="CC56" s="941">
        <f t="shared" si="166"/>
        <v>114.80000000000007</v>
      </c>
      <c r="CD56" s="941">
        <f t="shared" si="166"/>
        <v>92.600000000000023</v>
      </c>
      <c r="CE56" s="930">
        <f t="shared" si="166"/>
        <v>56</v>
      </c>
      <c r="CF56" s="941">
        <f t="shared" si="166"/>
        <v>9.8000000000000682</v>
      </c>
      <c r="CG56" s="941">
        <f t="shared" si="166"/>
        <v>13.399999999999977</v>
      </c>
      <c r="CH56" s="941">
        <f t="shared" si="166"/>
        <v>-20.299999999999955</v>
      </c>
      <c r="CI56" s="930">
        <f t="shared" si="166"/>
        <v>107.29999999999995</v>
      </c>
      <c r="CJ56" s="941">
        <f t="shared" si="166"/>
        <v>198.5</v>
      </c>
      <c r="CK56" s="941">
        <f t="shared" si="166"/>
        <v>186.69999999999993</v>
      </c>
      <c r="CL56" s="941">
        <f t="shared" si="166"/>
        <v>238.89999999999998</v>
      </c>
      <c r="CM56" s="930">
        <f t="shared" si="166"/>
        <v>268.20000000000005</v>
      </c>
      <c r="CN56" s="941">
        <f t="shared" ref="CN56:CU56" si="167">CJ55+CN55</f>
        <v>313.69999999999993</v>
      </c>
      <c r="CO56" s="941">
        <f t="shared" si="167"/>
        <v>294.10000000000002</v>
      </c>
      <c r="CP56" s="941">
        <f t="shared" si="167"/>
        <v>338.09999999999991</v>
      </c>
      <c r="CQ56" s="930">
        <f t="shared" si="167"/>
        <v>272.70000000000005</v>
      </c>
      <c r="CR56" s="941">
        <f t="shared" si="167"/>
        <v>184.79463295643313</v>
      </c>
      <c r="CS56" s="941">
        <f t="shared" si="167"/>
        <v>175.04372646131344</v>
      </c>
      <c r="CT56" s="941">
        <f t="shared" si="167"/>
        <v>197.87757010285929</v>
      </c>
      <c r="CU56" s="930">
        <f t="shared" si="167"/>
        <v>286.93762381383135</v>
      </c>
      <c r="CV56" s="648"/>
      <c r="CW56" s="941"/>
      <c r="CX56" s="941"/>
      <c r="CY56" s="941"/>
      <c r="CZ56" s="941"/>
      <c r="DA56" s="941"/>
      <c r="DB56" s="941"/>
      <c r="DC56" s="941"/>
      <c r="DD56" s="941"/>
      <c r="DE56" s="941"/>
      <c r="DF56" s="941"/>
      <c r="DG56" s="941">
        <f t="shared" ref="DG56:DZ56" si="168">DF55+DG55</f>
        <v>236.5</v>
      </c>
      <c r="DH56" s="941">
        <f t="shared" si="168"/>
        <v>227.40000000000009</v>
      </c>
      <c r="DI56" s="941">
        <f t="shared" si="168"/>
        <v>102.80000000000018</v>
      </c>
      <c r="DJ56" s="941">
        <f t="shared" si="168"/>
        <v>125.90000000000009</v>
      </c>
      <c r="DK56" s="941">
        <f t="shared" si="168"/>
        <v>-35</v>
      </c>
      <c r="DL56" s="941">
        <f t="shared" si="168"/>
        <v>-505.30000000000018</v>
      </c>
      <c r="DM56" s="941">
        <f t="shared" si="168"/>
        <v>184.99999999999977</v>
      </c>
      <c r="DN56" s="941">
        <f t="shared" si="168"/>
        <v>991</v>
      </c>
      <c r="DO56" s="941">
        <f t="shared" si="168"/>
        <v>687.3</v>
      </c>
      <c r="DP56" s="941">
        <f t="shared" si="168"/>
        <v>362</v>
      </c>
      <c r="DQ56" s="941">
        <f t="shared" si="168"/>
        <v>332.70000000000027</v>
      </c>
      <c r="DR56" s="941">
        <f t="shared" si="168"/>
        <v>110.19999999999982</v>
      </c>
      <c r="DS56" s="941">
        <f t="shared" si="168"/>
        <v>892.29999999999973</v>
      </c>
      <c r="DT56" s="941">
        <f t="shared" si="168"/>
        <v>1233.5999999999999</v>
      </c>
      <c r="DU56" s="941">
        <f t="shared" si="168"/>
        <v>904.65355333443676</v>
      </c>
      <c r="DV56" s="941">
        <f t="shared" si="168"/>
        <v>937.14517219431991</v>
      </c>
      <c r="DW56" s="941">
        <f t="shared" si="168"/>
        <v>578.96859359995051</v>
      </c>
      <c r="DX56" s="941">
        <f t="shared" si="168"/>
        <v>545.09987474509217</v>
      </c>
      <c r="DY56" s="941">
        <f t="shared" si="168"/>
        <v>475.37381310377441</v>
      </c>
      <c r="DZ56" s="941">
        <f t="shared" si="168"/>
        <v>348.86888157125486</v>
      </c>
    </row>
    <row r="57" spans="2:130" ht="15">
      <c r="B57" s="989" t="s">
        <v>341</v>
      </c>
      <c r="C57" s="898"/>
      <c r="D57" s="990"/>
      <c r="E57" s="991"/>
      <c r="F57" s="991"/>
      <c r="G57" s="992"/>
      <c r="H57" s="991"/>
      <c r="I57" s="991"/>
      <c r="J57" s="991"/>
      <c r="K57" s="992"/>
      <c r="L57" s="991"/>
      <c r="M57" s="991"/>
      <c r="N57" s="991"/>
      <c r="O57" s="992"/>
      <c r="P57" s="991"/>
      <c r="Q57" s="991"/>
      <c r="R57" s="991"/>
      <c r="S57" s="992"/>
      <c r="T57" s="991"/>
      <c r="U57" s="991"/>
      <c r="V57" s="991"/>
      <c r="W57" s="992"/>
      <c r="X57" s="991"/>
      <c r="Y57" s="991"/>
      <c r="Z57" s="991"/>
      <c r="AA57" s="992"/>
      <c r="AB57" s="991"/>
      <c r="AC57" s="991"/>
      <c r="AD57" s="991"/>
      <c r="AE57" s="992"/>
      <c r="AF57" s="991"/>
      <c r="AG57" s="991">
        <f t="shared" ref="AG57:BL57" si="169">AG53/AF53-1</f>
        <v>0.13638155301537269</v>
      </c>
      <c r="AH57" s="991">
        <f t="shared" si="169"/>
        <v>-3.7460978147762836E-2</v>
      </c>
      <c r="AI57" s="992">
        <f t="shared" si="169"/>
        <v>9.0450450450450637E-2</v>
      </c>
      <c r="AJ57" s="991">
        <f t="shared" si="169"/>
        <v>6.3119629874421657E-2</v>
      </c>
      <c r="AK57" s="991">
        <f t="shared" si="169"/>
        <v>-3.8545228473733206E-2</v>
      </c>
      <c r="AL57" s="991">
        <f t="shared" si="169"/>
        <v>-8.082767539605562E-2</v>
      </c>
      <c r="AM57" s="992">
        <f t="shared" si="169"/>
        <v>0.16144917340837139</v>
      </c>
      <c r="AN57" s="991">
        <f t="shared" si="169"/>
        <v>8.9036947304663938E-2</v>
      </c>
      <c r="AO57" s="991">
        <f t="shared" si="169"/>
        <v>-3.3926585094549599E-2</v>
      </c>
      <c r="AP57" s="991">
        <f t="shared" si="169"/>
        <v>-8.2613701784686189E-2</v>
      </c>
      <c r="AQ57" s="992">
        <f t="shared" si="169"/>
        <v>4.455600878569177E-2</v>
      </c>
      <c r="AR57" s="991">
        <f t="shared" si="169"/>
        <v>0.11324722138780419</v>
      </c>
      <c r="AS57" s="991">
        <f t="shared" si="169"/>
        <v>4.776038855909337E-2</v>
      </c>
      <c r="AT57" s="991">
        <f t="shared" si="169"/>
        <v>-7.5972186453772905E-2</v>
      </c>
      <c r="AU57" s="992">
        <f t="shared" si="169"/>
        <v>-1.0033444816053616E-2</v>
      </c>
      <c r="AV57" s="991">
        <f t="shared" si="169"/>
        <v>6.137387387387383E-2</v>
      </c>
      <c r="AW57" s="991">
        <f t="shared" si="169"/>
        <v>2.4668435013262657E-2</v>
      </c>
      <c r="AX57" s="991">
        <f t="shared" si="169"/>
        <v>-0.14548278539994819</v>
      </c>
      <c r="AY57" s="992">
        <f t="shared" si="169"/>
        <v>0.11481369282035736</v>
      </c>
      <c r="AZ57" s="991">
        <f t="shared" si="169"/>
        <v>6.5217391304347894E-2</v>
      </c>
      <c r="BA57" s="991">
        <f t="shared" si="169"/>
        <v>6.5561224489795844E-2</v>
      </c>
      <c r="BB57" s="991">
        <f t="shared" si="169"/>
        <v>-7.3018913095523108E-2</v>
      </c>
      <c r="BC57" s="992">
        <f t="shared" si="169"/>
        <v>3.7964876033057759E-2</v>
      </c>
      <c r="BD57" s="991">
        <f t="shared" si="169"/>
        <v>1.9656631002737068E-2</v>
      </c>
      <c r="BE57" s="991">
        <f t="shared" si="169"/>
        <v>1.1224987798926112E-2</v>
      </c>
      <c r="BF57" s="991">
        <f t="shared" si="169"/>
        <v>-0.16216216216216217</v>
      </c>
      <c r="BG57" s="992">
        <f t="shared" si="169"/>
        <v>-0.26555299539170507</v>
      </c>
      <c r="BH57" s="991">
        <f t="shared" si="169"/>
        <v>-0.22274509803921572</v>
      </c>
      <c r="BI57" s="991">
        <f t="shared" si="169"/>
        <v>0.25529767911200829</v>
      </c>
      <c r="BJ57" s="991">
        <f t="shared" si="169"/>
        <v>0.19292604501607724</v>
      </c>
      <c r="BK57" s="992">
        <f t="shared" si="169"/>
        <v>0.17823450134770891</v>
      </c>
      <c r="BL57" s="991">
        <f t="shared" si="169"/>
        <v>0.1032313411495569</v>
      </c>
      <c r="BM57" s="991">
        <f t="shared" ref="BM57:CQ57" si="170">BM53/BL53-1</f>
        <v>5.9357179885951128E-2</v>
      </c>
      <c r="BN57" s="991">
        <f t="shared" si="170"/>
        <v>-2.8382676780034144E-2</v>
      </c>
      <c r="BO57" s="992">
        <f t="shared" si="170"/>
        <v>5.7164442205993371E-2</v>
      </c>
      <c r="BP57" s="991">
        <f t="shared" si="170"/>
        <v>0.15864697474988088</v>
      </c>
      <c r="BQ57" s="991">
        <f t="shared" si="170"/>
        <v>8.079769736842124E-2</v>
      </c>
      <c r="BR57" s="991">
        <f t="shared" si="170"/>
        <v>2.4728932851436181E-2</v>
      </c>
      <c r="BS57" s="992">
        <f t="shared" si="170"/>
        <v>-9.2816038611471807E-3</v>
      </c>
      <c r="BT57" s="991">
        <f t="shared" si="170"/>
        <v>0.14558740865654851</v>
      </c>
      <c r="BU57" s="991">
        <f t="shared" si="170"/>
        <v>-2.862283284265621E-2</v>
      </c>
      <c r="BV57" s="991">
        <f t="shared" si="170"/>
        <v>-0.10018521636639166</v>
      </c>
      <c r="BW57" s="992">
        <f t="shared" si="170"/>
        <v>4.603293413173648E-2</v>
      </c>
      <c r="BX57" s="991">
        <f t="shared" si="170"/>
        <v>7.5849731663685027E-2</v>
      </c>
      <c r="BY57" s="991">
        <f t="shared" si="170"/>
        <v>2.0119720651812445E-2</v>
      </c>
      <c r="BZ57" s="991">
        <f t="shared" si="170"/>
        <v>-1.5484922575387139E-2</v>
      </c>
      <c r="CA57" s="992">
        <f t="shared" si="170"/>
        <v>3.9072847682119161E-2</v>
      </c>
      <c r="CB57" s="991">
        <f t="shared" si="170"/>
        <v>8.4608030592734362E-2</v>
      </c>
      <c r="CC57" s="991">
        <f t="shared" si="170"/>
        <v>4.1134126634347012E-2</v>
      </c>
      <c r="CD57" s="991">
        <f t="shared" si="170"/>
        <v>-0.11528150134048265</v>
      </c>
      <c r="CE57" s="992">
        <f t="shared" si="170"/>
        <v>-1.9138755980861233E-2</v>
      </c>
      <c r="CF57" s="991">
        <f t="shared" si="170"/>
        <v>-6.1788617886178177E-3</v>
      </c>
      <c r="CG57" s="991">
        <f t="shared" si="170"/>
        <v>2.5687172774869094E-2</v>
      </c>
      <c r="CH57" s="991">
        <f t="shared" si="170"/>
        <v>-6.8910512043387939E-2</v>
      </c>
      <c r="CI57" s="992">
        <f t="shared" si="170"/>
        <v>0.25903717663183135</v>
      </c>
      <c r="CJ57" s="991">
        <f t="shared" si="170"/>
        <v>0.19635324533950205</v>
      </c>
      <c r="CK57" s="991">
        <f t="shared" si="170"/>
        <v>1.8425841674249321E-2</v>
      </c>
      <c r="CL57" s="991">
        <f t="shared" si="170"/>
        <v>-3.2946169309805651E-2</v>
      </c>
      <c r="CM57" s="992">
        <f t="shared" si="170"/>
        <v>1.9979212380182521E-2</v>
      </c>
      <c r="CN57" s="991">
        <f t="shared" si="170"/>
        <v>4.7214673913043459E-2</v>
      </c>
      <c r="CO57" s="991">
        <f t="shared" si="170"/>
        <v>-4.2166720726565243E-3</v>
      </c>
      <c r="CP57" s="991">
        <f t="shared" si="170"/>
        <v>8.6862106406071504E-4</v>
      </c>
      <c r="CQ57" s="992">
        <f t="shared" si="170"/>
        <v>0.10935126925580385</v>
      </c>
      <c r="CR57" s="991">
        <f>CR53/CQ53-1</f>
        <v>5.5148281788023779E-2</v>
      </c>
      <c r="CS57" s="991">
        <f>CS53/CR53-1</f>
        <v>5.9769467872234916E-3</v>
      </c>
      <c r="CT57" s="991">
        <f>CT53/CS53-1</f>
        <v>-6.1414112919392361E-3</v>
      </c>
      <c r="CU57" s="992">
        <f>CU53/CT53-1</f>
        <v>9.8593126756270077E-2</v>
      </c>
      <c r="CV57" s="416"/>
      <c r="CW57" s="991"/>
      <c r="CX57" s="991"/>
      <c r="CY57" s="991"/>
      <c r="CZ57" s="991"/>
      <c r="DA57" s="991"/>
      <c r="DB57" s="991"/>
      <c r="DC57" s="991"/>
      <c r="DD57" s="991"/>
      <c r="DE57" s="991"/>
      <c r="DF57" s="991"/>
      <c r="DG57" s="991"/>
      <c r="DH57" s="991"/>
      <c r="DI57" s="991"/>
      <c r="DJ57" s="991"/>
      <c r="DK57" s="991"/>
      <c r="DL57" s="991"/>
      <c r="DM57" s="991"/>
      <c r="DN57" s="991"/>
      <c r="DO57" s="991"/>
      <c r="DP57" s="991"/>
      <c r="DQ57" s="991"/>
      <c r="DR57" s="991"/>
      <c r="DS57" s="991"/>
      <c r="DT57" s="991"/>
      <c r="DU57" s="1011"/>
      <c r="DV57" s="1011"/>
      <c r="DW57" s="1011"/>
      <c r="DX57" s="1011"/>
      <c r="DY57" s="1011"/>
      <c r="DZ57" s="1011"/>
    </row>
    <row r="58" spans="2:130" ht="15">
      <c r="B58" s="989" t="s">
        <v>293</v>
      </c>
      <c r="C58" s="898"/>
      <c r="D58" s="990"/>
      <c r="E58" s="991"/>
      <c r="F58" s="991"/>
      <c r="G58" s="992"/>
      <c r="H58" s="991"/>
      <c r="I58" s="991"/>
      <c r="J58" s="991"/>
      <c r="K58" s="992"/>
      <c r="L58" s="991"/>
      <c r="M58" s="991"/>
      <c r="N58" s="991"/>
      <c r="O58" s="992"/>
      <c r="P58" s="991"/>
      <c r="Q58" s="991"/>
      <c r="R58" s="991"/>
      <c r="S58" s="992"/>
      <c r="T58" s="991"/>
      <c r="U58" s="991"/>
      <c r="V58" s="991"/>
      <c r="W58" s="992"/>
      <c r="X58" s="991"/>
      <c r="Y58" s="991"/>
      <c r="Z58" s="991"/>
      <c r="AA58" s="992"/>
      <c r="AB58" s="991"/>
      <c r="AC58" s="991"/>
      <c r="AD58" s="991"/>
      <c r="AE58" s="992"/>
      <c r="AF58" s="991"/>
      <c r="AG58" s="991"/>
      <c r="AH58" s="991"/>
      <c r="AI58" s="992"/>
      <c r="AJ58" s="991">
        <f t="shared" ref="AJ58:BO58" si="171">AJ53/AF53-1</f>
        <v>0.26803310997240848</v>
      </c>
      <c r="AK58" s="991">
        <f t="shared" si="171"/>
        <v>7.2840790842872094E-2</v>
      </c>
      <c r="AL58" s="991">
        <f t="shared" si="171"/>
        <v>2.4504504504504476E-2</v>
      </c>
      <c r="AM58" s="992">
        <f t="shared" si="171"/>
        <v>9.1209517514871052E-2</v>
      </c>
      <c r="AN58" s="991">
        <f t="shared" si="171"/>
        <v>0.11781162573826554</v>
      </c>
      <c r="AO58" s="991">
        <f t="shared" si="171"/>
        <v>0.12318137730358858</v>
      </c>
      <c r="AP58" s="991">
        <f t="shared" si="171"/>
        <v>0.12099894477664441</v>
      </c>
      <c r="AQ58" s="992">
        <f t="shared" si="171"/>
        <v>8.1768625075711032E-3</v>
      </c>
      <c r="AR58" s="991">
        <f t="shared" si="171"/>
        <v>3.058954393770863E-2</v>
      </c>
      <c r="AS58" s="991">
        <f t="shared" si="171"/>
        <v>0.11773172135866439</v>
      </c>
      <c r="AT58" s="991">
        <f t="shared" si="171"/>
        <v>0.12582365861311584</v>
      </c>
      <c r="AU58" s="992">
        <f t="shared" si="171"/>
        <v>6.6987083208170706E-2</v>
      </c>
      <c r="AV58" s="991">
        <f t="shared" si="171"/>
        <v>1.7269293038316258E-2</v>
      </c>
      <c r="AW58" s="991">
        <f t="shared" si="171"/>
        <v>-5.1506567087303834E-3</v>
      </c>
      <c r="AX58" s="991">
        <f t="shared" si="171"/>
        <v>-7.9988851727982091E-2</v>
      </c>
      <c r="AY58" s="992">
        <f t="shared" si="171"/>
        <v>3.6036036036036112E-2</v>
      </c>
      <c r="AZ58" s="991">
        <f t="shared" si="171"/>
        <v>3.9787798408488007E-2</v>
      </c>
      <c r="BA58" s="991">
        <f t="shared" si="171"/>
        <v>8.1283976184312712E-2</v>
      </c>
      <c r="BB58" s="991">
        <f t="shared" si="171"/>
        <v>0.17297788548924564</v>
      </c>
      <c r="BC58" s="992">
        <f t="shared" si="171"/>
        <v>9.2119565217391175E-2</v>
      </c>
      <c r="BD58" s="991">
        <f t="shared" si="171"/>
        <v>4.5408163265306056E-2</v>
      </c>
      <c r="BE58" s="991">
        <f t="shared" si="171"/>
        <v>-7.9004069906631891E-3</v>
      </c>
      <c r="BF58" s="991">
        <f t="shared" si="171"/>
        <v>-0.10330578512396693</v>
      </c>
      <c r="BG58" s="992">
        <f t="shared" si="171"/>
        <v>-0.36551380940532463</v>
      </c>
      <c r="BH58" s="991">
        <f t="shared" si="171"/>
        <v>-0.51634943875061001</v>
      </c>
      <c r="BI58" s="991">
        <f t="shared" si="171"/>
        <v>-0.39961389961389959</v>
      </c>
      <c r="BJ58" s="991">
        <f t="shared" si="171"/>
        <v>-0.14516129032258063</v>
      </c>
      <c r="BK58" s="992">
        <f t="shared" si="171"/>
        <v>0.37137254901960781</v>
      </c>
      <c r="BL58" s="991">
        <f t="shared" si="171"/>
        <v>0.94651866801210915</v>
      </c>
      <c r="BM58" s="991">
        <f t="shared" si="171"/>
        <v>0.64268488745980701</v>
      </c>
      <c r="BN58" s="991">
        <f t="shared" si="171"/>
        <v>0.33793800539083563</v>
      </c>
      <c r="BO58" s="992">
        <f t="shared" si="171"/>
        <v>0.20045753503002572</v>
      </c>
      <c r="BP58" s="991">
        <f t="shared" ref="BP58:CQ58" si="172">BP53/BL53-1</f>
        <v>0.26075686884396054</v>
      </c>
      <c r="BQ58" s="991">
        <f t="shared" si="172"/>
        <v>0.28627355028138024</v>
      </c>
      <c r="BR58" s="991">
        <f t="shared" si="172"/>
        <v>0.35658524301183592</v>
      </c>
      <c r="BS58" s="992">
        <f t="shared" si="172"/>
        <v>0.27131967603620777</v>
      </c>
      <c r="BT58" s="991">
        <f t="shared" si="172"/>
        <v>0.25699013157894735</v>
      </c>
      <c r="BU58" s="991">
        <f t="shared" si="172"/>
        <v>0.12973178618984194</v>
      </c>
      <c r="BV58" s="991">
        <f t="shared" si="172"/>
        <v>-7.9821793205867575E-3</v>
      </c>
      <c r="BW58" s="992">
        <f t="shared" si="172"/>
        <v>4.7404909124976413E-2</v>
      </c>
      <c r="BX58" s="991">
        <f t="shared" si="172"/>
        <v>-1.6355904481517802E-2</v>
      </c>
      <c r="BY58" s="991">
        <f t="shared" si="172"/>
        <v>3.3002188920693731E-2</v>
      </c>
      <c r="BZ58" s="991">
        <f t="shared" si="172"/>
        <v>0.13023952095808378</v>
      </c>
      <c r="CA58" s="992">
        <f t="shared" si="172"/>
        <v>0.12271914132379247</v>
      </c>
      <c r="CB58" s="991">
        <f t="shared" si="172"/>
        <v>0.13185899567675441</v>
      </c>
      <c r="CC58" s="991">
        <f t="shared" si="172"/>
        <v>0.15517522412387952</v>
      </c>
      <c r="CD58" s="991">
        <f t="shared" si="172"/>
        <v>3.8079470198675525E-2</v>
      </c>
      <c r="CE58" s="992">
        <f t="shared" si="172"/>
        <v>-2.0076481835564097E-2</v>
      </c>
      <c r="CF58" s="991">
        <f t="shared" si="172"/>
        <v>-0.10210077861025413</v>
      </c>
      <c r="CG58" s="991">
        <f t="shared" si="172"/>
        <v>-0.115422604769296</v>
      </c>
      <c r="CH58" s="991">
        <f t="shared" si="172"/>
        <v>-6.9059011164274264E-2</v>
      </c>
      <c r="CI58" s="992">
        <f t="shared" si="172"/>
        <v>0.19495934959349581</v>
      </c>
      <c r="CJ58" s="991">
        <f t="shared" si="172"/>
        <v>0.43848167539267013</v>
      </c>
      <c r="CK58" s="991">
        <f t="shared" si="172"/>
        <v>0.42829797415855797</v>
      </c>
      <c r="CL58" s="991">
        <f t="shared" si="172"/>
        <v>0.48346753469247883</v>
      </c>
      <c r="CM58" s="992">
        <f t="shared" si="172"/>
        <v>0.20179616274323053</v>
      </c>
      <c r="CN58" s="991">
        <f t="shared" si="172"/>
        <v>5.1979071883530459E-2</v>
      </c>
      <c r="CO58" s="991">
        <f t="shared" si="172"/>
        <v>2.8590574045119554E-2</v>
      </c>
      <c r="CP58" s="991">
        <f t="shared" si="172"/>
        <v>6.4557108211109826E-2</v>
      </c>
      <c r="CQ58" s="992">
        <f t="shared" si="172"/>
        <v>0.15783514492753614</v>
      </c>
      <c r="CR58" s="991">
        <f>CR29+CR59</f>
        <v>0.16660680393170407</v>
      </c>
      <c r="CS58" s="991">
        <f>CS29+CS59</f>
        <v>0.1785491058211871</v>
      </c>
      <c r="CT58" s="991">
        <f>CT29+CT59</f>
        <v>0.1702946084865041</v>
      </c>
      <c r="CU58" s="992">
        <f>CU29+CU59</f>
        <v>0.15894545649699918</v>
      </c>
      <c r="CV58" s="416"/>
      <c r="CW58" s="991"/>
      <c r="CX58" s="991"/>
      <c r="CY58" s="991"/>
      <c r="CZ58" s="991"/>
      <c r="DA58" s="991"/>
      <c r="DB58" s="991"/>
      <c r="DC58" s="991"/>
      <c r="DD58" s="991"/>
      <c r="DE58" s="991"/>
      <c r="DF58" s="991">
        <f t="shared" ref="DF58:DU58" si="173">DF53/DE53-1</f>
        <v>0.10997237322876763</v>
      </c>
      <c r="DG58" s="991">
        <f t="shared" si="173"/>
        <v>9.0806904857486881E-2</v>
      </c>
      <c r="DH58" s="991">
        <f t="shared" si="173"/>
        <v>8.413072280288536E-2</v>
      </c>
      <c r="DI58" s="991">
        <f t="shared" si="173"/>
        <v>-7.80772625432824E-3</v>
      </c>
      <c r="DJ58" s="991">
        <f t="shared" si="173"/>
        <v>9.401943342000818E-2</v>
      </c>
      <c r="DK58" s="991">
        <f t="shared" si="173"/>
        <v>-0.10783087315486617</v>
      </c>
      <c r="DL58" s="991">
        <f t="shared" si="173"/>
        <v>-0.23338474481211446</v>
      </c>
      <c r="DM58" s="991">
        <f t="shared" si="173"/>
        <v>0.47361682670324634</v>
      </c>
      <c r="DN58" s="991">
        <f t="shared" si="173"/>
        <v>0.29359563112821152</v>
      </c>
      <c r="DO58" s="991">
        <f t="shared" si="173"/>
        <v>0.10275845526505156</v>
      </c>
      <c r="DP58" s="991">
        <f t="shared" si="173"/>
        <v>6.4297211467351234E-2</v>
      </c>
      <c r="DQ58" s="991">
        <f t="shared" si="173"/>
        <v>7.5577355405681557E-2</v>
      </c>
      <c r="DR58" s="991">
        <f t="shared" si="173"/>
        <v>-2.8387930379265902E-2</v>
      </c>
      <c r="DS58" s="991">
        <f t="shared" si="173"/>
        <v>0.37822192670238985</v>
      </c>
      <c r="DT58" s="991">
        <f t="shared" si="173"/>
        <v>7.5659108323637092E-2</v>
      </c>
      <c r="DU58" s="991">
        <f t="shared" si="173"/>
        <v>0.16833853608802385</v>
      </c>
      <c r="DV58" s="991">
        <f>DV29+DV59</f>
        <v>6.7540139977006766E-2</v>
      </c>
      <c r="DW58" s="991">
        <f>DW29+DW59</f>
        <v>5.9202585021236286E-2</v>
      </c>
      <c r="DX58" s="991">
        <f>DX29+DX59</f>
        <v>5.2967013549827441E-2</v>
      </c>
      <c r="DY58" s="991">
        <f>DY29+DY59</f>
        <v>3.9857585137321273E-2</v>
      </c>
      <c r="DZ58" s="991">
        <f>DZ29+DZ59</f>
        <v>2.5301050702716696E-2</v>
      </c>
    </row>
    <row r="59" spans="2:130" ht="15">
      <c r="B59" s="1013" t="s">
        <v>346</v>
      </c>
      <c r="C59" s="898"/>
      <c r="D59" s="990"/>
      <c r="E59" s="991"/>
      <c r="F59" s="991"/>
      <c r="G59" s="992"/>
      <c r="H59" s="991"/>
      <c r="I59" s="991"/>
      <c r="J59" s="991"/>
      <c r="K59" s="992"/>
      <c r="L59" s="991"/>
      <c r="M59" s="991"/>
      <c r="N59" s="991"/>
      <c r="O59" s="992"/>
      <c r="P59" s="991"/>
      <c r="Q59" s="991"/>
      <c r="R59" s="991"/>
      <c r="S59" s="992"/>
      <c r="T59" s="991"/>
      <c r="U59" s="991"/>
      <c r="V59" s="991"/>
      <c r="W59" s="992"/>
      <c r="X59" s="991"/>
      <c r="Y59" s="991"/>
      <c r="Z59" s="991"/>
      <c r="AA59" s="992"/>
      <c r="AB59" s="991"/>
      <c r="AC59" s="991"/>
      <c r="AD59" s="991"/>
      <c r="AE59" s="992"/>
      <c r="AF59" s="991"/>
      <c r="AG59" s="991"/>
      <c r="AH59" s="991"/>
      <c r="AI59" s="992"/>
      <c r="AJ59" s="991"/>
      <c r="AK59" s="991"/>
      <c r="AL59" s="991"/>
      <c r="AM59" s="992"/>
      <c r="AN59" s="991">
        <f t="shared" ref="AN59:BS59" si="174">AN58-AN29</f>
        <v>6.9972607323932401E-2</v>
      </c>
      <c r="AO59" s="991">
        <f t="shared" si="174"/>
        <v>5.2825818452994833E-2</v>
      </c>
      <c r="AP59" s="991">
        <f t="shared" si="174"/>
        <v>6.0270209033790545E-2</v>
      </c>
      <c r="AQ59" s="992">
        <f t="shared" si="174"/>
        <v>-1.6278551980317468E-2</v>
      </c>
      <c r="AR59" s="991">
        <f t="shared" si="174"/>
        <v>1.3924900914837668E-2</v>
      </c>
      <c r="AS59" s="991">
        <f t="shared" si="174"/>
        <v>7.3524684067550528E-2</v>
      </c>
      <c r="AT59" s="991">
        <f t="shared" si="174"/>
        <v>7.826838788028323E-2</v>
      </c>
      <c r="AU59" s="992">
        <f t="shared" si="174"/>
        <v>6.2255488985230034E-3</v>
      </c>
      <c r="AV59" s="991">
        <f t="shared" si="174"/>
        <v>-6.4138810316069383E-2</v>
      </c>
      <c r="AW59" s="991">
        <f t="shared" si="174"/>
        <v>-3.3484604445812693E-2</v>
      </c>
      <c r="AX59" s="991">
        <f t="shared" si="174"/>
        <v>-9.8397601019253322E-2</v>
      </c>
      <c r="AY59" s="992">
        <f t="shared" si="174"/>
        <v>2.522984781538895E-5</v>
      </c>
      <c r="AZ59" s="991">
        <f t="shared" si="174"/>
        <v>1.643586351172166E-2</v>
      </c>
      <c r="BA59" s="991">
        <f t="shared" si="174"/>
        <v>3.1209097719527401E-2</v>
      </c>
      <c r="BB59" s="991">
        <f t="shared" si="174"/>
        <v>0.10621283091950806</v>
      </c>
      <c r="BC59" s="992">
        <f t="shared" si="174"/>
        <v>4.5546005493555253E-3</v>
      </c>
      <c r="BD59" s="991">
        <f t="shared" si="174"/>
        <v>7.035364154349466E-3</v>
      </c>
      <c r="BE59" s="991">
        <f t="shared" si="174"/>
        <v>-3.5967593145165511E-2</v>
      </c>
      <c r="BF59" s="991">
        <f t="shared" si="174"/>
        <v>-8.5882432216410676E-2</v>
      </c>
      <c r="BG59" s="992">
        <f t="shared" si="174"/>
        <v>-0.15191101032258292</v>
      </c>
      <c r="BH59" s="991">
        <f t="shared" si="174"/>
        <v>-0.17609744518510018</v>
      </c>
      <c r="BI59" s="991">
        <f t="shared" si="174"/>
        <v>-0.1668500090209224</v>
      </c>
      <c r="BJ59" s="991">
        <f t="shared" si="174"/>
        <v>-0.10403014141139932</v>
      </c>
      <c r="BK59" s="992">
        <f t="shared" si="174"/>
        <v>0.1508280322688762</v>
      </c>
      <c r="BL59" s="991">
        <f t="shared" si="174"/>
        <v>0.43510009939278826</v>
      </c>
      <c r="BM59" s="991">
        <f t="shared" si="174"/>
        <v>0.32971567651475198</v>
      </c>
      <c r="BN59" s="991">
        <f t="shared" si="174"/>
        <v>0.1867518560460244</v>
      </c>
      <c r="BO59" s="992">
        <f t="shared" si="174"/>
        <v>9.4622954566335293E-2</v>
      </c>
      <c r="BP59" s="991">
        <f t="shared" si="174"/>
        <v>0.18679943518750264</v>
      </c>
      <c r="BQ59" s="991">
        <f t="shared" si="174"/>
        <v>0.29983829846930254</v>
      </c>
      <c r="BR59" s="991">
        <f t="shared" si="174"/>
        <v>0.30455843122021742</v>
      </c>
      <c r="BS59" s="992">
        <f t="shared" si="174"/>
        <v>0.24668356331516894</v>
      </c>
      <c r="BT59" s="991">
        <f t="shared" ref="BT59:CP59" si="175">BT58-BT29</f>
        <v>0.18431468844707366</v>
      </c>
      <c r="BU59" s="991">
        <f t="shared" si="175"/>
        <v>8.5462701467715618E-3</v>
      </c>
      <c r="BV59" s="991">
        <f t="shared" si="175"/>
        <v>-3.4512698200054093E-2</v>
      </c>
      <c r="BW59" s="992">
        <f t="shared" si="175"/>
        <v>2.6403539250277719E-2</v>
      </c>
      <c r="BX59" s="991">
        <f t="shared" si="175"/>
        <v>-1.7128106278972322E-2</v>
      </c>
      <c r="BY59" s="991">
        <f t="shared" si="175"/>
        <v>-5.7106818282182115E-3</v>
      </c>
      <c r="BZ59" s="991">
        <f t="shared" si="175"/>
        <v>7.9775058379950803E-2</v>
      </c>
      <c r="CA59" s="992">
        <f t="shared" si="175"/>
        <v>4.9384475788031734E-2</v>
      </c>
      <c r="CB59" s="991">
        <f t="shared" si="175"/>
        <v>7.9897434494016206E-2</v>
      </c>
      <c r="CC59" s="991">
        <f t="shared" si="175"/>
        <v>0.11866098767286437</v>
      </c>
      <c r="CD59" s="991">
        <f t="shared" si="175"/>
        <v>1.6991285680452606E-2</v>
      </c>
      <c r="CE59" s="992">
        <f t="shared" si="175"/>
        <v>-3.7390544941052317E-2</v>
      </c>
      <c r="CF59" s="991">
        <f t="shared" si="175"/>
        <v>-0.12245444227601965</v>
      </c>
      <c r="CG59" s="991">
        <f t="shared" si="175"/>
        <v>-0.11887631937206866</v>
      </c>
      <c r="CH59" s="991">
        <f t="shared" si="175"/>
        <v>-6.1407527518926752E-2</v>
      </c>
      <c r="CI59" s="992">
        <f t="shared" si="175"/>
        <v>0.15069907802856108</v>
      </c>
      <c r="CJ59" s="991">
        <f t="shared" si="175"/>
        <v>0.42163768082926412</v>
      </c>
      <c r="CK59" s="991">
        <f t="shared" si="175"/>
        <v>0.39419417708315896</v>
      </c>
      <c r="CL59" s="991">
        <f t="shared" si="175"/>
        <v>0.41424599855168376</v>
      </c>
      <c r="CM59" s="992">
        <f t="shared" si="175"/>
        <v>0.12609929147657084</v>
      </c>
      <c r="CN59" s="991">
        <f t="shared" si="175"/>
        <v>-4.1743249298711316E-3</v>
      </c>
      <c r="CO59" s="991">
        <f t="shared" si="175"/>
        <v>2.780393650030466E-2</v>
      </c>
      <c r="CP59" s="991">
        <f t="shared" si="175"/>
        <v>4.2941322319030695E-2</v>
      </c>
      <c r="CQ59" s="992">
        <f t="shared" ref="CQ59" si="176">CQ58-CQ29</f>
        <v>0.14728992244525818</v>
      </c>
      <c r="CR59" s="1011">
        <v>0.17499999999999999</v>
      </c>
      <c r="CS59" s="1011">
        <v>0.14000000000000001</v>
      </c>
      <c r="CT59" s="1011">
        <v>0.15</v>
      </c>
      <c r="CU59" s="1012">
        <v>0.155</v>
      </c>
      <c r="CV59" s="416"/>
      <c r="CW59" s="991"/>
      <c r="CX59" s="991"/>
      <c r="CY59" s="991"/>
      <c r="CZ59" s="991"/>
      <c r="DA59" s="991"/>
      <c r="DB59" s="991"/>
      <c r="DC59" s="991"/>
      <c r="DD59" s="991"/>
      <c r="DE59" s="991"/>
      <c r="DF59" s="991">
        <f t="shared" ref="DF59:DU59" si="177">DF58-DF29</f>
        <v>8.2886644489369887E-2</v>
      </c>
      <c r="DG59" s="991">
        <f t="shared" si="177"/>
        <v>4.0246268997275569E-2</v>
      </c>
      <c r="DH59" s="991">
        <f t="shared" si="177"/>
        <v>4.2019557677077879E-2</v>
      </c>
      <c r="DI59" s="991">
        <f t="shared" si="177"/>
        <v>-4.8969264806268398E-2</v>
      </c>
      <c r="DJ59" s="991">
        <f t="shared" si="177"/>
        <v>3.7485408371667139E-2</v>
      </c>
      <c r="DK59" s="991">
        <f t="shared" si="177"/>
        <v>-6.4743259494527527E-2</v>
      </c>
      <c r="DL59" s="991">
        <f t="shared" si="177"/>
        <v>-0.11462966555512355</v>
      </c>
      <c r="DM59" s="991">
        <f t="shared" si="177"/>
        <v>0.22403000807318718</v>
      </c>
      <c r="DN59" s="991">
        <f t="shared" si="177"/>
        <v>0.25980678016999037</v>
      </c>
      <c r="DO59" s="991">
        <f t="shared" si="177"/>
        <v>4.3244537308972264E-2</v>
      </c>
      <c r="DP59" s="991">
        <f t="shared" si="177"/>
        <v>2.3923904228842607E-2</v>
      </c>
      <c r="DQ59" s="991">
        <f t="shared" si="177"/>
        <v>4.3883108809958937E-2</v>
      </c>
      <c r="DR59" s="991">
        <f t="shared" si="177"/>
        <v>-4.3934875780006322E-2</v>
      </c>
      <c r="DS59" s="991">
        <f t="shared" si="177"/>
        <v>0.32946564848138116</v>
      </c>
      <c r="DT59" s="991">
        <f t="shared" si="177"/>
        <v>5.3632885989630452E-2</v>
      </c>
      <c r="DU59" s="991">
        <f t="shared" si="177"/>
        <v>0.15531709206573741</v>
      </c>
      <c r="DV59" s="1011">
        <v>0.05</v>
      </c>
      <c r="DW59" s="1011">
        <f t="shared" ref="DW59:DZ59" si="178">DV59-0.01</f>
        <v>0.04</v>
      </c>
      <c r="DX59" s="1011">
        <f t="shared" si="178"/>
        <v>0.03</v>
      </c>
      <c r="DY59" s="1011">
        <f t="shared" si="178"/>
        <v>1.9999999999999997E-2</v>
      </c>
      <c r="DZ59" s="1011">
        <f t="shared" si="178"/>
        <v>9.9999999999999967E-3</v>
      </c>
    </row>
    <row r="60" spans="2:130" ht="15">
      <c r="B60" s="1013" t="s">
        <v>462</v>
      </c>
      <c r="C60" s="898"/>
      <c r="D60" s="990"/>
      <c r="E60" s="991"/>
      <c r="F60" s="991"/>
      <c r="G60" s="992"/>
      <c r="H60" s="991"/>
      <c r="I60" s="991"/>
      <c r="J60" s="991"/>
      <c r="K60" s="992"/>
      <c r="L60" s="991"/>
      <c r="M60" s="991"/>
      <c r="N60" s="991"/>
      <c r="O60" s="992"/>
      <c r="P60" s="991"/>
      <c r="Q60" s="991"/>
      <c r="R60" s="991"/>
      <c r="S60" s="992"/>
      <c r="T60" s="991"/>
      <c r="U60" s="991"/>
      <c r="V60" s="991"/>
      <c r="W60" s="992"/>
      <c r="X60" s="991"/>
      <c r="Y60" s="991"/>
      <c r="Z60" s="991"/>
      <c r="AA60" s="992"/>
      <c r="AB60" s="991"/>
      <c r="AC60" s="991"/>
      <c r="AD60" s="991"/>
      <c r="AE60" s="992"/>
      <c r="AF60" s="991"/>
      <c r="AG60" s="991"/>
      <c r="AH60" s="991"/>
      <c r="AI60" s="992"/>
      <c r="AJ60" s="991"/>
      <c r="AK60" s="991"/>
      <c r="AL60" s="991"/>
      <c r="AM60" s="992"/>
      <c r="AN60" s="991"/>
      <c r="AO60" s="991"/>
      <c r="AP60" s="991"/>
      <c r="AQ60" s="992"/>
      <c r="AR60" s="991"/>
      <c r="AS60" s="991"/>
      <c r="AT60" s="991"/>
      <c r="AU60" s="992"/>
      <c r="AV60" s="991"/>
      <c r="AW60" s="991"/>
      <c r="AX60" s="991"/>
      <c r="AY60" s="992"/>
      <c r="AZ60" s="991"/>
      <c r="BA60" s="991"/>
      <c r="BB60" s="991"/>
      <c r="BC60" s="992"/>
      <c r="BD60" s="991"/>
      <c r="BE60" s="991"/>
      <c r="BF60" s="991"/>
      <c r="BG60" s="992"/>
      <c r="BH60" s="991"/>
      <c r="BI60" s="991"/>
      <c r="BJ60" s="991"/>
      <c r="BK60" s="992"/>
      <c r="BL60" s="991"/>
      <c r="BM60" s="991"/>
      <c r="BN60" s="991"/>
      <c r="BO60" s="992"/>
      <c r="BP60" s="991"/>
      <c r="BQ60" s="991"/>
      <c r="BR60" s="991"/>
      <c r="BS60" s="992"/>
      <c r="BT60" s="991">
        <f>BT58-BT30</f>
        <v>0.19298713480518354</v>
      </c>
      <c r="BU60" s="991">
        <f t="shared" ref="BU60:CU60" si="179">BU58-BU30</f>
        <v>4.7482286064836288E-2</v>
      </c>
      <c r="BV60" s="991">
        <f t="shared" si="179"/>
        <v>-2.4176485068941433E-2</v>
      </c>
      <c r="BW60" s="992">
        <f t="shared" si="179"/>
        <v>3.5373393910788711E-2</v>
      </c>
      <c r="BX60" s="991">
        <f t="shared" si="179"/>
        <v>1.290958535741173E-2</v>
      </c>
      <c r="BY60" s="991">
        <f t="shared" si="179"/>
        <v>-5.3855329290769804E-3</v>
      </c>
      <c r="BZ60" s="991">
        <f t="shared" si="179"/>
        <v>8.3336781588369921E-2</v>
      </c>
      <c r="CA60" s="992">
        <f t="shared" si="179"/>
        <v>7.0284814282242453E-2</v>
      </c>
      <c r="CB60" s="991">
        <f t="shared" si="179"/>
        <v>7.3794104981600314E-2</v>
      </c>
      <c r="CC60" s="991">
        <f t="shared" si="179"/>
        <v>0.1318169270703127</v>
      </c>
      <c r="CD60" s="991">
        <f t="shared" si="179"/>
        <v>3.1234166571494415E-2</v>
      </c>
      <c r="CE60" s="992">
        <f t="shared" si="179"/>
        <v>-2.7505213797191438E-2</v>
      </c>
      <c r="CF60" s="991">
        <f t="shared" si="179"/>
        <v>-0.11927322314096539</v>
      </c>
      <c r="CG60" s="991">
        <f t="shared" si="179"/>
        <v>-0.12083876603344643</v>
      </c>
      <c r="CH60" s="991">
        <f t="shared" si="179"/>
        <v>-8.277934257443037E-2</v>
      </c>
      <c r="CI60" s="992">
        <f t="shared" si="179"/>
        <v>0.16146577583260463</v>
      </c>
      <c r="CJ60" s="991">
        <f t="shared" si="179"/>
        <v>0.42653499391151223</v>
      </c>
      <c r="CK60" s="991">
        <f t="shared" si="179"/>
        <v>0.3934398268847068</v>
      </c>
      <c r="CL60" s="991">
        <f t="shared" si="179"/>
        <v>0.45326619870919216</v>
      </c>
      <c r="CM60" s="992">
        <f t="shared" si="179"/>
        <v>0.15862206818681068</v>
      </c>
      <c r="CN60" s="991">
        <f t="shared" si="179"/>
        <v>1.1304904124640261E-3</v>
      </c>
      <c r="CO60" s="991">
        <f t="shared" si="179"/>
        <v>3.6727656982029143E-2</v>
      </c>
      <c r="CP60" s="991">
        <f t="shared" si="179"/>
        <v>4.5052651335541503E-2</v>
      </c>
      <c r="CQ60" s="992">
        <f t="shared" ref="CQ60" si="180">CQ58-CQ30</f>
        <v>0.13319702283434628</v>
      </c>
      <c r="CR60" s="991">
        <f>CR58-CR30</f>
        <v>0.17085536632639278</v>
      </c>
      <c r="CS60" s="991">
        <f t="shared" si="179"/>
        <v>0.1400840426550132</v>
      </c>
      <c r="CT60" s="991">
        <f t="shared" si="179"/>
        <v>0.15289655022679985</v>
      </c>
      <c r="CU60" s="992">
        <f t="shared" si="179"/>
        <v>0.16459304253980656</v>
      </c>
      <c r="CV60" s="416"/>
      <c r="CW60" s="991"/>
      <c r="CX60" s="991"/>
      <c r="CY60" s="991"/>
      <c r="CZ60" s="991"/>
      <c r="DA60" s="991"/>
      <c r="DB60" s="991"/>
      <c r="DC60" s="991"/>
      <c r="DD60" s="991"/>
      <c r="DE60" s="991"/>
      <c r="DF60" s="991"/>
      <c r="DG60" s="991"/>
      <c r="DH60" s="991"/>
      <c r="DI60" s="991"/>
      <c r="DJ60" s="991"/>
      <c r="DK60" s="991"/>
      <c r="DL60" s="991"/>
      <c r="DM60" s="991"/>
      <c r="DN60" s="991"/>
      <c r="DO60" s="991">
        <f>DO58-DO30</f>
        <v>6.0913873103513254E-2</v>
      </c>
      <c r="DP60" s="991">
        <f t="shared" ref="DP60:DZ60" si="181">DP58-DP30</f>
        <v>3.8655099325850914E-2</v>
      </c>
      <c r="DQ60" s="991">
        <f t="shared" si="181"/>
        <v>5.1779389993118964E-2</v>
      </c>
      <c r="DR60" s="991">
        <f t="shared" si="181"/>
        <v>-4.6121111447552134E-2</v>
      </c>
      <c r="DS60" s="991">
        <f t="shared" si="181"/>
        <v>0.34846974843146705</v>
      </c>
      <c r="DT60" s="991">
        <f t="shared" si="181"/>
        <v>5.5082103276201118E-2</v>
      </c>
      <c r="DU60" s="991">
        <f t="shared" si="181"/>
        <v>0.15719241028536385</v>
      </c>
      <c r="DV60" s="991">
        <f>DV58-DV30</f>
        <v>6.2861325478603319E-2</v>
      </c>
      <c r="DW60" s="991">
        <f t="shared" si="181"/>
        <v>4.9115777712047226E-2</v>
      </c>
      <c r="DX60" s="991">
        <f t="shared" si="181"/>
        <v>3.4458131356217024E-2</v>
      </c>
      <c r="DY60" s="991">
        <f t="shared" si="181"/>
        <v>2.2905547979108726E-2</v>
      </c>
      <c r="DZ60" s="991">
        <f t="shared" si="181"/>
        <v>1.1938287118978305E-2</v>
      </c>
    </row>
    <row r="61" spans="2:130" ht="15">
      <c r="B61" s="989" t="s">
        <v>345</v>
      </c>
      <c r="C61" s="898"/>
      <c r="D61" s="990"/>
      <c r="E61" s="991"/>
      <c r="F61" s="991"/>
      <c r="G61" s="992"/>
      <c r="H61" s="991"/>
      <c r="I61" s="991"/>
      <c r="J61" s="991"/>
      <c r="K61" s="992"/>
      <c r="L61" s="991"/>
      <c r="M61" s="991"/>
      <c r="N61" s="991"/>
      <c r="O61" s="992"/>
      <c r="P61" s="991"/>
      <c r="Q61" s="991"/>
      <c r="R61" s="991"/>
      <c r="S61" s="992"/>
      <c r="T61" s="991"/>
      <c r="U61" s="991"/>
      <c r="V61" s="991"/>
      <c r="W61" s="992"/>
      <c r="X61" s="991"/>
      <c r="Y61" s="991"/>
      <c r="Z61" s="991"/>
      <c r="AA61" s="992"/>
      <c r="AB61" s="991"/>
      <c r="AC61" s="991"/>
      <c r="AD61" s="991"/>
      <c r="AE61" s="992"/>
      <c r="AF61" s="991"/>
      <c r="AG61" s="991"/>
      <c r="AH61" s="991"/>
      <c r="AI61" s="992"/>
      <c r="AJ61" s="991"/>
      <c r="AK61" s="991"/>
      <c r="AL61" s="991"/>
      <c r="AM61" s="992"/>
      <c r="AN61" s="991">
        <f t="shared" ref="AN61:BS61" si="182">AJ58+AN58</f>
        <v>0.38584473571067401</v>
      </c>
      <c r="AO61" s="991">
        <f t="shared" si="182"/>
        <v>0.19602216814646067</v>
      </c>
      <c r="AP61" s="991">
        <f t="shared" si="182"/>
        <v>0.14550344928114889</v>
      </c>
      <c r="AQ61" s="992">
        <f t="shared" si="182"/>
        <v>9.9386380022442156E-2</v>
      </c>
      <c r="AR61" s="991">
        <f t="shared" si="182"/>
        <v>0.14840116967597416</v>
      </c>
      <c r="AS61" s="991">
        <f t="shared" si="182"/>
        <v>0.24091309866225297</v>
      </c>
      <c r="AT61" s="991">
        <f t="shared" si="182"/>
        <v>0.24682260338976025</v>
      </c>
      <c r="AU61" s="992">
        <f t="shared" si="182"/>
        <v>7.5163945715741809E-2</v>
      </c>
      <c r="AV61" s="991">
        <f t="shared" si="182"/>
        <v>4.7858836976024888E-2</v>
      </c>
      <c r="AW61" s="991">
        <f t="shared" si="182"/>
        <v>0.112581064649934</v>
      </c>
      <c r="AX61" s="991">
        <f t="shared" si="182"/>
        <v>4.583480688513375E-2</v>
      </c>
      <c r="AY61" s="992">
        <f t="shared" si="182"/>
        <v>0.10302311924420682</v>
      </c>
      <c r="AZ61" s="991">
        <f t="shared" si="182"/>
        <v>5.7057091446804264E-2</v>
      </c>
      <c r="BA61" s="991">
        <f t="shared" si="182"/>
        <v>7.6133319475582328E-2</v>
      </c>
      <c r="BB61" s="991">
        <f t="shared" si="182"/>
        <v>9.2989033761263551E-2</v>
      </c>
      <c r="BC61" s="992">
        <f t="shared" si="182"/>
        <v>0.12815560125342729</v>
      </c>
      <c r="BD61" s="991">
        <f t="shared" si="182"/>
        <v>8.5195961673794063E-2</v>
      </c>
      <c r="BE61" s="991">
        <f t="shared" si="182"/>
        <v>7.3383569193649523E-2</v>
      </c>
      <c r="BF61" s="991">
        <f t="shared" si="182"/>
        <v>6.9672100365278711E-2</v>
      </c>
      <c r="BG61" s="992">
        <f t="shared" si="182"/>
        <v>-0.27339424418793346</v>
      </c>
      <c r="BH61" s="991">
        <f t="shared" si="182"/>
        <v>-0.47094127548530396</v>
      </c>
      <c r="BI61" s="991">
        <f t="shared" si="182"/>
        <v>-0.40751430660456278</v>
      </c>
      <c r="BJ61" s="991">
        <f t="shared" si="182"/>
        <v>-0.24846707544654756</v>
      </c>
      <c r="BK61" s="992">
        <f t="shared" si="182"/>
        <v>5.8587396142831816E-3</v>
      </c>
      <c r="BL61" s="991">
        <f t="shared" si="182"/>
        <v>0.43016922926149914</v>
      </c>
      <c r="BM61" s="991">
        <f t="shared" si="182"/>
        <v>0.24307098784590742</v>
      </c>
      <c r="BN61" s="991">
        <f t="shared" si="182"/>
        <v>0.192776715068255</v>
      </c>
      <c r="BO61" s="992">
        <f t="shared" si="182"/>
        <v>0.57183008404963354</v>
      </c>
      <c r="BP61" s="991">
        <f t="shared" si="182"/>
        <v>1.2072755368560697</v>
      </c>
      <c r="BQ61" s="991">
        <f t="shared" si="182"/>
        <v>0.92895843774118725</v>
      </c>
      <c r="BR61" s="991">
        <f t="shared" si="182"/>
        <v>0.69452324840267154</v>
      </c>
      <c r="BS61" s="992">
        <f t="shared" si="182"/>
        <v>0.47177721106623349</v>
      </c>
      <c r="BT61" s="991">
        <f t="shared" ref="BT61:CU61" si="183">BP58+BT58</f>
        <v>0.51774700042290789</v>
      </c>
      <c r="BU61" s="991">
        <f t="shared" si="183"/>
        <v>0.41600533647122218</v>
      </c>
      <c r="BV61" s="991">
        <f t="shared" si="183"/>
        <v>0.34860306369124916</v>
      </c>
      <c r="BW61" s="992">
        <f t="shared" si="183"/>
        <v>0.31872458516118418</v>
      </c>
      <c r="BX61" s="991">
        <f t="shared" si="183"/>
        <v>0.24063422709742954</v>
      </c>
      <c r="BY61" s="991">
        <f t="shared" si="183"/>
        <v>0.16273397511053567</v>
      </c>
      <c r="BZ61" s="991">
        <f t="shared" si="183"/>
        <v>0.12225734163749702</v>
      </c>
      <c r="CA61" s="992">
        <f t="shared" si="183"/>
        <v>0.17012405044876888</v>
      </c>
      <c r="CB61" s="991">
        <f t="shared" si="183"/>
        <v>0.11550309119523661</v>
      </c>
      <c r="CC61" s="991">
        <f t="shared" si="183"/>
        <v>0.18817741304457325</v>
      </c>
      <c r="CD61" s="991">
        <f t="shared" si="183"/>
        <v>0.1683189911567593</v>
      </c>
      <c r="CE61" s="992">
        <f t="shared" si="183"/>
        <v>0.10264265948822837</v>
      </c>
      <c r="CF61" s="991">
        <f t="shared" si="183"/>
        <v>2.9758217066500281E-2</v>
      </c>
      <c r="CG61" s="991">
        <f t="shared" si="183"/>
        <v>3.9752619354583518E-2</v>
      </c>
      <c r="CH61" s="991">
        <f t="shared" si="183"/>
        <v>-3.097954096559874E-2</v>
      </c>
      <c r="CI61" s="992">
        <f t="shared" si="183"/>
        <v>0.17488286775793171</v>
      </c>
      <c r="CJ61" s="991">
        <f t="shared" si="183"/>
        <v>0.33638089678241601</v>
      </c>
      <c r="CK61" s="991">
        <f t="shared" si="183"/>
        <v>0.31287536938926197</v>
      </c>
      <c r="CL61" s="991">
        <f t="shared" si="183"/>
        <v>0.41440852352820456</v>
      </c>
      <c r="CM61" s="992">
        <f t="shared" si="183"/>
        <v>0.39675551233672635</v>
      </c>
      <c r="CN61" s="991">
        <f t="shared" si="183"/>
        <v>0.49046074727620059</v>
      </c>
      <c r="CO61" s="991">
        <f t="shared" si="183"/>
        <v>0.45688854820367752</v>
      </c>
      <c r="CP61" s="991">
        <f t="shared" si="183"/>
        <v>0.54802464290358865</v>
      </c>
      <c r="CQ61" s="992">
        <f t="shared" si="183"/>
        <v>0.35963130767076668</v>
      </c>
      <c r="CR61" s="991">
        <f>CN58+CR58</f>
        <v>0.21858587581523453</v>
      </c>
      <c r="CS61" s="991">
        <f t="shared" si="183"/>
        <v>0.20713967986630666</v>
      </c>
      <c r="CT61" s="991">
        <f t="shared" si="183"/>
        <v>0.23485171669761393</v>
      </c>
      <c r="CU61" s="992">
        <f t="shared" si="183"/>
        <v>0.31678060142453535</v>
      </c>
      <c r="CV61" s="416"/>
      <c r="CW61" s="991"/>
      <c r="CX61" s="991"/>
      <c r="CY61" s="991"/>
      <c r="CZ61" s="991"/>
      <c r="DA61" s="991"/>
      <c r="DB61" s="991"/>
      <c r="DC61" s="991"/>
      <c r="DD61" s="991"/>
      <c r="DE61" s="991"/>
      <c r="DF61" s="991"/>
      <c r="DG61" s="991">
        <f t="shared" ref="DG61:DZ61" si="184">DF58+DG58</f>
        <v>0.20077927808625451</v>
      </c>
      <c r="DH61" s="991">
        <f t="shared" si="184"/>
        <v>0.17493762766037224</v>
      </c>
      <c r="DI61" s="991">
        <f t="shared" si="184"/>
        <v>7.632299654855712E-2</v>
      </c>
      <c r="DJ61" s="991">
        <f t="shared" si="184"/>
        <v>8.6211707165679941E-2</v>
      </c>
      <c r="DK61" s="991">
        <f t="shared" si="184"/>
        <v>-1.3811439734857989E-2</v>
      </c>
      <c r="DL61" s="991">
        <f t="shared" si="184"/>
        <v>-0.34121561796698063</v>
      </c>
      <c r="DM61" s="991">
        <f t="shared" si="184"/>
        <v>0.24023208189113188</v>
      </c>
      <c r="DN61" s="991">
        <f t="shared" si="184"/>
        <v>0.76721245783145786</v>
      </c>
      <c r="DO61" s="991">
        <f t="shared" si="184"/>
        <v>0.39635408639326308</v>
      </c>
      <c r="DP61" s="991">
        <f t="shared" si="184"/>
        <v>0.1670556667324028</v>
      </c>
      <c r="DQ61" s="991">
        <f t="shared" si="184"/>
        <v>0.13987456687303279</v>
      </c>
      <c r="DR61" s="991">
        <f t="shared" si="184"/>
        <v>4.7189425026415655E-2</v>
      </c>
      <c r="DS61" s="991">
        <f t="shared" si="184"/>
        <v>0.34983399632312395</v>
      </c>
      <c r="DT61" s="991">
        <f t="shared" si="184"/>
        <v>0.45388103502602695</v>
      </c>
      <c r="DU61" s="991">
        <f t="shared" si="184"/>
        <v>0.24399764441166094</v>
      </c>
      <c r="DV61" s="991">
        <f t="shared" si="184"/>
        <v>0.2358786760650306</v>
      </c>
      <c r="DW61" s="991">
        <f t="shared" si="184"/>
        <v>0.12674272499824304</v>
      </c>
      <c r="DX61" s="991">
        <f t="shared" si="184"/>
        <v>0.11216959857106373</v>
      </c>
      <c r="DY61" s="991">
        <f t="shared" si="184"/>
        <v>9.2824598687148707E-2</v>
      </c>
      <c r="DZ61" s="991">
        <f t="shared" si="184"/>
        <v>6.5158635840037976E-2</v>
      </c>
    </row>
    <row r="62" spans="2:130" ht="15" collapsed="1">
      <c r="B62" s="937" t="s">
        <v>301</v>
      </c>
      <c r="C62" s="658"/>
      <c r="D62" s="1003"/>
      <c r="E62" s="1004"/>
      <c r="F62" s="1004"/>
      <c r="G62" s="1005"/>
      <c r="H62" s="1004"/>
      <c r="I62" s="1004"/>
      <c r="J62" s="1004"/>
      <c r="K62" s="1005"/>
      <c r="L62" s="1004"/>
      <c r="M62" s="1004"/>
      <c r="N62" s="1004"/>
      <c r="O62" s="1005"/>
      <c r="P62" s="1004"/>
      <c r="Q62" s="1004"/>
      <c r="R62" s="1004"/>
      <c r="S62" s="1005"/>
      <c r="T62" s="1004"/>
      <c r="U62" s="1004"/>
      <c r="V62" s="1004"/>
      <c r="W62" s="1005"/>
      <c r="X62" s="1004"/>
      <c r="Y62" s="1004"/>
      <c r="Z62" s="1004"/>
      <c r="AA62" s="1005"/>
      <c r="AB62" s="1004"/>
      <c r="AC62" s="1004"/>
      <c r="AD62" s="1004"/>
      <c r="AE62" s="1005"/>
      <c r="AF62" s="1006">
        <v>-9.1</v>
      </c>
      <c r="AG62" s="1006">
        <v>-10.1</v>
      </c>
      <c r="AH62" s="1006">
        <v>-10.1</v>
      </c>
      <c r="AI62" s="1007">
        <v>-9.9</v>
      </c>
      <c r="AJ62" s="1006">
        <v>-11.8</v>
      </c>
      <c r="AK62" s="1006">
        <v>-11.4</v>
      </c>
      <c r="AL62" s="1006">
        <v>-10.5</v>
      </c>
      <c r="AM62" s="1007">
        <v>-12.3</v>
      </c>
      <c r="AN62" s="1006">
        <v>-13.6</v>
      </c>
      <c r="AO62" s="1006">
        <v>-13.8</v>
      </c>
      <c r="AP62" s="1006">
        <v>-11.6</v>
      </c>
      <c r="AQ62" s="1007">
        <v>-11.3</v>
      </c>
      <c r="AR62" s="1006">
        <v>-9.1</v>
      </c>
      <c r="AS62" s="1006">
        <v>-9.6</v>
      </c>
      <c r="AT62" s="1006">
        <v>-7.9</v>
      </c>
      <c r="AU62" s="1007">
        <v>-7.9</v>
      </c>
      <c r="AV62" s="1006">
        <v>-7.7</v>
      </c>
      <c r="AW62" s="1006">
        <v>-9.6</v>
      </c>
      <c r="AX62" s="1006">
        <v>-6.7</v>
      </c>
      <c r="AY62" s="1007">
        <v>-6.9</v>
      </c>
      <c r="AZ62" s="1006">
        <v>-8.3000000000000007</v>
      </c>
      <c r="BA62" s="1006">
        <v>-8.8000000000000007</v>
      </c>
      <c r="BB62" s="1006">
        <v>-7.5</v>
      </c>
      <c r="BC62" s="1007">
        <v>-6.9</v>
      </c>
      <c r="BD62" s="1006">
        <v>-9</v>
      </c>
      <c r="BE62" s="1006">
        <v>-6.8</v>
      </c>
      <c r="BF62" s="1006">
        <v>-4.4000000000000004</v>
      </c>
      <c r="BG62" s="1007">
        <v>-3.8</v>
      </c>
      <c r="BH62" s="1006">
        <f>819.5-822.7</f>
        <v>-3.2000000000000455</v>
      </c>
      <c r="BI62" s="1006">
        <f>916.2-919.2</f>
        <v>-3</v>
      </c>
      <c r="BJ62" s="1006">
        <v>-4.3</v>
      </c>
      <c r="BK62" s="1007">
        <v>-4.4000000000000004</v>
      </c>
      <c r="BL62" s="1006">
        <v>-5</v>
      </c>
      <c r="BM62" s="1006">
        <v>-4.5999999999999996</v>
      </c>
      <c r="BN62" s="1006">
        <f>1410.9-1415.9</f>
        <v>-5</v>
      </c>
      <c r="BO62" s="1007">
        <v>-4.8</v>
      </c>
      <c r="BP62" s="1006">
        <v>-5.4</v>
      </c>
      <c r="BQ62" s="1006">
        <f>1818.8-1823.6</f>
        <v>-4.7999999999999545</v>
      </c>
      <c r="BR62" s="1006">
        <f>1791.8-1796.9</f>
        <v>-5.1000000000001364</v>
      </c>
      <c r="BS62" s="1007">
        <v>-5.0999999999999996</v>
      </c>
      <c r="BT62" s="1006">
        <v>-7.1</v>
      </c>
      <c r="BU62" s="1006">
        <v>-7.1</v>
      </c>
      <c r="BV62" s="1006">
        <v>-7.2</v>
      </c>
      <c r="BW62" s="1007">
        <v>-7.1</v>
      </c>
      <c r="BX62" s="1006">
        <v>-7.8</v>
      </c>
      <c r="BY62" s="1006">
        <v>-7.9</v>
      </c>
      <c r="BZ62" s="1006">
        <v>-8.1</v>
      </c>
      <c r="CA62" s="1007">
        <v>-8.1999999999999993</v>
      </c>
      <c r="CB62" s="1006">
        <v>-8.6999999999999993</v>
      </c>
      <c r="CC62" s="1006">
        <v>-9.1999999999999993</v>
      </c>
      <c r="CD62" s="1006">
        <v>-7.3</v>
      </c>
      <c r="CE62" s="1007">
        <v>-7</v>
      </c>
      <c r="CF62" s="1006">
        <v>-7.9</v>
      </c>
      <c r="CG62" s="1006">
        <v>-8</v>
      </c>
      <c r="CH62" s="1006">
        <f>-8.6</f>
        <v>-8.6</v>
      </c>
      <c r="CI62" s="1007">
        <v>-9</v>
      </c>
      <c r="CJ62" s="1006">
        <v>-9.8000000000000007</v>
      </c>
      <c r="CK62" s="1006">
        <v>-10.4</v>
      </c>
      <c r="CL62" s="1006">
        <v>-11</v>
      </c>
      <c r="CM62" s="1007">
        <v>-11.6</v>
      </c>
      <c r="CN62" s="1006">
        <v>-13.3</v>
      </c>
      <c r="CO62" s="1006">
        <v>-13.1</v>
      </c>
      <c r="CP62" s="1006">
        <v>-12</v>
      </c>
      <c r="CQ62" s="1007">
        <v>-14.1</v>
      </c>
      <c r="CR62" s="937">
        <f>+CR63*-(CR44+CR53)</f>
        <v>-14.539051647967025</v>
      </c>
      <c r="CS62" s="937">
        <f>+CS63*-(CS44+CS53)</f>
        <v>-14.872150763194306</v>
      </c>
      <c r="CT62" s="937">
        <f>+CT63*-(CT44+CT53)</f>
        <v>-14.305198882295597</v>
      </c>
      <c r="CU62" s="926">
        <f>+CU63*-(CU44+CU53)</f>
        <v>-15.271702461314476</v>
      </c>
      <c r="CV62" s="406"/>
      <c r="CW62" s="1004"/>
      <c r="CX62" s="1008"/>
      <c r="CY62" s="1008"/>
      <c r="CZ62" s="1008"/>
      <c r="DA62" s="1008"/>
      <c r="DB62" s="1008"/>
      <c r="DC62" s="1008"/>
      <c r="DD62" s="1008"/>
      <c r="DE62" s="1008">
        <f>SUM(AF62:AI62)</f>
        <v>-39.199999999999996</v>
      </c>
      <c r="DF62" s="1008">
        <f>SUM(AJ62:AM62)</f>
        <v>-46</v>
      </c>
      <c r="DG62" s="1008">
        <f>SUM(AN62:AQ62)</f>
        <v>-50.3</v>
      </c>
      <c r="DH62" s="1008">
        <f>SUM(AR62:AU62)</f>
        <v>-34.5</v>
      </c>
      <c r="DI62" s="1008">
        <f>SUM(AV62:AY62)</f>
        <v>-30.9</v>
      </c>
      <c r="DJ62" s="1008">
        <f>SUM(AZ62:BC62)</f>
        <v>-31.5</v>
      </c>
      <c r="DK62" s="1008">
        <f>SUM(BD62:BG62)</f>
        <v>-24.000000000000004</v>
      </c>
      <c r="DL62" s="1008">
        <f>SUM(BH62:BK62)</f>
        <v>-14.900000000000047</v>
      </c>
      <c r="DM62" s="1008">
        <f>SUM(BL62:BO62)</f>
        <v>-19.399999999999999</v>
      </c>
      <c r="DN62" s="1008">
        <f>SUM(BP62:BS62)</f>
        <v>-20.400000000000091</v>
      </c>
      <c r="DO62" s="1008">
        <f>SUM(BT62:BW62)</f>
        <v>-28.5</v>
      </c>
      <c r="DP62" s="1008">
        <f>SUM(BX62:CA62)</f>
        <v>-31.999999999999996</v>
      </c>
      <c r="DQ62" s="1008">
        <f>SUM(CB62:CE62)</f>
        <v>-32.200000000000003</v>
      </c>
      <c r="DR62" s="1008">
        <f>SUM(CF62:CI62)</f>
        <v>-33.5</v>
      </c>
      <c r="DS62" s="1008">
        <f>SUM(CJ62:CM62)</f>
        <v>-42.800000000000004</v>
      </c>
      <c r="DT62" s="665">
        <f>SUM(CN62:CQ62)</f>
        <v>-52.5</v>
      </c>
      <c r="DU62" s="665">
        <f>SUM(CR62:CU62)</f>
        <v>-58.988103754771402</v>
      </c>
      <c r="DV62" s="665">
        <f>+DV63*-(DV44+DV53)</f>
        <v>-62.272620154711092</v>
      </c>
      <c r="DW62" s="665">
        <f>+DW63*-(DW44+DW53)</f>
        <v>-65.226515231153471</v>
      </c>
      <c r="DX62" s="665">
        <f>+DX63*-(DX44+DX53)</f>
        <v>-67.919836083631154</v>
      </c>
      <c r="DY62" s="665">
        <f>+DY63*-(DY44+DY53)</f>
        <v>-69.8403184050363</v>
      </c>
      <c r="DZ62" s="665">
        <f>+DZ63*-(DZ44+DZ53)</f>
        <v>-70.805092776718126</v>
      </c>
    </row>
    <row r="63" spans="2:130" ht="15">
      <c r="B63" s="1014" t="s">
        <v>300</v>
      </c>
      <c r="C63" s="902"/>
      <c r="D63" s="1015"/>
      <c r="E63" s="1016"/>
      <c r="F63" s="1016"/>
      <c r="G63" s="1017"/>
      <c r="H63" s="1016"/>
      <c r="I63" s="1016"/>
      <c r="J63" s="1016"/>
      <c r="K63" s="1017"/>
      <c r="L63" s="1016"/>
      <c r="M63" s="1016"/>
      <c r="N63" s="1016"/>
      <c r="O63" s="1017"/>
      <c r="P63" s="1016"/>
      <c r="Q63" s="1016"/>
      <c r="R63" s="1016"/>
      <c r="S63" s="1017"/>
      <c r="T63" s="1016"/>
      <c r="U63" s="1016"/>
      <c r="V63" s="1016"/>
      <c r="W63" s="1017"/>
      <c r="X63" s="1016"/>
      <c r="Y63" s="1016"/>
      <c r="Z63" s="1016"/>
      <c r="AA63" s="1017"/>
      <c r="AB63" s="1016"/>
      <c r="AC63" s="1016"/>
      <c r="AD63" s="1016"/>
      <c r="AE63" s="1017"/>
      <c r="AF63" s="1016">
        <f t="shared" ref="AF63:BK63" si="185">-AF62/(AF44+AF53)</f>
        <v>1.4152410575427682E-2</v>
      </c>
      <c r="AG63" s="1016">
        <f t="shared" si="185"/>
        <v>1.3979238754325258E-2</v>
      </c>
      <c r="AH63" s="1016">
        <f t="shared" si="185"/>
        <v>1.4551217403832299E-2</v>
      </c>
      <c r="AI63" s="1017">
        <f t="shared" si="185"/>
        <v>1.3929928239763613E-2</v>
      </c>
      <c r="AJ63" s="1016">
        <f t="shared" si="185"/>
        <v>1.4984126984126985E-2</v>
      </c>
      <c r="AK63" s="1016">
        <f t="shared" si="185"/>
        <v>1.4598540145985401E-2</v>
      </c>
      <c r="AL63" s="1016">
        <f t="shared" si="185"/>
        <v>1.4272121788772596E-2</v>
      </c>
      <c r="AM63" s="1017">
        <f t="shared" si="185"/>
        <v>1.5164591295771178E-2</v>
      </c>
      <c r="AN63" s="1016">
        <f t="shared" si="185"/>
        <v>1.4835824151849022E-2</v>
      </c>
      <c r="AO63" s="1016">
        <f t="shared" si="185"/>
        <v>1.5214994487320839E-2</v>
      </c>
      <c r="AP63" s="1016">
        <f t="shared" si="185"/>
        <v>1.3624618275781064E-2</v>
      </c>
      <c r="AQ63" s="1017">
        <f t="shared" si="185"/>
        <v>1.254858411993337E-2</v>
      </c>
      <c r="AR63" s="1016">
        <f t="shared" si="185"/>
        <v>8.3287570931722503E-3</v>
      </c>
      <c r="AS63" s="1016">
        <f t="shared" si="185"/>
        <v>8.5637823371989292E-3</v>
      </c>
      <c r="AT63" s="1016">
        <f t="shared" si="185"/>
        <v>7.4612769172648285E-3</v>
      </c>
      <c r="AU63" s="1017">
        <f t="shared" si="185"/>
        <v>7.4817691069230035E-3</v>
      </c>
      <c r="AV63" s="1016">
        <f t="shared" si="185"/>
        <v>6.6213775905064921E-3</v>
      </c>
      <c r="AW63" s="1016">
        <f t="shared" si="185"/>
        <v>8.147330900449801E-3</v>
      </c>
      <c r="AX63" s="1016">
        <f t="shared" si="185"/>
        <v>6.2822315986872952E-3</v>
      </c>
      <c r="AY63" s="1017">
        <f t="shared" si="185"/>
        <v>5.7090848916101283E-3</v>
      </c>
      <c r="AZ63" s="1016">
        <f t="shared" si="185"/>
        <v>6.453619469714642E-3</v>
      </c>
      <c r="BA63" s="1016">
        <f t="shared" si="185"/>
        <v>6.4088558735707528E-3</v>
      </c>
      <c r="BB63" s="1016">
        <f t="shared" si="185"/>
        <v>5.6770872757550533E-3</v>
      </c>
      <c r="BC63" s="1017">
        <f t="shared" si="185"/>
        <v>5.0007247427163361E-3</v>
      </c>
      <c r="BD63" s="1016">
        <f t="shared" si="185"/>
        <v>5.9685655547450098E-3</v>
      </c>
      <c r="BE63" s="1016">
        <f t="shared" si="185"/>
        <v>4.4636996192726789E-3</v>
      </c>
      <c r="BF63" s="1016">
        <f t="shared" si="185"/>
        <v>3.3300537349579963E-3</v>
      </c>
      <c r="BG63" s="1017">
        <f t="shared" si="185"/>
        <v>4.0628675291350365E-3</v>
      </c>
      <c r="BH63" s="1016">
        <f t="shared" si="185"/>
        <v>3.8896317004984142E-3</v>
      </c>
      <c r="BI63" s="1016">
        <f t="shared" si="185"/>
        <v>3.2637075718015664E-3</v>
      </c>
      <c r="BJ63" s="1016">
        <f t="shared" si="185"/>
        <v>4.1662629590155991E-3</v>
      </c>
      <c r="BK63" s="1017">
        <f t="shared" si="185"/>
        <v>3.6584351874948033E-3</v>
      </c>
      <c r="BL63" s="1016">
        <f t="shared" ref="BL63:CP63" si="186">-BL62/(BL44+BL53)</f>
        <v>3.8705681994116738E-3</v>
      </c>
      <c r="BM63" s="1016">
        <f t="shared" si="186"/>
        <v>3.2251279534459788E-3</v>
      </c>
      <c r="BN63" s="1016">
        <f t="shared" si="186"/>
        <v>3.5313228335334414E-3</v>
      </c>
      <c r="BO63" s="1017">
        <f t="shared" si="186"/>
        <v>3.1205304901833308E-3</v>
      </c>
      <c r="BP63" s="1016">
        <f t="shared" si="186"/>
        <v>3.1109574835810577E-3</v>
      </c>
      <c r="BQ63" s="1016">
        <f t="shared" si="186"/>
        <v>2.6321561745996677E-3</v>
      </c>
      <c r="BR63" s="1016">
        <f t="shared" si="186"/>
        <v>2.8382213812678148E-3</v>
      </c>
      <c r="BS63" s="1017">
        <f t="shared" si="186"/>
        <v>2.8671014166854057E-3</v>
      </c>
      <c r="BT63" s="1016">
        <f t="shared" si="186"/>
        <v>3.6986872265055218E-3</v>
      </c>
      <c r="BU63" s="1016">
        <f t="shared" si="186"/>
        <v>3.8100348806010195E-3</v>
      </c>
      <c r="BV63" s="1016">
        <f t="shared" si="186"/>
        <v>4.2293233082706765E-3</v>
      </c>
      <c r="BW63" s="1017">
        <f t="shared" si="186"/>
        <v>4.1130807554165217E-3</v>
      </c>
      <c r="BX63" s="1016">
        <f t="shared" si="186"/>
        <v>4.1960299101619237E-3</v>
      </c>
      <c r="BY63" s="1016">
        <f t="shared" si="186"/>
        <v>4.1539594068776952E-3</v>
      </c>
      <c r="BZ63" s="1016">
        <f t="shared" si="186"/>
        <v>4.4645317753403517E-3</v>
      </c>
      <c r="CA63" s="1017">
        <f t="shared" si="186"/>
        <v>4.3303760033798055E-3</v>
      </c>
      <c r="CB63" s="1016">
        <f t="shared" si="186"/>
        <v>4.1571100917431186E-3</v>
      </c>
      <c r="CC63" s="1016">
        <f t="shared" si="186"/>
        <v>4.1700661771371592E-3</v>
      </c>
      <c r="CD63" s="1016">
        <f t="shared" si="186"/>
        <v>3.5794841620084335E-3</v>
      </c>
      <c r="CE63" s="1017">
        <f t="shared" si="186"/>
        <v>3.5019260593326328E-3</v>
      </c>
      <c r="CF63" s="1016">
        <f t="shared" si="186"/>
        <v>3.9656643742783998E-3</v>
      </c>
      <c r="CG63" s="1016">
        <f t="shared" si="186"/>
        <v>3.9217608706309127E-3</v>
      </c>
      <c r="CH63" s="1016">
        <f t="shared" si="186"/>
        <v>4.5440135263658454E-3</v>
      </c>
      <c r="CI63" s="1017">
        <f t="shared" si="186"/>
        <v>4.2211903756859438E-3</v>
      </c>
      <c r="CJ63" s="1016">
        <f t="shared" si="186"/>
        <v>4.3012640449438203E-3</v>
      </c>
      <c r="CK63" s="1016">
        <f t="shared" si="186"/>
        <v>4.4452043084287915E-3</v>
      </c>
      <c r="CL63" s="1016">
        <f t="shared" si="186"/>
        <v>4.9433758763257236E-3</v>
      </c>
      <c r="CM63" s="1017">
        <f t="shared" si="186"/>
        <v>5.1087818197833165E-3</v>
      </c>
      <c r="CN63" s="1016">
        <f t="shared" si="186"/>
        <v>5.4951865471222572E-3</v>
      </c>
      <c r="CO63" s="1016">
        <f t="shared" si="186"/>
        <v>5.4519726985183944E-3</v>
      </c>
      <c r="CP63" s="1016">
        <f t="shared" si="186"/>
        <v>4.9419322955275517E-3</v>
      </c>
      <c r="CQ63" s="1032">
        <f t="shared" ref="CQ63" si="187">-CQ62/(CQ44+CQ53)</f>
        <v>5.4220342241876563E-3</v>
      </c>
      <c r="CR63" s="1011">
        <f>CQ63</f>
        <v>5.4220342241876563E-3</v>
      </c>
      <c r="CS63" s="1011">
        <f>CR63</f>
        <v>5.4220342241876563E-3</v>
      </c>
      <c r="CT63" s="1011">
        <f>CS63</f>
        <v>5.4220342241876563E-3</v>
      </c>
      <c r="CU63" s="1012">
        <f>CT63</f>
        <v>5.4220342241876563E-3</v>
      </c>
      <c r="CV63" s="416"/>
      <c r="CW63" s="1016"/>
      <c r="CX63" s="1016"/>
      <c r="CY63" s="1016"/>
      <c r="CZ63" s="1016"/>
      <c r="DA63" s="1016"/>
      <c r="DB63" s="1016"/>
      <c r="DC63" s="1016"/>
      <c r="DD63" s="1016"/>
      <c r="DE63" s="1016">
        <f t="shared" ref="DE63:DN63" si="188">-DE62/(DE44+DE53)</f>
        <v>1.4150092047792658E-2</v>
      </c>
      <c r="DF63" s="1016">
        <f t="shared" si="188"/>
        <v>1.4766307139188493E-2</v>
      </c>
      <c r="DG63" s="1016">
        <f t="shared" si="188"/>
        <v>1.406756907931536E-2</v>
      </c>
      <c r="DH63" s="1016">
        <f t="shared" si="188"/>
        <v>7.9707968486472762E-3</v>
      </c>
      <c r="DI63" s="1016">
        <f t="shared" si="188"/>
        <v>6.6936724216363746E-3</v>
      </c>
      <c r="DJ63" s="1016">
        <f t="shared" si="188"/>
        <v>5.8767560306710693E-3</v>
      </c>
      <c r="DK63" s="1016">
        <f t="shared" si="188"/>
        <v>4.5386637417500339E-3</v>
      </c>
      <c r="DL63" s="1016">
        <f t="shared" si="188"/>
        <v>3.746825257122752E-3</v>
      </c>
      <c r="DM63" s="1016">
        <f t="shared" si="188"/>
        <v>3.4201896971192834E-3</v>
      </c>
      <c r="DN63" s="1016">
        <f t="shared" si="188"/>
        <v>2.8591049880169988E-3</v>
      </c>
      <c r="DO63" s="1016">
        <f t="shared" ref="DO63:DU63" si="189">+-DO62/(DO44+DO53)</f>
        <v>3.951911477182911E-3</v>
      </c>
      <c r="DP63" s="1016">
        <f t="shared" si="189"/>
        <v>4.2846048790938056E-3</v>
      </c>
      <c r="DQ63" s="1016">
        <f t="shared" si="189"/>
        <v>3.8621616110731298E-3</v>
      </c>
      <c r="DR63" s="1016">
        <f t="shared" si="189"/>
        <v>4.1580299626397905E-3</v>
      </c>
      <c r="DS63" s="1016">
        <f t="shared" si="189"/>
        <v>4.6961750312712602E-3</v>
      </c>
      <c r="DT63" s="1016">
        <f t="shared" si="189"/>
        <v>5.3289754156600824E-3</v>
      </c>
      <c r="DU63" s="1016">
        <f t="shared" si="189"/>
        <v>5.4220342241876572E-3</v>
      </c>
      <c r="DV63" s="1018">
        <f>DU63</f>
        <v>5.4220342241876572E-3</v>
      </c>
      <c r="DW63" s="1018">
        <f>DV63</f>
        <v>5.4220342241876572E-3</v>
      </c>
      <c r="DX63" s="1018">
        <f>DW63</f>
        <v>5.4220342241876572E-3</v>
      </c>
      <c r="DY63" s="1018">
        <f>DX63</f>
        <v>5.4220342241876572E-3</v>
      </c>
      <c r="DZ63" s="1018">
        <f>DY63</f>
        <v>5.4220342241876572E-3</v>
      </c>
    </row>
    <row r="64" spans="2:130" ht="15">
      <c r="B64" s="1063" t="s">
        <v>195</v>
      </c>
      <c r="C64" s="1064"/>
      <c r="D64" s="1065"/>
      <c r="E64" s="1063"/>
      <c r="F64" s="1063"/>
      <c r="G64" s="1066"/>
      <c r="H64" s="1063"/>
      <c r="I64" s="1063"/>
      <c r="J64" s="1063"/>
      <c r="K64" s="1066"/>
      <c r="L64" s="1063"/>
      <c r="M64" s="1063"/>
      <c r="N64" s="1063"/>
      <c r="O64" s="1066"/>
      <c r="P64" s="1063"/>
      <c r="Q64" s="1063"/>
      <c r="R64" s="1063"/>
      <c r="S64" s="1066"/>
      <c r="T64" s="1063"/>
      <c r="U64" s="1063"/>
      <c r="V64" s="1063"/>
      <c r="W64" s="1066"/>
      <c r="X64" s="1063"/>
      <c r="Y64" s="1063"/>
      <c r="Z64" s="1063"/>
      <c r="AA64" s="1066"/>
      <c r="AB64" s="1063"/>
      <c r="AC64" s="1063"/>
      <c r="AD64" s="1063"/>
      <c r="AE64" s="1066"/>
      <c r="AF64" s="1063">
        <f t="shared" ref="AF64:BK64" si="190">AF44+AF53+AF62</f>
        <v>633.9</v>
      </c>
      <c r="AG64" s="1063">
        <f t="shared" si="190"/>
        <v>712.4</v>
      </c>
      <c r="AH64" s="1063">
        <f t="shared" si="190"/>
        <v>684</v>
      </c>
      <c r="AI64" s="1066">
        <f t="shared" si="190"/>
        <v>700.80000000000007</v>
      </c>
      <c r="AJ64" s="1063">
        <f t="shared" si="190"/>
        <v>775.7</v>
      </c>
      <c r="AK64" s="1063">
        <f t="shared" si="190"/>
        <v>769.50000000000011</v>
      </c>
      <c r="AL64" s="1063">
        <f t="shared" si="190"/>
        <v>725.2</v>
      </c>
      <c r="AM64" s="1066">
        <f t="shared" si="190"/>
        <v>798.8</v>
      </c>
      <c r="AN64" s="1063">
        <f t="shared" si="190"/>
        <v>903.1</v>
      </c>
      <c r="AO64" s="1063">
        <f t="shared" si="190"/>
        <v>893.2</v>
      </c>
      <c r="AP64" s="1063">
        <f t="shared" si="190"/>
        <v>839.80000000000007</v>
      </c>
      <c r="AQ64" s="1066">
        <f t="shared" si="190"/>
        <v>889.2</v>
      </c>
      <c r="AR64" s="1063">
        <f t="shared" si="190"/>
        <v>1083.5</v>
      </c>
      <c r="AS64" s="1063">
        <f t="shared" si="190"/>
        <v>1111.4000000000001</v>
      </c>
      <c r="AT64" s="1063">
        <f t="shared" si="190"/>
        <v>1050.8999999999999</v>
      </c>
      <c r="AU64" s="1066">
        <f t="shared" si="190"/>
        <v>1048</v>
      </c>
      <c r="AV64" s="1063">
        <f t="shared" si="190"/>
        <v>1155.2</v>
      </c>
      <c r="AW64" s="1063">
        <f t="shared" si="190"/>
        <v>1168.7</v>
      </c>
      <c r="AX64" s="1063">
        <f t="shared" si="190"/>
        <v>1059.8</v>
      </c>
      <c r="AY64" s="1066">
        <f t="shared" si="190"/>
        <v>1201.6999999999998</v>
      </c>
      <c r="AZ64" s="1063">
        <f t="shared" si="190"/>
        <v>1277.8</v>
      </c>
      <c r="BA64" s="1063">
        <f t="shared" si="190"/>
        <v>1364.3</v>
      </c>
      <c r="BB64" s="1063">
        <f t="shared" si="190"/>
        <v>1313.6</v>
      </c>
      <c r="BC64" s="1066">
        <f t="shared" si="190"/>
        <v>1372.8999999999999</v>
      </c>
      <c r="BD64" s="1063">
        <f t="shared" si="190"/>
        <v>1498.8999999999999</v>
      </c>
      <c r="BE64" s="1063">
        <f t="shared" si="190"/>
        <v>1516.6000000000001</v>
      </c>
      <c r="BF64" s="1063">
        <f t="shared" si="190"/>
        <v>1316.8999999999999</v>
      </c>
      <c r="BG64" s="1066">
        <f t="shared" si="190"/>
        <v>931.5</v>
      </c>
      <c r="BH64" s="1063">
        <f t="shared" si="190"/>
        <v>819.5</v>
      </c>
      <c r="BI64" s="1063">
        <f t="shared" si="190"/>
        <v>916.2</v>
      </c>
      <c r="BJ64" s="1063">
        <f t="shared" si="190"/>
        <v>1027.8</v>
      </c>
      <c r="BK64" s="1066">
        <f t="shared" si="190"/>
        <v>1198.3</v>
      </c>
      <c r="BL64" s="1063">
        <f t="shared" ref="BL64:CU64" si="191">BL44+BL53+BL62</f>
        <v>1286.8</v>
      </c>
      <c r="BM64" s="1063">
        <f t="shared" si="191"/>
        <v>1421.7</v>
      </c>
      <c r="BN64" s="1063">
        <f t="shared" si="191"/>
        <v>1410.9</v>
      </c>
      <c r="BO64" s="1066">
        <f t="shared" si="191"/>
        <v>1533.4</v>
      </c>
      <c r="BP64" s="1063">
        <f t="shared" si="191"/>
        <v>1730.4</v>
      </c>
      <c r="BQ64" s="1063">
        <f t="shared" si="191"/>
        <v>1818.8000000000002</v>
      </c>
      <c r="BR64" s="1063">
        <f t="shared" si="191"/>
        <v>1791.8</v>
      </c>
      <c r="BS64" s="1066">
        <f t="shared" si="191"/>
        <v>1773.7</v>
      </c>
      <c r="BT64" s="1063">
        <f t="shared" si="191"/>
        <v>1912.5</v>
      </c>
      <c r="BU64" s="1063">
        <f t="shared" si="191"/>
        <v>1856.4</v>
      </c>
      <c r="BV64" s="1063">
        <f t="shared" si="191"/>
        <v>1695.2</v>
      </c>
      <c r="BW64" s="1066">
        <f t="shared" si="191"/>
        <v>1719.1000000000001</v>
      </c>
      <c r="BX64" s="1063">
        <f t="shared" si="191"/>
        <v>1851.1000000000001</v>
      </c>
      <c r="BY64" s="1063">
        <f t="shared" si="191"/>
        <v>1893.8999999999999</v>
      </c>
      <c r="BZ64" s="1063">
        <f t="shared" si="191"/>
        <v>1806.2</v>
      </c>
      <c r="CA64" s="1066">
        <f t="shared" si="191"/>
        <v>1885.3999999999999</v>
      </c>
      <c r="CB64" s="1063">
        <f t="shared" si="191"/>
        <v>2084.1000000000004</v>
      </c>
      <c r="CC64" s="1063">
        <f t="shared" si="191"/>
        <v>2197</v>
      </c>
      <c r="CD64" s="1063">
        <f t="shared" si="191"/>
        <v>2032.1000000000001</v>
      </c>
      <c r="CE64" s="1066">
        <f t="shared" si="191"/>
        <v>1991.9</v>
      </c>
      <c r="CF64" s="1063">
        <f t="shared" si="191"/>
        <v>1984.2</v>
      </c>
      <c r="CG64" s="1063">
        <f t="shared" si="191"/>
        <v>2031.9</v>
      </c>
      <c r="CH64" s="1063">
        <f t="shared" si="191"/>
        <v>1884.0000000000002</v>
      </c>
      <c r="CI64" s="1066">
        <f t="shared" si="191"/>
        <v>2123.1</v>
      </c>
      <c r="CJ64" s="1063">
        <f t="shared" si="191"/>
        <v>2268.6</v>
      </c>
      <c r="CK64" s="1063">
        <f t="shared" si="191"/>
        <v>2329.1999999999998</v>
      </c>
      <c r="CL64" s="1063">
        <f t="shared" si="191"/>
        <v>2214.1999999999998</v>
      </c>
      <c r="CM64" s="1067">
        <f t="shared" si="191"/>
        <v>2259.0000000000005</v>
      </c>
      <c r="CN64" s="1068">
        <f t="shared" si="191"/>
        <v>2407</v>
      </c>
      <c r="CO64" s="1068">
        <f t="shared" si="191"/>
        <v>2389.7000000000003</v>
      </c>
      <c r="CP64" s="1063">
        <f t="shared" si="191"/>
        <v>2416.1999999999998</v>
      </c>
      <c r="CQ64" s="1066">
        <f t="shared" ref="CQ64" si="192">CQ44+CQ53+CQ62</f>
        <v>2586.4</v>
      </c>
      <c r="CR64" s="1068">
        <f t="shared" si="191"/>
        <v>2666.9363959079369</v>
      </c>
      <c r="CS64" s="1068">
        <f t="shared" si="191"/>
        <v>2728.0376407039539</v>
      </c>
      <c r="CT64" s="1068">
        <f t="shared" si="191"/>
        <v>2624.0401694446336</v>
      </c>
      <c r="CU64" s="1067">
        <f t="shared" si="191"/>
        <v>2801.3284571591321</v>
      </c>
      <c r="CV64" s="416"/>
      <c r="CW64" s="1069"/>
      <c r="CX64" s="1063"/>
      <c r="CY64" s="1063"/>
      <c r="CZ64" s="1063"/>
      <c r="DA64" s="1063"/>
      <c r="DB64" s="1063"/>
      <c r="DC64" s="1063"/>
      <c r="DD64" s="1063"/>
      <c r="DE64" s="1063">
        <f t="shared" ref="DE64:DZ64" si="193">DE44+DE53+DE62</f>
        <v>2731.1</v>
      </c>
      <c r="DF64" s="1063">
        <f t="shared" si="193"/>
        <v>3069.2000000000003</v>
      </c>
      <c r="DG64" s="1063">
        <f t="shared" si="193"/>
        <v>3525.2999999999997</v>
      </c>
      <c r="DH64" s="1063">
        <f t="shared" si="193"/>
        <v>4293.7999999999993</v>
      </c>
      <c r="DI64" s="1063">
        <f t="shared" si="193"/>
        <v>4585.4000000000005</v>
      </c>
      <c r="DJ64" s="1063">
        <f t="shared" si="193"/>
        <v>5328.6</v>
      </c>
      <c r="DK64" s="1063">
        <f t="shared" si="193"/>
        <v>5263.9</v>
      </c>
      <c r="DL64" s="1063">
        <f t="shared" si="193"/>
        <v>3961.7999999999997</v>
      </c>
      <c r="DM64" s="1063">
        <f t="shared" si="193"/>
        <v>5652.8</v>
      </c>
      <c r="DN64" s="1063">
        <f t="shared" si="193"/>
        <v>7114.7000000000007</v>
      </c>
      <c r="DO64" s="1063">
        <f t="shared" si="193"/>
        <v>7183.2</v>
      </c>
      <c r="DP64" s="1063">
        <f t="shared" si="193"/>
        <v>7436.6</v>
      </c>
      <c r="DQ64" s="1063">
        <f t="shared" si="193"/>
        <v>8305.0999999999985</v>
      </c>
      <c r="DR64" s="1063">
        <f t="shared" si="193"/>
        <v>8023.2</v>
      </c>
      <c r="DS64" s="1063">
        <f t="shared" si="193"/>
        <v>9071</v>
      </c>
      <c r="DT64" s="1063">
        <f>DT44+DT53+DT62</f>
        <v>9799.2999999999993</v>
      </c>
      <c r="DU64" s="1063">
        <f>DU44+DU53+DU62</f>
        <v>10820.342663215655</v>
      </c>
      <c r="DV64" s="1063">
        <f t="shared" si="193"/>
        <v>11422.830125400336</v>
      </c>
      <c r="DW64" s="1063">
        <f t="shared" si="193"/>
        <v>11964.670850628036</v>
      </c>
      <c r="DX64" s="1063">
        <f t="shared" si="193"/>
        <v>12458.71376217756</v>
      </c>
      <c r="DY64" s="1063">
        <f t="shared" si="193"/>
        <v>12810.992873956444</v>
      </c>
      <c r="DZ64" s="1063">
        <f t="shared" si="193"/>
        <v>12987.963968631469</v>
      </c>
    </row>
    <row r="65" spans="2:133" ht="15">
      <c r="B65" s="989" t="s">
        <v>293</v>
      </c>
      <c r="C65" s="898"/>
      <c r="D65" s="1019"/>
      <c r="E65" s="1020"/>
      <c r="F65" s="1020"/>
      <c r="G65" s="1021"/>
      <c r="H65" s="1020"/>
      <c r="I65" s="1020"/>
      <c r="J65" s="1020"/>
      <c r="K65" s="1021"/>
      <c r="L65" s="1020"/>
      <c r="M65" s="1020"/>
      <c r="N65" s="1020"/>
      <c r="O65" s="1021"/>
      <c r="P65" s="1020"/>
      <c r="Q65" s="1020"/>
      <c r="R65" s="1020"/>
      <c r="S65" s="1021"/>
      <c r="T65" s="1020"/>
      <c r="U65" s="1020"/>
      <c r="V65" s="1020"/>
      <c r="W65" s="1021"/>
      <c r="X65" s="1020"/>
      <c r="Y65" s="1020"/>
      <c r="Z65" s="1020"/>
      <c r="AA65" s="1021"/>
      <c r="AB65" s="1020"/>
      <c r="AC65" s="1020"/>
      <c r="AD65" s="1020"/>
      <c r="AE65" s="1021"/>
      <c r="AF65" s="1020"/>
      <c r="AG65" s="1020"/>
      <c r="AH65" s="1020"/>
      <c r="AI65" s="1021"/>
      <c r="AJ65" s="1022">
        <f t="shared" ref="AJ65:BO65" si="194">AJ64/AF64-1</f>
        <v>0.22369458905190109</v>
      </c>
      <c r="AK65" s="1022">
        <f t="shared" si="194"/>
        <v>8.0151600224593222E-2</v>
      </c>
      <c r="AL65" s="1022">
        <f t="shared" si="194"/>
        <v>6.0233918128655084E-2</v>
      </c>
      <c r="AM65" s="1023">
        <f t="shared" si="194"/>
        <v>0.1398401826484017</v>
      </c>
      <c r="AN65" s="1022">
        <f t="shared" si="194"/>
        <v>0.16423875209488203</v>
      </c>
      <c r="AO65" s="1022">
        <f t="shared" si="194"/>
        <v>0.16075373619233257</v>
      </c>
      <c r="AP65" s="1022">
        <f t="shared" si="194"/>
        <v>0.15802537231108671</v>
      </c>
      <c r="AQ65" s="1023">
        <f t="shared" si="194"/>
        <v>0.11316975463194812</v>
      </c>
      <c r="AR65" s="1022">
        <f t="shared" si="194"/>
        <v>0.19975639464068196</v>
      </c>
      <c r="AS65" s="1022">
        <f t="shared" si="194"/>
        <v>0.24429019256605478</v>
      </c>
      <c r="AT65" s="1022">
        <f t="shared" si="194"/>
        <v>0.25136937366039502</v>
      </c>
      <c r="AU65" s="1023">
        <f t="shared" si="194"/>
        <v>0.17858749437696808</v>
      </c>
      <c r="AV65" s="1022">
        <f t="shared" si="194"/>
        <v>6.6174434702353624E-2</v>
      </c>
      <c r="AW65" s="1022">
        <f t="shared" si="194"/>
        <v>5.1556595285225715E-2</v>
      </c>
      <c r="AX65" s="1022">
        <f t="shared" si="194"/>
        <v>8.4689313921402221E-3</v>
      </c>
      <c r="AY65" s="1023">
        <f t="shared" si="194"/>
        <v>0.14666030534351138</v>
      </c>
      <c r="AZ65" s="1022">
        <f t="shared" si="194"/>
        <v>0.10612880886426579</v>
      </c>
      <c r="BA65" s="1022">
        <f t="shared" si="194"/>
        <v>0.16736544878925286</v>
      </c>
      <c r="BB65" s="1022">
        <f t="shared" si="194"/>
        <v>0.23947914700886952</v>
      </c>
      <c r="BC65" s="1023">
        <f t="shared" si="194"/>
        <v>0.14246484147457772</v>
      </c>
      <c r="BD65" s="1022">
        <f t="shared" si="194"/>
        <v>0.17303177336046316</v>
      </c>
      <c r="BE65" s="1022">
        <f t="shared" si="194"/>
        <v>0.11163233892838842</v>
      </c>
      <c r="BF65" s="1022">
        <f t="shared" si="194"/>
        <v>2.5121802679659577E-3</v>
      </c>
      <c r="BG65" s="1023">
        <f t="shared" si="194"/>
        <v>-0.32150921407240141</v>
      </c>
      <c r="BH65" s="1022">
        <f t="shared" si="194"/>
        <v>-0.45326572820068045</v>
      </c>
      <c r="BI65" s="1022">
        <f t="shared" si="194"/>
        <v>-0.39588553343004096</v>
      </c>
      <c r="BJ65" s="1022">
        <f t="shared" si="194"/>
        <v>-0.21953071607563213</v>
      </c>
      <c r="BK65" s="1023">
        <f t="shared" si="194"/>
        <v>0.28641975308641965</v>
      </c>
      <c r="BL65" s="1022">
        <f t="shared" si="194"/>
        <v>0.57022574740695542</v>
      </c>
      <c r="BM65" s="1022">
        <f t="shared" si="194"/>
        <v>0.55173542894564509</v>
      </c>
      <c r="BN65" s="1022">
        <f t="shared" si="194"/>
        <v>0.37273788674839481</v>
      </c>
      <c r="BO65" s="1023">
        <f t="shared" si="194"/>
        <v>0.27964616540098475</v>
      </c>
      <c r="BP65" s="1022">
        <f t="shared" ref="BP65:CU65" si="195">BP64/BL64-1</f>
        <v>0.34473111594653405</v>
      </c>
      <c r="BQ65" s="1022">
        <f t="shared" si="195"/>
        <v>0.27931349792501936</v>
      </c>
      <c r="BR65" s="1022">
        <f t="shared" si="195"/>
        <v>0.26996952299950383</v>
      </c>
      <c r="BS65" s="1023">
        <f t="shared" si="195"/>
        <v>0.1567105778009652</v>
      </c>
      <c r="BT65" s="1022">
        <f t="shared" si="195"/>
        <v>0.10523578363384178</v>
      </c>
      <c r="BU65" s="1022">
        <f t="shared" si="195"/>
        <v>2.0672971189795497E-2</v>
      </c>
      <c r="BV65" s="1022">
        <f t="shared" si="195"/>
        <v>-5.3912266994084135E-2</v>
      </c>
      <c r="BW65" s="1023">
        <f t="shared" si="195"/>
        <v>-3.0783108755708333E-2</v>
      </c>
      <c r="BX65" s="1022">
        <f t="shared" si="195"/>
        <v>-3.2104575163398597E-2</v>
      </c>
      <c r="BY65" s="1022">
        <f t="shared" si="195"/>
        <v>2.0200387847446599E-2</v>
      </c>
      <c r="BZ65" s="1022">
        <f t="shared" si="195"/>
        <v>6.547899952807934E-2</v>
      </c>
      <c r="CA65" s="1023">
        <f t="shared" si="195"/>
        <v>9.6736664533767502E-2</v>
      </c>
      <c r="CB65" s="1022">
        <f t="shared" si="195"/>
        <v>0.12587110366808929</v>
      </c>
      <c r="CC65" s="1022">
        <f t="shared" si="195"/>
        <v>0.16004012883467977</v>
      </c>
      <c r="CD65" s="1022">
        <f t="shared" si="195"/>
        <v>0.1250692060679881</v>
      </c>
      <c r="CE65" s="1023">
        <f t="shared" si="195"/>
        <v>5.6486687175135275E-2</v>
      </c>
      <c r="CF65" s="1022">
        <f t="shared" si="195"/>
        <v>-4.7934360155462929E-2</v>
      </c>
      <c r="CG65" s="1022">
        <f t="shared" si="195"/>
        <v>-7.5147928994082847E-2</v>
      </c>
      <c r="CH65" s="1022">
        <f t="shared" si="195"/>
        <v>-7.2880271640175187E-2</v>
      </c>
      <c r="CI65" s="1023">
        <f t="shared" si="195"/>
        <v>6.5866760379537093E-2</v>
      </c>
      <c r="CJ65" s="1022">
        <f t="shared" si="195"/>
        <v>0.14333232537042639</v>
      </c>
      <c r="CK65" s="1022">
        <f t="shared" si="195"/>
        <v>0.14631625572124607</v>
      </c>
      <c r="CL65" s="1022">
        <f t="shared" si="195"/>
        <v>0.17526539278131614</v>
      </c>
      <c r="CM65" s="1023">
        <f t="shared" si="195"/>
        <v>6.4010173802458992E-2</v>
      </c>
      <c r="CN65" s="1022">
        <f t="shared" si="195"/>
        <v>6.1006788327602868E-2</v>
      </c>
      <c r="CO65" s="1022">
        <f t="shared" si="195"/>
        <v>2.5974583547999419E-2</v>
      </c>
      <c r="CP65" s="1022">
        <f t="shared" si="195"/>
        <v>9.1229337909854546E-2</v>
      </c>
      <c r="CQ65" s="1023">
        <f t="shared" si="195"/>
        <v>0.14493138556883567</v>
      </c>
      <c r="CR65" s="1022">
        <f t="shared" si="195"/>
        <v>0.1079918553834387</v>
      </c>
      <c r="CS65" s="1022">
        <f t="shared" si="195"/>
        <v>0.14158163815707137</v>
      </c>
      <c r="CT65" s="1022">
        <f t="shared" si="195"/>
        <v>8.6019439386074703E-2</v>
      </c>
      <c r="CU65" s="1023">
        <f t="shared" si="195"/>
        <v>8.3099465341452294E-2</v>
      </c>
      <c r="CV65" s="416"/>
      <c r="CW65" s="1022"/>
      <c r="CX65" s="1020"/>
      <c r="CY65" s="1020"/>
      <c r="CZ65" s="1020"/>
      <c r="DA65" s="1022"/>
      <c r="DB65" s="1022"/>
      <c r="DC65" s="1020"/>
      <c r="DD65" s="1020"/>
      <c r="DE65" s="1020"/>
      <c r="DF65" s="1022">
        <f t="shared" ref="DF65:DZ65" si="196">DF64/DE64-1</f>
        <v>0.12379627256416836</v>
      </c>
      <c r="DG65" s="1022">
        <f t="shared" si="196"/>
        <v>0.14860549980450921</v>
      </c>
      <c r="DH65" s="1022">
        <f t="shared" si="196"/>
        <v>0.21799563157745427</v>
      </c>
      <c r="DI65" s="1022">
        <f t="shared" si="196"/>
        <v>6.7911872933066553E-2</v>
      </c>
      <c r="DJ65" s="1022">
        <f t="shared" si="196"/>
        <v>0.16207964408775677</v>
      </c>
      <c r="DK65" s="1022">
        <f t="shared" si="196"/>
        <v>-1.2142026048117871E-2</v>
      </c>
      <c r="DL65" s="1022">
        <f t="shared" si="196"/>
        <v>-0.24736412165884614</v>
      </c>
      <c r="DM65" s="1022">
        <f t="shared" si="196"/>
        <v>0.42682619011560408</v>
      </c>
      <c r="DN65" s="1022">
        <f t="shared" si="196"/>
        <v>0.25861519954712708</v>
      </c>
      <c r="DO65" s="1022">
        <f t="shared" si="196"/>
        <v>9.6279533922722926E-3</v>
      </c>
      <c r="DP65" s="1022">
        <f t="shared" si="196"/>
        <v>3.5276756877157922E-2</v>
      </c>
      <c r="DQ65" s="1022">
        <f t="shared" si="196"/>
        <v>0.1167872414813218</v>
      </c>
      <c r="DR65" s="1022">
        <f t="shared" si="196"/>
        <v>-3.3942998880206021E-2</v>
      </c>
      <c r="DS65" s="1022">
        <f t="shared" si="196"/>
        <v>0.13059627081463754</v>
      </c>
      <c r="DT65" s="1022">
        <f t="shared" si="196"/>
        <v>8.0288832543269573E-2</v>
      </c>
      <c r="DU65" s="1022">
        <f>DU64/DT64-1</f>
        <v>0.10419546939226842</v>
      </c>
      <c r="DV65" s="1022">
        <f t="shared" si="196"/>
        <v>5.5680996520828252E-2</v>
      </c>
      <c r="DW65" s="1022">
        <f t="shared" si="196"/>
        <v>4.7434893041334636E-2</v>
      </c>
      <c r="DX65" s="1022">
        <f t="shared" si="196"/>
        <v>4.1291809671771373E-2</v>
      </c>
      <c r="DY65" s="1022">
        <f t="shared" si="196"/>
        <v>2.8275720792971359E-2</v>
      </c>
      <c r="DZ65" s="1022">
        <f t="shared" si="196"/>
        <v>1.3814003053174151E-2</v>
      </c>
    </row>
    <row r="66" spans="2:133" ht="15">
      <c r="B66" s="1013" t="s">
        <v>346</v>
      </c>
      <c r="C66" s="898"/>
      <c r="D66" s="990"/>
      <c r="E66" s="991"/>
      <c r="F66" s="991"/>
      <c r="G66" s="992"/>
      <c r="H66" s="991"/>
      <c r="I66" s="991"/>
      <c r="J66" s="991"/>
      <c r="K66" s="992"/>
      <c r="L66" s="991"/>
      <c r="M66" s="991"/>
      <c r="N66" s="991"/>
      <c r="O66" s="992"/>
      <c r="P66" s="991"/>
      <c r="Q66" s="991"/>
      <c r="R66" s="991"/>
      <c r="S66" s="992"/>
      <c r="T66" s="991"/>
      <c r="U66" s="991"/>
      <c r="V66" s="991"/>
      <c r="W66" s="992"/>
      <c r="X66" s="991"/>
      <c r="Y66" s="991"/>
      <c r="Z66" s="991"/>
      <c r="AA66" s="992"/>
      <c r="AB66" s="991"/>
      <c r="AC66" s="991"/>
      <c r="AD66" s="991"/>
      <c r="AE66" s="992"/>
      <c r="AF66" s="991"/>
      <c r="AG66" s="991"/>
      <c r="AH66" s="991"/>
      <c r="AI66" s="992"/>
      <c r="AJ66" s="991"/>
      <c r="AK66" s="991"/>
      <c r="AL66" s="991"/>
      <c r="AM66" s="992"/>
      <c r="AN66" s="991">
        <f t="shared" ref="AN66:BS66" si="197">AN65-AN29</f>
        <v>0.1163997336805489</v>
      </c>
      <c r="AO66" s="991">
        <f t="shared" si="197"/>
        <v>9.0398177341738828E-2</v>
      </c>
      <c r="AP66" s="991">
        <f t="shared" si="197"/>
        <v>9.7296636568232842E-2</v>
      </c>
      <c r="AQ66" s="992">
        <f t="shared" si="197"/>
        <v>8.8714340144059545E-2</v>
      </c>
      <c r="AR66" s="991">
        <f t="shared" si="197"/>
        <v>0.18309175161781099</v>
      </c>
      <c r="AS66" s="991">
        <f t="shared" si="197"/>
        <v>0.20008315527494092</v>
      </c>
      <c r="AT66" s="991">
        <f t="shared" si="197"/>
        <v>0.20381410292756241</v>
      </c>
      <c r="AU66" s="992">
        <f t="shared" si="197"/>
        <v>0.11782596006732038</v>
      </c>
      <c r="AV66" s="991">
        <f t="shared" si="197"/>
        <v>-1.5233668652032017E-2</v>
      </c>
      <c r="AW66" s="991">
        <f t="shared" si="197"/>
        <v>2.3222647548143405E-2</v>
      </c>
      <c r="AX66" s="991">
        <f t="shared" si="197"/>
        <v>-9.9398178991310093E-3</v>
      </c>
      <c r="AY66" s="992">
        <f t="shared" si="197"/>
        <v>0.11064949915529065</v>
      </c>
      <c r="AZ66" s="991">
        <f t="shared" si="197"/>
        <v>8.2776873967499442E-2</v>
      </c>
      <c r="BA66" s="991">
        <f t="shared" si="197"/>
        <v>0.11729057032446755</v>
      </c>
      <c r="BB66" s="991">
        <f t="shared" si="197"/>
        <v>0.17271409243913194</v>
      </c>
      <c r="BC66" s="992">
        <f t="shared" si="197"/>
        <v>5.4899876806542069E-2</v>
      </c>
      <c r="BD66" s="991">
        <f t="shared" si="197"/>
        <v>0.13465897424950657</v>
      </c>
      <c r="BE66" s="991">
        <f t="shared" si="197"/>
        <v>8.3565152773886098E-2</v>
      </c>
      <c r="BF66" s="991">
        <f t="shared" si="197"/>
        <v>1.9935533175522213E-2</v>
      </c>
      <c r="BG66" s="992">
        <f t="shared" si="197"/>
        <v>-0.10790641498965969</v>
      </c>
      <c r="BH66" s="991">
        <f t="shared" si="197"/>
        <v>-0.11301373463517062</v>
      </c>
      <c r="BI66" s="991">
        <f t="shared" si="197"/>
        <v>-0.16312164283706376</v>
      </c>
      <c r="BJ66" s="991">
        <f t="shared" si="197"/>
        <v>-0.17839956716445082</v>
      </c>
      <c r="BK66" s="992">
        <f t="shared" si="197"/>
        <v>6.5875236335688037E-2</v>
      </c>
      <c r="BL66" s="991">
        <f t="shared" si="197"/>
        <v>5.8807178787634529E-2</v>
      </c>
      <c r="BM66" s="991">
        <f t="shared" si="197"/>
        <v>0.23876621800059006</v>
      </c>
      <c r="BN66" s="991">
        <f t="shared" si="197"/>
        <v>0.22155173740358358</v>
      </c>
      <c r="BO66" s="992">
        <f t="shared" si="197"/>
        <v>0.17381158493729432</v>
      </c>
      <c r="BP66" s="991">
        <f t="shared" si="197"/>
        <v>0.27077368229007615</v>
      </c>
      <c r="BQ66" s="991">
        <f t="shared" si="197"/>
        <v>0.29287824611294166</v>
      </c>
      <c r="BR66" s="991">
        <f t="shared" si="197"/>
        <v>0.21794271120788533</v>
      </c>
      <c r="BS66" s="992">
        <f t="shared" si="197"/>
        <v>0.13207446507992637</v>
      </c>
      <c r="BT66" s="991">
        <f t="shared" ref="BT66:CU66" si="198">BT65-BT29</f>
        <v>3.2560340501968099E-2</v>
      </c>
      <c r="BU66" s="991">
        <f t="shared" si="198"/>
        <v>-0.10051254485327488</v>
      </c>
      <c r="BV66" s="991">
        <f t="shared" si="198"/>
        <v>-8.044278587355147E-2</v>
      </c>
      <c r="BW66" s="992">
        <f t="shared" si="198"/>
        <v>-5.1784478630407027E-2</v>
      </c>
      <c r="BX66" s="991">
        <f t="shared" si="198"/>
        <v>-3.2876776960853116E-2</v>
      </c>
      <c r="BY66" s="991">
        <f t="shared" si="198"/>
        <v>-1.8512482901465344E-2</v>
      </c>
      <c r="BZ66" s="991">
        <f t="shared" si="198"/>
        <v>1.5014536949946367E-2</v>
      </c>
      <c r="CA66" s="992">
        <f t="shared" si="198"/>
        <v>2.3401998998006768E-2</v>
      </c>
      <c r="CB66" s="991">
        <f t="shared" si="198"/>
        <v>7.3909542485351087E-2</v>
      </c>
      <c r="CC66" s="991">
        <f t="shared" si="198"/>
        <v>0.12352589238366463</v>
      </c>
      <c r="CD66" s="991">
        <f t="shared" si="198"/>
        <v>0.10398102154976518</v>
      </c>
      <c r="CE66" s="992">
        <f t="shared" si="198"/>
        <v>3.9172624069647055E-2</v>
      </c>
      <c r="CF66" s="991">
        <f t="shared" si="198"/>
        <v>-6.828802382122845E-2</v>
      </c>
      <c r="CG66" s="991">
        <f t="shared" si="198"/>
        <v>-7.8601643596855508E-2</v>
      </c>
      <c r="CH66" s="991">
        <f t="shared" si="198"/>
        <v>-6.5228787994827675E-2</v>
      </c>
      <c r="CI66" s="992">
        <f t="shared" si="198"/>
        <v>2.1606488814602365E-2</v>
      </c>
      <c r="CJ66" s="991">
        <f t="shared" si="198"/>
        <v>0.12648833080702038</v>
      </c>
      <c r="CK66" s="991">
        <f t="shared" si="198"/>
        <v>0.11221245864584706</v>
      </c>
      <c r="CL66" s="991">
        <f t="shared" si="198"/>
        <v>0.10604385664052107</v>
      </c>
      <c r="CM66" s="992">
        <f t="shared" si="198"/>
        <v>-1.1686697464200702E-2</v>
      </c>
      <c r="CN66" s="991">
        <f t="shared" si="198"/>
        <v>4.8533915142012773E-3</v>
      </c>
      <c r="CO66" s="991">
        <f t="shared" si="198"/>
        <v>2.5187946003184525E-2</v>
      </c>
      <c r="CP66" s="991">
        <f t="shared" si="198"/>
        <v>6.9613552017775415E-2</v>
      </c>
      <c r="CQ66" s="992">
        <f t="shared" ref="CQ66" si="199">CQ65-CQ29</f>
        <v>0.13438616308655771</v>
      </c>
      <c r="CR66" s="991">
        <f t="shared" si="198"/>
        <v>0.11638505145173461</v>
      </c>
      <c r="CS66" s="991">
        <f t="shared" si="198"/>
        <v>0.10303253233588427</v>
      </c>
      <c r="CT66" s="991">
        <f t="shared" si="198"/>
        <v>6.5724830899570597E-2</v>
      </c>
      <c r="CU66" s="992">
        <f t="shared" si="198"/>
        <v>7.9154008844453116E-2</v>
      </c>
      <c r="CV66" s="416"/>
      <c r="CW66" s="991"/>
      <c r="CX66" s="991"/>
      <c r="CY66" s="991"/>
      <c r="CZ66" s="991"/>
      <c r="DA66" s="991"/>
      <c r="DB66" s="991"/>
      <c r="DC66" s="991"/>
      <c r="DD66" s="991"/>
      <c r="DE66" s="991"/>
      <c r="DF66" s="991">
        <f t="shared" ref="DF66:DZ66" si="200">DF65-DF29</f>
        <v>9.6710543824770623E-2</v>
      </c>
      <c r="DG66" s="991">
        <f t="shared" si="200"/>
        <v>9.80448639442979E-2</v>
      </c>
      <c r="DH66" s="991">
        <f t="shared" si="200"/>
        <v>0.17588446645164679</v>
      </c>
      <c r="DI66" s="991">
        <f t="shared" si="200"/>
        <v>2.6750334381126395E-2</v>
      </c>
      <c r="DJ66" s="991">
        <f t="shared" si="200"/>
        <v>0.10554561903941573</v>
      </c>
      <c r="DK66" s="991">
        <f t="shared" si="200"/>
        <v>3.0945587612220771E-2</v>
      </c>
      <c r="DL66" s="991">
        <f t="shared" si="200"/>
        <v>-0.12860904240185522</v>
      </c>
      <c r="DM66" s="991">
        <f t="shared" si="200"/>
        <v>0.17723937148554492</v>
      </c>
      <c r="DN66" s="991">
        <f t="shared" si="200"/>
        <v>0.22482634858890593</v>
      </c>
      <c r="DO66" s="991">
        <f t="shared" si="200"/>
        <v>-4.9885964563807006E-2</v>
      </c>
      <c r="DP66" s="991">
        <f t="shared" si="200"/>
        <v>-5.0965503613507046E-3</v>
      </c>
      <c r="DQ66" s="991">
        <f t="shared" si="200"/>
        <v>8.5092994885599182E-2</v>
      </c>
      <c r="DR66" s="991">
        <f t="shared" si="200"/>
        <v>-4.9489944280946441E-2</v>
      </c>
      <c r="DS66" s="991">
        <f t="shared" si="200"/>
        <v>8.1839992593628841E-2</v>
      </c>
      <c r="DT66" s="991">
        <f t="shared" si="200"/>
        <v>5.8262610209262933E-2</v>
      </c>
      <c r="DU66" s="991">
        <f>DU65-DU29</f>
        <v>9.1174025369981981E-2</v>
      </c>
      <c r="DV66" s="991">
        <f t="shared" si="200"/>
        <v>3.8140856543821489E-2</v>
      </c>
      <c r="DW66" s="991">
        <f t="shared" si="200"/>
        <v>2.8232308020098351E-2</v>
      </c>
      <c r="DX66" s="991">
        <f t="shared" si="200"/>
        <v>1.8324796121943931E-2</v>
      </c>
      <c r="DY66" s="991">
        <f t="shared" si="200"/>
        <v>8.418135655650083E-3</v>
      </c>
      <c r="DZ66" s="991">
        <f t="shared" si="200"/>
        <v>-1.48704764954255E-3</v>
      </c>
      <c r="EB66" s="665"/>
      <c r="EC66" s="1141"/>
    </row>
    <row r="67" spans="2:133" ht="15">
      <c r="B67" s="1013" t="s">
        <v>462</v>
      </c>
      <c r="C67" s="898"/>
      <c r="D67" s="990"/>
      <c r="E67" s="991"/>
      <c r="F67" s="991"/>
      <c r="G67" s="992"/>
      <c r="H67" s="991"/>
      <c r="I67" s="991"/>
      <c r="J67" s="991"/>
      <c r="K67" s="992"/>
      <c r="L67" s="991"/>
      <c r="M67" s="991"/>
      <c r="N67" s="991"/>
      <c r="O67" s="992"/>
      <c r="P67" s="991"/>
      <c r="Q67" s="991"/>
      <c r="R67" s="991"/>
      <c r="S67" s="992"/>
      <c r="T67" s="991"/>
      <c r="U67" s="991"/>
      <c r="V67" s="991"/>
      <c r="W67" s="992"/>
      <c r="X67" s="991"/>
      <c r="Y67" s="991"/>
      <c r="Z67" s="991"/>
      <c r="AA67" s="992"/>
      <c r="AB67" s="991"/>
      <c r="AC67" s="991"/>
      <c r="AD67" s="991"/>
      <c r="AE67" s="992"/>
      <c r="AF67" s="991"/>
      <c r="AG67" s="991"/>
      <c r="AH67" s="991"/>
      <c r="AI67" s="992"/>
      <c r="AJ67" s="991"/>
      <c r="AK67" s="991"/>
      <c r="AL67" s="991"/>
      <c r="AM67" s="992"/>
      <c r="AN67" s="991"/>
      <c r="AO67" s="991"/>
      <c r="AP67" s="991"/>
      <c r="AQ67" s="992"/>
      <c r="AR67" s="991"/>
      <c r="AS67" s="991"/>
      <c r="AT67" s="991"/>
      <c r="AU67" s="992"/>
      <c r="AV67" s="991"/>
      <c r="AW67" s="991"/>
      <c r="AX67" s="991"/>
      <c r="AY67" s="992"/>
      <c r="AZ67" s="991"/>
      <c r="BA67" s="991"/>
      <c r="BB67" s="991"/>
      <c r="BC67" s="992"/>
      <c r="BD67" s="991"/>
      <c r="BE67" s="991"/>
      <c r="BF67" s="991"/>
      <c r="BG67" s="992"/>
      <c r="BH67" s="991"/>
      <c r="BI67" s="991"/>
      <c r="BJ67" s="991"/>
      <c r="BK67" s="992"/>
      <c r="BL67" s="991"/>
      <c r="BM67" s="991"/>
      <c r="BN67" s="991"/>
      <c r="BO67" s="992"/>
      <c r="BP67" s="991"/>
      <c r="BQ67" s="991"/>
      <c r="BR67" s="991"/>
      <c r="BS67" s="992"/>
      <c r="BT67" s="991">
        <f t="shared" ref="BT67:CU67" si="201">BT65-BT30</f>
        <v>4.1232786860077988E-2</v>
      </c>
      <c r="BU67" s="991">
        <f t="shared" si="201"/>
        <v>-6.1576528935210151E-2</v>
      </c>
      <c r="BV67" s="991">
        <f t="shared" si="201"/>
        <v>-7.0106572742438811E-2</v>
      </c>
      <c r="BW67" s="992">
        <f t="shared" si="201"/>
        <v>-4.2814623969896035E-2</v>
      </c>
      <c r="BX67" s="991">
        <f t="shared" si="201"/>
        <v>-2.8390853244690643E-3</v>
      </c>
      <c r="BY67" s="991">
        <f t="shared" si="201"/>
        <v>-1.8187334002324113E-2</v>
      </c>
      <c r="BZ67" s="991">
        <f t="shared" si="201"/>
        <v>1.8576260158365485E-2</v>
      </c>
      <c r="CA67" s="992">
        <f t="shared" si="201"/>
        <v>4.4302337492217479E-2</v>
      </c>
      <c r="CB67" s="991">
        <f t="shared" si="201"/>
        <v>6.7806212972935195E-2</v>
      </c>
      <c r="CC67" s="991">
        <f t="shared" si="201"/>
        <v>0.13668183178111296</v>
      </c>
      <c r="CD67" s="991">
        <f t="shared" si="201"/>
        <v>0.11822390244080699</v>
      </c>
      <c r="CE67" s="992">
        <f t="shared" si="201"/>
        <v>4.9057955213507934E-2</v>
      </c>
      <c r="CF67" s="991">
        <f t="shared" si="201"/>
        <v>-6.5106804686174191E-2</v>
      </c>
      <c r="CG67" s="991">
        <f t="shared" si="201"/>
        <v>-8.0564090258233273E-2</v>
      </c>
      <c r="CH67" s="991">
        <f t="shared" si="201"/>
        <v>-8.6600603050331293E-2</v>
      </c>
      <c r="CI67" s="992">
        <f t="shared" si="201"/>
        <v>3.2373186618645924E-2</v>
      </c>
      <c r="CJ67" s="991">
        <f t="shared" si="201"/>
        <v>0.13138564388926849</v>
      </c>
      <c r="CK67" s="991">
        <f t="shared" si="201"/>
        <v>0.11145810844739487</v>
      </c>
      <c r="CL67" s="991">
        <f t="shared" si="201"/>
        <v>0.14506405679802944</v>
      </c>
      <c r="CM67" s="992">
        <f t="shared" si="201"/>
        <v>2.0836079246039155E-2</v>
      </c>
      <c r="CN67" s="991">
        <f t="shared" si="201"/>
        <v>1.0158206856536435E-2</v>
      </c>
      <c r="CO67" s="991">
        <f t="shared" si="201"/>
        <v>3.4111666484909008E-2</v>
      </c>
      <c r="CP67" s="991">
        <f t="shared" si="201"/>
        <v>7.1724881034286231E-2</v>
      </c>
      <c r="CQ67" s="992">
        <f t="shared" ref="CQ67" si="202">CQ65-CQ30</f>
        <v>0.1202932634756458</v>
      </c>
      <c r="CR67" s="991">
        <f t="shared" si="201"/>
        <v>0.11224041777812742</v>
      </c>
      <c r="CS67" s="991">
        <f t="shared" si="201"/>
        <v>0.10311657499089746</v>
      </c>
      <c r="CT67" s="991">
        <f t="shared" si="201"/>
        <v>6.8621381126370451E-2</v>
      </c>
      <c r="CU67" s="992">
        <f t="shared" si="201"/>
        <v>8.8747051384259659E-2</v>
      </c>
      <c r="CV67" s="416"/>
      <c r="CW67" s="991"/>
      <c r="CX67" s="991"/>
      <c r="CY67" s="991"/>
      <c r="CZ67" s="991"/>
      <c r="DA67" s="991"/>
      <c r="DB67" s="991"/>
      <c r="DC67" s="991"/>
      <c r="DD67" s="991"/>
      <c r="DE67" s="991"/>
      <c r="DF67" s="991"/>
      <c r="DG67" s="991"/>
      <c r="DH67" s="991"/>
      <c r="DI67" s="991"/>
      <c r="DJ67" s="991"/>
      <c r="DK67" s="991"/>
      <c r="DL67" s="991"/>
      <c r="DM67" s="991"/>
      <c r="DN67" s="991"/>
      <c r="DO67" s="991">
        <f t="shared" ref="DO67:DZ67" si="203">DO65-DO30</f>
        <v>-3.2216628769266016E-2</v>
      </c>
      <c r="DP67" s="991">
        <f t="shared" si="203"/>
        <v>9.634644735657602E-3</v>
      </c>
      <c r="DQ67" s="991">
        <f t="shared" si="203"/>
        <v>9.2989276068759202E-2</v>
      </c>
      <c r="DR67" s="991">
        <f t="shared" si="203"/>
        <v>-5.1676179948492253E-2</v>
      </c>
      <c r="DS67" s="991">
        <f t="shared" si="203"/>
        <v>0.10084409254371475</v>
      </c>
      <c r="DT67" s="991">
        <f t="shared" si="203"/>
        <v>5.9711827495833598E-2</v>
      </c>
      <c r="DU67" s="991">
        <f t="shared" si="203"/>
        <v>9.3049343589608424E-2</v>
      </c>
      <c r="DV67" s="991">
        <f t="shared" si="203"/>
        <v>5.1002182022424798E-2</v>
      </c>
      <c r="DW67" s="991">
        <f t="shared" si="203"/>
        <v>3.7348085732145583E-2</v>
      </c>
      <c r="DX67" s="991">
        <f t="shared" si="203"/>
        <v>2.2782927478160957E-2</v>
      </c>
      <c r="DY67" s="991">
        <f t="shared" si="203"/>
        <v>1.1323683634758813E-2</v>
      </c>
      <c r="DZ67" s="991">
        <f t="shared" si="203"/>
        <v>4.5123946943576021E-4</v>
      </c>
    </row>
    <row r="68" spans="2:133" ht="15">
      <c r="B68" s="588"/>
      <c r="C68" s="901"/>
      <c r="D68" s="1024"/>
      <c r="E68" s="588"/>
      <c r="F68" s="588"/>
      <c r="G68" s="980"/>
      <c r="H68" s="588"/>
      <c r="I68" s="588"/>
      <c r="J68" s="588"/>
      <c r="K68" s="980"/>
      <c r="L68" s="588"/>
      <c r="M68" s="588"/>
      <c r="N68" s="588"/>
      <c r="O68" s="980"/>
      <c r="P68" s="588"/>
      <c r="Q68" s="588"/>
      <c r="R68" s="588"/>
      <c r="S68" s="980"/>
      <c r="T68" s="588"/>
      <c r="U68" s="588"/>
      <c r="V68" s="588"/>
      <c r="W68" s="980"/>
      <c r="X68" s="588"/>
      <c r="Y68" s="588"/>
      <c r="Z68" s="588"/>
      <c r="AA68" s="980"/>
      <c r="AB68" s="588"/>
      <c r="AC68" s="588"/>
      <c r="AD68" s="588"/>
      <c r="AE68" s="980"/>
      <c r="AF68" s="588"/>
      <c r="AG68" s="588"/>
      <c r="AH68" s="588"/>
      <c r="AI68" s="980"/>
      <c r="AJ68" s="588"/>
      <c r="AK68" s="588"/>
      <c r="AL68" s="588"/>
      <c r="AM68" s="980"/>
      <c r="AN68" s="588"/>
      <c r="AO68" s="588"/>
      <c r="AP68" s="588"/>
      <c r="AQ68" s="980"/>
      <c r="AR68" s="588"/>
      <c r="AS68" s="588"/>
      <c r="AT68" s="588"/>
      <c r="AU68" s="980"/>
      <c r="AV68" s="588"/>
      <c r="AW68" s="588"/>
      <c r="AX68" s="588"/>
      <c r="AY68" s="980"/>
      <c r="AZ68" s="588"/>
      <c r="BA68" s="588"/>
      <c r="BB68" s="588"/>
      <c r="BC68" s="980"/>
      <c r="BD68" s="588"/>
      <c r="BE68" s="588"/>
      <c r="BF68" s="588"/>
      <c r="BG68" s="980"/>
      <c r="BH68" s="588"/>
      <c r="BI68" s="588"/>
      <c r="BJ68" s="588"/>
      <c r="BK68" s="980"/>
      <c r="BL68" s="588"/>
      <c r="BM68" s="588"/>
      <c r="BN68" s="588"/>
      <c r="BO68" s="980"/>
      <c r="BP68" s="588"/>
      <c r="BQ68" s="588"/>
      <c r="BR68" s="588"/>
      <c r="BS68" s="980"/>
      <c r="BT68" s="588"/>
      <c r="BU68" s="588"/>
      <c r="BV68" s="588"/>
      <c r="BW68" s="980"/>
      <c r="BX68" s="588"/>
      <c r="BY68" s="588"/>
      <c r="BZ68" s="588"/>
      <c r="CA68" s="980"/>
      <c r="CB68" s="588"/>
      <c r="CC68" s="588"/>
      <c r="CD68" s="588"/>
      <c r="CE68" s="980"/>
      <c r="CF68" s="588"/>
      <c r="CG68" s="588"/>
      <c r="CH68" s="588"/>
      <c r="CI68" s="980"/>
      <c r="CJ68" s="588"/>
      <c r="CK68" s="588"/>
      <c r="CL68" s="588"/>
      <c r="CM68" s="980"/>
      <c r="CN68" s="941"/>
      <c r="CO68" s="941"/>
      <c r="CP68" s="941"/>
      <c r="CQ68" s="926"/>
      <c r="CR68" s="937"/>
      <c r="CS68" s="937"/>
      <c r="CT68" s="937"/>
      <c r="CU68" s="926"/>
      <c r="CV68" s="376"/>
      <c r="CW68" s="1025"/>
      <c r="CX68" s="588"/>
      <c r="CY68" s="588"/>
      <c r="CZ68" s="588"/>
      <c r="DA68" s="588"/>
      <c r="DB68" s="588"/>
      <c r="DC68" s="588"/>
      <c r="DD68" s="588"/>
      <c r="DE68" s="588"/>
      <c r="DF68" s="588"/>
      <c r="DG68" s="588"/>
      <c r="DH68" s="588"/>
      <c r="DI68" s="588"/>
      <c r="DJ68" s="588"/>
      <c r="DK68" s="588"/>
      <c r="DL68" s="588"/>
      <c r="DM68" s="588"/>
      <c r="DN68" s="588"/>
      <c r="DO68" s="588"/>
      <c r="DP68" s="588"/>
      <c r="DQ68" s="1026"/>
      <c r="DR68" s="1026"/>
      <c r="DS68" s="1026"/>
      <c r="DT68" s="937"/>
      <c r="DU68" s="937"/>
      <c r="DV68" s="937"/>
      <c r="DW68" s="937"/>
      <c r="DX68" s="937"/>
      <c r="DY68" s="588"/>
      <c r="DZ68" s="588"/>
    </row>
    <row r="69" spans="2:133" s="1086" customFormat="1" ht="15">
      <c r="B69" s="471" t="s">
        <v>441</v>
      </c>
      <c r="C69" s="903"/>
      <c r="D69" s="1082"/>
      <c r="E69" s="471"/>
      <c r="F69" s="471"/>
      <c r="G69" s="1083"/>
      <c r="H69" s="471"/>
      <c r="I69" s="471"/>
      <c r="J69" s="471"/>
      <c r="K69" s="1083"/>
      <c r="L69" s="471"/>
      <c r="M69" s="471"/>
      <c r="N69" s="471"/>
      <c r="O69" s="1083"/>
      <c r="P69" s="471"/>
      <c r="Q69" s="471"/>
      <c r="R69" s="471"/>
      <c r="S69" s="1083"/>
      <c r="T69" s="471"/>
      <c r="U69" s="471"/>
      <c r="V69" s="471"/>
      <c r="W69" s="1083"/>
      <c r="X69" s="471"/>
      <c r="Y69" s="471"/>
      <c r="Z69" s="471"/>
      <c r="AA69" s="1083"/>
      <c r="AB69" s="471"/>
      <c r="AC69" s="471"/>
      <c r="AD69" s="471"/>
      <c r="AE69" s="1083"/>
      <c r="AF69" s="471"/>
      <c r="AG69" s="471"/>
      <c r="AH69" s="471"/>
      <c r="AI69" s="1083"/>
      <c r="AJ69" s="471"/>
      <c r="AK69" s="471"/>
      <c r="AL69" s="471"/>
      <c r="AM69" s="1083"/>
      <c r="AN69" s="471"/>
      <c r="AO69" s="471"/>
      <c r="AP69" s="471"/>
      <c r="AQ69" s="1083"/>
      <c r="AR69" s="471"/>
      <c r="AS69" s="471"/>
      <c r="AT69" s="471"/>
      <c r="AU69" s="1083"/>
      <c r="AV69" s="471"/>
      <c r="AW69" s="471"/>
      <c r="AX69" s="471"/>
      <c r="AY69" s="1083"/>
      <c r="AZ69" s="1087">
        <v>1.310684615384615</v>
      </c>
      <c r="BA69" s="1087">
        <v>1.3479953846153843</v>
      </c>
      <c r="BB69" s="1087">
        <v>1.3738292307692308</v>
      </c>
      <c r="BC69" s="1088">
        <v>1.4483409090909092</v>
      </c>
      <c r="BD69" s="1087">
        <v>1.4985861538461538</v>
      </c>
      <c r="BE69" s="1087">
        <v>1.5620861538461539</v>
      </c>
      <c r="BF69" s="1087">
        <v>1.5050227272727275</v>
      </c>
      <c r="BG69" s="1088">
        <v>1.3204530303030306</v>
      </c>
      <c r="BH69" s="1087">
        <v>1.3042484374999994</v>
      </c>
      <c r="BI69" s="1087">
        <v>1.3615353846153846</v>
      </c>
      <c r="BJ69" s="1087">
        <v>1.4303045454545453</v>
      </c>
      <c r="BK69" s="1088">
        <v>1.4773651515151514</v>
      </c>
      <c r="BL69" s="1087">
        <v>1.3838093750000005</v>
      </c>
      <c r="BM69" s="1087">
        <v>1.2730907692307694</v>
      </c>
      <c r="BN69" s="1087">
        <v>1.2910393939393938</v>
      </c>
      <c r="BO69" s="1088">
        <v>1.3582696969696966</v>
      </c>
      <c r="BP69" s="1087">
        <v>1.3679890625</v>
      </c>
      <c r="BQ69" s="1087">
        <v>1.4396569230769229</v>
      </c>
      <c r="BR69" s="1087">
        <v>1.4127030303030303</v>
      </c>
      <c r="BS69" s="1088">
        <v>1.3475015384615385</v>
      </c>
      <c r="BT69" s="1087">
        <v>1.3108230769230771</v>
      </c>
      <c r="BU69" s="1087">
        <v>1.2828169230769231</v>
      </c>
      <c r="BV69" s="1087">
        <v>1.2502446153846156</v>
      </c>
      <c r="BW69" s="1088">
        <v>1.2974545454545454</v>
      </c>
      <c r="BX69" s="1087">
        <v>1.3199828125000004</v>
      </c>
      <c r="BY69" s="1087">
        <v>1.3058507692307686</v>
      </c>
      <c r="BZ69" s="1087">
        <v>1.3241787878787885</v>
      </c>
      <c r="CA69" s="1088">
        <v>1.3612045454545449</v>
      </c>
      <c r="CB69" s="1087">
        <v>1.3697796874999999</v>
      </c>
      <c r="CC69" s="1087">
        <v>1.3717307692307692</v>
      </c>
      <c r="CD69" s="1087">
        <v>1.3255590909090906</v>
      </c>
      <c r="CE69" s="1088">
        <v>1.2489590909090909</v>
      </c>
      <c r="CF69" s="1087">
        <v>1.1275171875000005</v>
      </c>
      <c r="CG69" s="1087">
        <v>1.1048353846153844</v>
      </c>
      <c r="CH69" s="1087">
        <v>1.1116500000000002</v>
      </c>
      <c r="CI69" s="1088">
        <v>1.0952621212121214</v>
      </c>
      <c r="CJ69" s="1087">
        <v>1.102204615384615</v>
      </c>
      <c r="CK69" s="1087">
        <v>1.1292353846153846</v>
      </c>
      <c r="CL69" s="1087">
        <v>1.1166287878787879</v>
      </c>
      <c r="CM69" s="1088">
        <v>1.0784169230769229</v>
      </c>
      <c r="CN69" s="1089">
        <v>1.064796923076923</v>
      </c>
      <c r="CO69" s="1089">
        <v>1.1007861538461539</v>
      </c>
      <c r="CP69" s="1089">
        <v>1.174607692307692</v>
      </c>
      <c r="CQ69" s="1090">
        <v>1.177509230769231</v>
      </c>
      <c r="CR69" s="1089">
        <v>1.228719230769231</v>
      </c>
      <c r="CS69" s="1089">
        <v>1.2298500000000001</v>
      </c>
      <c r="CT69" s="1089">
        <f t="shared" ref="CT69:CU69" si="204">CS69</f>
        <v>1.2298500000000001</v>
      </c>
      <c r="CU69" s="1090">
        <f t="shared" si="204"/>
        <v>1.2298500000000001</v>
      </c>
      <c r="CV69" s="471"/>
      <c r="CW69" s="1084"/>
      <c r="CX69" s="471"/>
      <c r="CY69" s="471"/>
      <c r="CZ69" s="471"/>
      <c r="DA69" s="471"/>
      <c r="DB69" s="471"/>
      <c r="DC69" s="471"/>
      <c r="DD69" s="471"/>
      <c r="DE69" s="471"/>
      <c r="DF69" s="471"/>
      <c r="DG69" s="471"/>
      <c r="DH69" s="471"/>
      <c r="DI69" s="471"/>
      <c r="DJ69" s="471">
        <f>AVERAGE(AZ69:BC69)</f>
        <v>1.3702125349650349</v>
      </c>
      <c r="DK69" s="471">
        <f>AVERAGE(BD69:BG69)</f>
        <v>1.4715370163170165</v>
      </c>
      <c r="DL69" s="471">
        <f>AVERAGE(BH69:BK69)</f>
        <v>1.3933633797712701</v>
      </c>
      <c r="DM69" s="471">
        <f>AVERAGE(BL69:BO69)</f>
        <v>1.3265523087849651</v>
      </c>
      <c r="DN69" s="471">
        <f>AVERAGE(BP69:BS69)</f>
        <v>1.3919626385853732</v>
      </c>
      <c r="DO69" s="471">
        <f>AVERAGE(BT69:BW69)</f>
        <v>1.2853347902097902</v>
      </c>
      <c r="DP69" s="471">
        <f>AVERAGE(BX69:CA69)</f>
        <v>1.3278042287660257</v>
      </c>
      <c r="DQ69" s="1085">
        <f>AVERAGE(CB69:CE69)</f>
        <v>1.3290071596372377</v>
      </c>
      <c r="DR69" s="1085">
        <f>AVERAGE(CF69:CI69)</f>
        <v>1.1098161733318765</v>
      </c>
      <c r="DS69" s="1085">
        <f>AVERAGE(CJ69:CM69)</f>
        <v>1.1066214277389277</v>
      </c>
      <c r="DT69" s="471">
        <f>AVERAGE(CN69:CQ69)</f>
        <v>1.1294249999999999</v>
      </c>
      <c r="DU69" s="1085">
        <f>AVERAGE(CR69:CU69)</f>
        <v>1.2295673076923077</v>
      </c>
      <c r="DV69" s="1087">
        <f>DU69</f>
        <v>1.2295673076923077</v>
      </c>
      <c r="DW69" s="1087">
        <f>DV69</f>
        <v>1.2295673076923077</v>
      </c>
      <c r="DX69" s="1087">
        <f>DW69</f>
        <v>1.2295673076923077</v>
      </c>
      <c r="DY69" s="1087">
        <f>DX69</f>
        <v>1.2295673076923077</v>
      </c>
      <c r="DZ69" s="1087">
        <f>DY69</f>
        <v>1.2295673076923077</v>
      </c>
    </row>
    <row r="70" spans="2:133" ht="15">
      <c r="B70" s="989" t="s">
        <v>293</v>
      </c>
      <c r="C70" s="898"/>
      <c r="D70" s="1019"/>
      <c r="E70" s="1020"/>
      <c r="F70" s="1020"/>
      <c r="G70" s="1021"/>
      <c r="H70" s="1020"/>
      <c r="I70" s="1020"/>
      <c r="J70" s="1020"/>
      <c r="K70" s="1021"/>
      <c r="L70" s="1020"/>
      <c r="M70" s="1020"/>
      <c r="N70" s="1020"/>
      <c r="O70" s="1021"/>
      <c r="P70" s="1020"/>
      <c r="Q70" s="1020"/>
      <c r="R70" s="1020"/>
      <c r="S70" s="1021"/>
      <c r="T70" s="1020"/>
      <c r="U70" s="1020"/>
      <c r="V70" s="1020"/>
      <c r="W70" s="1021"/>
      <c r="X70" s="1020"/>
      <c r="Y70" s="1020"/>
      <c r="Z70" s="1020"/>
      <c r="AA70" s="1021"/>
      <c r="AB70" s="1020"/>
      <c r="AC70" s="1020"/>
      <c r="AD70" s="1020"/>
      <c r="AE70" s="1021"/>
      <c r="AF70" s="1020"/>
      <c r="AG70" s="1020"/>
      <c r="AH70" s="1020"/>
      <c r="AI70" s="1021"/>
      <c r="AJ70" s="1022"/>
      <c r="AK70" s="1022"/>
      <c r="AL70" s="1022"/>
      <c r="AM70" s="1023"/>
      <c r="AN70" s="1022"/>
      <c r="AO70" s="1022"/>
      <c r="AP70" s="1022"/>
      <c r="AQ70" s="1023"/>
      <c r="AR70" s="1022"/>
      <c r="AS70" s="1022"/>
      <c r="AT70" s="1022"/>
      <c r="AU70" s="1023"/>
      <c r="AV70" s="1022"/>
      <c r="AW70" s="1022"/>
      <c r="AX70" s="1022"/>
      <c r="AY70" s="1023"/>
      <c r="AZ70" s="1022"/>
      <c r="BA70" s="1022"/>
      <c r="BB70" s="1022"/>
      <c r="BC70" s="1023"/>
      <c r="BD70" s="1022">
        <f t="shared" ref="BD70" si="205">BD69/AZ69-1</f>
        <v>0.14336136722441029</v>
      </c>
      <c r="BE70" s="1022">
        <f t="shared" ref="BE70" si="206">BE69/BA69-1</f>
        <v>0.15882158920881984</v>
      </c>
      <c r="BF70" s="1022">
        <f t="shared" ref="BF70" si="207">BF69/BB69-1</f>
        <v>9.5494762787976972E-2</v>
      </c>
      <c r="BG70" s="1023">
        <f t="shared" ref="BG70" si="208">BG69/BC69-1</f>
        <v>-8.8299569517891308E-2</v>
      </c>
      <c r="BH70" s="1022">
        <f t="shared" ref="BH70" si="209">BH69/BD69-1</f>
        <v>-0.12968070994609315</v>
      </c>
      <c r="BI70" s="1022">
        <f t="shared" ref="BI70" si="210">BI69/BE69-1</f>
        <v>-0.12838649695279292</v>
      </c>
      <c r="BJ70" s="1022">
        <f t="shared" ref="BJ70" si="211">BJ69/BF69-1</f>
        <v>-4.964588272602366E-2</v>
      </c>
      <c r="BK70" s="1023">
        <f t="shared" ref="BK70" si="212">BK69/BG69-1</f>
        <v>0.11883203537812403</v>
      </c>
      <c r="BL70" s="1022">
        <f t="shared" ref="BL70" si="213">BL69/BH69-1</f>
        <v>6.1001366927074585E-2</v>
      </c>
      <c r="BM70" s="1022">
        <f t="shared" ref="BM70" si="214">BM69/BI69-1</f>
        <v>-6.4959468834957734E-2</v>
      </c>
      <c r="BN70" s="1022">
        <f t="shared" ref="BN70" si="215">BN69/BJ69-1</f>
        <v>-9.7367481602244066E-2</v>
      </c>
      <c r="BO70" s="1023">
        <f t="shared" ref="BO70" si="216">BO69/BK69-1</f>
        <v>-8.0613418032307926E-2</v>
      </c>
      <c r="BP70" s="1022">
        <f t="shared" ref="BP70" si="217">BP69/BL69-1</f>
        <v>-1.1432436277576508E-2</v>
      </c>
      <c r="BQ70" s="1022">
        <f t="shared" ref="BQ70" si="218">BQ69/BM69-1</f>
        <v>0.13083603924549436</v>
      </c>
      <c r="BR70" s="1022">
        <f t="shared" ref="BR70" si="219">BR69/BN69-1</f>
        <v>9.4236966691155777E-2</v>
      </c>
      <c r="BS70" s="1023">
        <f t="shared" ref="BS70" si="220">BS69/BO69-1</f>
        <v>-7.9278500670241225E-3</v>
      </c>
      <c r="BT70" s="1022">
        <f t="shared" ref="BT70" si="221">BT69/BP69-1</f>
        <v>-4.1788335260847798E-2</v>
      </c>
      <c r="BU70" s="1022">
        <f t="shared" ref="BU70" si="222">BU69/BQ69-1</f>
        <v>-0.10894262201357796</v>
      </c>
      <c r="BV70" s="1022">
        <f t="shared" ref="BV70" si="223">BV69/BR69-1</f>
        <v>-0.11499827736871693</v>
      </c>
      <c r="BW70" s="1023">
        <f t="shared" ref="BW70" si="224">BW69/BS69-1</f>
        <v>-3.7140583204181343E-2</v>
      </c>
      <c r="BX70" s="1022">
        <f t="shared" ref="BX70" si="225">BX69/BT69-1</f>
        <v>6.9877741231290091E-3</v>
      </c>
      <c r="BY70" s="1022">
        <f t="shared" ref="BY70" si="226">BY69/BU69-1</f>
        <v>1.7955676869772841E-2</v>
      </c>
      <c r="BZ70" s="1022">
        <f t="shared" ref="BZ70" si="227">BZ69/BV69-1</f>
        <v>5.9135765580904609E-2</v>
      </c>
      <c r="CA70" s="1023">
        <f t="shared" ref="CA70" si="228">CA69/BW69-1</f>
        <v>4.9134669282510757E-2</v>
      </c>
      <c r="CB70" s="1022">
        <f t="shared" ref="CB70" si="229">CB69/BX69-1</f>
        <v>3.7725396519130427E-2</v>
      </c>
      <c r="CC70" s="1022">
        <f t="shared" ref="CC70" si="230">CC69/BY69-1</f>
        <v>5.0449868815261478E-2</v>
      </c>
      <c r="CD70" s="1022">
        <f t="shared" ref="CD70" si="231">CD69/BZ69-1</f>
        <v>1.0423841877977846E-3</v>
      </c>
      <c r="CE70" s="1023">
        <f t="shared" ref="CE70" si="232">CE69/CA69-1</f>
        <v>-8.2460387691382642E-2</v>
      </c>
      <c r="CF70" s="1022">
        <f t="shared" ref="CF70" si="233">CF69/CB69-1</f>
        <v>-0.17686238320715308</v>
      </c>
      <c r="CG70" s="1022">
        <f t="shared" ref="CG70" si="234">CG69/CC69-1</f>
        <v>-0.19456834431515502</v>
      </c>
      <c r="CH70" s="1022">
        <f t="shared" ref="CH70" si="235">CH69/CD69-1</f>
        <v>-0.16137273123176121</v>
      </c>
      <c r="CI70" s="1023">
        <f t="shared" ref="CI70" si="236">CI69/CE69-1</f>
        <v>-0.12306005121840835</v>
      </c>
      <c r="CJ70" s="1022">
        <f t="shared" ref="CJ70" si="237">CJ69/CF69-1</f>
        <v>-2.2449832602117636E-2</v>
      </c>
      <c r="CK70" s="1022">
        <f t="shared" ref="CK70" si="238">CK69/CG69-1</f>
        <v>2.2084737997864146E-2</v>
      </c>
      <c r="CL70" s="1022">
        <f t="shared" ref="CL70" si="239">CL69/CH69-1</f>
        <v>4.4787369035106384E-3</v>
      </c>
      <c r="CM70" s="1023">
        <f t="shared" ref="CM70" si="240">CM69/CI69-1</f>
        <v>-1.538006090866717E-2</v>
      </c>
      <c r="CN70" s="1022">
        <f t="shared" ref="CN70" si="241">CN69/CJ69-1</f>
        <v>-3.3938972660388145E-2</v>
      </c>
      <c r="CO70" s="1022">
        <f t="shared" ref="CO70" si="242">CO69/CK69-1</f>
        <v>-2.5193357520337134E-2</v>
      </c>
      <c r="CP70" s="1022">
        <f t="shared" ref="CP70:CQ70" si="243">CP69/CL69-1</f>
        <v>5.1923168252758556E-2</v>
      </c>
      <c r="CQ70" s="1023">
        <f t="shared" si="243"/>
        <v>9.1886825560544283E-2</v>
      </c>
      <c r="CR70" s="1022">
        <f t="shared" ref="CR70" si="244">CR69/CN69-1</f>
        <v>0.15394701481539297</v>
      </c>
      <c r="CS70" s="1022">
        <f t="shared" ref="CS70" si="245">CS69/CO69-1</f>
        <v>0.11724697453987432</v>
      </c>
      <c r="CT70" s="1022">
        <f t="shared" ref="CT70" si="246">CT69/CP69-1</f>
        <v>4.7030432419335133E-2</v>
      </c>
      <c r="CU70" s="1023">
        <f t="shared" ref="CU70" si="247">CU69/CQ69-1</f>
        <v>4.4450410971790477E-2</v>
      </c>
      <c r="CV70" s="416"/>
      <c r="CW70" s="1022"/>
      <c r="CX70" s="1020"/>
      <c r="CY70" s="1020"/>
      <c r="CZ70" s="1020"/>
      <c r="DA70" s="1022"/>
      <c r="DB70" s="1022"/>
      <c r="DC70" s="1020"/>
      <c r="DD70" s="1020"/>
      <c r="DE70" s="1020"/>
      <c r="DF70" s="1022"/>
      <c r="DG70" s="1022"/>
      <c r="DH70" s="1022"/>
      <c r="DI70" s="1022"/>
      <c r="DJ70" s="1022"/>
      <c r="DK70" s="1022">
        <f t="shared" ref="DK70" si="248">DK69/DJ69-1</f>
        <v>7.3948003515065697E-2</v>
      </c>
      <c r="DL70" s="1022">
        <f t="shared" ref="DL70" si="249">DL69/DK69-1</f>
        <v>-5.3123798911562825E-2</v>
      </c>
      <c r="DM70" s="1022">
        <f t="shared" ref="DM70" si="250">DM69/DL69-1</f>
        <v>-4.7949495412512144E-2</v>
      </c>
      <c r="DN70" s="1022">
        <f t="shared" ref="DN70" si="251">DN69/DM69-1</f>
        <v>4.9308519058942846E-2</v>
      </c>
      <c r="DO70" s="1022">
        <f t="shared" ref="DO70" si="252">DO69/DN69-1</f>
        <v>-7.660252180615057E-2</v>
      </c>
      <c r="DP70" s="1022">
        <f t="shared" ref="DP70" si="253">DP69/DO69-1</f>
        <v>3.3041538188897546E-2</v>
      </c>
      <c r="DQ70" s="1022">
        <f t="shared" ref="DQ70" si="254">DQ69/DP69-1</f>
        <v>9.0595499332746243E-4</v>
      </c>
      <c r="DR70" s="1022">
        <f t="shared" ref="DR70" si="255">DR69/DQ69-1</f>
        <v>-0.16492837131531402</v>
      </c>
      <c r="DS70" s="1022">
        <f t="shared" ref="DS70" si="256">DS69/DR69-1</f>
        <v>-2.8786259109538914E-3</v>
      </c>
      <c r="DT70" s="1022">
        <f t="shared" ref="DT70" si="257">DT69/DS69-1</f>
        <v>2.0606479948309886E-2</v>
      </c>
      <c r="DU70" s="1022">
        <f t="shared" ref="DU70" si="258">DU69/DT69-1</f>
        <v>8.8666629207169834E-2</v>
      </c>
      <c r="DV70" s="1022">
        <f t="shared" ref="DV70" si="259">DV69/DU69-1</f>
        <v>0</v>
      </c>
      <c r="DW70" s="1022">
        <f t="shared" ref="DW70" si="260">DW69/DV69-1</f>
        <v>0</v>
      </c>
      <c r="DX70" s="1022">
        <f t="shared" ref="DX70" si="261">DX69/DW69-1</f>
        <v>0</v>
      </c>
      <c r="DY70" s="1022">
        <f t="shared" ref="DY70" si="262">DY69/DX69-1</f>
        <v>0</v>
      </c>
      <c r="DZ70" s="1022">
        <f t="shared" ref="DZ70" si="263">DZ69/DY69-1</f>
        <v>0</v>
      </c>
    </row>
    <row r="71" spans="2:133" ht="15">
      <c r="B71" s="989" t="s">
        <v>443</v>
      </c>
      <c r="C71" s="898"/>
      <c r="D71" s="1019"/>
      <c r="E71" s="1020"/>
      <c r="F71" s="1020"/>
      <c r="G71" s="1021"/>
      <c r="H71" s="1020"/>
      <c r="I71" s="1020"/>
      <c r="J71" s="1020"/>
      <c r="K71" s="1021"/>
      <c r="L71" s="1020"/>
      <c r="M71" s="1020"/>
      <c r="N71" s="1020"/>
      <c r="O71" s="1021"/>
      <c r="P71" s="1020"/>
      <c r="Q71" s="1020"/>
      <c r="R71" s="1020"/>
      <c r="S71" s="1021"/>
      <c r="T71" s="1020"/>
      <c r="U71" s="1020"/>
      <c r="V71" s="1020"/>
      <c r="W71" s="1021"/>
      <c r="X71" s="1020"/>
      <c r="Y71" s="1020"/>
      <c r="Z71" s="1020"/>
      <c r="AA71" s="1021"/>
      <c r="AB71" s="1020"/>
      <c r="AC71" s="1020"/>
      <c r="AD71" s="1020"/>
      <c r="AE71" s="1021"/>
      <c r="AF71" s="1020"/>
      <c r="AG71" s="1020"/>
      <c r="AH71" s="1020"/>
      <c r="AI71" s="1021"/>
      <c r="AJ71" s="1022"/>
      <c r="AK71" s="1022"/>
      <c r="AL71" s="1022"/>
      <c r="AM71" s="1023"/>
      <c r="AN71" s="1022"/>
      <c r="AO71" s="1022"/>
      <c r="AP71" s="1022"/>
      <c r="AQ71" s="1023"/>
      <c r="AR71" s="1022"/>
      <c r="AS71" s="1022"/>
      <c r="AT71" s="1022"/>
      <c r="AU71" s="1023"/>
      <c r="AV71" s="1022"/>
      <c r="AW71" s="1022"/>
      <c r="AX71" s="1022"/>
      <c r="AY71" s="1023"/>
      <c r="AZ71" s="1022"/>
      <c r="BA71" s="1022"/>
      <c r="BB71" s="1022"/>
      <c r="BC71" s="1023"/>
      <c r="BD71" s="1022"/>
      <c r="BE71" s="1022"/>
      <c r="BF71" s="1022"/>
      <c r="BG71" s="1023"/>
      <c r="BH71" s="1022"/>
      <c r="BI71" s="1022"/>
      <c r="BJ71" s="1022"/>
      <c r="BK71" s="1023"/>
      <c r="BL71" s="1022"/>
      <c r="BM71" s="1022"/>
      <c r="BN71" s="1022"/>
      <c r="BO71" s="1023"/>
      <c r="BP71" s="1022"/>
      <c r="BQ71" s="1022"/>
      <c r="BR71" s="1022"/>
      <c r="BS71" s="1023"/>
      <c r="BT71" s="1022">
        <f>BT37</f>
        <v>0.5</v>
      </c>
      <c r="BU71" s="1022">
        <f t="shared" ref="BU71:CU71" si="264">BU37</f>
        <v>0.5</v>
      </c>
      <c r="BV71" s="1022">
        <f t="shared" si="264"/>
        <v>0.5</v>
      </c>
      <c r="BW71" s="1023">
        <f t="shared" si="264"/>
        <v>0.5</v>
      </c>
      <c r="BX71" s="1022">
        <f t="shared" si="264"/>
        <v>0.46</v>
      </c>
      <c r="BY71" s="1022">
        <f t="shared" si="264"/>
        <v>0.46</v>
      </c>
      <c r="BZ71" s="1022">
        <f t="shared" si="264"/>
        <v>0.46</v>
      </c>
      <c r="CA71" s="1023">
        <f t="shared" si="264"/>
        <v>0.46</v>
      </c>
      <c r="CB71" s="1022">
        <f t="shared" si="264"/>
        <v>0.46</v>
      </c>
      <c r="CC71" s="1022">
        <f t="shared" si="264"/>
        <v>0.46</v>
      </c>
      <c r="CD71" s="1022">
        <f t="shared" si="264"/>
        <v>0.46</v>
      </c>
      <c r="CE71" s="1023">
        <f t="shared" si="264"/>
        <v>0.46</v>
      </c>
      <c r="CF71" s="1022">
        <f t="shared" si="264"/>
        <v>0.43</v>
      </c>
      <c r="CG71" s="1022">
        <f t="shared" si="264"/>
        <v>0.43</v>
      </c>
      <c r="CH71" s="1022">
        <f t="shared" si="264"/>
        <v>0.43</v>
      </c>
      <c r="CI71" s="1023">
        <f t="shared" si="264"/>
        <v>0.43</v>
      </c>
      <c r="CJ71" s="1022">
        <f t="shared" si="264"/>
        <v>0.4</v>
      </c>
      <c r="CK71" s="1022">
        <f t="shared" si="264"/>
        <v>0.4</v>
      </c>
      <c r="CL71" s="1022">
        <f t="shared" si="264"/>
        <v>0.4</v>
      </c>
      <c r="CM71" s="1023">
        <f t="shared" si="264"/>
        <v>0.4</v>
      </c>
      <c r="CN71" s="1022">
        <f t="shared" si="264"/>
        <v>0.4</v>
      </c>
      <c r="CO71" s="1022">
        <f t="shared" si="264"/>
        <v>0.4</v>
      </c>
      <c r="CP71" s="1022">
        <f t="shared" si="264"/>
        <v>0.4</v>
      </c>
      <c r="CQ71" s="1023">
        <f t="shared" ref="CQ71" si="265">CQ37</f>
        <v>0.4</v>
      </c>
      <c r="CR71" s="1022">
        <f t="shared" si="264"/>
        <v>0.4</v>
      </c>
      <c r="CS71" s="1022">
        <f t="shared" si="264"/>
        <v>0.4</v>
      </c>
      <c r="CT71" s="1022">
        <f t="shared" si="264"/>
        <v>0.4</v>
      </c>
      <c r="CU71" s="1023">
        <f t="shared" si="264"/>
        <v>0.4</v>
      </c>
      <c r="CV71" s="416"/>
      <c r="CW71" s="1022"/>
      <c r="CX71" s="1020"/>
      <c r="CY71" s="1020"/>
      <c r="CZ71" s="1020"/>
      <c r="DA71" s="1022"/>
      <c r="DB71" s="1022"/>
      <c r="DC71" s="1020"/>
      <c r="DD71" s="1020"/>
      <c r="DE71" s="1020"/>
      <c r="DF71" s="1022"/>
      <c r="DG71" s="1022"/>
      <c r="DH71" s="1022"/>
      <c r="DI71" s="1022"/>
      <c r="DJ71" s="1022"/>
      <c r="DK71" s="1022"/>
      <c r="DL71" s="1022"/>
      <c r="DM71" s="1022"/>
      <c r="DN71" s="1022"/>
      <c r="DO71" s="1022">
        <f>AVERAGE(BT71:BW71)</f>
        <v>0.5</v>
      </c>
      <c r="DP71" s="1022">
        <f>AVERAGE(BX71:CA71)</f>
        <v>0.46</v>
      </c>
      <c r="DQ71" s="1022">
        <f>AVERAGE(CB71:CE71)</f>
        <v>0.46</v>
      </c>
      <c r="DR71" s="1022">
        <f>AVERAGE(CF71:CI71)</f>
        <v>0.43</v>
      </c>
      <c r="DS71" s="1022">
        <f>AVERAGE(CJ71:CM71)</f>
        <v>0.4</v>
      </c>
      <c r="DT71" s="1022">
        <f>AVERAGE(CN71:CQ71)</f>
        <v>0.4</v>
      </c>
      <c r="DU71" s="1022">
        <f>AVERAGE(CR71:CU71)</f>
        <v>0.4</v>
      </c>
      <c r="DV71" s="1022">
        <f t="shared" ref="DV71:DZ71" si="266">DV37</f>
        <v>0.4</v>
      </c>
      <c r="DW71" s="1022">
        <f t="shared" si="266"/>
        <v>0.4</v>
      </c>
      <c r="DX71" s="1022">
        <f t="shared" si="266"/>
        <v>0.4</v>
      </c>
      <c r="DY71" s="1022">
        <f t="shared" si="266"/>
        <v>0.4</v>
      </c>
      <c r="DZ71" s="1022">
        <f t="shared" si="266"/>
        <v>0.4</v>
      </c>
    </row>
    <row r="72" spans="2:133" s="1096" customFormat="1" ht="15">
      <c r="B72" s="1009" t="s">
        <v>177</v>
      </c>
      <c r="C72" s="908"/>
      <c r="D72" s="1091"/>
      <c r="E72" s="1092"/>
      <c r="F72" s="1092"/>
      <c r="G72" s="1093"/>
      <c r="H72" s="1092"/>
      <c r="I72" s="1092"/>
      <c r="J72" s="1092"/>
      <c r="K72" s="1093"/>
      <c r="L72" s="1092"/>
      <c r="M72" s="1092"/>
      <c r="N72" s="1092"/>
      <c r="O72" s="1093"/>
      <c r="P72" s="1092"/>
      <c r="Q72" s="1092"/>
      <c r="R72" s="1092"/>
      <c r="S72" s="1093"/>
      <c r="T72" s="1092"/>
      <c r="U72" s="1092"/>
      <c r="V72" s="1092"/>
      <c r="W72" s="1093"/>
      <c r="X72" s="1092"/>
      <c r="Y72" s="1092"/>
      <c r="Z72" s="1092"/>
      <c r="AA72" s="1093"/>
      <c r="AB72" s="1092"/>
      <c r="AC72" s="1092"/>
      <c r="AD72" s="1092"/>
      <c r="AE72" s="1093"/>
      <c r="AF72" s="1092"/>
      <c r="AG72" s="1092"/>
      <c r="AH72" s="1092"/>
      <c r="AI72" s="1093"/>
      <c r="AJ72" s="1094"/>
      <c r="AK72" s="1094"/>
      <c r="AL72" s="1094"/>
      <c r="AM72" s="1095"/>
      <c r="AN72" s="1094"/>
      <c r="AO72" s="1094"/>
      <c r="AP72" s="1094"/>
      <c r="AQ72" s="1095"/>
      <c r="AR72" s="1094"/>
      <c r="AS72" s="1094"/>
      <c r="AT72" s="1094"/>
      <c r="AU72" s="1095"/>
      <c r="AV72" s="1094"/>
      <c r="AW72" s="1094"/>
      <c r="AX72" s="1094"/>
      <c r="AY72" s="1095"/>
      <c r="AZ72" s="1094"/>
      <c r="BA72" s="1094"/>
      <c r="BB72" s="1094"/>
      <c r="BC72" s="1095"/>
      <c r="BD72" s="1094"/>
      <c r="BE72" s="1094"/>
      <c r="BF72" s="1094"/>
      <c r="BG72" s="1095"/>
      <c r="BH72" s="1094"/>
      <c r="BI72" s="1094"/>
      <c r="BJ72" s="1094"/>
      <c r="BK72" s="1095"/>
      <c r="BL72" s="1094"/>
      <c r="BM72" s="1094"/>
      <c r="BN72" s="1094"/>
      <c r="BO72" s="1095"/>
      <c r="BP72" s="1094"/>
      <c r="BQ72" s="1094"/>
      <c r="BR72" s="1094"/>
      <c r="BS72" s="1095"/>
      <c r="BT72" s="1094">
        <f>BP64*BT70*BT71</f>
        <v>-36.155267667685514</v>
      </c>
      <c r="BU72" s="1094">
        <f t="shared" ref="BU72:CU72" si="267">BQ64*BU70*BU71</f>
        <v>-99.072420459147807</v>
      </c>
      <c r="BV72" s="1094">
        <f t="shared" si="267"/>
        <v>-103.0269566946335</v>
      </c>
      <c r="BW72" s="1095">
        <f t="shared" si="267"/>
        <v>-32.938126214628227</v>
      </c>
      <c r="BX72" s="1094">
        <f t="shared" si="267"/>
        <v>6.1474942848227458</v>
      </c>
      <c r="BY72" s="1094">
        <f t="shared" si="267"/>
        <v>15.3331425288813</v>
      </c>
      <c r="BZ72" s="1094">
        <f t="shared" si="267"/>
        <v>46.113596913864768</v>
      </c>
      <c r="CA72" s="1095">
        <f t="shared" si="267"/>
        <v>38.85500858323956</v>
      </c>
      <c r="CB72" s="1094">
        <f t="shared" si="267"/>
        <v>32.123401488418679</v>
      </c>
      <c r="CC72" s="1094">
        <f t="shared" si="267"/>
        <v>43.951623012642905</v>
      </c>
      <c r="CD72" s="1094">
        <f t="shared" si="267"/>
        <v>0.86606698720016506</v>
      </c>
      <c r="CE72" s="1095">
        <f t="shared" si="267"/>
        <v>-71.516574878533106</v>
      </c>
      <c r="CF72" s="1094">
        <f t="shared" si="267"/>
        <v>-158.49752392207196</v>
      </c>
      <c r="CG72" s="1094">
        <f t="shared" si="267"/>
        <v>-183.8106605579701</v>
      </c>
      <c r="CH72" s="1094">
        <f t="shared" si="267"/>
        <v>-141.00797666850664</v>
      </c>
      <c r="CI72" s="1095">
        <f t="shared" si="267"/>
        <v>-105.40302588943747</v>
      </c>
      <c r="CJ72" s="1094">
        <f t="shared" si="267"/>
        <v>-17.817983139648728</v>
      </c>
      <c r="CK72" s="1094">
        <f t="shared" si="267"/>
        <v>17.949591655144065</v>
      </c>
      <c r="CL72" s="1094">
        <f t="shared" si="267"/>
        <v>3.3751761304856176</v>
      </c>
      <c r="CM72" s="1095">
        <f t="shared" si="267"/>
        <v>-13.061362926076507</v>
      </c>
      <c r="CN72" s="1094">
        <f t="shared" si="267"/>
        <v>-30.797581350942622</v>
      </c>
      <c r="CO72" s="1094">
        <f t="shared" si="267"/>
        <v>-23.472147334547699</v>
      </c>
      <c r="CP72" s="1094">
        <f t="shared" si="267"/>
        <v>45.987311658103195</v>
      </c>
      <c r="CQ72" s="1095">
        <f t="shared" si="267"/>
        <v>83.028935576507834</v>
      </c>
      <c r="CR72" s="1094">
        <f t="shared" si="267"/>
        <v>148.22018586426037</v>
      </c>
      <c r="CS72" s="1094">
        <f t="shared" si="267"/>
        <v>112.07403802317509</v>
      </c>
      <c r="CT72" s="1094">
        <f t="shared" si="267"/>
        <v>45.453972324639018</v>
      </c>
      <c r="CU72" s="1095">
        <f t="shared" si="267"/>
        <v>45.986617174975557</v>
      </c>
      <c r="CV72" s="648"/>
      <c r="CW72" s="1094"/>
      <c r="CX72" s="1092"/>
      <c r="CY72" s="1092"/>
      <c r="CZ72" s="1092"/>
      <c r="DA72" s="1094"/>
      <c r="DB72" s="1094"/>
      <c r="DC72" s="1092"/>
      <c r="DD72" s="1092"/>
      <c r="DE72" s="1092"/>
      <c r="DF72" s="1094"/>
      <c r="DG72" s="1094"/>
      <c r="DH72" s="1094"/>
      <c r="DI72" s="1094"/>
      <c r="DJ72" s="1094"/>
      <c r="DK72" s="1094"/>
      <c r="DL72" s="1094"/>
      <c r="DM72" s="1094"/>
      <c r="DN72" s="1094"/>
      <c r="DO72" s="1094">
        <f>DN64*DO70*DO71</f>
        <v>-272.50198094710976</v>
      </c>
      <c r="DP72" s="1094">
        <f t="shared" ref="DP72:DZ72" si="268">DO64*DP70*DP71</f>
        <v>109.17822947450487</v>
      </c>
      <c r="DQ72" s="1094">
        <f t="shared" si="268"/>
        <v>3.0991234555543437</v>
      </c>
      <c r="DR72" s="1094">
        <f t="shared" si="268"/>
        <v>-588.99104514265014</v>
      </c>
      <c r="DS72" s="1094">
        <f t="shared" si="268"/>
        <v>-9.2383165635061051</v>
      </c>
      <c r="DT72" s="1094">
        <f t="shared" si="268"/>
        <v>74.768551844447586</v>
      </c>
      <c r="DU72" s="1094">
        <f t="shared" si="268"/>
        <v>347.54835983592773</v>
      </c>
      <c r="DV72" s="1094">
        <f t="shared" si="268"/>
        <v>0</v>
      </c>
      <c r="DW72" s="1094">
        <f t="shared" si="268"/>
        <v>0</v>
      </c>
      <c r="DX72" s="1094">
        <f t="shared" si="268"/>
        <v>0</v>
      </c>
      <c r="DY72" s="1094">
        <f t="shared" si="268"/>
        <v>0</v>
      </c>
      <c r="DZ72" s="1094">
        <f t="shared" si="268"/>
        <v>0</v>
      </c>
    </row>
    <row r="73" spans="2:133" s="1086" customFormat="1" ht="15">
      <c r="B73" s="471"/>
      <c r="C73" s="903"/>
      <c r="D73" s="1082"/>
      <c r="E73" s="471"/>
      <c r="F73" s="471"/>
      <c r="G73" s="1083"/>
      <c r="H73" s="471"/>
      <c r="I73" s="471"/>
      <c r="J73" s="471"/>
      <c r="K73" s="1083"/>
      <c r="L73" s="471"/>
      <c r="M73" s="471"/>
      <c r="N73" s="471"/>
      <c r="O73" s="1083"/>
      <c r="P73" s="471"/>
      <c r="Q73" s="471"/>
      <c r="R73" s="471"/>
      <c r="S73" s="1083"/>
      <c r="T73" s="471"/>
      <c r="U73" s="471"/>
      <c r="V73" s="471"/>
      <c r="W73" s="1083"/>
      <c r="X73" s="471"/>
      <c r="Y73" s="471"/>
      <c r="Z73" s="471"/>
      <c r="AA73" s="1083"/>
      <c r="AB73" s="471"/>
      <c r="AC73" s="471"/>
      <c r="AD73" s="471"/>
      <c r="AE73" s="1083"/>
      <c r="AF73" s="471"/>
      <c r="AG73" s="471"/>
      <c r="AH73" s="471"/>
      <c r="AI73" s="1083"/>
      <c r="AJ73" s="471"/>
      <c r="AK73" s="471"/>
      <c r="AL73" s="471"/>
      <c r="AM73" s="1083"/>
      <c r="AN73" s="471"/>
      <c r="AO73" s="471"/>
      <c r="AP73" s="471"/>
      <c r="AQ73" s="1083"/>
      <c r="AR73" s="471"/>
      <c r="AS73" s="471"/>
      <c r="AT73" s="471"/>
      <c r="AU73" s="1083"/>
      <c r="AV73" s="471"/>
      <c r="AW73" s="471"/>
      <c r="AX73" s="471"/>
      <c r="AY73" s="1083"/>
      <c r="AZ73" s="1087"/>
      <c r="BA73" s="1087"/>
      <c r="BB73" s="1087"/>
      <c r="BC73" s="1088"/>
      <c r="BD73" s="1087"/>
      <c r="BE73" s="1087"/>
      <c r="BF73" s="1087"/>
      <c r="BG73" s="1088"/>
      <c r="BH73" s="1087"/>
      <c r="BI73" s="1087"/>
      <c r="BJ73" s="1087"/>
      <c r="BK73" s="1088"/>
      <c r="BL73" s="1087"/>
      <c r="BM73" s="1087"/>
      <c r="BN73" s="1087"/>
      <c r="BO73" s="1088"/>
      <c r="BP73" s="1087"/>
      <c r="BQ73" s="1087"/>
      <c r="BR73" s="1087"/>
      <c r="BS73" s="1088"/>
      <c r="BT73" s="1087"/>
      <c r="BU73" s="1087"/>
      <c r="BV73" s="1087"/>
      <c r="BW73" s="1088"/>
      <c r="BX73" s="1087"/>
      <c r="BY73" s="1087"/>
      <c r="BZ73" s="1087"/>
      <c r="CA73" s="1088"/>
      <c r="CB73" s="1087"/>
      <c r="CC73" s="1087"/>
      <c r="CD73" s="1087"/>
      <c r="CE73" s="1088"/>
      <c r="CF73" s="1087"/>
      <c r="CG73" s="1087"/>
      <c r="CH73" s="1087"/>
      <c r="CI73" s="1088"/>
      <c r="CJ73" s="1087"/>
      <c r="CK73" s="1087"/>
      <c r="CL73" s="1087"/>
      <c r="CM73" s="1088"/>
      <c r="CN73" s="1089"/>
      <c r="CO73" s="1089"/>
      <c r="CP73" s="1089"/>
      <c r="CQ73" s="1090"/>
      <c r="CR73" s="1089"/>
      <c r="CS73" s="1089"/>
      <c r="CT73" s="1089"/>
      <c r="CU73" s="1090"/>
      <c r="CV73" s="471"/>
      <c r="CW73" s="1084"/>
      <c r="CX73" s="471"/>
      <c r="CY73" s="471"/>
      <c r="CZ73" s="471"/>
      <c r="DA73" s="471"/>
      <c r="DB73" s="471"/>
      <c r="DC73" s="471"/>
      <c r="DD73" s="471"/>
      <c r="DE73" s="471"/>
      <c r="DF73" s="471"/>
      <c r="DG73" s="471"/>
      <c r="DH73" s="471"/>
      <c r="DI73" s="471"/>
      <c r="DJ73" s="471"/>
      <c r="DK73" s="471"/>
      <c r="DL73" s="471"/>
      <c r="DM73" s="471"/>
      <c r="DN73" s="471"/>
      <c r="DO73" s="471"/>
      <c r="DP73" s="471"/>
      <c r="DQ73" s="1085"/>
      <c r="DR73" s="1085"/>
      <c r="DS73" s="1085"/>
      <c r="DT73" s="471"/>
      <c r="DU73" s="1085"/>
      <c r="DV73" s="1087"/>
      <c r="DW73" s="1087"/>
      <c r="DX73" s="1087"/>
      <c r="DY73" s="1087"/>
      <c r="DZ73" s="1087"/>
    </row>
    <row r="74" spans="2:133" s="1086" customFormat="1" ht="15">
      <c r="B74" s="471" t="s">
        <v>442</v>
      </c>
      <c r="C74" s="903"/>
      <c r="D74" s="1082"/>
      <c r="E74" s="471"/>
      <c r="F74" s="471"/>
      <c r="G74" s="1083"/>
      <c r="H74" s="471"/>
      <c r="I74" s="471"/>
      <c r="J74" s="471"/>
      <c r="K74" s="1083"/>
      <c r="L74" s="471"/>
      <c r="M74" s="471"/>
      <c r="N74" s="471"/>
      <c r="O74" s="1083"/>
      <c r="P74" s="471"/>
      <c r="Q74" s="471"/>
      <c r="R74" s="471"/>
      <c r="S74" s="1083"/>
      <c r="T74" s="471"/>
      <c r="U74" s="471"/>
      <c r="V74" s="471"/>
      <c r="W74" s="1083"/>
      <c r="X74" s="471"/>
      <c r="Y74" s="471"/>
      <c r="Z74" s="471"/>
      <c r="AA74" s="1083"/>
      <c r="AB74" s="471"/>
      <c r="AC74" s="471"/>
      <c r="AD74" s="471"/>
      <c r="AE74" s="1083"/>
      <c r="AF74" s="471"/>
      <c r="AG74" s="471"/>
      <c r="AH74" s="471"/>
      <c r="AI74" s="1083"/>
      <c r="AJ74" s="471"/>
      <c r="AK74" s="471"/>
      <c r="AL74" s="471"/>
      <c r="AM74" s="1083"/>
      <c r="AN74" s="471"/>
      <c r="AO74" s="471"/>
      <c r="AP74" s="471"/>
      <c r="AQ74" s="1083"/>
      <c r="AR74" s="471"/>
      <c r="AS74" s="471"/>
      <c r="AT74" s="471"/>
      <c r="AU74" s="1083"/>
      <c r="AV74" s="471"/>
      <c r="AW74" s="471"/>
      <c r="AX74" s="471"/>
      <c r="AY74" s="1083"/>
      <c r="AZ74" s="1087">
        <v>0.12881995765985266</v>
      </c>
      <c r="BA74" s="1087">
        <v>0.13023253018264108</v>
      </c>
      <c r="BB74" s="1087">
        <v>0.13228740802972352</v>
      </c>
      <c r="BC74" s="1088">
        <v>0.13452906571806009</v>
      </c>
      <c r="BD74" s="1087">
        <v>0.13957039802041935</v>
      </c>
      <c r="BE74" s="1087">
        <v>0.14371858574278462</v>
      </c>
      <c r="BF74" s="1087">
        <v>0.1461333125499289</v>
      </c>
      <c r="BG74" s="1088">
        <v>0.14618600707540275</v>
      </c>
      <c r="BH74" s="1087">
        <v>0.14625378917287768</v>
      </c>
      <c r="BI74" s="1087">
        <v>0.1463899671073004</v>
      </c>
      <c r="BJ74" s="1087">
        <v>0.14639348016673334</v>
      </c>
      <c r="BK74" s="1088">
        <v>0.14646701584995034</v>
      </c>
      <c r="BL74" s="1087">
        <v>0.14646528909959547</v>
      </c>
      <c r="BM74" s="1087">
        <v>0.14653970166320301</v>
      </c>
      <c r="BN74" s="1087">
        <v>0.14773419395216497</v>
      </c>
      <c r="BO74" s="1088">
        <v>0.15024310358544918</v>
      </c>
      <c r="BP74" s="1087">
        <v>0.15198048380612328</v>
      </c>
      <c r="BQ74" s="1087">
        <v>0.15387175664968633</v>
      </c>
      <c r="BR74" s="1087">
        <v>0.1558475414341941</v>
      </c>
      <c r="BS74" s="1088">
        <v>0.15727807307744193</v>
      </c>
      <c r="BT74" s="1087">
        <v>0.15847184381990281</v>
      </c>
      <c r="BU74" s="1087">
        <v>0.15793326104849459</v>
      </c>
      <c r="BV74" s="1087">
        <v>0.1574380898932739</v>
      </c>
      <c r="BW74" s="1088">
        <v>0.16014828760836858</v>
      </c>
      <c r="BX74" s="1087">
        <v>0.16068431432362579</v>
      </c>
      <c r="BY74" s="1087">
        <v>0.16248460458371564</v>
      </c>
      <c r="BZ74" s="1087">
        <v>0.16324955662904511</v>
      </c>
      <c r="CA74" s="1088">
        <v>0.16418541458869493</v>
      </c>
      <c r="CB74" s="1087">
        <v>0.16391313935408483</v>
      </c>
      <c r="CC74" s="1087">
        <v>0.16047134136142652</v>
      </c>
      <c r="CD74" s="1087">
        <v>0.16221234037752708</v>
      </c>
      <c r="CE74" s="1088">
        <v>0.16264598401189978</v>
      </c>
      <c r="CF74" s="1087">
        <v>0.16035944569753099</v>
      </c>
      <c r="CG74" s="1087">
        <v>0.161193426532066</v>
      </c>
      <c r="CH74" s="1087">
        <v>0.1586425390594155</v>
      </c>
      <c r="CI74" s="1088">
        <v>0.15641936173079443</v>
      </c>
      <c r="CJ74" s="1087">
        <v>0.15290037905180118</v>
      </c>
      <c r="CK74" s="1087">
        <v>0.15304476076572768</v>
      </c>
      <c r="CL74" s="1087">
        <v>0.1500126658421273</v>
      </c>
      <c r="CM74" s="1088">
        <v>0.1463054003686671</v>
      </c>
      <c r="CN74" s="1089">
        <v>0.14516183422920517</v>
      </c>
      <c r="CO74" s="1089">
        <v>0.14575705147387852</v>
      </c>
      <c r="CP74" s="1089">
        <v>0.14991577040099932</v>
      </c>
      <c r="CQ74" s="1090">
        <v>0.151202</v>
      </c>
      <c r="CR74" s="1089">
        <v>0.1572438461538461</v>
      </c>
      <c r="CS74" s="1089">
        <v>0.15936</v>
      </c>
      <c r="CT74" s="1089">
        <f t="shared" ref="CT74:CU74" si="269">CS74</f>
        <v>0.15936</v>
      </c>
      <c r="CU74" s="1090">
        <f t="shared" si="269"/>
        <v>0.15936</v>
      </c>
      <c r="CV74" s="471"/>
      <c r="CW74" s="1084"/>
      <c r="CX74" s="471"/>
      <c r="CY74" s="471"/>
      <c r="CZ74" s="471"/>
      <c r="DA74" s="471"/>
      <c r="DB74" s="471"/>
      <c r="DC74" s="471"/>
      <c r="DD74" s="471"/>
      <c r="DE74" s="471"/>
      <c r="DF74" s="471"/>
      <c r="DG74" s="471"/>
      <c r="DH74" s="471"/>
      <c r="DI74" s="471"/>
      <c r="DJ74" s="471">
        <f>AVERAGE(AZ74:BC74)</f>
        <v>0.13146724039756935</v>
      </c>
      <c r="DK74" s="471">
        <f>AVERAGE(BD74:BG74)</f>
        <v>0.14390207584713391</v>
      </c>
      <c r="DL74" s="471">
        <f>AVERAGE(BH74:BK74)</f>
        <v>0.14637606307421544</v>
      </c>
      <c r="DM74" s="471">
        <f>AVERAGE(BL74:BO74)</f>
        <v>0.14774557207510317</v>
      </c>
      <c r="DN74" s="471">
        <f>AVERAGE(BP74:BS74)</f>
        <v>0.1547444637418614</v>
      </c>
      <c r="DO74" s="471">
        <f>AVERAGE(BT74:BW74)</f>
        <v>0.15849787059250997</v>
      </c>
      <c r="DP74" s="471">
        <f>AVERAGE(BX74:CA74)</f>
        <v>0.16265097253127037</v>
      </c>
      <c r="DQ74" s="1085">
        <f>AVERAGE(CB74:CE74)</f>
        <v>0.16231070127623454</v>
      </c>
      <c r="DR74" s="1085">
        <f>AVERAGE(CF74:CI74)</f>
        <v>0.15915369325495174</v>
      </c>
      <c r="DS74" s="1085">
        <f>AVERAGE(CJ74:CM74)</f>
        <v>0.15056580150708082</v>
      </c>
      <c r="DT74" s="471">
        <f>AVERAGE(CN74:CQ74)</f>
        <v>0.14800916402602077</v>
      </c>
      <c r="DU74" s="1085">
        <f>AVERAGE(CR74:CU74)</f>
        <v>0.15883096153846152</v>
      </c>
      <c r="DV74" s="1087">
        <f>DU74</f>
        <v>0.15883096153846152</v>
      </c>
      <c r="DW74" s="1087">
        <f>DV74</f>
        <v>0.15883096153846152</v>
      </c>
      <c r="DX74" s="1087">
        <f>DW74</f>
        <v>0.15883096153846152</v>
      </c>
      <c r="DY74" s="1087">
        <f>DX74</f>
        <v>0.15883096153846152</v>
      </c>
      <c r="DZ74" s="1087">
        <f>DY74</f>
        <v>0.15883096153846152</v>
      </c>
    </row>
    <row r="75" spans="2:133" ht="15">
      <c r="B75" s="989" t="s">
        <v>293</v>
      </c>
      <c r="C75" s="898"/>
      <c r="D75" s="1019"/>
      <c r="E75" s="1020"/>
      <c r="F75" s="1020"/>
      <c r="G75" s="1021"/>
      <c r="H75" s="1020"/>
      <c r="I75" s="1020"/>
      <c r="J75" s="1020"/>
      <c r="K75" s="1021"/>
      <c r="L75" s="1020"/>
      <c r="M75" s="1020"/>
      <c r="N75" s="1020"/>
      <c r="O75" s="1021"/>
      <c r="P75" s="1020"/>
      <c r="Q75" s="1020"/>
      <c r="R75" s="1020"/>
      <c r="S75" s="1021"/>
      <c r="T75" s="1020"/>
      <c r="U75" s="1020"/>
      <c r="V75" s="1020"/>
      <c r="W75" s="1021"/>
      <c r="X75" s="1020"/>
      <c r="Y75" s="1020"/>
      <c r="Z75" s="1020"/>
      <c r="AA75" s="1021"/>
      <c r="AB75" s="1020"/>
      <c r="AC75" s="1020"/>
      <c r="AD75" s="1020"/>
      <c r="AE75" s="1021"/>
      <c r="AF75" s="1020"/>
      <c r="AG75" s="1020"/>
      <c r="AH75" s="1020"/>
      <c r="AI75" s="1021"/>
      <c r="AJ75" s="1022"/>
      <c r="AK75" s="1022"/>
      <c r="AL75" s="1022"/>
      <c r="AM75" s="1023"/>
      <c r="AN75" s="1022"/>
      <c r="AO75" s="1022"/>
      <c r="AP75" s="1022"/>
      <c r="AQ75" s="1023"/>
      <c r="AR75" s="1022"/>
      <c r="AS75" s="1022"/>
      <c r="AT75" s="1022"/>
      <c r="AU75" s="1023"/>
      <c r="AV75" s="1022"/>
      <c r="AW75" s="1022"/>
      <c r="AX75" s="1022"/>
      <c r="AY75" s="1023"/>
      <c r="AZ75" s="1022"/>
      <c r="BA75" s="1022"/>
      <c r="BB75" s="1022"/>
      <c r="BC75" s="1023"/>
      <c r="BD75" s="1022">
        <f t="shared" ref="BD75" si="270">BD74/AZ74-1</f>
        <v>8.3453220726504851E-2</v>
      </c>
      <c r="BE75" s="1022">
        <f t="shared" ref="BE75" si="271">BE74/BA74-1</f>
        <v>0.10355366313800696</v>
      </c>
      <c r="BF75" s="1022">
        <f t="shared" ref="BF75" si="272">BF74/BB74-1</f>
        <v>0.10466532473819701</v>
      </c>
      <c r="BG75" s="1023">
        <f t="shared" ref="BG75" si="273">BG74/BC74-1</f>
        <v>8.6649983742344228E-2</v>
      </c>
      <c r="BH75" s="1022">
        <f t="shared" ref="BH75" si="274">BH74/BD74-1</f>
        <v>4.7885448829060095E-2</v>
      </c>
      <c r="BI75" s="1022">
        <f t="shared" ref="BI75" si="275">BI74/BE74-1</f>
        <v>1.8587584554281555E-2</v>
      </c>
      <c r="BJ75" s="1022">
        <f t="shared" ref="BJ75" si="276">BJ74/BF74-1</f>
        <v>1.7803443463006996E-3</v>
      </c>
      <c r="BK75" s="1023">
        <f t="shared" ref="BK75" si="277">BK74/BG74-1</f>
        <v>1.9222686231703534E-3</v>
      </c>
      <c r="BL75" s="1022">
        <f t="shared" ref="BL75" si="278">BL74/BH74-1</f>
        <v>1.4461158778442673E-3</v>
      </c>
      <c r="BM75" s="1022">
        <f t="shared" ref="BM75" si="279">BM74/BI74-1</f>
        <v>1.0228471176092491E-3</v>
      </c>
      <c r="BN75" s="1022">
        <f t="shared" ref="BN75" si="280">BN74/BJ74-1</f>
        <v>9.1582889067507445E-3</v>
      </c>
      <c r="BO75" s="1023">
        <f t="shared" ref="BO75" si="281">BO74/BK74-1</f>
        <v>2.5781147472597521E-2</v>
      </c>
      <c r="BP75" s="1022">
        <f t="shared" ref="BP75" si="282">BP74/BL74-1</f>
        <v>3.7655302088520859E-2</v>
      </c>
      <c r="BQ75" s="1022">
        <f t="shared" ref="BQ75" si="283">BQ74/BM74-1</f>
        <v>5.0034597472668585E-2</v>
      </c>
      <c r="BR75" s="1022">
        <f t="shared" ref="BR75" si="284">BR74/BN74-1</f>
        <v>5.4918548407663526E-2</v>
      </c>
      <c r="BS75" s="1023">
        <f t="shared" ref="BS75" si="285">BS74/BO74-1</f>
        <v>4.6823909544651432E-2</v>
      </c>
      <c r="BT75" s="1022">
        <f t="shared" ref="BT75" si="286">BT74/BP74-1</f>
        <v>4.271179990491647E-2</v>
      </c>
      <c r="BU75" s="1022">
        <f t="shared" ref="BU75" si="287">BU74/BQ74-1</f>
        <v>2.6395385919034675E-2</v>
      </c>
      <c r="BV75" s="1022">
        <f t="shared" ref="BV75" si="288">BV74/BR74-1</f>
        <v>1.0205797566279928E-2</v>
      </c>
      <c r="BW75" s="1023">
        <f t="shared" ref="BW75" si="289">BW74/BS74-1</f>
        <v>1.8249298676957793E-2</v>
      </c>
      <c r="BX75" s="1022">
        <f t="shared" ref="BX75" si="290">BX74/BT74-1</f>
        <v>1.3961284543627661E-2</v>
      </c>
      <c r="BY75" s="1022">
        <f t="shared" ref="BY75" si="291">BY74/BU74-1</f>
        <v>2.8818144480810215E-2</v>
      </c>
      <c r="BZ75" s="1022">
        <f t="shared" ref="BZ75" si="292">BZ74/BV74-1</f>
        <v>3.6912711147034205E-2</v>
      </c>
      <c r="CA75" s="1023">
        <f t="shared" ref="CA75" si="293">CA74/BW74-1</f>
        <v>2.5208680283855811E-2</v>
      </c>
      <c r="CB75" s="1022">
        <f t="shared" ref="CB75" si="294">CB74/BX74-1</f>
        <v>2.0094214199128491E-2</v>
      </c>
      <c r="CC75" s="1022">
        <f t="shared" ref="CC75" si="295">CC74/BY74-1</f>
        <v>-1.2390486024488778E-2</v>
      </c>
      <c r="CD75" s="1022">
        <f t="shared" ref="CD75" si="296">CD74/BZ74-1</f>
        <v>-6.3535624410602232E-3</v>
      </c>
      <c r="CE75" s="1023">
        <f t="shared" ref="CE75" si="297">CE74/CA74-1</f>
        <v>-9.3761713283218029E-3</v>
      </c>
      <c r="CF75" s="1022">
        <f t="shared" ref="CF75" si="298">CF74/CB74-1</f>
        <v>-2.1680346496671943E-2</v>
      </c>
      <c r="CG75" s="1022">
        <f t="shared" ref="CG75" si="299">CG74/CC74-1</f>
        <v>4.4997764991141498E-3</v>
      </c>
      <c r="CH75" s="1022">
        <f t="shared" ref="CH75" si="300">CH74/CD74-1</f>
        <v>-2.200696512856759E-2</v>
      </c>
      <c r="CI75" s="1023">
        <f t="shared" ref="CI75" si="301">CI74/CE74-1</f>
        <v>-3.8283283285062808E-2</v>
      </c>
      <c r="CJ75" s="1022">
        <f t="shared" ref="CJ75" si="302">CJ74/CF74-1</f>
        <v>-4.6514669674021292E-2</v>
      </c>
      <c r="CK75" s="1022">
        <f t="shared" ref="CK75" si="303">CK74/CG74-1</f>
        <v>-5.0552097201788326E-2</v>
      </c>
      <c r="CL75" s="1022">
        <f t="shared" ref="CL75" si="304">CL74/CH74-1</f>
        <v>-5.4398229305042234E-2</v>
      </c>
      <c r="CM75" s="1023">
        <f t="shared" ref="CM75" si="305">CM74/CI74-1</f>
        <v>-6.4659267562630518E-2</v>
      </c>
      <c r="CN75" s="1022">
        <f t="shared" ref="CN75" si="306">CN74/CJ74-1</f>
        <v>-5.0611678470556698E-2</v>
      </c>
      <c r="CO75" s="1022">
        <f t="shared" ref="CO75" si="307">CO74/CK74-1</f>
        <v>-4.7618155991662969E-2</v>
      </c>
      <c r="CP75" s="1022">
        <f t="shared" ref="CP75:CQ75" si="308">CP74/CL74-1</f>
        <v>-6.4591506713140845E-4</v>
      </c>
      <c r="CQ75" s="1023">
        <f t="shared" si="308"/>
        <v>3.3468345112307674E-2</v>
      </c>
      <c r="CR75" s="1022">
        <f t="shared" ref="CR75" si="309">CR74/CN74-1</f>
        <v>8.3231325842603177E-2</v>
      </c>
      <c r="CS75" s="1022">
        <f t="shared" ref="CS75" si="310">CS74/CO74-1</f>
        <v>9.3326177969230484E-2</v>
      </c>
      <c r="CT75" s="1022">
        <f t="shared" ref="CT75" si="311">CT74/CP74-1</f>
        <v>6.2996905353846167E-2</v>
      </c>
      <c r="CU75" s="1023">
        <f t="shared" ref="CU75" si="312">CU74/CQ74-1</f>
        <v>5.39543127736406E-2</v>
      </c>
      <c r="CV75" s="416"/>
      <c r="CW75" s="1022"/>
      <c r="CX75" s="1020"/>
      <c r="CY75" s="1020"/>
      <c r="CZ75" s="1020"/>
      <c r="DA75" s="1022"/>
      <c r="DB75" s="1022"/>
      <c r="DC75" s="1020"/>
      <c r="DD75" s="1020"/>
      <c r="DE75" s="1020"/>
      <c r="DF75" s="1022"/>
      <c r="DG75" s="1022"/>
      <c r="DH75" s="1022"/>
      <c r="DI75" s="1022"/>
      <c r="DJ75" s="1022"/>
      <c r="DK75" s="1022">
        <f t="shared" ref="DK75" si="313">DK74/DJ74-1</f>
        <v>9.4585049567941448E-2</v>
      </c>
      <c r="DL75" s="1022">
        <f t="shared" ref="DL75" si="314">DL74/DK74-1</f>
        <v>1.7192158017995673E-2</v>
      </c>
      <c r="DM75" s="1022">
        <f t="shared" ref="DM75" si="315">DM74/DL74-1</f>
        <v>9.3560994340540216E-3</v>
      </c>
      <c r="DN75" s="1022">
        <f t="shared" ref="DN75" si="316">DN74/DM74-1</f>
        <v>4.7371244826210468E-2</v>
      </c>
      <c r="DO75" s="1022">
        <f t="shared" ref="DO75" si="317">DO74/DN74-1</f>
        <v>2.4255516222601914E-2</v>
      </c>
      <c r="DP75" s="1022">
        <f t="shared" ref="DP75" si="318">DP74/DO74-1</f>
        <v>2.6202887920417695E-2</v>
      </c>
      <c r="DQ75" s="1022">
        <f t="shared" ref="DQ75" si="319">DQ74/DP74-1</f>
        <v>-2.0920333259637491E-3</v>
      </c>
      <c r="DR75" s="1022">
        <f t="shared" ref="DR75" si="320">DR74/DQ74-1</f>
        <v>-1.9450399736182011E-2</v>
      </c>
      <c r="DS75" s="1022">
        <f t="shared" ref="DS75" si="321">DS74/DR74-1</f>
        <v>-5.3959738993387907E-2</v>
      </c>
      <c r="DT75" s="1022">
        <f t="shared" ref="DT75" si="322">DT74/DS74-1</f>
        <v>-1.6980200387269329E-2</v>
      </c>
      <c r="DU75" s="1022">
        <f t="shared" ref="DU75" si="323">DU74/DT74-1</f>
        <v>7.311572620286011E-2</v>
      </c>
      <c r="DV75" s="1022">
        <f t="shared" ref="DV75" si="324">DV74/DU74-1</f>
        <v>0</v>
      </c>
      <c r="DW75" s="1022">
        <f t="shared" ref="DW75" si="325">DW74/DV74-1</f>
        <v>0</v>
      </c>
      <c r="DX75" s="1022">
        <f t="shared" ref="DX75" si="326">DX74/DW74-1</f>
        <v>0</v>
      </c>
      <c r="DY75" s="1022">
        <f t="shared" ref="DY75" si="327">DY74/DX74-1</f>
        <v>0</v>
      </c>
      <c r="DZ75" s="1022">
        <f t="shared" ref="DZ75" si="328">DZ74/DY74-1</f>
        <v>0</v>
      </c>
    </row>
    <row r="76" spans="2:133" ht="15">
      <c r="B76" s="989" t="s">
        <v>443</v>
      </c>
      <c r="C76" s="898"/>
      <c r="D76" s="1019"/>
      <c r="E76" s="1020"/>
      <c r="F76" s="1020"/>
      <c r="G76" s="1021"/>
      <c r="H76" s="1020"/>
      <c r="I76" s="1020"/>
      <c r="J76" s="1020"/>
      <c r="K76" s="1021"/>
      <c r="L76" s="1020"/>
      <c r="M76" s="1020"/>
      <c r="N76" s="1020"/>
      <c r="O76" s="1021"/>
      <c r="P76" s="1020"/>
      <c r="Q76" s="1020"/>
      <c r="R76" s="1020"/>
      <c r="S76" s="1021"/>
      <c r="T76" s="1020"/>
      <c r="U76" s="1020"/>
      <c r="V76" s="1020"/>
      <c r="W76" s="1021"/>
      <c r="X76" s="1020"/>
      <c r="Y76" s="1020"/>
      <c r="Z76" s="1020"/>
      <c r="AA76" s="1021"/>
      <c r="AB76" s="1020"/>
      <c r="AC76" s="1020"/>
      <c r="AD76" s="1020"/>
      <c r="AE76" s="1021"/>
      <c r="AF76" s="1020"/>
      <c r="AG76" s="1020"/>
      <c r="AH76" s="1020"/>
      <c r="AI76" s="1021"/>
      <c r="AJ76" s="1022"/>
      <c r="AK76" s="1022"/>
      <c r="AL76" s="1022"/>
      <c r="AM76" s="1023"/>
      <c r="AN76" s="1022"/>
      <c r="AO76" s="1022"/>
      <c r="AP76" s="1022"/>
      <c r="AQ76" s="1023"/>
      <c r="AR76" s="1022"/>
      <c r="AS76" s="1022"/>
      <c r="AT76" s="1022"/>
      <c r="AU76" s="1023"/>
      <c r="AV76" s="1022"/>
      <c r="AW76" s="1022"/>
      <c r="AX76" s="1022"/>
      <c r="AY76" s="1023"/>
      <c r="AZ76" s="1022"/>
      <c r="BA76" s="1022"/>
      <c r="BB76" s="1022"/>
      <c r="BC76" s="1023"/>
      <c r="BD76" s="1022"/>
      <c r="BE76" s="1022"/>
      <c r="BF76" s="1022"/>
      <c r="BG76" s="1023"/>
      <c r="BH76" s="1022"/>
      <c r="BI76" s="1022"/>
      <c r="BJ76" s="1022"/>
      <c r="BK76" s="1023"/>
      <c r="BL76" s="1022"/>
      <c r="BM76" s="1022"/>
      <c r="BN76" s="1022"/>
      <c r="BO76" s="1023"/>
      <c r="BP76" s="1022"/>
      <c r="BQ76" s="1022"/>
      <c r="BR76" s="1022"/>
      <c r="BS76" s="1023"/>
      <c r="BT76" s="1022">
        <f>BT38</f>
        <v>0.06</v>
      </c>
      <c r="BU76" s="1022">
        <f t="shared" ref="BU76:CU76" si="329">BU38</f>
        <v>0.06</v>
      </c>
      <c r="BV76" s="1022">
        <f t="shared" si="329"/>
        <v>0.06</v>
      </c>
      <c r="BW76" s="1023">
        <f t="shared" si="329"/>
        <v>0.06</v>
      </c>
      <c r="BX76" s="1022">
        <f t="shared" si="329"/>
        <v>0.08</v>
      </c>
      <c r="BY76" s="1022">
        <f t="shared" si="329"/>
        <v>0.08</v>
      </c>
      <c r="BZ76" s="1022">
        <f t="shared" si="329"/>
        <v>0.08</v>
      </c>
      <c r="CA76" s="1023">
        <f t="shared" si="329"/>
        <v>0.08</v>
      </c>
      <c r="CB76" s="1022">
        <f t="shared" si="329"/>
        <v>0.1</v>
      </c>
      <c r="CC76" s="1022">
        <f t="shared" si="329"/>
        <v>0.1</v>
      </c>
      <c r="CD76" s="1022">
        <f t="shared" si="329"/>
        <v>0.1</v>
      </c>
      <c r="CE76" s="1023">
        <f t="shared" si="329"/>
        <v>0.1</v>
      </c>
      <c r="CF76" s="1022">
        <f t="shared" si="329"/>
        <v>0.13</v>
      </c>
      <c r="CG76" s="1022">
        <f t="shared" si="329"/>
        <v>0.13</v>
      </c>
      <c r="CH76" s="1022">
        <f t="shared" si="329"/>
        <v>0.13</v>
      </c>
      <c r="CI76" s="1023">
        <f t="shared" si="329"/>
        <v>0.13</v>
      </c>
      <c r="CJ76" s="1022">
        <f t="shared" si="329"/>
        <v>0.13</v>
      </c>
      <c r="CK76" s="1022">
        <f t="shared" si="329"/>
        <v>0.13</v>
      </c>
      <c r="CL76" s="1022">
        <f t="shared" si="329"/>
        <v>0.13</v>
      </c>
      <c r="CM76" s="1023">
        <f t="shared" si="329"/>
        <v>0.13</v>
      </c>
      <c r="CN76" s="1022">
        <f t="shared" si="329"/>
        <v>0.13</v>
      </c>
      <c r="CO76" s="1022">
        <f t="shared" si="329"/>
        <v>0.13</v>
      </c>
      <c r="CP76" s="1022">
        <f t="shared" si="329"/>
        <v>0.13</v>
      </c>
      <c r="CQ76" s="1023">
        <f t="shared" ref="CQ76" si="330">CQ38</f>
        <v>0.13</v>
      </c>
      <c r="CR76" s="1022">
        <f t="shared" si="329"/>
        <v>0.13</v>
      </c>
      <c r="CS76" s="1022">
        <f t="shared" si="329"/>
        <v>0.13</v>
      </c>
      <c r="CT76" s="1022">
        <f t="shared" si="329"/>
        <v>0.13</v>
      </c>
      <c r="CU76" s="1023">
        <f t="shared" si="329"/>
        <v>0.13</v>
      </c>
      <c r="CV76" s="416"/>
      <c r="CW76" s="1022"/>
      <c r="CX76" s="1020"/>
      <c r="CY76" s="1020"/>
      <c r="CZ76" s="1020"/>
      <c r="DA76" s="1022"/>
      <c r="DB76" s="1022"/>
      <c r="DC76" s="1020"/>
      <c r="DD76" s="1020"/>
      <c r="DE76" s="1020"/>
      <c r="DF76" s="1022"/>
      <c r="DG76" s="1022"/>
      <c r="DH76" s="1022"/>
      <c r="DI76" s="1022"/>
      <c r="DJ76" s="1022"/>
      <c r="DK76" s="1022"/>
      <c r="DL76" s="1022"/>
      <c r="DM76" s="1022"/>
      <c r="DN76" s="1022"/>
      <c r="DO76" s="1022">
        <f>AVERAGE(BT76:BW76)</f>
        <v>0.06</v>
      </c>
      <c r="DP76" s="1022">
        <f>AVERAGE(BX76:CA76)</f>
        <v>0.08</v>
      </c>
      <c r="DQ76" s="1022">
        <f>AVERAGE(CB76:CE76)</f>
        <v>0.1</v>
      </c>
      <c r="DR76" s="1022">
        <f>AVERAGE(CF76:CI76)</f>
        <v>0.13</v>
      </c>
      <c r="DS76" s="1022">
        <f>AVERAGE(CJ76:CM76)</f>
        <v>0.13</v>
      </c>
      <c r="DT76" s="1022">
        <f>AVERAGE(CN76:CQ76)</f>
        <v>0.13</v>
      </c>
      <c r="DU76" s="1022">
        <f>AVERAGE(CR76:CU76)</f>
        <v>0.13</v>
      </c>
      <c r="DV76" s="1022">
        <f t="shared" ref="DV76:DZ76" si="331">DV38</f>
        <v>0.13</v>
      </c>
      <c r="DW76" s="1022">
        <f t="shared" si="331"/>
        <v>0.13</v>
      </c>
      <c r="DX76" s="1022">
        <f t="shared" si="331"/>
        <v>0.13</v>
      </c>
      <c r="DY76" s="1022">
        <f t="shared" si="331"/>
        <v>0.13</v>
      </c>
      <c r="DZ76" s="1022">
        <f t="shared" si="331"/>
        <v>0.13</v>
      </c>
    </row>
    <row r="77" spans="2:133" s="1096" customFormat="1" ht="15">
      <c r="B77" s="1009" t="s">
        <v>177</v>
      </c>
      <c r="C77" s="908"/>
      <c r="D77" s="1091"/>
      <c r="E77" s="1092"/>
      <c r="F77" s="1092"/>
      <c r="G77" s="1093"/>
      <c r="H77" s="1092"/>
      <c r="I77" s="1092"/>
      <c r="J77" s="1092"/>
      <c r="K77" s="1093"/>
      <c r="L77" s="1092"/>
      <c r="M77" s="1092"/>
      <c r="N77" s="1092"/>
      <c r="O77" s="1093"/>
      <c r="P77" s="1092"/>
      <c r="Q77" s="1092"/>
      <c r="R77" s="1092"/>
      <c r="S77" s="1093"/>
      <c r="T77" s="1092"/>
      <c r="U77" s="1092"/>
      <c r="V77" s="1092"/>
      <c r="W77" s="1093"/>
      <c r="X77" s="1092"/>
      <c r="Y77" s="1092"/>
      <c r="Z77" s="1092"/>
      <c r="AA77" s="1093"/>
      <c r="AB77" s="1092"/>
      <c r="AC77" s="1092"/>
      <c r="AD77" s="1092"/>
      <c r="AE77" s="1093"/>
      <c r="AF77" s="1092"/>
      <c r="AG77" s="1092"/>
      <c r="AH77" s="1092"/>
      <c r="AI77" s="1093"/>
      <c r="AJ77" s="1094"/>
      <c r="AK77" s="1094"/>
      <c r="AL77" s="1094"/>
      <c r="AM77" s="1095"/>
      <c r="AN77" s="1094"/>
      <c r="AO77" s="1094"/>
      <c r="AP77" s="1094"/>
      <c r="AQ77" s="1095"/>
      <c r="AR77" s="1094"/>
      <c r="AS77" s="1094"/>
      <c r="AT77" s="1094"/>
      <c r="AU77" s="1095"/>
      <c r="AV77" s="1094"/>
      <c r="AW77" s="1094"/>
      <c r="AX77" s="1094"/>
      <c r="AY77" s="1095"/>
      <c r="AZ77" s="1094"/>
      <c r="BA77" s="1094"/>
      <c r="BB77" s="1094"/>
      <c r="BC77" s="1095"/>
      <c r="BD77" s="1094"/>
      <c r="BE77" s="1094"/>
      <c r="BF77" s="1094"/>
      <c r="BG77" s="1095"/>
      <c r="BH77" s="1094"/>
      <c r="BI77" s="1094"/>
      <c r="BJ77" s="1094"/>
      <c r="BK77" s="1095"/>
      <c r="BL77" s="1094"/>
      <c r="BM77" s="1094"/>
      <c r="BN77" s="1094"/>
      <c r="BO77" s="1095"/>
      <c r="BP77" s="1094"/>
      <c r="BQ77" s="1094"/>
      <c r="BR77" s="1094"/>
      <c r="BS77" s="1095"/>
      <c r="BT77" s="1094">
        <f>BP64*BT75*BT76</f>
        <v>4.4345099133280472</v>
      </c>
      <c r="BU77" s="1094">
        <f t="shared" ref="BU77:CU77" si="332">BQ64*BU75*BU76</f>
        <v>2.8804756745724163</v>
      </c>
      <c r="BV77" s="1094">
        <f t="shared" si="332"/>
        <v>1.0972048847556224</v>
      </c>
      <c r="BW77" s="1095">
        <f t="shared" si="332"/>
        <v>1.942126863799202</v>
      </c>
      <c r="BX77" s="1094">
        <f t="shared" si="332"/>
        <v>2.1360765351750324</v>
      </c>
      <c r="BY77" s="1094">
        <f t="shared" si="332"/>
        <v>4.279840273134087</v>
      </c>
      <c r="BZ77" s="1094">
        <f t="shared" si="332"/>
        <v>5.0059542349161914</v>
      </c>
      <c r="CA77" s="1095">
        <f t="shared" si="332"/>
        <v>3.4668993820781226</v>
      </c>
      <c r="CB77" s="1094">
        <f t="shared" si="332"/>
        <v>3.7196399904006756</v>
      </c>
      <c r="CC77" s="1094">
        <f t="shared" si="332"/>
        <v>-2.3466341481779298</v>
      </c>
      <c r="CD77" s="1094">
        <f t="shared" si="332"/>
        <v>-1.1475804481042977</v>
      </c>
      <c r="CE77" s="1095">
        <f t="shared" si="332"/>
        <v>-1.7677833422417928</v>
      </c>
      <c r="CF77" s="1094">
        <f t="shared" si="332"/>
        <v>-5.8739213173828206</v>
      </c>
      <c r="CG77" s="1094">
        <f t="shared" si="332"/>
        <v>1.2851811659119923</v>
      </c>
      <c r="CH77" s="1094">
        <f t="shared" si="332"/>
        <v>-5.8136459989090863</v>
      </c>
      <c r="CI77" s="1095">
        <f t="shared" si="332"/>
        <v>-9.913341356817158</v>
      </c>
      <c r="CJ77" s="1094">
        <f t="shared" si="332"/>
        <v>-11.998272983735097</v>
      </c>
      <c r="CK77" s="1094">
        <f t="shared" si="332"/>
        <v>-13.353184819560783</v>
      </c>
      <c r="CL77" s="1094">
        <f t="shared" si="332"/>
        <v>-13.323214321390946</v>
      </c>
      <c r="CM77" s="1095">
        <f t="shared" si="332"/>
        <v>-17.846151825088711</v>
      </c>
      <c r="CN77" s="1094">
        <f t="shared" si="332"/>
        <v>-14.92629499117964</v>
      </c>
      <c r="CO77" s="1094">
        <f t="shared" si="332"/>
        <v>-14.41858716165158</v>
      </c>
      <c r="CP77" s="1094">
        <f t="shared" si="332"/>
        <v>-0.18592406841350739</v>
      </c>
      <c r="CQ77" s="1095">
        <f t="shared" si="332"/>
        <v>9.8286489091313971</v>
      </c>
      <c r="CR77" s="1094">
        <f t="shared" si="332"/>
        <v>26.043914169408961</v>
      </c>
      <c r="CS77" s="1094">
        <f t="shared" si="332"/>
        <v>28.992803774099116</v>
      </c>
      <c r="CT77" s="1094">
        <f t="shared" si="332"/>
        <v>19.787705953075204</v>
      </c>
      <c r="CU77" s="1095">
        <f t="shared" si="332"/>
        <v>18.141166492506727</v>
      </c>
      <c r="CV77" s="648"/>
      <c r="CW77" s="1094"/>
      <c r="CX77" s="1092"/>
      <c r="CY77" s="1092"/>
      <c r="CZ77" s="1092"/>
      <c r="DA77" s="1094"/>
      <c r="DB77" s="1094"/>
      <c r="DC77" s="1092"/>
      <c r="DD77" s="1092"/>
      <c r="DE77" s="1092"/>
      <c r="DF77" s="1094"/>
      <c r="DG77" s="1094"/>
      <c r="DH77" s="1094"/>
      <c r="DI77" s="1094"/>
      <c r="DJ77" s="1094"/>
      <c r="DK77" s="1094"/>
      <c r="DL77" s="1094"/>
      <c r="DM77" s="1094"/>
      <c r="DN77" s="1094"/>
      <c r="DO77" s="1094">
        <f>DN64*DO75*DO76</f>
        <v>10.354243276136751</v>
      </c>
      <c r="DP77" s="1094">
        <f t="shared" ref="DP77:DZ77" si="333">DO64*DP75*DP76</f>
        <v>15.057646760795551</v>
      </c>
      <c r="DQ77" s="1094">
        <f t="shared" si="333"/>
        <v>-1.5557615031862018</v>
      </c>
      <c r="DR77" s="1094">
        <f t="shared" si="333"/>
        <v>-20.999876930365478</v>
      </c>
      <c r="DS77" s="1094">
        <f t="shared" si="333"/>
        <v>-56.280871125927483</v>
      </c>
      <c r="DT77" s="1094">
        <f t="shared" si="333"/>
        <v>-20.023561702679611</v>
      </c>
      <c r="DU77" s="1094">
        <f t="shared" si="333"/>
        <v>93.142781651359329</v>
      </c>
      <c r="DV77" s="1094">
        <f t="shared" si="333"/>
        <v>0</v>
      </c>
      <c r="DW77" s="1094">
        <f t="shared" si="333"/>
        <v>0</v>
      </c>
      <c r="DX77" s="1094">
        <f t="shared" si="333"/>
        <v>0</v>
      </c>
      <c r="DY77" s="1094">
        <f t="shared" si="333"/>
        <v>0</v>
      </c>
      <c r="DZ77" s="1094">
        <f t="shared" si="333"/>
        <v>0</v>
      </c>
    </row>
    <row r="78" spans="2:133" ht="15">
      <c r="B78" s="588"/>
      <c r="C78" s="901"/>
      <c r="D78" s="1024"/>
      <c r="E78" s="588"/>
      <c r="F78" s="588"/>
      <c r="G78" s="980"/>
      <c r="H78" s="588"/>
      <c r="I78" s="588"/>
      <c r="J78" s="588"/>
      <c r="K78" s="980"/>
      <c r="L78" s="588"/>
      <c r="M78" s="588"/>
      <c r="N78" s="588"/>
      <c r="O78" s="980"/>
      <c r="P78" s="588"/>
      <c r="Q78" s="588"/>
      <c r="R78" s="588"/>
      <c r="S78" s="980"/>
      <c r="T78" s="588"/>
      <c r="U78" s="588"/>
      <c r="V78" s="588"/>
      <c r="W78" s="980"/>
      <c r="X78" s="588"/>
      <c r="Y78" s="588"/>
      <c r="Z78" s="588"/>
      <c r="AA78" s="980"/>
      <c r="AB78" s="588"/>
      <c r="AC78" s="588"/>
      <c r="AD78" s="588"/>
      <c r="AE78" s="980"/>
      <c r="AF78" s="588"/>
      <c r="AG78" s="588"/>
      <c r="AH78" s="588"/>
      <c r="AI78" s="980"/>
      <c r="AJ78" s="588"/>
      <c r="AK78" s="588"/>
      <c r="AL78" s="588"/>
      <c r="AM78" s="980"/>
      <c r="AN78" s="588"/>
      <c r="AO78" s="588"/>
      <c r="AP78" s="588"/>
      <c r="AQ78" s="980"/>
      <c r="AR78" s="588"/>
      <c r="AS78" s="588"/>
      <c r="AT78" s="588"/>
      <c r="AU78" s="980"/>
      <c r="AV78" s="588"/>
      <c r="AW78" s="588"/>
      <c r="AX78" s="588"/>
      <c r="AY78" s="980"/>
      <c r="AZ78" s="588"/>
      <c r="BA78" s="588"/>
      <c r="BB78" s="588"/>
      <c r="BC78" s="980"/>
      <c r="BD78" s="588"/>
      <c r="BE78" s="588"/>
      <c r="BF78" s="588"/>
      <c r="BG78" s="980"/>
      <c r="BH78" s="588"/>
      <c r="BI78" s="588"/>
      <c r="BJ78" s="588"/>
      <c r="BK78" s="980"/>
      <c r="BL78" s="588"/>
      <c r="BM78" s="588"/>
      <c r="BN78" s="588"/>
      <c r="BO78" s="980"/>
      <c r="BP78" s="588"/>
      <c r="BQ78" s="588"/>
      <c r="BR78" s="588"/>
      <c r="BS78" s="980"/>
      <c r="BT78" s="588"/>
      <c r="BU78" s="588"/>
      <c r="BV78" s="588"/>
      <c r="BW78" s="980"/>
      <c r="BX78" s="588"/>
      <c r="BY78" s="588"/>
      <c r="BZ78" s="588"/>
      <c r="CA78" s="980"/>
      <c r="CB78" s="588"/>
      <c r="CC78" s="588"/>
      <c r="CD78" s="588"/>
      <c r="CE78" s="980"/>
      <c r="CF78" s="588"/>
      <c r="CG78" s="588"/>
      <c r="CH78" s="588"/>
      <c r="CI78" s="980"/>
      <c r="CJ78" s="588"/>
      <c r="CK78" s="588"/>
      <c r="CL78" s="588"/>
      <c r="CM78" s="980"/>
      <c r="CN78" s="941"/>
      <c r="CO78" s="941"/>
      <c r="CP78" s="941"/>
      <c r="CQ78" s="930"/>
      <c r="CR78" s="1094"/>
      <c r="CS78" s="1094"/>
      <c r="CT78" s="1094"/>
      <c r="CU78" s="1095"/>
      <c r="CV78" s="376"/>
      <c r="CW78" s="1025"/>
      <c r="CX78" s="588"/>
      <c r="CY78" s="588"/>
      <c r="CZ78" s="588"/>
      <c r="DA78" s="588"/>
      <c r="DB78" s="588"/>
      <c r="DC78" s="588"/>
      <c r="DD78" s="588"/>
      <c r="DE78" s="588"/>
      <c r="DF78" s="588"/>
      <c r="DG78" s="588"/>
      <c r="DH78" s="588"/>
      <c r="DI78" s="588"/>
      <c r="DJ78" s="588"/>
      <c r="DK78" s="588"/>
      <c r="DL78" s="588"/>
      <c r="DM78" s="588"/>
      <c r="DN78" s="588"/>
      <c r="DO78" s="588"/>
      <c r="DP78" s="588"/>
      <c r="DQ78" s="1026"/>
      <c r="DR78" s="1026"/>
      <c r="DS78" s="1026"/>
      <c r="DT78" s="588"/>
      <c r="DU78" s="1026"/>
      <c r="DV78" s="588"/>
      <c r="DW78" s="588"/>
      <c r="DX78" s="588"/>
      <c r="DY78" s="588"/>
      <c r="DZ78" s="588"/>
    </row>
    <row r="79" spans="2:133" ht="15" collapsed="1">
      <c r="B79" s="937" t="s">
        <v>80</v>
      </c>
      <c r="C79" s="658"/>
      <c r="D79" s="1003"/>
      <c r="E79" s="1004"/>
      <c r="F79" s="1004"/>
      <c r="G79" s="1005"/>
      <c r="H79" s="1004"/>
      <c r="I79" s="1004"/>
      <c r="J79" s="1004"/>
      <c r="K79" s="1005"/>
      <c r="L79" s="1004"/>
      <c r="M79" s="1004"/>
      <c r="N79" s="1004"/>
      <c r="O79" s="1005"/>
      <c r="P79" s="1004"/>
      <c r="Q79" s="1004"/>
      <c r="R79" s="1004"/>
      <c r="S79" s="1005"/>
      <c r="T79" s="1004"/>
      <c r="U79" s="1004"/>
      <c r="V79" s="1004"/>
      <c r="W79" s="1005"/>
      <c r="X79" s="1004"/>
      <c r="Y79" s="1004"/>
      <c r="Z79" s="1004"/>
      <c r="AA79" s="1005"/>
      <c r="AB79" s="1004"/>
      <c r="AC79" s="1004"/>
      <c r="AD79" s="1004"/>
      <c r="AE79" s="1005"/>
      <c r="AF79" s="1006"/>
      <c r="AG79" s="1006">
        <v>59.6</v>
      </c>
      <c r="AH79" s="1006">
        <v>47.9</v>
      </c>
      <c r="AI79" s="1007">
        <v>57.2</v>
      </c>
      <c r="AJ79" s="1006">
        <v>60.9</v>
      </c>
      <c r="AK79" s="1006">
        <v>60.5</v>
      </c>
      <c r="AL79" s="1006">
        <v>55.6</v>
      </c>
      <c r="AM79" s="1007">
        <v>61.2</v>
      </c>
      <c r="AN79" s="1006">
        <v>68</v>
      </c>
      <c r="AO79" s="1006">
        <v>75.7</v>
      </c>
      <c r="AP79" s="1006">
        <v>65.2</v>
      </c>
      <c r="AQ79" s="1007">
        <v>72.900000000000006</v>
      </c>
      <c r="AR79" s="1006">
        <f>0.116*722</f>
        <v>83.75200000000001</v>
      </c>
      <c r="AS79" s="1006">
        <v>90</v>
      </c>
      <c r="AT79" s="1006">
        <v>94.1</v>
      </c>
      <c r="AU79" s="1007">
        <f>DH79-SUM(AR79:AT79)</f>
        <v>86.648000000000025</v>
      </c>
      <c r="AV79" s="1006">
        <v>96.3</v>
      </c>
      <c r="AW79" s="1006">
        <v>95.4</v>
      </c>
      <c r="AX79" s="1006">
        <f>76.1</f>
        <v>76.099999999999994</v>
      </c>
      <c r="AY79" s="1007">
        <v>98</v>
      </c>
      <c r="AZ79" s="1006">
        <v>85.3</v>
      </c>
      <c r="BA79" s="1006">
        <v>108.3</v>
      </c>
      <c r="BB79" s="1006">
        <v>100.9</v>
      </c>
      <c r="BC79" s="1007">
        <v>123.5</v>
      </c>
      <c r="BD79" s="1006">
        <v>137.9</v>
      </c>
      <c r="BE79" s="1006">
        <f>126.4+4.5</f>
        <v>130.9</v>
      </c>
      <c r="BF79" s="1006">
        <f>94.1+19</f>
        <v>113.1</v>
      </c>
      <c r="BG79" s="1007">
        <f>36.5</f>
        <v>36.5</v>
      </c>
      <c r="BH79" s="1006">
        <v>35.9</v>
      </c>
      <c r="BI79" s="1006">
        <v>44</v>
      </c>
      <c r="BJ79" s="1006">
        <v>56.6</v>
      </c>
      <c r="BK79" s="1007">
        <v>83.3</v>
      </c>
      <c r="BL79" s="1006">
        <v>106.7</v>
      </c>
      <c r="BM79" s="1006">
        <v>132.80000000000001</v>
      </c>
      <c r="BN79" s="1006">
        <v>136.4</v>
      </c>
      <c r="BO79" s="1007">
        <v>162</v>
      </c>
      <c r="BP79" s="1006">
        <v>186.1</v>
      </c>
      <c r="BQ79" s="1006">
        <v>197</v>
      </c>
      <c r="BR79" s="1006">
        <v>188</v>
      </c>
      <c r="BS79" s="1007">
        <v>202.8</v>
      </c>
      <c r="BT79" s="1006">
        <v>209.8</v>
      </c>
      <c r="BU79" s="1006">
        <v>210.5</v>
      </c>
      <c r="BV79" s="1006">
        <v>184.1</v>
      </c>
      <c r="BW79" s="1007">
        <v>182</v>
      </c>
      <c r="BX79" s="1006">
        <v>202.3</v>
      </c>
      <c r="BY79" s="1006">
        <v>220.3</v>
      </c>
      <c r="BZ79" s="1006">
        <v>195.5</v>
      </c>
      <c r="CA79" s="1007">
        <v>207.9</v>
      </c>
      <c r="CB79" s="1006">
        <v>231.7</v>
      </c>
      <c r="CC79" s="1006">
        <v>241.7</v>
      </c>
      <c r="CD79" s="1006">
        <v>222.6</v>
      </c>
      <c r="CE79" s="1007">
        <v>228</v>
      </c>
      <c r="CF79" s="1006">
        <v>230</v>
      </c>
      <c r="CG79" s="1006">
        <v>228</v>
      </c>
      <c r="CH79" s="1006">
        <v>211.9</v>
      </c>
      <c r="CI79" s="1007">
        <v>230.4</v>
      </c>
      <c r="CJ79" s="1006">
        <v>233.4</v>
      </c>
      <c r="CK79" s="1006">
        <v>234.8</v>
      </c>
      <c r="CL79" s="1006">
        <v>218.2</v>
      </c>
      <c r="CM79" s="1007">
        <v>247.7</v>
      </c>
      <c r="CN79" s="1006">
        <v>247</v>
      </c>
      <c r="CO79" s="1006">
        <v>244.3</v>
      </c>
      <c r="CP79" s="1006">
        <v>238.5</v>
      </c>
      <c r="CQ79" s="1007">
        <v>265.89999999999998</v>
      </c>
      <c r="CR79" s="937">
        <f>CR80*CR44</f>
        <v>264.40933440891263</v>
      </c>
      <c r="CS79" s="937">
        <f>CS80*CS44</f>
        <v>273.48190072596282</v>
      </c>
      <c r="CT79" s="937">
        <f>CT80*CT44</f>
        <v>246.41171211940303</v>
      </c>
      <c r="CU79" s="926">
        <f>CU80*CU44</f>
        <v>274.08570601551133</v>
      </c>
      <c r="CV79" s="406"/>
      <c r="CW79" s="1004"/>
      <c r="CX79" s="1008"/>
      <c r="CY79" s="1008"/>
      <c r="CZ79" s="1008"/>
      <c r="DA79" s="1008"/>
      <c r="DB79" s="1008"/>
      <c r="DC79" s="1008"/>
      <c r="DD79" s="1008"/>
      <c r="DE79" s="1008">
        <f>SUM(AF79:AI79)</f>
        <v>164.7</v>
      </c>
      <c r="DF79" s="1008">
        <f>SUM(AJ79:AM79)</f>
        <v>238.2</v>
      </c>
      <c r="DG79" s="1008">
        <f>SUM(AN79:AQ79)</f>
        <v>281.79999999999995</v>
      </c>
      <c r="DH79" s="1027">
        <v>354.5</v>
      </c>
      <c r="DI79" s="1008">
        <f>SUM(AV79:AY79)</f>
        <v>365.79999999999995</v>
      </c>
      <c r="DJ79" s="1008">
        <f>SUM(AZ79:BC79)</f>
        <v>418</v>
      </c>
      <c r="DK79" s="1008">
        <f>SUM(BD79:BG79)</f>
        <v>418.4</v>
      </c>
      <c r="DL79" s="1008">
        <f>SUM(BH79:BK79)</f>
        <v>219.8</v>
      </c>
      <c r="DM79" s="1008">
        <f>SUM(BL79:BO79)</f>
        <v>537.9</v>
      </c>
      <c r="DN79" s="1008">
        <f>SUM(BP79:BS79)</f>
        <v>773.90000000000009</v>
      </c>
      <c r="DO79" s="1008">
        <f>SUM(BT79:BW79)</f>
        <v>786.4</v>
      </c>
      <c r="DP79" s="1008">
        <f>SUM(BX79:CA79)</f>
        <v>826</v>
      </c>
      <c r="DQ79" s="1008">
        <f>SUM(CB79:CE79)</f>
        <v>924</v>
      </c>
      <c r="DR79" s="1008">
        <f>SUM(CF79:CI79)</f>
        <v>900.3</v>
      </c>
      <c r="DS79" s="1008">
        <f>SUM(CJ79:CM79)</f>
        <v>934.10000000000014</v>
      </c>
      <c r="DT79" s="665">
        <f>SUM(CN79:CQ79)</f>
        <v>995.69999999999993</v>
      </c>
      <c r="DU79" s="665">
        <f>SUM(CR79:CU79)</f>
        <v>1058.3886532697898</v>
      </c>
      <c r="DV79" s="665">
        <f>DV80*DV44</f>
        <v>1088.4316252762289</v>
      </c>
      <c r="DW79" s="665">
        <f>DW80*DW44</f>
        <v>1110.0332329491484</v>
      </c>
      <c r="DX79" s="665">
        <f>DX80*DX44</f>
        <v>1124.8654479265765</v>
      </c>
      <c r="DY79" s="665">
        <f>DY80*DY44</f>
        <v>1125.0081476298394</v>
      </c>
      <c r="DZ79" s="665">
        <f>DZ80*DZ44</f>
        <v>1108.659807462702</v>
      </c>
    </row>
    <row r="80" spans="2:133" ht="15">
      <c r="B80" s="989" t="s">
        <v>240</v>
      </c>
      <c r="C80" s="898"/>
      <c r="D80" s="990"/>
      <c r="E80" s="991"/>
      <c r="F80" s="991"/>
      <c r="G80" s="992"/>
      <c r="H80" s="991"/>
      <c r="I80" s="991"/>
      <c r="J80" s="991"/>
      <c r="K80" s="992"/>
      <c r="L80" s="991"/>
      <c r="M80" s="991"/>
      <c r="N80" s="991"/>
      <c r="O80" s="992"/>
      <c r="P80" s="991"/>
      <c r="Q80" s="991"/>
      <c r="R80" s="991"/>
      <c r="S80" s="992"/>
      <c r="T80" s="991"/>
      <c r="U80" s="991"/>
      <c r="V80" s="991"/>
      <c r="W80" s="992"/>
      <c r="X80" s="991"/>
      <c r="Y80" s="991"/>
      <c r="Z80" s="991"/>
      <c r="AA80" s="992"/>
      <c r="AB80" s="991"/>
      <c r="AC80" s="991"/>
      <c r="AD80" s="991"/>
      <c r="AE80" s="992"/>
      <c r="AF80" s="991"/>
      <c r="AG80" s="991">
        <f t="shared" ref="AG80:BL80" si="334">AG79/AG44</f>
        <v>0.1372639336711193</v>
      </c>
      <c r="AH80" s="991">
        <f t="shared" si="334"/>
        <v>0.11497839654344694</v>
      </c>
      <c r="AI80" s="992">
        <f t="shared" si="334"/>
        <v>0.14016172506738545</v>
      </c>
      <c r="AJ80" s="991">
        <f t="shared" si="334"/>
        <v>0.13074280807213395</v>
      </c>
      <c r="AK80" s="991">
        <f t="shared" si="334"/>
        <v>0.12828668363019508</v>
      </c>
      <c r="AL80" s="991">
        <f t="shared" si="334"/>
        <v>0.12317235268054941</v>
      </c>
      <c r="AM80" s="992">
        <f t="shared" si="334"/>
        <v>0.12726138490330632</v>
      </c>
      <c r="AN80" s="991">
        <f t="shared" si="334"/>
        <v>0.12206067133369233</v>
      </c>
      <c r="AO80" s="991">
        <f t="shared" si="334"/>
        <v>0.13527519656897785</v>
      </c>
      <c r="AP80" s="991">
        <f t="shared" si="334"/>
        <v>0.12239534447155997</v>
      </c>
      <c r="AQ80" s="992">
        <f t="shared" si="334"/>
        <v>0.1284355179704017</v>
      </c>
      <c r="AR80" s="991">
        <f t="shared" si="334"/>
        <v>0.11600000000000002</v>
      </c>
      <c r="AS80" s="991">
        <f t="shared" si="334"/>
        <v>0.12283335608025112</v>
      </c>
      <c r="AT80" s="991">
        <f t="shared" si="334"/>
        <v>0.13442857142857143</v>
      </c>
      <c r="AU80" s="992">
        <f t="shared" si="334"/>
        <v>0.12365919794491226</v>
      </c>
      <c r="AV80" s="991">
        <f t="shared" si="334"/>
        <v>0.12253467362259829</v>
      </c>
      <c r="AW80" s="991">
        <f t="shared" si="334"/>
        <v>0.12045454545454547</v>
      </c>
      <c r="AX80" s="991">
        <f t="shared" si="334"/>
        <v>0.10334057577403584</v>
      </c>
      <c r="AY80" s="992">
        <f t="shared" si="334"/>
        <v>0.1165833928146562</v>
      </c>
      <c r="AZ80" s="991">
        <f t="shared" si="334"/>
        <v>9.5403198747343695E-2</v>
      </c>
      <c r="BA80" s="991">
        <f t="shared" si="334"/>
        <v>0.11335566254971739</v>
      </c>
      <c r="BB80" s="991">
        <f t="shared" si="334"/>
        <v>0.10804154620409039</v>
      </c>
      <c r="BC80" s="992">
        <f t="shared" si="334"/>
        <v>0.12629103180284282</v>
      </c>
      <c r="BD80" s="991">
        <f t="shared" si="334"/>
        <v>0.12558054821965214</v>
      </c>
      <c r="BE80" s="991">
        <f t="shared" si="334"/>
        <v>0.11803426510369704</v>
      </c>
      <c r="BF80" s="991">
        <f t="shared" si="334"/>
        <v>0.11610717585463504</v>
      </c>
      <c r="BG80" s="992">
        <f t="shared" si="334"/>
        <v>5.3652800235190361E-2</v>
      </c>
      <c r="BH80" s="991">
        <f t="shared" si="334"/>
        <v>5.7485988791032824E-2</v>
      </c>
      <c r="BI80" s="991">
        <f t="shared" si="334"/>
        <v>6.5632458233890217E-2</v>
      </c>
      <c r="BJ80" s="991">
        <f t="shared" si="334"/>
        <v>7.6975384196926427E-2</v>
      </c>
      <c r="BK80" s="992">
        <f t="shared" si="334"/>
        <v>9.7655334114888623E-2</v>
      </c>
      <c r="BL80" s="991">
        <f t="shared" si="334"/>
        <v>0.11777041942604857</v>
      </c>
      <c r="BM80" s="991">
        <f t="shared" ref="BM80:CP80" si="335">BM79/BM44</f>
        <v>0.13050314465408805</v>
      </c>
      <c r="BN80" s="991">
        <f t="shared" si="335"/>
        <v>0.13388299960738123</v>
      </c>
      <c r="BO80" s="992">
        <f t="shared" si="335"/>
        <v>0.14484978540772531</v>
      </c>
      <c r="BP80" s="991">
        <f t="shared" si="335"/>
        <v>0.14895149671842484</v>
      </c>
      <c r="BQ80" s="991">
        <f t="shared" si="335"/>
        <v>0.15178365051236611</v>
      </c>
      <c r="BR80" s="991">
        <f t="shared" si="335"/>
        <v>0.14941980607216659</v>
      </c>
      <c r="BS80" s="992">
        <f t="shared" si="335"/>
        <v>0.16287848365593127</v>
      </c>
      <c r="BT80" s="991">
        <f t="shared" si="335"/>
        <v>0.16037303164653724</v>
      </c>
      <c r="BU80" s="991">
        <f t="shared" si="335"/>
        <v>0.16580025204788912</v>
      </c>
      <c r="BV80" s="991">
        <f t="shared" si="335"/>
        <v>0.15761986301369862</v>
      </c>
      <c r="BW80" s="992">
        <f t="shared" si="335"/>
        <v>0.1559287183002056</v>
      </c>
      <c r="BX80" s="991">
        <f t="shared" si="335"/>
        <v>0.16087475149105368</v>
      </c>
      <c r="BY80" s="991">
        <f t="shared" si="335"/>
        <v>0.17100054335170381</v>
      </c>
      <c r="BZ80" s="991">
        <f t="shared" si="335"/>
        <v>0.16153019912418409</v>
      </c>
      <c r="CA80" s="992">
        <f t="shared" si="335"/>
        <v>0.16421800947867299</v>
      </c>
      <c r="CB80" s="991">
        <f t="shared" si="335"/>
        <v>0.16408186389065929</v>
      </c>
      <c r="CC80" s="991">
        <f t="shared" si="335"/>
        <v>0.16140233722871453</v>
      </c>
      <c r="CD80" s="991">
        <f t="shared" si="335"/>
        <v>0.1576040781648258</v>
      </c>
      <c r="CE80" s="992">
        <f t="shared" si="335"/>
        <v>0.16475178842401905</v>
      </c>
      <c r="CF80" s="991">
        <f t="shared" si="335"/>
        <v>0.16655804185676007</v>
      </c>
      <c r="CG80" s="991">
        <f t="shared" si="335"/>
        <v>0.16135881104033969</v>
      </c>
      <c r="CH80" s="991">
        <f t="shared" si="335"/>
        <v>0.16189166475666589</v>
      </c>
      <c r="CI80" s="992">
        <f t="shared" si="335"/>
        <v>0.16490123103349555</v>
      </c>
      <c r="CJ80" s="991">
        <f t="shared" si="335"/>
        <v>0.16680960548885077</v>
      </c>
      <c r="CK80" s="991">
        <f t="shared" si="335"/>
        <v>0.1625813599224484</v>
      </c>
      <c r="CL80" s="991">
        <f t="shared" si="335"/>
        <v>0.16052379901419847</v>
      </c>
      <c r="CM80" s="992">
        <f t="shared" si="335"/>
        <v>0.17853538993801354</v>
      </c>
      <c r="CN80" s="991">
        <f t="shared" si="335"/>
        <v>0.16517319780660691</v>
      </c>
      <c r="CO80" s="991">
        <f t="shared" si="335"/>
        <v>0.16486705358347956</v>
      </c>
      <c r="CP80" s="991">
        <f t="shared" si="335"/>
        <v>0.15832448220924056</v>
      </c>
      <c r="CQ80" s="992">
        <f t="shared" ref="CQ80" si="336">CQ79/CQ44</f>
        <v>0.16851511502630076</v>
      </c>
      <c r="CR80" s="1011">
        <v>0.16500000000000001</v>
      </c>
      <c r="CS80" s="1011">
        <v>0.16500000000000001</v>
      </c>
      <c r="CT80" s="1011">
        <v>0.158</v>
      </c>
      <c r="CU80" s="1012">
        <v>0.16800000000000001</v>
      </c>
      <c r="CV80" s="416"/>
      <c r="CW80" s="991"/>
      <c r="CX80" s="991"/>
      <c r="CY80" s="991"/>
      <c r="CZ80" s="991"/>
      <c r="DA80" s="991"/>
      <c r="DB80" s="991"/>
      <c r="DC80" s="991"/>
      <c r="DD80" s="991"/>
      <c r="DE80" s="991"/>
      <c r="DF80" s="991">
        <f t="shared" ref="DF80:DU80" si="337">DF79/DF44</f>
        <v>0.12740011766593567</v>
      </c>
      <c r="DG80" s="991">
        <f t="shared" si="337"/>
        <v>0.12710870545782588</v>
      </c>
      <c r="DH80" s="991">
        <f t="shared" si="337"/>
        <v>0.12415073194648737</v>
      </c>
      <c r="DI80" s="991">
        <f t="shared" si="337"/>
        <v>0.11594662271387364</v>
      </c>
      <c r="DJ80" s="991">
        <f t="shared" si="337"/>
        <v>0.11113178954085023</v>
      </c>
      <c r="DK80" s="991">
        <f t="shared" si="337"/>
        <v>0.10835167680952996</v>
      </c>
      <c r="DL80" s="991">
        <f t="shared" si="337"/>
        <v>7.623473917869035E-2</v>
      </c>
      <c r="DM80" s="991">
        <f t="shared" si="337"/>
        <v>0.1324615839243499</v>
      </c>
      <c r="DN80" s="991">
        <f t="shared" si="337"/>
        <v>0.15322931928879738</v>
      </c>
      <c r="DO80" s="991">
        <f t="shared" si="337"/>
        <v>0.16006513331976388</v>
      </c>
      <c r="DP80" s="991">
        <f t="shared" si="337"/>
        <v>0.16447302921088786</v>
      </c>
      <c r="DQ80" s="991">
        <f t="shared" si="337"/>
        <v>0.16193764349182427</v>
      </c>
      <c r="DR80" s="991">
        <f t="shared" si="337"/>
        <v>0.16369090909090908</v>
      </c>
      <c r="DS80" s="991">
        <f t="shared" si="337"/>
        <v>0.1670989785513676</v>
      </c>
      <c r="DT80" s="991">
        <f t="shared" si="337"/>
        <v>0.16426627072506805</v>
      </c>
      <c r="DU80" s="991">
        <f t="shared" si="337"/>
        <v>0.1640664070294004</v>
      </c>
      <c r="DV80" s="1011">
        <f>DU80-0.003</f>
        <v>0.16106640702940039</v>
      </c>
      <c r="DW80" s="1011">
        <f t="shared" ref="DW80:DZ80" si="338">DV80-0.003</f>
        <v>0.15806640702940039</v>
      </c>
      <c r="DX80" s="1011">
        <f t="shared" si="338"/>
        <v>0.15506640702940039</v>
      </c>
      <c r="DY80" s="1011">
        <f t="shared" si="338"/>
        <v>0.15206640702940039</v>
      </c>
      <c r="DZ80" s="1011">
        <f t="shared" si="338"/>
        <v>0.14906640702940038</v>
      </c>
    </row>
    <row r="81" spans="2:130" ht="15">
      <c r="B81" s="1009" t="s">
        <v>347</v>
      </c>
      <c r="C81" s="908"/>
      <c r="D81" s="1010"/>
      <c r="E81" s="941"/>
      <c r="F81" s="941"/>
      <c r="G81" s="930"/>
      <c r="H81" s="941"/>
      <c r="I81" s="941"/>
      <c r="J81" s="941"/>
      <c r="K81" s="930"/>
      <c r="L81" s="941"/>
      <c r="M81" s="941"/>
      <c r="N81" s="941"/>
      <c r="O81" s="930"/>
      <c r="P81" s="941"/>
      <c r="Q81" s="941"/>
      <c r="R81" s="941"/>
      <c r="S81" s="930"/>
      <c r="T81" s="941"/>
      <c r="U81" s="941"/>
      <c r="V81" s="941"/>
      <c r="W81" s="930"/>
      <c r="X81" s="941"/>
      <c r="Y81" s="941"/>
      <c r="Z81" s="941"/>
      <c r="AA81" s="930"/>
      <c r="AB81" s="941"/>
      <c r="AC81" s="941"/>
      <c r="AD81" s="941"/>
      <c r="AE81" s="930"/>
      <c r="AF81" s="941"/>
      <c r="AG81" s="941"/>
      <c r="AH81" s="941">
        <f t="shared" ref="AH81:BM81" si="339">(AH80-AG80)*10000</f>
        <v>-222.85537127672367</v>
      </c>
      <c r="AI81" s="930">
        <f t="shared" si="339"/>
        <v>251.83328523938508</v>
      </c>
      <c r="AJ81" s="941">
        <f t="shared" si="339"/>
        <v>-94.189169952514916</v>
      </c>
      <c r="AK81" s="941">
        <f t="shared" si="339"/>
        <v>-24.561244419388785</v>
      </c>
      <c r="AL81" s="941">
        <f t="shared" si="339"/>
        <v>-51.143309496456681</v>
      </c>
      <c r="AM81" s="930">
        <f t="shared" si="339"/>
        <v>40.890322227569165</v>
      </c>
      <c r="AN81" s="941">
        <f t="shared" si="339"/>
        <v>-52.007135696139905</v>
      </c>
      <c r="AO81" s="941">
        <f t="shared" si="339"/>
        <v>132.14525235285518</v>
      </c>
      <c r="AP81" s="941">
        <f t="shared" si="339"/>
        <v>-128.79852097417876</v>
      </c>
      <c r="AQ81" s="930">
        <f t="shared" si="339"/>
        <v>60.401734988417275</v>
      </c>
      <c r="AR81" s="941">
        <f t="shared" si="339"/>
        <v>-124.35517970401683</v>
      </c>
      <c r="AS81" s="941">
        <f t="shared" si="339"/>
        <v>68.333560802510959</v>
      </c>
      <c r="AT81" s="941">
        <f t="shared" si="339"/>
        <v>115.95215348320309</v>
      </c>
      <c r="AU81" s="930">
        <f t="shared" si="339"/>
        <v>-107.69373483659167</v>
      </c>
      <c r="AV81" s="941">
        <f t="shared" si="339"/>
        <v>-11.245243223139688</v>
      </c>
      <c r="AW81" s="941">
        <f t="shared" si="339"/>
        <v>-20.801281680528223</v>
      </c>
      <c r="AX81" s="941">
        <f t="shared" si="339"/>
        <v>-171.13969680509626</v>
      </c>
      <c r="AY81" s="930">
        <f t="shared" si="339"/>
        <v>132.42817040620358</v>
      </c>
      <c r="AZ81" s="941">
        <f t="shared" si="339"/>
        <v>-211.80194067312502</v>
      </c>
      <c r="BA81" s="941">
        <f t="shared" si="339"/>
        <v>179.52463802373697</v>
      </c>
      <c r="BB81" s="941">
        <f t="shared" si="339"/>
        <v>-53.141163456270071</v>
      </c>
      <c r="BC81" s="930">
        <f t="shared" si="339"/>
        <v>182.49485598752432</v>
      </c>
      <c r="BD81" s="941">
        <f t="shared" si="339"/>
        <v>-7.1048358319067422</v>
      </c>
      <c r="BE81" s="941">
        <f t="shared" si="339"/>
        <v>-75.462831159551072</v>
      </c>
      <c r="BF81" s="941">
        <f t="shared" si="339"/>
        <v>-19.27089249062</v>
      </c>
      <c r="BG81" s="930">
        <f t="shared" si="339"/>
        <v>-624.5437561944467</v>
      </c>
      <c r="BH81" s="941">
        <f t="shared" si="339"/>
        <v>38.331885558424638</v>
      </c>
      <c r="BI81" s="941">
        <f t="shared" si="339"/>
        <v>81.464694428573935</v>
      </c>
      <c r="BJ81" s="941">
        <f t="shared" si="339"/>
        <v>113.4292596303621</v>
      </c>
      <c r="BK81" s="930">
        <f t="shared" si="339"/>
        <v>206.79949917962196</v>
      </c>
      <c r="BL81" s="941">
        <f t="shared" si="339"/>
        <v>201.1508531115995</v>
      </c>
      <c r="BM81" s="941">
        <f t="shared" si="339"/>
        <v>127.32725228039476</v>
      </c>
      <c r="BN81" s="941">
        <f t="shared" ref="BN81:CS81" si="340">(BN80-BM80)*10000</f>
        <v>33.798549532931823</v>
      </c>
      <c r="BO81" s="930">
        <f t="shared" si="340"/>
        <v>109.66785800344076</v>
      </c>
      <c r="BP81" s="941">
        <f t="shared" si="340"/>
        <v>41.017113106995296</v>
      </c>
      <c r="BQ81" s="941">
        <f t="shared" si="340"/>
        <v>28.321537939412778</v>
      </c>
      <c r="BR81" s="941">
        <f t="shared" si="340"/>
        <v>-23.638444401995194</v>
      </c>
      <c r="BS81" s="930">
        <f t="shared" si="340"/>
        <v>134.58677583764677</v>
      </c>
      <c r="BT81" s="941">
        <f t="shared" si="340"/>
        <v>-25.054520093940326</v>
      </c>
      <c r="BU81" s="941">
        <f t="shared" si="340"/>
        <v>54.272204013518788</v>
      </c>
      <c r="BV81" s="941">
        <f t="shared" si="340"/>
        <v>-81.803890341904946</v>
      </c>
      <c r="BW81" s="930">
        <f t="shared" si="340"/>
        <v>-16.911447134930203</v>
      </c>
      <c r="BX81" s="941">
        <f t="shared" si="340"/>
        <v>49.460331908480761</v>
      </c>
      <c r="BY81" s="941">
        <f t="shared" si="340"/>
        <v>101.25791860650129</v>
      </c>
      <c r="BZ81" s="941">
        <f t="shared" si="340"/>
        <v>-94.703442275197176</v>
      </c>
      <c r="CA81" s="930">
        <f t="shared" si="340"/>
        <v>26.878103544888955</v>
      </c>
      <c r="CB81" s="941">
        <f t="shared" si="340"/>
        <v>-1.3614558801369747</v>
      </c>
      <c r="CC81" s="941">
        <f t="shared" si="340"/>
        <v>-26.795266619447645</v>
      </c>
      <c r="CD81" s="941">
        <f t="shared" si="340"/>
        <v>-37.98259063888726</v>
      </c>
      <c r="CE81" s="930">
        <f t="shared" si="340"/>
        <v>71.477102591932521</v>
      </c>
      <c r="CF81" s="941">
        <f t="shared" si="340"/>
        <v>18.062534327410173</v>
      </c>
      <c r="CG81" s="941">
        <f t="shared" si="340"/>
        <v>-51.992308164203749</v>
      </c>
      <c r="CH81" s="941">
        <f t="shared" si="340"/>
        <v>5.3285371632619256</v>
      </c>
      <c r="CI81" s="930">
        <f t="shared" si="340"/>
        <v>30.095662768296616</v>
      </c>
      <c r="CJ81" s="941">
        <f t="shared" si="340"/>
        <v>19.083744553552162</v>
      </c>
      <c r="CK81" s="941">
        <f t="shared" si="340"/>
        <v>-42.282455664023608</v>
      </c>
      <c r="CL81" s="941">
        <f t="shared" si="340"/>
        <v>-20.575609082499334</v>
      </c>
      <c r="CM81" s="930">
        <f t="shared" si="340"/>
        <v>180.11590923815075</v>
      </c>
      <c r="CN81" s="941">
        <f t="shared" si="340"/>
        <v>-133.6219213140663</v>
      </c>
      <c r="CO81" s="941">
        <f t="shared" si="340"/>
        <v>-3.0614422312735812</v>
      </c>
      <c r="CP81" s="941">
        <f t="shared" si="340"/>
        <v>-65.425713742389974</v>
      </c>
      <c r="CQ81" s="930">
        <f t="shared" si="340"/>
        <v>101.90632817060202</v>
      </c>
      <c r="CR81" s="941">
        <f t="shared" si="340"/>
        <v>-35.151150263007523</v>
      </c>
      <c r="CS81" s="941">
        <f t="shared" si="340"/>
        <v>0</v>
      </c>
      <c r="CT81" s="941">
        <f t="shared" ref="CT81:CU81" si="341">(CT80-CS80)*10000</f>
        <v>-70.000000000000057</v>
      </c>
      <c r="CU81" s="930">
        <f t="shared" si="341"/>
        <v>100.00000000000009</v>
      </c>
      <c r="CV81" s="648"/>
      <c r="CW81" s="941"/>
      <c r="CX81" s="941"/>
      <c r="CY81" s="941"/>
      <c r="CZ81" s="941"/>
      <c r="DA81" s="941"/>
      <c r="DB81" s="941"/>
      <c r="DC81" s="941"/>
      <c r="DD81" s="941"/>
      <c r="DE81" s="941"/>
      <c r="DF81" s="941"/>
      <c r="DG81" s="941"/>
      <c r="DH81" s="941"/>
      <c r="DI81" s="941"/>
      <c r="DJ81" s="941"/>
      <c r="DK81" s="941"/>
      <c r="DL81" s="941"/>
      <c r="DM81" s="941"/>
      <c r="DN81" s="941"/>
      <c r="DO81" s="941"/>
      <c r="DP81" s="941"/>
      <c r="DQ81" s="941"/>
      <c r="DR81" s="941"/>
      <c r="DS81" s="941"/>
      <c r="DT81" s="941"/>
      <c r="DU81" s="941"/>
      <c r="DV81" s="1006"/>
      <c r="DW81" s="1006"/>
      <c r="DX81" s="1006"/>
      <c r="DY81" s="1006"/>
      <c r="DZ81" s="1006"/>
    </row>
    <row r="82" spans="2:130" ht="15">
      <c r="B82" s="1009" t="s">
        <v>348</v>
      </c>
      <c r="C82" s="908"/>
      <c r="D82" s="1010"/>
      <c r="E82" s="941"/>
      <c r="F82" s="941"/>
      <c r="G82" s="930"/>
      <c r="H82" s="941"/>
      <c r="I82" s="941"/>
      <c r="J82" s="941"/>
      <c r="K82" s="930"/>
      <c r="L82" s="941"/>
      <c r="M82" s="941"/>
      <c r="N82" s="941"/>
      <c r="O82" s="930"/>
      <c r="P82" s="941"/>
      <c r="Q82" s="941"/>
      <c r="R82" s="941"/>
      <c r="S82" s="930"/>
      <c r="T82" s="941"/>
      <c r="U82" s="941"/>
      <c r="V82" s="941"/>
      <c r="W82" s="930"/>
      <c r="X82" s="941"/>
      <c r="Y82" s="941"/>
      <c r="Z82" s="941"/>
      <c r="AA82" s="930"/>
      <c r="AB82" s="941"/>
      <c r="AC82" s="941"/>
      <c r="AD82" s="941"/>
      <c r="AE82" s="930"/>
      <c r="AF82" s="941"/>
      <c r="AG82" s="941"/>
      <c r="AH82" s="941"/>
      <c r="AI82" s="930"/>
      <c r="AJ82" s="941"/>
      <c r="AK82" s="941">
        <f t="shared" ref="AK82:BP82" si="342">(AK80-AG80)*10000</f>
        <v>-89.772500409242284</v>
      </c>
      <c r="AL82" s="941">
        <f t="shared" si="342"/>
        <v>81.939561371024709</v>
      </c>
      <c r="AM82" s="930">
        <f t="shared" si="342"/>
        <v>-129.00340164079122</v>
      </c>
      <c r="AN82" s="941">
        <f t="shared" si="342"/>
        <v>-86.821367384416206</v>
      </c>
      <c r="AO82" s="941">
        <f t="shared" si="342"/>
        <v>69.88512938782776</v>
      </c>
      <c r="AP82" s="941">
        <f t="shared" si="342"/>
        <v>-7.7700820898943253</v>
      </c>
      <c r="AQ82" s="930">
        <f t="shared" si="342"/>
        <v>11.741330670953786</v>
      </c>
      <c r="AR82" s="941">
        <f t="shared" si="342"/>
        <v>-60.606713336923136</v>
      </c>
      <c r="AS82" s="941">
        <f t="shared" si="342"/>
        <v>-124.41840488726736</v>
      </c>
      <c r="AT82" s="941">
        <f t="shared" si="342"/>
        <v>120.33226957011451</v>
      </c>
      <c r="AU82" s="930">
        <f t="shared" si="342"/>
        <v>-47.763200254894443</v>
      </c>
      <c r="AV82" s="941">
        <f t="shared" si="342"/>
        <v>65.346736225982696</v>
      </c>
      <c r="AW82" s="941">
        <f t="shared" si="342"/>
        <v>-23.788106257056491</v>
      </c>
      <c r="AX82" s="941">
        <f t="shared" si="342"/>
        <v>-310.87995654535587</v>
      </c>
      <c r="AY82" s="930">
        <f t="shared" si="342"/>
        <v>-70.758051302560602</v>
      </c>
      <c r="AZ82" s="941">
        <f t="shared" si="342"/>
        <v>-271.31474875254594</v>
      </c>
      <c r="BA82" s="941">
        <f t="shared" si="342"/>
        <v>-70.988829048280749</v>
      </c>
      <c r="BB82" s="941">
        <f t="shared" si="342"/>
        <v>47.009704300545465</v>
      </c>
      <c r="BC82" s="930">
        <f t="shared" si="342"/>
        <v>97.076389881866206</v>
      </c>
      <c r="BD82" s="941">
        <f t="shared" si="342"/>
        <v>301.77349472308447</v>
      </c>
      <c r="BE82" s="941">
        <f t="shared" si="342"/>
        <v>46.786025539796441</v>
      </c>
      <c r="BF82" s="941">
        <f t="shared" si="342"/>
        <v>80.656296505446505</v>
      </c>
      <c r="BG82" s="930">
        <f t="shared" si="342"/>
        <v>-726.38231567652451</v>
      </c>
      <c r="BH82" s="941">
        <f t="shared" si="342"/>
        <v>-680.94559428619323</v>
      </c>
      <c r="BI82" s="941">
        <f t="shared" si="342"/>
        <v>-524.01806869806819</v>
      </c>
      <c r="BJ82" s="941">
        <f t="shared" si="342"/>
        <v>-391.31791657708607</v>
      </c>
      <c r="BK82" s="930">
        <f t="shared" si="342"/>
        <v>440.02533879698262</v>
      </c>
      <c r="BL82" s="941">
        <f t="shared" si="342"/>
        <v>602.84430635015747</v>
      </c>
      <c r="BM82" s="941">
        <f t="shared" si="342"/>
        <v>648.70686420197831</v>
      </c>
      <c r="BN82" s="941">
        <f t="shared" si="342"/>
        <v>569.07615410454798</v>
      </c>
      <c r="BO82" s="930">
        <f t="shared" si="342"/>
        <v>471.94451292836686</v>
      </c>
      <c r="BP82" s="941">
        <f t="shared" si="342"/>
        <v>311.81077292376261</v>
      </c>
      <c r="BQ82" s="941">
        <f t="shared" ref="BQ82:CU82" si="343">(BQ80-BM80)*10000</f>
        <v>212.80505858278065</v>
      </c>
      <c r="BR82" s="941">
        <f t="shared" si="343"/>
        <v>155.36806464785363</v>
      </c>
      <c r="BS82" s="930">
        <f t="shared" si="343"/>
        <v>180.28698248205964</v>
      </c>
      <c r="BT82" s="941">
        <f t="shared" si="343"/>
        <v>114.21534928112403</v>
      </c>
      <c r="BU82" s="941">
        <f t="shared" si="343"/>
        <v>140.16601535523006</v>
      </c>
      <c r="BV82" s="941">
        <f t="shared" si="343"/>
        <v>82.0005694153203</v>
      </c>
      <c r="BW82" s="930">
        <f t="shared" si="343"/>
        <v>-69.497653557256683</v>
      </c>
      <c r="BX82" s="941">
        <f t="shared" si="343"/>
        <v>5.0171984451644054</v>
      </c>
      <c r="BY82" s="941">
        <f t="shared" si="343"/>
        <v>52.002913038146914</v>
      </c>
      <c r="BZ82" s="941">
        <f t="shared" si="343"/>
        <v>39.103361104854685</v>
      </c>
      <c r="CA82" s="930">
        <f t="shared" si="343"/>
        <v>82.892911784673842</v>
      </c>
      <c r="CB82" s="941">
        <f t="shared" si="343"/>
        <v>32.071123996056109</v>
      </c>
      <c r="CC82" s="941">
        <f t="shared" si="343"/>
        <v>-95.982061229892835</v>
      </c>
      <c r="CD82" s="941">
        <f t="shared" si="343"/>
        <v>-39.261209593582926</v>
      </c>
      <c r="CE82" s="930">
        <f t="shared" si="343"/>
        <v>5.3377894534606396</v>
      </c>
      <c r="CF82" s="941">
        <f t="shared" si="343"/>
        <v>24.761779661007786</v>
      </c>
      <c r="CG82" s="941">
        <f t="shared" si="343"/>
        <v>-0.43526188374831687</v>
      </c>
      <c r="CH82" s="941">
        <f t="shared" si="343"/>
        <v>42.875865918400869</v>
      </c>
      <c r="CI82" s="930">
        <f t="shared" si="343"/>
        <v>1.4944260947649668</v>
      </c>
      <c r="CJ82" s="941">
        <f t="shared" si="343"/>
        <v>2.5156363209069554</v>
      </c>
      <c r="CK82" s="941">
        <f t="shared" si="343"/>
        <v>12.225488821087094</v>
      </c>
      <c r="CL82" s="941">
        <f t="shared" si="343"/>
        <v>-13.678657424674167</v>
      </c>
      <c r="CM82" s="930">
        <f t="shared" si="343"/>
        <v>136.34158904517994</v>
      </c>
      <c r="CN82" s="941">
        <f t="shared" si="343"/>
        <v>-16.364076822438513</v>
      </c>
      <c r="CO82" s="941">
        <f t="shared" si="343"/>
        <v>22.856936610311518</v>
      </c>
      <c r="CP82" s="941">
        <f t="shared" si="343"/>
        <v>-21.993168049579126</v>
      </c>
      <c r="CQ82" s="930">
        <f t="shared" si="343"/>
        <v>-100.20274911712784</v>
      </c>
      <c r="CR82" s="941">
        <f t="shared" si="343"/>
        <v>-1.731978066069062</v>
      </c>
      <c r="CS82" s="941">
        <f t="shared" si="343"/>
        <v>1.3294641652045192</v>
      </c>
      <c r="CT82" s="941">
        <f t="shared" si="343"/>
        <v>-3.2448220924055637</v>
      </c>
      <c r="CU82" s="930">
        <f t="shared" si="343"/>
        <v>-5.1511502630074979</v>
      </c>
      <c r="CV82" s="648"/>
      <c r="CW82" s="941"/>
      <c r="CX82" s="941"/>
      <c r="CY82" s="941"/>
      <c r="CZ82" s="941"/>
      <c r="DA82" s="941"/>
      <c r="DB82" s="941"/>
      <c r="DC82" s="941"/>
      <c r="DD82" s="941"/>
      <c r="DE82" s="941"/>
      <c r="DF82" s="941"/>
      <c r="DG82" s="941">
        <f t="shared" ref="DG82:DZ82" si="344">(DG80-DF80)*10000</f>
        <v>-2.9141220810979807</v>
      </c>
      <c r="DH82" s="941">
        <f t="shared" si="344"/>
        <v>-29.57973511338502</v>
      </c>
      <c r="DI82" s="941">
        <f t="shared" si="344"/>
        <v>-82.041092326137345</v>
      </c>
      <c r="DJ82" s="941">
        <f t="shared" si="344"/>
        <v>-48.148331730234055</v>
      </c>
      <c r="DK82" s="941">
        <f t="shared" si="344"/>
        <v>-27.801127313202695</v>
      </c>
      <c r="DL82" s="941">
        <f t="shared" si="344"/>
        <v>-321.16937630839612</v>
      </c>
      <c r="DM82" s="941">
        <f t="shared" si="344"/>
        <v>562.26844745659548</v>
      </c>
      <c r="DN82" s="941">
        <f t="shared" si="344"/>
        <v>207.67735364447481</v>
      </c>
      <c r="DO82" s="941">
        <f t="shared" si="344"/>
        <v>68.358140309665032</v>
      </c>
      <c r="DP82" s="941">
        <f t="shared" si="344"/>
        <v>44.078958911239752</v>
      </c>
      <c r="DQ82" s="941">
        <f t="shared" si="344"/>
        <v>-25.353857190635875</v>
      </c>
      <c r="DR82" s="941">
        <f t="shared" si="344"/>
        <v>17.532655990848134</v>
      </c>
      <c r="DS82" s="941">
        <f t="shared" si="344"/>
        <v>34.080694604585183</v>
      </c>
      <c r="DT82" s="941">
        <f t="shared" si="344"/>
        <v>-28.327078262995464</v>
      </c>
      <c r="DU82" s="941">
        <f t="shared" si="344"/>
        <v>-1.9986369566765694</v>
      </c>
      <c r="DV82" s="941">
        <f t="shared" si="344"/>
        <v>-30.000000000000028</v>
      </c>
      <c r="DW82" s="941">
        <f t="shared" si="344"/>
        <v>-30.000000000000028</v>
      </c>
      <c r="DX82" s="941">
        <f t="shared" si="344"/>
        <v>-30.000000000000028</v>
      </c>
      <c r="DY82" s="941">
        <f t="shared" si="344"/>
        <v>-30.000000000000028</v>
      </c>
      <c r="DZ82" s="941">
        <f t="shared" si="344"/>
        <v>-30.000000000000028</v>
      </c>
    </row>
    <row r="83" spans="2:130" ht="15">
      <c r="B83" s="1009" t="s">
        <v>349</v>
      </c>
      <c r="C83" s="908"/>
      <c r="D83" s="1010"/>
      <c r="E83" s="941"/>
      <c r="F83" s="941"/>
      <c r="G83" s="930"/>
      <c r="H83" s="941"/>
      <c r="I83" s="941"/>
      <c r="J83" s="941"/>
      <c r="K83" s="930"/>
      <c r="L83" s="941"/>
      <c r="M83" s="941"/>
      <c r="N83" s="941"/>
      <c r="O83" s="930"/>
      <c r="P83" s="941"/>
      <c r="Q83" s="941"/>
      <c r="R83" s="941"/>
      <c r="S83" s="930"/>
      <c r="T83" s="941"/>
      <c r="U83" s="941"/>
      <c r="V83" s="941"/>
      <c r="W83" s="930"/>
      <c r="X83" s="941"/>
      <c r="Y83" s="941"/>
      <c r="Z83" s="941"/>
      <c r="AA83" s="930"/>
      <c r="AB83" s="941"/>
      <c r="AC83" s="941"/>
      <c r="AD83" s="941"/>
      <c r="AE83" s="930"/>
      <c r="AF83" s="941"/>
      <c r="AG83" s="941"/>
      <c r="AH83" s="941"/>
      <c r="AI83" s="930"/>
      <c r="AJ83" s="941"/>
      <c r="AK83" s="941"/>
      <c r="AL83" s="941"/>
      <c r="AM83" s="930"/>
      <c r="AN83" s="941"/>
      <c r="AO83" s="941">
        <f t="shared" ref="AO83:BT83" si="345">AK82+AO82</f>
        <v>-19.887371021414523</v>
      </c>
      <c r="AP83" s="941">
        <f t="shared" si="345"/>
        <v>74.169479281130378</v>
      </c>
      <c r="AQ83" s="930">
        <f t="shared" si="345"/>
        <v>-117.26207096983744</v>
      </c>
      <c r="AR83" s="941">
        <f t="shared" si="345"/>
        <v>-147.42808072133934</v>
      </c>
      <c r="AS83" s="941">
        <f t="shared" si="345"/>
        <v>-54.533275499439597</v>
      </c>
      <c r="AT83" s="941">
        <f t="shared" si="345"/>
        <v>112.56218748022017</v>
      </c>
      <c r="AU83" s="930">
        <f t="shared" si="345"/>
        <v>-36.021869583940656</v>
      </c>
      <c r="AV83" s="941">
        <f t="shared" si="345"/>
        <v>4.7400228890595599</v>
      </c>
      <c r="AW83" s="941">
        <f t="shared" si="345"/>
        <v>-148.20651114432385</v>
      </c>
      <c r="AX83" s="941">
        <f t="shared" si="345"/>
        <v>-190.54768697524136</v>
      </c>
      <c r="AY83" s="930">
        <f t="shared" si="345"/>
        <v>-118.52125155745505</v>
      </c>
      <c r="AZ83" s="941">
        <f t="shared" si="345"/>
        <v>-205.96801252656326</v>
      </c>
      <c r="BA83" s="941">
        <f t="shared" si="345"/>
        <v>-94.776935305337247</v>
      </c>
      <c r="BB83" s="941">
        <f t="shared" si="345"/>
        <v>-263.87025224481039</v>
      </c>
      <c r="BC83" s="930">
        <f t="shared" si="345"/>
        <v>26.318338579305603</v>
      </c>
      <c r="BD83" s="941">
        <f t="shared" si="345"/>
        <v>30.45874597053853</v>
      </c>
      <c r="BE83" s="941">
        <f t="shared" si="345"/>
        <v>-24.202803508484308</v>
      </c>
      <c r="BF83" s="941">
        <f t="shared" si="345"/>
        <v>127.66600080599197</v>
      </c>
      <c r="BG83" s="930">
        <f t="shared" si="345"/>
        <v>-629.30592579465826</v>
      </c>
      <c r="BH83" s="941">
        <f t="shared" si="345"/>
        <v>-379.17209956310876</v>
      </c>
      <c r="BI83" s="941">
        <f t="shared" si="345"/>
        <v>-477.23204315827172</v>
      </c>
      <c r="BJ83" s="941">
        <f t="shared" si="345"/>
        <v>-310.66162007163956</v>
      </c>
      <c r="BK83" s="930">
        <f t="shared" si="345"/>
        <v>-286.35697687954189</v>
      </c>
      <c r="BL83" s="941">
        <f t="shared" si="345"/>
        <v>-78.10128793603576</v>
      </c>
      <c r="BM83" s="941">
        <f t="shared" si="345"/>
        <v>124.68879550391011</v>
      </c>
      <c r="BN83" s="941">
        <f t="shared" si="345"/>
        <v>177.75823752746192</v>
      </c>
      <c r="BO83" s="930">
        <f t="shared" si="345"/>
        <v>911.96985172534949</v>
      </c>
      <c r="BP83" s="941">
        <f t="shared" si="345"/>
        <v>914.65507927392014</v>
      </c>
      <c r="BQ83" s="941">
        <f t="shared" si="345"/>
        <v>861.51192278475901</v>
      </c>
      <c r="BR83" s="941">
        <f t="shared" si="345"/>
        <v>724.44421875240164</v>
      </c>
      <c r="BS83" s="930">
        <f t="shared" si="345"/>
        <v>652.23149541042653</v>
      </c>
      <c r="BT83" s="941">
        <f t="shared" si="345"/>
        <v>426.02612220488663</v>
      </c>
      <c r="BU83" s="941">
        <f t="shared" ref="BU83:CQ83" si="346">BQ82+BU82</f>
        <v>352.9710739380107</v>
      </c>
      <c r="BV83" s="941">
        <f t="shared" si="346"/>
        <v>237.36863406317394</v>
      </c>
      <c r="BW83" s="930">
        <f t="shared" si="346"/>
        <v>110.78932892480296</v>
      </c>
      <c r="BX83" s="941">
        <f t="shared" si="346"/>
        <v>119.23254772628844</v>
      </c>
      <c r="BY83" s="941">
        <f t="shared" si="346"/>
        <v>192.16892839337697</v>
      </c>
      <c r="BZ83" s="941">
        <f t="shared" si="346"/>
        <v>121.10393052017498</v>
      </c>
      <c r="CA83" s="930">
        <f t="shared" si="346"/>
        <v>13.395258227417159</v>
      </c>
      <c r="CB83" s="941">
        <f t="shared" si="346"/>
        <v>37.088322441220512</v>
      </c>
      <c r="CC83" s="941">
        <f t="shared" si="346"/>
        <v>-43.979148191745921</v>
      </c>
      <c r="CD83" s="941">
        <f t="shared" si="346"/>
        <v>-0.15784848872824142</v>
      </c>
      <c r="CE83" s="930">
        <f t="shared" si="346"/>
        <v>88.230701238134486</v>
      </c>
      <c r="CF83" s="941">
        <f t="shared" si="346"/>
        <v>56.832903657063895</v>
      </c>
      <c r="CG83" s="941">
        <f t="shared" si="346"/>
        <v>-96.417323113641146</v>
      </c>
      <c r="CH83" s="941">
        <f t="shared" si="346"/>
        <v>3.6146563248179433</v>
      </c>
      <c r="CI83" s="930">
        <f t="shared" si="346"/>
        <v>6.8322155482256068</v>
      </c>
      <c r="CJ83" s="941">
        <f t="shared" si="346"/>
        <v>27.277415981914743</v>
      </c>
      <c r="CK83" s="941">
        <f t="shared" si="346"/>
        <v>11.790226937338776</v>
      </c>
      <c r="CL83" s="941">
        <f t="shared" si="346"/>
        <v>29.197208493726702</v>
      </c>
      <c r="CM83" s="930">
        <f t="shared" si="346"/>
        <v>137.83601513994492</v>
      </c>
      <c r="CN83" s="941">
        <f t="shared" si="346"/>
        <v>-13.848440501531558</v>
      </c>
      <c r="CO83" s="941">
        <f t="shared" si="346"/>
        <v>35.082425431398612</v>
      </c>
      <c r="CP83" s="941">
        <f t="shared" si="346"/>
        <v>-35.671825474253296</v>
      </c>
      <c r="CQ83" s="930">
        <f t="shared" si="346"/>
        <v>36.138839928052107</v>
      </c>
      <c r="CR83" s="941">
        <f>CN82+CR82</f>
        <v>-18.096054888507574</v>
      </c>
      <c r="CS83" s="941">
        <f>CO82+CS82</f>
        <v>24.186400775516038</v>
      </c>
      <c r="CT83" s="941">
        <f>CP82+CT82</f>
        <v>-25.237990141984689</v>
      </c>
      <c r="CU83" s="930">
        <f>CQ82+CU82</f>
        <v>-105.35389938013533</v>
      </c>
      <c r="CV83" s="648"/>
      <c r="CW83" s="941"/>
      <c r="CX83" s="941"/>
      <c r="CY83" s="941"/>
      <c r="CZ83" s="941"/>
      <c r="DA83" s="941"/>
      <c r="DB83" s="941"/>
      <c r="DC83" s="941"/>
      <c r="DD83" s="941"/>
      <c r="DE83" s="941"/>
      <c r="DF83" s="941"/>
      <c r="DG83" s="941"/>
      <c r="DH83" s="941">
        <f t="shared" ref="DH83:DZ83" si="347">DG82+DH82</f>
        <v>-32.493857194482999</v>
      </c>
      <c r="DI83" s="941">
        <f t="shared" si="347"/>
        <v>-111.62082743952237</v>
      </c>
      <c r="DJ83" s="941">
        <f t="shared" si="347"/>
        <v>-130.18942405637139</v>
      </c>
      <c r="DK83" s="941">
        <f t="shared" si="347"/>
        <v>-75.949459043436747</v>
      </c>
      <c r="DL83" s="941">
        <f t="shared" si="347"/>
        <v>-348.97050362159882</v>
      </c>
      <c r="DM83" s="941">
        <f t="shared" si="347"/>
        <v>241.09907114819936</v>
      </c>
      <c r="DN83" s="941">
        <f t="shared" si="347"/>
        <v>769.94580110107029</v>
      </c>
      <c r="DO83" s="941">
        <f t="shared" si="347"/>
        <v>276.03549395413984</v>
      </c>
      <c r="DP83" s="941">
        <f t="shared" si="347"/>
        <v>112.43709922090478</v>
      </c>
      <c r="DQ83" s="941">
        <f t="shared" si="347"/>
        <v>18.725101720603877</v>
      </c>
      <c r="DR83" s="941">
        <f t="shared" si="347"/>
        <v>-7.8212011997877404</v>
      </c>
      <c r="DS83" s="941">
        <f t="shared" si="347"/>
        <v>51.613350595433317</v>
      </c>
      <c r="DT83" s="941">
        <f t="shared" si="347"/>
        <v>5.7536163415897192</v>
      </c>
      <c r="DU83" s="941">
        <f t="shared" si="347"/>
        <v>-30.325715219672034</v>
      </c>
      <c r="DV83" s="941">
        <f t="shared" si="347"/>
        <v>-31.998636956676599</v>
      </c>
      <c r="DW83" s="941">
        <f t="shared" si="347"/>
        <v>-60.000000000000057</v>
      </c>
      <c r="DX83" s="941">
        <f t="shared" si="347"/>
        <v>-60.000000000000057</v>
      </c>
      <c r="DY83" s="941">
        <f t="shared" si="347"/>
        <v>-60.000000000000057</v>
      </c>
      <c r="DZ83" s="941">
        <f t="shared" si="347"/>
        <v>-60.000000000000057</v>
      </c>
    </row>
    <row r="84" spans="2:130" ht="15">
      <c r="B84" s="1009" t="s">
        <v>342</v>
      </c>
      <c r="C84" s="908"/>
      <c r="D84" s="1010"/>
      <c r="E84" s="941"/>
      <c r="F84" s="941"/>
      <c r="G84" s="930"/>
      <c r="H84" s="941"/>
      <c r="I84" s="941"/>
      <c r="J84" s="941"/>
      <c r="K84" s="930"/>
      <c r="L84" s="941"/>
      <c r="M84" s="941"/>
      <c r="N84" s="941"/>
      <c r="O84" s="930"/>
      <c r="P84" s="941"/>
      <c r="Q84" s="941"/>
      <c r="R84" s="941"/>
      <c r="S84" s="930"/>
      <c r="T84" s="941"/>
      <c r="U84" s="941"/>
      <c r="V84" s="941"/>
      <c r="W84" s="930"/>
      <c r="X84" s="941"/>
      <c r="Y84" s="941"/>
      <c r="Z84" s="941"/>
      <c r="AA84" s="930"/>
      <c r="AB84" s="941"/>
      <c r="AC84" s="941"/>
      <c r="AD84" s="941"/>
      <c r="AE84" s="930"/>
      <c r="AF84" s="941"/>
      <c r="AG84" s="941"/>
      <c r="AH84" s="941">
        <f t="shared" ref="AH84:BM84" si="348">AH79-AG79</f>
        <v>-11.700000000000003</v>
      </c>
      <c r="AI84" s="930">
        <f t="shared" si="348"/>
        <v>9.3000000000000043</v>
      </c>
      <c r="AJ84" s="941">
        <f t="shared" si="348"/>
        <v>3.6999999999999957</v>
      </c>
      <c r="AK84" s="941">
        <f t="shared" si="348"/>
        <v>-0.39999999999999858</v>
      </c>
      <c r="AL84" s="941">
        <f t="shared" si="348"/>
        <v>-4.8999999999999986</v>
      </c>
      <c r="AM84" s="930">
        <f t="shared" si="348"/>
        <v>5.6000000000000014</v>
      </c>
      <c r="AN84" s="941">
        <f t="shared" si="348"/>
        <v>6.7999999999999972</v>
      </c>
      <c r="AO84" s="941">
        <f t="shared" si="348"/>
        <v>7.7000000000000028</v>
      </c>
      <c r="AP84" s="941">
        <f t="shared" si="348"/>
        <v>-10.5</v>
      </c>
      <c r="AQ84" s="930">
        <f t="shared" si="348"/>
        <v>7.7000000000000028</v>
      </c>
      <c r="AR84" s="941">
        <f t="shared" si="348"/>
        <v>10.852000000000004</v>
      </c>
      <c r="AS84" s="941">
        <f t="shared" si="348"/>
        <v>6.2479999999999905</v>
      </c>
      <c r="AT84" s="941">
        <f t="shared" si="348"/>
        <v>4.0999999999999943</v>
      </c>
      <c r="AU84" s="930">
        <f t="shared" si="348"/>
        <v>-7.4519999999999698</v>
      </c>
      <c r="AV84" s="941">
        <f t="shared" si="348"/>
        <v>9.6519999999999726</v>
      </c>
      <c r="AW84" s="941">
        <f t="shared" si="348"/>
        <v>-0.89999999999999147</v>
      </c>
      <c r="AX84" s="941">
        <f t="shared" si="348"/>
        <v>-19.300000000000011</v>
      </c>
      <c r="AY84" s="930">
        <f t="shared" si="348"/>
        <v>21.900000000000006</v>
      </c>
      <c r="AZ84" s="941">
        <f t="shared" si="348"/>
        <v>-12.700000000000003</v>
      </c>
      <c r="BA84" s="941">
        <f t="shared" si="348"/>
        <v>23</v>
      </c>
      <c r="BB84" s="941">
        <f t="shared" si="348"/>
        <v>-7.3999999999999915</v>
      </c>
      <c r="BC84" s="930">
        <f t="shared" si="348"/>
        <v>22.599999999999994</v>
      </c>
      <c r="BD84" s="941">
        <f t="shared" si="348"/>
        <v>14.400000000000006</v>
      </c>
      <c r="BE84" s="941">
        <f t="shared" si="348"/>
        <v>-7</v>
      </c>
      <c r="BF84" s="941">
        <f t="shared" si="348"/>
        <v>-17.800000000000011</v>
      </c>
      <c r="BG84" s="930">
        <f t="shared" si="348"/>
        <v>-76.599999999999994</v>
      </c>
      <c r="BH84" s="941">
        <f t="shared" si="348"/>
        <v>-0.60000000000000142</v>
      </c>
      <c r="BI84" s="941">
        <f t="shared" si="348"/>
        <v>8.1000000000000014</v>
      </c>
      <c r="BJ84" s="941">
        <f t="shared" si="348"/>
        <v>12.600000000000001</v>
      </c>
      <c r="BK84" s="930">
        <f t="shared" si="348"/>
        <v>26.699999999999996</v>
      </c>
      <c r="BL84" s="941">
        <f t="shared" si="348"/>
        <v>23.400000000000006</v>
      </c>
      <c r="BM84" s="941">
        <f t="shared" si="348"/>
        <v>26.100000000000009</v>
      </c>
      <c r="BN84" s="941">
        <f t="shared" ref="BN84:CU84" si="349">BN79-BM79</f>
        <v>3.5999999999999943</v>
      </c>
      <c r="BO84" s="930">
        <f t="shared" si="349"/>
        <v>25.599999999999994</v>
      </c>
      <c r="BP84" s="941">
        <f t="shared" si="349"/>
        <v>24.099999999999994</v>
      </c>
      <c r="BQ84" s="941">
        <f t="shared" si="349"/>
        <v>10.900000000000006</v>
      </c>
      <c r="BR84" s="941">
        <f t="shared" si="349"/>
        <v>-9</v>
      </c>
      <c r="BS84" s="930">
        <f t="shared" si="349"/>
        <v>14.800000000000011</v>
      </c>
      <c r="BT84" s="941">
        <f t="shared" si="349"/>
        <v>7</v>
      </c>
      <c r="BU84" s="941">
        <f t="shared" si="349"/>
        <v>0.69999999999998863</v>
      </c>
      <c r="BV84" s="941">
        <f t="shared" si="349"/>
        <v>-26.400000000000006</v>
      </c>
      <c r="BW84" s="930">
        <f t="shared" si="349"/>
        <v>-2.0999999999999943</v>
      </c>
      <c r="BX84" s="941">
        <f t="shared" si="349"/>
        <v>20.300000000000011</v>
      </c>
      <c r="BY84" s="941">
        <f t="shared" si="349"/>
        <v>18</v>
      </c>
      <c r="BZ84" s="941">
        <f t="shared" si="349"/>
        <v>-24.800000000000011</v>
      </c>
      <c r="CA84" s="930">
        <f t="shared" si="349"/>
        <v>12.400000000000006</v>
      </c>
      <c r="CB84" s="941">
        <f t="shared" si="349"/>
        <v>23.799999999999983</v>
      </c>
      <c r="CC84" s="941">
        <f t="shared" si="349"/>
        <v>10</v>
      </c>
      <c r="CD84" s="941">
        <f t="shared" si="349"/>
        <v>-19.099999999999994</v>
      </c>
      <c r="CE84" s="930">
        <f t="shared" si="349"/>
        <v>5.4000000000000057</v>
      </c>
      <c r="CF84" s="941">
        <f t="shared" si="349"/>
        <v>2</v>
      </c>
      <c r="CG84" s="941">
        <f t="shared" si="349"/>
        <v>-2</v>
      </c>
      <c r="CH84" s="941">
        <f t="shared" si="349"/>
        <v>-16.099999999999994</v>
      </c>
      <c r="CI84" s="930">
        <f t="shared" si="349"/>
        <v>18.5</v>
      </c>
      <c r="CJ84" s="941">
        <f t="shared" si="349"/>
        <v>3</v>
      </c>
      <c r="CK84" s="941">
        <f t="shared" si="349"/>
        <v>1.4000000000000057</v>
      </c>
      <c r="CL84" s="941">
        <f t="shared" si="349"/>
        <v>-16.600000000000023</v>
      </c>
      <c r="CM84" s="930">
        <f t="shared" si="349"/>
        <v>29.5</v>
      </c>
      <c r="CN84" s="941">
        <f t="shared" si="349"/>
        <v>-0.69999999999998863</v>
      </c>
      <c r="CO84" s="941">
        <f t="shared" si="349"/>
        <v>-2.6999999999999886</v>
      </c>
      <c r="CP84" s="941">
        <f t="shared" si="349"/>
        <v>-5.8000000000000114</v>
      </c>
      <c r="CQ84" s="930">
        <f t="shared" si="349"/>
        <v>27.399999999999977</v>
      </c>
      <c r="CR84" s="941">
        <f t="shared" si="349"/>
        <v>-1.4906655910873496</v>
      </c>
      <c r="CS84" s="941">
        <f t="shared" si="349"/>
        <v>9.0725663170501889</v>
      </c>
      <c r="CT84" s="941">
        <f t="shared" si="349"/>
        <v>-27.070188606559782</v>
      </c>
      <c r="CU84" s="930">
        <f t="shared" si="349"/>
        <v>27.6739938961083</v>
      </c>
      <c r="CV84" s="648"/>
      <c r="CW84" s="941"/>
      <c r="CX84" s="941"/>
      <c r="CY84" s="941"/>
      <c r="CZ84" s="941"/>
      <c r="DA84" s="941"/>
      <c r="DB84" s="941"/>
      <c r="DC84" s="941"/>
      <c r="DD84" s="941"/>
      <c r="DE84" s="941"/>
      <c r="DF84" s="941"/>
      <c r="DG84" s="941"/>
      <c r="DH84" s="941"/>
      <c r="DI84" s="941"/>
      <c r="DJ84" s="941"/>
      <c r="DK84" s="941"/>
      <c r="DL84" s="941"/>
      <c r="DM84" s="941"/>
      <c r="DN84" s="941"/>
      <c r="DO84" s="941"/>
      <c r="DP84" s="941"/>
      <c r="DQ84" s="941"/>
      <c r="DR84" s="941"/>
      <c r="DS84" s="941"/>
      <c r="DT84" s="941"/>
      <c r="DU84" s="941"/>
      <c r="DV84" s="1006"/>
      <c r="DW84" s="1006"/>
      <c r="DX84" s="1006"/>
      <c r="DY84" s="1006"/>
      <c r="DZ84" s="1006"/>
    </row>
    <row r="85" spans="2:130" ht="15">
      <c r="B85" s="1009" t="s">
        <v>343</v>
      </c>
      <c r="C85" s="908"/>
      <c r="D85" s="1010"/>
      <c r="E85" s="941"/>
      <c r="F85" s="941"/>
      <c r="G85" s="930"/>
      <c r="H85" s="941"/>
      <c r="I85" s="941"/>
      <c r="J85" s="941"/>
      <c r="K85" s="930"/>
      <c r="L85" s="941"/>
      <c r="M85" s="941"/>
      <c r="N85" s="941"/>
      <c r="O85" s="930"/>
      <c r="P85" s="941"/>
      <c r="Q85" s="941"/>
      <c r="R85" s="941"/>
      <c r="S85" s="930"/>
      <c r="T85" s="941"/>
      <c r="U85" s="941"/>
      <c r="V85" s="941"/>
      <c r="W85" s="930"/>
      <c r="X85" s="941"/>
      <c r="Y85" s="941"/>
      <c r="Z85" s="941"/>
      <c r="AA85" s="930"/>
      <c r="AB85" s="941"/>
      <c r="AC85" s="941"/>
      <c r="AD85" s="941"/>
      <c r="AE85" s="930"/>
      <c r="AF85" s="941"/>
      <c r="AG85" s="941"/>
      <c r="AH85" s="941"/>
      <c r="AI85" s="930"/>
      <c r="AJ85" s="941"/>
      <c r="AK85" s="941">
        <f t="shared" ref="AK85:BP85" si="350">AK79-AG79</f>
        <v>0.89999999999999858</v>
      </c>
      <c r="AL85" s="941">
        <f t="shared" si="350"/>
        <v>7.7000000000000028</v>
      </c>
      <c r="AM85" s="930">
        <f t="shared" si="350"/>
        <v>4</v>
      </c>
      <c r="AN85" s="941">
        <f t="shared" si="350"/>
        <v>7.1000000000000014</v>
      </c>
      <c r="AO85" s="941">
        <f t="shared" si="350"/>
        <v>15.200000000000003</v>
      </c>
      <c r="AP85" s="941">
        <f t="shared" si="350"/>
        <v>9.6000000000000014</v>
      </c>
      <c r="AQ85" s="930">
        <f t="shared" si="350"/>
        <v>11.700000000000003</v>
      </c>
      <c r="AR85" s="941">
        <f t="shared" si="350"/>
        <v>15.75200000000001</v>
      </c>
      <c r="AS85" s="941">
        <f t="shared" si="350"/>
        <v>14.299999999999997</v>
      </c>
      <c r="AT85" s="941">
        <f t="shared" si="350"/>
        <v>28.899999999999991</v>
      </c>
      <c r="AU85" s="930">
        <f t="shared" si="350"/>
        <v>13.748000000000019</v>
      </c>
      <c r="AV85" s="941">
        <f t="shared" si="350"/>
        <v>12.547999999999988</v>
      </c>
      <c r="AW85" s="941">
        <f t="shared" si="350"/>
        <v>5.4000000000000057</v>
      </c>
      <c r="AX85" s="941">
        <f t="shared" si="350"/>
        <v>-18</v>
      </c>
      <c r="AY85" s="930">
        <f t="shared" si="350"/>
        <v>11.351999999999975</v>
      </c>
      <c r="AZ85" s="941">
        <f t="shared" si="350"/>
        <v>-11</v>
      </c>
      <c r="BA85" s="941">
        <f t="shared" si="350"/>
        <v>12.899999999999991</v>
      </c>
      <c r="BB85" s="941">
        <f t="shared" si="350"/>
        <v>24.800000000000011</v>
      </c>
      <c r="BC85" s="930">
        <f t="shared" si="350"/>
        <v>25.5</v>
      </c>
      <c r="BD85" s="941">
        <f t="shared" si="350"/>
        <v>52.600000000000009</v>
      </c>
      <c r="BE85" s="941">
        <f t="shared" si="350"/>
        <v>22.600000000000009</v>
      </c>
      <c r="BF85" s="941">
        <f t="shared" si="350"/>
        <v>12.199999999999989</v>
      </c>
      <c r="BG85" s="930">
        <f t="shared" si="350"/>
        <v>-87</v>
      </c>
      <c r="BH85" s="941">
        <f t="shared" si="350"/>
        <v>-102</v>
      </c>
      <c r="BI85" s="941">
        <f t="shared" si="350"/>
        <v>-86.9</v>
      </c>
      <c r="BJ85" s="941">
        <f t="shared" si="350"/>
        <v>-56.499999999999993</v>
      </c>
      <c r="BK85" s="930">
        <f t="shared" si="350"/>
        <v>46.8</v>
      </c>
      <c r="BL85" s="941">
        <f t="shared" si="350"/>
        <v>70.800000000000011</v>
      </c>
      <c r="BM85" s="941">
        <f t="shared" si="350"/>
        <v>88.800000000000011</v>
      </c>
      <c r="BN85" s="941">
        <f t="shared" si="350"/>
        <v>79.800000000000011</v>
      </c>
      <c r="BO85" s="930">
        <f t="shared" si="350"/>
        <v>78.7</v>
      </c>
      <c r="BP85" s="941">
        <f t="shared" si="350"/>
        <v>79.399999999999991</v>
      </c>
      <c r="BQ85" s="941">
        <f t="shared" ref="BQ85:CU85" si="351">BQ79-BM79</f>
        <v>64.199999999999989</v>
      </c>
      <c r="BR85" s="941">
        <f t="shared" si="351"/>
        <v>51.599999999999994</v>
      </c>
      <c r="BS85" s="930">
        <f t="shared" si="351"/>
        <v>40.800000000000011</v>
      </c>
      <c r="BT85" s="941">
        <f t="shared" si="351"/>
        <v>23.700000000000017</v>
      </c>
      <c r="BU85" s="941">
        <f t="shared" si="351"/>
        <v>13.5</v>
      </c>
      <c r="BV85" s="941">
        <f t="shared" si="351"/>
        <v>-3.9000000000000057</v>
      </c>
      <c r="BW85" s="930">
        <f t="shared" si="351"/>
        <v>-20.800000000000011</v>
      </c>
      <c r="BX85" s="941">
        <f t="shared" si="351"/>
        <v>-7.5</v>
      </c>
      <c r="BY85" s="941">
        <f t="shared" si="351"/>
        <v>9.8000000000000114</v>
      </c>
      <c r="BZ85" s="941">
        <f t="shared" si="351"/>
        <v>11.400000000000006</v>
      </c>
      <c r="CA85" s="930">
        <f t="shared" si="351"/>
        <v>25.900000000000006</v>
      </c>
      <c r="CB85" s="941">
        <f t="shared" si="351"/>
        <v>29.399999999999977</v>
      </c>
      <c r="CC85" s="941">
        <f t="shared" si="351"/>
        <v>21.399999999999977</v>
      </c>
      <c r="CD85" s="941">
        <f t="shared" si="351"/>
        <v>27.099999999999994</v>
      </c>
      <c r="CE85" s="930">
        <f t="shared" si="351"/>
        <v>20.099999999999994</v>
      </c>
      <c r="CF85" s="941">
        <f t="shared" si="351"/>
        <v>-1.6999999999999886</v>
      </c>
      <c r="CG85" s="941">
        <f t="shared" si="351"/>
        <v>-13.699999999999989</v>
      </c>
      <c r="CH85" s="941">
        <f t="shared" si="351"/>
        <v>-10.699999999999989</v>
      </c>
      <c r="CI85" s="930">
        <f t="shared" si="351"/>
        <v>2.4000000000000057</v>
      </c>
      <c r="CJ85" s="941">
        <f t="shared" si="351"/>
        <v>3.4000000000000057</v>
      </c>
      <c r="CK85" s="941">
        <f t="shared" si="351"/>
        <v>6.8000000000000114</v>
      </c>
      <c r="CL85" s="941">
        <f t="shared" si="351"/>
        <v>6.2999999999999829</v>
      </c>
      <c r="CM85" s="930">
        <f t="shared" si="351"/>
        <v>17.299999999999983</v>
      </c>
      <c r="CN85" s="941">
        <f t="shared" si="351"/>
        <v>13.599999999999994</v>
      </c>
      <c r="CO85" s="941">
        <f t="shared" si="351"/>
        <v>9.5</v>
      </c>
      <c r="CP85" s="941">
        <f t="shared" si="351"/>
        <v>20.300000000000011</v>
      </c>
      <c r="CQ85" s="930">
        <f t="shared" si="351"/>
        <v>18.199999999999989</v>
      </c>
      <c r="CR85" s="941">
        <f t="shared" si="351"/>
        <v>17.409334408912628</v>
      </c>
      <c r="CS85" s="941">
        <f t="shared" si="351"/>
        <v>29.181900725962805</v>
      </c>
      <c r="CT85" s="941">
        <f t="shared" si="351"/>
        <v>7.9117121194030346</v>
      </c>
      <c r="CU85" s="930">
        <f t="shared" si="351"/>
        <v>8.1857060155113572</v>
      </c>
      <c r="CV85" s="648"/>
      <c r="CW85" s="941"/>
      <c r="CX85" s="941"/>
      <c r="CY85" s="941"/>
      <c r="CZ85" s="941"/>
      <c r="DA85" s="941"/>
      <c r="DB85" s="941"/>
      <c r="DC85" s="941"/>
      <c r="DD85" s="941"/>
      <c r="DE85" s="941"/>
      <c r="DF85" s="941">
        <f t="shared" ref="DF85:DZ85" si="352">DF79-DE79</f>
        <v>73.5</v>
      </c>
      <c r="DG85" s="941">
        <f t="shared" si="352"/>
        <v>43.599999999999966</v>
      </c>
      <c r="DH85" s="941">
        <f t="shared" si="352"/>
        <v>72.700000000000045</v>
      </c>
      <c r="DI85" s="941">
        <f t="shared" si="352"/>
        <v>11.299999999999955</v>
      </c>
      <c r="DJ85" s="941">
        <f t="shared" si="352"/>
        <v>52.200000000000045</v>
      </c>
      <c r="DK85" s="941">
        <f t="shared" si="352"/>
        <v>0.39999999999997726</v>
      </c>
      <c r="DL85" s="941">
        <f t="shared" si="352"/>
        <v>-198.59999999999997</v>
      </c>
      <c r="DM85" s="941">
        <f t="shared" si="352"/>
        <v>318.09999999999997</v>
      </c>
      <c r="DN85" s="941">
        <f t="shared" si="352"/>
        <v>236.00000000000011</v>
      </c>
      <c r="DO85" s="941">
        <f t="shared" si="352"/>
        <v>12.499999999999886</v>
      </c>
      <c r="DP85" s="941">
        <f t="shared" si="352"/>
        <v>39.600000000000023</v>
      </c>
      <c r="DQ85" s="941">
        <f t="shared" si="352"/>
        <v>98</v>
      </c>
      <c r="DR85" s="941">
        <f t="shared" si="352"/>
        <v>-23.700000000000045</v>
      </c>
      <c r="DS85" s="941">
        <f t="shared" si="352"/>
        <v>33.800000000000182</v>
      </c>
      <c r="DT85" s="941">
        <f t="shared" si="352"/>
        <v>61.599999999999795</v>
      </c>
      <c r="DU85" s="941">
        <f t="shared" si="352"/>
        <v>62.688653269789825</v>
      </c>
      <c r="DV85" s="941">
        <f t="shared" si="352"/>
        <v>30.042972006439186</v>
      </c>
      <c r="DW85" s="941">
        <f t="shared" si="352"/>
        <v>21.601607672919499</v>
      </c>
      <c r="DX85" s="941">
        <f t="shared" si="352"/>
        <v>14.832214977428066</v>
      </c>
      <c r="DY85" s="941">
        <f t="shared" si="352"/>
        <v>0.14269970326290604</v>
      </c>
      <c r="DZ85" s="941">
        <f t="shared" si="352"/>
        <v>-16.348340167137394</v>
      </c>
    </row>
    <row r="86" spans="2:130" ht="15">
      <c r="B86" s="1009" t="s">
        <v>344</v>
      </c>
      <c r="C86" s="908"/>
      <c r="D86" s="1010"/>
      <c r="E86" s="941"/>
      <c r="F86" s="941"/>
      <c r="G86" s="930"/>
      <c r="H86" s="941"/>
      <c r="I86" s="941"/>
      <c r="J86" s="941"/>
      <c r="K86" s="930"/>
      <c r="L86" s="941"/>
      <c r="M86" s="941"/>
      <c r="N86" s="941"/>
      <c r="O86" s="930"/>
      <c r="P86" s="941"/>
      <c r="Q86" s="941"/>
      <c r="R86" s="941"/>
      <c r="S86" s="930"/>
      <c r="T86" s="941"/>
      <c r="U86" s="941"/>
      <c r="V86" s="941"/>
      <c r="W86" s="930"/>
      <c r="X86" s="941"/>
      <c r="Y86" s="941"/>
      <c r="Z86" s="941"/>
      <c r="AA86" s="930"/>
      <c r="AB86" s="941"/>
      <c r="AC86" s="941"/>
      <c r="AD86" s="941"/>
      <c r="AE86" s="930"/>
      <c r="AF86" s="941"/>
      <c r="AG86" s="941"/>
      <c r="AH86" s="941"/>
      <c r="AI86" s="930"/>
      <c r="AJ86" s="941"/>
      <c r="AK86" s="941"/>
      <c r="AL86" s="941"/>
      <c r="AM86" s="930"/>
      <c r="AN86" s="941"/>
      <c r="AO86" s="941">
        <f t="shared" ref="AO86:BT86" si="353">AK85+AO85</f>
        <v>16.100000000000001</v>
      </c>
      <c r="AP86" s="941">
        <f t="shared" si="353"/>
        <v>17.300000000000004</v>
      </c>
      <c r="AQ86" s="930">
        <f t="shared" si="353"/>
        <v>15.700000000000003</v>
      </c>
      <c r="AR86" s="941">
        <f t="shared" si="353"/>
        <v>22.852000000000011</v>
      </c>
      <c r="AS86" s="941">
        <f t="shared" si="353"/>
        <v>29.5</v>
      </c>
      <c r="AT86" s="941">
        <f t="shared" si="353"/>
        <v>38.499999999999993</v>
      </c>
      <c r="AU86" s="930">
        <f t="shared" si="353"/>
        <v>25.448000000000022</v>
      </c>
      <c r="AV86" s="941">
        <f t="shared" si="353"/>
        <v>28.299999999999997</v>
      </c>
      <c r="AW86" s="941">
        <f t="shared" si="353"/>
        <v>19.700000000000003</v>
      </c>
      <c r="AX86" s="941">
        <f t="shared" si="353"/>
        <v>10.899999999999991</v>
      </c>
      <c r="AY86" s="930">
        <f t="shared" si="353"/>
        <v>25.099999999999994</v>
      </c>
      <c r="AZ86" s="941">
        <f t="shared" si="353"/>
        <v>1.5479999999999876</v>
      </c>
      <c r="BA86" s="941">
        <f t="shared" si="353"/>
        <v>18.299999999999997</v>
      </c>
      <c r="BB86" s="941">
        <f t="shared" si="353"/>
        <v>6.8000000000000114</v>
      </c>
      <c r="BC86" s="930">
        <f t="shared" si="353"/>
        <v>36.851999999999975</v>
      </c>
      <c r="BD86" s="941">
        <f t="shared" si="353"/>
        <v>41.600000000000009</v>
      </c>
      <c r="BE86" s="941">
        <f t="shared" si="353"/>
        <v>35.5</v>
      </c>
      <c r="BF86" s="941">
        <f t="shared" si="353"/>
        <v>37</v>
      </c>
      <c r="BG86" s="930">
        <f t="shared" si="353"/>
        <v>-61.5</v>
      </c>
      <c r="BH86" s="941">
        <f t="shared" si="353"/>
        <v>-49.399999999999991</v>
      </c>
      <c r="BI86" s="941">
        <f t="shared" si="353"/>
        <v>-64.3</v>
      </c>
      <c r="BJ86" s="941">
        <f t="shared" si="353"/>
        <v>-44.300000000000004</v>
      </c>
      <c r="BK86" s="930">
        <f t="shared" si="353"/>
        <v>-40.200000000000003</v>
      </c>
      <c r="BL86" s="941">
        <f t="shared" si="353"/>
        <v>-31.199999999999989</v>
      </c>
      <c r="BM86" s="941">
        <f t="shared" si="353"/>
        <v>1.9000000000000057</v>
      </c>
      <c r="BN86" s="941">
        <f t="shared" si="353"/>
        <v>23.300000000000018</v>
      </c>
      <c r="BO86" s="930">
        <f t="shared" si="353"/>
        <v>125.5</v>
      </c>
      <c r="BP86" s="941">
        <f t="shared" si="353"/>
        <v>150.19999999999999</v>
      </c>
      <c r="BQ86" s="941">
        <f t="shared" si="353"/>
        <v>153</v>
      </c>
      <c r="BR86" s="941">
        <f t="shared" si="353"/>
        <v>131.4</v>
      </c>
      <c r="BS86" s="930">
        <f t="shared" si="353"/>
        <v>119.50000000000001</v>
      </c>
      <c r="BT86" s="941">
        <f t="shared" si="353"/>
        <v>103.10000000000001</v>
      </c>
      <c r="BU86" s="941">
        <f t="shared" ref="BU86:CU86" si="354">BQ85+BU85</f>
        <v>77.699999999999989</v>
      </c>
      <c r="BV86" s="941">
        <f t="shared" si="354"/>
        <v>47.699999999999989</v>
      </c>
      <c r="BW86" s="930">
        <f t="shared" si="354"/>
        <v>20</v>
      </c>
      <c r="BX86" s="941">
        <f t="shared" si="354"/>
        <v>16.200000000000017</v>
      </c>
      <c r="BY86" s="941">
        <f t="shared" si="354"/>
        <v>23.300000000000011</v>
      </c>
      <c r="BZ86" s="941">
        <f t="shared" si="354"/>
        <v>7.5</v>
      </c>
      <c r="CA86" s="930">
        <f t="shared" si="354"/>
        <v>5.0999999999999943</v>
      </c>
      <c r="CB86" s="941">
        <f t="shared" si="354"/>
        <v>21.899999999999977</v>
      </c>
      <c r="CC86" s="941">
        <f t="shared" si="354"/>
        <v>31.199999999999989</v>
      </c>
      <c r="CD86" s="941">
        <f t="shared" si="354"/>
        <v>38.5</v>
      </c>
      <c r="CE86" s="930">
        <f t="shared" si="354"/>
        <v>46</v>
      </c>
      <c r="CF86" s="941">
        <f t="shared" si="354"/>
        <v>27.699999999999989</v>
      </c>
      <c r="CG86" s="941">
        <f t="shared" si="354"/>
        <v>7.6999999999999886</v>
      </c>
      <c r="CH86" s="941">
        <f t="shared" si="354"/>
        <v>16.400000000000006</v>
      </c>
      <c r="CI86" s="930">
        <f t="shared" si="354"/>
        <v>22.5</v>
      </c>
      <c r="CJ86" s="941">
        <f t="shared" si="354"/>
        <v>1.7000000000000171</v>
      </c>
      <c r="CK86" s="941">
        <f t="shared" si="354"/>
        <v>-6.8999999999999773</v>
      </c>
      <c r="CL86" s="941">
        <f t="shared" si="354"/>
        <v>-4.4000000000000057</v>
      </c>
      <c r="CM86" s="930">
        <f t="shared" si="354"/>
        <v>19.699999999999989</v>
      </c>
      <c r="CN86" s="941">
        <f t="shared" si="354"/>
        <v>17</v>
      </c>
      <c r="CO86" s="941">
        <f t="shared" si="354"/>
        <v>16.300000000000011</v>
      </c>
      <c r="CP86" s="941">
        <f t="shared" si="354"/>
        <v>26.599999999999994</v>
      </c>
      <c r="CQ86" s="930">
        <f t="shared" si="354"/>
        <v>35.499999999999972</v>
      </c>
      <c r="CR86" s="941">
        <f t="shared" si="354"/>
        <v>31.009334408912622</v>
      </c>
      <c r="CS86" s="941">
        <f t="shared" si="354"/>
        <v>38.681900725962805</v>
      </c>
      <c r="CT86" s="941">
        <f t="shared" si="354"/>
        <v>28.211712119403046</v>
      </c>
      <c r="CU86" s="930">
        <f t="shared" si="354"/>
        <v>26.385706015511346</v>
      </c>
      <c r="CV86" s="648"/>
      <c r="CW86" s="941"/>
      <c r="CX86" s="941"/>
      <c r="CY86" s="941"/>
      <c r="CZ86" s="941"/>
      <c r="DA86" s="941"/>
      <c r="DB86" s="941"/>
      <c r="DC86" s="941"/>
      <c r="DD86" s="941"/>
      <c r="DE86" s="941"/>
      <c r="DF86" s="941"/>
      <c r="DG86" s="941">
        <f t="shared" ref="DG86:DZ86" si="355">DF85+DG85</f>
        <v>117.09999999999997</v>
      </c>
      <c r="DH86" s="941">
        <f t="shared" si="355"/>
        <v>116.30000000000001</v>
      </c>
      <c r="DI86" s="941">
        <f t="shared" si="355"/>
        <v>84</v>
      </c>
      <c r="DJ86" s="941">
        <f t="shared" si="355"/>
        <v>63.5</v>
      </c>
      <c r="DK86" s="941">
        <f t="shared" si="355"/>
        <v>52.600000000000023</v>
      </c>
      <c r="DL86" s="941">
        <f t="shared" si="355"/>
        <v>-198.2</v>
      </c>
      <c r="DM86" s="941">
        <f t="shared" si="355"/>
        <v>119.5</v>
      </c>
      <c r="DN86" s="941">
        <f t="shared" si="355"/>
        <v>554.10000000000014</v>
      </c>
      <c r="DO86" s="941">
        <f t="shared" si="355"/>
        <v>248.5</v>
      </c>
      <c r="DP86" s="941">
        <f t="shared" si="355"/>
        <v>52.099999999999909</v>
      </c>
      <c r="DQ86" s="941">
        <f t="shared" si="355"/>
        <v>137.60000000000002</v>
      </c>
      <c r="DR86" s="941">
        <f t="shared" si="355"/>
        <v>74.299999999999955</v>
      </c>
      <c r="DS86" s="941">
        <f t="shared" si="355"/>
        <v>10.100000000000136</v>
      </c>
      <c r="DT86" s="941">
        <f t="shared" si="355"/>
        <v>95.399999999999977</v>
      </c>
      <c r="DU86" s="941">
        <f t="shared" si="355"/>
        <v>124.28865326978962</v>
      </c>
      <c r="DV86" s="941">
        <f t="shared" si="355"/>
        <v>92.731625276229011</v>
      </c>
      <c r="DW86" s="941">
        <f t="shared" si="355"/>
        <v>51.644579679358685</v>
      </c>
      <c r="DX86" s="941">
        <f t="shared" si="355"/>
        <v>36.433822650347565</v>
      </c>
      <c r="DY86" s="941">
        <f t="shared" si="355"/>
        <v>14.974914680690972</v>
      </c>
      <c r="DZ86" s="941">
        <f t="shared" si="355"/>
        <v>-16.205640463874488</v>
      </c>
    </row>
    <row r="87" spans="2:130" ht="15">
      <c r="B87" s="989" t="s">
        <v>341</v>
      </c>
      <c r="C87" s="898"/>
      <c r="D87" s="990"/>
      <c r="E87" s="991"/>
      <c r="F87" s="991"/>
      <c r="G87" s="992"/>
      <c r="H87" s="991"/>
      <c r="I87" s="991"/>
      <c r="J87" s="991"/>
      <c r="K87" s="992"/>
      <c r="L87" s="991"/>
      <c r="M87" s="991"/>
      <c r="N87" s="991"/>
      <c r="O87" s="992"/>
      <c r="P87" s="991"/>
      <c r="Q87" s="991"/>
      <c r="R87" s="991"/>
      <c r="S87" s="992"/>
      <c r="T87" s="991"/>
      <c r="U87" s="991"/>
      <c r="V87" s="991"/>
      <c r="W87" s="992"/>
      <c r="X87" s="991"/>
      <c r="Y87" s="991"/>
      <c r="Z87" s="991"/>
      <c r="AA87" s="992"/>
      <c r="AB87" s="991"/>
      <c r="AC87" s="991"/>
      <c r="AD87" s="991"/>
      <c r="AE87" s="992"/>
      <c r="AF87" s="991"/>
      <c r="AG87" s="991"/>
      <c r="AH87" s="991">
        <f t="shared" ref="AH87:BM87" si="356">AH79/AG79-1</f>
        <v>-0.19630872483221484</v>
      </c>
      <c r="AI87" s="992">
        <f t="shared" si="356"/>
        <v>0.19415448851774531</v>
      </c>
      <c r="AJ87" s="991">
        <f t="shared" si="356"/>
        <v>6.4685314685314577E-2</v>
      </c>
      <c r="AK87" s="991">
        <f t="shared" si="356"/>
        <v>-6.5681444991789739E-3</v>
      </c>
      <c r="AL87" s="991">
        <f t="shared" si="356"/>
        <v>-8.0991735537190079E-2</v>
      </c>
      <c r="AM87" s="992">
        <f t="shared" si="356"/>
        <v>0.10071942446043169</v>
      </c>
      <c r="AN87" s="991">
        <f t="shared" si="356"/>
        <v>0.11111111111111116</v>
      </c>
      <c r="AO87" s="991">
        <f t="shared" si="356"/>
        <v>0.1132352941176471</v>
      </c>
      <c r="AP87" s="991">
        <f t="shared" si="356"/>
        <v>-0.13870541611624831</v>
      </c>
      <c r="AQ87" s="992">
        <f t="shared" si="356"/>
        <v>0.11809815950920255</v>
      </c>
      <c r="AR87" s="991">
        <f t="shared" si="356"/>
        <v>0.14886145404663931</v>
      </c>
      <c r="AS87" s="991">
        <f t="shared" si="356"/>
        <v>7.4601203553347872E-2</v>
      </c>
      <c r="AT87" s="991">
        <f t="shared" si="356"/>
        <v>4.5555555555555571E-2</v>
      </c>
      <c r="AU87" s="992">
        <f t="shared" si="356"/>
        <v>-7.919234856535573E-2</v>
      </c>
      <c r="AV87" s="991">
        <f t="shared" si="356"/>
        <v>0.11139322315575617</v>
      </c>
      <c r="AW87" s="991">
        <f t="shared" si="356"/>
        <v>-9.3457943925232545E-3</v>
      </c>
      <c r="AX87" s="991">
        <f t="shared" si="356"/>
        <v>-0.20230607966457037</v>
      </c>
      <c r="AY87" s="992">
        <f t="shared" si="356"/>
        <v>0.28777923784494086</v>
      </c>
      <c r="AZ87" s="991">
        <f t="shared" si="356"/>
        <v>-0.12959183673469388</v>
      </c>
      <c r="BA87" s="991">
        <f t="shared" si="356"/>
        <v>0.26963657678780772</v>
      </c>
      <c r="BB87" s="991">
        <f t="shared" si="356"/>
        <v>-6.8328716528162414E-2</v>
      </c>
      <c r="BC87" s="992">
        <f t="shared" si="356"/>
        <v>0.22398414271556</v>
      </c>
      <c r="BD87" s="991">
        <f t="shared" si="356"/>
        <v>0.11659919028340093</v>
      </c>
      <c r="BE87" s="991">
        <f t="shared" si="356"/>
        <v>-5.0761421319796995E-2</v>
      </c>
      <c r="BF87" s="991">
        <f t="shared" si="356"/>
        <v>-0.13598166539343015</v>
      </c>
      <c r="BG87" s="992">
        <f t="shared" si="356"/>
        <v>-0.67727674624226353</v>
      </c>
      <c r="BH87" s="991">
        <f t="shared" si="356"/>
        <v>-1.6438356164383605E-2</v>
      </c>
      <c r="BI87" s="991">
        <f t="shared" si="356"/>
        <v>0.22562674094707535</v>
      </c>
      <c r="BJ87" s="991">
        <f t="shared" si="356"/>
        <v>0.28636363636363638</v>
      </c>
      <c r="BK87" s="992">
        <f t="shared" si="356"/>
        <v>0.4717314487632509</v>
      </c>
      <c r="BL87" s="991">
        <f t="shared" si="356"/>
        <v>0.28091236494597838</v>
      </c>
      <c r="BM87" s="991">
        <f t="shared" si="356"/>
        <v>0.2446110590440489</v>
      </c>
      <c r="BN87" s="991">
        <f t="shared" ref="BN87:CU87" si="357">BN79/BM79-1</f>
        <v>2.7108433734939652E-2</v>
      </c>
      <c r="BO87" s="992">
        <f t="shared" si="357"/>
        <v>0.18768328445747806</v>
      </c>
      <c r="BP87" s="991">
        <f t="shared" si="357"/>
        <v>0.14876543209876547</v>
      </c>
      <c r="BQ87" s="991">
        <f t="shared" si="357"/>
        <v>5.85706609349812E-2</v>
      </c>
      <c r="BR87" s="991">
        <f t="shared" si="357"/>
        <v>-4.5685279187817285E-2</v>
      </c>
      <c r="BS87" s="992">
        <f t="shared" si="357"/>
        <v>7.8723404255319318E-2</v>
      </c>
      <c r="BT87" s="991">
        <f t="shared" si="357"/>
        <v>3.451676528599612E-2</v>
      </c>
      <c r="BU87" s="991">
        <f t="shared" si="357"/>
        <v>3.336510962821615E-3</v>
      </c>
      <c r="BV87" s="991">
        <f t="shared" si="357"/>
        <v>-0.12541567695961997</v>
      </c>
      <c r="BW87" s="992">
        <f t="shared" si="357"/>
        <v>-1.1406844106463865E-2</v>
      </c>
      <c r="BX87" s="991">
        <f t="shared" si="357"/>
        <v>0.11153846153846159</v>
      </c>
      <c r="BY87" s="991">
        <f t="shared" si="357"/>
        <v>8.8976767177459282E-2</v>
      </c>
      <c r="BZ87" s="991">
        <f t="shared" si="357"/>
        <v>-0.11257376305038591</v>
      </c>
      <c r="CA87" s="992">
        <f t="shared" si="357"/>
        <v>6.3427109974424578E-2</v>
      </c>
      <c r="CB87" s="991">
        <f t="shared" si="357"/>
        <v>0.1144781144781144</v>
      </c>
      <c r="CC87" s="991">
        <f t="shared" si="357"/>
        <v>4.3159257660768224E-2</v>
      </c>
      <c r="CD87" s="991">
        <f t="shared" si="357"/>
        <v>-7.90235829540753E-2</v>
      </c>
      <c r="CE87" s="992">
        <f t="shared" si="357"/>
        <v>2.4258760107816801E-2</v>
      </c>
      <c r="CF87" s="991">
        <f t="shared" si="357"/>
        <v>8.7719298245614308E-3</v>
      </c>
      <c r="CG87" s="991">
        <f t="shared" si="357"/>
        <v>-8.6956521739129933E-3</v>
      </c>
      <c r="CH87" s="991">
        <f t="shared" si="357"/>
        <v>-7.061403508771924E-2</v>
      </c>
      <c r="CI87" s="992">
        <f t="shared" si="357"/>
        <v>8.7305332704105787E-2</v>
      </c>
      <c r="CJ87" s="991">
        <f t="shared" si="357"/>
        <v>1.3020833333333259E-2</v>
      </c>
      <c r="CK87" s="991">
        <f t="shared" si="357"/>
        <v>5.9982862039418272E-3</v>
      </c>
      <c r="CL87" s="991">
        <f t="shared" si="357"/>
        <v>-7.0698466780238611E-2</v>
      </c>
      <c r="CM87" s="992">
        <f t="shared" si="357"/>
        <v>0.13519706691109068</v>
      </c>
      <c r="CN87" s="991">
        <f t="shared" si="357"/>
        <v>-2.8259991925716488E-3</v>
      </c>
      <c r="CO87" s="991">
        <f t="shared" si="357"/>
        <v>-1.093117408906874E-2</v>
      </c>
      <c r="CP87" s="991">
        <f t="shared" si="357"/>
        <v>-2.3741301678264493E-2</v>
      </c>
      <c r="CQ87" s="992">
        <f t="shared" si="357"/>
        <v>0.11488469601677131</v>
      </c>
      <c r="CR87" s="991">
        <f t="shared" si="357"/>
        <v>-5.6061135430137687E-3</v>
      </c>
      <c r="CS87" s="991">
        <f t="shared" si="357"/>
        <v>3.4312579536315946E-2</v>
      </c>
      <c r="CT87" s="991">
        <f t="shared" si="357"/>
        <v>-9.8983473987497739E-2</v>
      </c>
      <c r="CU87" s="992">
        <f t="shared" si="357"/>
        <v>0.11230794858768078</v>
      </c>
      <c r="CV87" s="416"/>
      <c r="CW87" s="991"/>
      <c r="CX87" s="991"/>
      <c r="CY87" s="991"/>
      <c r="CZ87" s="991"/>
      <c r="DA87" s="991"/>
      <c r="DB87" s="991"/>
      <c r="DC87" s="991"/>
      <c r="DD87" s="991"/>
      <c r="DE87" s="991"/>
      <c r="DF87" s="991"/>
      <c r="DG87" s="991"/>
      <c r="DH87" s="991"/>
      <c r="DI87" s="991"/>
      <c r="DJ87" s="991"/>
      <c r="DK87" s="991"/>
      <c r="DL87" s="991"/>
      <c r="DM87" s="991"/>
      <c r="DN87" s="991"/>
      <c r="DO87" s="991"/>
      <c r="DP87" s="991"/>
      <c r="DQ87" s="991"/>
      <c r="DR87" s="991"/>
      <c r="DS87" s="991"/>
      <c r="DT87" s="991"/>
      <c r="DU87" s="991"/>
      <c r="DV87" s="1011"/>
      <c r="DW87" s="1011"/>
      <c r="DX87" s="1011"/>
      <c r="DY87" s="1011"/>
      <c r="DZ87" s="1011"/>
    </row>
    <row r="88" spans="2:130" ht="15">
      <c r="B88" s="989" t="s">
        <v>293</v>
      </c>
      <c r="C88" s="898"/>
      <c r="D88" s="990"/>
      <c r="E88" s="991"/>
      <c r="F88" s="991"/>
      <c r="G88" s="992"/>
      <c r="H88" s="991"/>
      <c r="I88" s="991"/>
      <c r="J88" s="991"/>
      <c r="K88" s="992"/>
      <c r="L88" s="991"/>
      <c r="M88" s="991"/>
      <c r="N88" s="991"/>
      <c r="O88" s="992"/>
      <c r="P88" s="991"/>
      <c r="Q88" s="991"/>
      <c r="R88" s="991"/>
      <c r="S88" s="992"/>
      <c r="T88" s="991"/>
      <c r="U88" s="991"/>
      <c r="V88" s="991"/>
      <c r="W88" s="992"/>
      <c r="X88" s="991"/>
      <c r="Y88" s="991"/>
      <c r="Z88" s="991"/>
      <c r="AA88" s="992"/>
      <c r="AB88" s="991"/>
      <c r="AC88" s="991"/>
      <c r="AD88" s="991"/>
      <c r="AE88" s="992"/>
      <c r="AF88" s="991"/>
      <c r="AG88" s="991"/>
      <c r="AH88" s="991"/>
      <c r="AI88" s="992"/>
      <c r="AJ88" s="991"/>
      <c r="AK88" s="991">
        <f t="shared" ref="AK88:BP88" si="358">AK79/AG79-1</f>
        <v>1.5100671140939603E-2</v>
      </c>
      <c r="AL88" s="991">
        <f t="shared" si="358"/>
        <v>0.16075156576200422</v>
      </c>
      <c r="AM88" s="992">
        <f t="shared" si="358"/>
        <v>6.9930069930070005E-2</v>
      </c>
      <c r="AN88" s="991">
        <f t="shared" si="358"/>
        <v>0.1165845648604269</v>
      </c>
      <c r="AO88" s="991">
        <f t="shared" si="358"/>
        <v>0.25123966942148757</v>
      </c>
      <c r="AP88" s="991">
        <f t="shared" si="358"/>
        <v>0.17266187050359716</v>
      </c>
      <c r="AQ88" s="992">
        <f t="shared" si="358"/>
        <v>0.19117647058823528</v>
      </c>
      <c r="AR88" s="991">
        <f t="shared" si="358"/>
        <v>0.23164705882352954</v>
      </c>
      <c r="AS88" s="991">
        <f t="shared" si="358"/>
        <v>0.18890356671070019</v>
      </c>
      <c r="AT88" s="991">
        <f t="shared" si="358"/>
        <v>0.44325153374233106</v>
      </c>
      <c r="AU88" s="992">
        <f t="shared" si="358"/>
        <v>0.18858710562414283</v>
      </c>
      <c r="AV88" s="991">
        <f t="shared" si="358"/>
        <v>0.14982328780208221</v>
      </c>
      <c r="AW88" s="991">
        <f t="shared" si="358"/>
        <v>6.0000000000000053E-2</v>
      </c>
      <c r="AX88" s="991">
        <f t="shared" si="358"/>
        <v>-0.19128586609989373</v>
      </c>
      <c r="AY88" s="992">
        <f t="shared" si="358"/>
        <v>0.13101283353337601</v>
      </c>
      <c r="AZ88" s="991">
        <f t="shared" si="358"/>
        <v>-0.11422637590861895</v>
      </c>
      <c r="BA88" s="991">
        <f t="shared" si="358"/>
        <v>0.13522012578616338</v>
      </c>
      <c r="BB88" s="991">
        <f t="shared" si="358"/>
        <v>0.32588699080157713</v>
      </c>
      <c r="BC88" s="992">
        <f t="shared" si="358"/>
        <v>0.26020408163265296</v>
      </c>
      <c r="BD88" s="991">
        <f t="shared" si="358"/>
        <v>0.61664712778429087</v>
      </c>
      <c r="BE88" s="991">
        <f t="shared" si="358"/>
        <v>0.20867959372114497</v>
      </c>
      <c r="BF88" s="991">
        <f t="shared" si="358"/>
        <v>0.12091179385530215</v>
      </c>
      <c r="BG88" s="992">
        <f t="shared" si="358"/>
        <v>-0.70445344129554655</v>
      </c>
      <c r="BH88" s="991">
        <f t="shared" si="358"/>
        <v>-0.73966642494561285</v>
      </c>
      <c r="BI88" s="991">
        <f t="shared" si="358"/>
        <v>-0.66386554621848748</v>
      </c>
      <c r="BJ88" s="991">
        <f t="shared" si="358"/>
        <v>-0.49955791335101674</v>
      </c>
      <c r="BK88" s="992">
        <f t="shared" si="358"/>
        <v>1.2821917808219179</v>
      </c>
      <c r="BL88" s="991">
        <f t="shared" si="358"/>
        <v>1.9721448467966574</v>
      </c>
      <c r="BM88" s="991">
        <f t="shared" si="358"/>
        <v>2.0181818181818185</v>
      </c>
      <c r="BN88" s="991">
        <f t="shared" si="358"/>
        <v>1.4098939929328624</v>
      </c>
      <c r="BO88" s="992">
        <f t="shared" si="358"/>
        <v>0.94477791116446586</v>
      </c>
      <c r="BP88" s="991">
        <f t="shared" si="358"/>
        <v>0.74414245548266167</v>
      </c>
      <c r="BQ88" s="991">
        <f t="shared" ref="BQ88:CU88" si="359">BQ79/BM79-1</f>
        <v>0.48343373493975883</v>
      </c>
      <c r="BR88" s="991">
        <f t="shared" si="359"/>
        <v>0.37829912023460399</v>
      </c>
      <c r="BS88" s="992">
        <f t="shared" si="359"/>
        <v>0.25185185185185199</v>
      </c>
      <c r="BT88" s="991">
        <f t="shared" si="359"/>
        <v>0.12735088662009675</v>
      </c>
      <c r="BU88" s="991">
        <f t="shared" si="359"/>
        <v>6.8527918781725816E-2</v>
      </c>
      <c r="BV88" s="991">
        <f t="shared" si="359"/>
        <v>-2.0744680851063846E-2</v>
      </c>
      <c r="BW88" s="992">
        <f t="shared" si="359"/>
        <v>-0.10256410256410264</v>
      </c>
      <c r="BX88" s="991">
        <f t="shared" si="359"/>
        <v>-3.5748331744518635E-2</v>
      </c>
      <c r="BY88" s="991">
        <f t="shared" si="359"/>
        <v>4.6555819477434701E-2</v>
      </c>
      <c r="BZ88" s="991">
        <f t="shared" si="359"/>
        <v>6.192286800651825E-2</v>
      </c>
      <c r="CA88" s="992">
        <f t="shared" si="359"/>
        <v>0.14230769230769225</v>
      </c>
      <c r="CB88" s="991">
        <f t="shared" si="359"/>
        <v>0.14532871972318318</v>
      </c>
      <c r="CC88" s="991">
        <f t="shared" si="359"/>
        <v>9.7140263277349037E-2</v>
      </c>
      <c r="CD88" s="991">
        <f t="shared" si="359"/>
        <v>0.13861892583120206</v>
      </c>
      <c r="CE88" s="992">
        <f t="shared" si="359"/>
        <v>9.6681096681096701E-2</v>
      </c>
      <c r="CF88" s="991">
        <f t="shared" si="359"/>
        <v>-7.3370738023305071E-3</v>
      </c>
      <c r="CG88" s="991">
        <f t="shared" si="359"/>
        <v>-5.6681836988001666E-2</v>
      </c>
      <c r="CH88" s="991">
        <f t="shared" si="359"/>
        <v>-4.8068283917340526E-2</v>
      </c>
      <c r="CI88" s="992">
        <f t="shared" si="359"/>
        <v>1.0526315789473717E-2</v>
      </c>
      <c r="CJ88" s="991">
        <f t="shared" si="359"/>
        <v>1.4782608695652177E-2</v>
      </c>
      <c r="CK88" s="991">
        <f t="shared" si="359"/>
        <v>2.9824561403508865E-2</v>
      </c>
      <c r="CL88" s="991">
        <f t="shared" si="359"/>
        <v>2.9731005191127702E-2</v>
      </c>
      <c r="CM88" s="992">
        <f t="shared" si="359"/>
        <v>7.508680555555558E-2</v>
      </c>
      <c r="CN88" s="991">
        <f t="shared" si="359"/>
        <v>5.8269065981148227E-2</v>
      </c>
      <c r="CO88" s="991">
        <f t="shared" si="359"/>
        <v>4.0459965928449693E-2</v>
      </c>
      <c r="CP88" s="991">
        <f t="shared" si="359"/>
        <v>9.3033913840513405E-2</v>
      </c>
      <c r="CQ88" s="992">
        <f t="shared" si="359"/>
        <v>7.347597900686309E-2</v>
      </c>
      <c r="CR88" s="991">
        <f t="shared" si="359"/>
        <v>7.0483135258755603E-2</v>
      </c>
      <c r="CS88" s="991">
        <f t="shared" si="359"/>
        <v>0.11945108770349089</v>
      </c>
      <c r="CT88" s="991">
        <f t="shared" si="359"/>
        <v>3.3172797146344024E-2</v>
      </c>
      <c r="CU88" s="992">
        <f t="shared" si="359"/>
        <v>3.0784904157620696E-2</v>
      </c>
      <c r="CV88" s="416"/>
      <c r="CW88" s="991"/>
      <c r="CX88" s="991"/>
      <c r="CY88" s="991"/>
      <c r="CZ88" s="991"/>
      <c r="DA88" s="991"/>
      <c r="DB88" s="991"/>
      <c r="DC88" s="991"/>
      <c r="DD88" s="991"/>
      <c r="DE88" s="991"/>
      <c r="DF88" s="991">
        <f t="shared" ref="DF88:DZ88" si="360">DF79/DE79-1</f>
        <v>0.44626593806921688</v>
      </c>
      <c r="DG88" s="991">
        <f t="shared" si="360"/>
        <v>0.18303946263643978</v>
      </c>
      <c r="DH88" s="991">
        <f t="shared" si="360"/>
        <v>0.25798438608942531</v>
      </c>
      <c r="DI88" s="991">
        <f t="shared" si="360"/>
        <v>3.1875881523272032E-2</v>
      </c>
      <c r="DJ88" s="991">
        <f t="shared" si="360"/>
        <v>0.14270092946965574</v>
      </c>
      <c r="DK88" s="991">
        <f t="shared" si="360"/>
        <v>9.5693779904304499E-4</v>
      </c>
      <c r="DL88" s="991">
        <f t="shared" si="360"/>
        <v>-0.47466539196940716</v>
      </c>
      <c r="DM88" s="991">
        <f t="shared" si="360"/>
        <v>1.4472247497725204</v>
      </c>
      <c r="DN88" s="991">
        <f t="shared" si="360"/>
        <v>0.43874326082915061</v>
      </c>
      <c r="DO88" s="991">
        <f t="shared" si="360"/>
        <v>1.6151957617263069E-2</v>
      </c>
      <c r="DP88" s="991">
        <f t="shared" si="360"/>
        <v>5.0356052899287906E-2</v>
      </c>
      <c r="DQ88" s="991">
        <f t="shared" si="360"/>
        <v>0.11864406779661008</v>
      </c>
      <c r="DR88" s="991">
        <f t="shared" si="360"/>
        <v>-2.56493506493507E-2</v>
      </c>
      <c r="DS88" s="991">
        <f t="shared" si="360"/>
        <v>3.7543041208486283E-2</v>
      </c>
      <c r="DT88" s="991">
        <f t="shared" si="360"/>
        <v>6.5945830210897949E-2</v>
      </c>
      <c r="DU88" s="991">
        <f t="shared" si="360"/>
        <v>6.295937859776024E-2</v>
      </c>
      <c r="DV88" s="991">
        <f t="shared" si="360"/>
        <v>2.8385576426603221E-2</v>
      </c>
      <c r="DW88" s="991">
        <f t="shared" si="360"/>
        <v>1.984654540650399E-2</v>
      </c>
      <c r="DX88" s="991">
        <f t="shared" si="360"/>
        <v>1.3361955783991908E-2</v>
      </c>
      <c r="DY88" s="991">
        <f t="shared" si="360"/>
        <v>1.2685935329059816E-4</v>
      </c>
      <c r="DZ88" s="991">
        <f t="shared" si="360"/>
        <v>-1.4531752682484966E-2</v>
      </c>
    </row>
    <row r="89" spans="2:130" ht="15">
      <c r="B89" s="989" t="s">
        <v>345</v>
      </c>
      <c r="C89" s="898"/>
      <c r="D89" s="990"/>
      <c r="E89" s="991"/>
      <c r="F89" s="991"/>
      <c r="G89" s="992"/>
      <c r="H89" s="991"/>
      <c r="I89" s="991"/>
      <c r="J89" s="991"/>
      <c r="K89" s="992"/>
      <c r="L89" s="991"/>
      <c r="M89" s="991"/>
      <c r="N89" s="991"/>
      <c r="O89" s="992"/>
      <c r="P89" s="991"/>
      <c r="Q89" s="991"/>
      <c r="R89" s="991"/>
      <c r="S89" s="992"/>
      <c r="T89" s="991"/>
      <c r="U89" s="991"/>
      <c r="V89" s="991"/>
      <c r="W89" s="992"/>
      <c r="X89" s="991"/>
      <c r="Y89" s="991"/>
      <c r="Z89" s="991"/>
      <c r="AA89" s="992"/>
      <c r="AB89" s="991"/>
      <c r="AC89" s="991"/>
      <c r="AD89" s="991"/>
      <c r="AE89" s="992"/>
      <c r="AF89" s="991"/>
      <c r="AG89" s="991"/>
      <c r="AH89" s="991"/>
      <c r="AI89" s="992"/>
      <c r="AJ89" s="991"/>
      <c r="AK89" s="991"/>
      <c r="AL89" s="991"/>
      <c r="AM89" s="992"/>
      <c r="AN89" s="991"/>
      <c r="AO89" s="991">
        <f t="shared" ref="AO89:BT89" si="361">AK88+AO88</f>
        <v>0.26634034056242717</v>
      </c>
      <c r="AP89" s="991">
        <f t="shared" si="361"/>
        <v>0.33341343626560138</v>
      </c>
      <c r="AQ89" s="992">
        <f t="shared" si="361"/>
        <v>0.26110654051830529</v>
      </c>
      <c r="AR89" s="991">
        <f t="shared" si="361"/>
        <v>0.34823162368395644</v>
      </c>
      <c r="AS89" s="991">
        <f t="shared" si="361"/>
        <v>0.44014323613218775</v>
      </c>
      <c r="AT89" s="991">
        <f t="shared" si="361"/>
        <v>0.61591340424592822</v>
      </c>
      <c r="AU89" s="992">
        <f t="shared" si="361"/>
        <v>0.37976357621237811</v>
      </c>
      <c r="AV89" s="991">
        <f t="shared" si="361"/>
        <v>0.38147034662561174</v>
      </c>
      <c r="AW89" s="991">
        <f t="shared" si="361"/>
        <v>0.24890356671070024</v>
      </c>
      <c r="AX89" s="991">
        <f t="shared" si="361"/>
        <v>0.25196566764243733</v>
      </c>
      <c r="AY89" s="992">
        <f t="shared" si="361"/>
        <v>0.31959993915751883</v>
      </c>
      <c r="AZ89" s="991">
        <f t="shared" si="361"/>
        <v>3.5596911893463257E-2</v>
      </c>
      <c r="BA89" s="991">
        <f t="shared" si="361"/>
        <v>0.19522012578616343</v>
      </c>
      <c r="BB89" s="991">
        <f t="shared" si="361"/>
        <v>0.13460112470168339</v>
      </c>
      <c r="BC89" s="992">
        <f t="shared" si="361"/>
        <v>0.39121691516602897</v>
      </c>
      <c r="BD89" s="991">
        <f t="shared" si="361"/>
        <v>0.50242075187567192</v>
      </c>
      <c r="BE89" s="991">
        <f t="shared" si="361"/>
        <v>0.34389971950730835</v>
      </c>
      <c r="BF89" s="991">
        <f t="shared" si="361"/>
        <v>0.44679878465687928</v>
      </c>
      <c r="BG89" s="992">
        <f t="shared" si="361"/>
        <v>-0.44424935966289358</v>
      </c>
      <c r="BH89" s="991">
        <f t="shared" si="361"/>
        <v>-0.12301929716132198</v>
      </c>
      <c r="BI89" s="991">
        <f t="shared" si="361"/>
        <v>-0.45518595249734251</v>
      </c>
      <c r="BJ89" s="991">
        <f t="shared" si="361"/>
        <v>-0.37864611949571458</v>
      </c>
      <c r="BK89" s="992">
        <f t="shared" si="361"/>
        <v>0.57773833952637133</v>
      </c>
      <c r="BL89" s="991">
        <f t="shared" si="361"/>
        <v>1.2324784218510445</v>
      </c>
      <c r="BM89" s="991">
        <f t="shared" si="361"/>
        <v>1.354316271963331</v>
      </c>
      <c r="BN89" s="991">
        <f t="shared" si="361"/>
        <v>0.9103360795818457</v>
      </c>
      <c r="BO89" s="992">
        <f t="shared" si="361"/>
        <v>2.2269696919863837</v>
      </c>
      <c r="BP89" s="991">
        <f t="shared" si="361"/>
        <v>2.7162873022793192</v>
      </c>
      <c r="BQ89" s="991">
        <f t="shared" si="361"/>
        <v>2.5016155531215771</v>
      </c>
      <c r="BR89" s="991">
        <f t="shared" si="361"/>
        <v>1.7881931131674664</v>
      </c>
      <c r="BS89" s="992">
        <f t="shared" si="361"/>
        <v>1.1966297630163178</v>
      </c>
      <c r="BT89" s="991">
        <f t="shared" si="361"/>
        <v>0.87149334210275842</v>
      </c>
      <c r="BU89" s="991">
        <f t="shared" ref="BU89:CU89" si="362">BQ88+BU88</f>
        <v>0.55196165372148465</v>
      </c>
      <c r="BV89" s="991">
        <f t="shared" si="362"/>
        <v>0.35755443938354015</v>
      </c>
      <c r="BW89" s="992">
        <f t="shared" si="362"/>
        <v>0.14928774928774935</v>
      </c>
      <c r="BX89" s="991">
        <f t="shared" si="362"/>
        <v>9.1602554875578113E-2</v>
      </c>
      <c r="BY89" s="991">
        <f t="shared" si="362"/>
        <v>0.11508373825916052</v>
      </c>
      <c r="BZ89" s="991">
        <f t="shared" si="362"/>
        <v>4.1178187155454404E-2</v>
      </c>
      <c r="CA89" s="992">
        <f t="shared" si="362"/>
        <v>3.9743589743589602E-2</v>
      </c>
      <c r="CB89" s="991">
        <f t="shared" si="362"/>
        <v>0.10958038797866454</v>
      </c>
      <c r="CC89" s="991">
        <f t="shared" si="362"/>
        <v>0.14369608275478374</v>
      </c>
      <c r="CD89" s="991">
        <f t="shared" si="362"/>
        <v>0.20054179383772031</v>
      </c>
      <c r="CE89" s="992">
        <f t="shared" si="362"/>
        <v>0.23898878898878895</v>
      </c>
      <c r="CF89" s="991">
        <f t="shared" si="362"/>
        <v>0.13799164592085267</v>
      </c>
      <c r="CG89" s="991">
        <f t="shared" si="362"/>
        <v>4.0458426289347371E-2</v>
      </c>
      <c r="CH89" s="991">
        <f t="shared" si="362"/>
        <v>9.0550641913861529E-2</v>
      </c>
      <c r="CI89" s="992">
        <f t="shared" si="362"/>
        <v>0.10720741247057042</v>
      </c>
      <c r="CJ89" s="991">
        <f t="shared" si="362"/>
        <v>7.4455348933216703E-3</v>
      </c>
      <c r="CK89" s="991">
        <f t="shared" si="362"/>
        <v>-2.6857275584492801E-2</v>
      </c>
      <c r="CL89" s="991">
        <f t="shared" si="362"/>
        <v>-1.8337278726212825E-2</v>
      </c>
      <c r="CM89" s="992">
        <f t="shared" si="362"/>
        <v>8.5613121345029297E-2</v>
      </c>
      <c r="CN89" s="991">
        <f t="shared" si="362"/>
        <v>7.3051674676800404E-2</v>
      </c>
      <c r="CO89" s="991">
        <f t="shared" si="362"/>
        <v>7.0284527331958557E-2</v>
      </c>
      <c r="CP89" s="991">
        <f t="shared" si="362"/>
        <v>0.12276491903164111</v>
      </c>
      <c r="CQ89" s="992">
        <f t="shared" si="362"/>
        <v>0.14856278456241867</v>
      </c>
      <c r="CR89" s="991">
        <f t="shared" si="362"/>
        <v>0.12875220123990383</v>
      </c>
      <c r="CS89" s="991">
        <f t="shared" si="362"/>
        <v>0.15991105363194058</v>
      </c>
      <c r="CT89" s="991">
        <f t="shared" si="362"/>
        <v>0.12620671098685743</v>
      </c>
      <c r="CU89" s="992">
        <f t="shared" si="362"/>
        <v>0.10426088316448379</v>
      </c>
      <c r="CV89" s="416"/>
      <c r="CW89" s="991"/>
      <c r="CX89" s="991"/>
      <c r="CY89" s="991"/>
      <c r="CZ89" s="991"/>
      <c r="DA89" s="991"/>
      <c r="DB89" s="991"/>
      <c r="DC89" s="991"/>
      <c r="DD89" s="991"/>
      <c r="DE89" s="991"/>
      <c r="DF89" s="991"/>
      <c r="DG89" s="991">
        <f t="shared" ref="DG89:DZ89" si="363">DF88+DG88</f>
        <v>0.62930540070565666</v>
      </c>
      <c r="DH89" s="991">
        <f t="shared" si="363"/>
        <v>0.44102384872586509</v>
      </c>
      <c r="DI89" s="991">
        <f t="shared" si="363"/>
        <v>0.28986026761269734</v>
      </c>
      <c r="DJ89" s="991">
        <f t="shared" si="363"/>
        <v>0.17457681099292777</v>
      </c>
      <c r="DK89" s="991">
        <f t="shared" si="363"/>
        <v>0.14365786726869878</v>
      </c>
      <c r="DL89" s="991">
        <f t="shared" si="363"/>
        <v>-0.47370845417036411</v>
      </c>
      <c r="DM89" s="991">
        <f t="shared" si="363"/>
        <v>0.9725593578031132</v>
      </c>
      <c r="DN89" s="991">
        <f t="shared" si="363"/>
        <v>1.885968010601671</v>
      </c>
      <c r="DO89" s="991">
        <f t="shared" si="363"/>
        <v>0.45489521844641367</v>
      </c>
      <c r="DP89" s="991">
        <f t="shared" si="363"/>
        <v>6.6508010516550975E-2</v>
      </c>
      <c r="DQ89" s="991">
        <f t="shared" si="363"/>
        <v>0.16900012069589798</v>
      </c>
      <c r="DR89" s="991">
        <f t="shared" si="363"/>
        <v>9.2994717147259376E-2</v>
      </c>
      <c r="DS89" s="991">
        <f t="shared" si="363"/>
        <v>1.1893690559135583E-2</v>
      </c>
      <c r="DT89" s="991">
        <f t="shared" si="363"/>
        <v>0.10348887141938423</v>
      </c>
      <c r="DU89" s="991">
        <f t="shared" si="363"/>
        <v>0.12890520880865819</v>
      </c>
      <c r="DV89" s="991">
        <f t="shared" si="363"/>
        <v>9.1344955024363461E-2</v>
      </c>
      <c r="DW89" s="991">
        <f t="shared" si="363"/>
        <v>4.8232121833107211E-2</v>
      </c>
      <c r="DX89" s="991">
        <f t="shared" si="363"/>
        <v>3.3208501190495898E-2</v>
      </c>
      <c r="DY89" s="991">
        <f t="shared" si="363"/>
        <v>1.3488815137282506E-2</v>
      </c>
      <c r="DZ89" s="991">
        <f t="shared" si="363"/>
        <v>-1.4404893329194368E-2</v>
      </c>
    </row>
    <row r="90" spans="2:130" ht="15" collapsed="1">
      <c r="B90" s="937" t="s">
        <v>81</v>
      </c>
      <c r="C90" s="658"/>
      <c r="D90" s="1003"/>
      <c r="E90" s="1004"/>
      <c r="F90" s="1004"/>
      <c r="G90" s="1005"/>
      <c r="H90" s="1004"/>
      <c r="I90" s="1004"/>
      <c r="J90" s="1004"/>
      <c r="K90" s="1005"/>
      <c r="L90" s="1004"/>
      <c r="M90" s="1004"/>
      <c r="N90" s="1004"/>
      <c r="O90" s="1005"/>
      <c r="P90" s="1004"/>
      <c r="Q90" s="1004"/>
      <c r="R90" s="1004"/>
      <c r="S90" s="1005"/>
      <c r="T90" s="1004"/>
      <c r="U90" s="1004"/>
      <c r="V90" s="1004"/>
      <c r="W90" s="1005"/>
      <c r="X90" s="1004"/>
      <c r="Y90" s="1004"/>
      <c r="Z90" s="1004"/>
      <c r="AA90" s="1005"/>
      <c r="AB90" s="1004"/>
      <c r="AC90" s="1004"/>
      <c r="AD90" s="1004"/>
      <c r="AE90" s="1005"/>
      <c r="AF90" s="1006"/>
      <c r="AG90" s="1006">
        <v>29.5</v>
      </c>
      <c r="AH90" s="1006">
        <v>22.2</v>
      </c>
      <c r="AI90" s="1007">
        <v>28.2</v>
      </c>
      <c r="AJ90" s="1006">
        <v>26.1</v>
      </c>
      <c r="AK90" s="1006">
        <v>23.7</v>
      </c>
      <c r="AL90" s="1006">
        <f>16.7</f>
        <v>16.7</v>
      </c>
      <c r="AM90" s="1007">
        <v>31.9</v>
      </c>
      <c r="AN90" s="1006">
        <v>30.7</v>
      </c>
      <c r="AO90" s="1006">
        <v>23.8</v>
      </c>
      <c r="AP90" s="1006">
        <v>24.4</v>
      </c>
      <c r="AQ90" s="1007">
        <v>28.1</v>
      </c>
      <c r="AR90" s="1006">
        <v>25.8</v>
      </c>
      <c r="AS90" s="1006">
        <v>30.4</v>
      </c>
      <c r="AT90" s="1006">
        <v>23.8</v>
      </c>
      <c r="AU90" s="1007">
        <f>DH90-SUM(AR90:AT90)</f>
        <v>17.599999999999994</v>
      </c>
      <c r="AV90" s="1006">
        <v>22.7</v>
      </c>
      <c r="AW90" s="1006">
        <v>28.6</v>
      </c>
      <c r="AX90" s="1006">
        <f>13.2</f>
        <v>13.2</v>
      </c>
      <c r="AY90" s="1007">
        <v>26.1</v>
      </c>
      <c r="AZ90" s="1006">
        <v>27.7</v>
      </c>
      <c r="BA90" s="1006">
        <v>33.299999999999997</v>
      </c>
      <c r="BB90" s="1006">
        <v>26.8</v>
      </c>
      <c r="BC90" s="1007">
        <v>30.3</v>
      </c>
      <c r="BD90" s="1006">
        <v>18.3</v>
      </c>
      <c r="BE90" s="1006">
        <v>21.8</v>
      </c>
      <c r="BF90" s="1006">
        <f>-2.9+6</f>
        <v>3.1</v>
      </c>
      <c r="BG90" s="1007">
        <f>-42.1+23.5</f>
        <v>-18.600000000000001</v>
      </c>
      <c r="BH90" s="1006">
        <v>-32.700000000000003</v>
      </c>
      <c r="BI90" s="1006">
        <v>-8.8000000000000007</v>
      </c>
      <c r="BJ90" s="1006">
        <v>7.5</v>
      </c>
      <c r="BK90" s="1007">
        <v>20.5</v>
      </c>
      <c r="BL90" s="1006">
        <v>36.700000000000003</v>
      </c>
      <c r="BM90" s="1006">
        <v>37.299999999999997</v>
      </c>
      <c r="BN90" s="1006">
        <v>31.1</v>
      </c>
      <c r="BO90" s="1007">
        <v>31.9</v>
      </c>
      <c r="BP90" s="1006">
        <v>32</v>
      </c>
      <c r="BQ90" s="1006">
        <v>39</v>
      </c>
      <c r="BR90" s="1006">
        <v>44</v>
      </c>
      <c r="BS90" s="1007">
        <v>46.8</v>
      </c>
      <c r="BT90" s="1006">
        <v>61.2</v>
      </c>
      <c r="BU90" s="1006">
        <v>54.6</v>
      </c>
      <c r="BV90" s="1006">
        <v>44.1</v>
      </c>
      <c r="BW90" s="1007">
        <v>49.2</v>
      </c>
      <c r="BX90" s="1006">
        <v>56</v>
      </c>
      <c r="BY90" s="1006">
        <v>59.8</v>
      </c>
      <c r="BZ90" s="1006">
        <v>65.900000000000006</v>
      </c>
      <c r="CA90" s="1007">
        <v>70.5</v>
      </c>
      <c r="CB90" s="1006">
        <v>80.5</v>
      </c>
      <c r="CC90" s="1006">
        <v>89.1</v>
      </c>
      <c r="CD90" s="1006">
        <v>68</v>
      </c>
      <c r="CE90" s="1007">
        <v>65.7</v>
      </c>
      <c r="CF90" s="1006">
        <v>71</v>
      </c>
      <c r="CG90" s="1006">
        <v>72.099999999999994</v>
      </c>
      <c r="CH90" s="1006">
        <f>70.3</f>
        <v>70.3</v>
      </c>
      <c r="CI90" s="1007">
        <v>81.2</v>
      </c>
      <c r="CJ90" s="1006">
        <v>83.8</v>
      </c>
      <c r="CK90" s="1006">
        <v>92.8</v>
      </c>
      <c r="CL90" s="1006">
        <v>86.9</v>
      </c>
      <c r="CM90" s="1007">
        <v>91</v>
      </c>
      <c r="CN90" s="1006">
        <v>104.8</v>
      </c>
      <c r="CO90" s="1006">
        <v>109.6</v>
      </c>
      <c r="CP90" s="1006">
        <v>111.5</v>
      </c>
      <c r="CQ90" s="1007">
        <v>123.9</v>
      </c>
      <c r="CR90" s="937">
        <f>CR91*CR53</f>
        <v>132.71633985364127</v>
      </c>
      <c r="CS90" s="937">
        <f>CS91*CS53</f>
        <v>138.93679698704813</v>
      </c>
      <c r="CT90" s="937">
        <f>CT91*CT53</f>
        <v>139.16230654326884</v>
      </c>
      <c r="CU90" s="926">
        <f>CU91*CU53</f>
        <v>149.32734060054275</v>
      </c>
      <c r="CV90" s="406"/>
      <c r="CW90" s="1004"/>
      <c r="CX90" s="1008"/>
      <c r="CY90" s="1008"/>
      <c r="CZ90" s="1008"/>
      <c r="DA90" s="1008"/>
      <c r="DB90" s="1008"/>
      <c r="DC90" s="1008"/>
      <c r="DD90" s="1008"/>
      <c r="DE90" s="1008">
        <f>SUM(AF90:AI90)</f>
        <v>79.900000000000006</v>
      </c>
      <c r="DF90" s="1008">
        <f>SUM(AJ90:AM90)</f>
        <v>98.4</v>
      </c>
      <c r="DG90" s="1008">
        <f>SUM(AN90:AQ90)</f>
        <v>107</v>
      </c>
      <c r="DH90" s="1027">
        <v>97.6</v>
      </c>
      <c r="DI90" s="1008">
        <f>SUM(AV90:AY90)</f>
        <v>90.6</v>
      </c>
      <c r="DJ90" s="1008">
        <f>SUM(AZ90:BC90)</f>
        <v>118.1</v>
      </c>
      <c r="DK90" s="1008">
        <f>SUM(BD90:BG90)</f>
        <v>24.6</v>
      </c>
      <c r="DL90" s="1008">
        <f>SUM(BH90:BK90)</f>
        <v>-13.5</v>
      </c>
      <c r="DM90" s="1008">
        <f>SUM(BL90:BO90)</f>
        <v>137</v>
      </c>
      <c r="DN90" s="1008">
        <f>SUM(BP90:BS90)</f>
        <v>161.80000000000001</v>
      </c>
      <c r="DO90" s="1008">
        <f>SUM(BT90:BW90)</f>
        <v>209.10000000000002</v>
      </c>
      <c r="DP90" s="1008">
        <f>SUM(BX90:CA90)</f>
        <v>252.2</v>
      </c>
      <c r="DQ90" s="1008">
        <f>SUM(CB90:CE90)</f>
        <v>303.3</v>
      </c>
      <c r="DR90" s="1008">
        <f>SUM(CF90:CI90)</f>
        <v>294.59999999999997</v>
      </c>
      <c r="DS90" s="1008">
        <f>SUM(CJ90:CM90)</f>
        <v>354.5</v>
      </c>
      <c r="DT90" s="665">
        <f>SUM(CN90:CQ90)</f>
        <v>449.79999999999995</v>
      </c>
      <c r="DU90" s="665">
        <f>SUM(CR90:CU90)</f>
        <v>560.14278398450097</v>
      </c>
      <c r="DV90" s="665">
        <f>DV91*DV53</f>
        <v>583.79257050534147</v>
      </c>
      <c r="DW90" s="665">
        <f>DW91*DW53</f>
        <v>603.33263335464687</v>
      </c>
      <c r="DX90" s="665">
        <f>DX91*DX53</f>
        <v>619.47172597977726</v>
      </c>
      <c r="DY90" s="665">
        <f>DY91*DY53</f>
        <v>627.71428515806519</v>
      </c>
      <c r="DZ90" s="665">
        <f>DZ91*DZ53</f>
        <v>626.73187432813688</v>
      </c>
    </row>
    <row r="91" spans="2:130" ht="15">
      <c r="B91" s="989" t="s">
        <v>240</v>
      </c>
      <c r="C91" s="898"/>
      <c r="D91" s="990"/>
      <c r="E91" s="991"/>
      <c r="F91" s="991"/>
      <c r="G91" s="992"/>
      <c r="H91" s="991"/>
      <c r="I91" s="991"/>
      <c r="J91" s="991"/>
      <c r="K91" s="992"/>
      <c r="L91" s="991"/>
      <c r="M91" s="991"/>
      <c r="N91" s="991"/>
      <c r="O91" s="992"/>
      <c r="P91" s="991"/>
      <c r="Q91" s="991"/>
      <c r="R91" s="991"/>
      <c r="S91" s="992"/>
      <c r="T91" s="991"/>
      <c r="U91" s="991"/>
      <c r="V91" s="991"/>
      <c r="W91" s="992"/>
      <c r="X91" s="991"/>
      <c r="Y91" s="991"/>
      <c r="Z91" s="991"/>
      <c r="AA91" s="992"/>
      <c r="AB91" s="991"/>
      <c r="AC91" s="991"/>
      <c r="AD91" s="991"/>
      <c r="AE91" s="992"/>
      <c r="AF91" s="991"/>
      <c r="AG91" s="991">
        <f t="shared" ref="AG91:BL91" si="364">AG90/AG53</f>
        <v>0.10232396808879639</v>
      </c>
      <c r="AH91" s="991">
        <f t="shared" si="364"/>
        <v>0.08</v>
      </c>
      <c r="AI91" s="992">
        <f t="shared" si="364"/>
        <v>9.3192333113020484E-2</v>
      </c>
      <c r="AJ91" s="991">
        <f t="shared" si="364"/>
        <v>8.1131488964874113E-2</v>
      </c>
      <c r="AK91" s="991">
        <f t="shared" si="364"/>
        <v>7.6624636275460706E-2</v>
      </c>
      <c r="AL91" s="991">
        <f t="shared" si="364"/>
        <v>5.8740766795638402E-2</v>
      </c>
      <c r="AM91" s="992">
        <f t="shared" si="364"/>
        <v>9.660811629315566E-2</v>
      </c>
      <c r="AN91" s="991">
        <f t="shared" si="364"/>
        <v>8.5372636262513901E-2</v>
      </c>
      <c r="AO91" s="991">
        <f t="shared" si="364"/>
        <v>6.8508923431203225E-2</v>
      </c>
      <c r="AP91" s="991">
        <f t="shared" si="364"/>
        <v>7.6561029181048013E-2</v>
      </c>
      <c r="AQ91" s="992">
        <f t="shared" si="364"/>
        <v>8.4409732652448194E-2</v>
      </c>
      <c r="AR91" s="991">
        <f t="shared" si="364"/>
        <v>6.9616837560712352E-2</v>
      </c>
      <c r="AS91" s="991">
        <f t="shared" si="364"/>
        <v>7.8289981972701511E-2</v>
      </c>
      <c r="AT91" s="991">
        <f t="shared" si="364"/>
        <v>6.6332218506131552E-2</v>
      </c>
      <c r="AU91" s="992">
        <f t="shared" si="364"/>
        <v>4.9549549549549536E-2</v>
      </c>
      <c r="AV91" s="991">
        <f t="shared" si="364"/>
        <v>6.0212201591511937E-2</v>
      </c>
      <c r="AW91" s="991">
        <f t="shared" si="364"/>
        <v>7.4035723530934502E-2</v>
      </c>
      <c r="AX91" s="991">
        <f t="shared" si="364"/>
        <v>3.9987882459860645E-2</v>
      </c>
      <c r="AY91" s="992">
        <f t="shared" si="364"/>
        <v>7.0923913043478268E-2</v>
      </c>
      <c r="AZ91" s="991">
        <f t="shared" si="364"/>
        <v>7.066326530612245E-2</v>
      </c>
      <c r="BA91" s="991">
        <f t="shared" si="364"/>
        <v>7.9722288723964557E-2</v>
      </c>
      <c r="BB91" s="991">
        <f t="shared" si="364"/>
        <v>6.9214876033057857E-2</v>
      </c>
      <c r="BC91" s="992">
        <f t="shared" si="364"/>
        <v>7.5391888529484946E-2</v>
      </c>
      <c r="BD91" s="991">
        <f t="shared" si="364"/>
        <v>4.4655929721815521E-2</v>
      </c>
      <c r="BE91" s="991">
        <f t="shared" si="364"/>
        <v>5.2606177606177612E-2</v>
      </c>
      <c r="BF91" s="991">
        <f t="shared" si="364"/>
        <v>8.9285714285714298E-3</v>
      </c>
      <c r="BG91" s="992">
        <f t="shared" si="364"/>
        <v>-7.2941176470588245E-2</v>
      </c>
      <c r="BH91" s="991">
        <f t="shared" si="364"/>
        <v>-0.16498486377396571</v>
      </c>
      <c r="BI91" s="991">
        <f t="shared" si="364"/>
        <v>-3.5369774919614148E-2</v>
      </c>
      <c r="BJ91" s="991">
        <f t="shared" si="364"/>
        <v>2.5269541778975741E-2</v>
      </c>
      <c r="BK91" s="992">
        <f t="shared" si="364"/>
        <v>5.8621675722047469E-2</v>
      </c>
      <c r="BL91" s="991">
        <f t="shared" si="364"/>
        <v>9.5127008812856406E-2</v>
      </c>
      <c r="BM91" s="991">
        <f t="shared" ref="BM91:CP91" si="365">BM90/BM53</f>
        <v>9.1264986542696352E-2</v>
      </c>
      <c r="BN91" s="991">
        <f t="shared" si="365"/>
        <v>7.8317804079576933E-2</v>
      </c>
      <c r="BO91" s="992">
        <f t="shared" si="365"/>
        <v>7.5988565983801812E-2</v>
      </c>
      <c r="BP91" s="991">
        <f t="shared" si="365"/>
        <v>6.5789473684210523E-2</v>
      </c>
      <c r="BQ91" s="991">
        <f t="shared" si="365"/>
        <v>7.4186798554308528E-2</v>
      </c>
      <c r="BR91" s="991">
        <f t="shared" si="365"/>
        <v>8.1678113978095407E-2</v>
      </c>
      <c r="BS91" s="992">
        <f t="shared" si="365"/>
        <v>8.7689713322091051E-2</v>
      </c>
      <c r="BT91" s="991">
        <f t="shared" si="365"/>
        <v>0.10009813542688911</v>
      </c>
      <c r="BU91" s="991">
        <f t="shared" si="365"/>
        <v>9.1934669136218228E-2</v>
      </c>
      <c r="BV91" s="991">
        <f t="shared" si="365"/>
        <v>8.2522455089820368E-2</v>
      </c>
      <c r="BW91" s="992">
        <f t="shared" si="365"/>
        <v>8.8014311270125226E-2</v>
      </c>
      <c r="BX91" s="991">
        <f t="shared" si="365"/>
        <v>9.3116062520784845E-2</v>
      </c>
      <c r="BY91" s="991">
        <f t="shared" si="365"/>
        <v>9.7473512632436837E-2</v>
      </c>
      <c r="BZ91" s="991">
        <f t="shared" si="365"/>
        <v>0.10910596026490067</v>
      </c>
      <c r="CA91" s="992">
        <f t="shared" si="365"/>
        <v>0.11233269598470363</v>
      </c>
      <c r="CB91" s="991">
        <f t="shared" si="365"/>
        <v>0.11826061407374761</v>
      </c>
      <c r="CC91" s="991">
        <f t="shared" si="365"/>
        <v>0.12572315507266826</v>
      </c>
      <c r="CD91" s="991">
        <f t="shared" si="365"/>
        <v>0.10845295055821372</v>
      </c>
      <c r="CE91" s="992">
        <f t="shared" si="365"/>
        <v>0.10682926829268292</v>
      </c>
      <c r="CF91" s="991">
        <f t="shared" si="365"/>
        <v>0.11616492146596857</v>
      </c>
      <c r="CG91" s="991">
        <f t="shared" si="365"/>
        <v>0.11501036847982134</v>
      </c>
      <c r="CH91" s="991">
        <f t="shared" si="365"/>
        <v>0.12043858146308034</v>
      </c>
      <c r="CI91" s="992">
        <f t="shared" si="365"/>
        <v>0.11049122329568649</v>
      </c>
      <c r="CJ91" s="991">
        <f t="shared" si="365"/>
        <v>9.5313921747042757E-2</v>
      </c>
      <c r="CK91" s="991">
        <f t="shared" si="365"/>
        <v>0.10364083091355819</v>
      </c>
      <c r="CL91" s="991">
        <f t="shared" si="365"/>
        <v>0.1003580090079686</v>
      </c>
      <c r="CM91" s="992">
        <f t="shared" si="365"/>
        <v>0.10303442028985507</v>
      </c>
      <c r="CN91" s="991">
        <f t="shared" si="365"/>
        <v>0.11330954697805168</v>
      </c>
      <c r="CO91" s="991">
        <f t="shared" si="365"/>
        <v>0.11900108577633008</v>
      </c>
      <c r="CP91" s="991">
        <f t="shared" si="365"/>
        <v>0.12095899327402908</v>
      </c>
      <c r="CQ91" s="992">
        <f t="shared" ref="CQ91" si="366">CQ90/CQ53</f>
        <v>0.12116174457265794</v>
      </c>
      <c r="CR91" s="1011">
        <v>0.123</v>
      </c>
      <c r="CS91" s="1011">
        <v>0.128</v>
      </c>
      <c r="CT91" s="1011">
        <v>0.129</v>
      </c>
      <c r="CU91" s="1012">
        <v>0.126</v>
      </c>
      <c r="CV91" s="416"/>
      <c r="CW91" s="991"/>
      <c r="CX91" s="991"/>
      <c r="CY91" s="991"/>
      <c r="CZ91" s="991"/>
      <c r="DA91" s="991"/>
      <c r="DB91" s="991"/>
      <c r="DC91" s="991"/>
      <c r="DD91" s="991"/>
      <c r="DE91" s="991">
        <f t="shared" ref="DE91:DU91" si="367">DE90/DE53</f>
        <v>7.1205774886373779E-2</v>
      </c>
      <c r="DF91" s="991">
        <f t="shared" si="367"/>
        <v>7.9004415897230035E-2</v>
      </c>
      <c r="DG91" s="991">
        <f t="shared" si="367"/>
        <v>7.8757544531134996E-2</v>
      </c>
      <c r="DH91" s="991">
        <f t="shared" si="367"/>
        <v>6.6263833254124507E-2</v>
      </c>
      <c r="DI91" s="991">
        <f t="shared" si="367"/>
        <v>6.199534692760366E-2</v>
      </c>
      <c r="DJ91" s="991">
        <f t="shared" si="367"/>
        <v>7.3867900925694258E-2</v>
      </c>
      <c r="DK91" s="991">
        <f t="shared" si="367"/>
        <v>1.7246214245653393E-2</v>
      </c>
      <c r="DL91" s="991">
        <f t="shared" si="367"/>
        <v>-1.2345679012345678E-2</v>
      </c>
      <c r="DM91" s="991">
        <f t="shared" si="367"/>
        <v>8.5019237929750538E-2</v>
      </c>
      <c r="DN91" s="991">
        <f t="shared" si="367"/>
        <v>7.7620532501798997E-2</v>
      </c>
      <c r="DO91" s="991">
        <f t="shared" si="367"/>
        <v>9.0964458172010279E-2</v>
      </c>
      <c r="DP91" s="991">
        <f t="shared" si="367"/>
        <v>0.10308604128346617</v>
      </c>
      <c r="DQ91" s="991">
        <f t="shared" si="367"/>
        <v>0.11526183780497073</v>
      </c>
      <c r="DR91" s="991">
        <f t="shared" si="367"/>
        <v>0.11522665936558844</v>
      </c>
      <c r="DS91" s="991">
        <f t="shared" si="367"/>
        <v>0.10060447824729687</v>
      </c>
      <c r="DT91" s="991">
        <f t="shared" si="367"/>
        <v>0.11867134527609952</v>
      </c>
      <c r="DU91" s="991">
        <f t="shared" si="367"/>
        <v>0.12649007746066884</v>
      </c>
      <c r="DV91" s="1011">
        <f>DU91-0.003</f>
        <v>0.12349007746066884</v>
      </c>
      <c r="DW91" s="1011">
        <f t="shared" ref="DW91:DZ91" si="368">DV91-0.003</f>
        <v>0.12049007746066884</v>
      </c>
      <c r="DX91" s="1011">
        <f t="shared" si="368"/>
        <v>0.11749007746066883</v>
      </c>
      <c r="DY91" s="1011">
        <f t="shared" si="368"/>
        <v>0.11449007746066883</v>
      </c>
      <c r="DZ91" s="1011">
        <f t="shared" si="368"/>
        <v>0.11149007746066883</v>
      </c>
    </row>
    <row r="92" spans="2:130" ht="15">
      <c r="B92" s="1009" t="s">
        <v>347</v>
      </c>
      <c r="C92" s="908"/>
      <c r="D92" s="1010"/>
      <c r="E92" s="941"/>
      <c r="F92" s="941"/>
      <c r="G92" s="930"/>
      <c r="H92" s="941"/>
      <c r="I92" s="941"/>
      <c r="J92" s="941"/>
      <c r="K92" s="930"/>
      <c r="L92" s="941"/>
      <c r="M92" s="941"/>
      <c r="N92" s="941"/>
      <c r="O92" s="930"/>
      <c r="P92" s="941"/>
      <c r="Q92" s="941"/>
      <c r="R92" s="941"/>
      <c r="S92" s="930"/>
      <c r="T92" s="941"/>
      <c r="U92" s="941"/>
      <c r="V92" s="941"/>
      <c r="W92" s="930"/>
      <c r="X92" s="941"/>
      <c r="Y92" s="941"/>
      <c r="Z92" s="941"/>
      <c r="AA92" s="930"/>
      <c r="AB92" s="941"/>
      <c r="AC92" s="941"/>
      <c r="AD92" s="941"/>
      <c r="AE92" s="930"/>
      <c r="AF92" s="941"/>
      <c r="AG92" s="941"/>
      <c r="AH92" s="941">
        <f t="shared" ref="AH92:BM92" si="369">(AH91-AG91)*10000</f>
        <v>-223.23968088796386</v>
      </c>
      <c r="AI92" s="930">
        <f t="shared" si="369"/>
        <v>131.92333113020482</v>
      </c>
      <c r="AJ92" s="941">
        <f t="shared" si="369"/>
        <v>-120.60844148146371</v>
      </c>
      <c r="AK92" s="941">
        <f t="shared" si="369"/>
        <v>-45.068526894134067</v>
      </c>
      <c r="AL92" s="941">
        <f t="shared" si="369"/>
        <v>-178.83869479822303</v>
      </c>
      <c r="AM92" s="930">
        <f t="shared" si="369"/>
        <v>378.67349497517256</v>
      </c>
      <c r="AN92" s="941">
        <f t="shared" si="369"/>
        <v>-112.35480030641759</v>
      </c>
      <c r="AO92" s="941">
        <f t="shared" si="369"/>
        <v>-168.63712831310676</v>
      </c>
      <c r="AP92" s="941">
        <f t="shared" si="369"/>
        <v>80.521057498447874</v>
      </c>
      <c r="AQ92" s="930">
        <f t="shared" si="369"/>
        <v>78.487034714001808</v>
      </c>
      <c r="AR92" s="941">
        <f t="shared" si="369"/>
        <v>-147.92895091735841</v>
      </c>
      <c r="AS92" s="941">
        <f t="shared" si="369"/>
        <v>86.731444119891592</v>
      </c>
      <c r="AT92" s="941">
        <f t="shared" si="369"/>
        <v>-119.57763466569959</v>
      </c>
      <c r="AU92" s="930">
        <f t="shared" si="369"/>
        <v>-167.82668956582015</v>
      </c>
      <c r="AV92" s="941">
        <f t="shared" si="369"/>
        <v>106.626520419624</v>
      </c>
      <c r="AW92" s="941">
        <f t="shared" si="369"/>
        <v>138.23521939422565</v>
      </c>
      <c r="AX92" s="941">
        <f t="shared" si="369"/>
        <v>-340.47841071073856</v>
      </c>
      <c r="AY92" s="930">
        <f t="shared" si="369"/>
        <v>309.36030583617622</v>
      </c>
      <c r="AZ92" s="941">
        <f t="shared" si="369"/>
        <v>-2.6064773735581803</v>
      </c>
      <c r="BA92" s="941">
        <f t="shared" si="369"/>
        <v>90.590234178421071</v>
      </c>
      <c r="BB92" s="941">
        <f t="shared" si="369"/>
        <v>-105.074126909067</v>
      </c>
      <c r="BC92" s="930">
        <f t="shared" si="369"/>
        <v>61.770124964270892</v>
      </c>
      <c r="BD92" s="941">
        <f t="shared" si="369"/>
        <v>-307.35958807669425</v>
      </c>
      <c r="BE92" s="941">
        <f t="shared" si="369"/>
        <v>79.502478843620906</v>
      </c>
      <c r="BF92" s="941">
        <f t="shared" si="369"/>
        <v>-436.77606177606179</v>
      </c>
      <c r="BG92" s="930">
        <f t="shared" si="369"/>
        <v>-818.69747899159665</v>
      </c>
      <c r="BH92" s="941">
        <f t="shared" si="369"/>
        <v>-920.43687303377465</v>
      </c>
      <c r="BI92" s="941">
        <f t="shared" si="369"/>
        <v>1296.1508885435155</v>
      </c>
      <c r="BJ92" s="941">
        <f t="shared" si="369"/>
        <v>606.39316698589892</v>
      </c>
      <c r="BK92" s="930">
        <f t="shared" si="369"/>
        <v>333.52133943071726</v>
      </c>
      <c r="BL92" s="941">
        <f t="shared" si="369"/>
        <v>365.05333090808938</v>
      </c>
      <c r="BM92" s="941">
        <f t="shared" si="369"/>
        <v>-38.620222701600539</v>
      </c>
      <c r="BN92" s="941">
        <f t="shared" ref="BN92:CP92" si="370">(BN91-BM91)*10000</f>
        <v>-129.47182463119418</v>
      </c>
      <c r="BO92" s="930">
        <f t="shared" si="370"/>
        <v>-23.292380957751213</v>
      </c>
      <c r="BP92" s="941">
        <f t="shared" si="370"/>
        <v>-101.9909229959129</v>
      </c>
      <c r="BQ92" s="941">
        <f t="shared" si="370"/>
        <v>83.973248700980051</v>
      </c>
      <c r="BR92" s="941">
        <f t="shared" si="370"/>
        <v>74.913154237868795</v>
      </c>
      <c r="BS92" s="930">
        <f t="shared" si="370"/>
        <v>60.115993439956441</v>
      </c>
      <c r="BT92" s="941">
        <f t="shared" si="370"/>
        <v>124.08422104798062</v>
      </c>
      <c r="BU92" s="941">
        <f t="shared" si="370"/>
        <v>-81.63466290670884</v>
      </c>
      <c r="BV92" s="941">
        <f t="shared" si="370"/>
        <v>-94.122140463978596</v>
      </c>
      <c r="BW92" s="930">
        <f t="shared" si="370"/>
        <v>54.918561803048576</v>
      </c>
      <c r="BX92" s="941">
        <f t="shared" si="370"/>
        <v>51.017512506596198</v>
      </c>
      <c r="BY92" s="941">
        <f t="shared" si="370"/>
        <v>43.574501116519919</v>
      </c>
      <c r="BZ92" s="941">
        <f t="shared" si="370"/>
        <v>116.32447632463835</v>
      </c>
      <c r="CA92" s="930">
        <f t="shared" si="370"/>
        <v>32.267357198029615</v>
      </c>
      <c r="CB92" s="941">
        <f t="shared" si="370"/>
        <v>59.279180890439712</v>
      </c>
      <c r="CC92" s="941">
        <f t="shared" si="370"/>
        <v>74.625409989206588</v>
      </c>
      <c r="CD92" s="941">
        <f t="shared" si="370"/>
        <v>-172.70204514454545</v>
      </c>
      <c r="CE92" s="930">
        <f t="shared" si="370"/>
        <v>-16.236822655307932</v>
      </c>
      <c r="CF92" s="941">
        <f t="shared" si="370"/>
        <v>93.356531732856496</v>
      </c>
      <c r="CG92" s="941">
        <f t="shared" si="370"/>
        <v>-11.545529861472364</v>
      </c>
      <c r="CH92" s="941">
        <f t="shared" si="370"/>
        <v>54.282129832590037</v>
      </c>
      <c r="CI92" s="930">
        <f t="shared" si="370"/>
        <v>-99.473581673938526</v>
      </c>
      <c r="CJ92" s="941">
        <f t="shared" si="370"/>
        <v>-151.77301548643732</v>
      </c>
      <c r="CK92" s="941">
        <f t="shared" si="370"/>
        <v>83.269091665154335</v>
      </c>
      <c r="CL92" s="941">
        <f t="shared" si="370"/>
        <v>-32.828219055895943</v>
      </c>
      <c r="CM92" s="930">
        <f t="shared" si="370"/>
        <v>26.76411281886476</v>
      </c>
      <c r="CN92" s="941">
        <f t="shared" si="370"/>
        <v>102.75126688196606</v>
      </c>
      <c r="CO92" s="941">
        <f t="shared" si="370"/>
        <v>56.915387982783976</v>
      </c>
      <c r="CP92" s="941">
        <f t="shared" si="370"/>
        <v>19.579074976990018</v>
      </c>
      <c r="CQ92" s="1007">
        <f>(((CQ90-4)/(CQ53-15))-CP91)*10000</f>
        <v>-19.633600862561522</v>
      </c>
      <c r="CR92" s="941">
        <f>(CR91-CQ91)*10000</f>
        <v>18.382554273420617</v>
      </c>
      <c r="CS92" s="941">
        <f>(CS91-CR91)*10000</f>
        <v>50.000000000000043</v>
      </c>
      <c r="CT92" s="941">
        <f>(CT91-CS91)*10000</f>
        <v>10.000000000000009</v>
      </c>
      <c r="CU92" s="930">
        <f>(CU91-CT91)*10000</f>
        <v>-30.000000000000028</v>
      </c>
      <c r="CV92" s="648"/>
      <c r="CW92" s="941"/>
      <c r="CX92" s="941"/>
      <c r="CY92" s="941"/>
      <c r="CZ92" s="941"/>
      <c r="DA92" s="941"/>
      <c r="DB92" s="941"/>
      <c r="DC92" s="941"/>
      <c r="DD92" s="941"/>
      <c r="DE92" s="941"/>
      <c r="DF92" s="941"/>
      <c r="DG92" s="941"/>
      <c r="DH92" s="941"/>
      <c r="DI92" s="941"/>
      <c r="DJ92" s="941"/>
      <c r="DK92" s="941"/>
      <c r="DL92" s="941"/>
      <c r="DM92" s="941"/>
      <c r="DN92" s="941"/>
      <c r="DO92" s="941"/>
      <c r="DP92" s="941"/>
      <c r="DQ92" s="941"/>
      <c r="DR92" s="941"/>
      <c r="DS92" s="941"/>
      <c r="DT92" s="941"/>
      <c r="DU92" s="941"/>
      <c r="DV92" s="1006"/>
      <c r="DW92" s="1006"/>
      <c r="DX92" s="1006"/>
      <c r="DY92" s="1006"/>
      <c r="DZ92" s="1006"/>
    </row>
    <row r="93" spans="2:130" ht="15">
      <c r="B93" s="1009" t="s">
        <v>348</v>
      </c>
      <c r="C93" s="908"/>
      <c r="D93" s="1010"/>
      <c r="E93" s="941"/>
      <c r="F93" s="941"/>
      <c r="G93" s="930"/>
      <c r="H93" s="941"/>
      <c r="I93" s="941"/>
      <c r="J93" s="941"/>
      <c r="K93" s="930"/>
      <c r="L93" s="941"/>
      <c r="M93" s="941"/>
      <c r="N93" s="941"/>
      <c r="O93" s="930"/>
      <c r="P93" s="941"/>
      <c r="Q93" s="941"/>
      <c r="R93" s="941"/>
      <c r="S93" s="930"/>
      <c r="T93" s="941"/>
      <c r="U93" s="941"/>
      <c r="V93" s="941"/>
      <c r="W93" s="930"/>
      <c r="X93" s="941"/>
      <c r="Y93" s="941"/>
      <c r="Z93" s="941"/>
      <c r="AA93" s="930"/>
      <c r="AB93" s="941"/>
      <c r="AC93" s="941"/>
      <c r="AD93" s="941"/>
      <c r="AE93" s="930"/>
      <c r="AF93" s="941"/>
      <c r="AG93" s="941"/>
      <c r="AH93" s="941"/>
      <c r="AI93" s="930"/>
      <c r="AJ93" s="941"/>
      <c r="AK93" s="941">
        <f t="shared" ref="AK93:BP93" si="371">(AK91-AG91)*10000</f>
        <v>-256.99331813335681</v>
      </c>
      <c r="AL93" s="941">
        <f t="shared" si="371"/>
        <v>-212.59233204361598</v>
      </c>
      <c r="AM93" s="930">
        <f t="shared" si="371"/>
        <v>34.157831801351762</v>
      </c>
      <c r="AN93" s="941">
        <f t="shared" si="371"/>
        <v>42.411472976397881</v>
      </c>
      <c r="AO93" s="941">
        <f t="shared" si="371"/>
        <v>-81.157128442574802</v>
      </c>
      <c r="AP93" s="941">
        <f t="shared" si="371"/>
        <v>178.20262385409612</v>
      </c>
      <c r="AQ93" s="930">
        <f t="shared" si="371"/>
        <v>-121.98383640707466</v>
      </c>
      <c r="AR93" s="941">
        <f t="shared" si="371"/>
        <v>-157.5579870180155</v>
      </c>
      <c r="AS93" s="941">
        <f t="shared" si="371"/>
        <v>97.810585414982853</v>
      </c>
      <c r="AT93" s="941">
        <f t="shared" si="371"/>
        <v>-102.28810674916461</v>
      </c>
      <c r="AU93" s="930">
        <f t="shared" si="371"/>
        <v>-348.60183102898657</v>
      </c>
      <c r="AV93" s="941">
        <f t="shared" si="371"/>
        <v>-94.04635969200416</v>
      </c>
      <c r="AW93" s="941">
        <f t="shared" si="371"/>
        <v>-42.542584417670085</v>
      </c>
      <c r="AX93" s="941">
        <f t="shared" si="371"/>
        <v>-263.44336046270905</v>
      </c>
      <c r="AY93" s="930">
        <f t="shared" si="371"/>
        <v>213.74363493928732</v>
      </c>
      <c r="AZ93" s="941">
        <f t="shared" si="371"/>
        <v>104.51063714610513</v>
      </c>
      <c r="BA93" s="941">
        <f t="shared" si="371"/>
        <v>56.865651930300551</v>
      </c>
      <c r="BB93" s="941">
        <f t="shared" si="371"/>
        <v>292.26993573197211</v>
      </c>
      <c r="BC93" s="930">
        <f t="shared" si="371"/>
        <v>44.679754860066787</v>
      </c>
      <c r="BD93" s="941">
        <f t="shared" si="371"/>
        <v>-260.07335584306929</v>
      </c>
      <c r="BE93" s="941">
        <f t="shared" si="371"/>
        <v>-271.16111117786943</v>
      </c>
      <c r="BF93" s="941">
        <f t="shared" si="371"/>
        <v>-602.86304604486429</v>
      </c>
      <c r="BG93" s="930">
        <f t="shared" si="371"/>
        <v>-1483.330650000732</v>
      </c>
      <c r="BH93" s="941">
        <f t="shared" si="371"/>
        <v>-2096.4079349578124</v>
      </c>
      <c r="BI93" s="941">
        <f t="shared" si="371"/>
        <v>-879.75952525791763</v>
      </c>
      <c r="BJ93" s="941">
        <f t="shared" si="371"/>
        <v>163.40970350404314</v>
      </c>
      <c r="BK93" s="930">
        <f t="shared" si="371"/>
        <v>1315.6285219263573</v>
      </c>
      <c r="BL93" s="941">
        <f t="shared" si="371"/>
        <v>2601.1187258682212</v>
      </c>
      <c r="BM93" s="941">
        <f t="shared" si="371"/>
        <v>1266.3476146231051</v>
      </c>
      <c r="BN93" s="941">
        <f t="shared" si="371"/>
        <v>530.48262300601198</v>
      </c>
      <c r="BO93" s="930">
        <f t="shared" si="371"/>
        <v>173.66890261754344</v>
      </c>
      <c r="BP93" s="941">
        <f t="shared" si="371"/>
        <v>-293.37535128645885</v>
      </c>
      <c r="BQ93" s="941">
        <f t="shared" ref="BQ93:CP93" si="372">(BQ91-BM91)*10000</f>
        <v>-170.78187988387825</v>
      </c>
      <c r="BR93" s="941">
        <f t="shared" si="372"/>
        <v>33.603098985184737</v>
      </c>
      <c r="BS93" s="930">
        <f t="shared" si="372"/>
        <v>117.01147338289239</v>
      </c>
      <c r="BT93" s="941">
        <f t="shared" si="372"/>
        <v>343.08661742678589</v>
      </c>
      <c r="BU93" s="941">
        <f t="shared" si="372"/>
        <v>177.478705819097</v>
      </c>
      <c r="BV93" s="941">
        <f t="shared" si="372"/>
        <v>8.4434111172496102</v>
      </c>
      <c r="BW93" s="930">
        <f t="shared" si="372"/>
        <v>3.2459794803417488</v>
      </c>
      <c r="BX93" s="941">
        <f t="shared" si="372"/>
        <v>-69.82072906104267</v>
      </c>
      <c r="BY93" s="941">
        <f t="shared" si="372"/>
        <v>55.388434962186096</v>
      </c>
      <c r="BZ93" s="941">
        <f t="shared" si="372"/>
        <v>265.83505175080307</v>
      </c>
      <c r="CA93" s="930">
        <f t="shared" si="372"/>
        <v>243.18384714578409</v>
      </c>
      <c r="CB93" s="941">
        <f t="shared" si="372"/>
        <v>251.44551552962761</v>
      </c>
      <c r="CC93" s="941">
        <f t="shared" si="372"/>
        <v>282.49642440231423</v>
      </c>
      <c r="CD93" s="941">
        <f t="shared" si="372"/>
        <v>-6.5300970668695504</v>
      </c>
      <c r="CE93" s="930">
        <f t="shared" si="372"/>
        <v>-55.034276920207098</v>
      </c>
      <c r="CF93" s="941">
        <f t="shared" si="372"/>
        <v>-20.956926077790317</v>
      </c>
      <c r="CG93" s="941">
        <f t="shared" si="372"/>
        <v>-107.12786592846926</v>
      </c>
      <c r="CH93" s="941">
        <f t="shared" si="372"/>
        <v>119.85630904866623</v>
      </c>
      <c r="CI93" s="930">
        <f t="shared" si="372"/>
        <v>36.61955003003564</v>
      </c>
      <c r="CJ93" s="941">
        <f t="shared" si="372"/>
        <v>-208.50999718925817</v>
      </c>
      <c r="CK93" s="941">
        <f t="shared" si="372"/>
        <v>-113.69537566263146</v>
      </c>
      <c r="CL93" s="941">
        <f t="shared" si="372"/>
        <v>-200.80572455111744</v>
      </c>
      <c r="CM93" s="930">
        <f t="shared" si="372"/>
        <v>-74.568030058314164</v>
      </c>
      <c r="CN93" s="941">
        <f t="shared" si="372"/>
        <v>179.95625231008921</v>
      </c>
      <c r="CO93" s="941">
        <f t="shared" si="372"/>
        <v>153.60254862771885</v>
      </c>
      <c r="CP93" s="941">
        <f t="shared" si="372"/>
        <v>206.00984266060482</v>
      </c>
      <c r="CQ93" s="1007">
        <f>(((CQ90-4)/(CQ53-15))-CM91)*10000</f>
        <v>159.61212897917852</v>
      </c>
      <c r="CR93" s="1006">
        <f>(((CR90-4)/(CR53-15))-CN91)*10000</f>
        <v>76.650668656177288</v>
      </c>
      <c r="CS93" s="1006">
        <f>(((CS90-4)/(CS53-15))-CO91)*10000</f>
        <v>70.557947970410339</v>
      </c>
      <c r="CT93" s="1006">
        <f>(((CT90-4)/(CT53-15))-CP91)*10000</f>
        <v>60.998114441411651</v>
      </c>
      <c r="CU93" s="930">
        <f>(CU91-CQ91)*10000</f>
        <v>48.382554273420638</v>
      </c>
      <c r="CV93" s="648"/>
      <c r="CW93" s="941"/>
      <c r="CX93" s="941"/>
      <c r="CY93" s="941"/>
      <c r="CZ93" s="941"/>
      <c r="DA93" s="941"/>
      <c r="DB93" s="941"/>
      <c r="DC93" s="941"/>
      <c r="DD93" s="941"/>
      <c r="DE93" s="941"/>
      <c r="DF93" s="941"/>
      <c r="DG93" s="941">
        <f t="shared" ref="DG93:DZ93" si="373">(DG91-DF91)*10000</f>
        <v>-2.4687136609503888</v>
      </c>
      <c r="DH93" s="941">
        <f t="shared" si="373"/>
        <v>-124.93711277010489</v>
      </c>
      <c r="DI93" s="941">
        <f t="shared" si="373"/>
        <v>-42.68486326520847</v>
      </c>
      <c r="DJ93" s="941">
        <f t="shared" si="373"/>
        <v>118.72553998090598</v>
      </c>
      <c r="DK93" s="941">
        <f t="shared" si="373"/>
        <v>-566.21686680040864</v>
      </c>
      <c r="DL93" s="941">
        <f t="shared" si="373"/>
        <v>-295.91893257999072</v>
      </c>
      <c r="DM93" s="941">
        <f t="shared" si="373"/>
        <v>973.64916942096215</v>
      </c>
      <c r="DN93" s="941">
        <f t="shared" si="373"/>
        <v>-73.987054279515405</v>
      </c>
      <c r="DO93" s="941">
        <f t="shared" si="373"/>
        <v>133.43925670211283</v>
      </c>
      <c r="DP93" s="941">
        <f t="shared" si="373"/>
        <v>121.21583111455891</v>
      </c>
      <c r="DQ93" s="941">
        <f t="shared" si="373"/>
        <v>121.75796521504564</v>
      </c>
      <c r="DR93" s="941">
        <f t="shared" si="373"/>
        <v>-0.3517843938229126</v>
      </c>
      <c r="DS93" s="941">
        <f t="shared" si="373"/>
        <v>-146.2218111829157</v>
      </c>
      <c r="DT93" s="941">
        <f t="shared" si="373"/>
        <v>180.66867028802642</v>
      </c>
      <c r="DU93" s="941">
        <f t="shared" si="373"/>
        <v>78.187321845693276</v>
      </c>
      <c r="DV93" s="941">
        <f t="shared" si="373"/>
        <v>-30.000000000000028</v>
      </c>
      <c r="DW93" s="941">
        <f t="shared" si="373"/>
        <v>-30.000000000000028</v>
      </c>
      <c r="DX93" s="941">
        <f t="shared" si="373"/>
        <v>-30.000000000000028</v>
      </c>
      <c r="DY93" s="941">
        <f t="shared" si="373"/>
        <v>-30.000000000000028</v>
      </c>
      <c r="DZ93" s="941">
        <f t="shared" si="373"/>
        <v>-30.000000000000028</v>
      </c>
    </row>
    <row r="94" spans="2:130" ht="15">
      <c r="B94" s="1009" t="s">
        <v>349</v>
      </c>
      <c r="C94" s="908"/>
      <c r="D94" s="1010"/>
      <c r="E94" s="941"/>
      <c r="F94" s="941"/>
      <c r="G94" s="930"/>
      <c r="H94" s="941"/>
      <c r="I94" s="941"/>
      <c r="J94" s="941"/>
      <c r="K94" s="930"/>
      <c r="L94" s="941"/>
      <c r="M94" s="941"/>
      <c r="N94" s="941"/>
      <c r="O94" s="930"/>
      <c r="P94" s="941"/>
      <c r="Q94" s="941"/>
      <c r="R94" s="941"/>
      <c r="S94" s="930"/>
      <c r="T94" s="941"/>
      <c r="U94" s="941"/>
      <c r="V94" s="941"/>
      <c r="W94" s="930"/>
      <c r="X94" s="941"/>
      <c r="Y94" s="941"/>
      <c r="Z94" s="941"/>
      <c r="AA94" s="930"/>
      <c r="AB94" s="941"/>
      <c r="AC94" s="941"/>
      <c r="AD94" s="941"/>
      <c r="AE94" s="930"/>
      <c r="AF94" s="941"/>
      <c r="AG94" s="941"/>
      <c r="AH94" s="941"/>
      <c r="AI94" s="930"/>
      <c r="AJ94" s="941"/>
      <c r="AK94" s="941"/>
      <c r="AL94" s="941"/>
      <c r="AM94" s="930"/>
      <c r="AN94" s="941"/>
      <c r="AO94" s="941">
        <f t="shared" ref="AO94:BT94" si="374">AK93+AO93</f>
        <v>-338.1504465759316</v>
      </c>
      <c r="AP94" s="941">
        <f t="shared" si="374"/>
        <v>-34.389708189519865</v>
      </c>
      <c r="AQ94" s="930">
        <f t="shared" si="374"/>
        <v>-87.8260046057229</v>
      </c>
      <c r="AR94" s="941">
        <f t="shared" si="374"/>
        <v>-115.14651404161762</v>
      </c>
      <c r="AS94" s="941">
        <f t="shared" si="374"/>
        <v>16.653456972408051</v>
      </c>
      <c r="AT94" s="941">
        <f t="shared" si="374"/>
        <v>75.914517104931505</v>
      </c>
      <c r="AU94" s="930">
        <f t="shared" si="374"/>
        <v>-470.58566743606121</v>
      </c>
      <c r="AV94" s="941">
        <f t="shared" si="374"/>
        <v>-251.60434671001966</v>
      </c>
      <c r="AW94" s="941">
        <f t="shared" si="374"/>
        <v>55.268000997312768</v>
      </c>
      <c r="AX94" s="941">
        <f t="shared" si="374"/>
        <v>-365.73146721187368</v>
      </c>
      <c r="AY94" s="930">
        <f t="shared" si="374"/>
        <v>-134.85819608969925</v>
      </c>
      <c r="AZ94" s="941">
        <f t="shared" si="374"/>
        <v>10.464277454100966</v>
      </c>
      <c r="BA94" s="941">
        <f t="shared" si="374"/>
        <v>14.323067512630466</v>
      </c>
      <c r="BB94" s="941">
        <f t="shared" si="374"/>
        <v>28.82657526926306</v>
      </c>
      <c r="BC94" s="930">
        <f t="shared" si="374"/>
        <v>258.42338979935408</v>
      </c>
      <c r="BD94" s="941">
        <f t="shared" si="374"/>
        <v>-155.56271869696417</v>
      </c>
      <c r="BE94" s="941">
        <f t="shared" si="374"/>
        <v>-214.29545924756889</v>
      </c>
      <c r="BF94" s="941">
        <f t="shared" si="374"/>
        <v>-310.59311031289218</v>
      </c>
      <c r="BG94" s="930">
        <f t="shared" si="374"/>
        <v>-1438.6508951406652</v>
      </c>
      <c r="BH94" s="941">
        <f t="shared" si="374"/>
        <v>-2356.4812908008817</v>
      </c>
      <c r="BI94" s="941">
        <f t="shared" si="374"/>
        <v>-1150.9206364357869</v>
      </c>
      <c r="BJ94" s="941">
        <f t="shared" si="374"/>
        <v>-439.45334254082115</v>
      </c>
      <c r="BK94" s="930">
        <f t="shared" si="374"/>
        <v>-167.70212807437474</v>
      </c>
      <c r="BL94" s="941">
        <f t="shared" si="374"/>
        <v>504.71079091040883</v>
      </c>
      <c r="BM94" s="941">
        <f t="shared" si="374"/>
        <v>386.58808936518744</v>
      </c>
      <c r="BN94" s="941">
        <f t="shared" si="374"/>
        <v>693.89232651005511</v>
      </c>
      <c r="BO94" s="930">
        <f t="shared" si="374"/>
        <v>1489.2974245439007</v>
      </c>
      <c r="BP94" s="941">
        <f t="shared" si="374"/>
        <v>2307.7433745817625</v>
      </c>
      <c r="BQ94" s="941">
        <f t="shared" si="374"/>
        <v>1095.5657347392269</v>
      </c>
      <c r="BR94" s="941">
        <f t="shared" si="374"/>
        <v>564.08572199119669</v>
      </c>
      <c r="BS94" s="930">
        <f t="shared" si="374"/>
        <v>290.68037600043584</v>
      </c>
      <c r="BT94" s="941">
        <f t="shared" si="374"/>
        <v>49.711266140327041</v>
      </c>
      <c r="BU94" s="941">
        <f t="shared" ref="BU94:CU94" si="375">BQ93+BU93</f>
        <v>6.6968259352187545</v>
      </c>
      <c r="BV94" s="941">
        <f t="shared" si="375"/>
        <v>42.046510102434347</v>
      </c>
      <c r="BW94" s="930">
        <f t="shared" si="375"/>
        <v>120.25745286323414</v>
      </c>
      <c r="BX94" s="941">
        <f t="shared" si="375"/>
        <v>273.26588836574319</v>
      </c>
      <c r="BY94" s="941">
        <f t="shared" si="375"/>
        <v>232.8671407812831</v>
      </c>
      <c r="BZ94" s="941">
        <f t="shared" si="375"/>
        <v>274.27846286805266</v>
      </c>
      <c r="CA94" s="930">
        <f t="shared" si="375"/>
        <v>246.42982662612584</v>
      </c>
      <c r="CB94" s="941">
        <f t="shared" si="375"/>
        <v>181.62478646858494</v>
      </c>
      <c r="CC94" s="941">
        <f t="shared" si="375"/>
        <v>337.88485936450036</v>
      </c>
      <c r="CD94" s="941">
        <f t="shared" si="375"/>
        <v>259.30495468393354</v>
      </c>
      <c r="CE94" s="930">
        <f t="shared" si="375"/>
        <v>188.14957022557698</v>
      </c>
      <c r="CF94" s="941">
        <f t="shared" si="375"/>
        <v>230.4885894518373</v>
      </c>
      <c r="CG94" s="941">
        <f t="shared" si="375"/>
        <v>175.36855847384498</v>
      </c>
      <c r="CH94" s="941">
        <f t="shared" si="375"/>
        <v>113.32621198179669</v>
      </c>
      <c r="CI94" s="930">
        <f t="shared" si="375"/>
        <v>-18.414726890171458</v>
      </c>
      <c r="CJ94" s="941">
        <f t="shared" si="375"/>
        <v>-229.46692326704849</v>
      </c>
      <c r="CK94" s="941">
        <f t="shared" si="375"/>
        <v>-220.82324159110073</v>
      </c>
      <c r="CL94" s="941">
        <f t="shared" si="375"/>
        <v>-80.949415502451203</v>
      </c>
      <c r="CM94" s="930">
        <f t="shared" si="375"/>
        <v>-37.948480028278524</v>
      </c>
      <c r="CN94" s="941">
        <f t="shared" si="375"/>
        <v>-28.55374487916896</v>
      </c>
      <c r="CO94" s="941">
        <f t="shared" si="375"/>
        <v>39.907172965087383</v>
      </c>
      <c r="CP94" s="941">
        <f t="shared" si="375"/>
        <v>5.2041181094873821</v>
      </c>
      <c r="CQ94" s="930">
        <f t="shared" si="375"/>
        <v>85.044098920864357</v>
      </c>
      <c r="CR94" s="941">
        <f t="shared" si="375"/>
        <v>256.6069209662665</v>
      </c>
      <c r="CS94" s="941">
        <f t="shared" si="375"/>
        <v>224.16049659812919</v>
      </c>
      <c r="CT94" s="941">
        <f t="shared" si="375"/>
        <v>267.00795710201646</v>
      </c>
      <c r="CU94" s="930">
        <f t="shared" si="375"/>
        <v>207.99468325259915</v>
      </c>
      <c r="CV94" s="648"/>
      <c r="CW94" s="941"/>
      <c r="CX94" s="941"/>
      <c r="CY94" s="941"/>
      <c r="CZ94" s="941"/>
      <c r="DA94" s="941"/>
      <c r="DB94" s="941"/>
      <c r="DC94" s="941"/>
      <c r="DD94" s="941"/>
      <c r="DE94" s="941"/>
      <c r="DF94" s="941"/>
      <c r="DG94" s="941"/>
      <c r="DH94" s="941">
        <f t="shared" ref="DH94:DZ94" si="376">DG93+DH93</f>
        <v>-127.40582643105527</v>
      </c>
      <c r="DI94" s="941">
        <f t="shared" si="376"/>
        <v>-167.62197603531337</v>
      </c>
      <c r="DJ94" s="941">
        <f t="shared" si="376"/>
        <v>76.040676715697515</v>
      </c>
      <c r="DK94" s="941">
        <f t="shared" si="376"/>
        <v>-447.49132681950266</v>
      </c>
      <c r="DL94" s="941">
        <f t="shared" si="376"/>
        <v>-862.13579938039936</v>
      </c>
      <c r="DM94" s="941">
        <f t="shared" si="376"/>
        <v>677.73023684097143</v>
      </c>
      <c r="DN94" s="941">
        <f t="shared" si="376"/>
        <v>899.66211514144675</v>
      </c>
      <c r="DO94" s="941">
        <f t="shared" si="376"/>
        <v>59.452202422597423</v>
      </c>
      <c r="DP94" s="941">
        <f t="shared" si="376"/>
        <v>254.65508781667174</v>
      </c>
      <c r="DQ94" s="941">
        <f t="shared" si="376"/>
        <v>242.97379632960457</v>
      </c>
      <c r="DR94" s="941">
        <f t="shared" si="376"/>
        <v>121.40618082122273</v>
      </c>
      <c r="DS94" s="941">
        <f t="shared" si="376"/>
        <v>-146.57359557673863</v>
      </c>
      <c r="DT94" s="941">
        <f t="shared" si="376"/>
        <v>34.446859105110718</v>
      </c>
      <c r="DU94" s="941">
        <f t="shared" si="376"/>
        <v>258.85599213371972</v>
      </c>
      <c r="DV94" s="941">
        <f t="shared" si="376"/>
        <v>48.187321845693248</v>
      </c>
      <c r="DW94" s="941">
        <f t="shared" si="376"/>
        <v>-60.000000000000057</v>
      </c>
      <c r="DX94" s="941">
        <f t="shared" si="376"/>
        <v>-60.000000000000057</v>
      </c>
      <c r="DY94" s="941">
        <f t="shared" si="376"/>
        <v>-60.000000000000057</v>
      </c>
      <c r="DZ94" s="941">
        <f t="shared" si="376"/>
        <v>-60.000000000000057</v>
      </c>
    </row>
    <row r="95" spans="2:130" ht="15">
      <c r="B95" s="1009" t="s">
        <v>342</v>
      </c>
      <c r="C95" s="908"/>
      <c r="D95" s="1010"/>
      <c r="E95" s="941"/>
      <c r="F95" s="941"/>
      <c r="G95" s="930"/>
      <c r="H95" s="941"/>
      <c r="I95" s="941"/>
      <c r="J95" s="941"/>
      <c r="K95" s="930"/>
      <c r="L95" s="941"/>
      <c r="M95" s="941"/>
      <c r="N95" s="941"/>
      <c r="O95" s="930"/>
      <c r="P95" s="941"/>
      <c r="Q95" s="941"/>
      <c r="R95" s="941"/>
      <c r="S95" s="930"/>
      <c r="T95" s="941"/>
      <c r="U95" s="941"/>
      <c r="V95" s="941"/>
      <c r="W95" s="930"/>
      <c r="X95" s="941"/>
      <c r="Y95" s="941"/>
      <c r="Z95" s="941"/>
      <c r="AA95" s="930"/>
      <c r="AB95" s="941"/>
      <c r="AC95" s="941"/>
      <c r="AD95" s="941"/>
      <c r="AE95" s="930"/>
      <c r="AF95" s="941"/>
      <c r="AG95" s="941"/>
      <c r="AH95" s="941">
        <f t="shared" ref="AH95:BM95" si="377">AH90-AG90</f>
        <v>-7.3000000000000007</v>
      </c>
      <c r="AI95" s="930">
        <f t="shared" si="377"/>
        <v>6</v>
      </c>
      <c r="AJ95" s="941">
        <f t="shared" si="377"/>
        <v>-2.0999999999999979</v>
      </c>
      <c r="AK95" s="941">
        <f t="shared" si="377"/>
        <v>-2.4000000000000021</v>
      </c>
      <c r="AL95" s="941">
        <f t="shared" si="377"/>
        <v>-7</v>
      </c>
      <c r="AM95" s="930">
        <f t="shared" si="377"/>
        <v>15.2</v>
      </c>
      <c r="AN95" s="941">
        <f t="shared" si="377"/>
        <v>-1.1999999999999993</v>
      </c>
      <c r="AO95" s="941">
        <f t="shared" si="377"/>
        <v>-6.8999999999999986</v>
      </c>
      <c r="AP95" s="941">
        <f t="shared" si="377"/>
        <v>0.59999999999999787</v>
      </c>
      <c r="AQ95" s="930">
        <f t="shared" si="377"/>
        <v>3.7000000000000028</v>
      </c>
      <c r="AR95" s="941">
        <f t="shared" si="377"/>
        <v>-2.3000000000000007</v>
      </c>
      <c r="AS95" s="941">
        <f t="shared" si="377"/>
        <v>4.5999999999999979</v>
      </c>
      <c r="AT95" s="941">
        <f t="shared" si="377"/>
        <v>-6.5999999999999979</v>
      </c>
      <c r="AU95" s="930">
        <f t="shared" si="377"/>
        <v>-6.2000000000000064</v>
      </c>
      <c r="AV95" s="941">
        <f t="shared" si="377"/>
        <v>5.100000000000005</v>
      </c>
      <c r="AW95" s="941">
        <f t="shared" si="377"/>
        <v>5.9000000000000021</v>
      </c>
      <c r="AX95" s="941">
        <f t="shared" si="377"/>
        <v>-15.400000000000002</v>
      </c>
      <c r="AY95" s="930">
        <f t="shared" si="377"/>
        <v>12.900000000000002</v>
      </c>
      <c r="AZ95" s="941">
        <f t="shared" si="377"/>
        <v>1.5999999999999979</v>
      </c>
      <c r="BA95" s="941">
        <f t="shared" si="377"/>
        <v>5.5999999999999979</v>
      </c>
      <c r="BB95" s="941">
        <f t="shared" si="377"/>
        <v>-6.4999999999999964</v>
      </c>
      <c r="BC95" s="930">
        <f t="shared" si="377"/>
        <v>3.5</v>
      </c>
      <c r="BD95" s="941">
        <f t="shared" si="377"/>
        <v>-12</v>
      </c>
      <c r="BE95" s="941">
        <f t="shared" si="377"/>
        <v>3.5</v>
      </c>
      <c r="BF95" s="941">
        <f t="shared" si="377"/>
        <v>-18.7</v>
      </c>
      <c r="BG95" s="930">
        <f t="shared" si="377"/>
        <v>-21.700000000000003</v>
      </c>
      <c r="BH95" s="941">
        <f t="shared" si="377"/>
        <v>-14.100000000000001</v>
      </c>
      <c r="BI95" s="941">
        <f t="shared" si="377"/>
        <v>23.900000000000002</v>
      </c>
      <c r="BJ95" s="941">
        <f t="shared" si="377"/>
        <v>16.3</v>
      </c>
      <c r="BK95" s="930">
        <f t="shared" si="377"/>
        <v>13</v>
      </c>
      <c r="BL95" s="941">
        <f t="shared" si="377"/>
        <v>16.200000000000003</v>
      </c>
      <c r="BM95" s="941">
        <f t="shared" si="377"/>
        <v>0.59999999999999432</v>
      </c>
      <c r="BN95" s="941">
        <f t="shared" ref="BN95:CP95" si="378">BN90-BM90</f>
        <v>-6.1999999999999957</v>
      </c>
      <c r="BO95" s="930">
        <f t="shared" si="378"/>
        <v>0.79999999999999716</v>
      </c>
      <c r="BP95" s="941">
        <f t="shared" si="378"/>
        <v>0.10000000000000142</v>
      </c>
      <c r="BQ95" s="941">
        <f t="shared" si="378"/>
        <v>7</v>
      </c>
      <c r="BR95" s="941">
        <f t="shared" si="378"/>
        <v>5</v>
      </c>
      <c r="BS95" s="930">
        <f t="shared" si="378"/>
        <v>2.7999999999999972</v>
      </c>
      <c r="BT95" s="941">
        <f t="shared" si="378"/>
        <v>14.400000000000006</v>
      </c>
      <c r="BU95" s="941">
        <f t="shared" si="378"/>
        <v>-6.6000000000000014</v>
      </c>
      <c r="BV95" s="941">
        <f t="shared" si="378"/>
        <v>-10.5</v>
      </c>
      <c r="BW95" s="930">
        <f t="shared" si="378"/>
        <v>5.1000000000000014</v>
      </c>
      <c r="BX95" s="941">
        <f t="shared" si="378"/>
        <v>6.7999999999999972</v>
      </c>
      <c r="BY95" s="941">
        <f t="shared" si="378"/>
        <v>3.7999999999999972</v>
      </c>
      <c r="BZ95" s="941">
        <f t="shared" si="378"/>
        <v>6.1000000000000085</v>
      </c>
      <c r="CA95" s="930">
        <f t="shared" si="378"/>
        <v>4.5999999999999943</v>
      </c>
      <c r="CB95" s="941">
        <f t="shared" si="378"/>
        <v>10</v>
      </c>
      <c r="CC95" s="941">
        <f t="shared" si="378"/>
        <v>8.5999999999999943</v>
      </c>
      <c r="CD95" s="941">
        <f t="shared" si="378"/>
        <v>-21.099999999999994</v>
      </c>
      <c r="CE95" s="930">
        <f t="shared" si="378"/>
        <v>-2.2999999999999972</v>
      </c>
      <c r="CF95" s="941">
        <f t="shared" si="378"/>
        <v>5.2999999999999972</v>
      </c>
      <c r="CG95" s="941">
        <f t="shared" si="378"/>
        <v>1.0999999999999943</v>
      </c>
      <c r="CH95" s="941">
        <f t="shared" si="378"/>
        <v>-1.7999999999999972</v>
      </c>
      <c r="CI95" s="930">
        <f t="shared" si="378"/>
        <v>10.900000000000006</v>
      </c>
      <c r="CJ95" s="941">
        <f t="shared" si="378"/>
        <v>2.5999999999999943</v>
      </c>
      <c r="CK95" s="941">
        <f t="shared" si="378"/>
        <v>9</v>
      </c>
      <c r="CL95" s="941">
        <f t="shared" si="378"/>
        <v>-5.8999999999999915</v>
      </c>
      <c r="CM95" s="930">
        <f t="shared" si="378"/>
        <v>4.0999999999999943</v>
      </c>
      <c r="CN95" s="941">
        <f t="shared" si="378"/>
        <v>13.799999999999997</v>
      </c>
      <c r="CO95" s="941">
        <f t="shared" si="378"/>
        <v>4.7999999999999972</v>
      </c>
      <c r="CP95" s="941">
        <f t="shared" si="378"/>
        <v>1.9000000000000057</v>
      </c>
      <c r="CQ95" s="1007">
        <f>CQ90-CP90-4</f>
        <v>8.4000000000000057</v>
      </c>
      <c r="CR95" s="941">
        <f>CR90-CQ90</f>
        <v>8.8163398536412672</v>
      </c>
      <c r="CS95" s="941">
        <f>CS90-CR90</f>
        <v>6.2204571334068532</v>
      </c>
      <c r="CT95" s="941">
        <f>CT90-CS90</f>
        <v>0.22550955622071456</v>
      </c>
      <c r="CU95" s="930">
        <f>CU90-CT90</f>
        <v>10.165034057273914</v>
      </c>
      <c r="CV95" s="648"/>
      <c r="CW95" s="941"/>
      <c r="CX95" s="941"/>
      <c r="CY95" s="941"/>
      <c r="CZ95" s="941"/>
      <c r="DA95" s="941"/>
      <c r="DB95" s="941"/>
      <c r="DC95" s="941"/>
      <c r="DD95" s="941"/>
      <c r="DE95" s="941"/>
      <c r="DF95" s="941"/>
      <c r="DG95" s="941"/>
      <c r="DH95" s="941"/>
      <c r="DI95" s="941"/>
      <c r="DJ95" s="941"/>
      <c r="DK95" s="941"/>
      <c r="DL95" s="941"/>
      <c r="DM95" s="941"/>
      <c r="DN95" s="941"/>
      <c r="DO95" s="941"/>
      <c r="DP95" s="941"/>
      <c r="DQ95" s="941"/>
      <c r="DR95" s="941"/>
      <c r="DS95" s="941"/>
      <c r="DT95" s="941"/>
      <c r="DU95" s="941"/>
      <c r="DV95" s="1006"/>
      <c r="DW95" s="1006"/>
      <c r="DX95" s="1006"/>
      <c r="DY95" s="1006"/>
      <c r="DZ95" s="1006"/>
    </row>
    <row r="96" spans="2:130" ht="15">
      <c r="B96" s="1009" t="s">
        <v>343</v>
      </c>
      <c r="C96" s="908"/>
      <c r="D96" s="1010"/>
      <c r="E96" s="941"/>
      <c r="F96" s="941"/>
      <c r="G96" s="930"/>
      <c r="H96" s="941"/>
      <c r="I96" s="941"/>
      <c r="J96" s="941"/>
      <c r="K96" s="930"/>
      <c r="L96" s="941"/>
      <c r="M96" s="941"/>
      <c r="N96" s="941"/>
      <c r="O96" s="930"/>
      <c r="P96" s="941"/>
      <c r="Q96" s="941"/>
      <c r="R96" s="941"/>
      <c r="S96" s="930"/>
      <c r="T96" s="941"/>
      <c r="U96" s="941"/>
      <c r="V96" s="941"/>
      <c r="W96" s="930"/>
      <c r="X96" s="941"/>
      <c r="Y96" s="941"/>
      <c r="Z96" s="941"/>
      <c r="AA96" s="930"/>
      <c r="AB96" s="941"/>
      <c r="AC96" s="941"/>
      <c r="AD96" s="941"/>
      <c r="AE96" s="930"/>
      <c r="AF96" s="941"/>
      <c r="AG96" s="941"/>
      <c r="AH96" s="941"/>
      <c r="AI96" s="930"/>
      <c r="AJ96" s="941"/>
      <c r="AK96" s="941">
        <f t="shared" ref="AK96:BP96" si="379">AK90-AG90</f>
        <v>-5.8000000000000007</v>
      </c>
      <c r="AL96" s="941">
        <f t="shared" si="379"/>
        <v>-5.5</v>
      </c>
      <c r="AM96" s="930">
        <f t="shared" si="379"/>
        <v>3.6999999999999993</v>
      </c>
      <c r="AN96" s="941">
        <f t="shared" si="379"/>
        <v>4.5999999999999979</v>
      </c>
      <c r="AO96" s="941">
        <f t="shared" si="379"/>
        <v>0.10000000000000142</v>
      </c>
      <c r="AP96" s="941">
        <f t="shared" si="379"/>
        <v>7.6999999999999993</v>
      </c>
      <c r="AQ96" s="930">
        <f t="shared" si="379"/>
        <v>-3.7999999999999972</v>
      </c>
      <c r="AR96" s="941">
        <f t="shared" si="379"/>
        <v>-4.8999999999999986</v>
      </c>
      <c r="AS96" s="941">
        <f t="shared" si="379"/>
        <v>6.5999999999999979</v>
      </c>
      <c r="AT96" s="941">
        <f t="shared" si="379"/>
        <v>-0.59999999999999787</v>
      </c>
      <c r="AU96" s="930">
        <f t="shared" si="379"/>
        <v>-10.500000000000007</v>
      </c>
      <c r="AV96" s="941">
        <f t="shared" si="379"/>
        <v>-3.1000000000000014</v>
      </c>
      <c r="AW96" s="941">
        <f t="shared" si="379"/>
        <v>-1.7999999999999972</v>
      </c>
      <c r="AX96" s="941">
        <f t="shared" si="379"/>
        <v>-10.600000000000001</v>
      </c>
      <c r="AY96" s="930">
        <f t="shared" si="379"/>
        <v>8.5000000000000071</v>
      </c>
      <c r="AZ96" s="941">
        <f t="shared" si="379"/>
        <v>5</v>
      </c>
      <c r="BA96" s="941">
        <f t="shared" si="379"/>
        <v>4.6999999999999957</v>
      </c>
      <c r="BB96" s="941">
        <f t="shared" si="379"/>
        <v>13.600000000000001</v>
      </c>
      <c r="BC96" s="930">
        <f t="shared" si="379"/>
        <v>4.1999999999999993</v>
      </c>
      <c r="BD96" s="941">
        <f t="shared" si="379"/>
        <v>-9.3999999999999986</v>
      </c>
      <c r="BE96" s="941">
        <f t="shared" si="379"/>
        <v>-11.499999999999996</v>
      </c>
      <c r="BF96" s="941">
        <f t="shared" si="379"/>
        <v>-23.7</v>
      </c>
      <c r="BG96" s="930">
        <f t="shared" si="379"/>
        <v>-48.900000000000006</v>
      </c>
      <c r="BH96" s="941">
        <f t="shared" si="379"/>
        <v>-51</v>
      </c>
      <c r="BI96" s="941">
        <f t="shared" si="379"/>
        <v>-30.6</v>
      </c>
      <c r="BJ96" s="941">
        <f t="shared" si="379"/>
        <v>4.4000000000000004</v>
      </c>
      <c r="BK96" s="930">
        <f t="shared" si="379"/>
        <v>39.1</v>
      </c>
      <c r="BL96" s="941">
        <f t="shared" si="379"/>
        <v>69.400000000000006</v>
      </c>
      <c r="BM96" s="941">
        <f t="shared" si="379"/>
        <v>46.099999999999994</v>
      </c>
      <c r="BN96" s="941">
        <f t="shared" si="379"/>
        <v>23.6</v>
      </c>
      <c r="BO96" s="930">
        <f t="shared" si="379"/>
        <v>11.399999999999999</v>
      </c>
      <c r="BP96" s="941">
        <f t="shared" si="379"/>
        <v>-4.7000000000000028</v>
      </c>
      <c r="BQ96" s="941">
        <f t="shared" ref="BQ96:CP96" si="380">BQ90-BM90</f>
        <v>1.7000000000000028</v>
      </c>
      <c r="BR96" s="941">
        <f t="shared" si="380"/>
        <v>12.899999999999999</v>
      </c>
      <c r="BS96" s="930">
        <f t="shared" si="380"/>
        <v>14.899999999999999</v>
      </c>
      <c r="BT96" s="941">
        <f t="shared" si="380"/>
        <v>29.200000000000003</v>
      </c>
      <c r="BU96" s="941">
        <f t="shared" si="380"/>
        <v>15.600000000000001</v>
      </c>
      <c r="BV96" s="941">
        <f t="shared" si="380"/>
        <v>0.10000000000000142</v>
      </c>
      <c r="BW96" s="930">
        <f t="shared" si="380"/>
        <v>2.4000000000000057</v>
      </c>
      <c r="BX96" s="941">
        <f t="shared" si="380"/>
        <v>-5.2000000000000028</v>
      </c>
      <c r="BY96" s="941">
        <f t="shared" si="380"/>
        <v>5.1999999999999957</v>
      </c>
      <c r="BZ96" s="941">
        <f t="shared" si="380"/>
        <v>21.800000000000004</v>
      </c>
      <c r="CA96" s="930">
        <f t="shared" si="380"/>
        <v>21.299999999999997</v>
      </c>
      <c r="CB96" s="941">
        <f t="shared" si="380"/>
        <v>24.5</v>
      </c>
      <c r="CC96" s="941">
        <f t="shared" si="380"/>
        <v>29.299999999999997</v>
      </c>
      <c r="CD96" s="941">
        <f t="shared" si="380"/>
        <v>2.0999999999999943</v>
      </c>
      <c r="CE96" s="930">
        <f t="shared" si="380"/>
        <v>-4.7999999999999972</v>
      </c>
      <c r="CF96" s="941">
        <f t="shared" si="380"/>
        <v>-9.5</v>
      </c>
      <c r="CG96" s="941">
        <f t="shared" si="380"/>
        <v>-17</v>
      </c>
      <c r="CH96" s="941">
        <f t="shared" si="380"/>
        <v>2.2999999999999972</v>
      </c>
      <c r="CI96" s="930">
        <f t="shared" si="380"/>
        <v>15.5</v>
      </c>
      <c r="CJ96" s="941">
        <f t="shared" si="380"/>
        <v>12.799999999999997</v>
      </c>
      <c r="CK96" s="941">
        <f t="shared" si="380"/>
        <v>20.700000000000003</v>
      </c>
      <c r="CL96" s="941">
        <f t="shared" si="380"/>
        <v>16.600000000000009</v>
      </c>
      <c r="CM96" s="930">
        <f t="shared" si="380"/>
        <v>9.7999999999999972</v>
      </c>
      <c r="CN96" s="941">
        <f t="shared" si="380"/>
        <v>21</v>
      </c>
      <c r="CO96" s="941">
        <f t="shared" si="380"/>
        <v>16.799999999999997</v>
      </c>
      <c r="CP96" s="941">
        <f t="shared" si="380"/>
        <v>24.599999999999994</v>
      </c>
      <c r="CQ96" s="1007">
        <f>CQ90-CM90-4</f>
        <v>28.900000000000006</v>
      </c>
      <c r="CR96" s="1006">
        <f>CR90-CN90-4</f>
        <v>23.916339853641276</v>
      </c>
      <c r="CS96" s="1006">
        <f t="shared" ref="CS96:CT96" si="381">CS90-CO90-4</f>
        <v>25.336796987048132</v>
      </c>
      <c r="CT96" s="1006">
        <f t="shared" si="381"/>
        <v>23.662306543268841</v>
      </c>
      <c r="CU96" s="930">
        <f>CU90-CQ90</f>
        <v>25.427340600542749</v>
      </c>
      <c r="CV96" s="648"/>
      <c r="CW96" s="941"/>
      <c r="CX96" s="941"/>
      <c r="CY96" s="941"/>
      <c r="CZ96" s="941"/>
      <c r="DA96" s="941"/>
      <c r="DB96" s="941"/>
      <c r="DC96" s="941"/>
      <c r="DD96" s="941"/>
      <c r="DE96" s="941"/>
      <c r="DF96" s="941">
        <f t="shared" ref="DF96:DZ96" si="382">DF90-DE90</f>
        <v>18.5</v>
      </c>
      <c r="DG96" s="941">
        <f t="shared" si="382"/>
        <v>8.5999999999999943</v>
      </c>
      <c r="DH96" s="941">
        <f t="shared" si="382"/>
        <v>-9.4000000000000057</v>
      </c>
      <c r="DI96" s="941">
        <f t="shared" si="382"/>
        <v>-7</v>
      </c>
      <c r="DJ96" s="941">
        <f t="shared" si="382"/>
        <v>27.5</v>
      </c>
      <c r="DK96" s="941">
        <f t="shared" si="382"/>
        <v>-93.5</v>
      </c>
      <c r="DL96" s="941">
        <f t="shared" si="382"/>
        <v>-38.1</v>
      </c>
      <c r="DM96" s="941">
        <f t="shared" si="382"/>
        <v>150.5</v>
      </c>
      <c r="DN96" s="941">
        <f t="shared" si="382"/>
        <v>24.800000000000011</v>
      </c>
      <c r="DO96" s="941">
        <f t="shared" si="382"/>
        <v>47.300000000000011</v>
      </c>
      <c r="DP96" s="941">
        <f t="shared" si="382"/>
        <v>43.099999999999966</v>
      </c>
      <c r="DQ96" s="941">
        <f t="shared" si="382"/>
        <v>51.100000000000023</v>
      </c>
      <c r="DR96" s="941">
        <f t="shared" si="382"/>
        <v>-8.7000000000000455</v>
      </c>
      <c r="DS96" s="941">
        <f t="shared" si="382"/>
        <v>59.900000000000034</v>
      </c>
      <c r="DT96" s="941">
        <f t="shared" si="382"/>
        <v>95.299999999999955</v>
      </c>
      <c r="DU96" s="941">
        <f t="shared" si="382"/>
        <v>110.34278398450101</v>
      </c>
      <c r="DV96" s="941">
        <f t="shared" si="382"/>
        <v>23.649786520840507</v>
      </c>
      <c r="DW96" s="941">
        <f t="shared" si="382"/>
        <v>19.5400628493054</v>
      </c>
      <c r="DX96" s="941">
        <f t="shared" si="382"/>
        <v>16.139092625130388</v>
      </c>
      <c r="DY96" s="941">
        <f t="shared" si="382"/>
        <v>8.2425591782879337</v>
      </c>
      <c r="DZ96" s="941">
        <f t="shared" si="382"/>
        <v>-0.98241082992831252</v>
      </c>
    </row>
    <row r="97" spans="2:130" ht="15">
      <c r="B97" s="1009" t="s">
        <v>344</v>
      </c>
      <c r="C97" s="908"/>
      <c r="D97" s="1010"/>
      <c r="E97" s="941"/>
      <c r="F97" s="941"/>
      <c r="G97" s="930"/>
      <c r="H97" s="941"/>
      <c r="I97" s="941"/>
      <c r="J97" s="941"/>
      <c r="K97" s="930"/>
      <c r="L97" s="941"/>
      <c r="M97" s="941"/>
      <c r="N97" s="941"/>
      <c r="O97" s="930"/>
      <c r="P97" s="941"/>
      <c r="Q97" s="941"/>
      <c r="R97" s="941"/>
      <c r="S97" s="930"/>
      <c r="T97" s="941"/>
      <c r="U97" s="941"/>
      <c r="V97" s="941"/>
      <c r="W97" s="930"/>
      <c r="X97" s="941"/>
      <c r="Y97" s="941"/>
      <c r="Z97" s="941"/>
      <c r="AA97" s="930"/>
      <c r="AB97" s="941"/>
      <c r="AC97" s="941"/>
      <c r="AD97" s="941"/>
      <c r="AE97" s="930"/>
      <c r="AF97" s="941"/>
      <c r="AG97" s="941"/>
      <c r="AH97" s="941"/>
      <c r="AI97" s="930"/>
      <c r="AJ97" s="941"/>
      <c r="AK97" s="941"/>
      <c r="AL97" s="941"/>
      <c r="AM97" s="930"/>
      <c r="AN97" s="941"/>
      <c r="AO97" s="941">
        <f t="shared" ref="AO97:BT97" si="383">AK96+AO96</f>
        <v>-5.6999999999999993</v>
      </c>
      <c r="AP97" s="941">
        <f t="shared" si="383"/>
        <v>2.1999999999999993</v>
      </c>
      <c r="AQ97" s="930">
        <f t="shared" si="383"/>
        <v>-9.9999999999997868E-2</v>
      </c>
      <c r="AR97" s="941">
        <f t="shared" si="383"/>
        <v>-0.30000000000000071</v>
      </c>
      <c r="AS97" s="941">
        <f t="shared" si="383"/>
        <v>6.6999999999999993</v>
      </c>
      <c r="AT97" s="941">
        <f t="shared" si="383"/>
        <v>7.1000000000000014</v>
      </c>
      <c r="AU97" s="930">
        <f t="shared" si="383"/>
        <v>-14.300000000000004</v>
      </c>
      <c r="AV97" s="941">
        <f t="shared" si="383"/>
        <v>-8</v>
      </c>
      <c r="AW97" s="941">
        <f t="shared" si="383"/>
        <v>4.8000000000000007</v>
      </c>
      <c r="AX97" s="941">
        <f t="shared" si="383"/>
        <v>-11.2</v>
      </c>
      <c r="AY97" s="930">
        <f t="shared" si="383"/>
        <v>-2</v>
      </c>
      <c r="AZ97" s="941">
        <f t="shared" si="383"/>
        <v>1.8999999999999986</v>
      </c>
      <c r="BA97" s="941">
        <f t="shared" si="383"/>
        <v>2.8999999999999986</v>
      </c>
      <c r="BB97" s="941">
        <f t="shared" si="383"/>
        <v>3</v>
      </c>
      <c r="BC97" s="930">
        <f t="shared" si="383"/>
        <v>12.700000000000006</v>
      </c>
      <c r="BD97" s="941">
        <f t="shared" si="383"/>
        <v>-4.3999999999999986</v>
      </c>
      <c r="BE97" s="941">
        <f t="shared" si="383"/>
        <v>-6.8000000000000007</v>
      </c>
      <c r="BF97" s="941">
        <f t="shared" si="383"/>
        <v>-10.099999999999998</v>
      </c>
      <c r="BG97" s="930">
        <f t="shared" si="383"/>
        <v>-44.7</v>
      </c>
      <c r="BH97" s="941">
        <f t="shared" si="383"/>
        <v>-60.4</v>
      </c>
      <c r="BI97" s="941">
        <f t="shared" si="383"/>
        <v>-42.099999999999994</v>
      </c>
      <c r="BJ97" s="941">
        <f t="shared" si="383"/>
        <v>-19.299999999999997</v>
      </c>
      <c r="BK97" s="930">
        <f t="shared" si="383"/>
        <v>-9.8000000000000043</v>
      </c>
      <c r="BL97" s="941">
        <f t="shared" si="383"/>
        <v>18.400000000000006</v>
      </c>
      <c r="BM97" s="941">
        <f t="shared" si="383"/>
        <v>15.499999999999993</v>
      </c>
      <c r="BN97" s="941">
        <f t="shared" si="383"/>
        <v>28</v>
      </c>
      <c r="BO97" s="930">
        <f t="shared" si="383"/>
        <v>50.5</v>
      </c>
      <c r="BP97" s="941">
        <f t="shared" si="383"/>
        <v>64.7</v>
      </c>
      <c r="BQ97" s="941">
        <f t="shared" si="383"/>
        <v>47.8</v>
      </c>
      <c r="BR97" s="941">
        <f t="shared" si="383"/>
        <v>36.5</v>
      </c>
      <c r="BS97" s="930">
        <f t="shared" si="383"/>
        <v>26.299999999999997</v>
      </c>
      <c r="BT97" s="941">
        <f t="shared" si="383"/>
        <v>24.5</v>
      </c>
      <c r="BU97" s="941">
        <f t="shared" ref="BU97:CU97" si="384">BQ96+BU96</f>
        <v>17.300000000000004</v>
      </c>
      <c r="BV97" s="941">
        <f t="shared" si="384"/>
        <v>13</v>
      </c>
      <c r="BW97" s="930">
        <f t="shared" si="384"/>
        <v>17.300000000000004</v>
      </c>
      <c r="BX97" s="941">
        <f t="shared" si="384"/>
        <v>24</v>
      </c>
      <c r="BY97" s="941">
        <f t="shared" si="384"/>
        <v>20.799999999999997</v>
      </c>
      <c r="BZ97" s="941">
        <f t="shared" si="384"/>
        <v>21.900000000000006</v>
      </c>
      <c r="CA97" s="930">
        <f t="shared" si="384"/>
        <v>23.700000000000003</v>
      </c>
      <c r="CB97" s="941">
        <f t="shared" si="384"/>
        <v>19.299999999999997</v>
      </c>
      <c r="CC97" s="941">
        <f t="shared" si="384"/>
        <v>34.499999999999993</v>
      </c>
      <c r="CD97" s="941">
        <f t="shared" si="384"/>
        <v>23.9</v>
      </c>
      <c r="CE97" s="930">
        <f t="shared" si="384"/>
        <v>16.5</v>
      </c>
      <c r="CF97" s="941">
        <f t="shared" si="384"/>
        <v>15</v>
      </c>
      <c r="CG97" s="941">
        <f t="shared" si="384"/>
        <v>12.299999999999997</v>
      </c>
      <c r="CH97" s="941">
        <f t="shared" si="384"/>
        <v>4.3999999999999915</v>
      </c>
      <c r="CI97" s="930">
        <f t="shared" si="384"/>
        <v>10.700000000000003</v>
      </c>
      <c r="CJ97" s="941">
        <f t="shared" si="384"/>
        <v>3.2999999999999972</v>
      </c>
      <c r="CK97" s="941">
        <f t="shared" si="384"/>
        <v>3.7000000000000028</v>
      </c>
      <c r="CL97" s="941">
        <f t="shared" si="384"/>
        <v>18.900000000000006</v>
      </c>
      <c r="CM97" s="930">
        <f t="shared" si="384"/>
        <v>25.299999999999997</v>
      </c>
      <c r="CN97" s="941">
        <f t="shared" si="384"/>
        <v>33.799999999999997</v>
      </c>
      <c r="CO97" s="941">
        <f t="shared" si="384"/>
        <v>37.5</v>
      </c>
      <c r="CP97" s="941">
        <f t="shared" si="384"/>
        <v>41.2</v>
      </c>
      <c r="CQ97" s="930">
        <f t="shared" si="384"/>
        <v>38.700000000000003</v>
      </c>
      <c r="CR97" s="941">
        <f t="shared" si="384"/>
        <v>44.916339853641276</v>
      </c>
      <c r="CS97" s="941">
        <f t="shared" si="384"/>
        <v>42.136796987048129</v>
      </c>
      <c r="CT97" s="941">
        <f t="shared" si="384"/>
        <v>48.262306543268835</v>
      </c>
      <c r="CU97" s="930">
        <f t="shared" si="384"/>
        <v>54.327340600542755</v>
      </c>
      <c r="CV97" s="648"/>
      <c r="CW97" s="941"/>
      <c r="CX97" s="941"/>
      <c r="CY97" s="941"/>
      <c r="CZ97" s="941"/>
      <c r="DA97" s="941"/>
      <c r="DB97" s="941"/>
      <c r="DC97" s="941"/>
      <c r="DD97" s="941"/>
      <c r="DE97" s="941"/>
      <c r="DF97" s="941"/>
      <c r="DG97" s="941">
        <f t="shared" ref="DG97:DZ97" si="385">DF96+DG96</f>
        <v>27.099999999999994</v>
      </c>
      <c r="DH97" s="941">
        <f t="shared" si="385"/>
        <v>-0.80000000000001137</v>
      </c>
      <c r="DI97" s="941">
        <f t="shared" si="385"/>
        <v>-16.400000000000006</v>
      </c>
      <c r="DJ97" s="941">
        <f t="shared" si="385"/>
        <v>20.5</v>
      </c>
      <c r="DK97" s="941">
        <f t="shared" si="385"/>
        <v>-66</v>
      </c>
      <c r="DL97" s="941">
        <f t="shared" si="385"/>
        <v>-131.6</v>
      </c>
      <c r="DM97" s="941">
        <f t="shared" si="385"/>
        <v>112.4</v>
      </c>
      <c r="DN97" s="941">
        <f t="shared" si="385"/>
        <v>175.3</v>
      </c>
      <c r="DO97" s="941">
        <f t="shared" si="385"/>
        <v>72.100000000000023</v>
      </c>
      <c r="DP97" s="941">
        <f t="shared" si="385"/>
        <v>90.399999999999977</v>
      </c>
      <c r="DQ97" s="941">
        <f t="shared" si="385"/>
        <v>94.199999999999989</v>
      </c>
      <c r="DR97" s="941">
        <f t="shared" si="385"/>
        <v>42.399999999999977</v>
      </c>
      <c r="DS97" s="941">
        <f t="shared" si="385"/>
        <v>51.199999999999989</v>
      </c>
      <c r="DT97" s="941">
        <f t="shared" si="385"/>
        <v>155.19999999999999</v>
      </c>
      <c r="DU97" s="941">
        <f t="shared" si="385"/>
        <v>205.64278398450097</v>
      </c>
      <c r="DV97" s="941">
        <f t="shared" si="385"/>
        <v>133.99257050534152</v>
      </c>
      <c r="DW97" s="941">
        <f t="shared" si="385"/>
        <v>43.189849370145907</v>
      </c>
      <c r="DX97" s="941">
        <f t="shared" si="385"/>
        <v>35.679155474435788</v>
      </c>
      <c r="DY97" s="941">
        <f t="shared" si="385"/>
        <v>24.381651803418322</v>
      </c>
      <c r="DZ97" s="941">
        <f t="shared" si="385"/>
        <v>7.2601483483596212</v>
      </c>
    </row>
    <row r="98" spans="2:130" ht="15">
      <c r="B98" s="989" t="s">
        <v>341</v>
      </c>
      <c r="C98" s="898"/>
      <c r="D98" s="990"/>
      <c r="E98" s="991"/>
      <c r="F98" s="991"/>
      <c r="G98" s="992"/>
      <c r="H98" s="991"/>
      <c r="I98" s="991"/>
      <c r="J98" s="991"/>
      <c r="K98" s="992"/>
      <c r="L98" s="991"/>
      <c r="M98" s="991"/>
      <c r="N98" s="991"/>
      <c r="O98" s="992"/>
      <c r="P98" s="991"/>
      <c r="Q98" s="991"/>
      <c r="R98" s="991"/>
      <c r="S98" s="992"/>
      <c r="T98" s="991"/>
      <c r="U98" s="991"/>
      <c r="V98" s="991"/>
      <c r="W98" s="992"/>
      <c r="X98" s="991"/>
      <c r="Y98" s="991"/>
      <c r="Z98" s="991"/>
      <c r="AA98" s="992"/>
      <c r="AB98" s="991"/>
      <c r="AC98" s="991"/>
      <c r="AD98" s="991"/>
      <c r="AE98" s="992"/>
      <c r="AF98" s="991"/>
      <c r="AG98" s="991"/>
      <c r="AH98" s="991">
        <f t="shared" ref="AH98:BM98" si="386">AH90/AG90-1</f>
        <v>-0.24745762711864405</v>
      </c>
      <c r="AI98" s="992">
        <f t="shared" si="386"/>
        <v>0.27027027027027017</v>
      </c>
      <c r="AJ98" s="991">
        <f t="shared" si="386"/>
        <v>-7.446808510638292E-2</v>
      </c>
      <c r="AK98" s="991">
        <f t="shared" si="386"/>
        <v>-9.1954022988505857E-2</v>
      </c>
      <c r="AL98" s="991">
        <f t="shared" si="386"/>
        <v>-0.29535864978902959</v>
      </c>
      <c r="AM98" s="992">
        <f t="shared" si="386"/>
        <v>0.91017964071856294</v>
      </c>
      <c r="AN98" s="991">
        <f t="shared" si="386"/>
        <v>-3.7617554858934144E-2</v>
      </c>
      <c r="AO98" s="991">
        <f t="shared" si="386"/>
        <v>-0.22475570032573289</v>
      </c>
      <c r="AP98" s="991">
        <f t="shared" si="386"/>
        <v>2.5210084033613356E-2</v>
      </c>
      <c r="AQ98" s="992">
        <f t="shared" si="386"/>
        <v>0.15163934426229519</v>
      </c>
      <c r="AR98" s="991">
        <f t="shared" si="386"/>
        <v>-8.1850533807829251E-2</v>
      </c>
      <c r="AS98" s="991">
        <f t="shared" si="386"/>
        <v>0.17829457364341073</v>
      </c>
      <c r="AT98" s="991">
        <f t="shared" si="386"/>
        <v>-0.21710526315789469</v>
      </c>
      <c r="AU98" s="992">
        <f t="shared" si="386"/>
        <v>-0.26050420168067256</v>
      </c>
      <c r="AV98" s="991">
        <f t="shared" si="386"/>
        <v>0.28977272727272774</v>
      </c>
      <c r="AW98" s="991">
        <f t="shared" si="386"/>
        <v>0.25991189427312777</v>
      </c>
      <c r="AX98" s="991">
        <f t="shared" si="386"/>
        <v>-0.53846153846153855</v>
      </c>
      <c r="AY98" s="992">
        <f t="shared" si="386"/>
        <v>0.97727272727272751</v>
      </c>
      <c r="AZ98" s="991">
        <f t="shared" si="386"/>
        <v>6.1302681992337016E-2</v>
      </c>
      <c r="BA98" s="991">
        <f t="shared" si="386"/>
        <v>0.20216606498194944</v>
      </c>
      <c r="BB98" s="991">
        <f t="shared" si="386"/>
        <v>-0.19519519519519513</v>
      </c>
      <c r="BC98" s="992">
        <f t="shared" si="386"/>
        <v>0.13059701492537323</v>
      </c>
      <c r="BD98" s="991">
        <f t="shared" si="386"/>
        <v>-0.39603960396039606</v>
      </c>
      <c r="BE98" s="991">
        <f t="shared" si="386"/>
        <v>0.19125683060109289</v>
      </c>
      <c r="BF98" s="991">
        <f t="shared" si="386"/>
        <v>-0.85779816513761464</v>
      </c>
      <c r="BG98" s="992">
        <f t="shared" si="386"/>
        <v>-7</v>
      </c>
      <c r="BH98" s="991">
        <f t="shared" si="386"/>
        <v>0.75806451612903225</v>
      </c>
      <c r="BI98" s="991">
        <f t="shared" si="386"/>
        <v>-0.73088685015290522</v>
      </c>
      <c r="BJ98" s="991">
        <f t="shared" si="386"/>
        <v>-1.8522727272727271</v>
      </c>
      <c r="BK98" s="992">
        <f t="shared" si="386"/>
        <v>1.7333333333333334</v>
      </c>
      <c r="BL98" s="991">
        <f t="shared" si="386"/>
        <v>0.79024390243902443</v>
      </c>
      <c r="BM98" s="991">
        <f t="shared" si="386"/>
        <v>1.634877384196165E-2</v>
      </c>
      <c r="BN98" s="991">
        <f t="shared" ref="BN98:CP98" si="387">BN90/BM90-1</f>
        <v>-0.16621983914209104</v>
      </c>
      <c r="BO98" s="992">
        <f t="shared" si="387"/>
        <v>2.5723472668810254E-2</v>
      </c>
      <c r="BP98" s="991">
        <f t="shared" si="387"/>
        <v>3.1347962382446415E-3</v>
      </c>
      <c r="BQ98" s="991">
        <f t="shared" si="387"/>
        <v>0.21875</v>
      </c>
      <c r="BR98" s="991">
        <f t="shared" si="387"/>
        <v>0.12820512820512819</v>
      </c>
      <c r="BS98" s="992">
        <f t="shared" si="387"/>
        <v>6.3636363636363491E-2</v>
      </c>
      <c r="BT98" s="991">
        <f t="shared" si="387"/>
        <v>0.30769230769230793</v>
      </c>
      <c r="BU98" s="991">
        <f t="shared" si="387"/>
        <v>-0.10784313725490202</v>
      </c>
      <c r="BV98" s="991">
        <f t="shared" si="387"/>
        <v>-0.19230769230769229</v>
      </c>
      <c r="BW98" s="992">
        <f t="shared" si="387"/>
        <v>0.11564625850340149</v>
      </c>
      <c r="BX98" s="991">
        <f t="shared" si="387"/>
        <v>0.13821138211382111</v>
      </c>
      <c r="BY98" s="991">
        <f t="shared" si="387"/>
        <v>6.7857142857142838E-2</v>
      </c>
      <c r="BZ98" s="991">
        <f t="shared" si="387"/>
        <v>0.10200668896321075</v>
      </c>
      <c r="CA98" s="992">
        <f t="shared" si="387"/>
        <v>6.9802731411229058E-2</v>
      </c>
      <c r="CB98" s="991">
        <f t="shared" si="387"/>
        <v>0.14184397163120566</v>
      </c>
      <c r="CC98" s="991">
        <f t="shared" si="387"/>
        <v>0.10683229813664585</v>
      </c>
      <c r="CD98" s="991">
        <f t="shared" si="387"/>
        <v>-0.2368125701459034</v>
      </c>
      <c r="CE98" s="992">
        <f t="shared" si="387"/>
        <v>-3.3823529411764697E-2</v>
      </c>
      <c r="CF98" s="991">
        <f t="shared" si="387"/>
        <v>8.0669710806697159E-2</v>
      </c>
      <c r="CG98" s="991">
        <f t="shared" si="387"/>
        <v>1.5492957746478853E-2</v>
      </c>
      <c r="CH98" s="991">
        <f t="shared" si="387"/>
        <v>-2.4965325936199712E-2</v>
      </c>
      <c r="CI98" s="992">
        <f t="shared" si="387"/>
        <v>0.15504978662873414</v>
      </c>
      <c r="CJ98" s="991">
        <f t="shared" si="387"/>
        <v>3.2019704433497553E-2</v>
      </c>
      <c r="CK98" s="991">
        <f t="shared" si="387"/>
        <v>0.10739856801909298</v>
      </c>
      <c r="CL98" s="991">
        <f t="shared" si="387"/>
        <v>-6.3577586206896464E-2</v>
      </c>
      <c r="CM98" s="992">
        <f t="shared" si="387"/>
        <v>4.718066743383198E-2</v>
      </c>
      <c r="CN98" s="991">
        <f t="shared" si="387"/>
        <v>0.15164835164835155</v>
      </c>
      <c r="CO98" s="991">
        <f t="shared" si="387"/>
        <v>4.5801526717557328E-2</v>
      </c>
      <c r="CP98" s="991">
        <f t="shared" si="387"/>
        <v>1.7335766423357768E-2</v>
      </c>
      <c r="CQ98" s="1012">
        <f>(CQ90-4)/CP90-1</f>
        <v>7.5336322869955286E-2</v>
      </c>
      <c r="CR98" s="991">
        <f>CR90/CQ90-1</f>
        <v>7.1156899545127272E-2</v>
      </c>
      <c r="CS98" s="991">
        <f>CS90/CR90-1</f>
        <v>4.6870318607842298E-2</v>
      </c>
      <c r="CT98" s="991">
        <f>CT90/CS90-1</f>
        <v>1.6231089323424097E-3</v>
      </c>
      <c r="CU98" s="992">
        <f>CU90/CT90-1</f>
        <v>7.3044449389845223E-2</v>
      </c>
      <c r="CV98" s="416"/>
      <c r="CW98" s="991"/>
      <c r="CX98" s="991"/>
      <c r="CY98" s="991"/>
      <c r="CZ98" s="991"/>
      <c r="DA98" s="991"/>
      <c r="DB98" s="991"/>
      <c r="DC98" s="991"/>
      <c r="DD98" s="991"/>
      <c r="DE98" s="991"/>
      <c r="DF98" s="991"/>
      <c r="DG98" s="991"/>
      <c r="DH98" s="991"/>
      <c r="DI98" s="991"/>
      <c r="DJ98" s="991"/>
      <c r="DK98" s="991"/>
      <c r="DL98" s="991"/>
      <c r="DM98" s="991"/>
      <c r="DN98" s="991"/>
      <c r="DO98" s="991"/>
      <c r="DP98" s="991"/>
      <c r="DQ98" s="991"/>
      <c r="DR98" s="991"/>
      <c r="DS98" s="991"/>
      <c r="DT98" s="991"/>
      <c r="DU98" s="991"/>
      <c r="DV98" s="1011"/>
      <c r="DW98" s="1011"/>
      <c r="DX98" s="1011"/>
      <c r="DY98" s="1011"/>
      <c r="DZ98" s="1011"/>
    </row>
    <row r="99" spans="2:130" ht="15">
      <c r="B99" s="989" t="s">
        <v>293</v>
      </c>
      <c r="C99" s="898"/>
      <c r="D99" s="990"/>
      <c r="E99" s="991"/>
      <c r="F99" s="991"/>
      <c r="G99" s="992"/>
      <c r="H99" s="991"/>
      <c r="I99" s="991"/>
      <c r="J99" s="991"/>
      <c r="K99" s="992"/>
      <c r="L99" s="991"/>
      <c r="M99" s="991"/>
      <c r="N99" s="991"/>
      <c r="O99" s="992"/>
      <c r="P99" s="991"/>
      <c r="Q99" s="991"/>
      <c r="R99" s="991"/>
      <c r="S99" s="992"/>
      <c r="T99" s="991"/>
      <c r="U99" s="991"/>
      <c r="V99" s="991"/>
      <c r="W99" s="992"/>
      <c r="X99" s="991"/>
      <c r="Y99" s="991"/>
      <c r="Z99" s="991"/>
      <c r="AA99" s="992"/>
      <c r="AB99" s="991"/>
      <c r="AC99" s="991"/>
      <c r="AD99" s="991"/>
      <c r="AE99" s="992"/>
      <c r="AF99" s="991"/>
      <c r="AG99" s="991"/>
      <c r="AH99" s="991"/>
      <c r="AI99" s="992"/>
      <c r="AJ99" s="991"/>
      <c r="AK99" s="991">
        <f t="shared" ref="AK99:BP99" si="388">AK90/AG90-1</f>
        <v>-0.19661016949152543</v>
      </c>
      <c r="AL99" s="991">
        <f t="shared" si="388"/>
        <v>-0.24774774774774777</v>
      </c>
      <c r="AM99" s="992">
        <f t="shared" si="388"/>
        <v>0.13120567375886516</v>
      </c>
      <c r="AN99" s="991">
        <f t="shared" si="388"/>
        <v>0.17624521072796928</v>
      </c>
      <c r="AO99" s="991">
        <f t="shared" si="388"/>
        <v>4.2194092827005925E-3</v>
      </c>
      <c r="AP99" s="991">
        <f t="shared" si="388"/>
        <v>0.46107784431137722</v>
      </c>
      <c r="AQ99" s="992">
        <f t="shared" si="388"/>
        <v>-0.11912225705329149</v>
      </c>
      <c r="AR99" s="991">
        <f t="shared" si="388"/>
        <v>-0.1596091205211726</v>
      </c>
      <c r="AS99" s="991">
        <f t="shared" si="388"/>
        <v>0.2773109243697478</v>
      </c>
      <c r="AT99" s="991">
        <f t="shared" si="388"/>
        <v>-2.4590163934426146E-2</v>
      </c>
      <c r="AU99" s="992">
        <f t="shared" si="388"/>
        <v>-0.3736654804270465</v>
      </c>
      <c r="AV99" s="991">
        <f t="shared" si="388"/>
        <v>-0.12015503875969002</v>
      </c>
      <c r="AW99" s="991">
        <f t="shared" si="388"/>
        <v>-5.921052631578938E-2</v>
      </c>
      <c r="AX99" s="991">
        <f t="shared" si="388"/>
        <v>-0.44537815126050428</v>
      </c>
      <c r="AY99" s="992">
        <f t="shared" si="388"/>
        <v>0.48295454545454608</v>
      </c>
      <c r="AZ99" s="991">
        <f t="shared" si="388"/>
        <v>0.22026431718061668</v>
      </c>
      <c r="BA99" s="991">
        <f t="shared" si="388"/>
        <v>0.16433566433566416</v>
      </c>
      <c r="BB99" s="991">
        <f t="shared" si="388"/>
        <v>1.0303030303030303</v>
      </c>
      <c r="BC99" s="992">
        <f t="shared" si="388"/>
        <v>0.16091954022988508</v>
      </c>
      <c r="BD99" s="991">
        <f t="shared" si="388"/>
        <v>-0.3393501805054151</v>
      </c>
      <c r="BE99" s="991">
        <f t="shared" si="388"/>
        <v>-0.34534534534534522</v>
      </c>
      <c r="BF99" s="991">
        <f t="shared" si="388"/>
        <v>-0.88432835820895517</v>
      </c>
      <c r="BG99" s="992">
        <f t="shared" si="388"/>
        <v>-1.613861386138614</v>
      </c>
      <c r="BH99" s="991">
        <f t="shared" si="388"/>
        <v>-2.7868852459016393</v>
      </c>
      <c r="BI99" s="991">
        <f t="shared" si="388"/>
        <v>-1.4036697247706422</v>
      </c>
      <c r="BJ99" s="991">
        <f t="shared" si="388"/>
        <v>1.4193548387096775</v>
      </c>
      <c r="BK99" s="992">
        <f t="shared" si="388"/>
        <v>-2.1021505376344085</v>
      </c>
      <c r="BL99" s="991">
        <f t="shared" si="388"/>
        <v>-2.1223241590214066</v>
      </c>
      <c r="BM99" s="991">
        <f t="shared" si="388"/>
        <v>-5.2386363636363633</v>
      </c>
      <c r="BN99" s="991">
        <f t="shared" si="388"/>
        <v>3.1466666666666665</v>
      </c>
      <c r="BO99" s="992">
        <f t="shared" si="388"/>
        <v>0.55609756097560958</v>
      </c>
      <c r="BP99" s="991">
        <f t="shared" si="388"/>
        <v>-0.12806539509536796</v>
      </c>
      <c r="BQ99" s="991">
        <f t="shared" ref="BQ99:CP99" si="389">BQ90/BM90-1</f>
        <v>4.5576407506702443E-2</v>
      </c>
      <c r="BR99" s="991">
        <f t="shared" si="389"/>
        <v>0.41479099678456577</v>
      </c>
      <c r="BS99" s="992">
        <f t="shared" si="389"/>
        <v>0.46708463949843249</v>
      </c>
      <c r="BT99" s="991">
        <f t="shared" si="389"/>
        <v>0.91250000000000009</v>
      </c>
      <c r="BU99" s="991">
        <f t="shared" si="389"/>
        <v>0.40000000000000013</v>
      </c>
      <c r="BV99" s="991">
        <f t="shared" si="389"/>
        <v>2.2727272727272041E-3</v>
      </c>
      <c r="BW99" s="992">
        <f t="shared" si="389"/>
        <v>5.1282051282051322E-2</v>
      </c>
      <c r="BX99" s="991">
        <f t="shared" si="389"/>
        <v>-8.496732026143794E-2</v>
      </c>
      <c r="BY99" s="991">
        <f t="shared" si="389"/>
        <v>9.5238095238095122E-2</v>
      </c>
      <c r="BZ99" s="991">
        <f t="shared" si="389"/>
        <v>0.49433106575963737</v>
      </c>
      <c r="CA99" s="992">
        <f t="shared" si="389"/>
        <v>0.43292682926829262</v>
      </c>
      <c r="CB99" s="991">
        <f t="shared" si="389"/>
        <v>0.4375</v>
      </c>
      <c r="CC99" s="991">
        <f t="shared" si="389"/>
        <v>0.48996655518394649</v>
      </c>
      <c r="CD99" s="991">
        <f t="shared" si="389"/>
        <v>3.1866464339908918E-2</v>
      </c>
      <c r="CE99" s="992">
        <f t="shared" si="389"/>
        <v>-6.8085106382978711E-2</v>
      </c>
      <c r="CF99" s="991">
        <f t="shared" si="389"/>
        <v>-0.11801242236024845</v>
      </c>
      <c r="CG99" s="991">
        <f t="shared" si="389"/>
        <v>-0.19079685746352415</v>
      </c>
      <c r="CH99" s="991">
        <f t="shared" si="389"/>
        <v>3.3823529411764586E-2</v>
      </c>
      <c r="CI99" s="992">
        <f t="shared" si="389"/>
        <v>0.23592085235920845</v>
      </c>
      <c r="CJ99" s="991">
        <f t="shared" si="389"/>
        <v>0.18028169014084505</v>
      </c>
      <c r="CK99" s="991">
        <f t="shared" si="389"/>
        <v>0.2871012482662969</v>
      </c>
      <c r="CL99" s="991">
        <f t="shared" si="389"/>
        <v>0.23613086770981528</v>
      </c>
      <c r="CM99" s="992">
        <f t="shared" si="389"/>
        <v>0.1206896551724137</v>
      </c>
      <c r="CN99" s="991">
        <f t="shared" si="389"/>
        <v>0.25059665871121717</v>
      </c>
      <c r="CO99" s="991">
        <f t="shared" si="389"/>
        <v>0.18103448275862077</v>
      </c>
      <c r="CP99" s="991">
        <f t="shared" si="389"/>
        <v>0.28308400460299188</v>
      </c>
      <c r="CQ99" s="1012">
        <f>(CQ90-4)/CM90-1</f>
        <v>0.31758241758241756</v>
      </c>
      <c r="CR99" s="1011">
        <f t="shared" ref="CR99:CT99" si="390">(CR90-4)/CN90-1</f>
        <v>0.22820934974848539</v>
      </c>
      <c r="CS99" s="1011">
        <f t="shared" si="390"/>
        <v>0.23117515499131502</v>
      </c>
      <c r="CT99" s="1011">
        <f t="shared" si="390"/>
        <v>0.21221799590375645</v>
      </c>
      <c r="CU99" s="992">
        <f>CU90/CQ90-1</f>
        <v>0.20522470218355737</v>
      </c>
      <c r="CV99" s="416"/>
      <c r="CW99" s="991"/>
      <c r="CX99" s="991"/>
      <c r="CY99" s="991"/>
      <c r="CZ99" s="991"/>
      <c r="DA99" s="991"/>
      <c r="DB99" s="991"/>
      <c r="DC99" s="991"/>
      <c r="DD99" s="991"/>
      <c r="DE99" s="991"/>
      <c r="DF99" s="991">
        <f t="shared" ref="DF99:DZ99" si="391">DF90/DE90-1</f>
        <v>0.23153942428035035</v>
      </c>
      <c r="DG99" s="991">
        <f t="shared" si="391"/>
        <v>8.7398373983739841E-2</v>
      </c>
      <c r="DH99" s="991">
        <f t="shared" si="391"/>
        <v>-8.785046728971968E-2</v>
      </c>
      <c r="DI99" s="991">
        <f t="shared" si="391"/>
        <v>-7.1721311475409832E-2</v>
      </c>
      <c r="DJ99" s="991">
        <f t="shared" si="391"/>
        <v>0.30353200883002218</v>
      </c>
      <c r="DK99" s="991">
        <f t="shared" si="391"/>
        <v>-0.79170194750211687</v>
      </c>
      <c r="DL99" s="991">
        <f t="shared" si="391"/>
        <v>-1.5487804878048781</v>
      </c>
      <c r="DM99" s="991">
        <f t="shared" si="391"/>
        <v>-11.148148148148149</v>
      </c>
      <c r="DN99" s="991">
        <f t="shared" si="391"/>
        <v>0.18102189781021916</v>
      </c>
      <c r="DO99" s="991">
        <f t="shared" si="391"/>
        <v>0.29233621755253414</v>
      </c>
      <c r="DP99" s="991">
        <f t="shared" si="391"/>
        <v>0.20612147297943539</v>
      </c>
      <c r="DQ99" s="991">
        <f t="shared" si="391"/>
        <v>0.20261697065820794</v>
      </c>
      <c r="DR99" s="991">
        <f t="shared" si="391"/>
        <v>-2.8684470820969477E-2</v>
      </c>
      <c r="DS99" s="991">
        <f t="shared" si="391"/>
        <v>0.20332654446707421</v>
      </c>
      <c r="DT99" s="991">
        <f t="shared" si="391"/>
        <v>0.26882933709449919</v>
      </c>
      <c r="DU99" s="991">
        <f t="shared" si="391"/>
        <v>0.24531521561694314</v>
      </c>
      <c r="DV99" s="991">
        <f t="shared" si="391"/>
        <v>4.2220996497733809E-2</v>
      </c>
      <c r="DW99" s="991">
        <f t="shared" si="391"/>
        <v>3.3470900173311779E-2</v>
      </c>
      <c r="DX99" s="991">
        <f t="shared" si="391"/>
        <v>2.6749908314081861E-2</v>
      </c>
      <c r="DY99" s="991">
        <f t="shared" si="391"/>
        <v>1.3305787548658854E-2</v>
      </c>
      <c r="DZ99" s="991">
        <f t="shared" si="391"/>
        <v>-1.5650604951278346E-3</v>
      </c>
    </row>
    <row r="100" spans="2:130" ht="15">
      <c r="B100" s="989" t="s">
        <v>345</v>
      </c>
      <c r="C100" s="898"/>
      <c r="D100" s="990"/>
      <c r="E100" s="991"/>
      <c r="F100" s="991"/>
      <c r="G100" s="992"/>
      <c r="H100" s="991"/>
      <c r="I100" s="991"/>
      <c r="J100" s="991"/>
      <c r="K100" s="992"/>
      <c r="L100" s="991"/>
      <c r="M100" s="991"/>
      <c r="N100" s="991"/>
      <c r="O100" s="992"/>
      <c r="P100" s="991"/>
      <c r="Q100" s="991"/>
      <c r="R100" s="991"/>
      <c r="S100" s="992"/>
      <c r="T100" s="991"/>
      <c r="U100" s="991"/>
      <c r="V100" s="991"/>
      <c r="W100" s="992"/>
      <c r="X100" s="991"/>
      <c r="Y100" s="991"/>
      <c r="Z100" s="991"/>
      <c r="AA100" s="992"/>
      <c r="AB100" s="991"/>
      <c r="AC100" s="991"/>
      <c r="AD100" s="991"/>
      <c r="AE100" s="992"/>
      <c r="AF100" s="991"/>
      <c r="AG100" s="991"/>
      <c r="AH100" s="991"/>
      <c r="AI100" s="992"/>
      <c r="AJ100" s="991"/>
      <c r="AK100" s="991"/>
      <c r="AL100" s="991"/>
      <c r="AM100" s="992"/>
      <c r="AN100" s="991"/>
      <c r="AO100" s="991">
        <f t="shared" ref="AO100:BT100" si="392">AK99+AO99</f>
        <v>-0.19239076020882484</v>
      </c>
      <c r="AP100" s="991">
        <f t="shared" si="392"/>
        <v>0.21333009656362945</v>
      </c>
      <c r="AQ100" s="992">
        <f t="shared" si="392"/>
        <v>1.2083416705573669E-2</v>
      </c>
      <c r="AR100" s="991">
        <f t="shared" si="392"/>
        <v>1.6636090206796683E-2</v>
      </c>
      <c r="AS100" s="991">
        <f t="shared" si="392"/>
        <v>0.28153033365244839</v>
      </c>
      <c r="AT100" s="991">
        <f t="shared" si="392"/>
        <v>0.43648768037695107</v>
      </c>
      <c r="AU100" s="992">
        <f t="shared" si="392"/>
        <v>-0.492787737480338</v>
      </c>
      <c r="AV100" s="991">
        <f t="shared" si="392"/>
        <v>-0.27976415928086262</v>
      </c>
      <c r="AW100" s="991">
        <f t="shared" si="392"/>
        <v>0.21810039805395842</v>
      </c>
      <c r="AX100" s="991">
        <f t="shared" si="392"/>
        <v>-0.46996831519493043</v>
      </c>
      <c r="AY100" s="992">
        <f t="shared" si="392"/>
        <v>0.10928906502749958</v>
      </c>
      <c r="AZ100" s="991">
        <f t="shared" si="392"/>
        <v>0.10010927842092665</v>
      </c>
      <c r="BA100" s="991">
        <f t="shared" si="392"/>
        <v>0.10512513801987478</v>
      </c>
      <c r="BB100" s="991">
        <f t="shared" si="392"/>
        <v>0.58492487904252599</v>
      </c>
      <c r="BC100" s="992">
        <f t="shared" si="392"/>
        <v>0.64387408568443116</v>
      </c>
      <c r="BD100" s="991">
        <f t="shared" si="392"/>
        <v>-0.11908586332479842</v>
      </c>
      <c r="BE100" s="991">
        <f t="shared" si="392"/>
        <v>-0.18100968100968107</v>
      </c>
      <c r="BF100" s="991">
        <f t="shared" si="392"/>
        <v>0.14597467209407511</v>
      </c>
      <c r="BG100" s="992">
        <f t="shared" si="392"/>
        <v>-1.4529418459087289</v>
      </c>
      <c r="BH100" s="991">
        <f t="shared" si="392"/>
        <v>-3.1262354264070544</v>
      </c>
      <c r="BI100" s="991">
        <f t="shared" si="392"/>
        <v>-1.7490150701159874</v>
      </c>
      <c r="BJ100" s="991">
        <f t="shared" si="392"/>
        <v>0.53502648050072232</v>
      </c>
      <c r="BK100" s="992">
        <f t="shared" si="392"/>
        <v>-3.7160119237730225</v>
      </c>
      <c r="BL100" s="991">
        <f t="shared" si="392"/>
        <v>-4.9092094049230459</v>
      </c>
      <c r="BM100" s="991">
        <f t="shared" si="392"/>
        <v>-6.6423060884070058</v>
      </c>
      <c r="BN100" s="991">
        <f t="shared" si="392"/>
        <v>4.5660215053763444</v>
      </c>
      <c r="BO100" s="992">
        <f t="shared" si="392"/>
        <v>-1.5460529766587989</v>
      </c>
      <c r="BP100" s="991">
        <f t="shared" si="392"/>
        <v>-2.2503895541167744</v>
      </c>
      <c r="BQ100" s="991">
        <f t="shared" si="392"/>
        <v>-5.1930599561296606</v>
      </c>
      <c r="BR100" s="991">
        <f t="shared" si="392"/>
        <v>3.5614576634512325</v>
      </c>
      <c r="BS100" s="992">
        <f t="shared" si="392"/>
        <v>1.0231822004740421</v>
      </c>
      <c r="BT100" s="991">
        <f t="shared" si="392"/>
        <v>0.78443460490463213</v>
      </c>
      <c r="BU100" s="991">
        <f t="shared" ref="BU100:CU100" si="393">BQ99+BU99</f>
        <v>0.44557640750670258</v>
      </c>
      <c r="BV100" s="991">
        <f t="shared" si="393"/>
        <v>0.41706372405729297</v>
      </c>
      <c r="BW100" s="992">
        <f t="shared" si="393"/>
        <v>0.51836669078048381</v>
      </c>
      <c r="BX100" s="991">
        <f t="shared" si="393"/>
        <v>0.82753267973856215</v>
      </c>
      <c r="BY100" s="991">
        <f t="shared" si="393"/>
        <v>0.49523809523809526</v>
      </c>
      <c r="BZ100" s="991">
        <f t="shared" si="393"/>
        <v>0.49660379303236457</v>
      </c>
      <c r="CA100" s="992">
        <f t="shared" si="393"/>
        <v>0.48420888055034395</v>
      </c>
      <c r="CB100" s="991">
        <f t="shared" si="393"/>
        <v>0.35253267973856206</v>
      </c>
      <c r="CC100" s="991">
        <f t="shared" si="393"/>
        <v>0.58520465042204162</v>
      </c>
      <c r="CD100" s="991">
        <f t="shared" si="393"/>
        <v>0.52619753009954628</v>
      </c>
      <c r="CE100" s="992">
        <f t="shared" si="393"/>
        <v>0.36484172288531391</v>
      </c>
      <c r="CF100" s="991">
        <f t="shared" si="393"/>
        <v>0.31948757763975155</v>
      </c>
      <c r="CG100" s="991">
        <f t="shared" si="393"/>
        <v>0.29916969772042235</v>
      </c>
      <c r="CH100" s="991">
        <f t="shared" si="393"/>
        <v>6.5689993751673503E-2</v>
      </c>
      <c r="CI100" s="992">
        <f t="shared" si="393"/>
        <v>0.16783574597622974</v>
      </c>
      <c r="CJ100" s="991">
        <f t="shared" si="393"/>
        <v>6.2269267780596604E-2</v>
      </c>
      <c r="CK100" s="991">
        <f t="shared" si="393"/>
        <v>9.6304390802772755E-2</v>
      </c>
      <c r="CL100" s="991">
        <f t="shared" si="393"/>
        <v>0.26995439712157987</v>
      </c>
      <c r="CM100" s="992">
        <f t="shared" si="393"/>
        <v>0.35661050753162216</v>
      </c>
      <c r="CN100" s="991">
        <f t="shared" si="393"/>
        <v>0.43087834885206222</v>
      </c>
      <c r="CO100" s="991">
        <f t="shared" si="393"/>
        <v>0.46813573102491768</v>
      </c>
      <c r="CP100" s="991">
        <f t="shared" si="393"/>
        <v>0.51921487231280716</v>
      </c>
      <c r="CQ100" s="992">
        <f t="shared" si="393"/>
        <v>0.43827207275483127</v>
      </c>
      <c r="CR100" s="991">
        <f t="shared" si="393"/>
        <v>0.47880600845970256</v>
      </c>
      <c r="CS100" s="991">
        <f t="shared" si="393"/>
        <v>0.4122096377499358</v>
      </c>
      <c r="CT100" s="991">
        <f t="shared" si="393"/>
        <v>0.49530200050674833</v>
      </c>
      <c r="CU100" s="992">
        <f t="shared" si="393"/>
        <v>0.52280711976597494</v>
      </c>
      <c r="CV100" s="416"/>
      <c r="CW100" s="991"/>
      <c r="CX100" s="991"/>
      <c r="CY100" s="991"/>
      <c r="CZ100" s="991"/>
      <c r="DA100" s="991"/>
      <c r="DB100" s="991"/>
      <c r="DC100" s="991"/>
      <c r="DD100" s="991"/>
      <c r="DE100" s="991"/>
      <c r="DF100" s="991"/>
      <c r="DG100" s="991">
        <f t="shared" ref="DG100:DZ100" si="394">DF99+DG99</f>
        <v>0.31893779826409019</v>
      </c>
      <c r="DH100" s="991">
        <f t="shared" si="394"/>
        <v>-4.5209330597983932E-4</v>
      </c>
      <c r="DI100" s="991">
        <f t="shared" si="394"/>
        <v>-0.15957177876512951</v>
      </c>
      <c r="DJ100" s="991">
        <f t="shared" si="394"/>
        <v>0.23181069735461235</v>
      </c>
      <c r="DK100" s="991">
        <f t="shared" si="394"/>
        <v>-0.48816993867209468</v>
      </c>
      <c r="DL100" s="991">
        <f t="shared" si="394"/>
        <v>-2.3404824353069951</v>
      </c>
      <c r="DM100" s="991">
        <f t="shared" si="394"/>
        <v>-12.696928635953027</v>
      </c>
      <c r="DN100" s="991">
        <f t="shared" si="394"/>
        <v>-10.96712625033793</v>
      </c>
      <c r="DO100" s="991">
        <f t="shared" si="394"/>
        <v>0.4733581153627533</v>
      </c>
      <c r="DP100" s="991">
        <f t="shared" si="394"/>
        <v>0.49845769053196953</v>
      </c>
      <c r="DQ100" s="991">
        <f t="shared" si="394"/>
        <v>0.40873844363764333</v>
      </c>
      <c r="DR100" s="991">
        <f t="shared" si="394"/>
        <v>0.17393249983723846</v>
      </c>
      <c r="DS100" s="991">
        <f t="shared" si="394"/>
        <v>0.17464207364610473</v>
      </c>
      <c r="DT100" s="991">
        <f t="shared" si="394"/>
        <v>0.4721558815615734</v>
      </c>
      <c r="DU100" s="991">
        <f t="shared" si="394"/>
        <v>0.51414455271144233</v>
      </c>
      <c r="DV100" s="991">
        <f t="shared" si="394"/>
        <v>0.28753621211467695</v>
      </c>
      <c r="DW100" s="991">
        <f t="shared" si="394"/>
        <v>7.5691896671045589E-2</v>
      </c>
      <c r="DX100" s="991">
        <f t="shared" si="394"/>
        <v>6.022080848739364E-2</v>
      </c>
      <c r="DY100" s="991">
        <f t="shared" si="394"/>
        <v>4.0055695862740714E-2</v>
      </c>
      <c r="DZ100" s="991">
        <f t="shared" si="394"/>
        <v>1.1740727053531019E-2</v>
      </c>
    </row>
    <row r="101" spans="2:130" ht="15" collapsed="1">
      <c r="B101" s="1028" t="s">
        <v>82</v>
      </c>
      <c r="C101" s="658"/>
      <c r="D101" s="664"/>
      <c r="E101" s="665"/>
      <c r="F101" s="665"/>
      <c r="G101" s="666"/>
      <c r="H101" s="665"/>
      <c r="I101" s="665"/>
      <c r="J101" s="665"/>
      <c r="K101" s="666"/>
      <c r="L101" s="665"/>
      <c r="M101" s="665"/>
      <c r="N101" s="665"/>
      <c r="O101" s="666"/>
      <c r="P101" s="665"/>
      <c r="Q101" s="665"/>
      <c r="R101" s="665"/>
      <c r="S101" s="666"/>
      <c r="T101" s="665"/>
      <c r="U101" s="665"/>
      <c r="V101" s="665"/>
      <c r="W101" s="666"/>
      <c r="X101" s="665"/>
      <c r="Y101" s="665"/>
      <c r="Z101" s="665"/>
      <c r="AA101" s="666"/>
      <c r="AB101" s="665"/>
      <c r="AC101" s="665"/>
      <c r="AD101" s="665"/>
      <c r="AE101" s="666"/>
      <c r="AF101" s="665"/>
      <c r="AG101" s="665">
        <f t="shared" ref="AG101:BL101" si="395">AG103-AG79-AG90</f>
        <v>-8.7000000000000668</v>
      </c>
      <c r="AH101" s="665">
        <f t="shared" si="395"/>
        <v>-10.700000000000021</v>
      </c>
      <c r="AI101" s="666">
        <f t="shared" si="395"/>
        <v>-12.800000000000036</v>
      </c>
      <c r="AJ101" s="665">
        <f t="shared" si="395"/>
        <v>-12.699999999999989</v>
      </c>
      <c r="AK101" s="665">
        <f t="shared" si="395"/>
        <v>-9.3999999999999453</v>
      </c>
      <c r="AL101" s="665">
        <f t="shared" si="395"/>
        <v>-12.199999999999935</v>
      </c>
      <c r="AM101" s="666">
        <f t="shared" si="395"/>
        <v>-12.30000000000009</v>
      </c>
      <c r="AN101" s="665">
        <f t="shared" si="395"/>
        <v>-14.599999999999977</v>
      </c>
      <c r="AO101" s="665">
        <f t="shared" si="395"/>
        <v>-9.6999999999999211</v>
      </c>
      <c r="AP101" s="665">
        <f t="shared" si="395"/>
        <v>-15.200000000000095</v>
      </c>
      <c r="AQ101" s="666">
        <f t="shared" si="395"/>
        <v>-10.999999999999964</v>
      </c>
      <c r="AR101" s="665">
        <f t="shared" si="395"/>
        <v>-20.851999999999965</v>
      </c>
      <c r="AS101" s="665">
        <f t="shared" si="395"/>
        <v>-8.0999999999998735</v>
      </c>
      <c r="AT101" s="665">
        <f t="shared" si="395"/>
        <v>-21.69999999999995</v>
      </c>
      <c r="AU101" s="666">
        <f t="shared" si="395"/>
        <v>3.4759999999999991</v>
      </c>
      <c r="AV101" s="665">
        <f t="shared" si="395"/>
        <v>-14.6999999999999</v>
      </c>
      <c r="AW101" s="665">
        <f t="shared" si="395"/>
        <v>-7.9999999999999787</v>
      </c>
      <c r="AX101" s="665">
        <f t="shared" si="395"/>
        <v>-14.300000000000036</v>
      </c>
      <c r="AY101" s="666">
        <f t="shared" si="395"/>
        <v>-25.226666666666624</v>
      </c>
      <c r="AZ101" s="665">
        <f t="shared" si="395"/>
        <v>9.9999999999869971E-2</v>
      </c>
      <c r="BA101" s="665">
        <f t="shared" si="395"/>
        <v>-19.200000000000074</v>
      </c>
      <c r="BB101" s="665">
        <f t="shared" si="395"/>
        <v>-19.500000000000174</v>
      </c>
      <c r="BC101" s="666">
        <f t="shared" si="395"/>
        <v>-15.999999999999961</v>
      </c>
      <c r="BD101" s="665">
        <f t="shared" si="395"/>
        <v>-20.399999999999995</v>
      </c>
      <c r="BE101" s="665">
        <f t="shared" si="395"/>
        <v>-14.700000000000092</v>
      </c>
      <c r="BF101" s="665">
        <f t="shared" si="395"/>
        <v>-33.420029999999734</v>
      </c>
      <c r="BG101" s="666">
        <f t="shared" si="395"/>
        <v>-5.300000000000022</v>
      </c>
      <c r="BH101" s="665">
        <f t="shared" si="395"/>
        <v>2.500000000000032</v>
      </c>
      <c r="BI101" s="665">
        <f t="shared" si="395"/>
        <v>-36.773169230769156</v>
      </c>
      <c r="BJ101" s="665">
        <f t="shared" si="395"/>
        <v>-30.100000000000051</v>
      </c>
      <c r="BK101" s="666">
        <f t="shared" si="395"/>
        <v>-26.200000000000074</v>
      </c>
      <c r="BL101" s="665">
        <f t="shared" si="395"/>
        <v>-26.90000000000002</v>
      </c>
      <c r="BM101" s="665">
        <f t="shared" ref="BM101:CH101" si="396">BM103-BM79-BM90</f>
        <v>-22.79999999999994</v>
      </c>
      <c r="BN101" s="665">
        <f t="shared" si="396"/>
        <v>-33.999999999999808</v>
      </c>
      <c r="BO101" s="666">
        <f t="shared" si="396"/>
        <v>-26.699999999999868</v>
      </c>
      <c r="BP101" s="665">
        <f t="shared" si="396"/>
        <v>-30.399999999999807</v>
      </c>
      <c r="BQ101" s="665">
        <f t="shared" si="396"/>
        <v>-28.700000000000074</v>
      </c>
      <c r="BR101" s="665">
        <f t="shared" si="396"/>
        <v>-21.700000000000045</v>
      </c>
      <c r="BS101" s="666">
        <f t="shared" si="396"/>
        <v>-26.799999999999997</v>
      </c>
      <c r="BT101" s="665">
        <f t="shared" si="396"/>
        <v>-36.100000000000065</v>
      </c>
      <c r="BU101" s="665">
        <f t="shared" si="396"/>
        <v>-21.199999999999939</v>
      </c>
      <c r="BV101" s="665">
        <f t="shared" si="396"/>
        <v>-54.099999999999945</v>
      </c>
      <c r="BW101" s="666">
        <f t="shared" si="396"/>
        <v>-38.720000000000184</v>
      </c>
      <c r="BX101" s="665">
        <f t="shared" si="396"/>
        <v>-38.44</v>
      </c>
      <c r="BY101" s="665">
        <f t="shared" si="396"/>
        <v>-25.599999999999866</v>
      </c>
      <c r="BZ101" s="665">
        <f t="shared" si="396"/>
        <v>-25.399999999999864</v>
      </c>
      <c r="CA101" s="666">
        <f t="shared" si="396"/>
        <v>-34.794999999999845</v>
      </c>
      <c r="CB101" s="665">
        <f t="shared" si="396"/>
        <v>-40.39100000000002</v>
      </c>
      <c r="CC101" s="665">
        <f t="shared" si="396"/>
        <v>-24.219800000000049</v>
      </c>
      <c r="CD101" s="665">
        <f t="shared" si="396"/>
        <v>-22.099999999999994</v>
      </c>
      <c r="CE101" s="666">
        <f t="shared" si="396"/>
        <v>-36.099999999999866</v>
      </c>
      <c r="CF101" s="665">
        <f t="shared" si="396"/>
        <v>-31.599999999999966</v>
      </c>
      <c r="CG101" s="665">
        <f t="shared" si="396"/>
        <v>-26.599999999999937</v>
      </c>
      <c r="CH101" s="665">
        <f t="shared" si="396"/>
        <v>-23.199999999999946</v>
      </c>
      <c r="CI101" s="666">
        <v>-31.4</v>
      </c>
      <c r="CJ101" s="665">
        <f t="shared" ref="CJ101:CP101" si="397">CJ103-CJ79-CJ90</f>
        <v>-31.700000000000003</v>
      </c>
      <c r="CK101" s="665">
        <f t="shared" si="397"/>
        <v>-30.600000000000179</v>
      </c>
      <c r="CL101" s="665">
        <f t="shared" si="397"/>
        <v>-27.400000000000063</v>
      </c>
      <c r="CM101" s="666">
        <f t="shared" si="397"/>
        <v>-43.799999999999898</v>
      </c>
      <c r="CN101" s="665">
        <f t="shared" si="397"/>
        <v>-49.400000000000077</v>
      </c>
      <c r="CO101" s="665">
        <f t="shared" si="397"/>
        <v>-40.000000000000199</v>
      </c>
      <c r="CP101" s="665">
        <f t="shared" si="397"/>
        <v>-37.300000000000239</v>
      </c>
      <c r="CQ101" s="666">
        <f t="shared" ref="CQ101" si="398">CQ103-CQ79-CQ90</f>
        <v>-48.900000000000006</v>
      </c>
      <c r="CR101" s="665">
        <f>CR64*CR102</f>
        <v>-50.422668481247342</v>
      </c>
      <c r="CS101" s="665">
        <f>CS64*CS102</f>
        <v>-51.577884561716424</v>
      </c>
      <c r="CT101" s="665">
        <f>CT64*CT102</f>
        <v>-49.611647187535802</v>
      </c>
      <c r="CU101" s="666">
        <f>CU64*CU102</f>
        <v>-52.963563855197023</v>
      </c>
      <c r="CV101" s="406"/>
      <c r="CW101" s="1008"/>
      <c r="CX101" s="665"/>
      <c r="CY101" s="665"/>
      <c r="CZ101" s="665"/>
      <c r="DA101" s="665"/>
      <c r="DB101" s="665"/>
      <c r="DC101" s="665"/>
      <c r="DD101" s="665"/>
      <c r="DE101" s="665">
        <f>SUM(AF101:AI101)</f>
        <v>-32.200000000000124</v>
      </c>
      <c r="DF101" s="665">
        <f>SUM(AJ101:AM101)</f>
        <v>-46.599999999999959</v>
      </c>
      <c r="DG101" s="665">
        <f>SUM(AN101:AQ101)</f>
        <v>-50.499999999999957</v>
      </c>
      <c r="DH101" s="665">
        <f>SUM(AR101:AU101)</f>
        <v>-47.175999999999789</v>
      </c>
      <c r="DI101" s="665">
        <f>SUM(AV101:AY101)</f>
        <v>-62.226666666666539</v>
      </c>
      <c r="DJ101" s="665">
        <f>SUM(AZ101:BC101)</f>
        <v>-54.600000000000335</v>
      </c>
      <c r="DK101" s="665">
        <f>SUM(BD101:BG101)</f>
        <v>-73.820029999999846</v>
      </c>
      <c r="DL101" s="665">
        <f>SUM(BH101:BK101)</f>
        <v>-90.573169230769253</v>
      </c>
      <c r="DM101" s="665">
        <f>SUM(BL101:BO101)</f>
        <v>-110.39999999999964</v>
      </c>
      <c r="DN101" s="665">
        <f>SUM(BP101:BS101)</f>
        <v>-107.59999999999992</v>
      </c>
      <c r="DO101" s="665">
        <f>SUM(BT101:BW101)</f>
        <v>-150.12000000000012</v>
      </c>
      <c r="DP101" s="665">
        <f>SUM(BX101:CA101)</f>
        <v>-124.23499999999957</v>
      </c>
      <c r="DQ101" s="665">
        <f>SUM(CB101:CE101)</f>
        <v>-122.81079999999993</v>
      </c>
      <c r="DR101" s="665">
        <f>SUM(CF101:CI101)</f>
        <v>-112.79999999999984</v>
      </c>
      <c r="DS101" s="665">
        <f>SUM(CJ101:CM101)</f>
        <v>-133.50000000000014</v>
      </c>
      <c r="DT101" s="665">
        <f>SUM(CN101:CQ101)</f>
        <v>-175.60000000000053</v>
      </c>
      <c r="DU101" s="665">
        <f>SUM(CR101:CU101)</f>
        <v>-204.57576408569656</v>
      </c>
      <c r="DV101" s="937">
        <f>DV64*DV102</f>
        <v>-215.96674649399804</v>
      </c>
      <c r="DW101" s="937">
        <f>DW64*DW102</f>
        <v>-226.21110601442584</v>
      </c>
      <c r="DX101" s="937">
        <f>DX64*DX102</f>
        <v>-235.55177194961442</v>
      </c>
      <c r="DY101" s="937">
        <f>DY64*DY102</f>
        <v>-242.21216808555141</v>
      </c>
      <c r="DZ101" s="937">
        <f>DZ64*DZ102</f>
        <v>-245.55808771500114</v>
      </c>
    </row>
    <row r="102" spans="2:130" ht="15">
      <c r="B102" s="1029" t="s">
        <v>238</v>
      </c>
      <c r="C102" s="902"/>
      <c r="D102" s="1030"/>
      <c r="E102" s="1031"/>
      <c r="F102" s="1031"/>
      <c r="G102" s="1032"/>
      <c r="H102" s="1031"/>
      <c r="I102" s="1031"/>
      <c r="J102" s="1031"/>
      <c r="K102" s="1032"/>
      <c r="L102" s="1031"/>
      <c r="M102" s="1031"/>
      <c r="N102" s="1031"/>
      <c r="O102" s="1032"/>
      <c r="P102" s="1031"/>
      <c r="Q102" s="1031"/>
      <c r="R102" s="1031"/>
      <c r="S102" s="1032"/>
      <c r="T102" s="1031"/>
      <c r="U102" s="1031"/>
      <c r="V102" s="1031"/>
      <c r="W102" s="1032"/>
      <c r="X102" s="1031"/>
      <c r="Y102" s="1031"/>
      <c r="Z102" s="1031"/>
      <c r="AA102" s="1032"/>
      <c r="AB102" s="1031"/>
      <c r="AC102" s="1031"/>
      <c r="AD102" s="1031"/>
      <c r="AE102" s="1032"/>
      <c r="AF102" s="1031"/>
      <c r="AG102" s="1031">
        <f t="shared" ref="AG102:BL102" si="399">AG101/AG64</f>
        <v>-1.2212240314430189E-2</v>
      </c>
      <c r="AH102" s="1031">
        <f t="shared" si="399"/>
        <v>-1.5643274853801199E-2</v>
      </c>
      <c r="AI102" s="1032">
        <f t="shared" si="399"/>
        <v>-1.8264840182648453E-2</v>
      </c>
      <c r="AJ102" s="1031">
        <f t="shared" si="399"/>
        <v>-1.6372308882299843E-2</v>
      </c>
      <c r="AK102" s="1031">
        <f t="shared" si="399"/>
        <v>-1.2215724496426179E-2</v>
      </c>
      <c r="AL102" s="1031">
        <f t="shared" si="399"/>
        <v>-1.6822945394373876E-2</v>
      </c>
      <c r="AM102" s="1032">
        <f t="shared" si="399"/>
        <v>-1.539809714571869E-2</v>
      </c>
      <c r="AN102" s="1031">
        <f t="shared" si="399"/>
        <v>-1.6166537482006395E-2</v>
      </c>
      <c r="AO102" s="1031">
        <f t="shared" si="399"/>
        <v>-1.0859829825346978E-2</v>
      </c>
      <c r="AP102" s="1031">
        <f t="shared" si="399"/>
        <v>-1.809954751131233E-2</v>
      </c>
      <c r="AQ102" s="1032">
        <f t="shared" si="399"/>
        <v>-1.2370670265407066E-2</v>
      </c>
      <c r="AR102" s="1031">
        <f t="shared" si="399"/>
        <v>-1.9245039224734625E-2</v>
      </c>
      <c r="AS102" s="1031">
        <f t="shared" si="399"/>
        <v>-7.2881050926757902E-3</v>
      </c>
      <c r="AT102" s="1031">
        <f t="shared" si="399"/>
        <v>-2.0648967551622373E-2</v>
      </c>
      <c r="AU102" s="1032">
        <f t="shared" si="399"/>
        <v>3.31679389312977E-3</v>
      </c>
      <c r="AV102" s="1031">
        <f t="shared" si="399"/>
        <v>-1.2725069252077476E-2</v>
      </c>
      <c r="AW102" s="1031">
        <f t="shared" si="399"/>
        <v>-6.8452126294172829E-3</v>
      </c>
      <c r="AX102" s="1031">
        <f t="shared" si="399"/>
        <v>-1.3493111907907187E-2</v>
      </c>
      <c r="AY102" s="1032">
        <f t="shared" si="399"/>
        <v>-2.0992482871487583E-2</v>
      </c>
      <c r="AZ102" s="1031">
        <f t="shared" si="399"/>
        <v>7.8259508530184675E-5</v>
      </c>
      <c r="BA102" s="1031">
        <f t="shared" si="399"/>
        <v>-1.4073151066481033E-2</v>
      </c>
      <c r="BB102" s="1031">
        <f t="shared" si="399"/>
        <v>-1.4844701583434969E-2</v>
      </c>
      <c r="BC102" s="1032">
        <f t="shared" si="399"/>
        <v>-1.1654162721246968E-2</v>
      </c>
      <c r="BD102" s="1031">
        <f t="shared" si="399"/>
        <v>-1.3609980652478482E-2</v>
      </c>
      <c r="BE102" s="1031">
        <f t="shared" si="399"/>
        <v>-9.6927337465383696E-3</v>
      </c>
      <c r="BF102" s="1031">
        <f t="shared" si="399"/>
        <v>-2.5377803933479944E-2</v>
      </c>
      <c r="BG102" s="1032">
        <f t="shared" si="399"/>
        <v>-5.6897477187332493E-3</v>
      </c>
      <c r="BH102" s="1031">
        <f t="shared" si="399"/>
        <v>3.0506406345332908E-3</v>
      </c>
      <c r="BI102" s="1031">
        <f t="shared" si="399"/>
        <v>-4.0136617802629504E-2</v>
      </c>
      <c r="BJ102" s="1031">
        <f t="shared" si="399"/>
        <v>-2.9285853278848077E-2</v>
      </c>
      <c r="BK102" s="1032">
        <f t="shared" si="399"/>
        <v>-2.1864307769339959E-2</v>
      </c>
      <c r="BL102" s="1031">
        <f t="shared" si="399"/>
        <v>-2.0904569474665853E-2</v>
      </c>
      <c r="BM102" s="1031">
        <f t="shared" ref="BM102:CP102" si="400">BM101/BM64</f>
        <v>-1.6037138636843175E-2</v>
      </c>
      <c r="BN102" s="1031">
        <f t="shared" si="400"/>
        <v>-2.409809341555022E-2</v>
      </c>
      <c r="BO102" s="1032">
        <f t="shared" si="400"/>
        <v>-1.7412286422329375E-2</v>
      </c>
      <c r="BP102" s="1031">
        <f t="shared" si="400"/>
        <v>-1.7568192325473766E-2</v>
      </c>
      <c r="BQ102" s="1031">
        <f t="shared" si="400"/>
        <v>-1.5779634924125836E-2</v>
      </c>
      <c r="BR102" s="1031">
        <f t="shared" si="400"/>
        <v>-1.2110726643598642E-2</v>
      </c>
      <c r="BS102" s="1032">
        <f t="shared" si="400"/>
        <v>-1.5109657777527201E-2</v>
      </c>
      <c r="BT102" s="1031">
        <f t="shared" si="400"/>
        <v>-1.8875816993464085E-2</v>
      </c>
      <c r="BU102" s="1031">
        <f t="shared" si="400"/>
        <v>-1.1419952596423151E-2</v>
      </c>
      <c r="BV102" s="1031">
        <f t="shared" si="400"/>
        <v>-3.1913638508730496E-2</v>
      </c>
      <c r="BW102" s="1032">
        <f t="shared" si="400"/>
        <v>-2.2523413413995802E-2</v>
      </c>
      <c r="BX102" s="1031">
        <f t="shared" si="400"/>
        <v>-2.0766031008589484E-2</v>
      </c>
      <c r="BY102" s="1031">
        <f t="shared" si="400"/>
        <v>-1.351708115528796E-2</v>
      </c>
      <c r="BZ102" s="1031">
        <f t="shared" si="400"/>
        <v>-1.4062673015169894E-2</v>
      </c>
      <c r="CA102" s="1032">
        <f t="shared" si="400"/>
        <v>-1.8454969767688473E-2</v>
      </c>
      <c r="CB102" s="1031">
        <f t="shared" si="400"/>
        <v>-1.9380547958351334E-2</v>
      </c>
      <c r="CC102" s="1031">
        <f t="shared" si="400"/>
        <v>-1.1024032771961789E-2</v>
      </c>
      <c r="CD102" s="1031">
        <f t="shared" si="400"/>
        <v>-1.087544904286206E-2</v>
      </c>
      <c r="CE102" s="1032">
        <f t="shared" si="400"/>
        <v>-1.8123399769064644E-2</v>
      </c>
      <c r="CF102" s="1031">
        <f t="shared" si="400"/>
        <v>-1.5925813930047356E-2</v>
      </c>
      <c r="CG102" s="1031">
        <f t="shared" si="400"/>
        <v>-1.3091195432846073E-2</v>
      </c>
      <c r="CH102" s="1031">
        <f t="shared" si="400"/>
        <v>-1.2314225053078526E-2</v>
      </c>
      <c r="CI102" s="1032">
        <f t="shared" si="400"/>
        <v>-1.4789694314916866E-2</v>
      </c>
      <c r="CJ102" s="1031">
        <f t="shared" si="400"/>
        <v>-1.397337565018073E-2</v>
      </c>
      <c r="CK102" s="1031">
        <f t="shared" si="400"/>
        <v>-1.3137557959814607E-2</v>
      </c>
      <c r="CL102" s="1031">
        <f t="shared" si="400"/>
        <v>-1.2374672567970403E-2</v>
      </c>
      <c r="CM102" s="1032">
        <f t="shared" si="400"/>
        <v>-1.9389110225763562E-2</v>
      </c>
      <c r="CN102" s="1031">
        <f t="shared" si="400"/>
        <v>-2.0523473203157488E-2</v>
      </c>
      <c r="CO102" s="1031">
        <f t="shared" si="400"/>
        <v>-1.6738502740929907E-2</v>
      </c>
      <c r="CP102" s="1031">
        <f t="shared" si="400"/>
        <v>-1.5437463786110521E-2</v>
      </c>
      <c r="CQ102" s="1032">
        <f t="shared" ref="CQ102" si="401">CQ101/CQ64</f>
        <v>-1.8906588308073E-2</v>
      </c>
      <c r="CR102" s="1034">
        <f>CQ102</f>
        <v>-1.8906588308073E-2</v>
      </c>
      <c r="CS102" s="1034">
        <f>CR102</f>
        <v>-1.8906588308073E-2</v>
      </c>
      <c r="CT102" s="1034">
        <f>CS102</f>
        <v>-1.8906588308073E-2</v>
      </c>
      <c r="CU102" s="1033">
        <f>CT102</f>
        <v>-1.8906588308073E-2</v>
      </c>
      <c r="CV102" s="406"/>
      <c r="CW102" s="1031"/>
      <c r="CX102" s="1031"/>
      <c r="CY102" s="1031"/>
      <c r="CZ102" s="1031"/>
      <c r="DA102" s="1031"/>
      <c r="DB102" s="1031"/>
      <c r="DC102" s="1031"/>
      <c r="DD102" s="1031"/>
      <c r="DE102" s="1031">
        <f t="shared" ref="DE102:DU102" si="402">DE101/DE64</f>
        <v>-1.1790121196587502E-2</v>
      </c>
      <c r="DF102" s="1031">
        <f t="shared" si="402"/>
        <v>-1.5183109605108809E-2</v>
      </c>
      <c r="DG102" s="1031">
        <f t="shared" si="402"/>
        <v>-1.4325021983944617E-2</v>
      </c>
      <c r="DH102" s="1031">
        <f t="shared" si="402"/>
        <v>-1.098700451814239E-2</v>
      </c>
      <c r="DI102" s="1031">
        <f t="shared" si="402"/>
        <v>-1.357060816213777E-2</v>
      </c>
      <c r="DJ102" s="1031">
        <f t="shared" si="402"/>
        <v>-1.0246593852043752E-2</v>
      </c>
      <c r="DK102" s="1031">
        <f t="shared" si="402"/>
        <v>-1.4023828340204002E-2</v>
      </c>
      <c r="DL102" s="1031">
        <f t="shared" si="402"/>
        <v>-2.2861620786200531E-2</v>
      </c>
      <c r="DM102" s="1031">
        <f t="shared" si="402"/>
        <v>-1.9530144353240807E-2</v>
      </c>
      <c r="DN102" s="1031">
        <f t="shared" si="402"/>
        <v>-1.5123617299394199E-2</v>
      </c>
      <c r="DO102" s="1031">
        <f t="shared" si="402"/>
        <v>-2.0898763782158387E-2</v>
      </c>
      <c r="DP102" s="1031">
        <f t="shared" si="402"/>
        <v>-1.6705887098943006E-2</v>
      </c>
      <c r="DQ102" s="1031">
        <f t="shared" si="402"/>
        <v>-1.4787395696620144E-2</v>
      </c>
      <c r="DR102" s="1031">
        <f t="shared" si="402"/>
        <v>-1.4059228238109463E-2</v>
      </c>
      <c r="DS102" s="1031">
        <f t="shared" si="402"/>
        <v>-1.4717230735310345E-2</v>
      </c>
      <c r="DT102" s="1031">
        <f t="shared" si="402"/>
        <v>-1.7919647321747528E-2</v>
      </c>
      <c r="DU102" s="1031">
        <f t="shared" si="402"/>
        <v>-1.8906588308073E-2</v>
      </c>
      <c r="DV102" s="1034">
        <f>DU102</f>
        <v>-1.8906588308073E-2</v>
      </c>
      <c r="DW102" s="1034">
        <f>DV102</f>
        <v>-1.8906588308073E-2</v>
      </c>
      <c r="DX102" s="1034">
        <f>DW102</f>
        <v>-1.8906588308073E-2</v>
      </c>
      <c r="DY102" s="1034">
        <f>DX102</f>
        <v>-1.8906588308073E-2</v>
      </c>
      <c r="DZ102" s="1034">
        <f>DY102</f>
        <v>-1.8906588308073E-2</v>
      </c>
    </row>
    <row r="103" spans="2:130" ht="15">
      <c r="B103" s="1070" t="s">
        <v>248</v>
      </c>
      <c r="C103" s="1064"/>
      <c r="D103" s="1071"/>
      <c r="E103" s="1072"/>
      <c r="F103" s="1072"/>
      <c r="G103" s="1073"/>
      <c r="H103" s="1072"/>
      <c r="I103" s="1072"/>
      <c r="J103" s="1072"/>
      <c r="K103" s="1073"/>
      <c r="L103" s="1072"/>
      <c r="M103" s="1072"/>
      <c r="N103" s="1072"/>
      <c r="O103" s="1073"/>
      <c r="P103" s="1072"/>
      <c r="Q103" s="1072"/>
      <c r="R103" s="1072"/>
      <c r="S103" s="1073"/>
      <c r="T103" s="1072"/>
      <c r="U103" s="1072"/>
      <c r="V103" s="1072"/>
      <c r="W103" s="1073"/>
      <c r="X103" s="1072"/>
      <c r="Y103" s="1072"/>
      <c r="Z103" s="1072"/>
      <c r="AA103" s="1073"/>
      <c r="AB103" s="1072"/>
      <c r="AC103" s="1072"/>
      <c r="AD103" s="1072"/>
      <c r="AE103" s="1073"/>
      <c r="AF103" s="1072"/>
      <c r="AG103" s="1171">
        <f>Financials!AG18+Financials!AG22</f>
        <v>80.399999999999935</v>
      </c>
      <c r="AH103" s="1171">
        <f>Financials!AH18+Financials!AH22</f>
        <v>59.399999999999977</v>
      </c>
      <c r="AI103" s="1172">
        <f>Financials!AI18+Financials!AI22</f>
        <v>72.599999999999966</v>
      </c>
      <c r="AJ103" s="1171">
        <f>Financials!AJ18+Financials!AJ22</f>
        <v>74.300000000000011</v>
      </c>
      <c r="AK103" s="1171">
        <f>Financials!AK18+Financials!AK22</f>
        <v>74.800000000000054</v>
      </c>
      <c r="AL103" s="1171">
        <f>Financials!AL18+Financials!AL22</f>
        <v>60.100000000000065</v>
      </c>
      <c r="AM103" s="1172">
        <f>Financials!AM18+Financials!AM22</f>
        <v>80.799999999999912</v>
      </c>
      <c r="AN103" s="1171">
        <f>Financials!AN18+Financials!AN22</f>
        <v>84.100000000000023</v>
      </c>
      <c r="AO103" s="1171">
        <f>Financials!AO18+Financials!AO22</f>
        <v>89.800000000000082</v>
      </c>
      <c r="AP103" s="1171">
        <f>Financials!AP18+Financials!AP22</f>
        <v>74.399999999999906</v>
      </c>
      <c r="AQ103" s="1172">
        <f>Financials!AQ18+Financials!AQ22</f>
        <v>90.000000000000043</v>
      </c>
      <c r="AR103" s="1171">
        <f>Financials!AR18+Financials!AR22</f>
        <v>88.700000000000045</v>
      </c>
      <c r="AS103" s="1171">
        <f>Financials!AS18+Financials!AS22</f>
        <v>112.30000000000013</v>
      </c>
      <c r="AT103" s="1171">
        <f>Financials!AT18+Financials!AT22</f>
        <v>96.200000000000045</v>
      </c>
      <c r="AU103" s="1172">
        <f>Financials!AU18+Financials!AU22</f>
        <v>107.72400000000002</v>
      </c>
      <c r="AV103" s="1171">
        <f>Financials!AV18+Financials!AV22</f>
        <v>104.3000000000001</v>
      </c>
      <c r="AW103" s="1171">
        <f>Financials!AW18+Financials!AW22</f>
        <v>116.00000000000003</v>
      </c>
      <c r="AX103" s="1171">
        <f>Financials!AX18+Financials!AX22</f>
        <v>74.999999999999957</v>
      </c>
      <c r="AY103" s="1172">
        <f>Financials!AY18+Financials!AY22</f>
        <v>98.873333333333377</v>
      </c>
      <c r="AZ103" s="1171">
        <f>Financials!AZ18+Financials!AZ22</f>
        <v>113.09999999999987</v>
      </c>
      <c r="BA103" s="1171">
        <f>Financials!BA18+Financials!BA22</f>
        <v>122.39999999999992</v>
      </c>
      <c r="BB103" s="1171">
        <f>Financials!BB18+Financials!BB22</f>
        <v>108.19999999999983</v>
      </c>
      <c r="BC103" s="1172">
        <f>Financials!BC18+Financials!BC22</f>
        <v>137.80000000000004</v>
      </c>
      <c r="BD103" s="1171">
        <f>Financials!BD18+Financials!BD22</f>
        <v>135.80000000000001</v>
      </c>
      <c r="BE103" s="1171">
        <f>Financials!BE18+Financials!BE22</f>
        <v>137.99999999999991</v>
      </c>
      <c r="BF103" s="1171">
        <f>Financials!BF18+Financials!BF22</f>
        <v>82.779970000000262</v>
      </c>
      <c r="BG103" s="1172">
        <f>Financials!BG18+Financials!BG22</f>
        <v>12.599999999999977</v>
      </c>
      <c r="BH103" s="1171">
        <f>Financials!BH18+Financials!BH22</f>
        <v>5.7000000000000286</v>
      </c>
      <c r="BI103" s="1171">
        <f>Financials!BI18+Financials!BI22</f>
        <v>-1.5731692307691505</v>
      </c>
      <c r="BJ103" s="1171">
        <f>Financials!BJ18+Financials!BJ22</f>
        <v>33.99999999999995</v>
      </c>
      <c r="BK103" s="1172">
        <f>Financials!BK18+Financials!BK22</f>
        <v>77.599999999999923</v>
      </c>
      <c r="BL103" s="1171">
        <f>Financials!BL18+Financials!BL22</f>
        <v>116.49999999999999</v>
      </c>
      <c r="BM103" s="1171">
        <f>Financials!BM18+Financials!BM22</f>
        <v>147.30000000000007</v>
      </c>
      <c r="BN103" s="1171">
        <f>Financials!BN18+Financials!BN22</f>
        <v>133.5000000000002</v>
      </c>
      <c r="BO103" s="1172">
        <f>Financials!BO18+Financials!BO22</f>
        <v>167.20000000000013</v>
      </c>
      <c r="BP103" s="1171">
        <f>Financials!BP18+Financials!BP22</f>
        <v>187.70000000000019</v>
      </c>
      <c r="BQ103" s="1171">
        <f>Financials!BQ18+Financials!BQ22</f>
        <v>207.29999999999993</v>
      </c>
      <c r="BR103" s="1171">
        <f>Financials!BR18+Financials!BR22</f>
        <v>210.29999999999995</v>
      </c>
      <c r="BS103" s="1172">
        <f>Financials!BS18+Financials!BS22</f>
        <v>222.8</v>
      </c>
      <c r="BT103" s="1171">
        <f>Financials!BT18+Financials!BT22</f>
        <v>234.89999999999995</v>
      </c>
      <c r="BU103" s="1171">
        <f>Financials!BU18+Financials!BU22</f>
        <v>243.90000000000006</v>
      </c>
      <c r="BV103" s="1171">
        <f>Financials!BV18+Financials!BV22</f>
        <v>174.10000000000005</v>
      </c>
      <c r="BW103" s="1172">
        <f>Financials!BW18+Financials!BW22</f>
        <v>192.47999999999982</v>
      </c>
      <c r="BX103" s="1171">
        <f>Financials!BX18+Financials!BX22</f>
        <v>219.86</v>
      </c>
      <c r="BY103" s="1171">
        <f>Financials!BY18+Financials!BY22</f>
        <v>254.50000000000014</v>
      </c>
      <c r="BZ103" s="1171">
        <f>Financials!BZ18+Financials!BZ22</f>
        <v>236.00000000000014</v>
      </c>
      <c r="CA103" s="1172">
        <f>Financials!CA18+Financials!CA22</f>
        <v>243.60500000000016</v>
      </c>
      <c r="CB103" s="1171">
        <f>Financials!CB18+Financials!CB22</f>
        <v>271.80899999999997</v>
      </c>
      <c r="CC103" s="1171">
        <f>Financials!CC18+Financials!CC22</f>
        <v>306.58019999999993</v>
      </c>
      <c r="CD103" s="1171">
        <f>Financials!CD18+Financials!CD22</f>
        <v>268.5</v>
      </c>
      <c r="CE103" s="1172">
        <f>Financials!CE18+Financials!CE22</f>
        <v>257.60000000000014</v>
      </c>
      <c r="CF103" s="1171">
        <f>Financials!CF18+Financials!CF22</f>
        <v>269.40000000000003</v>
      </c>
      <c r="CG103" s="1171">
        <f>Financials!CG18+Financials!CG22</f>
        <v>273.50000000000006</v>
      </c>
      <c r="CH103" s="1171">
        <f>Financials!CH18+Financials!CH22</f>
        <v>259.00000000000006</v>
      </c>
      <c r="CI103" s="1172">
        <f>CI79+CI90+CI101</f>
        <v>280.20000000000005</v>
      </c>
      <c r="CJ103" s="1171">
        <f>Financials!CJ18+Financials!CJ22</f>
        <v>285.5</v>
      </c>
      <c r="CK103" s="1171">
        <f>Financials!CK18+Financials!CK22</f>
        <v>296.99999999999983</v>
      </c>
      <c r="CL103" s="1171">
        <f>Financials!CL18+Financials!CL22</f>
        <v>277.69999999999993</v>
      </c>
      <c r="CM103" s="1172">
        <f>Financials!CM18+Financials!CM22</f>
        <v>294.90000000000009</v>
      </c>
      <c r="CN103" s="1171">
        <f>Financials!CN18+Financials!CN22</f>
        <v>302.39999999999992</v>
      </c>
      <c r="CO103" s="1171">
        <f>Financials!CO18+Financials!CO22</f>
        <v>313.89999999999981</v>
      </c>
      <c r="CP103" s="1171">
        <f>Financials!CP18+Financials!CP22</f>
        <v>312.69999999999976</v>
      </c>
      <c r="CQ103" s="1172">
        <f>Financials!CQ18+Financials!CQ22</f>
        <v>340.9</v>
      </c>
      <c r="CR103" s="1072">
        <f>CR79+CR90+CR101</f>
        <v>346.70300578130656</v>
      </c>
      <c r="CS103" s="1072">
        <f>CS79+CS90+CS101</f>
        <v>360.84081315129453</v>
      </c>
      <c r="CT103" s="1072">
        <f>CT79+CT90+CT101</f>
        <v>335.96237147513602</v>
      </c>
      <c r="CU103" s="1073">
        <f>CU79+CU90+CU101</f>
        <v>370.44948276085705</v>
      </c>
      <c r="CV103" s="406"/>
      <c r="CW103" s="1074"/>
      <c r="CX103" s="1072"/>
      <c r="CY103" s="1072"/>
      <c r="CZ103" s="1072"/>
      <c r="DA103" s="1072"/>
      <c r="DB103" s="1072"/>
      <c r="DC103" s="1072"/>
      <c r="DD103" s="1072"/>
      <c r="DE103" s="1072">
        <f t="shared" ref="DE103:DZ103" si="403">DE79+DE90+DE101</f>
        <v>212.39999999999986</v>
      </c>
      <c r="DF103" s="1072">
        <f t="shared" si="403"/>
        <v>290.00000000000006</v>
      </c>
      <c r="DG103" s="1072">
        <f t="shared" si="403"/>
        <v>338.3</v>
      </c>
      <c r="DH103" s="1072">
        <f t="shared" si="403"/>
        <v>404.92400000000021</v>
      </c>
      <c r="DI103" s="1072">
        <f t="shared" si="403"/>
        <v>394.17333333333346</v>
      </c>
      <c r="DJ103" s="1072">
        <f t="shared" si="403"/>
        <v>481.49999999999966</v>
      </c>
      <c r="DK103" s="1072">
        <f t="shared" si="403"/>
        <v>369.17997000000014</v>
      </c>
      <c r="DL103" s="1072">
        <f t="shared" si="403"/>
        <v>115.72683076923076</v>
      </c>
      <c r="DM103" s="1072">
        <f t="shared" si="403"/>
        <v>564.50000000000034</v>
      </c>
      <c r="DN103" s="1072">
        <f t="shared" si="403"/>
        <v>828.10000000000014</v>
      </c>
      <c r="DO103" s="1072">
        <f t="shared" si="403"/>
        <v>845.37999999999988</v>
      </c>
      <c r="DP103" s="1072">
        <f t="shared" si="403"/>
        <v>953.96500000000049</v>
      </c>
      <c r="DQ103" s="1072">
        <f t="shared" si="403"/>
        <v>1104.4892</v>
      </c>
      <c r="DR103" s="1072">
        <f t="shared" si="403"/>
        <v>1082.0999999999999</v>
      </c>
      <c r="DS103" s="1072">
        <f t="shared" si="403"/>
        <v>1155.0999999999999</v>
      </c>
      <c r="DT103" s="1072">
        <f>DT79+DT90+DT101</f>
        <v>1269.8999999999994</v>
      </c>
      <c r="DU103" s="1072">
        <f t="shared" si="403"/>
        <v>1413.9556731685941</v>
      </c>
      <c r="DV103" s="1072">
        <f t="shared" si="403"/>
        <v>1456.2574492875724</v>
      </c>
      <c r="DW103" s="1072">
        <f t="shared" si="403"/>
        <v>1487.1547602893695</v>
      </c>
      <c r="DX103" s="1072">
        <f t="shared" si="403"/>
        <v>1508.7854019567392</v>
      </c>
      <c r="DY103" s="1072">
        <f t="shared" si="403"/>
        <v>1510.5102647023532</v>
      </c>
      <c r="DZ103" s="1072">
        <f t="shared" si="403"/>
        <v>1489.8335940758377</v>
      </c>
    </row>
    <row r="104" spans="2:130" ht="15">
      <c r="B104" s="989" t="s">
        <v>240</v>
      </c>
      <c r="C104" s="898"/>
      <c r="D104" s="990"/>
      <c r="E104" s="991"/>
      <c r="F104" s="991"/>
      <c r="G104" s="992"/>
      <c r="H104" s="991"/>
      <c r="I104" s="991"/>
      <c r="J104" s="991"/>
      <c r="K104" s="992"/>
      <c r="L104" s="991"/>
      <c r="M104" s="991"/>
      <c r="N104" s="991"/>
      <c r="O104" s="992"/>
      <c r="P104" s="991"/>
      <c r="Q104" s="991"/>
      <c r="R104" s="991"/>
      <c r="S104" s="992"/>
      <c r="T104" s="991"/>
      <c r="U104" s="991"/>
      <c r="V104" s="991"/>
      <c r="W104" s="992"/>
      <c r="X104" s="991"/>
      <c r="Y104" s="991"/>
      <c r="Z104" s="991"/>
      <c r="AA104" s="992"/>
      <c r="AB104" s="991"/>
      <c r="AC104" s="991"/>
      <c r="AD104" s="991"/>
      <c r="AE104" s="992"/>
      <c r="AF104" s="991"/>
      <c r="AG104" s="991">
        <f t="shared" ref="AG104:BL104" si="404">AG103/AG64</f>
        <v>0.11285794497473321</v>
      </c>
      <c r="AH104" s="991">
        <f t="shared" si="404"/>
        <v>8.6842105263157859E-2</v>
      </c>
      <c r="AI104" s="992">
        <f t="shared" si="404"/>
        <v>0.10359589041095885</v>
      </c>
      <c r="AJ104" s="991">
        <f t="shared" si="404"/>
        <v>9.5784452752352728E-2</v>
      </c>
      <c r="AK104" s="991">
        <f t="shared" si="404"/>
        <v>9.7205977907732347E-2</v>
      </c>
      <c r="AL104" s="991">
        <f t="shared" si="404"/>
        <v>8.287369001654725E-2</v>
      </c>
      <c r="AM104" s="992">
        <f t="shared" si="404"/>
        <v>0.10115172759138698</v>
      </c>
      <c r="AN104" s="991">
        <f t="shared" si="404"/>
        <v>9.3123685084708252E-2</v>
      </c>
      <c r="AO104" s="991">
        <f t="shared" si="404"/>
        <v>0.10053739364084201</v>
      </c>
      <c r="AP104" s="991">
        <f t="shared" si="404"/>
        <v>8.8592522029054419E-2</v>
      </c>
      <c r="AQ104" s="992">
        <f t="shared" si="404"/>
        <v>0.10121457489878546</v>
      </c>
      <c r="AR104" s="991">
        <f t="shared" si="404"/>
        <v>8.186432856483622E-2</v>
      </c>
      <c r="AS104" s="991">
        <f t="shared" si="404"/>
        <v>0.10104372863055616</v>
      </c>
      <c r="AT104" s="991">
        <f t="shared" si="404"/>
        <v>9.1540584261109587E-2</v>
      </c>
      <c r="AU104" s="992">
        <f t="shared" si="404"/>
        <v>0.10279007633587788</v>
      </c>
      <c r="AV104" s="991">
        <f t="shared" si="404"/>
        <v>9.0287396121883731E-2</v>
      </c>
      <c r="AW104" s="991">
        <f t="shared" si="404"/>
        <v>9.9255583126550889E-2</v>
      </c>
      <c r="AX104" s="991">
        <f t="shared" si="404"/>
        <v>7.0768069447065443E-2</v>
      </c>
      <c r="AY104" s="992">
        <f t="shared" si="404"/>
        <v>8.2277884108623939E-2</v>
      </c>
      <c r="AZ104" s="991">
        <f t="shared" si="404"/>
        <v>8.8511504147753856E-2</v>
      </c>
      <c r="BA104" s="991">
        <f t="shared" si="404"/>
        <v>8.9716338048816194E-2</v>
      </c>
      <c r="BB104" s="991">
        <f t="shared" si="404"/>
        <v>8.236906211936651E-2</v>
      </c>
      <c r="BC104" s="992">
        <f t="shared" si="404"/>
        <v>0.10037147643673978</v>
      </c>
      <c r="BD104" s="991">
        <f t="shared" si="404"/>
        <v>9.0599773166989139E-2</v>
      </c>
      <c r="BE104" s="991">
        <f t="shared" si="404"/>
        <v>9.0993010681788153E-2</v>
      </c>
      <c r="BF104" s="991">
        <f t="shared" si="404"/>
        <v>6.2859723593287467E-2</v>
      </c>
      <c r="BG104" s="992">
        <f t="shared" si="404"/>
        <v>1.3526570048309153E-2</v>
      </c>
      <c r="BH104" s="991">
        <f t="shared" si="404"/>
        <v>6.955460646735849E-3</v>
      </c>
      <c r="BI104" s="991">
        <f t="shared" si="404"/>
        <v>-1.717058754386761E-3</v>
      </c>
      <c r="BJ104" s="991">
        <f t="shared" si="404"/>
        <v>3.3080365829927953E-2</v>
      </c>
      <c r="BK104" s="992">
        <f t="shared" si="404"/>
        <v>6.4758407744304372E-2</v>
      </c>
      <c r="BL104" s="991">
        <f t="shared" si="404"/>
        <v>9.0534659620764679E-2</v>
      </c>
      <c r="BM104" s="991">
        <f t="shared" ref="BM104:CR104" si="405">BM103/BM64</f>
        <v>0.10360835619328977</v>
      </c>
      <c r="BN104" s="991">
        <f t="shared" si="405"/>
        <v>9.4620455028705211E-2</v>
      </c>
      <c r="BO104" s="992">
        <f t="shared" si="405"/>
        <v>0.10903873744619808</v>
      </c>
      <c r="BP104" s="991">
        <f t="shared" si="405"/>
        <v>0.10847202958853455</v>
      </c>
      <c r="BQ104" s="991">
        <f t="shared" si="405"/>
        <v>0.11397624807565422</v>
      </c>
      <c r="BR104" s="991">
        <f t="shared" si="405"/>
        <v>0.11736800982252481</v>
      </c>
      <c r="BS104" s="992">
        <f t="shared" si="405"/>
        <v>0.12561312510571124</v>
      </c>
      <c r="BT104" s="991">
        <f t="shared" si="405"/>
        <v>0.12282352941176468</v>
      </c>
      <c r="BU104" s="991">
        <f t="shared" si="405"/>
        <v>0.13138332255979318</v>
      </c>
      <c r="BV104" s="991">
        <f t="shared" si="405"/>
        <v>0.10270174610665411</v>
      </c>
      <c r="BW104" s="992">
        <f t="shared" si="405"/>
        <v>0.1119655633761851</v>
      </c>
      <c r="BX104" s="991">
        <f t="shared" si="405"/>
        <v>0.11877262168440386</v>
      </c>
      <c r="BY104" s="991">
        <f t="shared" si="405"/>
        <v>0.13437879507893771</v>
      </c>
      <c r="BZ104" s="991">
        <f t="shared" si="405"/>
        <v>0.13066105636142183</v>
      </c>
      <c r="CA104" s="992">
        <f t="shared" si="405"/>
        <v>0.12920600403097496</v>
      </c>
      <c r="CB104" s="991">
        <f t="shared" si="405"/>
        <v>0.13042032532028211</v>
      </c>
      <c r="CC104" s="991">
        <f t="shared" si="405"/>
        <v>0.1395449248975876</v>
      </c>
      <c r="CD104" s="991">
        <f t="shared" si="405"/>
        <v>0.13212932434427438</v>
      </c>
      <c r="CE104" s="992">
        <f t="shared" si="405"/>
        <v>0.12932376123299369</v>
      </c>
      <c r="CF104" s="991">
        <f t="shared" si="405"/>
        <v>0.13577260356818871</v>
      </c>
      <c r="CG104" s="991">
        <f t="shared" si="405"/>
        <v>0.13460308086027858</v>
      </c>
      <c r="CH104" s="991">
        <f t="shared" si="405"/>
        <v>0.13747346072186839</v>
      </c>
      <c r="CI104" s="992">
        <f t="shared" si="405"/>
        <v>0.13197682633884417</v>
      </c>
      <c r="CJ104" s="991">
        <f t="shared" si="405"/>
        <v>0.12584854095036588</v>
      </c>
      <c r="CK104" s="991">
        <f t="shared" si="405"/>
        <v>0.12751159196290565</v>
      </c>
      <c r="CL104" s="991">
        <f t="shared" si="405"/>
        <v>0.12541775810676539</v>
      </c>
      <c r="CM104" s="992">
        <f t="shared" si="405"/>
        <v>0.1305444887118194</v>
      </c>
      <c r="CN104" s="991">
        <f t="shared" si="405"/>
        <v>0.12563356875778975</v>
      </c>
      <c r="CO104" s="991">
        <f t="shared" si="405"/>
        <v>0.1313554002594467</v>
      </c>
      <c r="CP104" s="991">
        <f t="shared" si="405"/>
        <v>0.12941809452859854</v>
      </c>
      <c r="CQ104" s="992">
        <f t="shared" ref="CQ104" si="406">CQ103/CQ64</f>
        <v>0.13180482523971543</v>
      </c>
      <c r="CR104" s="991">
        <f t="shared" si="405"/>
        <v>0.13000047781914736</v>
      </c>
      <c r="CS104" s="991">
        <f t="shared" ref="CS104:CU104" si="407">CS103/CS64</f>
        <v>0.1322712002823325</v>
      </c>
      <c r="CT104" s="991">
        <f t="shared" si="407"/>
        <v>0.12803248036642706</v>
      </c>
      <c r="CU104" s="992">
        <f t="shared" si="407"/>
        <v>0.13224064526033311</v>
      </c>
      <c r="CV104" s="416"/>
      <c r="CW104" s="991"/>
      <c r="CX104" s="991"/>
      <c r="CY104" s="991"/>
      <c r="CZ104" s="991"/>
      <c r="DA104" s="991"/>
      <c r="DB104" s="991"/>
      <c r="DC104" s="991"/>
      <c r="DD104" s="991"/>
      <c r="DE104" s="991">
        <f t="shared" ref="DE104:DZ104" si="408">DE103/DE64</f>
        <v>7.7770861557614104E-2</v>
      </c>
      <c r="DF104" s="991">
        <f t="shared" si="408"/>
        <v>9.4487162778574232E-2</v>
      </c>
      <c r="DG104" s="991">
        <f t="shared" si="408"/>
        <v>9.5963464102345908E-2</v>
      </c>
      <c r="DH104" s="991">
        <f t="shared" si="408"/>
        <v>9.4304345800922326E-2</v>
      </c>
      <c r="DI104" s="991">
        <f t="shared" si="408"/>
        <v>8.5962693185618139E-2</v>
      </c>
      <c r="DJ104" s="991">
        <f t="shared" si="408"/>
        <v>9.036144578313246E-2</v>
      </c>
      <c r="DK104" s="991">
        <f t="shared" si="408"/>
        <v>7.013430536294385E-2</v>
      </c>
      <c r="DL104" s="991">
        <f t="shared" si="408"/>
        <v>2.9210669586862227E-2</v>
      </c>
      <c r="DM104" s="991">
        <f t="shared" si="408"/>
        <v>9.9862015284460856E-2</v>
      </c>
      <c r="DN104" s="991">
        <f t="shared" si="408"/>
        <v>0.11639282049840471</v>
      </c>
      <c r="DO104" s="991">
        <f t="shared" si="408"/>
        <v>0.11768849537810445</v>
      </c>
      <c r="DP104" s="991">
        <f t="shared" si="408"/>
        <v>0.12827972460533046</v>
      </c>
      <c r="DQ104" s="991">
        <f t="shared" si="408"/>
        <v>0.13298927165235822</v>
      </c>
      <c r="DR104" s="991">
        <f t="shared" si="408"/>
        <v>0.13487137301824709</v>
      </c>
      <c r="DS104" s="991">
        <f t="shared" si="408"/>
        <v>0.12733987432477123</v>
      </c>
      <c r="DT104" s="991">
        <f t="shared" si="408"/>
        <v>0.12959088914514297</v>
      </c>
      <c r="DU104" s="991">
        <f t="shared" si="408"/>
        <v>0.13067568349525691</v>
      </c>
      <c r="DV104" s="991">
        <f t="shared" si="408"/>
        <v>0.12748657148015977</v>
      </c>
      <c r="DW104" s="991">
        <f t="shared" si="408"/>
        <v>0.12429550121818081</v>
      </c>
      <c r="DX104" s="991">
        <f t="shared" si="408"/>
        <v>0.12110282255116442</v>
      </c>
      <c r="DY104" s="991">
        <f t="shared" si="408"/>
        <v>0.11790735343964479</v>
      </c>
      <c r="DZ104" s="991">
        <f t="shared" si="408"/>
        <v>0.1147087871258408</v>
      </c>
    </row>
    <row r="105" spans="2:130" ht="15">
      <c r="B105" s="1035"/>
      <c r="C105" s="901"/>
      <c r="D105" s="1039"/>
      <c r="E105" s="1040"/>
      <c r="F105" s="1040"/>
      <c r="G105" s="1041"/>
      <c r="H105" s="1040"/>
      <c r="I105" s="1040"/>
      <c r="J105" s="1040"/>
      <c r="K105" s="1041"/>
      <c r="L105" s="1040"/>
      <c r="M105" s="1040"/>
      <c r="N105" s="1040"/>
      <c r="O105" s="1041"/>
      <c r="P105" s="1040"/>
      <c r="Q105" s="1040"/>
      <c r="R105" s="1040"/>
      <c r="S105" s="1041"/>
      <c r="T105" s="1040"/>
      <c r="U105" s="1040"/>
      <c r="V105" s="1040"/>
      <c r="W105" s="1041"/>
      <c r="X105" s="1040"/>
      <c r="Y105" s="1040"/>
      <c r="Z105" s="1040"/>
      <c r="AA105" s="1041"/>
      <c r="AB105" s="1040"/>
      <c r="AC105" s="1040"/>
      <c r="AD105" s="1040"/>
      <c r="AE105" s="1041"/>
      <c r="AF105" s="1040"/>
      <c r="AG105" s="1040"/>
      <c r="AH105" s="1040"/>
      <c r="AI105" s="1041"/>
      <c r="AJ105" s="1040"/>
      <c r="AK105" s="1040"/>
      <c r="AL105" s="1040"/>
      <c r="AM105" s="1041"/>
      <c r="AN105" s="1040"/>
      <c r="AO105" s="1040"/>
      <c r="AP105" s="1040"/>
      <c r="AQ105" s="1041"/>
      <c r="AR105" s="1040"/>
      <c r="AS105" s="1040"/>
      <c r="AT105" s="1040"/>
      <c r="AU105" s="1041"/>
      <c r="AV105" s="1040"/>
      <c r="AW105" s="1040"/>
      <c r="AX105" s="1040"/>
      <c r="AY105" s="1041"/>
      <c r="AZ105" s="1040"/>
      <c r="BA105" s="1040"/>
      <c r="BB105" s="1040"/>
      <c r="BC105" s="1041"/>
      <c r="BD105" s="1040"/>
      <c r="BE105" s="1040"/>
      <c r="BF105" s="1040"/>
      <c r="BG105" s="1041"/>
      <c r="BH105" s="1040"/>
      <c r="BI105" s="1040"/>
      <c r="BJ105" s="1040"/>
      <c r="BK105" s="1041"/>
      <c r="BL105" s="1040"/>
      <c r="BM105" s="1040"/>
      <c r="BN105" s="1040"/>
      <c r="BO105" s="1041"/>
      <c r="BP105" s="1040"/>
      <c r="BQ105" s="1040"/>
      <c r="BR105" s="1040"/>
      <c r="BS105" s="1041"/>
      <c r="BT105" s="1040"/>
      <c r="BU105" s="1040"/>
      <c r="BV105" s="1040"/>
      <c r="BW105" s="1041"/>
      <c r="BX105" s="1040"/>
      <c r="BY105" s="1040"/>
      <c r="BZ105" s="1040"/>
      <c r="CA105" s="1041"/>
      <c r="CB105" s="1040"/>
      <c r="CC105" s="1040"/>
      <c r="CD105" s="1040"/>
      <c r="CE105" s="1041"/>
      <c r="CF105" s="1040"/>
      <c r="CG105" s="1040"/>
      <c r="CH105" s="1040"/>
      <c r="CI105" s="1041"/>
      <c r="CJ105" s="1040"/>
      <c r="CK105" s="1040"/>
      <c r="CL105" s="1040"/>
      <c r="CM105" s="1042"/>
      <c r="CN105" s="1043"/>
      <c r="CO105" s="1043"/>
      <c r="CP105" s="1040"/>
      <c r="CQ105" s="1041"/>
      <c r="CR105" s="1043"/>
      <c r="CS105" s="1043"/>
      <c r="CT105" s="1043"/>
      <c r="CU105" s="1042"/>
      <c r="CV105" s="376"/>
      <c r="CW105" s="1037"/>
      <c r="CX105" s="1036"/>
      <c r="CY105" s="1036"/>
      <c r="CZ105" s="1036"/>
      <c r="DA105" s="1036"/>
      <c r="DB105" s="1036"/>
      <c r="DC105" s="1036"/>
      <c r="DD105" s="1036"/>
      <c r="DE105" s="1036"/>
      <c r="DF105" s="1036"/>
      <c r="DG105" s="1036"/>
      <c r="DH105" s="1036"/>
      <c r="DI105" s="1036"/>
      <c r="DJ105" s="1036"/>
      <c r="DK105" s="1036"/>
      <c r="DL105" s="1036"/>
      <c r="DM105" s="1036"/>
      <c r="DN105" s="1036"/>
      <c r="DO105" s="1036"/>
      <c r="DP105" s="1036"/>
      <c r="DQ105" s="1036"/>
      <c r="DR105" s="1036"/>
      <c r="DS105" s="1038"/>
      <c r="DT105" s="1038"/>
      <c r="DU105" s="1038"/>
      <c r="DV105" s="1038"/>
      <c r="DW105" s="1038"/>
      <c r="DX105" s="1038"/>
      <c r="DY105" s="1038"/>
      <c r="DZ105" s="1038"/>
    </row>
    <row r="106" spans="2:130">
      <c r="C106" s="1044"/>
    </row>
    <row r="107" spans="2:130">
      <c r="C107" s="1044"/>
      <c r="CR107" s="1096"/>
      <c r="CS107" s="1096"/>
      <c r="CT107" s="1096"/>
      <c r="CU107" s="1096"/>
    </row>
  </sheetData>
  <pageMargins left="0.7" right="0.7" top="0.75" bottom="0.75" header="0.3" footer="0.3"/>
  <pageSetup scale="54" fitToHeight="0" orientation="landscape" r:id="rId1"/>
  <ignoredErrors>
    <ignoredError sqref="A1:XFD5 A51:XFD51 A49:CQ49 CS49:XFD49 A50:CQ50 CV50:DU50 A45:XFD48 A44:CQ44 CV44:XFD44 A43:CQ43 CV43:XFD43 A62:XFD64 A59:CQ59 CV59:DU59 EA50:XFD50 A56:XFD57 A55:CO55 CU55:XFD55 A60:CQ60 CS60:DU60 A61:CQ61 CS61:XFD61 A53:CQ53 A52:CQ52 CT52:XFD52 A58:CQ58 DW58:XFD58 EA59:XFD59 DW60:XFD60 A54:CP54 CR54:XFD54 A79:XFD79 A78:CM78 CV78:XFD78 A81:XFD82 A80:CQ80 CV80:XFD80 A97:XFD97 A95:CP95 CR95:XFD95 A96:CP96 CR96:XFD96 A100:XFD106 A99:CP99 CR99:XFD99 A94:XFD94 A93:CP93 CR93:XFD93 A92:CP92 CR92:XFD92 A98:CP98 CR98:XFD98 A91:CQ91 CV91:XFD91 A84:XFD90 A83:CQ83 CV83:XFD83 A108:XFD1048576 A107:CQ107 CV107:XFD107 A67:XFD67 A65:DT65 DV65:XFD65 CS53:XFD53 A19:XFD20 A18:CQ18 CV18:DT18 EA18:XFD18 A7:XFD8 A6:CQ6 CV6:DU6 A10:XFD11 A9:CQ9 CV9:DU9 A13:XFD14 A12:CQ12 CV12:DU12 A16:XFD17 A15:CQ15 CV15:DU15 EA6:XFD6 EA9:XFD9 EA12:XFD12 EA15:XFD15 A22:XFD23 A21:CQ21 CV21:DU21 A25:XFD28 A24:CQ24 CV24:DU24 EA21:XFD21 EA24:XFD24 A70:XFD73 A69:CQ69 CT69:XFD69 A75:XFD77 A74:CQ74 CT74:XFD74 A68:CP68 DY68:XFD68 A42:XFD42 A41:DT41 DV41:XFD41 CS58:DU58 A30:XFD40 A29:CQ29 CS29:XFD29 A66:EA66 EC66:XFD66" unlockedFormula="1"/>
  </ignoredErrors>
  <drawing r:id="rId2"/>
  <legacyDrawing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pageSetUpPr fitToPage="1"/>
  </sheetPr>
  <dimension ref="B2:AC58"/>
  <sheetViews>
    <sheetView showGridLines="0" zoomScale="85" zoomScaleNormal="85" workbookViewId="0">
      <selection activeCell="O14" sqref="O14:AB30"/>
    </sheetView>
  </sheetViews>
  <sheetFormatPr defaultRowHeight="15" outlineLevelCol="1"/>
  <cols>
    <col min="1" max="2" width="3.140625" style="4" customWidth="1"/>
    <col min="3" max="3" width="38.85546875" style="4" bestFit="1" customWidth="1"/>
    <col min="4" max="4" width="10.28515625" style="4" hidden="1" customWidth="1" outlineLevel="1"/>
    <col min="5" max="5" width="10.28515625" style="4" customWidth="1" collapsed="1"/>
    <col min="6" max="6" width="10.28515625" style="4" customWidth="1"/>
    <col min="7" max="10" width="10.28515625" style="4" hidden="1" customWidth="1" outlineLevel="1"/>
    <col min="11" max="11" width="10.28515625" style="4" customWidth="1" collapsed="1"/>
    <col min="12" max="12" width="10.28515625" style="4" customWidth="1"/>
    <col min="13" max="13" width="3.140625" style="4" customWidth="1"/>
    <col min="14" max="15" width="3.140625" style="73" customWidth="1"/>
    <col min="16" max="16" width="38.85546875" style="73" bestFit="1" customWidth="1"/>
    <col min="17" max="19" width="10.28515625" style="73" customWidth="1"/>
    <col min="20" max="23" width="10.28515625" style="73" hidden="1" customWidth="1" outlineLevel="1"/>
    <col min="24" max="24" width="10.28515625" style="73" customWidth="1" collapsed="1"/>
    <col min="25" max="27" width="10.28515625" style="73" customWidth="1"/>
    <col min="28" max="29" width="3.140625" style="73" customWidth="1"/>
    <col min="30" max="16384" width="9.140625" style="4"/>
  </cols>
  <sheetData>
    <row r="2" spans="2:29">
      <c r="B2" s="3" t="s">
        <v>244</v>
      </c>
      <c r="O2" s="3"/>
    </row>
    <row r="3" spans="2:29">
      <c r="B3" s="3" t="s">
        <v>231</v>
      </c>
      <c r="O3" s="3"/>
    </row>
    <row r="4" spans="2:29" ht="15.75" thickBot="1"/>
    <row r="5" spans="2:29">
      <c r="B5" s="5"/>
      <c r="C5" s="6"/>
      <c r="D5" s="6"/>
      <c r="E5" s="6"/>
      <c r="F5" s="6"/>
      <c r="G5" s="6"/>
      <c r="H5" s="6"/>
      <c r="I5" s="6"/>
      <c r="J5" s="6"/>
      <c r="K5" s="6"/>
      <c r="L5" s="6"/>
      <c r="M5" s="7"/>
      <c r="O5" s="74"/>
      <c r="P5" s="75"/>
      <c r="Q5" s="75"/>
      <c r="R5" s="75"/>
      <c r="S5" s="75"/>
      <c r="T5" s="75"/>
      <c r="U5" s="75"/>
      <c r="V5" s="75"/>
      <c r="W5" s="75"/>
      <c r="X5" s="75"/>
      <c r="Y5" s="75"/>
      <c r="Z5" s="75"/>
      <c r="AA5" s="75"/>
      <c r="AB5" s="76"/>
    </row>
    <row r="6" spans="2:29" s="11" customFormat="1">
      <c r="B6" s="8"/>
      <c r="C6" s="1216" t="s">
        <v>232</v>
      </c>
      <c r="D6" s="1219" t="s">
        <v>467</v>
      </c>
      <c r="E6" s="1218" t="s">
        <v>229</v>
      </c>
      <c r="F6" s="1218" t="s">
        <v>206</v>
      </c>
      <c r="G6" s="1217" t="s">
        <v>252</v>
      </c>
      <c r="H6" s="1219"/>
      <c r="I6" s="1217" t="s">
        <v>253</v>
      </c>
      <c r="J6" s="1218"/>
      <c r="K6" s="1217" t="s">
        <v>255</v>
      </c>
      <c r="L6" s="1218"/>
      <c r="M6" s="10"/>
      <c r="N6" s="73"/>
      <c r="O6" s="77"/>
      <c r="P6" s="1211" t="s">
        <v>471</v>
      </c>
      <c r="Q6" s="1209" t="s">
        <v>390</v>
      </c>
      <c r="R6" s="1209"/>
      <c r="S6" s="1212"/>
      <c r="T6" s="1210"/>
      <c r="U6" s="1209"/>
      <c r="V6" s="1209"/>
      <c r="W6" s="1213"/>
      <c r="X6" s="1209" t="s">
        <v>229</v>
      </c>
      <c r="Y6" s="1209" t="s">
        <v>206</v>
      </c>
      <c r="Z6" s="1210" t="s">
        <v>255</v>
      </c>
      <c r="AA6" s="1209"/>
      <c r="AB6" s="78"/>
      <c r="AC6" s="73"/>
    </row>
    <row r="7" spans="2:29" s="11" customFormat="1">
      <c r="B7" s="8"/>
      <c r="C7" s="1216"/>
      <c r="D7" s="1219"/>
      <c r="E7" s="1218"/>
      <c r="F7" s="1218"/>
      <c r="G7" s="9" t="s">
        <v>234</v>
      </c>
      <c r="H7" s="12" t="s">
        <v>235</v>
      </c>
      <c r="I7" s="100" t="s">
        <v>234</v>
      </c>
      <c r="J7" s="99" t="s">
        <v>235</v>
      </c>
      <c r="K7" s="105" t="s">
        <v>177</v>
      </c>
      <c r="L7" s="104" t="s">
        <v>256</v>
      </c>
      <c r="M7" s="13"/>
      <c r="N7" s="73"/>
      <c r="O7" s="77"/>
      <c r="P7" s="1211"/>
      <c r="Q7" s="1143" t="s">
        <v>122</v>
      </c>
      <c r="R7" s="1143" t="s">
        <v>247</v>
      </c>
      <c r="S7" s="1145" t="s">
        <v>123</v>
      </c>
      <c r="T7" s="1147"/>
      <c r="U7" s="1146"/>
      <c r="V7" s="1146"/>
      <c r="W7" s="1212"/>
      <c r="X7" s="1209"/>
      <c r="Y7" s="1209"/>
      <c r="Z7" s="1132" t="s">
        <v>177</v>
      </c>
      <c r="AA7" s="1125" t="s">
        <v>256</v>
      </c>
      <c r="AB7" s="78"/>
      <c r="AC7" s="73"/>
    </row>
    <row r="8" spans="2:29">
      <c r="B8" s="14"/>
      <c r="C8" s="15"/>
      <c r="D8" s="16"/>
      <c r="E8" s="111"/>
      <c r="F8" s="16"/>
      <c r="G8" s="14"/>
      <c r="H8" s="15"/>
      <c r="I8" s="14"/>
      <c r="J8" s="15"/>
      <c r="K8" s="14"/>
      <c r="L8" s="15"/>
      <c r="M8" s="16"/>
      <c r="O8" s="77"/>
      <c r="P8" s="79"/>
      <c r="Q8" s="79"/>
      <c r="R8" s="79"/>
      <c r="S8" s="78"/>
      <c r="T8" s="77"/>
      <c r="U8" s="79"/>
      <c r="V8" s="79"/>
      <c r="W8" s="1154"/>
      <c r="X8" s="949"/>
      <c r="Y8" s="79"/>
      <c r="Z8" s="1133"/>
      <c r="AA8" s="79"/>
      <c r="AB8" s="78"/>
    </row>
    <row r="9" spans="2:29">
      <c r="B9" s="14"/>
      <c r="C9" s="18" t="s">
        <v>195</v>
      </c>
      <c r="D9" s="101">
        <v>2586.4</v>
      </c>
      <c r="E9" s="106">
        <v>2645.0770000000002</v>
      </c>
      <c r="F9" s="101">
        <f>Financials!CR9</f>
        <v>2666.9363959079369</v>
      </c>
      <c r="G9" s="20">
        <f>$D9-E9</f>
        <v>-58.677000000000135</v>
      </c>
      <c r="H9" s="21">
        <f t="shared" ref="G9:H12" si="0">$D9-F9</f>
        <v>-80.536395907936821</v>
      </c>
      <c r="I9" s="22">
        <f t="shared" ref="I9:J11" si="1">$D9/E9-1</f>
        <v>-2.2183475188056967E-2</v>
      </c>
      <c r="J9" s="95">
        <f t="shared" si="1"/>
        <v>-3.0198093974610485E-2</v>
      </c>
      <c r="K9" s="116">
        <f>F9-E9</f>
        <v>21.859395907936687</v>
      </c>
      <c r="L9" s="95">
        <f>F9/E9-1</f>
        <v>8.2641813103878636E-3</v>
      </c>
      <c r="M9" s="23"/>
      <c r="O9" s="77"/>
      <c r="P9" s="80" t="s">
        <v>195</v>
      </c>
      <c r="Q9" s="81"/>
      <c r="R9" s="82"/>
      <c r="S9" s="83"/>
      <c r="T9" s="1155"/>
      <c r="U9" s="82"/>
      <c r="V9" s="81"/>
      <c r="W9" s="1156"/>
      <c r="X9" s="81">
        <v>2659.154</v>
      </c>
      <c r="Y9" s="81">
        <f>Financials!CS9</f>
        <v>2728.0376407039539</v>
      </c>
      <c r="Z9" s="1135">
        <f>Y9-X9</f>
        <v>68.883640703953915</v>
      </c>
      <c r="AA9" s="86">
        <f>Y9/X9-1</f>
        <v>2.5904344277899671E-2</v>
      </c>
      <c r="AB9" s="78"/>
    </row>
    <row r="10" spans="2:29">
      <c r="B10" s="14"/>
      <c r="C10" s="35" t="s">
        <v>236</v>
      </c>
      <c r="D10" s="1160">
        <f>D9-D11</f>
        <v>2018.4</v>
      </c>
      <c r="E10" s="112">
        <f>E9-E11</f>
        <v>2088.9495607500003</v>
      </c>
      <c r="F10" s="46">
        <f>-Financials!CR11</f>
        <v>2085.6632844282412</v>
      </c>
      <c r="G10" s="36">
        <f t="shared" si="0"/>
        <v>-70.549560750000182</v>
      </c>
      <c r="H10" s="37">
        <f t="shared" si="0"/>
        <v>-67.26328442824115</v>
      </c>
      <c r="I10" s="38">
        <f t="shared" si="1"/>
        <v>-3.3772744960232859E-2</v>
      </c>
      <c r="J10" s="96">
        <f t="shared" si="1"/>
        <v>-3.2250308537545402E-2</v>
      </c>
      <c r="K10" s="117">
        <f>F10-E10</f>
        <v>-3.2862763217590327</v>
      </c>
      <c r="L10" s="96">
        <f>F10/E10-1</f>
        <v>-1.5731716952415153E-3</v>
      </c>
      <c r="M10" s="27"/>
      <c r="O10" s="77"/>
      <c r="P10" s="84" t="s">
        <v>251</v>
      </c>
      <c r="Q10" s="85"/>
      <c r="R10" s="86"/>
      <c r="S10" s="87"/>
      <c r="T10" s="1158"/>
      <c r="U10" s="86"/>
      <c r="V10" s="85"/>
      <c r="W10" s="126"/>
      <c r="X10" s="81"/>
      <c r="Y10" s="81"/>
      <c r="Z10" s="1134"/>
      <c r="AA10" s="86"/>
      <c r="AB10" s="78"/>
    </row>
    <row r="11" spans="2:29">
      <c r="B11" s="14"/>
      <c r="C11" s="39" t="s">
        <v>83</v>
      </c>
      <c r="D11" s="101">
        <v>568</v>
      </c>
      <c r="E11" s="108">
        <f>E9*E12</f>
        <v>556.12743925000007</v>
      </c>
      <c r="F11" s="19">
        <f>F9-F10</f>
        <v>581.27311147969567</v>
      </c>
      <c r="G11" s="20">
        <f t="shared" si="0"/>
        <v>11.872560749999934</v>
      </c>
      <c r="H11" s="21">
        <f t="shared" si="0"/>
        <v>-13.273111479695672</v>
      </c>
      <c r="I11" s="22">
        <f t="shared" si="1"/>
        <v>2.1348633266525141E-2</v>
      </c>
      <c r="J11" s="95">
        <f t="shared" si="1"/>
        <v>-2.2834552669927399E-2</v>
      </c>
      <c r="K11" s="116">
        <f>F11-E11</f>
        <v>25.145672229695606</v>
      </c>
      <c r="L11" s="95">
        <f>F11/E11-1</f>
        <v>4.5215665430224705E-2</v>
      </c>
      <c r="M11" s="40"/>
      <c r="O11" s="77"/>
      <c r="P11" s="80" t="s">
        <v>249</v>
      </c>
      <c r="Q11" s="88"/>
      <c r="R11" s="89"/>
      <c r="S11" s="90"/>
      <c r="T11" s="1180"/>
      <c r="U11" s="89"/>
      <c r="V11" s="88"/>
      <c r="W11" s="1181"/>
      <c r="X11" s="88">
        <v>1.101</v>
      </c>
      <c r="Y11" s="88">
        <f>Financials!CS44</f>
        <v>1.1269276567810367</v>
      </c>
      <c r="Z11" s="1136">
        <f>Y11-X11</f>
        <v>2.5927656781036701E-2</v>
      </c>
      <c r="AA11" s="86">
        <f>Y11/X11-1</f>
        <v>2.3549188720287662E-2</v>
      </c>
      <c r="AB11" s="78"/>
    </row>
    <row r="12" spans="2:29" ht="15.75" thickBot="1">
      <c r="B12" s="14"/>
      <c r="C12" s="28" t="s">
        <v>237</v>
      </c>
      <c r="D12" s="27">
        <f>D11/D9</f>
        <v>0.21961026909990719</v>
      </c>
      <c r="E12" s="113">
        <v>0.21025000000000002</v>
      </c>
      <c r="F12" s="27">
        <f>F11/F9</f>
        <v>0.21795537095357159</v>
      </c>
      <c r="G12" s="26">
        <f t="shared" si="0"/>
        <v>9.3602690999071703E-3</v>
      </c>
      <c r="H12" s="29">
        <f t="shared" si="0"/>
        <v>1.6548981463355983E-3</v>
      </c>
      <c r="I12" s="26"/>
      <c r="J12" s="29"/>
      <c r="K12" s="26">
        <f>F12-E12</f>
        <v>7.705370953571572E-3</v>
      </c>
      <c r="L12" s="29"/>
      <c r="M12" s="27"/>
      <c r="O12" s="91"/>
      <c r="P12" s="92"/>
      <c r="Q12" s="92"/>
      <c r="R12" s="92"/>
      <c r="S12" s="92"/>
      <c r="T12" s="92"/>
      <c r="U12" s="92"/>
      <c r="V12" s="92"/>
      <c r="W12" s="92"/>
      <c r="X12" s="92"/>
      <c r="Y12" s="92"/>
      <c r="Z12" s="92"/>
      <c r="AA12" s="92"/>
      <c r="AB12" s="93"/>
    </row>
    <row r="13" spans="2:29" ht="15.75" thickBot="1">
      <c r="B13" s="14"/>
      <c r="C13" s="41"/>
      <c r="D13" s="42"/>
      <c r="E13" s="109"/>
      <c r="F13" s="43"/>
      <c r="G13" s="33"/>
      <c r="H13" s="44"/>
      <c r="I13" s="26"/>
      <c r="J13" s="29"/>
      <c r="K13" s="33"/>
      <c r="L13" s="29"/>
      <c r="M13" s="27"/>
      <c r="S13" s="79"/>
      <c r="V13" s="79"/>
      <c r="W13" s="79"/>
      <c r="X13" s="79"/>
      <c r="Y13" s="79"/>
    </row>
    <row r="14" spans="2:29">
      <c r="B14" s="14"/>
      <c r="C14" s="30" t="s">
        <v>113</v>
      </c>
      <c r="D14" s="45">
        <v>239.9</v>
      </c>
      <c r="E14" s="32"/>
      <c r="F14" s="45">
        <f>-Financials!CR15</f>
        <v>247.3701056983893</v>
      </c>
      <c r="G14" s="33"/>
      <c r="H14" s="44">
        <f>$D14-F14</f>
        <v>-7.4701056983892897</v>
      </c>
      <c r="I14" s="26"/>
      <c r="J14" s="29"/>
      <c r="K14" s="118"/>
      <c r="L14" s="29"/>
      <c r="M14" s="27"/>
      <c r="O14" s="74"/>
      <c r="P14" s="75"/>
      <c r="Q14" s="75"/>
      <c r="R14" s="75"/>
      <c r="S14" s="75"/>
      <c r="T14" s="75"/>
      <c r="U14" s="75"/>
      <c r="V14" s="75"/>
      <c r="W14" s="75"/>
      <c r="X14" s="75"/>
      <c r="Y14" s="75"/>
      <c r="Z14" s="75"/>
      <c r="AA14" s="75"/>
      <c r="AB14" s="76"/>
    </row>
    <row r="15" spans="2:29">
      <c r="B15" s="14"/>
      <c r="C15" s="28" t="s">
        <v>238</v>
      </c>
      <c r="D15" s="27">
        <f>D14/D9</f>
        <v>9.2754407670893907E-2</v>
      </c>
      <c r="E15" s="113"/>
      <c r="F15" s="27">
        <f>F14/F9</f>
        <v>9.2754407670893907E-2</v>
      </c>
      <c r="G15" s="26"/>
      <c r="H15" s="29">
        <f>$D15-F15</f>
        <v>0</v>
      </c>
      <c r="I15" s="26"/>
      <c r="J15" s="29"/>
      <c r="K15" s="26"/>
      <c r="L15" s="29"/>
      <c r="M15" s="27"/>
      <c r="O15" s="77"/>
      <c r="P15" s="1211" t="s">
        <v>261</v>
      </c>
      <c r="Q15" s="1209" t="s">
        <v>390</v>
      </c>
      <c r="R15" s="1209"/>
      <c r="S15" s="1212"/>
      <c r="T15" s="1209" t="s">
        <v>465</v>
      </c>
      <c r="U15" s="1209"/>
      <c r="V15" s="1212"/>
      <c r="W15" s="1214" t="s">
        <v>250</v>
      </c>
      <c r="X15" s="1209" t="s">
        <v>229</v>
      </c>
      <c r="Y15" s="1209" t="s">
        <v>206</v>
      </c>
      <c r="Z15" s="1210" t="s">
        <v>255</v>
      </c>
      <c r="AA15" s="1209"/>
      <c r="AB15" s="78"/>
    </row>
    <row r="16" spans="2:29">
      <c r="B16" s="14"/>
      <c r="C16" s="35" t="s">
        <v>239</v>
      </c>
      <c r="D16" s="1160">
        <f>D11-D14-D17</f>
        <v>-9.9999999999965894E-2</v>
      </c>
      <c r="E16" s="112"/>
      <c r="F16" s="46">
        <f>-Financials!CR17</f>
        <v>-9.9999999999994316E-2</v>
      </c>
      <c r="G16" s="36"/>
      <c r="H16" s="37">
        <f>$D16-F16</f>
        <v>2.8421709430404007E-14</v>
      </c>
      <c r="I16" s="38"/>
      <c r="J16" s="96"/>
      <c r="K16" s="117"/>
      <c r="L16" s="96"/>
      <c r="M16" s="27"/>
      <c r="O16" s="77"/>
      <c r="P16" s="1211"/>
      <c r="Q16" s="1143" t="s">
        <v>122</v>
      </c>
      <c r="R16" s="1143" t="s">
        <v>247</v>
      </c>
      <c r="S16" s="1145" t="s">
        <v>123</v>
      </c>
      <c r="T16" s="1144" t="s">
        <v>122</v>
      </c>
      <c r="U16" s="1143" t="s">
        <v>247</v>
      </c>
      <c r="V16" s="1145" t="s">
        <v>123</v>
      </c>
      <c r="W16" s="1215"/>
      <c r="X16" s="1209"/>
      <c r="Y16" s="1209"/>
      <c r="Z16" s="1132" t="s">
        <v>177</v>
      </c>
      <c r="AA16" s="1125" t="s">
        <v>256</v>
      </c>
      <c r="AB16" s="78"/>
    </row>
    <row r="17" spans="2:29">
      <c r="B17" s="14"/>
      <c r="C17" s="39" t="s">
        <v>248</v>
      </c>
      <c r="D17" s="101">
        <v>328.2</v>
      </c>
      <c r="E17" s="106">
        <v>328</v>
      </c>
      <c r="F17" s="19">
        <f>F11-F14-F16</f>
        <v>334.00300578130634</v>
      </c>
      <c r="G17" s="20">
        <f>$D17-E17</f>
        <v>0.19999999999998863</v>
      </c>
      <c r="H17" s="21">
        <f>$D17-F17</f>
        <v>-5.8030057813063536</v>
      </c>
      <c r="I17" s="22">
        <f>$D17/E17-1</f>
        <v>6.0975609756086513E-4</v>
      </c>
      <c r="J17" s="95">
        <f>$D17/F17-1</f>
        <v>-1.7374112450670443E-2</v>
      </c>
      <c r="K17" s="116">
        <f>F17-E17</f>
        <v>6.0030057813063422</v>
      </c>
      <c r="L17" s="95">
        <f>F17/E17-1</f>
        <v>1.8301846894226648E-2</v>
      </c>
      <c r="M17" s="23"/>
      <c r="O17" s="77"/>
      <c r="P17" s="79"/>
      <c r="Q17" s="79"/>
      <c r="R17" s="79"/>
      <c r="S17" s="78"/>
      <c r="T17" s="79"/>
      <c r="U17" s="79"/>
      <c r="V17" s="78"/>
      <c r="W17" s="1148"/>
      <c r="X17" s="949"/>
      <c r="Y17" s="79"/>
      <c r="Z17" s="1133"/>
      <c r="AA17" s="79"/>
      <c r="AB17" s="78"/>
    </row>
    <row r="18" spans="2:29">
      <c r="B18" s="14"/>
      <c r="C18" s="28" t="s">
        <v>240</v>
      </c>
      <c r="D18" s="27">
        <f>D17/D9</f>
        <v>0.12689452520878441</v>
      </c>
      <c r="E18" s="29">
        <f>E17/E9</f>
        <v>0.12400395149177131</v>
      </c>
      <c r="F18" s="27">
        <f>F17/F9</f>
        <v>0.12523845948999385</v>
      </c>
      <c r="G18" s="26">
        <f>$D18-E18</f>
        <v>2.8905737170131091E-3</v>
      </c>
      <c r="H18" s="29">
        <f>$D18-F18</f>
        <v>1.656065718790567E-3</v>
      </c>
      <c r="I18" s="26"/>
      <c r="J18" s="29"/>
      <c r="K18" s="26">
        <f>F18-E18</f>
        <v>1.2345079982225421E-3</v>
      </c>
      <c r="L18" s="29"/>
      <c r="M18" s="27"/>
      <c r="O18" s="77"/>
      <c r="P18" s="80" t="s">
        <v>195</v>
      </c>
      <c r="Q18" s="81">
        <v>10520</v>
      </c>
      <c r="R18" s="82">
        <f>AVERAGE(Q18,S18)</f>
        <v>10605</v>
      </c>
      <c r="S18" s="83">
        <v>10690</v>
      </c>
      <c r="T18" s="81">
        <f>9787+650-147+75+45</f>
        <v>10410</v>
      </c>
      <c r="U18" s="82">
        <f>AVERAGE(T18,V18)</f>
        <v>10499</v>
      </c>
      <c r="V18" s="83">
        <f>9787+730-49+75+45</f>
        <v>10588</v>
      </c>
      <c r="W18" s="1152">
        <f>R18-U18</f>
        <v>106</v>
      </c>
      <c r="X18" s="81">
        <v>10658.188</v>
      </c>
      <c r="Y18" s="81">
        <f>Financials!DU9</f>
        <v>10820.342663215657</v>
      </c>
      <c r="Z18" s="1135">
        <f>Y18-X18</f>
        <v>162.15466321565691</v>
      </c>
      <c r="AA18" s="86">
        <f>Y18/X18-1</f>
        <v>1.5214092978624194E-2</v>
      </c>
      <c r="AB18" s="78"/>
    </row>
    <row r="19" spans="2:29">
      <c r="B19" s="14"/>
      <c r="C19" s="41"/>
      <c r="D19" s="42"/>
      <c r="E19" s="109"/>
      <c r="F19" s="43"/>
      <c r="G19" s="33"/>
      <c r="H19" s="44"/>
      <c r="I19" s="26"/>
      <c r="J19" s="29"/>
      <c r="K19" s="33"/>
      <c r="L19" s="29"/>
      <c r="M19" s="27"/>
      <c r="O19" s="77"/>
      <c r="P19" s="84" t="s">
        <v>251</v>
      </c>
      <c r="Q19" s="85">
        <v>0.05</v>
      </c>
      <c r="R19" s="86">
        <f>AVERAGE(Q19,S19)</f>
        <v>6.0000000000000005E-2</v>
      </c>
      <c r="S19" s="87">
        <v>7.0000000000000007E-2</v>
      </c>
      <c r="T19" s="85">
        <v>0.05</v>
      </c>
      <c r="U19" s="86">
        <f>AVERAGE(T19,V19)</f>
        <v>6.0000000000000005E-2</v>
      </c>
      <c r="V19" s="87">
        <v>7.0000000000000007E-2</v>
      </c>
      <c r="W19" s="1149">
        <f t="shared" ref="W19:W29" si="2">R19-U19</f>
        <v>0</v>
      </c>
      <c r="X19" s="81"/>
      <c r="Y19" s="81"/>
      <c r="Z19" s="1134"/>
      <c r="AA19" s="86"/>
      <c r="AB19" s="78"/>
    </row>
    <row r="20" spans="2:29">
      <c r="B20" s="14"/>
      <c r="C20" s="30" t="s">
        <v>258</v>
      </c>
      <c r="D20" s="45">
        <v>12.7</v>
      </c>
      <c r="E20" s="31"/>
      <c r="F20" s="45">
        <f>Financials!CR22</f>
        <v>12.7</v>
      </c>
      <c r="G20" s="33"/>
      <c r="H20" s="44">
        <f>$D20-F20</f>
        <v>0</v>
      </c>
      <c r="I20" s="26"/>
      <c r="J20" s="29"/>
      <c r="K20" s="118"/>
      <c r="L20" s="29"/>
      <c r="M20" s="27"/>
      <c r="O20" s="77"/>
      <c r="P20" s="80" t="s">
        <v>248</v>
      </c>
      <c r="Q20" s="81">
        <v>1320</v>
      </c>
      <c r="R20" s="82">
        <f>AVERAGE(Q20,S20)</f>
        <v>1336.5</v>
      </c>
      <c r="S20" s="83">
        <v>1353</v>
      </c>
      <c r="T20" s="81">
        <f>1220+94+8-10</f>
        <v>1312</v>
      </c>
      <c r="U20" s="82">
        <f>AVERAGE(T20,V20)</f>
        <v>1327.5</v>
      </c>
      <c r="V20" s="83">
        <f>1220+125+8-10</f>
        <v>1343</v>
      </c>
      <c r="W20" s="1152">
        <f t="shared" si="2"/>
        <v>9</v>
      </c>
      <c r="X20" s="81">
        <v>1338.643</v>
      </c>
      <c r="Y20" s="81">
        <f>Financials!DU18</f>
        <v>1363.155673168596</v>
      </c>
      <c r="Z20" s="1135">
        <f t="shared" ref="Z20:Z26" si="3">Y20-X20</f>
        <v>24.512673168595938</v>
      </c>
      <c r="AA20" s="86">
        <f t="shared" ref="AA20:AA26" si="4">Y20/X20-1</f>
        <v>1.8311583572764301E-2</v>
      </c>
      <c r="AB20" s="78"/>
    </row>
    <row r="21" spans="2:29">
      <c r="B21" s="14"/>
      <c r="C21" s="35" t="s">
        <v>241</v>
      </c>
      <c r="D21" s="46">
        <f>16.9-1.6</f>
        <v>15.299999999999999</v>
      </c>
      <c r="E21" s="107"/>
      <c r="F21" s="46">
        <f>-Financials!CR23</f>
        <v>13.978952862093438</v>
      </c>
      <c r="G21" s="36"/>
      <c r="H21" s="37">
        <f>$D21-F21</f>
        <v>1.3210471379065609</v>
      </c>
      <c r="I21" s="38"/>
      <c r="J21" s="96"/>
      <c r="K21" s="117"/>
      <c r="L21" s="96"/>
      <c r="M21" s="27"/>
      <c r="O21" s="77"/>
      <c r="P21" s="84" t="s">
        <v>240</v>
      </c>
      <c r="Q21" s="85">
        <v>0.126</v>
      </c>
      <c r="R21" s="86">
        <f t="shared" ref="R21" si="5">R20/R18</f>
        <v>0.12602545968882603</v>
      </c>
      <c r="S21" s="87">
        <v>0.127</v>
      </c>
      <c r="T21" s="86">
        <f>T20/T18</f>
        <v>0.12603266090297791</v>
      </c>
      <c r="U21" s="86">
        <f t="shared" ref="U21:V21" si="6">U20/U18</f>
        <v>0.12644061339175158</v>
      </c>
      <c r="V21" s="126">
        <f t="shared" si="6"/>
        <v>0.12684170759350208</v>
      </c>
      <c r="W21" s="1149">
        <f t="shared" si="2"/>
        <v>-4.1515370292555254E-4</v>
      </c>
      <c r="X21" s="86">
        <f>X20/X18</f>
        <v>0.12559761565474356</v>
      </c>
      <c r="Y21" s="86">
        <f>Y20/Y18</f>
        <v>0.12598082293666335</v>
      </c>
      <c r="Z21" s="1134">
        <f t="shared" si="3"/>
        <v>3.8320728191978959E-4</v>
      </c>
      <c r="AA21" s="86">
        <f t="shared" si="4"/>
        <v>3.0510713115223798E-3</v>
      </c>
      <c r="AB21" s="78"/>
    </row>
    <row r="22" spans="2:29">
      <c r="B22" s="14"/>
      <c r="C22" s="30" t="s">
        <v>257</v>
      </c>
      <c r="D22" s="50">
        <f>D17+D20-D21</f>
        <v>325.59999999999997</v>
      </c>
      <c r="E22" s="31">
        <v>314.60000000000002</v>
      </c>
      <c r="F22" s="50">
        <f>F17+F20-F21</f>
        <v>332.72405291921291</v>
      </c>
      <c r="G22" s="33">
        <f>$D22-E22</f>
        <v>10.999999999999943</v>
      </c>
      <c r="H22" s="44">
        <f>$D22-F22</f>
        <v>-7.1240529192129429</v>
      </c>
      <c r="I22" s="26">
        <f>$D22/E22-1</f>
        <v>3.496503496503478E-2</v>
      </c>
      <c r="J22" s="29">
        <f>$D22/F22-1</f>
        <v>-2.1411295206068881E-2</v>
      </c>
      <c r="K22" s="118">
        <f>F22-E22</f>
        <v>18.124052919212886</v>
      </c>
      <c r="L22" s="29">
        <f>F22/E22-1</f>
        <v>5.7609831275311052E-2</v>
      </c>
      <c r="M22" s="27"/>
      <c r="O22" s="77"/>
      <c r="P22" s="80" t="s">
        <v>249</v>
      </c>
      <c r="Q22" s="88">
        <v>4.25</v>
      </c>
      <c r="R22" s="89">
        <f>AVERAGE(Q22,S22)</f>
        <v>4.3</v>
      </c>
      <c r="S22" s="90">
        <v>4.3499999999999996</v>
      </c>
      <c r="T22" s="88">
        <v>4.12</v>
      </c>
      <c r="U22" s="89">
        <f>AVERAGE(T22,V22)</f>
        <v>4.1850000000000005</v>
      </c>
      <c r="V22" s="90">
        <v>4.25</v>
      </c>
      <c r="W22" s="1153">
        <f t="shared" si="2"/>
        <v>0.11499999999999932</v>
      </c>
      <c r="X22" s="88">
        <v>4.3490000000000002</v>
      </c>
      <c r="Y22" s="88">
        <f>Financials!DU44</f>
        <v>4.4109730797351352</v>
      </c>
      <c r="Z22" s="1136">
        <f t="shared" si="3"/>
        <v>6.1973079735134995E-2</v>
      </c>
      <c r="AA22" s="86">
        <f t="shared" si="4"/>
        <v>1.4249960849651577E-2</v>
      </c>
      <c r="AB22" s="78"/>
    </row>
    <row r="23" spans="2:29">
      <c r="B23" s="14"/>
      <c r="C23" s="30"/>
      <c r="D23" s="45"/>
      <c r="E23" s="31"/>
      <c r="F23" s="45"/>
      <c r="G23" s="33"/>
      <c r="H23" s="44"/>
      <c r="I23" s="26"/>
      <c r="J23" s="29"/>
      <c r="K23" s="33"/>
      <c r="L23" s="29"/>
      <c r="M23" s="27"/>
      <c r="O23" s="77"/>
      <c r="P23" s="79"/>
      <c r="Q23" s="79"/>
      <c r="R23" s="79"/>
      <c r="S23" s="78"/>
      <c r="T23" s="79"/>
      <c r="U23" s="79"/>
      <c r="V23" s="78"/>
      <c r="W23" s="1151"/>
      <c r="X23" s="949"/>
      <c r="Y23" s="79"/>
      <c r="Z23" s="77"/>
      <c r="AA23" s="1137"/>
      <c r="AB23" s="78"/>
    </row>
    <row r="24" spans="2:29">
      <c r="B24" s="14"/>
      <c r="C24" s="30" t="s">
        <v>230</v>
      </c>
      <c r="D24" s="50">
        <f>D22-D27-D26</f>
        <v>87.020999999999972</v>
      </c>
      <c r="E24" s="32"/>
      <c r="F24" s="45">
        <f>-Financials!CR27</f>
        <v>93.162734817379686</v>
      </c>
      <c r="G24" s="33"/>
      <c r="H24" s="44">
        <f>$D24-F24</f>
        <v>-6.1417348173797137</v>
      </c>
      <c r="I24" s="26"/>
      <c r="J24" s="29"/>
      <c r="K24" s="118">
        <f>F24-E24</f>
        <v>93.162734817379686</v>
      </c>
      <c r="L24" s="29"/>
      <c r="M24" s="27"/>
      <c r="O24" s="77"/>
      <c r="P24" s="80" t="s">
        <v>204</v>
      </c>
      <c r="Q24" s="81">
        <v>525</v>
      </c>
      <c r="R24" s="82">
        <f>AVERAGE(Q24,S24)</f>
        <v>550</v>
      </c>
      <c r="S24" s="83">
        <v>575</v>
      </c>
      <c r="T24" s="81">
        <v>500</v>
      </c>
      <c r="U24" s="82">
        <f>AVERAGE(T24,V24)</f>
        <v>525</v>
      </c>
      <c r="V24" s="83">
        <v>550</v>
      </c>
      <c r="W24" s="1152">
        <f t="shared" si="2"/>
        <v>25</v>
      </c>
      <c r="X24" s="81">
        <v>569.20000000000005</v>
      </c>
      <c r="Y24" s="81">
        <f>Financials!DU176</f>
        <v>594.37326969127889</v>
      </c>
      <c r="Z24" s="1135">
        <f t="shared" si="3"/>
        <v>25.173269691278847</v>
      </c>
      <c r="AA24" s="86">
        <f t="shared" si="4"/>
        <v>4.4225702198311456E-2</v>
      </c>
      <c r="AB24" s="78"/>
    </row>
    <row r="25" spans="2:29">
      <c r="B25" s="14"/>
      <c r="C25" s="72" t="s">
        <v>242</v>
      </c>
      <c r="D25" s="27">
        <f>D24/D22</f>
        <v>0.26726351351351346</v>
      </c>
      <c r="E25" s="29"/>
      <c r="F25" s="27">
        <f>F24/F22</f>
        <v>0.28000000000000019</v>
      </c>
      <c r="G25" s="26"/>
      <c r="H25" s="29">
        <f>$D25-F25</f>
        <v>-1.2736486486486731E-2</v>
      </c>
      <c r="I25" s="26"/>
      <c r="J25" s="29"/>
      <c r="K25" s="26">
        <f>F25-E25</f>
        <v>0.28000000000000019</v>
      </c>
      <c r="L25" s="29"/>
      <c r="M25" s="27"/>
      <c r="O25" s="77"/>
      <c r="P25" s="80" t="s">
        <v>106</v>
      </c>
      <c r="Q25" s="81">
        <v>575</v>
      </c>
      <c r="R25" s="82">
        <f>AVERAGE(Q25,S25)</f>
        <v>600</v>
      </c>
      <c r="S25" s="83">
        <v>625</v>
      </c>
      <c r="T25" s="81">
        <v>575</v>
      </c>
      <c r="U25" s="82">
        <f>AVERAGE(T25,V25)</f>
        <v>600</v>
      </c>
      <c r="V25" s="83">
        <v>625</v>
      </c>
      <c r="W25" s="1152">
        <f t="shared" si="2"/>
        <v>0</v>
      </c>
      <c r="X25" s="81">
        <v>604.33299999999997</v>
      </c>
      <c r="Y25" s="81">
        <f>-Financials!DU152</f>
        <v>623.13213104845249</v>
      </c>
      <c r="Z25" s="1135">
        <f t="shared" si="3"/>
        <v>18.799131048452523</v>
      </c>
      <c r="AA25" s="86">
        <f t="shared" si="4"/>
        <v>3.1107238969992679E-2</v>
      </c>
      <c r="AB25" s="78"/>
    </row>
    <row r="26" spans="2:29">
      <c r="B26" s="14"/>
      <c r="C26" s="30" t="s">
        <v>245</v>
      </c>
      <c r="D26" s="45">
        <v>14.2</v>
      </c>
      <c r="E26" s="32"/>
      <c r="F26" s="45">
        <f>-Financials!CR29</f>
        <v>14.2</v>
      </c>
      <c r="G26" s="33"/>
      <c r="H26" s="44">
        <f>$D26-F26</f>
        <v>0</v>
      </c>
      <c r="I26" s="26"/>
      <c r="J26" s="29"/>
      <c r="K26" s="118">
        <f>F26-E26</f>
        <v>14.2</v>
      </c>
      <c r="L26" s="29"/>
      <c r="M26" s="27"/>
      <c r="O26" s="77"/>
      <c r="P26" s="84" t="s">
        <v>262</v>
      </c>
      <c r="Q26" s="86">
        <f t="shared" ref="Q26:S26" si="7">Q25/Q18</f>
        <v>5.4657794676806086E-2</v>
      </c>
      <c r="R26" s="86">
        <f t="shared" si="7"/>
        <v>5.6577086280056574E-2</v>
      </c>
      <c r="S26" s="126">
        <f t="shared" si="7"/>
        <v>5.8465855940130963E-2</v>
      </c>
      <c r="T26" s="86">
        <f t="shared" ref="T26:V26" si="8">T25/T18</f>
        <v>5.5235350624399618E-2</v>
      </c>
      <c r="U26" s="86">
        <f t="shared" si="8"/>
        <v>5.714829983807982E-2</v>
      </c>
      <c r="V26" s="126">
        <f t="shared" si="8"/>
        <v>5.9029089535323008E-2</v>
      </c>
      <c r="W26" s="1149">
        <f t="shared" si="2"/>
        <v>-5.7121355802324664E-4</v>
      </c>
      <c r="X26" s="86">
        <f>X25/X18</f>
        <v>5.6701289187242709E-2</v>
      </c>
      <c r="Y26" s="86">
        <f>Y25/Y18</f>
        <v>5.7588946158500513E-2</v>
      </c>
      <c r="Z26" s="1134">
        <f t="shared" si="3"/>
        <v>8.8765697125780391E-4</v>
      </c>
      <c r="AA26" s="86">
        <f t="shared" si="4"/>
        <v>1.5654969824875131E-2</v>
      </c>
      <c r="AB26" s="78"/>
    </row>
    <row r="27" spans="2:29">
      <c r="B27" s="14"/>
      <c r="C27" s="51" t="s">
        <v>259</v>
      </c>
      <c r="D27" s="52">
        <f>D29*D31</f>
        <v>224.37899999999999</v>
      </c>
      <c r="E27" s="114">
        <v>216.273</v>
      </c>
      <c r="F27" s="52">
        <f>F22-F24-F26</f>
        <v>225.36131810183323</v>
      </c>
      <c r="G27" s="53">
        <f>$D27-E27</f>
        <v>8.1059999999999945</v>
      </c>
      <c r="H27" s="54">
        <f>$D27-F27</f>
        <v>-0.98231810183324342</v>
      </c>
      <c r="I27" s="102">
        <f>$D27/E27-1</f>
        <v>3.7480406708188196E-2</v>
      </c>
      <c r="J27" s="97">
        <f>$D27/F27-1</f>
        <v>-4.358858521538167E-3</v>
      </c>
      <c r="K27" s="119">
        <f>F27-E27</f>
        <v>9.088318101833238</v>
      </c>
      <c r="L27" s="97">
        <f>F27/E27-1</f>
        <v>4.2022435078966192E-2</v>
      </c>
      <c r="M27" s="23"/>
      <c r="O27" s="77"/>
      <c r="P27" s="80" t="s">
        <v>263</v>
      </c>
      <c r="Q27" s="81"/>
      <c r="R27" s="81">
        <v>100</v>
      </c>
      <c r="S27" s="83"/>
      <c r="T27" s="81"/>
      <c r="U27" s="81">
        <v>100</v>
      </c>
      <c r="V27" s="83"/>
      <c r="W27" s="1152">
        <f t="shared" si="2"/>
        <v>0</v>
      </c>
      <c r="X27" s="81"/>
      <c r="Y27" s="81">
        <f>-Financials!DU163</f>
        <v>100</v>
      </c>
      <c r="Z27" s="1135"/>
      <c r="AA27" s="86"/>
      <c r="AB27" s="78"/>
    </row>
    <row r="28" spans="2:29">
      <c r="B28" s="14"/>
      <c r="C28" s="41"/>
      <c r="D28" s="43"/>
      <c r="E28" s="109"/>
      <c r="F28" s="43"/>
      <c r="G28" s="33"/>
      <c r="H28" s="44"/>
      <c r="I28" s="26"/>
      <c r="J28" s="29"/>
      <c r="K28" s="33"/>
      <c r="L28" s="29"/>
      <c r="M28" s="27"/>
      <c r="N28" s="79"/>
      <c r="O28" s="77"/>
      <c r="P28" s="127" t="s">
        <v>264</v>
      </c>
      <c r="Q28" s="85"/>
      <c r="R28" s="85">
        <v>0.04</v>
      </c>
      <c r="S28" s="87"/>
      <c r="T28" s="85"/>
      <c r="U28" s="85">
        <v>0.04</v>
      </c>
      <c r="V28" s="87"/>
      <c r="W28" s="1150">
        <f t="shared" si="2"/>
        <v>0</v>
      </c>
      <c r="X28" s="81"/>
      <c r="Y28" s="81"/>
      <c r="Z28" s="1134"/>
      <c r="AA28" s="86"/>
      <c r="AB28" s="78"/>
      <c r="AC28" s="79"/>
    </row>
    <row r="29" spans="2:29">
      <c r="B29" s="55"/>
      <c r="C29" s="56" t="s">
        <v>249</v>
      </c>
      <c r="D29" s="1159">
        <v>1.07</v>
      </c>
      <c r="E29" s="115">
        <v>1.0329999999999999</v>
      </c>
      <c r="F29" s="57">
        <f>F27/F31</f>
        <v>1.0758729745700262</v>
      </c>
      <c r="G29" s="58">
        <f>$D29-E29</f>
        <v>3.7000000000000144E-2</v>
      </c>
      <c r="H29" s="59">
        <f>$D29-F29</f>
        <v>-5.8729745700261127E-3</v>
      </c>
      <c r="I29" s="22">
        <f>$D29/E29-1</f>
        <v>3.5818005808325504E-2</v>
      </c>
      <c r="J29" s="95">
        <f>$D29/F29-1</f>
        <v>-5.4587992345223046E-3</v>
      </c>
      <c r="K29" s="121">
        <f>F29-E29</f>
        <v>4.2872974570026257E-2</v>
      </c>
      <c r="L29" s="95">
        <f>F29/E29-1</f>
        <v>4.1503363572145568E-2</v>
      </c>
      <c r="M29" s="23"/>
      <c r="O29" s="77"/>
      <c r="P29" s="127" t="s">
        <v>242</v>
      </c>
      <c r="Q29" s="85"/>
      <c r="R29" s="85">
        <v>0.28000000000000003</v>
      </c>
      <c r="S29" s="87"/>
      <c r="T29" s="85"/>
      <c r="U29" s="85">
        <v>0.28999999999999998</v>
      </c>
      <c r="V29" s="87"/>
      <c r="W29" s="1150">
        <f t="shared" si="2"/>
        <v>-9.9999999999999534E-3</v>
      </c>
      <c r="X29" s="81"/>
      <c r="Y29" s="85">
        <f>Financials!DU28</f>
        <v>0.27999999999999969</v>
      </c>
      <c r="Z29" s="1134"/>
      <c r="AA29" s="86"/>
      <c r="AB29" s="78"/>
    </row>
    <row r="30" spans="2:29" ht="15.75" thickBot="1">
      <c r="B30" s="14"/>
      <c r="C30" s="41"/>
      <c r="D30" s="60"/>
      <c r="E30" s="110"/>
      <c r="F30" s="60"/>
      <c r="G30" s="61"/>
      <c r="H30" s="62"/>
      <c r="I30" s="103"/>
      <c r="J30" s="98"/>
      <c r="K30" s="61"/>
      <c r="L30" s="98"/>
      <c r="M30" s="63"/>
      <c r="O30" s="91"/>
      <c r="P30" s="92"/>
      <c r="Q30" s="92"/>
      <c r="R30" s="92"/>
      <c r="S30" s="92"/>
      <c r="T30" s="92"/>
      <c r="U30" s="92"/>
      <c r="V30" s="92"/>
      <c r="W30" s="92"/>
      <c r="X30" s="92"/>
      <c r="Y30" s="92"/>
      <c r="Z30" s="92"/>
      <c r="AA30" s="92"/>
      <c r="AB30" s="93"/>
    </row>
    <row r="31" spans="2:29" ht="15.75" thickBot="1">
      <c r="B31" s="14"/>
      <c r="C31" s="30" t="s">
        <v>243</v>
      </c>
      <c r="D31" s="45">
        <v>209.7</v>
      </c>
      <c r="E31" s="32">
        <f>E27/E29</f>
        <v>209.36398838334949</v>
      </c>
      <c r="F31" s="45">
        <f>Financials!CR40</f>
        <v>209.46833262718502</v>
      </c>
      <c r="G31" s="33">
        <f>$D31-E31</f>
        <v>0.33601161665049517</v>
      </c>
      <c r="H31" s="44">
        <f>$D31-F31</f>
        <v>0.23166737281496808</v>
      </c>
      <c r="I31" s="26">
        <f>$D31/E31-1</f>
        <v>1.6049160089328662E-3</v>
      </c>
      <c r="J31" s="29">
        <f>$D31/F31-1</f>
        <v>1.1059780249804696E-3</v>
      </c>
      <c r="K31" s="118">
        <f>F31-E31</f>
        <v>0.1043442438355271</v>
      </c>
      <c r="L31" s="29">
        <f>F31/E31-1</f>
        <v>4.9838677912683593E-4</v>
      </c>
      <c r="M31" s="27"/>
    </row>
    <row r="32" spans="2:29">
      <c r="B32" s="14"/>
      <c r="C32" s="41"/>
      <c r="D32" s="60"/>
      <c r="E32" s="110"/>
      <c r="F32" s="60"/>
      <c r="G32" s="61"/>
      <c r="H32" s="62"/>
      <c r="I32" s="103"/>
      <c r="J32" s="98"/>
      <c r="K32" s="120"/>
      <c r="L32" s="98"/>
      <c r="M32" s="63"/>
      <c r="O32" s="74"/>
      <c r="P32" s="75"/>
      <c r="Q32" s="75"/>
      <c r="R32" s="75"/>
      <c r="S32" s="75"/>
      <c r="T32" s="75"/>
      <c r="U32" s="75"/>
      <c r="V32" s="75"/>
      <c r="W32" s="75"/>
      <c r="X32" s="75"/>
      <c r="Y32" s="75"/>
      <c r="Z32" s="75"/>
      <c r="AA32" s="75"/>
      <c r="AB32" s="76"/>
    </row>
    <row r="33" spans="2:29">
      <c r="B33" s="14"/>
      <c r="C33" s="30" t="s">
        <v>204</v>
      </c>
      <c r="D33" s="45">
        <f>(1180.3-560)-(623.9-389.7)</f>
        <v>386.09999999999997</v>
      </c>
      <c r="E33" s="31">
        <v>-107.45</v>
      </c>
      <c r="F33" s="45">
        <f>Financials!CR176</f>
        <v>-98.880221735946634</v>
      </c>
      <c r="G33" s="33">
        <f>$D33-E33</f>
        <v>493.54999999999995</v>
      </c>
      <c r="H33" s="44">
        <f>$D33-F33</f>
        <v>484.9802217359466</v>
      </c>
      <c r="I33" s="26"/>
      <c r="J33" s="29">
        <f>$D33/F33-1</f>
        <v>-4.904724253461481</v>
      </c>
      <c r="K33" s="118"/>
      <c r="L33" s="29"/>
      <c r="M33" s="27"/>
      <c r="O33" s="77"/>
      <c r="P33" s="1211" t="s">
        <v>463</v>
      </c>
      <c r="Q33" s="1209" t="s">
        <v>390</v>
      </c>
      <c r="R33" s="1209"/>
      <c r="S33" s="1212"/>
      <c r="T33" s="1210"/>
      <c r="U33" s="1209"/>
      <c r="V33" s="1209"/>
      <c r="W33" s="1213"/>
      <c r="X33" s="1209" t="s">
        <v>229</v>
      </c>
      <c r="Y33" s="1209" t="s">
        <v>206</v>
      </c>
      <c r="Z33" s="1210" t="s">
        <v>255</v>
      </c>
      <c r="AA33" s="1209"/>
      <c r="AB33" s="78"/>
    </row>
    <row r="34" spans="2:29">
      <c r="B34" s="14"/>
      <c r="C34" s="30" t="s">
        <v>106</v>
      </c>
      <c r="D34" s="45">
        <v>170.3</v>
      </c>
      <c r="E34" s="31">
        <v>149.667</v>
      </c>
      <c r="F34" s="45">
        <f>-Financials!CR152</f>
        <v>146.68150177493652</v>
      </c>
      <c r="G34" s="33">
        <f>$D34-E34</f>
        <v>20.63300000000001</v>
      </c>
      <c r="H34" s="44">
        <f>$D34-F34</f>
        <v>23.61849822506349</v>
      </c>
      <c r="I34" s="26">
        <f>$D34/E34-1</f>
        <v>0.13785938115950747</v>
      </c>
      <c r="J34" s="29">
        <f>$D34/F34-1</f>
        <v>0.16101892835337184</v>
      </c>
      <c r="K34" s="118">
        <f>F34-E34</f>
        <v>-2.9854982250634805</v>
      </c>
      <c r="L34" s="29">
        <f>F34/E34-1</f>
        <v>-1.9947605183931572E-2</v>
      </c>
      <c r="M34" s="27"/>
      <c r="O34" s="77"/>
      <c r="P34" s="1211"/>
      <c r="Q34" s="1143" t="s">
        <v>122</v>
      </c>
      <c r="R34" s="1143" t="s">
        <v>247</v>
      </c>
      <c r="S34" s="1145" t="s">
        <v>123</v>
      </c>
      <c r="T34" s="1144"/>
      <c r="U34" s="1143"/>
      <c r="V34" s="1143"/>
      <c r="W34" s="1212"/>
      <c r="X34" s="1209"/>
      <c r="Y34" s="1209"/>
      <c r="Z34" s="1132" t="s">
        <v>177</v>
      </c>
      <c r="AA34" s="1131" t="s">
        <v>256</v>
      </c>
      <c r="AB34" s="78"/>
    </row>
    <row r="35" spans="2:29" ht="15.75" thickBot="1">
      <c r="B35" s="64"/>
      <c r="C35" s="65"/>
      <c r="D35" s="65"/>
      <c r="E35" s="65"/>
      <c r="F35" s="66"/>
      <c r="G35" s="67"/>
      <c r="H35" s="67"/>
      <c r="I35" s="67"/>
      <c r="J35" s="67"/>
      <c r="K35" s="67"/>
      <c r="L35" s="67"/>
      <c r="M35" s="68"/>
      <c r="O35" s="77"/>
      <c r="P35" s="79"/>
      <c r="Q35" s="79"/>
      <c r="R35" s="79"/>
      <c r="S35" s="78"/>
      <c r="T35" s="77"/>
      <c r="U35" s="79"/>
      <c r="V35" s="79"/>
      <c r="W35" s="1154"/>
      <c r="X35" s="949"/>
      <c r="Y35" s="79"/>
      <c r="Z35" s="1133"/>
      <c r="AA35" s="79"/>
      <c r="AB35" s="78"/>
    </row>
    <row r="36" spans="2:29" ht="15.75" thickBot="1">
      <c r="F36" s="69"/>
      <c r="G36" s="70"/>
      <c r="H36" s="70"/>
      <c r="I36" s="70"/>
      <c r="J36" s="70"/>
      <c r="K36" s="70"/>
      <c r="L36" s="70"/>
      <c r="O36" s="77"/>
      <c r="P36" s="80" t="s">
        <v>195</v>
      </c>
      <c r="Q36" s="81">
        <v>11500</v>
      </c>
      <c r="R36" s="82">
        <f>AVERAGE(Q36,S36)</f>
        <v>11650</v>
      </c>
      <c r="S36" s="83">
        <v>11800</v>
      </c>
      <c r="T36" s="1155"/>
      <c r="U36" s="82"/>
      <c r="V36" s="81"/>
      <c r="W36" s="1156"/>
      <c r="X36" s="81">
        <v>11902.818000000001</v>
      </c>
      <c r="Y36" s="81">
        <f>Financials!DW9</f>
        <v>11964.670850628036</v>
      </c>
      <c r="Z36" s="1135">
        <f>Y36-X36</f>
        <v>61.852850628034503</v>
      </c>
      <c r="AA36" s="86">
        <f>Y36/X36-1</f>
        <v>5.196487976883768E-3</v>
      </c>
      <c r="AB36" s="78"/>
    </row>
    <row r="37" spans="2:29">
      <c r="B37" s="5"/>
      <c r="C37" s="6"/>
      <c r="D37" s="6"/>
      <c r="E37" s="6"/>
      <c r="F37" s="6"/>
      <c r="G37" s="6"/>
      <c r="H37" s="6"/>
      <c r="I37" s="6"/>
      <c r="J37" s="6"/>
      <c r="K37" s="6"/>
      <c r="L37" s="6"/>
      <c r="M37" s="7"/>
      <c r="O37" s="77"/>
      <c r="P37" s="80" t="s">
        <v>248</v>
      </c>
      <c r="Q37" s="82">
        <f>Q36*$R$38</f>
        <v>1495</v>
      </c>
      <c r="R37" s="82">
        <f t="shared" ref="R37:S37" si="9">R36*$R$38</f>
        <v>1514.5</v>
      </c>
      <c r="S37" s="125">
        <f t="shared" si="9"/>
        <v>1534</v>
      </c>
      <c r="T37" s="1157"/>
      <c r="U37" s="82"/>
      <c r="V37" s="82"/>
      <c r="W37" s="1156"/>
      <c r="X37" s="81">
        <v>1569</v>
      </c>
      <c r="Y37" s="81">
        <f>Financials!DW18</f>
        <v>1431.1477602893694</v>
      </c>
      <c r="Z37" s="1135">
        <f>Y37-X37</f>
        <v>-137.85223971063056</v>
      </c>
      <c r="AA37" s="86">
        <f t="shared" ref="AA37:AA38" si="10">Y37/X37-1</f>
        <v>-8.7859936080707857E-2</v>
      </c>
      <c r="AB37" s="78"/>
    </row>
    <row r="38" spans="2:29">
      <c r="B38" s="8"/>
      <c r="C38" s="1216" t="s">
        <v>210</v>
      </c>
      <c r="D38" s="1218" t="str">
        <f>D6</f>
        <v>1Q18</v>
      </c>
      <c r="E38" s="1218" t="s">
        <v>229</v>
      </c>
      <c r="F38" s="1218" t="str">
        <f>F6</f>
        <v>MSe</v>
      </c>
      <c r="G38" s="1217" t="s">
        <v>252</v>
      </c>
      <c r="H38" s="1219"/>
      <c r="I38" s="1217" t="s">
        <v>253</v>
      </c>
      <c r="J38" s="1218"/>
      <c r="K38" s="1217" t="s">
        <v>255</v>
      </c>
      <c r="L38" s="1218"/>
      <c r="M38" s="10"/>
      <c r="O38" s="77"/>
      <c r="P38" s="84" t="s">
        <v>240</v>
      </c>
      <c r="Q38" s="85"/>
      <c r="R38" s="85">
        <v>0.13</v>
      </c>
      <c r="S38" s="87"/>
      <c r="T38" s="1158"/>
      <c r="U38" s="85"/>
      <c r="V38" s="85"/>
      <c r="W38" s="126"/>
      <c r="X38" s="86">
        <f>X37/X36</f>
        <v>0.13181752421989482</v>
      </c>
      <c r="Y38" s="86">
        <f>Y37/Y36</f>
        <v>0.11961446981337119</v>
      </c>
      <c r="Z38" s="1134">
        <f>Y38-X38</f>
        <v>-1.2203054406523625E-2</v>
      </c>
      <c r="AA38" s="86">
        <f t="shared" si="10"/>
        <v>-9.2575357326289853E-2</v>
      </c>
      <c r="AB38" s="78"/>
    </row>
    <row r="39" spans="2:29" ht="15.75" thickBot="1">
      <c r="B39" s="8"/>
      <c r="C39" s="1216"/>
      <c r="D39" s="1218"/>
      <c r="E39" s="1218"/>
      <c r="F39" s="1218"/>
      <c r="G39" s="9" t="s">
        <v>234</v>
      </c>
      <c r="H39" s="12" t="s">
        <v>235</v>
      </c>
      <c r="I39" s="100" t="s">
        <v>234</v>
      </c>
      <c r="J39" s="99" t="s">
        <v>235</v>
      </c>
      <c r="K39" s="105" t="s">
        <v>177</v>
      </c>
      <c r="L39" s="104" t="s">
        <v>256</v>
      </c>
      <c r="M39" s="10"/>
      <c r="N39" s="94"/>
      <c r="O39" s="91"/>
      <c r="P39" s="92"/>
      <c r="Q39" s="92"/>
      <c r="R39" s="92"/>
      <c r="S39" s="92"/>
      <c r="T39" s="92"/>
      <c r="U39" s="92"/>
      <c r="V39" s="92"/>
      <c r="W39" s="92"/>
      <c r="X39" s="92"/>
      <c r="Y39" s="92"/>
      <c r="Z39" s="92"/>
      <c r="AA39" s="92"/>
      <c r="AB39" s="93"/>
      <c r="AC39" s="94"/>
    </row>
    <row r="40" spans="2:29">
      <c r="B40" s="14"/>
      <c r="C40" s="15"/>
      <c r="D40" s="15"/>
      <c r="E40" s="15"/>
      <c r="F40" s="17"/>
      <c r="G40" s="14"/>
      <c r="H40" s="16"/>
      <c r="I40" s="14"/>
      <c r="J40" s="15"/>
      <c r="K40" s="14"/>
      <c r="L40" s="15"/>
      <c r="M40" s="16"/>
      <c r="N40" s="79"/>
      <c r="AC40" s="79"/>
    </row>
    <row r="41" spans="2:29">
      <c r="B41" s="14"/>
      <c r="C41" s="3" t="s">
        <v>115</v>
      </c>
      <c r="D41" s="24"/>
      <c r="E41" s="24"/>
      <c r="F41" s="25"/>
      <c r="G41" s="26"/>
      <c r="H41" s="27"/>
      <c r="I41" s="26"/>
      <c r="J41" s="29"/>
      <c r="K41" s="26"/>
      <c r="L41" s="29"/>
      <c r="M41" s="16"/>
      <c r="Q41" s="1138"/>
      <c r="R41" s="1138"/>
      <c r="S41" s="1138"/>
      <c r="T41" s="1138"/>
      <c r="U41" s="1138"/>
      <c r="V41" s="1138"/>
    </row>
    <row r="42" spans="2:29">
      <c r="B42" s="14"/>
      <c r="C42" s="30" t="s">
        <v>80</v>
      </c>
      <c r="D42" s="31">
        <v>1577.9</v>
      </c>
      <c r="E42" s="31"/>
      <c r="F42" s="31">
        <f>Segments!CR44</f>
        <v>1602.4808145994705</v>
      </c>
      <c r="G42" s="33">
        <f>$D42-E42</f>
        <v>1577.9</v>
      </c>
      <c r="H42" s="34">
        <f>$D42-F42</f>
        <v>-24.580814599470386</v>
      </c>
      <c r="I42" s="26" t="e">
        <f>$D42/E42-1</f>
        <v>#DIV/0!</v>
      </c>
      <c r="J42" s="29">
        <f>$D42/F42-1</f>
        <v>-1.5339225515541788E-2</v>
      </c>
      <c r="K42" s="118"/>
      <c r="L42" s="29"/>
      <c r="M42" s="16"/>
    </row>
    <row r="43" spans="2:29">
      <c r="B43" s="14"/>
      <c r="C43" s="30" t="s">
        <v>81</v>
      </c>
      <c r="D43" s="31">
        <v>1022.6</v>
      </c>
      <c r="E43" s="31"/>
      <c r="F43" s="31">
        <f>Segments!CR53</f>
        <v>1078.9946329564332</v>
      </c>
      <c r="G43" s="33">
        <f>$D43-E43</f>
        <v>1022.6</v>
      </c>
      <c r="H43" s="34">
        <f>$D43-F43</f>
        <v>-56.394632956433156</v>
      </c>
      <c r="I43" s="26" t="e">
        <f>$D43/E43-1</f>
        <v>#DIV/0!</v>
      </c>
      <c r="J43" s="29">
        <f>$D43/F43-1</f>
        <v>-5.2265906830243014E-2</v>
      </c>
      <c r="K43" s="118"/>
      <c r="L43" s="29"/>
      <c r="M43" s="16"/>
    </row>
    <row r="44" spans="2:29">
      <c r="B44" s="14"/>
      <c r="C44" s="41"/>
      <c r="D44" s="24"/>
      <c r="E44" s="24"/>
      <c r="F44" s="25"/>
      <c r="G44" s="33"/>
      <c r="H44" s="34"/>
      <c r="I44" s="26"/>
      <c r="J44" s="29"/>
      <c r="K44" s="118"/>
      <c r="L44" s="29"/>
      <c r="M44" s="16"/>
    </row>
    <row r="45" spans="2:29">
      <c r="B45" s="14"/>
      <c r="C45" s="47" t="s">
        <v>85</v>
      </c>
      <c r="D45" s="48"/>
      <c r="E45" s="48"/>
      <c r="F45" s="49"/>
      <c r="G45" s="33"/>
      <c r="H45" s="34"/>
      <c r="I45" s="26"/>
      <c r="J45" s="29"/>
      <c r="K45" s="118"/>
      <c r="L45" s="29"/>
      <c r="M45" s="16"/>
    </row>
    <row r="46" spans="2:29">
      <c r="B46" s="14"/>
      <c r="C46" s="30" t="s">
        <v>80</v>
      </c>
      <c r="D46" s="31">
        <v>265.89999999999998</v>
      </c>
      <c r="E46" s="31"/>
      <c r="F46" s="31">
        <f>Segments!CR79</f>
        <v>264.40933440891263</v>
      </c>
      <c r="G46" s="33">
        <f t="shared" ref="G46:H49" si="11">$D46-E46</f>
        <v>265.89999999999998</v>
      </c>
      <c r="H46" s="34">
        <f t="shared" si="11"/>
        <v>1.4906655910873496</v>
      </c>
      <c r="I46" s="26" t="e">
        <f>$D46/E46-1</f>
        <v>#DIV/0!</v>
      </c>
      <c r="J46" s="29">
        <f>$D46/F46-1</f>
        <v>5.6377192371810381E-3</v>
      </c>
      <c r="K46" s="118"/>
      <c r="L46" s="29"/>
      <c r="M46" s="16"/>
    </row>
    <row r="47" spans="2:29">
      <c r="B47" s="14"/>
      <c r="C47" s="28" t="s">
        <v>240</v>
      </c>
      <c r="D47" s="29">
        <f>D46/D42</f>
        <v>0.16851511502630076</v>
      </c>
      <c r="E47" s="29"/>
      <c r="F47" s="29">
        <f>F46/F42</f>
        <v>0.16500000000000001</v>
      </c>
      <c r="G47" s="26">
        <f t="shared" si="11"/>
        <v>0.16851511502630076</v>
      </c>
      <c r="H47" s="27">
        <f t="shared" si="11"/>
        <v>3.5151150263007525E-3</v>
      </c>
      <c r="I47" s="26"/>
      <c r="J47" s="29"/>
      <c r="K47" s="26"/>
      <c r="L47" s="29"/>
      <c r="M47" s="16"/>
    </row>
    <row r="48" spans="2:29">
      <c r="B48" s="14"/>
      <c r="C48" s="30" t="s">
        <v>246</v>
      </c>
      <c r="D48" s="31">
        <v>123.9</v>
      </c>
      <c r="E48" s="31"/>
      <c r="F48" s="31">
        <f>Segments!CR90</f>
        <v>132.71633985364127</v>
      </c>
      <c r="G48" s="33">
        <f t="shared" si="11"/>
        <v>123.9</v>
      </c>
      <c r="H48" s="34">
        <f t="shared" si="11"/>
        <v>-8.8163398536412672</v>
      </c>
      <c r="I48" s="26" t="e">
        <f>$D48/E48-1</f>
        <v>#DIV/0!</v>
      </c>
      <c r="J48" s="29">
        <f>$D48/F48-1</f>
        <v>-6.6429950248506509E-2</v>
      </c>
      <c r="K48" s="118"/>
      <c r="L48" s="29"/>
      <c r="M48" s="16"/>
    </row>
    <row r="49" spans="2:13">
      <c r="B49" s="14"/>
      <c r="C49" s="28" t="s">
        <v>240</v>
      </c>
      <c r="D49" s="29">
        <f>D48/D43</f>
        <v>0.12116174457265794</v>
      </c>
      <c r="E49" s="29"/>
      <c r="F49" s="29">
        <f>F48/F43</f>
        <v>0.123</v>
      </c>
      <c r="G49" s="26">
        <f t="shared" si="11"/>
        <v>0.12116174457265794</v>
      </c>
      <c r="H49" s="27">
        <f t="shared" si="11"/>
        <v>-1.8382554273420615E-3</v>
      </c>
      <c r="I49" s="26"/>
      <c r="J49" s="29"/>
      <c r="K49" s="26"/>
      <c r="L49" s="29"/>
      <c r="M49" s="16"/>
    </row>
    <row r="50" spans="2:13" ht="15.75" thickBot="1">
      <c r="B50" s="64"/>
      <c r="C50" s="65"/>
      <c r="D50" s="65"/>
      <c r="E50" s="65"/>
      <c r="F50" s="71"/>
      <c r="G50" s="66"/>
      <c r="H50" s="66"/>
      <c r="I50" s="65"/>
      <c r="J50" s="65"/>
      <c r="K50" s="65"/>
      <c r="L50" s="65"/>
      <c r="M50" s="68"/>
    </row>
    <row r="54" spans="2:13">
      <c r="F54" s="69"/>
      <c r="G54" s="70"/>
      <c r="H54" s="70"/>
      <c r="I54" s="70"/>
      <c r="J54" s="70"/>
      <c r="K54" s="70"/>
      <c r="L54" s="70"/>
    </row>
    <row r="55" spans="2:13">
      <c r="F55" s="69"/>
    </row>
    <row r="56" spans="2:13">
      <c r="F56" s="69"/>
    </row>
    <row r="57" spans="2:13">
      <c r="F57" s="69"/>
    </row>
    <row r="58" spans="2:13">
      <c r="F58" s="69"/>
    </row>
  </sheetData>
  <mergeCells count="35">
    <mergeCell ref="Q33:S33"/>
    <mergeCell ref="Y33:Y34"/>
    <mergeCell ref="Z33:AA33"/>
    <mergeCell ref="P33:P34"/>
    <mergeCell ref="X33:X34"/>
    <mergeCell ref="W33:W34"/>
    <mergeCell ref="T33:V33"/>
    <mergeCell ref="C38:C39"/>
    <mergeCell ref="K6:L6"/>
    <mergeCell ref="C6:C7"/>
    <mergeCell ref="D6:D7"/>
    <mergeCell ref="E6:E7"/>
    <mergeCell ref="F6:F7"/>
    <mergeCell ref="G6:H6"/>
    <mergeCell ref="I6:J6"/>
    <mergeCell ref="D38:D39"/>
    <mergeCell ref="E38:E39"/>
    <mergeCell ref="F38:F39"/>
    <mergeCell ref="G38:H38"/>
    <mergeCell ref="I38:J38"/>
    <mergeCell ref="K38:L38"/>
    <mergeCell ref="Y6:Y7"/>
    <mergeCell ref="Z6:AA6"/>
    <mergeCell ref="P15:P16"/>
    <mergeCell ref="X15:X16"/>
    <mergeCell ref="Y15:Y16"/>
    <mergeCell ref="Z15:AA15"/>
    <mergeCell ref="P6:P7"/>
    <mergeCell ref="X6:X7"/>
    <mergeCell ref="T6:V6"/>
    <mergeCell ref="Q15:S15"/>
    <mergeCell ref="T15:V15"/>
    <mergeCell ref="W6:W7"/>
    <mergeCell ref="W15:W16"/>
    <mergeCell ref="Q6:S6"/>
  </mergeCells>
  <conditionalFormatting sqref="G21:J25 G27:J31 G9:J19 G42:J49 L42:L49">
    <cfRule type="cellIs" dxfId="61" priority="32" stopIfTrue="1" operator="lessThan">
      <formula>0</formula>
    </cfRule>
  </conditionalFormatting>
  <conditionalFormatting sqref="G20:J20">
    <cfRule type="cellIs" dxfId="60" priority="30" stopIfTrue="1" operator="lessThan">
      <formula>0</formula>
    </cfRule>
  </conditionalFormatting>
  <conditionalFormatting sqref="G26:J26">
    <cfRule type="cellIs" dxfId="59" priority="29" stopIfTrue="1" operator="lessThan">
      <formula>0</formula>
    </cfRule>
  </conditionalFormatting>
  <conditionalFormatting sqref="G32:J34">
    <cfRule type="cellIs" dxfId="58" priority="14" stopIfTrue="1" operator="lessThan">
      <formula>0</formula>
    </cfRule>
  </conditionalFormatting>
  <conditionalFormatting sqref="L9:L34 K12 K15 K18 K25">
    <cfRule type="cellIs" dxfId="57" priority="9" stopIfTrue="1" operator="lessThan">
      <formula>0</formula>
    </cfRule>
  </conditionalFormatting>
  <conditionalFormatting sqref="K49 K47">
    <cfRule type="cellIs" dxfId="56" priority="7" stopIfTrue="1" operator="lessThan">
      <formula>0</formula>
    </cfRule>
  </conditionalFormatting>
  <conditionalFormatting sqref="Z10:AA10 AA9 AA11 AA36:AA38">
    <cfRule type="cellIs" dxfId="55" priority="6" operator="lessThan">
      <formula>0</formula>
    </cfRule>
  </conditionalFormatting>
  <conditionalFormatting sqref="AA18:AA29 Z26 Z28:Z29 Z21 Z19">
    <cfRule type="cellIs" dxfId="54" priority="5" operator="lessThan">
      <formula>0</formula>
    </cfRule>
  </conditionalFormatting>
  <conditionalFormatting sqref="Z38">
    <cfRule type="cellIs" dxfId="53" priority="4" operator="lessThan">
      <formula>0</formula>
    </cfRule>
  </conditionalFormatting>
  <conditionalFormatting sqref="W19 W21 W26">
    <cfRule type="cellIs" dxfId="52" priority="3" operator="lessThan">
      <formula>0</formula>
    </cfRule>
  </conditionalFormatting>
  <conditionalFormatting sqref="W10">
    <cfRule type="cellIs" dxfId="51" priority="2" operator="lessThan">
      <formula>0</formula>
    </cfRule>
  </conditionalFormatting>
  <conditionalFormatting sqref="W38">
    <cfRule type="cellIs" dxfId="50" priority="1" operator="lessThan">
      <formula>0</formula>
    </cfRule>
  </conditionalFormatting>
  <pageMargins left="0" right="0" top="0" bottom="0" header="0" footer="0"/>
  <pageSetup paperSize="5" scale="82" orientation="landscape"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A1:IO50"/>
  <sheetViews>
    <sheetView zoomScale="85" zoomScaleNormal="85" workbookViewId="0">
      <selection activeCell="J27" sqref="J27"/>
    </sheetView>
  </sheetViews>
  <sheetFormatPr defaultRowHeight="15" outlineLevelCol="1"/>
  <cols>
    <col min="1" max="2" width="3.140625" style="202" customWidth="1"/>
    <col min="3" max="3" width="38.85546875" style="204" bestFit="1" customWidth="1"/>
    <col min="4" max="6" width="10.28515625" style="204" customWidth="1"/>
    <col min="7" max="7" width="10.28515625" style="204" hidden="1" customWidth="1" outlineLevel="1"/>
    <col min="8" max="8" width="10.28515625" style="204" customWidth="1" collapsed="1"/>
    <col min="9" max="10" width="10.28515625" style="204" customWidth="1"/>
    <col min="11" max="11" width="10.28515625" style="204" hidden="1" customWidth="1" outlineLevel="1"/>
    <col min="12" max="12" width="10.28515625" style="204" customWidth="1" collapsed="1"/>
    <col min="13" max="14" width="10.28515625" style="204" customWidth="1"/>
    <col min="15" max="15" width="10.28515625" style="204" hidden="1" customWidth="1" outlineLevel="1"/>
    <col min="16" max="16" width="3.140625" style="204" customWidth="1" collapsed="1"/>
    <col min="17" max="17" width="3.140625" style="205" customWidth="1"/>
    <col min="18" max="220" width="9.140625" style="202"/>
    <col min="221" max="222" width="3.140625" style="202" customWidth="1"/>
    <col min="223" max="223" width="38.85546875" style="202" bestFit="1" customWidth="1"/>
    <col min="224" max="224" width="9.140625" style="202" customWidth="1"/>
    <col min="225" max="226" width="10.28515625" style="202" customWidth="1"/>
    <col min="227" max="230" width="9.140625" style="202" customWidth="1"/>
    <col min="231" max="231" width="9.140625" style="206"/>
    <col min="232" max="16384" width="9.140625" style="207"/>
  </cols>
  <sheetData>
    <row r="1" spans="1:249">
      <c r="A1" s="204"/>
      <c r="B1" s="204"/>
    </row>
    <row r="2" spans="1:249">
      <c r="A2" s="204"/>
      <c r="B2" s="343" t="s">
        <v>244</v>
      </c>
    </row>
    <row r="3" spans="1:249">
      <c r="A3" s="204"/>
      <c r="B3" s="203" t="s">
        <v>279</v>
      </c>
    </row>
    <row r="4" spans="1:249" ht="15.75" thickBot="1"/>
    <row r="5" spans="1:249">
      <c r="B5" s="208"/>
      <c r="C5" s="209"/>
      <c r="D5" s="209"/>
      <c r="E5" s="209"/>
      <c r="F5" s="209"/>
      <c r="G5" s="209"/>
      <c r="H5" s="209"/>
      <c r="I5" s="209"/>
      <c r="J5" s="209"/>
      <c r="K5" s="209"/>
      <c r="L5" s="209"/>
      <c r="M5" s="209"/>
      <c r="N5" s="209"/>
      <c r="O5" s="209"/>
      <c r="P5" s="210"/>
    </row>
    <row r="6" spans="1:249" s="218" customFormat="1">
      <c r="A6" s="211"/>
      <c r="B6" s="212"/>
      <c r="C6" s="213" t="s">
        <v>232</v>
      </c>
      <c r="D6" s="1207" t="s">
        <v>418</v>
      </c>
      <c r="E6" s="1146" t="s">
        <v>280</v>
      </c>
      <c r="F6" s="1146" t="s">
        <v>250</v>
      </c>
      <c r="G6" s="214" t="s">
        <v>281</v>
      </c>
      <c r="H6" s="215" t="s">
        <v>268</v>
      </c>
      <c r="I6" s="122" t="s">
        <v>280</v>
      </c>
      <c r="J6" s="122" t="s">
        <v>250</v>
      </c>
      <c r="K6" s="214" t="s">
        <v>281</v>
      </c>
      <c r="L6" s="215" t="s">
        <v>277</v>
      </c>
      <c r="M6" s="122" t="s">
        <v>280</v>
      </c>
      <c r="N6" s="122" t="s">
        <v>250</v>
      </c>
      <c r="O6" s="1146" t="s">
        <v>281</v>
      </c>
      <c r="P6" s="216"/>
      <c r="Q6" s="217"/>
      <c r="R6" s="211"/>
      <c r="S6" s="211"/>
      <c r="T6" s="211"/>
      <c r="U6" s="211"/>
      <c r="V6" s="211"/>
      <c r="W6" s="211"/>
      <c r="X6" s="211"/>
      <c r="Y6" s="211"/>
      <c r="Z6" s="211"/>
      <c r="AA6" s="211"/>
      <c r="AB6" s="211"/>
      <c r="AC6" s="211"/>
      <c r="AD6" s="211"/>
      <c r="AE6" s="211"/>
      <c r="AF6" s="211"/>
      <c r="AG6" s="211"/>
      <c r="AH6" s="211"/>
      <c r="AI6" s="211"/>
      <c r="AJ6" s="211"/>
      <c r="AK6" s="211"/>
      <c r="AL6" s="211"/>
      <c r="AM6" s="211"/>
      <c r="AN6" s="211"/>
      <c r="AO6" s="211"/>
      <c r="AP6" s="211"/>
      <c r="AQ6" s="211"/>
      <c r="AR6" s="211"/>
      <c r="AS6" s="211"/>
      <c r="AT6" s="211"/>
      <c r="AU6" s="211"/>
      <c r="AV6" s="211"/>
      <c r="AW6" s="211"/>
      <c r="AX6" s="211"/>
      <c r="AY6" s="211"/>
      <c r="AZ6" s="211"/>
      <c r="BA6" s="211"/>
      <c r="BB6" s="211"/>
      <c r="BC6" s="211"/>
      <c r="BD6" s="211"/>
      <c r="BE6" s="211"/>
      <c r="BF6" s="211"/>
      <c r="BG6" s="211"/>
      <c r="BH6" s="211"/>
      <c r="BI6" s="211"/>
      <c r="BJ6" s="211"/>
      <c r="BK6" s="211"/>
      <c r="BL6" s="211"/>
      <c r="BM6" s="211"/>
      <c r="BN6" s="211"/>
      <c r="BO6" s="211"/>
      <c r="BP6" s="211"/>
      <c r="BQ6" s="211"/>
      <c r="BR6" s="211"/>
      <c r="BS6" s="211"/>
      <c r="BT6" s="211"/>
      <c r="BU6" s="211"/>
      <c r="BV6" s="211"/>
      <c r="BW6" s="211"/>
      <c r="BX6" s="211"/>
      <c r="BY6" s="211"/>
      <c r="BZ6" s="211"/>
      <c r="CA6" s="211"/>
      <c r="CB6" s="211"/>
      <c r="CC6" s="211"/>
      <c r="CD6" s="211"/>
      <c r="CE6" s="211"/>
      <c r="CF6" s="211"/>
      <c r="CG6" s="211"/>
      <c r="CH6" s="211"/>
      <c r="CI6" s="211"/>
      <c r="CJ6" s="211"/>
      <c r="CK6" s="211"/>
      <c r="CL6" s="211"/>
      <c r="CM6" s="211"/>
      <c r="CN6" s="211"/>
      <c r="CO6" s="211"/>
      <c r="CP6" s="211"/>
      <c r="CQ6" s="211"/>
      <c r="CR6" s="211"/>
      <c r="CS6" s="211"/>
      <c r="CT6" s="211"/>
      <c r="CU6" s="211"/>
      <c r="CV6" s="211"/>
      <c r="CW6" s="211"/>
      <c r="CX6" s="211"/>
      <c r="CY6" s="211"/>
      <c r="CZ6" s="211"/>
      <c r="DA6" s="211"/>
      <c r="DB6" s="211"/>
      <c r="DC6" s="211"/>
      <c r="DD6" s="211"/>
      <c r="DE6" s="211"/>
      <c r="DF6" s="211"/>
      <c r="DG6" s="211"/>
      <c r="DH6" s="211"/>
      <c r="DI6" s="211"/>
      <c r="DJ6" s="211"/>
      <c r="DK6" s="211"/>
      <c r="DL6" s="211"/>
      <c r="DM6" s="211"/>
      <c r="DN6" s="211"/>
      <c r="DO6" s="211"/>
      <c r="DP6" s="211"/>
      <c r="DQ6" s="211"/>
      <c r="DR6" s="211"/>
      <c r="DS6" s="211"/>
      <c r="DT6" s="211"/>
      <c r="DU6" s="211"/>
      <c r="DV6" s="211"/>
      <c r="DW6" s="211"/>
      <c r="DX6" s="211"/>
      <c r="DY6" s="211"/>
      <c r="DZ6" s="211"/>
      <c r="EA6" s="211"/>
      <c r="EB6" s="211"/>
      <c r="EC6" s="211"/>
      <c r="ED6" s="211"/>
      <c r="EE6" s="211"/>
      <c r="EF6" s="211"/>
      <c r="EG6" s="211"/>
      <c r="EH6" s="211"/>
      <c r="EI6" s="211"/>
      <c r="EJ6" s="211"/>
      <c r="EK6" s="211"/>
      <c r="EL6" s="211"/>
      <c r="EM6" s="211"/>
      <c r="EN6" s="211"/>
      <c r="EO6" s="211"/>
      <c r="EP6" s="211"/>
      <c r="EQ6" s="211"/>
      <c r="ER6" s="211"/>
      <c r="ES6" s="211"/>
      <c r="ET6" s="211"/>
      <c r="EU6" s="211"/>
      <c r="EV6" s="211"/>
      <c r="EW6" s="211"/>
      <c r="EX6" s="211"/>
      <c r="EY6" s="211"/>
      <c r="EZ6" s="211"/>
      <c r="FA6" s="211"/>
      <c r="FB6" s="211"/>
      <c r="FC6" s="211"/>
      <c r="FD6" s="211"/>
      <c r="FE6" s="211"/>
      <c r="FF6" s="211"/>
      <c r="FG6" s="211"/>
      <c r="FH6" s="211"/>
      <c r="FI6" s="211"/>
      <c r="FJ6" s="211"/>
      <c r="FK6" s="211"/>
      <c r="FL6" s="211"/>
      <c r="FM6" s="211"/>
      <c r="FN6" s="211"/>
      <c r="FO6" s="211"/>
      <c r="FP6" s="211"/>
      <c r="FQ6" s="211"/>
      <c r="FR6" s="211"/>
      <c r="FS6" s="211"/>
      <c r="FT6" s="211"/>
      <c r="FU6" s="211"/>
      <c r="FV6" s="211"/>
      <c r="FW6" s="211"/>
      <c r="FX6" s="211"/>
      <c r="FY6" s="211"/>
      <c r="FZ6" s="211"/>
      <c r="GA6" s="211"/>
      <c r="GB6" s="211"/>
      <c r="GC6" s="211"/>
      <c r="GD6" s="211"/>
      <c r="GE6" s="211"/>
      <c r="GF6" s="211"/>
      <c r="GG6" s="211"/>
      <c r="GH6" s="211"/>
      <c r="GI6" s="211"/>
      <c r="GJ6" s="211"/>
      <c r="GK6" s="211"/>
      <c r="GL6" s="211"/>
      <c r="GM6" s="211"/>
      <c r="GN6" s="211"/>
      <c r="GO6" s="211"/>
      <c r="GP6" s="211"/>
      <c r="GQ6" s="211"/>
      <c r="GR6" s="211"/>
      <c r="GS6" s="211"/>
      <c r="GT6" s="211"/>
      <c r="GU6" s="211"/>
      <c r="GV6" s="211"/>
      <c r="GW6" s="211"/>
      <c r="GX6" s="211"/>
      <c r="GY6" s="211"/>
      <c r="GZ6" s="211"/>
      <c r="HA6" s="211"/>
      <c r="HB6" s="211"/>
      <c r="HC6" s="211"/>
      <c r="HD6" s="211"/>
      <c r="HE6" s="211"/>
      <c r="HF6" s="211"/>
      <c r="HG6" s="211"/>
      <c r="HH6" s="211"/>
      <c r="HI6" s="211"/>
      <c r="HJ6" s="211"/>
      <c r="HK6" s="211"/>
      <c r="HL6" s="211"/>
      <c r="HM6" s="211"/>
      <c r="HN6" s="211"/>
      <c r="HO6" s="211"/>
      <c r="HP6" s="211"/>
      <c r="HQ6" s="211"/>
      <c r="HR6" s="211"/>
      <c r="HS6" s="211"/>
      <c r="HT6" s="211"/>
      <c r="HU6" s="211"/>
      <c r="HV6" s="211"/>
      <c r="HX6" s="219"/>
      <c r="HY6" s="219"/>
      <c r="HZ6" s="219"/>
      <c r="IA6" s="219"/>
      <c r="IB6" s="219"/>
      <c r="IC6" s="219"/>
      <c r="ID6" s="219"/>
      <c r="IE6" s="219"/>
      <c r="IF6" s="219"/>
      <c r="IG6" s="219"/>
      <c r="IH6" s="219"/>
      <c r="II6" s="219"/>
      <c r="IJ6" s="219"/>
      <c r="IK6" s="219"/>
      <c r="IL6" s="219"/>
      <c r="IM6" s="219"/>
      <c r="IN6" s="219"/>
      <c r="IO6" s="219"/>
    </row>
    <row r="7" spans="1:249" s="206" customFormat="1">
      <c r="A7" s="202"/>
      <c r="B7" s="220"/>
      <c r="C7" s="204"/>
      <c r="D7" s="204"/>
      <c r="E7" s="204"/>
      <c r="F7" s="204"/>
      <c r="G7" s="221"/>
      <c r="H7" s="222"/>
      <c r="I7" s="204"/>
      <c r="J7" s="204"/>
      <c r="K7" s="221"/>
      <c r="L7" s="222"/>
      <c r="M7" s="204"/>
      <c r="N7" s="204"/>
      <c r="O7" s="204"/>
      <c r="P7" s="223"/>
      <c r="Q7" s="205"/>
      <c r="R7" s="202"/>
      <c r="S7" s="202"/>
      <c r="T7" s="202"/>
      <c r="U7" s="202"/>
      <c r="V7" s="202"/>
      <c r="W7" s="202"/>
      <c r="X7" s="202"/>
      <c r="Y7" s="202"/>
      <c r="Z7" s="202"/>
      <c r="AA7" s="202"/>
      <c r="AB7" s="202"/>
      <c r="AC7" s="202"/>
      <c r="AD7" s="202"/>
      <c r="AE7" s="202"/>
      <c r="AF7" s="202"/>
      <c r="AG7" s="202"/>
      <c r="AH7" s="202"/>
      <c r="AI7" s="202"/>
      <c r="AJ7" s="202"/>
      <c r="AK7" s="202"/>
      <c r="AL7" s="202"/>
      <c r="AM7" s="202"/>
      <c r="AN7" s="202"/>
      <c r="AO7" s="202"/>
      <c r="AP7" s="202"/>
      <c r="AQ7" s="202"/>
      <c r="AR7" s="202"/>
      <c r="AS7" s="202"/>
      <c r="AT7" s="202"/>
      <c r="AU7" s="202"/>
      <c r="AV7" s="202"/>
      <c r="AW7" s="202"/>
      <c r="AX7" s="202"/>
      <c r="AY7" s="202"/>
      <c r="AZ7" s="202"/>
      <c r="BA7" s="202"/>
      <c r="BB7" s="202"/>
      <c r="BC7" s="202"/>
      <c r="BD7" s="202"/>
      <c r="BE7" s="202"/>
      <c r="BF7" s="202"/>
      <c r="BG7" s="202"/>
      <c r="BH7" s="202"/>
      <c r="BI7" s="202"/>
      <c r="BJ7" s="202"/>
      <c r="BK7" s="202"/>
      <c r="BL7" s="202"/>
      <c r="BM7" s="202"/>
      <c r="BN7" s="202"/>
      <c r="BO7" s="202"/>
      <c r="BP7" s="202"/>
      <c r="BQ7" s="202"/>
      <c r="BR7" s="202"/>
      <c r="BS7" s="202"/>
      <c r="BT7" s="202"/>
      <c r="BU7" s="202"/>
      <c r="BV7" s="202"/>
      <c r="BW7" s="202"/>
      <c r="BX7" s="202"/>
      <c r="BY7" s="202"/>
      <c r="BZ7" s="202"/>
      <c r="CA7" s="202"/>
      <c r="CB7" s="202"/>
      <c r="CC7" s="202"/>
      <c r="CD7" s="202"/>
      <c r="CE7" s="202"/>
      <c r="CF7" s="202"/>
      <c r="CG7" s="202"/>
      <c r="CH7" s="202"/>
      <c r="CI7" s="202"/>
      <c r="CJ7" s="202"/>
      <c r="CK7" s="202"/>
      <c r="CL7" s="202"/>
      <c r="CM7" s="202"/>
      <c r="CN7" s="202"/>
      <c r="CO7" s="202"/>
      <c r="CP7" s="202"/>
      <c r="CQ7" s="202"/>
      <c r="CR7" s="202"/>
      <c r="CS7" s="202"/>
      <c r="CT7" s="202"/>
      <c r="CU7" s="202"/>
      <c r="CV7" s="202"/>
      <c r="CW7" s="202"/>
      <c r="CX7" s="202"/>
      <c r="CY7" s="202"/>
      <c r="CZ7" s="202"/>
      <c r="DA7" s="202"/>
      <c r="DB7" s="202"/>
      <c r="DC7" s="202"/>
      <c r="DD7" s="202"/>
      <c r="DE7" s="202"/>
      <c r="DF7" s="202"/>
      <c r="DG7" s="202"/>
      <c r="DH7" s="202"/>
      <c r="DI7" s="202"/>
      <c r="DJ7" s="202"/>
      <c r="DK7" s="202"/>
      <c r="DL7" s="202"/>
      <c r="DM7" s="202"/>
      <c r="DN7" s="202"/>
      <c r="DO7" s="202"/>
      <c r="DP7" s="202"/>
      <c r="DQ7" s="202"/>
      <c r="DR7" s="202"/>
      <c r="DS7" s="202"/>
      <c r="DT7" s="202"/>
      <c r="DU7" s="202"/>
      <c r="DV7" s="202"/>
      <c r="DW7" s="202"/>
      <c r="DX7" s="202"/>
      <c r="DY7" s="202"/>
      <c r="DZ7" s="202"/>
      <c r="EA7" s="202"/>
      <c r="EB7" s="202"/>
      <c r="EC7" s="202"/>
      <c r="ED7" s="202"/>
      <c r="EE7" s="202"/>
      <c r="EF7" s="202"/>
      <c r="EG7" s="202"/>
      <c r="EH7" s="202"/>
      <c r="EI7" s="202"/>
      <c r="EJ7" s="202"/>
      <c r="EK7" s="202"/>
      <c r="EL7" s="202"/>
      <c r="EM7" s="202"/>
      <c r="EN7" s="202"/>
      <c r="EO7" s="202"/>
      <c r="EP7" s="202"/>
      <c r="EQ7" s="202"/>
      <c r="ER7" s="202"/>
      <c r="ES7" s="202"/>
      <c r="ET7" s="202"/>
      <c r="EU7" s="202"/>
      <c r="EV7" s="202"/>
      <c r="EW7" s="202"/>
      <c r="EX7" s="202"/>
      <c r="EY7" s="202"/>
      <c r="EZ7" s="202"/>
      <c r="FA7" s="202"/>
      <c r="FB7" s="202"/>
      <c r="FC7" s="202"/>
      <c r="FD7" s="202"/>
      <c r="FE7" s="202"/>
      <c r="FF7" s="202"/>
      <c r="FG7" s="202"/>
      <c r="FH7" s="202"/>
      <c r="FI7" s="202"/>
      <c r="FJ7" s="202"/>
      <c r="FK7" s="202"/>
      <c r="FL7" s="202"/>
      <c r="FM7" s="202"/>
      <c r="FN7" s="202"/>
      <c r="FO7" s="202"/>
      <c r="FP7" s="202"/>
      <c r="FQ7" s="202"/>
      <c r="FR7" s="202"/>
      <c r="FS7" s="202"/>
      <c r="FT7" s="202"/>
      <c r="FU7" s="202"/>
      <c r="FV7" s="202"/>
      <c r="FW7" s="202"/>
      <c r="FX7" s="202"/>
      <c r="FY7" s="202"/>
      <c r="FZ7" s="202"/>
      <c r="GA7" s="202"/>
      <c r="GB7" s="202"/>
      <c r="GC7" s="202"/>
      <c r="GD7" s="202"/>
      <c r="GE7" s="202"/>
      <c r="GF7" s="202"/>
      <c r="GG7" s="202"/>
      <c r="GH7" s="202"/>
      <c r="GI7" s="202"/>
      <c r="GJ7" s="202"/>
      <c r="GK7" s="202"/>
      <c r="GL7" s="202"/>
      <c r="GM7" s="202"/>
      <c r="GN7" s="202"/>
      <c r="GO7" s="202"/>
      <c r="GP7" s="202"/>
      <c r="GQ7" s="202"/>
      <c r="GR7" s="202"/>
      <c r="GS7" s="202"/>
      <c r="GT7" s="202"/>
      <c r="GU7" s="202"/>
      <c r="GV7" s="202"/>
      <c r="GW7" s="202"/>
      <c r="GX7" s="202"/>
      <c r="GY7" s="202"/>
      <c r="GZ7" s="202"/>
      <c r="HA7" s="202"/>
      <c r="HB7" s="202"/>
      <c r="HC7" s="202"/>
      <c r="HD7" s="202"/>
      <c r="HE7" s="202"/>
      <c r="HF7" s="202"/>
      <c r="HG7" s="202"/>
      <c r="HH7" s="202"/>
      <c r="HI7" s="202"/>
      <c r="HJ7" s="202"/>
      <c r="HK7" s="202"/>
      <c r="HL7" s="202"/>
      <c r="HM7" s="202"/>
      <c r="HN7" s="202"/>
      <c r="HO7" s="202"/>
      <c r="HP7" s="202"/>
      <c r="HQ7" s="202"/>
      <c r="HR7" s="202"/>
      <c r="HS7" s="202"/>
      <c r="HT7" s="202"/>
      <c r="HU7" s="202"/>
      <c r="HV7" s="202"/>
      <c r="HX7" s="207"/>
      <c r="HY7" s="207"/>
      <c r="HZ7" s="207"/>
      <c r="IA7" s="207"/>
      <c r="IB7" s="207"/>
      <c r="IC7" s="207"/>
      <c r="ID7" s="207"/>
      <c r="IE7" s="207"/>
      <c r="IF7" s="207"/>
      <c r="IG7" s="207"/>
      <c r="IH7" s="207"/>
      <c r="II7" s="207"/>
      <c r="IJ7" s="207"/>
      <c r="IK7" s="207"/>
      <c r="IL7" s="207"/>
      <c r="IM7" s="207"/>
      <c r="IN7" s="207"/>
      <c r="IO7" s="207"/>
    </row>
    <row r="8" spans="1:249" s="206" customFormat="1">
      <c r="A8" s="202"/>
      <c r="B8" s="220"/>
      <c r="C8" s="224" t="s">
        <v>195</v>
      </c>
      <c r="D8" s="226">
        <f>Financials!$CR$9</f>
        <v>2666.9363959079369</v>
      </c>
      <c r="E8" s="226">
        <v>2652.2436355181749</v>
      </c>
      <c r="F8" s="227">
        <f>D8-E8</f>
        <v>14.692760389762043</v>
      </c>
      <c r="G8" s="228"/>
      <c r="H8" s="354">
        <f>Financials!$DU$9</f>
        <v>10820.342663215657</v>
      </c>
      <c r="I8" s="226">
        <v>10660.062161437027</v>
      </c>
      <c r="J8" s="227">
        <f>H8-I8</f>
        <v>160.28050177863042</v>
      </c>
      <c r="K8" s="228"/>
      <c r="L8" s="354">
        <f>Financials!$DV$9</f>
        <v>11422.830125400336</v>
      </c>
      <c r="M8" s="226">
        <v>11208.6166440703</v>
      </c>
      <c r="N8" s="227">
        <f>L8-M8</f>
        <v>214.2134813300363</v>
      </c>
      <c r="O8" s="230"/>
      <c r="P8" s="231"/>
      <c r="Q8" s="205"/>
      <c r="R8" s="202"/>
      <c r="S8" s="202"/>
      <c r="T8" s="202"/>
      <c r="U8" s="202"/>
      <c r="V8" s="202"/>
      <c r="W8" s="202"/>
      <c r="X8" s="202"/>
      <c r="Y8" s="202"/>
      <c r="Z8" s="202"/>
      <c r="AA8" s="202"/>
      <c r="AB8" s="202"/>
      <c r="AC8" s="202"/>
      <c r="AD8" s="202"/>
      <c r="AE8" s="202"/>
      <c r="AF8" s="202"/>
      <c r="AG8" s="202"/>
      <c r="AH8" s="202"/>
      <c r="AI8" s="202"/>
      <c r="AJ8" s="202"/>
      <c r="AK8" s="202"/>
      <c r="AL8" s="202"/>
      <c r="AM8" s="202"/>
      <c r="AN8" s="202"/>
      <c r="AO8" s="202"/>
      <c r="AP8" s="202"/>
      <c r="AQ8" s="202"/>
      <c r="AR8" s="202"/>
      <c r="AS8" s="202"/>
      <c r="AT8" s="202"/>
      <c r="AU8" s="202"/>
      <c r="AV8" s="202"/>
      <c r="AW8" s="202"/>
      <c r="AX8" s="202"/>
      <c r="AY8" s="202"/>
      <c r="AZ8" s="202"/>
      <c r="BA8" s="202"/>
      <c r="BB8" s="202"/>
      <c r="BC8" s="202"/>
      <c r="BD8" s="202"/>
      <c r="BE8" s="202"/>
      <c r="BF8" s="202"/>
      <c r="BG8" s="202"/>
      <c r="BH8" s="202"/>
      <c r="BI8" s="202"/>
      <c r="BJ8" s="202"/>
      <c r="BK8" s="202"/>
      <c r="BL8" s="202"/>
      <c r="BM8" s="202"/>
      <c r="BN8" s="202"/>
      <c r="BO8" s="202"/>
      <c r="BP8" s="202"/>
      <c r="BQ8" s="202"/>
      <c r="BR8" s="202"/>
      <c r="BS8" s="202"/>
      <c r="BT8" s="202"/>
      <c r="BU8" s="202"/>
      <c r="BV8" s="202"/>
      <c r="BW8" s="202"/>
      <c r="BX8" s="202"/>
      <c r="BY8" s="202"/>
      <c r="BZ8" s="202"/>
      <c r="CA8" s="202"/>
      <c r="CB8" s="202"/>
      <c r="CC8" s="202"/>
      <c r="CD8" s="202"/>
      <c r="CE8" s="202"/>
      <c r="CF8" s="202"/>
      <c r="CG8" s="202"/>
      <c r="CH8" s="202"/>
      <c r="CI8" s="202"/>
      <c r="CJ8" s="202"/>
      <c r="CK8" s="202"/>
      <c r="CL8" s="202"/>
      <c r="CM8" s="202"/>
      <c r="CN8" s="202"/>
      <c r="CO8" s="202"/>
      <c r="CP8" s="202"/>
      <c r="CQ8" s="202"/>
      <c r="CR8" s="202"/>
      <c r="CS8" s="202"/>
      <c r="CT8" s="202"/>
      <c r="CU8" s="202"/>
      <c r="CV8" s="202"/>
      <c r="CW8" s="202"/>
      <c r="CX8" s="202"/>
      <c r="CY8" s="202"/>
      <c r="CZ8" s="202"/>
      <c r="DA8" s="202"/>
      <c r="DB8" s="202"/>
      <c r="DC8" s="202"/>
      <c r="DD8" s="202"/>
      <c r="DE8" s="202"/>
      <c r="DF8" s="202"/>
      <c r="DG8" s="202"/>
      <c r="DH8" s="202"/>
      <c r="DI8" s="202"/>
      <c r="DJ8" s="202"/>
      <c r="DK8" s="202"/>
      <c r="DL8" s="202"/>
      <c r="DM8" s="202"/>
      <c r="DN8" s="202"/>
      <c r="DO8" s="202"/>
      <c r="DP8" s="202"/>
      <c r="DQ8" s="202"/>
      <c r="DR8" s="202"/>
      <c r="DS8" s="202"/>
      <c r="DT8" s="202"/>
      <c r="DU8" s="202"/>
      <c r="DV8" s="202"/>
      <c r="DW8" s="202"/>
      <c r="DX8" s="202"/>
      <c r="DY8" s="202"/>
      <c r="DZ8" s="202"/>
      <c r="EA8" s="202"/>
      <c r="EB8" s="202"/>
      <c r="EC8" s="202"/>
      <c r="ED8" s="202"/>
      <c r="EE8" s="202"/>
      <c r="EF8" s="202"/>
      <c r="EG8" s="202"/>
      <c r="EH8" s="202"/>
      <c r="EI8" s="202"/>
      <c r="EJ8" s="202"/>
      <c r="EK8" s="202"/>
      <c r="EL8" s="202"/>
      <c r="EM8" s="202"/>
      <c r="EN8" s="202"/>
      <c r="EO8" s="202"/>
      <c r="EP8" s="202"/>
      <c r="EQ8" s="202"/>
      <c r="ER8" s="202"/>
      <c r="ES8" s="202"/>
      <c r="ET8" s="202"/>
      <c r="EU8" s="202"/>
      <c r="EV8" s="202"/>
      <c r="EW8" s="202"/>
      <c r="EX8" s="202"/>
      <c r="EY8" s="202"/>
      <c r="EZ8" s="202"/>
      <c r="FA8" s="202"/>
      <c r="FB8" s="202"/>
      <c r="FC8" s="202"/>
      <c r="FD8" s="202"/>
      <c r="FE8" s="202"/>
      <c r="FF8" s="202"/>
      <c r="FG8" s="202"/>
      <c r="FH8" s="202"/>
      <c r="FI8" s="202"/>
      <c r="FJ8" s="202"/>
      <c r="FK8" s="202"/>
      <c r="FL8" s="202"/>
      <c r="FM8" s="202"/>
      <c r="FN8" s="202"/>
      <c r="FO8" s="202"/>
      <c r="FP8" s="202"/>
      <c r="FQ8" s="202"/>
      <c r="FR8" s="202"/>
      <c r="FS8" s="202"/>
      <c r="FT8" s="202"/>
      <c r="FU8" s="202"/>
      <c r="FV8" s="202"/>
      <c r="FW8" s="202"/>
      <c r="FX8" s="202"/>
      <c r="FY8" s="202"/>
      <c r="FZ8" s="202"/>
      <c r="GA8" s="202"/>
      <c r="GB8" s="202"/>
      <c r="GC8" s="202"/>
      <c r="GD8" s="202"/>
      <c r="GE8" s="202"/>
      <c r="GF8" s="202"/>
      <c r="GG8" s="202"/>
      <c r="GH8" s="202"/>
      <c r="GI8" s="202"/>
      <c r="GJ8" s="202"/>
      <c r="GK8" s="202"/>
      <c r="GL8" s="202"/>
      <c r="GM8" s="202"/>
      <c r="GN8" s="202"/>
      <c r="GO8" s="202"/>
      <c r="GP8" s="202"/>
      <c r="GQ8" s="202"/>
      <c r="GR8" s="202"/>
      <c r="GS8" s="202"/>
      <c r="GT8" s="202"/>
      <c r="GU8" s="202"/>
      <c r="GV8" s="202"/>
      <c r="GW8" s="202"/>
      <c r="GX8" s="202"/>
      <c r="GY8" s="202"/>
      <c r="GZ8" s="202"/>
      <c r="HA8" s="202"/>
      <c r="HB8" s="202"/>
      <c r="HC8" s="202"/>
      <c r="HD8" s="202"/>
      <c r="HE8" s="202"/>
      <c r="HF8" s="202"/>
      <c r="HG8" s="202"/>
      <c r="HH8" s="202"/>
      <c r="HI8" s="202"/>
      <c r="HJ8" s="202"/>
      <c r="HK8" s="202"/>
      <c r="HL8" s="202"/>
      <c r="HM8" s="202"/>
      <c r="HN8" s="202"/>
      <c r="HO8" s="202"/>
      <c r="HP8" s="202"/>
      <c r="HQ8" s="202"/>
      <c r="HR8" s="202"/>
      <c r="HS8" s="202"/>
      <c r="HT8" s="202"/>
      <c r="HU8" s="202"/>
      <c r="HV8" s="202"/>
      <c r="HX8" s="207"/>
      <c r="HY8" s="207"/>
      <c r="HZ8" s="207"/>
      <c r="IA8" s="207"/>
      <c r="IB8" s="207"/>
      <c r="IC8" s="207"/>
      <c r="ID8" s="207"/>
      <c r="IE8" s="207"/>
      <c r="IF8" s="207"/>
      <c r="IG8" s="207"/>
      <c r="IH8" s="207"/>
      <c r="II8" s="207"/>
      <c r="IJ8" s="207"/>
      <c r="IK8" s="207"/>
      <c r="IL8" s="207"/>
      <c r="IM8" s="207"/>
      <c r="IN8" s="207"/>
      <c r="IO8" s="207"/>
    </row>
    <row r="9" spans="1:249" s="206" customFormat="1">
      <c r="A9" s="202"/>
      <c r="B9" s="220"/>
      <c r="C9" s="1127" t="s">
        <v>236</v>
      </c>
      <c r="D9" s="1126">
        <f>-Financials!$CR$11</f>
        <v>2085.6632844282412</v>
      </c>
      <c r="E9" s="232">
        <v>2074.135964040076</v>
      </c>
      <c r="F9" s="233">
        <f>D9-E9</f>
        <v>11.527320388165208</v>
      </c>
      <c r="G9" s="234"/>
      <c r="H9" s="355">
        <f>-Financials!$DU$11</f>
        <v>8453.95251552439</v>
      </c>
      <c r="I9" s="232">
        <v>8329.1771654889981</v>
      </c>
      <c r="J9" s="233">
        <f>H9-I9</f>
        <v>124.77535003539197</v>
      </c>
      <c r="K9" s="234"/>
      <c r="L9" s="355">
        <f>-Financials!$DV$11</f>
        <v>8960.7948339060131</v>
      </c>
      <c r="M9" s="232">
        <v>8793.4453990437632</v>
      </c>
      <c r="N9" s="233">
        <f>L9-M9</f>
        <v>167.34943486224984</v>
      </c>
      <c r="O9" s="1166"/>
      <c r="P9" s="235"/>
      <c r="Q9" s="205"/>
      <c r="R9" s="202"/>
      <c r="S9" s="202"/>
      <c r="T9" s="202"/>
      <c r="U9" s="202"/>
      <c r="V9" s="202"/>
      <c r="W9" s="202"/>
      <c r="X9" s="202"/>
      <c r="Y9" s="202"/>
      <c r="Z9" s="202"/>
      <c r="AA9" s="202"/>
      <c r="AB9" s="202"/>
      <c r="AC9" s="202"/>
      <c r="AD9" s="202"/>
      <c r="AE9" s="202"/>
      <c r="AF9" s="202"/>
      <c r="AG9" s="202"/>
      <c r="AH9" s="202"/>
      <c r="AI9" s="202"/>
      <c r="AJ9" s="202"/>
      <c r="AK9" s="202"/>
      <c r="AL9" s="202"/>
      <c r="AM9" s="202"/>
      <c r="AN9" s="202"/>
      <c r="AO9" s="202"/>
      <c r="AP9" s="202"/>
      <c r="AQ9" s="202"/>
      <c r="AR9" s="202"/>
      <c r="AS9" s="202"/>
      <c r="AT9" s="202"/>
      <c r="AU9" s="202"/>
      <c r="AV9" s="202"/>
      <c r="AW9" s="202"/>
      <c r="AX9" s="202"/>
      <c r="AY9" s="202"/>
      <c r="AZ9" s="202"/>
      <c r="BA9" s="202"/>
      <c r="BB9" s="202"/>
      <c r="BC9" s="202"/>
      <c r="BD9" s="202"/>
      <c r="BE9" s="202"/>
      <c r="BF9" s="202"/>
      <c r="BG9" s="202"/>
      <c r="BH9" s="202"/>
      <c r="BI9" s="202"/>
      <c r="BJ9" s="202"/>
      <c r="BK9" s="202"/>
      <c r="BL9" s="202"/>
      <c r="BM9" s="202"/>
      <c r="BN9" s="202"/>
      <c r="BO9" s="202"/>
      <c r="BP9" s="202"/>
      <c r="BQ9" s="202"/>
      <c r="BR9" s="202"/>
      <c r="BS9" s="202"/>
      <c r="BT9" s="202"/>
      <c r="BU9" s="202"/>
      <c r="BV9" s="202"/>
      <c r="BW9" s="202"/>
      <c r="BX9" s="202"/>
      <c r="BY9" s="202"/>
      <c r="BZ9" s="202"/>
      <c r="CA9" s="202"/>
      <c r="CB9" s="202"/>
      <c r="CC9" s="202"/>
      <c r="CD9" s="202"/>
      <c r="CE9" s="202"/>
      <c r="CF9" s="202"/>
      <c r="CG9" s="202"/>
      <c r="CH9" s="202"/>
      <c r="CI9" s="202"/>
      <c r="CJ9" s="202"/>
      <c r="CK9" s="202"/>
      <c r="CL9" s="202"/>
      <c r="CM9" s="202"/>
      <c r="CN9" s="202"/>
      <c r="CO9" s="202"/>
      <c r="CP9" s="202"/>
      <c r="CQ9" s="202"/>
      <c r="CR9" s="202"/>
      <c r="CS9" s="202"/>
      <c r="CT9" s="202"/>
      <c r="CU9" s="202"/>
      <c r="CV9" s="202"/>
      <c r="CW9" s="202"/>
      <c r="CX9" s="202"/>
      <c r="CY9" s="202"/>
      <c r="CZ9" s="202"/>
      <c r="DA9" s="202"/>
      <c r="DB9" s="202"/>
      <c r="DC9" s="202"/>
      <c r="DD9" s="202"/>
      <c r="DE9" s="202"/>
      <c r="DF9" s="202"/>
      <c r="DG9" s="202"/>
      <c r="DH9" s="202"/>
      <c r="DI9" s="202"/>
      <c r="DJ9" s="202"/>
      <c r="DK9" s="202"/>
      <c r="DL9" s="202"/>
      <c r="DM9" s="202"/>
      <c r="DN9" s="202"/>
      <c r="DO9" s="202"/>
      <c r="DP9" s="202"/>
      <c r="DQ9" s="202"/>
      <c r="DR9" s="202"/>
      <c r="DS9" s="202"/>
      <c r="DT9" s="202"/>
      <c r="DU9" s="202"/>
      <c r="DV9" s="202"/>
      <c r="DW9" s="202"/>
      <c r="DX9" s="202"/>
      <c r="DY9" s="202"/>
      <c r="DZ9" s="202"/>
      <c r="EA9" s="202"/>
      <c r="EB9" s="202"/>
      <c r="EC9" s="202"/>
      <c r="ED9" s="202"/>
      <c r="EE9" s="202"/>
      <c r="EF9" s="202"/>
      <c r="EG9" s="202"/>
      <c r="EH9" s="202"/>
      <c r="EI9" s="202"/>
      <c r="EJ9" s="202"/>
      <c r="EK9" s="202"/>
      <c r="EL9" s="202"/>
      <c r="EM9" s="202"/>
      <c r="EN9" s="202"/>
      <c r="EO9" s="202"/>
      <c r="EP9" s="202"/>
      <c r="EQ9" s="202"/>
      <c r="ER9" s="202"/>
      <c r="ES9" s="202"/>
      <c r="ET9" s="202"/>
      <c r="EU9" s="202"/>
      <c r="EV9" s="202"/>
      <c r="EW9" s="202"/>
      <c r="EX9" s="202"/>
      <c r="EY9" s="202"/>
      <c r="EZ9" s="202"/>
      <c r="FA9" s="202"/>
      <c r="FB9" s="202"/>
      <c r="FC9" s="202"/>
      <c r="FD9" s="202"/>
      <c r="FE9" s="202"/>
      <c r="FF9" s="202"/>
      <c r="FG9" s="202"/>
      <c r="FH9" s="202"/>
      <c r="FI9" s="202"/>
      <c r="FJ9" s="202"/>
      <c r="FK9" s="202"/>
      <c r="FL9" s="202"/>
      <c r="FM9" s="202"/>
      <c r="FN9" s="202"/>
      <c r="FO9" s="202"/>
      <c r="FP9" s="202"/>
      <c r="FQ9" s="202"/>
      <c r="FR9" s="202"/>
      <c r="FS9" s="202"/>
      <c r="FT9" s="202"/>
      <c r="FU9" s="202"/>
      <c r="FV9" s="202"/>
      <c r="FW9" s="202"/>
      <c r="FX9" s="202"/>
      <c r="FY9" s="202"/>
      <c r="FZ9" s="202"/>
      <c r="GA9" s="202"/>
      <c r="GB9" s="202"/>
      <c r="GC9" s="202"/>
      <c r="GD9" s="202"/>
      <c r="GE9" s="202"/>
      <c r="GF9" s="202"/>
      <c r="GG9" s="202"/>
      <c r="GH9" s="202"/>
      <c r="GI9" s="202"/>
      <c r="GJ9" s="202"/>
      <c r="GK9" s="202"/>
      <c r="GL9" s="202"/>
      <c r="GM9" s="202"/>
      <c r="GN9" s="202"/>
      <c r="GO9" s="202"/>
      <c r="GP9" s="202"/>
      <c r="GQ9" s="202"/>
      <c r="GR9" s="202"/>
      <c r="GS9" s="202"/>
      <c r="GT9" s="202"/>
      <c r="GU9" s="202"/>
      <c r="GV9" s="202"/>
      <c r="GW9" s="202"/>
      <c r="GX9" s="202"/>
      <c r="GY9" s="202"/>
      <c r="GZ9" s="202"/>
      <c r="HA9" s="202"/>
      <c r="HB9" s="202"/>
      <c r="HC9" s="202"/>
      <c r="HD9" s="202"/>
      <c r="HE9" s="202"/>
      <c r="HF9" s="202"/>
      <c r="HG9" s="202"/>
      <c r="HH9" s="202"/>
      <c r="HI9" s="202"/>
      <c r="HJ9" s="202"/>
      <c r="HK9" s="202"/>
      <c r="HL9" s="202"/>
      <c r="HM9" s="202"/>
      <c r="HN9" s="202"/>
      <c r="HO9" s="202"/>
      <c r="HP9" s="202"/>
      <c r="HQ9" s="202"/>
      <c r="HR9" s="202"/>
      <c r="HS9" s="202"/>
      <c r="HT9" s="202"/>
      <c r="HU9" s="202"/>
      <c r="HV9" s="202"/>
      <c r="HX9" s="207"/>
      <c r="HY9" s="207"/>
      <c r="HZ9" s="207"/>
      <c r="IA9" s="207"/>
      <c r="IB9" s="207"/>
      <c r="IC9" s="207"/>
      <c r="ID9" s="207"/>
      <c r="IE9" s="207"/>
      <c r="IF9" s="207"/>
      <c r="IG9" s="207"/>
      <c r="IH9" s="207"/>
      <c r="II9" s="207"/>
      <c r="IJ9" s="207"/>
      <c r="IK9" s="207"/>
      <c r="IL9" s="207"/>
      <c r="IM9" s="207"/>
      <c r="IN9" s="207"/>
      <c r="IO9" s="207"/>
    </row>
    <row r="10" spans="1:249" s="206" customFormat="1">
      <c r="A10" s="202"/>
      <c r="B10" s="220"/>
      <c r="C10" s="236" t="s">
        <v>83</v>
      </c>
      <c r="D10" s="225">
        <f>D8-D9</f>
        <v>581.27311147969567</v>
      </c>
      <c r="E10" s="226">
        <v>578.10767147809884</v>
      </c>
      <c r="F10" s="227">
        <f>D10-E10</f>
        <v>3.1654400015968349</v>
      </c>
      <c r="G10" s="237">
        <f>(D10-E10)*(1-D$24)/D$30</f>
        <v>1.0880483806619724E-2</v>
      </c>
      <c r="H10" s="229">
        <f>H8-H9</f>
        <v>2366.390147691267</v>
      </c>
      <c r="I10" s="226">
        <v>2330.8849959480285</v>
      </c>
      <c r="J10" s="227">
        <f>H10-I10</f>
        <v>35.505151743238457</v>
      </c>
      <c r="K10" s="237">
        <f>(H10-I10)*(1-H$24)/H$30</f>
        <v>0.1224345459275091</v>
      </c>
      <c r="L10" s="229">
        <f>L8-L9</f>
        <v>2462.0352914943232</v>
      </c>
      <c r="M10" s="226">
        <v>2415.1712450265368</v>
      </c>
      <c r="N10" s="227">
        <f>L10-M10</f>
        <v>46.864046467786466</v>
      </c>
      <c r="O10" s="238">
        <f>(L10-M10)*(1-L$24)/L$30</f>
        <v>0.16160410441568707</v>
      </c>
      <c r="P10" s="239"/>
      <c r="Q10" s="205"/>
      <c r="R10" s="202"/>
      <c r="S10" s="202"/>
      <c r="T10" s="202"/>
      <c r="U10" s="202"/>
      <c r="V10" s="202"/>
      <c r="W10" s="202"/>
      <c r="X10" s="202"/>
      <c r="Y10" s="202"/>
      <c r="Z10" s="202"/>
      <c r="AA10" s="202"/>
      <c r="AB10" s="202"/>
      <c r="AC10" s="202"/>
      <c r="AD10" s="202"/>
      <c r="AE10" s="202"/>
      <c r="AF10" s="202"/>
      <c r="AG10" s="202"/>
      <c r="AH10" s="202"/>
      <c r="AI10" s="202"/>
      <c r="AJ10" s="202"/>
      <c r="AK10" s="202"/>
      <c r="AL10" s="202"/>
      <c r="AM10" s="202"/>
      <c r="AN10" s="202"/>
      <c r="AO10" s="202"/>
      <c r="AP10" s="202"/>
      <c r="AQ10" s="202"/>
      <c r="AR10" s="202"/>
      <c r="AS10" s="202"/>
      <c r="AT10" s="202"/>
      <c r="AU10" s="202"/>
      <c r="AV10" s="202"/>
      <c r="AW10" s="202"/>
      <c r="AX10" s="202"/>
      <c r="AY10" s="202"/>
      <c r="AZ10" s="202"/>
      <c r="BA10" s="202"/>
      <c r="BB10" s="202"/>
      <c r="BC10" s="202"/>
      <c r="BD10" s="202"/>
      <c r="BE10" s="202"/>
      <c r="BF10" s="202"/>
      <c r="BG10" s="202"/>
      <c r="BH10" s="202"/>
      <c r="BI10" s="202"/>
      <c r="BJ10" s="202"/>
      <c r="BK10" s="202"/>
      <c r="BL10" s="202"/>
      <c r="BM10" s="202"/>
      <c r="BN10" s="202"/>
      <c r="BO10" s="202"/>
      <c r="BP10" s="202"/>
      <c r="BQ10" s="202"/>
      <c r="BR10" s="202"/>
      <c r="BS10" s="202"/>
      <c r="BT10" s="202"/>
      <c r="BU10" s="202"/>
      <c r="BV10" s="202"/>
      <c r="BW10" s="202"/>
      <c r="BX10" s="202"/>
      <c r="BY10" s="202"/>
      <c r="BZ10" s="202"/>
      <c r="CA10" s="202"/>
      <c r="CB10" s="202"/>
      <c r="CC10" s="202"/>
      <c r="CD10" s="202"/>
      <c r="CE10" s="202"/>
      <c r="CF10" s="202"/>
      <c r="CG10" s="202"/>
      <c r="CH10" s="202"/>
      <c r="CI10" s="202"/>
      <c r="CJ10" s="202"/>
      <c r="CK10" s="202"/>
      <c r="CL10" s="202"/>
      <c r="CM10" s="202"/>
      <c r="CN10" s="202"/>
      <c r="CO10" s="202"/>
      <c r="CP10" s="202"/>
      <c r="CQ10" s="202"/>
      <c r="CR10" s="202"/>
      <c r="CS10" s="202"/>
      <c r="CT10" s="202"/>
      <c r="CU10" s="202"/>
      <c r="CV10" s="202"/>
      <c r="CW10" s="202"/>
      <c r="CX10" s="202"/>
      <c r="CY10" s="202"/>
      <c r="CZ10" s="202"/>
      <c r="DA10" s="202"/>
      <c r="DB10" s="202"/>
      <c r="DC10" s="202"/>
      <c r="DD10" s="202"/>
      <c r="DE10" s="202"/>
      <c r="DF10" s="202"/>
      <c r="DG10" s="202"/>
      <c r="DH10" s="202"/>
      <c r="DI10" s="202"/>
      <c r="DJ10" s="202"/>
      <c r="DK10" s="202"/>
      <c r="DL10" s="202"/>
      <c r="DM10" s="202"/>
      <c r="DN10" s="202"/>
      <c r="DO10" s="202"/>
      <c r="DP10" s="202"/>
      <c r="DQ10" s="202"/>
      <c r="DR10" s="202"/>
      <c r="DS10" s="202"/>
      <c r="DT10" s="202"/>
      <c r="DU10" s="202"/>
      <c r="DV10" s="202"/>
      <c r="DW10" s="202"/>
      <c r="DX10" s="202"/>
      <c r="DY10" s="202"/>
      <c r="DZ10" s="202"/>
      <c r="EA10" s="202"/>
      <c r="EB10" s="202"/>
      <c r="EC10" s="202"/>
      <c r="ED10" s="202"/>
      <c r="EE10" s="202"/>
      <c r="EF10" s="202"/>
      <c r="EG10" s="202"/>
      <c r="EH10" s="202"/>
      <c r="EI10" s="202"/>
      <c r="EJ10" s="202"/>
      <c r="EK10" s="202"/>
      <c r="EL10" s="202"/>
      <c r="EM10" s="202"/>
      <c r="EN10" s="202"/>
      <c r="EO10" s="202"/>
      <c r="EP10" s="202"/>
      <c r="EQ10" s="202"/>
      <c r="ER10" s="202"/>
      <c r="ES10" s="202"/>
      <c r="ET10" s="202"/>
      <c r="EU10" s="202"/>
      <c r="EV10" s="202"/>
      <c r="EW10" s="202"/>
      <c r="EX10" s="202"/>
      <c r="EY10" s="202"/>
      <c r="EZ10" s="202"/>
      <c r="FA10" s="202"/>
      <c r="FB10" s="202"/>
      <c r="FC10" s="202"/>
      <c r="FD10" s="202"/>
      <c r="FE10" s="202"/>
      <c r="FF10" s="202"/>
      <c r="FG10" s="202"/>
      <c r="FH10" s="202"/>
      <c r="FI10" s="202"/>
      <c r="FJ10" s="202"/>
      <c r="FK10" s="202"/>
      <c r="FL10" s="202"/>
      <c r="FM10" s="202"/>
      <c r="FN10" s="202"/>
      <c r="FO10" s="202"/>
      <c r="FP10" s="202"/>
      <c r="FQ10" s="202"/>
      <c r="FR10" s="202"/>
      <c r="FS10" s="202"/>
      <c r="FT10" s="202"/>
      <c r="FU10" s="202"/>
      <c r="FV10" s="202"/>
      <c r="FW10" s="202"/>
      <c r="FX10" s="202"/>
      <c r="FY10" s="202"/>
      <c r="FZ10" s="202"/>
      <c r="GA10" s="202"/>
      <c r="GB10" s="202"/>
      <c r="GC10" s="202"/>
      <c r="GD10" s="202"/>
      <c r="GE10" s="202"/>
      <c r="GF10" s="202"/>
      <c r="GG10" s="202"/>
      <c r="GH10" s="202"/>
      <c r="GI10" s="202"/>
      <c r="GJ10" s="202"/>
      <c r="GK10" s="202"/>
      <c r="GL10" s="202"/>
      <c r="GM10" s="202"/>
      <c r="GN10" s="202"/>
      <c r="GO10" s="202"/>
      <c r="GP10" s="202"/>
      <c r="GQ10" s="202"/>
      <c r="GR10" s="202"/>
      <c r="GS10" s="202"/>
      <c r="GT10" s="202"/>
      <c r="GU10" s="202"/>
      <c r="GV10" s="202"/>
      <c r="GW10" s="202"/>
      <c r="GX10" s="202"/>
      <c r="GY10" s="202"/>
      <c r="GZ10" s="202"/>
      <c r="HA10" s="202"/>
      <c r="HB10" s="202"/>
      <c r="HC10" s="202"/>
      <c r="HD10" s="202"/>
      <c r="HE10" s="202"/>
      <c r="HF10" s="202"/>
      <c r="HG10" s="202"/>
      <c r="HH10" s="202"/>
      <c r="HI10" s="202"/>
      <c r="HJ10" s="202"/>
      <c r="HK10" s="202"/>
      <c r="HL10" s="202"/>
      <c r="HM10" s="202"/>
      <c r="HN10" s="202"/>
      <c r="HO10" s="202"/>
      <c r="HP10" s="202"/>
      <c r="HQ10" s="202"/>
      <c r="HR10" s="202"/>
      <c r="HS10" s="202"/>
      <c r="HT10" s="202"/>
      <c r="HU10" s="202"/>
      <c r="HV10" s="202"/>
      <c r="HX10" s="207"/>
      <c r="HY10" s="207"/>
      <c r="HZ10" s="207"/>
      <c r="IA10" s="207"/>
      <c r="IB10" s="207"/>
      <c r="IC10" s="207"/>
      <c r="ID10" s="207"/>
      <c r="IE10" s="207"/>
      <c r="IF10" s="207"/>
      <c r="IG10" s="207"/>
      <c r="IH10" s="207"/>
      <c r="II10" s="207"/>
      <c r="IJ10" s="207"/>
      <c r="IK10" s="207"/>
      <c r="IL10" s="207"/>
      <c r="IM10" s="207"/>
      <c r="IN10" s="207"/>
      <c r="IO10" s="207"/>
    </row>
    <row r="11" spans="1:249" s="206" customFormat="1">
      <c r="A11" s="202"/>
      <c r="B11" s="220"/>
      <c r="C11" s="240" t="s">
        <v>237</v>
      </c>
      <c r="D11" s="241">
        <f>D10/D8</f>
        <v>0.21795537095357159</v>
      </c>
      <c r="E11" s="344">
        <v>0.21796929352048483</v>
      </c>
      <c r="F11" s="241">
        <f>D11-E11</f>
        <v>-1.3922566913238121E-5</v>
      </c>
      <c r="G11" s="242"/>
      <c r="H11" s="243">
        <f>H10/H8</f>
        <v>0.21869826320158409</v>
      </c>
      <c r="I11" s="344">
        <v>0.218655854032451</v>
      </c>
      <c r="J11" s="241">
        <f>H11-I11</f>
        <v>4.2409169133089675E-5</v>
      </c>
      <c r="K11" s="242"/>
      <c r="L11" s="243">
        <f>L10/L8</f>
        <v>0.21553636572250401</v>
      </c>
      <c r="M11" s="344">
        <v>0.21547451587651861</v>
      </c>
      <c r="N11" s="241">
        <f>L11-M11</f>
        <v>6.1849845985395557E-5</v>
      </c>
      <c r="O11" s="1167"/>
      <c r="P11" s="235"/>
      <c r="Q11" s="205"/>
      <c r="R11" s="202"/>
      <c r="S11" s="202"/>
      <c r="T11" s="202"/>
      <c r="U11" s="202"/>
      <c r="V11" s="202"/>
      <c r="W11" s="202"/>
      <c r="X11" s="202"/>
      <c r="Y11" s="202"/>
      <c r="Z11" s="202"/>
      <c r="AA11" s="202"/>
      <c r="AB11" s="202"/>
      <c r="AC11" s="202"/>
      <c r="AD11" s="202"/>
      <c r="AE11" s="202"/>
      <c r="AF11" s="202"/>
      <c r="AG11" s="202"/>
      <c r="AH11" s="202"/>
      <c r="AI11" s="202"/>
      <c r="AJ11" s="202"/>
      <c r="AK11" s="202"/>
      <c r="AL11" s="202"/>
      <c r="AM11" s="202"/>
      <c r="AN11" s="202"/>
      <c r="AO11" s="202"/>
      <c r="AP11" s="202"/>
      <c r="AQ11" s="202"/>
      <c r="AR11" s="202"/>
      <c r="AS11" s="202"/>
      <c r="AT11" s="202"/>
      <c r="AU11" s="202"/>
      <c r="AV11" s="202"/>
      <c r="AW11" s="202"/>
      <c r="AX11" s="202"/>
      <c r="AY11" s="202"/>
      <c r="AZ11" s="202"/>
      <c r="BA11" s="202"/>
      <c r="BB11" s="202"/>
      <c r="BC11" s="202"/>
      <c r="BD11" s="202"/>
      <c r="BE11" s="202"/>
      <c r="BF11" s="202"/>
      <c r="BG11" s="202"/>
      <c r="BH11" s="202"/>
      <c r="BI11" s="202"/>
      <c r="BJ11" s="202"/>
      <c r="BK11" s="202"/>
      <c r="BL11" s="202"/>
      <c r="BM11" s="202"/>
      <c r="BN11" s="202"/>
      <c r="BO11" s="202"/>
      <c r="BP11" s="202"/>
      <c r="BQ11" s="202"/>
      <c r="BR11" s="202"/>
      <c r="BS11" s="202"/>
      <c r="BT11" s="202"/>
      <c r="BU11" s="202"/>
      <c r="BV11" s="202"/>
      <c r="BW11" s="202"/>
      <c r="BX11" s="202"/>
      <c r="BY11" s="202"/>
      <c r="BZ11" s="202"/>
      <c r="CA11" s="202"/>
      <c r="CB11" s="202"/>
      <c r="CC11" s="202"/>
      <c r="CD11" s="202"/>
      <c r="CE11" s="202"/>
      <c r="CF11" s="202"/>
      <c r="CG11" s="202"/>
      <c r="CH11" s="202"/>
      <c r="CI11" s="202"/>
      <c r="CJ11" s="202"/>
      <c r="CK11" s="202"/>
      <c r="CL11" s="202"/>
      <c r="CM11" s="202"/>
      <c r="CN11" s="202"/>
      <c r="CO11" s="202"/>
      <c r="CP11" s="202"/>
      <c r="CQ11" s="202"/>
      <c r="CR11" s="202"/>
      <c r="CS11" s="202"/>
      <c r="CT11" s="202"/>
      <c r="CU11" s="202"/>
      <c r="CV11" s="202"/>
      <c r="CW11" s="202"/>
      <c r="CX11" s="202"/>
      <c r="CY11" s="202"/>
      <c r="CZ11" s="202"/>
      <c r="DA11" s="202"/>
      <c r="DB11" s="202"/>
      <c r="DC11" s="202"/>
      <c r="DD11" s="202"/>
      <c r="DE11" s="202"/>
      <c r="DF11" s="202"/>
      <c r="DG11" s="202"/>
      <c r="DH11" s="202"/>
      <c r="DI11" s="202"/>
      <c r="DJ11" s="202"/>
      <c r="DK11" s="202"/>
      <c r="DL11" s="202"/>
      <c r="DM11" s="202"/>
      <c r="DN11" s="202"/>
      <c r="DO11" s="202"/>
      <c r="DP11" s="202"/>
      <c r="DQ11" s="202"/>
      <c r="DR11" s="202"/>
      <c r="DS11" s="202"/>
      <c r="DT11" s="202"/>
      <c r="DU11" s="202"/>
      <c r="DV11" s="202"/>
      <c r="DW11" s="202"/>
      <c r="DX11" s="202"/>
      <c r="DY11" s="202"/>
      <c r="DZ11" s="202"/>
      <c r="EA11" s="202"/>
      <c r="EB11" s="202"/>
      <c r="EC11" s="202"/>
      <c r="ED11" s="202"/>
      <c r="EE11" s="202"/>
      <c r="EF11" s="202"/>
      <c r="EG11" s="202"/>
      <c r="EH11" s="202"/>
      <c r="EI11" s="202"/>
      <c r="EJ11" s="202"/>
      <c r="EK11" s="202"/>
      <c r="EL11" s="202"/>
      <c r="EM11" s="202"/>
      <c r="EN11" s="202"/>
      <c r="EO11" s="202"/>
      <c r="EP11" s="202"/>
      <c r="EQ11" s="202"/>
      <c r="ER11" s="202"/>
      <c r="ES11" s="202"/>
      <c r="ET11" s="202"/>
      <c r="EU11" s="202"/>
      <c r="EV11" s="202"/>
      <c r="EW11" s="202"/>
      <c r="EX11" s="202"/>
      <c r="EY11" s="202"/>
      <c r="EZ11" s="202"/>
      <c r="FA11" s="202"/>
      <c r="FB11" s="202"/>
      <c r="FC11" s="202"/>
      <c r="FD11" s="202"/>
      <c r="FE11" s="202"/>
      <c r="FF11" s="202"/>
      <c r="FG11" s="202"/>
      <c r="FH11" s="202"/>
      <c r="FI11" s="202"/>
      <c r="FJ11" s="202"/>
      <c r="FK11" s="202"/>
      <c r="FL11" s="202"/>
      <c r="FM11" s="202"/>
      <c r="FN11" s="202"/>
      <c r="FO11" s="202"/>
      <c r="FP11" s="202"/>
      <c r="FQ11" s="202"/>
      <c r="FR11" s="202"/>
      <c r="FS11" s="202"/>
      <c r="FT11" s="202"/>
      <c r="FU11" s="202"/>
      <c r="FV11" s="202"/>
      <c r="FW11" s="202"/>
      <c r="FX11" s="202"/>
      <c r="FY11" s="202"/>
      <c r="FZ11" s="202"/>
      <c r="GA11" s="202"/>
      <c r="GB11" s="202"/>
      <c r="GC11" s="202"/>
      <c r="GD11" s="202"/>
      <c r="GE11" s="202"/>
      <c r="GF11" s="202"/>
      <c r="GG11" s="202"/>
      <c r="GH11" s="202"/>
      <c r="GI11" s="202"/>
      <c r="GJ11" s="202"/>
      <c r="GK11" s="202"/>
      <c r="GL11" s="202"/>
      <c r="GM11" s="202"/>
      <c r="GN11" s="202"/>
      <c r="GO11" s="202"/>
      <c r="GP11" s="202"/>
      <c r="GQ11" s="202"/>
      <c r="GR11" s="202"/>
      <c r="GS11" s="202"/>
      <c r="GT11" s="202"/>
      <c r="GU11" s="202"/>
      <c r="GV11" s="202"/>
      <c r="GW11" s="202"/>
      <c r="GX11" s="202"/>
      <c r="GY11" s="202"/>
      <c r="GZ11" s="202"/>
      <c r="HA11" s="202"/>
      <c r="HB11" s="202"/>
      <c r="HC11" s="202"/>
      <c r="HD11" s="202"/>
      <c r="HE11" s="202"/>
      <c r="HF11" s="202"/>
      <c r="HG11" s="202"/>
      <c r="HH11" s="202"/>
      <c r="HI11" s="202"/>
      <c r="HJ11" s="202"/>
      <c r="HK11" s="202"/>
      <c r="HL11" s="202"/>
      <c r="HM11" s="202"/>
      <c r="HN11" s="202"/>
      <c r="HO11" s="202"/>
      <c r="HP11" s="202"/>
      <c r="HQ11" s="202"/>
      <c r="HR11" s="202"/>
      <c r="HS11" s="202"/>
      <c r="HT11" s="202"/>
      <c r="HU11" s="202"/>
      <c r="HV11" s="202"/>
      <c r="HX11" s="207"/>
      <c r="HY11" s="207"/>
      <c r="HZ11" s="207"/>
      <c r="IA11" s="207"/>
      <c r="IB11" s="207"/>
      <c r="IC11" s="207"/>
      <c r="ID11" s="207"/>
      <c r="IE11" s="207"/>
      <c r="IF11" s="207"/>
      <c r="IG11" s="207"/>
      <c r="IH11" s="207"/>
      <c r="II11" s="207"/>
      <c r="IJ11" s="207"/>
      <c r="IK11" s="207"/>
      <c r="IL11" s="207"/>
      <c r="IM11" s="207"/>
      <c r="IN11" s="207"/>
      <c r="IO11" s="207"/>
    </row>
    <row r="12" spans="1:249" s="206" customFormat="1">
      <c r="A12" s="202"/>
      <c r="B12" s="220"/>
      <c r="C12" s="244"/>
      <c r="D12" s="245"/>
      <c r="E12" s="260"/>
      <c r="F12" s="245"/>
      <c r="G12" s="246"/>
      <c r="H12" s="247"/>
      <c r="I12" s="260"/>
      <c r="J12" s="245"/>
      <c r="K12" s="246"/>
      <c r="L12" s="247"/>
      <c r="M12" s="260"/>
      <c r="N12" s="245"/>
      <c r="O12" s="248"/>
      <c r="P12" s="235"/>
      <c r="Q12" s="205"/>
      <c r="R12" s="202"/>
      <c r="S12" s="202"/>
      <c r="T12" s="202"/>
      <c r="U12" s="202"/>
      <c r="V12" s="202"/>
      <c r="W12" s="202"/>
      <c r="X12" s="202"/>
      <c r="Y12" s="202"/>
      <c r="Z12" s="202"/>
      <c r="AA12" s="202"/>
      <c r="AB12" s="202"/>
      <c r="AC12" s="202"/>
      <c r="AD12" s="202"/>
      <c r="AE12" s="202"/>
      <c r="AF12" s="202"/>
      <c r="AG12" s="202"/>
      <c r="AH12" s="202"/>
      <c r="AI12" s="202"/>
      <c r="AJ12" s="202"/>
      <c r="AK12" s="202"/>
      <c r="AL12" s="202"/>
      <c r="AM12" s="202"/>
      <c r="AN12" s="202"/>
      <c r="AO12" s="202"/>
      <c r="AP12" s="202"/>
      <c r="AQ12" s="202"/>
      <c r="AR12" s="202"/>
      <c r="AS12" s="202"/>
      <c r="AT12" s="202"/>
      <c r="AU12" s="202"/>
      <c r="AV12" s="202"/>
      <c r="AW12" s="202"/>
      <c r="AX12" s="202"/>
      <c r="AY12" s="202"/>
      <c r="AZ12" s="202"/>
      <c r="BA12" s="202"/>
      <c r="BB12" s="202"/>
      <c r="BC12" s="202"/>
      <c r="BD12" s="202"/>
      <c r="BE12" s="202"/>
      <c r="BF12" s="202"/>
      <c r="BG12" s="202"/>
      <c r="BH12" s="202"/>
      <c r="BI12" s="202"/>
      <c r="BJ12" s="202"/>
      <c r="BK12" s="202"/>
      <c r="BL12" s="202"/>
      <c r="BM12" s="202"/>
      <c r="BN12" s="202"/>
      <c r="BO12" s="202"/>
      <c r="BP12" s="202"/>
      <c r="BQ12" s="202"/>
      <c r="BR12" s="202"/>
      <c r="BS12" s="202"/>
      <c r="BT12" s="202"/>
      <c r="BU12" s="202"/>
      <c r="BV12" s="202"/>
      <c r="BW12" s="202"/>
      <c r="BX12" s="202"/>
      <c r="BY12" s="202"/>
      <c r="BZ12" s="202"/>
      <c r="CA12" s="202"/>
      <c r="CB12" s="202"/>
      <c r="CC12" s="202"/>
      <c r="CD12" s="202"/>
      <c r="CE12" s="202"/>
      <c r="CF12" s="202"/>
      <c r="CG12" s="202"/>
      <c r="CH12" s="202"/>
      <c r="CI12" s="202"/>
      <c r="CJ12" s="202"/>
      <c r="CK12" s="202"/>
      <c r="CL12" s="202"/>
      <c r="CM12" s="202"/>
      <c r="CN12" s="202"/>
      <c r="CO12" s="202"/>
      <c r="CP12" s="202"/>
      <c r="CQ12" s="202"/>
      <c r="CR12" s="202"/>
      <c r="CS12" s="202"/>
      <c r="CT12" s="202"/>
      <c r="CU12" s="202"/>
      <c r="CV12" s="202"/>
      <c r="CW12" s="202"/>
      <c r="CX12" s="202"/>
      <c r="CY12" s="202"/>
      <c r="CZ12" s="202"/>
      <c r="DA12" s="202"/>
      <c r="DB12" s="202"/>
      <c r="DC12" s="202"/>
      <c r="DD12" s="202"/>
      <c r="DE12" s="202"/>
      <c r="DF12" s="202"/>
      <c r="DG12" s="202"/>
      <c r="DH12" s="202"/>
      <c r="DI12" s="202"/>
      <c r="DJ12" s="202"/>
      <c r="DK12" s="202"/>
      <c r="DL12" s="202"/>
      <c r="DM12" s="202"/>
      <c r="DN12" s="202"/>
      <c r="DO12" s="202"/>
      <c r="DP12" s="202"/>
      <c r="DQ12" s="202"/>
      <c r="DR12" s="202"/>
      <c r="DS12" s="202"/>
      <c r="DT12" s="202"/>
      <c r="DU12" s="202"/>
      <c r="DV12" s="202"/>
      <c r="DW12" s="202"/>
      <c r="DX12" s="202"/>
      <c r="DY12" s="202"/>
      <c r="DZ12" s="202"/>
      <c r="EA12" s="202"/>
      <c r="EB12" s="202"/>
      <c r="EC12" s="202"/>
      <c r="ED12" s="202"/>
      <c r="EE12" s="202"/>
      <c r="EF12" s="202"/>
      <c r="EG12" s="202"/>
      <c r="EH12" s="202"/>
      <c r="EI12" s="202"/>
      <c r="EJ12" s="202"/>
      <c r="EK12" s="202"/>
      <c r="EL12" s="202"/>
      <c r="EM12" s="202"/>
      <c r="EN12" s="202"/>
      <c r="EO12" s="202"/>
      <c r="EP12" s="202"/>
      <c r="EQ12" s="202"/>
      <c r="ER12" s="202"/>
      <c r="ES12" s="202"/>
      <c r="ET12" s="202"/>
      <c r="EU12" s="202"/>
      <c r="EV12" s="202"/>
      <c r="EW12" s="202"/>
      <c r="EX12" s="202"/>
      <c r="EY12" s="202"/>
      <c r="EZ12" s="202"/>
      <c r="FA12" s="202"/>
      <c r="FB12" s="202"/>
      <c r="FC12" s="202"/>
      <c r="FD12" s="202"/>
      <c r="FE12" s="202"/>
      <c r="FF12" s="202"/>
      <c r="FG12" s="202"/>
      <c r="FH12" s="202"/>
      <c r="FI12" s="202"/>
      <c r="FJ12" s="202"/>
      <c r="FK12" s="202"/>
      <c r="FL12" s="202"/>
      <c r="FM12" s="202"/>
      <c r="FN12" s="202"/>
      <c r="FO12" s="202"/>
      <c r="FP12" s="202"/>
      <c r="FQ12" s="202"/>
      <c r="FR12" s="202"/>
      <c r="FS12" s="202"/>
      <c r="FT12" s="202"/>
      <c r="FU12" s="202"/>
      <c r="FV12" s="202"/>
      <c r="FW12" s="202"/>
      <c r="FX12" s="202"/>
      <c r="FY12" s="202"/>
      <c r="FZ12" s="202"/>
      <c r="GA12" s="202"/>
      <c r="GB12" s="202"/>
      <c r="GC12" s="202"/>
      <c r="GD12" s="202"/>
      <c r="GE12" s="202"/>
      <c r="GF12" s="202"/>
      <c r="GG12" s="202"/>
      <c r="GH12" s="202"/>
      <c r="GI12" s="202"/>
      <c r="GJ12" s="202"/>
      <c r="GK12" s="202"/>
      <c r="GL12" s="202"/>
      <c r="GM12" s="202"/>
      <c r="GN12" s="202"/>
      <c r="GO12" s="202"/>
      <c r="GP12" s="202"/>
      <c r="GQ12" s="202"/>
      <c r="GR12" s="202"/>
      <c r="GS12" s="202"/>
      <c r="GT12" s="202"/>
      <c r="GU12" s="202"/>
      <c r="GV12" s="202"/>
      <c r="GW12" s="202"/>
      <c r="GX12" s="202"/>
      <c r="GY12" s="202"/>
      <c r="GZ12" s="202"/>
      <c r="HA12" s="202"/>
      <c r="HB12" s="202"/>
      <c r="HC12" s="202"/>
      <c r="HD12" s="202"/>
      <c r="HE12" s="202"/>
      <c r="HF12" s="202"/>
      <c r="HG12" s="202"/>
      <c r="HH12" s="202"/>
      <c r="HI12" s="202"/>
      <c r="HJ12" s="202"/>
      <c r="HK12" s="202"/>
      <c r="HL12" s="202"/>
      <c r="HM12" s="202"/>
      <c r="HN12" s="202"/>
      <c r="HO12" s="202"/>
      <c r="HP12" s="202"/>
      <c r="HQ12" s="202"/>
      <c r="HR12" s="202"/>
      <c r="HS12" s="202"/>
      <c r="HT12" s="202"/>
      <c r="HU12" s="202"/>
      <c r="HV12" s="202"/>
      <c r="HX12" s="207"/>
      <c r="HY12" s="207"/>
      <c r="HZ12" s="207"/>
      <c r="IA12" s="207"/>
      <c r="IB12" s="207"/>
      <c r="IC12" s="207"/>
      <c r="ID12" s="207"/>
      <c r="IE12" s="207"/>
      <c r="IF12" s="207"/>
      <c r="IG12" s="207"/>
      <c r="IH12" s="207"/>
      <c r="II12" s="207"/>
      <c r="IJ12" s="207"/>
      <c r="IK12" s="207"/>
      <c r="IL12" s="207"/>
      <c r="IM12" s="207"/>
      <c r="IN12" s="207"/>
      <c r="IO12" s="207"/>
    </row>
    <row r="13" spans="1:249" s="206" customFormat="1">
      <c r="A13" s="202"/>
      <c r="B13" s="220"/>
      <c r="C13" s="249" t="s">
        <v>113</v>
      </c>
      <c r="D13" s="251">
        <f>-Financials!$CR$15</f>
        <v>247.3701056983893</v>
      </c>
      <c r="E13" s="251">
        <v>246.00728741138656</v>
      </c>
      <c r="F13" s="252">
        <f>D13-E13</f>
        <v>1.3628182870027388</v>
      </c>
      <c r="G13" s="246">
        <f>-(D13-E13)*(1-D$24)/D$30</f>
        <v>-4.6843795161552104E-3</v>
      </c>
      <c r="H13" s="356">
        <f>-Financials!$DU$15</f>
        <v>1003.6344745226709</v>
      </c>
      <c r="I13" s="251">
        <v>988.76775151900051</v>
      </c>
      <c r="J13" s="252">
        <f>H13-I13</f>
        <v>14.866723003670359</v>
      </c>
      <c r="K13" s="246">
        <f>-(H13-I13)*(1-H$24)/H$30</f>
        <v>-5.1265813297955286E-2</v>
      </c>
      <c r="L13" s="356">
        <f>-Financials!$DV$15</f>
        <v>1059.5178422067509</v>
      </c>
      <c r="M13" s="251">
        <v>1039.6485976308636</v>
      </c>
      <c r="N13" s="252">
        <f>L13-M13</f>
        <v>19.869244575887251</v>
      </c>
      <c r="O13" s="248">
        <f>-(L13-M13)*(1-L$24)/L$30</f>
        <v>-6.8516308708204701E-2</v>
      </c>
      <c r="P13" s="235"/>
      <c r="Q13" s="205"/>
      <c r="R13" s="202"/>
      <c r="S13" s="202"/>
      <c r="T13" s="202"/>
      <c r="U13" s="202"/>
      <c r="V13" s="202"/>
      <c r="W13" s="202"/>
      <c r="X13" s="202"/>
      <c r="Y13" s="202"/>
      <c r="Z13" s="202"/>
      <c r="AA13" s="202"/>
      <c r="AB13" s="202"/>
      <c r="AC13" s="202"/>
      <c r="AD13" s="202"/>
      <c r="AE13" s="202"/>
      <c r="AF13" s="202"/>
      <c r="AG13" s="202"/>
      <c r="AH13" s="202"/>
      <c r="AI13" s="202"/>
      <c r="AJ13" s="202"/>
      <c r="AK13" s="202"/>
      <c r="AL13" s="202"/>
      <c r="AM13" s="202"/>
      <c r="AN13" s="202"/>
      <c r="AO13" s="202"/>
      <c r="AP13" s="202"/>
      <c r="AQ13" s="202"/>
      <c r="AR13" s="202"/>
      <c r="AS13" s="202"/>
      <c r="AT13" s="202"/>
      <c r="AU13" s="202"/>
      <c r="AV13" s="202"/>
      <c r="AW13" s="202"/>
      <c r="AX13" s="202"/>
      <c r="AY13" s="202"/>
      <c r="AZ13" s="202"/>
      <c r="BA13" s="202"/>
      <c r="BB13" s="202"/>
      <c r="BC13" s="202"/>
      <c r="BD13" s="202"/>
      <c r="BE13" s="202"/>
      <c r="BF13" s="202"/>
      <c r="BG13" s="202"/>
      <c r="BH13" s="202"/>
      <c r="BI13" s="202"/>
      <c r="BJ13" s="202"/>
      <c r="BK13" s="202"/>
      <c r="BL13" s="202"/>
      <c r="BM13" s="202"/>
      <c r="BN13" s="202"/>
      <c r="BO13" s="202"/>
      <c r="BP13" s="202"/>
      <c r="BQ13" s="202"/>
      <c r="BR13" s="202"/>
      <c r="BS13" s="202"/>
      <c r="BT13" s="202"/>
      <c r="BU13" s="202"/>
      <c r="BV13" s="202"/>
      <c r="BW13" s="202"/>
      <c r="BX13" s="202"/>
      <c r="BY13" s="202"/>
      <c r="BZ13" s="202"/>
      <c r="CA13" s="202"/>
      <c r="CB13" s="202"/>
      <c r="CC13" s="202"/>
      <c r="CD13" s="202"/>
      <c r="CE13" s="202"/>
      <c r="CF13" s="202"/>
      <c r="CG13" s="202"/>
      <c r="CH13" s="202"/>
      <c r="CI13" s="202"/>
      <c r="CJ13" s="202"/>
      <c r="CK13" s="202"/>
      <c r="CL13" s="202"/>
      <c r="CM13" s="202"/>
      <c r="CN13" s="202"/>
      <c r="CO13" s="202"/>
      <c r="CP13" s="202"/>
      <c r="CQ13" s="202"/>
      <c r="CR13" s="202"/>
      <c r="CS13" s="202"/>
      <c r="CT13" s="202"/>
      <c r="CU13" s="202"/>
      <c r="CV13" s="202"/>
      <c r="CW13" s="202"/>
      <c r="CX13" s="202"/>
      <c r="CY13" s="202"/>
      <c r="CZ13" s="202"/>
      <c r="DA13" s="202"/>
      <c r="DB13" s="202"/>
      <c r="DC13" s="202"/>
      <c r="DD13" s="202"/>
      <c r="DE13" s="202"/>
      <c r="DF13" s="202"/>
      <c r="DG13" s="202"/>
      <c r="DH13" s="202"/>
      <c r="DI13" s="202"/>
      <c r="DJ13" s="202"/>
      <c r="DK13" s="202"/>
      <c r="DL13" s="202"/>
      <c r="DM13" s="202"/>
      <c r="DN13" s="202"/>
      <c r="DO13" s="202"/>
      <c r="DP13" s="202"/>
      <c r="DQ13" s="202"/>
      <c r="DR13" s="202"/>
      <c r="DS13" s="202"/>
      <c r="DT13" s="202"/>
      <c r="DU13" s="202"/>
      <c r="DV13" s="202"/>
      <c r="DW13" s="202"/>
      <c r="DX13" s="202"/>
      <c r="DY13" s="202"/>
      <c r="DZ13" s="202"/>
      <c r="EA13" s="202"/>
      <c r="EB13" s="202"/>
      <c r="EC13" s="202"/>
      <c r="ED13" s="202"/>
      <c r="EE13" s="202"/>
      <c r="EF13" s="202"/>
      <c r="EG13" s="202"/>
      <c r="EH13" s="202"/>
      <c r="EI13" s="202"/>
      <c r="EJ13" s="202"/>
      <c r="EK13" s="202"/>
      <c r="EL13" s="202"/>
      <c r="EM13" s="202"/>
      <c r="EN13" s="202"/>
      <c r="EO13" s="202"/>
      <c r="EP13" s="202"/>
      <c r="EQ13" s="202"/>
      <c r="ER13" s="202"/>
      <c r="ES13" s="202"/>
      <c r="ET13" s="202"/>
      <c r="EU13" s="202"/>
      <c r="EV13" s="202"/>
      <c r="EW13" s="202"/>
      <c r="EX13" s="202"/>
      <c r="EY13" s="202"/>
      <c r="EZ13" s="202"/>
      <c r="FA13" s="202"/>
      <c r="FB13" s="202"/>
      <c r="FC13" s="202"/>
      <c r="FD13" s="202"/>
      <c r="FE13" s="202"/>
      <c r="FF13" s="202"/>
      <c r="FG13" s="202"/>
      <c r="FH13" s="202"/>
      <c r="FI13" s="202"/>
      <c r="FJ13" s="202"/>
      <c r="FK13" s="202"/>
      <c r="FL13" s="202"/>
      <c r="FM13" s="202"/>
      <c r="FN13" s="202"/>
      <c r="FO13" s="202"/>
      <c r="FP13" s="202"/>
      <c r="FQ13" s="202"/>
      <c r="FR13" s="202"/>
      <c r="FS13" s="202"/>
      <c r="FT13" s="202"/>
      <c r="FU13" s="202"/>
      <c r="FV13" s="202"/>
      <c r="FW13" s="202"/>
      <c r="FX13" s="202"/>
      <c r="FY13" s="202"/>
      <c r="FZ13" s="202"/>
      <c r="GA13" s="202"/>
      <c r="GB13" s="202"/>
      <c r="GC13" s="202"/>
      <c r="GD13" s="202"/>
      <c r="GE13" s="202"/>
      <c r="GF13" s="202"/>
      <c r="GG13" s="202"/>
      <c r="GH13" s="202"/>
      <c r="GI13" s="202"/>
      <c r="GJ13" s="202"/>
      <c r="GK13" s="202"/>
      <c r="GL13" s="202"/>
      <c r="GM13" s="202"/>
      <c r="GN13" s="202"/>
      <c r="GO13" s="202"/>
      <c r="GP13" s="202"/>
      <c r="GQ13" s="202"/>
      <c r="GR13" s="202"/>
      <c r="GS13" s="202"/>
      <c r="GT13" s="202"/>
      <c r="GU13" s="202"/>
      <c r="GV13" s="202"/>
      <c r="GW13" s="202"/>
      <c r="GX13" s="202"/>
      <c r="GY13" s="202"/>
      <c r="GZ13" s="202"/>
      <c r="HA13" s="202"/>
      <c r="HB13" s="202"/>
      <c r="HC13" s="202"/>
      <c r="HD13" s="202"/>
      <c r="HE13" s="202"/>
      <c r="HF13" s="202"/>
      <c r="HG13" s="202"/>
      <c r="HH13" s="202"/>
      <c r="HI13" s="202"/>
      <c r="HJ13" s="202"/>
      <c r="HK13" s="202"/>
      <c r="HL13" s="202"/>
      <c r="HM13" s="202"/>
      <c r="HN13" s="202"/>
      <c r="HO13" s="202"/>
      <c r="HP13" s="202"/>
      <c r="HQ13" s="202"/>
      <c r="HR13" s="202"/>
      <c r="HS13" s="202"/>
      <c r="HT13" s="202"/>
      <c r="HU13" s="202"/>
      <c r="HV13" s="202"/>
      <c r="HX13" s="207"/>
      <c r="HY13" s="207"/>
      <c r="HZ13" s="207"/>
      <c r="IA13" s="207"/>
      <c r="IB13" s="207"/>
      <c r="IC13" s="207"/>
      <c r="ID13" s="207"/>
      <c r="IE13" s="207"/>
      <c r="IF13" s="207"/>
      <c r="IG13" s="207"/>
      <c r="IH13" s="207"/>
      <c r="II13" s="207"/>
      <c r="IJ13" s="207"/>
      <c r="IK13" s="207"/>
      <c r="IL13" s="207"/>
      <c r="IM13" s="207"/>
      <c r="IN13" s="207"/>
      <c r="IO13" s="207"/>
    </row>
    <row r="14" spans="1:249" s="206" customFormat="1">
      <c r="A14" s="202"/>
      <c r="B14" s="220"/>
      <c r="C14" s="240" t="s">
        <v>238</v>
      </c>
      <c r="D14" s="241">
        <f>D13/D8</f>
        <v>9.2754407670893907E-2</v>
      </c>
      <c r="E14" s="344">
        <v>9.2754407670893907E-2</v>
      </c>
      <c r="F14" s="241">
        <f>D14-E14</f>
        <v>0</v>
      </c>
      <c r="G14" s="242"/>
      <c r="H14" s="243">
        <f>H13/H8</f>
        <v>9.2754407670893907E-2</v>
      </c>
      <c r="I14" s="344">
        <v>9.2754407670893921E-2</v>
      </c>
      <c r="J14" s="241">
        <f>H14-I14</f>
        <v>0</v>
      </c>
      <c r="K14" s="242"/>
      <c r="L14" s="243">
        <f>L13/L8</f>
        <v>9.2754407670893893E-2</v>
      </c>
      <c r="M14" s="344">
        <v>9.2754407670893935E-2</v>
      </c>
      <c r="N14" s="241">
        <f>L14-M14</f>
        <v>0</v>
      </c>
      <c r="O14" s="1167"/>
      <c r="P14" s="235"/>
      <c r="Q14" s="205"/>
      <c r="R14" s="202"/>
      <c r="S14" s="202"/>
      <c r="T14" s="202"/>
      <c r="U14" s="202"/>
      <c r="V14" s="202"/>
      <c r="W14" s="202"/>
      <c r="X14" s="202"/>
      <c r="Y14" s="202"/>
      <c r="Z14" s="202"/>
      <c r="AA14" s="202"/>
      <c r="AB14" s="202"/>
      <c r="AC14" s="202"/>
      <c r="AD14" s="202"/>
      <c r="AE14" s="202"/>
      <c r="AF14" s="202"/>
      <c r="AG14" s="202"/>
      <c r="AH14" s="202"/>
      <c r="AI14" s="202"/>
      <c r="AJ14" s="202"/>
      <c r="AK14" s="202"/>
      <c r="AL14" s="202"/>
      <c r="AM14" s="202"/>
      <c r="AN14" s="202"/>
      <c r="AO14" s="202"/>
      <c r="AP14" s="202"/>
      <c r="AQ14" s="202"/>
      <c r="AR14" s="202"/>
      <c r="AS14" s="202"/>
      <c r="AT14" s="202"/>
      <c r="AU14" s="202"/>
      <c r="AV14" s="202"/>
      <c r="AW14" s="202"/>
      <c r="AX14" s="202"/>
      <c r="AY14" s="202"/>
      <c r="AZ14" s="202"/>
      <c r="BA14" s="202"/>
      <c r="BB14" s="202"/>
      <c r="BC14" s="202"/>
      <c r="BD14" s="202"/>
      <c r="BE14" s="202"/>
      <c r="BF14" s="202"/>
      <c r="BG14" s="202"/>
      <c r="BH14" s="202"/>
      <c r="BI14" s="202"/>
      <c r="BJ14" s="202"/>
      <c r="BK14" s="202"/>
      <c r="BL14" s="202"/>
      <c r="BM14" s="202"/>
      <c r="BN14" s="202"/>
      <c r="BO14" s="202"/>
      <c r="BP14" s="202"/>
      <c r="BQ14" s="202"/>
      <c r="BR14" s="202"/>
      <c r="BS14" s="202"/>
      <c r="BT14" s="202"/>
      <c r="BU14" s="202"/>
      <c r="BV14" s="202"/>
      <c r="BW14" s="202"/>
      <c r="BX14" s="202"/>
      <c r="BY14" s="202"/>
      <c r="BZ14" s="202"/>
      <c r="CA14" s="202"/>
      <c r="CB14" s="202"/>
      <c r="CC14" s="202"/>
      <c r="CD14" s="202"/>
      <c r="CE14" s="202"/>
      <c r="CF14" s="202"/>
      <c r="CG14" s="202"/>
      <c r="CH14" s="202"/>
      <c r="CI14" s="202"/>
      <c r="CJ14" s="202"/>
      <c r="CK14" s="202"/>
      <c r="CL14" s="202"/>
      <c r="CM14" s="202"/>
      <c r="CN14" s="202"/>
      <c r="CO14" s="202"/>
      <c r="CP14" s="202"/>
      <c r="CQ14" s="202"/>
      <c r="CR14" s="202"/>
      <c r="CS14" s="202"/>
      <c r="CT14" s="202"/>
      <c r="CU14" s="202"/>
      <c r="CV14" s="202"/>
      <c r="CW14" s="202"/>
      <c r="CX14" s="202"/>
      <c r="CY14" s="202"/>
      <c r="CZ14" s="202"/>
      <c r="DA14" s="202"/>
      <c r="DB14" s="202"/>
      <c r="DC14" s="202"/>
      <c r="DD14" s="202"/>
      <c r="DE14" s="202"/>
      <c r="DF14" s="202"/>
      <c r="DG14" s="202"/>
      <c r="DH14" s="202"/>
      <c r="DI14" s="202"/>
      <c r="DJ14" s="202"/>
      <c r="DK14" s="202"/>
      <c r="DL14" s="202"/>
      <c r="DM14" s="202"/>
      <c r="DN14" s="202"/>
      <c r="DO14" s="202"/>
      <c r="DP14" s="202"/>
      <c r="DQ14" s="202"/>
      <c r="DR14" s="202"/>
      <c r="DS14" s="202"/>
      <c r="DT14" s="202"/>
      <c r="DU14" s="202"/>
      <c r="DV14" s="202"/>
      <c r="DW14" s="202"/>
      <c r="DX14" s="202"/>
      <c r="DY14" s="202"/>
      <c r="DZ14" s="202"/>
      <c r="EA14" s="202"/>
      <c r="EB14" s="202"/>
      <c r="EC14" s="202"/>
      <c r="ED14" s="202"/>
      <c r="EE14" s="202"/>
      <c r="EF14" s="202"/>
      <c r="EG14" s="202"/>
      <c r="EH14" s="202"/>
      <c r="EI14" s="202"/>
      <c r="EJ14" s="202"/>
      <c r="EK14" s="202"/>
      <c r="EL14" s="202"/>
      <c r="EM14" s="202"/>
      <c r="EN14" s="202"/>
      <c r="EO14" s="202"/>
      <c r="EP14" s="202"/>
      <c r="EQ14" s="202"/>
      <c r="ER14" s="202"/>
      <c r="ES14" s="202"/>
      <c r="ET14" s="202"/>
      <c r="EU14" s="202"/>
      <c r="EV14" s="202"/>
      <c r="EW14" s="202"/>
      <c r="EX14" s="202"/>
      <c r="EY14" s="202"/>
      <c r="EZ14" s="202"/>
      <c r="FA14" s="202"/>
      <c r="FB14" s="202"/>
      <c r="FC14" s="202"/>
      <c r="FD14" s="202"/>
      <c r="FE14" s="202"/>
      <c r="FF14" s="202"/>
      <c r="FG14" s="202"/>
      <c r="FH14" s="202"/>
      <c r="FI14" s="202"/>
      <c r="FJ14" s="202"/>
      <c r="FK14" s="202"/>
      <c r="FL14" s="202"/>
      <c r="FM14" s="202"/>
      <c r="FN14" s="202"/>
      <c r="FO14" s="202"/>
      <c r="FP14" s="202"/>
      <c r="FQ14" s="202"/>
      <c r="FR14" s="202"/>
      <c r="FS14" s="202"/>
      <c r="FT14" s="202"/>
      <c r="FU14" s="202"/>
      <c r="FV14" s="202"/>
      <c r="FW14" s="202"/>
      <c r="FX14" s="202"/>
      <c r="FY14" s="202"/>
      <c r="FZ14" s="202"/>
      <c r="GA14" s="202"/>
      <c r="GB14" s="202"/>
      <c r="GC14" s="202"/>
      <c r="GD14" s="202"/>
      <c r="GE14" s="202"/>
      <c r="GF14" s="202"/>
      <c r="GG14" s="202"/>
      <c r="GH14" s="202"/>
      <c r="GI14" s="202"/>
      <c r="GJ14" s="202"/>
      <c r="GK14" s="202"/>
      <c r="GL14" s="202"/>
      <c r="GM14" s="202"/>
      <c r="GN14" s="202"/>
      <c r="GO14" s="202"/>
      <c r="GP14" s="202"/>
      <c r="GQ14" s="202"/>
      <c r="GR14" s="202"/>
      <c r="GS14" s="202"/>
      <c r="GT14" s="202"/>
      <c r="GU14" s="202"/>
      <c r="GV14" s="202"/>
      <c r="GW14" s="202"/>
      <c r="GX14" s="202"/>
      <c r="GY14" s="202"/>
      <c r="GZ14" s="202"/>
      <c r="HA14" s="202"/>
      <c r="HB14" s="202"/>
      <c r="HC14" s="202"/>
      <c r="HD14" s="202"/>
      <c r="HE14" s="202"/>
      <c r="HF14" s="202"/>
      <c r="HG14" s="202"/>
      <c r="HH14" s="202"/>
      <c r="HI14" s="202"/>
      <c r="HJ14" s="202"/>
      <c r="HK14" s="202"/>
      <c r="HL14" s="202"/>
      <c r="HM14" s="202"/>
      <c r="HN14" s="202"/>
      <c r="HO14" s="202"/>
      <c r="HP14" s="202"/>
      <c r="HQ14" s="202"/>
      <c r="HR14" s="202"/>
      <c r="HS14" s="202"/>
      <c r="HT14" s="202"/>
      <c r="HU14" s="202"/>
      <c r="HV14" s="202"/>
      <c r="HX14" s="207"/>
      <c r="HY14" s="207"/>
      <c r="HZ14" s="207"/>
      <c r="IA14" s="207"/>
      <c r="IB14" s="207"/>
      <c r="IC14" s="207"/>
      <c r="ID14" s="207"/>
      <c r="IE14" s="207"/>
      <c r="IF14" s="207"/>
      <c r="IG14" s="207"/>
      <c r="IH14" s="207"/>
      <c r="II14" s="207"/>
      <c r="IJ14" s="207"/>
      <c r="IK14" s="207"/>
      <c r="IL14" s="207"/>
      <c r="IM14" s="207"/>
      <c r="IN14" s="207"/>
      <c r="IO14" s="207"/>
    </row>
    <row r="15" spans="1:249" s="206" customFormat="1">
      <c r="A15" s="202"/>
      <c r="B15" s="220"/>
      <c r="C15" s="1127" t="s">
        <v>239</v>
      </c>
      <c r="D15" s="1126">
        <f>Financials!$CR$17</f>
        <v>9.9999999999994316E-2</v>
      </c>
      <c r="E15" s="232">
        <v>9.9999999999994316E-2</v>
      </c>
      <c r="F15" s="233">
        <f>D15-E15</f>
        <v>0</v>
      </c>
      <c r="G15" s="254">
        <f>G16-G13-G10</f>
        <v>-2.931682674400804E-16</v>
      </c>
      <c r="H15" s="355">
        <f>Financials!$DU$17</f>
        <v>0.39999999999997726</v>
      </c>
      <c r="I15" s="232">
        <v>0.39999999999997726</v>
      </c>
      <c r="J15" s="233">
        <f>H15-I15</f>
        <v>0</v>
      </c>
      <c r="K15" s="254">
        <f>K16-K13-K10</f>
        <v>0</v>
      </c>
      <c r="L15" s="355">
        <f>Financials!$DV$17</f>
        <v>0.39999999999997726</v>
      </c>
      <c r="M15" s="232">
        <v>0.39999999999997726</v>
      </c>
      <c r="N15" s="233">
        <f>L15-M15</f>
        <v>0</v>
      </c>
      <c r="O15" s="1168">
        <f>O16-O13-O10</f>
        <v>-7.7715611723760958E-16</v>
      </c>
      <c r="P15" s="235"/>
      <c r="Q15" s="205"/>
      <c r="R15" s="202"/>
      <c r="S15" s="202"/>
      <c r="T15" s="202"/>
      <c r="U15" s="202"/>
      <c r="V15" s="202"/>
      <c r="W15" s="202"/>
      <c r="X15" s="202"/>
      <c r="Y15" s="202"/>
      <c r="Z15" s="202"/>
      <c r="AA15" s="202"/>
      <c r="AB15" s="202"/>
      <c r="AC15" s="202"/>
      <c r="AD15" s="202"/>
      <c r="AE15" s="202"/>
      <c r="AF15" s="202"/>
      <c r="AG15" s="202"/>
      <c r="AH15" s="202"/>
      <c r="AI15" s="202"/>
      <c r="AJ15" s="202"/>
      <c r="AK15" s="202"/>
      <c r="AL15" s="202"/>
      <c r="AM15" s="202"/>
      <c r="AN15" s="202"/>
      <c r="AO15" s="202"/>
      <c r="AP15" s="202"/>
      <c r="AQ15" s="202"/>
      <c r="AR15" s="202"/>
      <c r="AS15" s="202"/>
      <c r="AT15" s="202"/>
      <c r="AU15" s="202"/>
      <c r="AV15" s="202"/>
      <c r="AW15" s="202"/>
      <c r="AX15" s="202"/>
      <c r="AY15" s="202"/>
      <c r="AZ15" s="202"/>
      <c r="BA15" s="202"/>
      <c r="BB15" s="202"/>
      <c r="BC15" s="202"/>
      <c r="BD15" s="202"/>
      <c r="BE15" s="202"/>
      <c r="BF15" s="202"/>
      <c r="BG15" s="202"/>
      <c r="BH15" s="202"/>
      <c r="BI15" s="202"/>
      <c r="BJ15" s="202"/>
      <c r="BK15" s="202"/>
      <c r="BL15" s="202"/>
      <c r="BM15" s="202"/>
      <c r="BN15" s="202"/>
      <c r="BO15" s="202"/>
      <c r="BP15" s="202"/>
      <c r="BQ15" s="202"/>
      <c r="BR15" s="202"/>
      <c r="BS15" s="202"/>
      <c r="BT15" s="202"/>
      <c r="BU15" s="202"/>
      <c r="BV15" s="202"/>
      <c r="BW15" s="202"/>
      <c r="BX15" s="202"/>
      <c r="BY15" s="202"/>
      <c r="BZ15" s="202"/>
      <c r="CA15" s="202"/>
      <c r="CB15" s="202"/>
      <c r="CC15" s="202"/>
      <c r="CD15" s="202"/>
      <c r="CE15" s="202"/>
      <c r="CF15" s="202"/>
      <c r="CG15" s="202"/>
      <c r="CH15" s="202"/>
      <c r="CI15" s="202"/>
      <c r="CJ15" s="202"/>
      <c r="CK15" s="202"/>
      <c r="CL15" s="202"/>
      <c r="CM15" s="202"/>
      <c r="CN15" s="202"/>
      <c r="CO15" s="202"/>
      <c r="CP15" s="202"/>
      <c r="CQ15" s="202"/>
      <c r="CR15" s="202"/>
      <c r="CS15" s="202"/>
      <c r="CT15" s="202"/>
      <c r="CU15" s="202"/>
      <c r="CV15" s="202"/>
      <c r="CW15" s="202"/>
      <c r="CX15" s="202"/>
      <c r="CY15" s="202"/>
      <c r="CZ15" s="202"/>
      <c r="DA15" s="202"/>
      <c r="DB15" s="202"/>
      <c r="DC15" s="202"/>
      <c r="DD15" s="202"/>
      <c r="DE15" s="202"/>
      <c r="DF15" s="202"/>
      <c r="DG15" s="202"/>
      <c r="DH15" s="202"/>
      <c r="DI15" s="202"/>
      <c r="DJ15" s="202"/>
      <c r="DK15" s="202"/>
      <c r="DL15" s="202"/>
      <c r="DM15" s="202"/>
      <c r="DN15" s="202"/>
      <c r="DO15" s="202"/>
      <c r="DP15" s="202"/>
      <c r="DQ15" s="202"/>
      <c r="DR15" s="202"/>
      <c r="DS15" s="202"/>
      <c r="DT15" s="202"/>
      <c r="DU15" s="202"/>
      <c r="DV15" s="202"/>
      <c r="DW15" s="202"/>
      <c r="DX15" s="202"/>
      <c r="DY15" s="202"/>
      <c r="DZ15" s="202"/>
      <c r="EA15" s="202"/>
      <c r="EB15" s="202"/>
      <c r="EC15" s="202"/>
      <c r="ED15" s="202"/>
      <c r="EE15" s="202"/>
      <c r="EF15" s="202"/>
      <c r="EG15" s="202"/>
      <c r="EH15" s="202"/>
      <c r="EI15" s="202"/>
      <c r="EJ15" s="202"/>
      <c r="EK15" s="202"/>
      <c r="EL15" s="202"/>
      <c r="EM15" s="202"/>
      <c r="EN15" s="202"/>
      <c r="EO15" s="202"/>
      <c r="EP15" s="202"/>
      <c r="EQ15" s="202"/>
      <c r="ER15" s="202"/>
      <c r="ES15" s="202"/>
      <c r="ET15" s="202"/>
      <c r="EU15" s="202"/>
      <c r="EV15" s="202"/>
      <c r="EW15" s="202"/>
      <c r="EX15" s="202"/>
      <c r="EY15" s="202"/>
      <c r="EZ15" s="202"/>
      <c r="FA15" s="202"/>
      <c r="FB15" s="202"/>
      <c r="FC15" s="202"/>
      <c r="FD15" s="202"/>
      <c r="FE15" s="202"/>
      <c r="FF15" s="202"/>
      <c r="FG15" s="202"/>
      <c r="FH15" s="202"/>
      <c r="FI15" s="202"/>
      <c r="FJ15" s="202"/>
      <c r="FK15" s="202"/>
      <c r="FL15" s="202"/>
      <c r="FM15" s="202"/>
      <c r="FN15" s="202"/>
      <c r="FO15" s="202"/>
      <c r="FP15" s="202"/>
      <c r="FQ15" s="202"/>
      <c r="FR15" s="202"/>
      <c r="FS15" s="202"/>
      <c r="FT15" s="202"/>
      <c r="FU15" s="202"/>
      <c r="FV15" s="202"/>
      <c r="FW15" s="202"/>
      <c r="FX15" s="202"/>
      <c r="FY15" s="202"/>
      <c r="FZ15" s="202"/>
      <c r="GA15" s="202"/>
      <c r="GB15" s="202"/>
      <c r="GC15" s="202"/>
      <c r="GD15" s="202"/>
      <c r="GE15" s="202"/>
      <c r="GF15" s="202"/>
      <c r="GG15" s="202"/>
      <c r="GH15" s="202"/>
      <c r="GI15" s="202"/>
      <c r="GJ15" s="202"/>
      <c r="GK15" s="202"/>
      <c r="GL15" s="202"/>
      <c r="GM15" s="202"/>
      <c r="GN15" s="202"/>
      <c r="GO15" s="202"/>
      <c r="GP15" s="202"/>
      <c r="GQ15" s="202"/>
      <c r="GR15" s="202"/>
      <c r="GS15" s="202"/>
      <c r="GT15" s="202"/>
      <c r="GU15" s="202"/>
      <c r="GV15" s="202"/>
      <c r="GW15" s="202"/>
      <c r="GX15" s="202"/>
      <c r="GY15" s="202"/>
      <c r="GZ15" s="202"/>
      <c r="HA15" s="202"/>
      <c r="HB15" s="202"/>
      <c r="HC15" s="202"/>
      <c r="HD15" s="202"/>
      <c r="HE15" s="202"/>
      <c r="HF15" s="202"/>
      <c r="HG15" s="202"/>
      <c r="HH15" s="202"/>
      <c r="HI15" s="202"/>
      <c r="HJ15" s="202"/>
      <c r="HK15" s="202"/>
      <c r="HL15" s="202"/>
      <c r="HM15" s="202"/>
      <c r="HN15" s="202"/>
      <c r="HO15" s="202"/>
      <c r="HP15" s="202"/>
      <c r="HQ15" s="202"/>
      <c r="HR15" s="202"/>
      <c r="HS15" s="202"/>
      <c r="HT15" s="202"/>
      <c r="HU15" s="202"/>
      <c r="HV15" s="202"/>
      <c r="HX15" s="207"/>
      <c r="HY15" s="207"/>
      <c r="HZ15" s="207"/>
      <c r="IA15" s="207"/>
      <c r="IB15" s="207"/>
      <c r="IC15" s="207"/>
      <c r="ID15" s="207"/>
      <c r="IE15" s="207"/>
      <c r="IF15" s="207"/>
      <c r="IG15" s="207"/>
      <c r="IH15" s="207"/>
      <c r="II15" s="207"/>
      <c r="IJ15" s="207"/>
      <c r="IK15" s="207"/>
      <c r="IL15" s="207"/>
      <c r="IM15" s="207"/>
      <c r="IN15" s="207"/>
      <c r="IO15" s="207"/>
    </row>
    <row r="16" spans="1:249" s="206" customFormat="1">
      <c r="A16" s="202"/>
      <c r="B16" s="220"/>
      <c r="C16" s="236" t="s">
        <v>248</v>
      </c>
      <c r="D16" s="225">
        <f>D10-D13+D15</f>
        <v>334.00300578130634</v>
      </c>
      <c r="E16" s="226">
        <v>332.20038406671233</v>
      </c>
      <c r="F16" s="227">
        <f>D16-E16</f>
        <v>1.8026217145940109</v>
      </c>
      <c r="G16" s="237">
        <f>(D16-E16)*(1-D$24)/D$30</f>
        <v>6.1961042904642195E-3</v>
      </c>
      <c r="H16" s="229">
        <f>H10-H13+H15</f>
        <v>1363.155673168596</v>
      </c>
      <c r="I16" s="226">
        <v>1342.5172444290279</v>
      </c>
      <c r="J16" s="227">
        <f>H16-I16</f>
        <v>20.638428739568099</v>
      </c>
      <c r="K16" s="237">
        <f>(H16-I16)*(1-H$24)/H$30</f>
        <v>7.116873262955381E-2</v>
      </c>
      <c r="L16" s="229">
        <f>L10-L13+L15</f>
        <v>1402.9174492875723</v>
      </c>
      <c r="M16" s="226">
        <v>1375.9226473956733</v>
      </c>
      <c r="N16" s="227">
        <f>L16-M16</f>
        <v>26.994801891898987</v>
      </c>
      <c r="O16" s="238">
        <f>(L16-M16)*(1-L$24)/L$30</f>
        <v>9.3087795707481588E-2</v>
      </c>
      <c r="P16" s="231"/>
      <c r="Q16" s="205"/>
      <c r="R16" s="202"/>
      <c r="S16" s="202"/>
      <c r="T16" s="202"/>
      <c r="U16" s="202"/>
      <c r="V16" s="202"/>
      <c r="W16" s="202"/>
      <c r="X16" s="202"/>
      <c r="Y16" s="202"/>
      <c r="Z16" s="202"/>
      <c r="AA16" s="202"/>
      <c r="AB16" s="202"/>
      <c r="AC16" s="202"/>
      <c r="AD16" s="202"/>
      <c r="AE16" s="202"/>
      <c r="AF16" s="202"/>
      <c r="AG16" s="202"/>
      <c r="AH16" s="202"/>
      <c r="AI16" s="202"/>
      <c r="AJ16" s="202"/>
      <c r="AK16" s="202"/>
      <c r="AL16" s="202"/>
      <c r="AM16" s="202"/>
      <c r="AN16" s="202"/>
      <c r="AO16" s="202"/>
      <c r="AP16" s="202"/>
      <c r="AQ16" s="202"/>
      <c r="AR16" s="202"/>
      <c r="AS16" s="202"/>
      <c r="AT16" s="202"/>
      <c r="AU16" s="202"/>
      <c r="AV16" s="202"/>
      <c r="AW16" s="202"/>
      <c r="AX16" s="202"/>
      <c r="AY16" s="202"/>
      <c r="AZ16" s="202"/>
      <c r="BA16" s="202"/>
      <c r="BB16" s="202"/>
      <c r="BC16" s="202"/>
      <c r="BD16" s="202"/>
      <c r="BE16" s="202"/>
      <c r="BF16" s="202"/>
      <c r="BG16" s="202"/>
      <c r="BH16" s="202"/>
      <c r="BI16" s="202"/>
      <c r="BJ16" s="202"/>
      <c r="BK16" s="202"/>
      <c r="BL16" s="202"/>
      <c r="BM16" s="202"/>
      <c r="BN16" s="202"/>
      <c r="BO16" s="202"/>
      <c r="BP16" s="202"/>
      <c r="BQ16" s="202"/>
      <c r="BR16" s="202"/>
      <c r="BS16" s="202"/>
      <c r="BT16" s="202"/>
      <c r="BU16" s="202"/>
      <c r="BV16" s="202"/>
      <c r="BW16" s="202"/>
      <c r="BX16" s="202"/>
      <c r="BY16" s="202"/>
      <c r="BZ16" s="202"/>
      <c r="CA16" s="202"/>
      <c r="CB16" s="202"/>
      <c r="CC16" s="202"/>
      <c r="CD16" s="202"/>
      <c r="CE16" s="202"/>
      <c r="CF16" s="202"/>
      <c r="CG16" s="202"/>
      <c r="CH16" s="202"/>
      <c r="CI16" s="202"/>
      <c r="CJ16" s="202"/>
      <c r="CK16" s="202"/>
      <c r="CL16" s="202"/>
      <c r="CM16" s="202"/>
      <c r="CN16" s="202"/>
      <c r="CO16" s="202"/>
      <c r="CP16" s="202"/>
      <c r="CQ16" s="202"/>
      <c r="CR16" s="202"/>
      <c r="CS16" s="202"/>
      <c r="CT16" s="202"/>
      <c r="CU16" s="202"/>
      <c r="CV16" s="202"/>
      <c r="CW16" s="202"/>
      <c r="CX16" s="202"/>
      <c r="CY16" s="202"/>
      <c r="CZ16" s="202"/>
      <c r="DA16" s="202"/>
      <c r="DB16" s="202"/>
      <c r="DC16" s="202"/>
      <c r="DD16" s="202"/>
      <c r="DE16" s="202"/>
      <c r="DF16" s="202"/>
      <c r="DG16" s="202"/>
      <c r="DH16" s="202"/>
      <c r="DI16" s="202"/>
      <c r="DJ16" s="202"/>
      <c r="DK16" s="202"/>
      <c r="DL16" s="202"/>
      <c r="DM16" s="202"/>
      <c r="DN16" s="202"/>
      <c r="DO16" s="202"/>
      <c r="DP16" s="202"/>
      <c r="DQ16" s="202"/>
      <c r="DR16" s="202"/>
      <c r="DS16" s="202"/>
      <c r="DT16" s="202"/>
      <c r="DU16" s="202"/>
      <c r="DV16" s="202"/>
      <c r="DW16" s="202"/>
      <c r="DX16" s="202"/>
      <c r="DY16" s="202"/>
      <c r="DZ16" s="202"/>
      <c r="EA16" s="202"/>
      <c r="EB16" s="202"/>
      <c r="EC16" s="202"/>
      <c r="ED16" s="202"/>
      <c r="EE16" s="202"/>
      <c r="EF16" s="202"/>
      <c r="EG16" s="202"/>
      <c r="EH16" s="202"/>
      <c r="EI16" s="202"/>
      <c r="EJ16" s="202"/>
      <c r="EK16" s="202"/>
      <c r="EL16" s="202"/>
      <c r="EM16" s="202"/>
      <c r="EN16" s="202"/>
      <c r="EO16" s="202"/>
      <c r="EP16" s="202"/>
      <c r="EQ16" s="202"/>
      <c r="ER16" s="202"/>
      <c r="ES16" s="202"/>
      <c r="ET16" s="202"/>
      <c r="EU16" s="202"/>
      <c r="EV16" s="202"/>
      <c r="EW16" s="202"/>
      <c r="EX16" s="202"/>
      <c r="EY16" s="202"/>
      <c r="EZ16" s="202"/>
      <c r="FA16" s="202"/>
      <c r="FB16" s="202"/>
      <c r="FC16" s="202"/>
      <c r="FD16" s="202"/>
      <c r="FE16" s="202"/>
      <c r="FF16" s="202"/>
      <c r="FG16" s="202"/>
      <c r="FH16" s="202"/>
      <c r="FI16" s="202"/>
      <c r="FJ16" s="202"/>
      <c r="FK16" s="202"/>
      <c r="FL16" s="202"/>
      <c r="FM16" s="202"/>
      <c r="FN16" s="202"/>
      <c r="FO16" s="202"/>
      <c r="FP16" s="202"/>
      <c r="FQ16" s="202"/>
      <c r="FR16" s="202"/>
      <c r="FS16" s="202"/>
      <c r="FT16" s="202"/>
      <c r="FU16" s="202"/>
      <c r="FV16" s="202"/>
      <c r="FW16" s="202"/>
      <c r="FX16" s="202"/>
      <c r="FY16" s="202"/>
      <c r="FZ16" s="202"/>
      <c r="GA16" s="202"/>
      <c r="GB16" s="202"/>
      <c r="GC16" s="202"/>
      <c r="GD16" s="202"/>
      <c r="GE16" s="202"/>
      <c r="GF16" s="202"/>
      <c r="GG16" s="202"/>
      <c r="GH16" s="202"/>
      <c r="GI16" s="202"/>
      <c r="GJ16" s="202"/>
      <c r="GK16" s="202"/>
      <c r="GL16" s="202"/>
      <c r="GM16" s="202"/>
      <c r="GN16" s="202"/>
      <c r="GO16" s="202"/>
      <c r="GP16" s="202"/>
      <c r="GQ16" s="202"/>
      <c r="GR16" s="202"/>
      <c r="GS16" s="202"/>
      <c r="GT16" s="202"/>
      <c r="GU16" s="202"/>
      <c r="GV16" s="202"/>
      <c r="GW16" s="202"/>
      <c r="GX16" s="202"/>
      <c r="GY16" s="202"/>
      <c r="GZ16" s="202"/>
      <c r="HA16" s="202"/>
      <c r="HB16" s="202"/>
      <c r="HC16" s="202"/>
      <c r="HD16" s="202"/>
      <c r="HE16" s="202"/>
      <c r="HF16" s="202"/>
      <c r="HG16" s="202"/>
      <c r="HH16" s="202"/>
      <c r="HI16" s="202"/>
      <c r="HJ16" s="202"/>
      <c r="HK16" s="202"/>
      <c r="HL16" s="202"/>
      <c r="HM16" s="202"/>
      <c r="HN16" s="202"/>
      <c r="HO16" s="202"/>
      <c r="HP16" s="202"/>
      <c r="HQ16" s="202"/>
      <c r="HR16" s="202"/>
      <c r="HS16" s="202"/>
      <c r="HT16" s="202"/>
      <c r="HU16" s="202"/>
      <c r="HV16" s="202"/>
      <c r="HX16" s="207"/>
      <c r="HY16" s="207"/>
      <c r="HZ16" s="207"/>
      <c r="IA16" s="207"/>
      <c r="IB16" s="207"/>
      <c r="IC16" s="207"/>
      <c r="ID16" s="207"/>
      <c r="IE16" s="207"/>
      <c r="IF16" s="207"/>
      <c r="IG16" s="207"/>
      <c r="IH16" s="207"/>
      <c r="II16" s="207"/>
      <c r="IJ16" s="207"/>
      <c r="IK16" s="207"/>
      <c r="IL16" s="207"/>
      <c r="IM16" s="207"/>
      <c r="IN16" s="207"/>
      <c r="IO16" s="207"/>
    </row>
    <row r="17" spans="1:249" s="206" customFormat="1">
      <c r="A17" s="202"/>
      <c r="B17" s="220"/>
      <c r="C17" s="240" t="s">
        <v>240</v>
      </c>
      <c r="D17" s="241">
        <f>D16/D8</f>
        <v>0.12523845948999385</v>
      </c>
      <c r="E17" s="344">
        <v>0.12525258977643267</v>
      </c>
      <c r="F17" s="241">
        <f>D17-E17</f>
        <v>-1.4130286438818196E-5</v>
      </c>
      <c r="G17" s="242"/>
      <c r="H17" s="243">
        <f>H16/H8</f>
        <v>0.12598082293666335</v>
      </c>
      <c r="I17" s="344">
        <v>0.12593896959490622</v>
      </c>
      <c r="J17" s="241">
        <f>H17-I17</f>
        <v>4.1853341757130957E-5</v>
      </c>
      <c r="K17" s="242"/>
      <c r="L17" s="243">
        <f>L16/L8</f>
        <v>0.12281697564318844</v>
      </c>
      <c r="M17" s="344">
        <v>0.12275579503591805</v>
      </c>
      <c r="N17" s="241">
        <f>L17-M17</f>
        <v>6.1180607270394649E-5</v>
      </c>
      <c r="O17" s="1167"/>
      <c r="P17" s="235"/>
      <c r="Q17" s="205"/>
      <c r="R17" s="202"/>
      <c r="S17" s="202"/>
      <c r="T17" s="202"/>
      <c r="U17" s="202"/>
      <c r="V17" s="202"/>
      <c r="W17" s="202"/>
      <c r="X17" s="202"/>
      <c r="Y17" s="202"/>
      <c r="Z17" s="202"/>
      <c r="AA17" s="202"/>
      <c r="AB17" s="202"/>
      <c r="AC17" s="202"/>
      <c r="AD17" s="202"/>
      <c r="AE17" s="202"/>
      <c r="AF17" s="202"/>
      <c r="AG17" s="202"/>
      <c r="AH17" s="202"/>
      <c r="AI17" s="202"/>
      <c r="AJ17" s="202"/>
      <c r="AK17" s="202"/>
      <c r="AL17" s="202"/>
      <c r="AM17" s="202"/>
      <c r="AN17" s="202"/>
      <c r="AO17" s="202"/>
      <c r="AP17" s="202"/>
      <c r="AQ17" s="202"/>
      <c r="AR17" s="202"/>
      <c r="AS17" s="202"/>
      <c r="AT17" s="202"/>
      <c r="AU17" s="202"/>
      <c r="AV17" s="202"/>
      <c r="AW17" s="202"/>
      <c r="AX17" s="202"/>
      <c r="AY17" s="202"/>
      <c r="AZ17" s="202"/>
      <c r="BA17" s="202"/>
      <c r="BB17" s="202"/>
      <c r="BC17" s="202"/>
      <c r="BD17" s="202"/>
      <c r="BE17" s="202"/>
      <c r="BF17" s="202"/>
      <c r="BG17" s="202"/>
      <c r="BH17" s="202"/>
      <c r="BI17" s="202"/>
      <c r="BJ17" s="202"/>
      <c r="BK17" s="202"/>
      <c r="BL17" s="202"/>
      <c r="BM17" s="202"/>
      <c r="BN17" s="202"/>
      <c r="BO17" s="202"/>
      <c r="BP17" s="202"/>
      <c r="BQ17" s="202"/>
      <c r="BR17" s="202"/>
      <c r="BS17" s="202"/>
      <c r="BT17" s="202"/>
      <c r="BU17" s="202"/>
      <c r="BV17" s="202"/>
      <c r="BW17" s="202"/>
      <c r="BX17" s="202"/>
      <c r="BY17" s="202"/>
      <c r="BZ17" s="202"/>
      <c r="CA17" s="202"/>
      <c r="CB17" s="202"/>
      <c r="CC17" s="202"/>
      <c r="CD17" s="202"/>
      <c r="CE17" s="202"/>
      <c r="CF17" s="202"/>
      <c r="CG17" s="202"/>
      <c r="CH17" s="202"/>
      <c r="CI17" s="202"/>
      <c r="CJ17" s="202"/>
      <c r="CK17" s="202"/>
      <c r="CL17" s="202"/>
      <c r="CM17" s="202"/>
      <c r="CN17" s="202"/>
      <c r="CO17" s="202"/>
      <c r="CP17" s="202"/>
      <c r="CQ17" s="202"/>
      <c r="CR17" s="202"/>
      <c r="CS17" s="202"/>
      <c r="CT17" s="202"/>
      <c r="CU17" s="202"/>
      <c r="CV17" s="202"/>
      <c r="CW17" s="202"/>
      <c r="CX17" s="202"/>
      <c r="CY17" s="202"/>
      <c r="CZ17" s="202"/>
      <c r="DA17" s="202"/>
      <c r="DB17" s="202"/>
      <c r="DC17" s="202"/>
      <c r="DD17" s="202"/>
      <c r="DE17" s="202"/>
      <c r="DF17" s="202"/>
      <c r="DG17" s="202"/>
      <c r="DH17" s="202"/>
      <c r="DI17" s="202"/>
      <c r="DJ17" s="202"/>
      <c r="DK17" s="202"/>
      <c r="DL17" s="202"/>
      <c r="DM17" s="202"/>
      <c r="DN17" s="202"/>
      <c r="DO17" s="202"/>
      <c r="DP17" s="202"/>
      <c r="DQ17" s="202"/>
      <c r="DR17" s="202"/>
      <c r="DS17" s="202"/>
      <c r="DT17" s="202"/>
      <c r="DU17" s="202"/>
      <c r="DV17" s="202"/>
      <c r="DW17" s="202"/>
      <c r="DX17" s="202"/>
      <c r="DY17" s="202"/>
      <c r="DZ17" s="202"/>
      <c r="EA17" s="202"/>
      <c r="EB17" s="202"/>
      <c r="EC17" s="202"/>
      <c r="ED17" s="202"/>
      <c r="EE17" s="202"/>
      <c r="EF17" s="202"/>
      <c r="EG17" s="202"/>
      <c r="EH17" s="202"/>
      <c r="EI17" s="202"/>
      <c r="EJ17" s="202"/>
      <c r="EK17" s="202"/>
      <c r="EL17" s="202"/>
      <c r="EM17" s="202"/>
      <c r="EN17" s="202"/>
      <c r="EO17" s="202"/>
      <c r="EP17" s="202"/>
      <c r="EQ17" s="202"/>
      <c r="ER17" s="202"/>
      <c r="ES17" s="202"/>
      <c r="ET17" s="202"/>
      <c r="EU17" s="202"/>
      <c r="EV17" s="202"/>
      <c r="EW17" s="202"/>
      <c r="EX17" s="202"/>
      <c r="EY17" s="202"/>
      <c r="EZ17" s="202"/>
      <c r="FA17" s="202"/>
      <c r="FB17" s="202"/>
      <c r="FC17" s="202"/>
      <c r="FD17" s="202"/>
      <c r="FE17" s="202"/>
      <c r="FF17" s="202"/>
      <c r="FG17" s="202"/>
      <c r="FH17" s="202"/>
      <c r="FI17" s="202"/>
      <c r="FJ17" s="202"/>
      <c r="FK17" s="202"/>
      <c r="FL17" s="202"/>
      <c r="FM17" s="202"/>
      <c r="FN17" s="202"/>
      <c r="FO17" s="202"/>
      <c r="FP17" s="202"/>
      <c r="FQ17" s="202"/>
      <c r="FR17" s="202"/>
      <c r="FS17" s="202"/>
      <c r="FT17" s="202"/>
      <c r="FU17" s="202"/>
      <c r="FV17" s="202"/>
      <c r="FW17" s="202"/>
      <c r="FX17" s="202"/>
      <c r="FY17" s="202"/>
      <c r="FZ17" s="202"/>
      <c r="GA17" s="202"/>
      <c r="GB17" s="202"/>
      <c r="GC17" s="202"/>
      <c r="GD17" s="202"/>
      <c r="GE17" s="202"/>
      <c r="GF17" s="202"/>
      <c r="GG17" s="202"/>
      <c r="GH17" s="202"/>
      <c r="GI17" s="202"/>
      <c r="GJ17" s="202"/>
      <c r="GK17" s="202"/>
      <c r="GL17" s="202"/>
      <c r="GM17" s="202"/>
      <c r="GN17" s="202"/>
      <c r="GO17" s="202"/>
      <c r="GP17" s="202"/>
      <c r="GQ17" s="202"/>
      <c r="GR17" s="202"/>
      <c r="GS17" s="202"/>
      <c r="GT17" s="202"/>
      <c r="GU17" s="202"/>
      <c r="GV17" s="202"/>
      <c r="GW17" s="202"/>
      <c r="GX17" s="202"/>
      <c r="GY17" s="202"/>
      <c r="GZ17" s="202"/>
      <c r="HA17" s="202"/>
      <c r="HB17" s="202"/>
      <c r="HC17" s="202"/>
      <c r="HD17" s="202"/>
      <c r="HE17" s="202"/>
      <c r="HF17" s="202"/>
      <c r="HG17" s="202"/>
      <c r="HH17" s="202"/>
      <c r="HI17" s="202"/>
      <c r="HJ17" s="202"/>
      <c r="HK17" s="202"/>
      <c r="HL17" s="202"/>
      <c r="HM17" s="202"/>
      <c r="HN17" s="202"/>
      <c r="HO17" s="202"/>
      <c r="HP17" s="202"/>
      <c r="HQ17" s="202"/>
      <c r="HR17" s="202"/>
      <c r="HS17" s="202"/>
      <c r="HT17" s="202"/>
      <c r="HU17" s="202"/>
      <c r="HV17" s="202"/>
      <c r="HX17" s="207"/>
      <c r="HY17" s="207"/>
      <c r="HZ17" s="207"/>
      <c r="IA17" s="207"/>
      <c r="IB17" s="207"/>
      <c r="IC17" s="207"/>
      <c r="ID17" s="207"/>
      <c r="IE17" s="207"/>
      <c r="IF17" s="207"/>
      <c r="IG17" s="207"/>
      <c r="IH17" s="207"/>
      <c r="II17" s="207"/>
      <c r="IJ17" s="207"/>
      <c r="IK17" s="207"/>
      <c r="IL17" s="207"/>
      <c r="IM17" s="207"/>
      <c r="IN17" s="207"/>
      <c r="IO17" s="207"/>
    </row>
    <row r="18" spans="1:249" s="206" customFormat="1">
      <c r="A18" s="202"/>
      <c r="B18" s="220"/>
      <c r="C18" s="244"/>
      <c r="D18" s="245"/>
      <c r="E18" s="260"/>
      <c r="F18" s="245"/>
      <c r="G18" s="246"/>
      <c r="H18" s="247"/>
      <c r="I18" s="260"/>
      <c r="J18" s="245"/>
      <c r="K18" s="246"/>
      <c r="L18" s="247"/>
      <c r="M18" s="260"/>
      <c r="N18" s="245"/>
      <c r="O18" s="248"/>
      <c r="P18" s="235"/>
      <c r="Q18" s="205"/>
      <c r="R18" s="202"/>
      <c r="S18" s="202"/>
      <c r="T18" s="202"/>
      <c r="U18" s="202"/>
      <c r="V18" s="202"/>
      <c r="W18" s="202"/>
      <c r="X18" s="202"/>
      <c r="Y18" s="202"/>
      <c r="Z18" s="202"/>
      <c r="AA18" s="202"/>
      <c r="AB18" s="202"/>
      <c r="AC18" s="202"/>
      <c r="AD18" s="202"/>
      <c r="AE18" s="202"/>
      <c r="AF18" s="202"/>
      <c r="AG18" s="202"/>
      <c r="AH18" s="202"/>
      <c r="AI18" s="202"/>
      <c r="AJ18" s="202"/>
      <c r="AK18" s="202"/>
      <c r="AL18" s="202"/>
      <c r="AM18" s="202"/>
      <c r="AN18" s="202"/>
      <c r="AO18" s="202"/>
      <c r="AP18" s="202"/>
      <c r="AQ18" s="202"/>
      <c r="AR18" s="202"/>
      <c r="AS18" s="202"/>
      <c r="AT18" s="202"/>
      <c r="AU18" s="202"/>
      <c r="AV18" s="202"/>
      <c r="AW18" s="202"/>
      <c r="AX18" s="202"/>
      <c r="AY18" s="202"/>
      <c r="AZ18" s="202"/>
      <c r="BA18" s="202"/>
      <c r="BB18" s="202"/>
      <c r="BC18" s="202"/>
      <c r="BD18" s="202"/>
      <c r="BE18" s="202"/>
      <c r="BF18" s="202"/>
      <c r="BG18" s="202"/>
      <c r="BH18" s="202"/>
      <c r="BI18" s="202"/>
      <c r="BJ18" s="202"/>
      <c r="BK18" s="202"/>
      <c r="BL18" s="202"/>
      <c r="BM18" s="202"/>
      <c r="BN18" s="202"/>
      <c r="BO18" s="202"/>
      <c r="BP18" s="202"/>
      <c r="BQ18" s="202"/>
      <c r="BR18" s="202"/>
      <c r="BS18" s="202"/>
      <c r="BT18" s="202"/>
      <c r="BU18" s="202"/>
      <c r="BV18" s="202"/>
      <c r="BW18" s="202"/>
      <c r="BX18" s="202"/>
      <c r="BY18" s="202"/>
      <c r="BZ18" s="202"/>
      <c r="CA18" s="202"/>
      <c r="CB18" s="202"/>
      <c r="CC18" s="202"/>
      <c r="CD18" s="202"/>
      <c r="CE18" s="202"/>
      <c r="CF18" s="202"/>
      <c r="CG18" s="202"/>
      <c r="CH18" s="202"/>
      <c r="CI18" s="202"/>
      <c r="CJ18" s="202"/>
      <c r="CK18" s="202"/>
      <c r="CL18" s="202"/>
      <c r="CM18" s="202"/>
      <c r="CN18" s="202"/>
      <c r="CO18" s="202"/>
      <c r="CP18" s="202"/>
      <c r="CQ18" s="202"/>
      <c r="CR18" s="202"/>
      <c r="CS18" s="202"/>
      <c r="CT18" s="202"/>
      <c r="CU18" s="202"/>
      <c r="CV18" s="202"/>
      <c r="CW18" s="202"/>
      <c r="CX18" s="202"/>
      <c r="CY18" s="202"/>
      <c r="CZ18" s="202"/>
      <c r="DA18" s="202"/>
      <c r="DB18" s="202"/>
      <c r="DC18" s="202"/>
      <c r="DD18" s="202"/>
      <c r="DE18" s="202"/>
      <c r="DF18" s="202"/>
      <c r="DG18" s="202"/>
      <c r="DH18" s="202"/>
      <c r="DI18" s="202"/>
      <c r="DJ18" s="202"/>
      <c r="DK18" s="202"/>
      <c r="DL18" s="202"/>
      <c r="DM18" s="202"/>
      <c r="DN18" s="202"/>
      <c r="DO18" s="202"/>
      <c r="DP18" s="202"/>
      <c r="DQ18" s="202"/>
      <c r="DR18" s="202"/>
      <c r="DS18" s="202"/>
      <c r="DT18" s="202"/>
      <c r="DU18" s="202"/>
      <c r="DV18" s="202"/>
      <c r="DW18" s="202"/>
      <c r="DX18" s="202"/>
      <c r="DY18" s="202"/>
      <c r="DZ18" s="202"/>
      <c r="EA18" s="202"/>
      <c r="EB18" s="202"/>
      <c r="EC18" s="202"/>
      <c r="ED18" s="202"/>
      <c r="EE18" s="202"/>
      <c r="EF18" s="202"/>
      <c r="EG18" s="202"/>
      <c r="EH18" s="202"/>
      <c r="EI18" s="202"/>
      <c r="EJ18" s="202"/>
      <c r="EK18" s="202"/>
      <c r="EL18" s="202"/>
      <c r="EM18" s="202"/>
      <c r="EN18" s="202"/>
      <c r="EO18" s="202"/>
      <c r="EP18" s="202"/>
      <c r="EQ18" s="202"/>
      <c r="ER18" s="202"/>
      <c r="ES18" s="202"/>
      <c r="ET18" s="202"/>
      <c r="EU18" s="202"/>
      <c r="EV18" s="202"/>
      <c r="EW18" s="202"/>
      <c r="EX18" s="202"/>
      <c r="EY18" s="202"/>
      <c r="EZ18" s="202"/>
      <c r="FA18" s="202"/>
      <c r="FB18" s="202"/>
      <c r="FC18" s="202"/>
      <c r="FD18" s="202"/>
      <c r="FE18" s="202"/>
      <c r="FF18" s="202"/>
      <c r="FG18" s="202"/>
      <c r="FH18" s="202"/>
      <c r="FI18" s="202"/>
      <c r="FJ18" s="202"/>
      <c r="FK18" s="202"/>
      <c r="FL18" s="202"/>
      <c r="FM18" s="202"/>
      <c r="FN18" s="202"/>
      <c r="FO18" s="202"/>
      <c r="FP18" s="202"/>
      <c r="FQ18" s="202"/>
      <c r="FR18" s="202"/>
      <c r="FS18" s="202"/>
      <c r="FT18" s="202"/>
      <c r="FU18" s="202"/>
      <c r="FV18" s="202"/>
      <c r="FW18" s="202"/>
      <c r="FX18" s="202"/>
      <c r="FY18" s="202"/>
      <c r="FZ18" s="202"/>
      <c r="GA18" s="202"/>
      <c r="GB18" s="202"/>
      <c r="GC18" s="202"/>
      <c r="GD18" s="202"/>
      <c r="GE18" s="202"/>
      <c r="GF18" s="202"/>
      <c r="GG18" s="202"/>
      <c r="GH18" s="202"/>
      <c r="GI18" s="202"/>
      <c r="GJ18" s="202"/>
      <c r="GK18" s="202"/>
      <c r="GL18" s="202"/>
      <c r="GM18" s="202"/>
      <c r="GN18" s="202"/>
      <c r="GO18" s="202"/>
      <c r="GP18" s="202"/>
      <c r="GQ18" s="202"/>
      <c r="GR18" s="202"/>
      <c r="GS18" s="202"/>
      <c r="GT18" s="202"/>
      <c r="GU18" s="202"/>
      <c r="GV18" s="202"/>
      <c r="GW18" s="202"/>
      <c r="GX18" s="202"/>
      <c r="GY18" s="202"/>
      <c r="GZ18" s="202"/>
      <c r="HA18" s="202"/>
      <c r="HB18" s="202"/>
      <c r="HC18" s="202"/>
      <c r="HD18" s="202"/>
      <c r="HE18" s="202"/>
      <c r="HF18" s="202"/>
      <c r="HG18" s="202"/>
      <c r="HH18" s="202"/>
      <c r="HI18" s="202"/>
      <c r="HJ18" s="202"/>
      <c r="HK18" s="202"/>
      <c r="HL18" s="202"/>
      <c r="HM18" s="202"/>
      <c r="HN18" s="202"/>
      <c r="HO18" s="202"/>
      <c r="HP18" s="202"/>
      <c r="HQ18" s="202"/>
      <c r="HR18" s="202"/>
      <c r="HS18" s="202"/>
      <c r="HT18" s="202"/>
      <c r="HU18" s="202"/>
      <c r="HV18" s="202"/>
      <c r="HX18" s="207"/>
      <c r="HY18" s="207"/>
      <c r="HZ18" s="207"/>
      <c r="IA18" s="207"/>
      <c r="IB18" s="207"/>
      <c r="IC18" s="207"/>
      <c r="ID18" s="207"/>
      <c r="IE18" s="207"/>
      <c r="IF18" s="207"/>
      <c r="IG18" s="207"/>
      <c r="IH18" s="207"/>
      <c r="II18" s="207"/>
      <c r="IJ18" s="207"/>
      <c r="IK18" s="207"/>
      <c r="IL18" s="207"/>
      <c r="IM18" s="207"/>
      <c r="IN18" s="207"/>
      <c r="IO18" s="207"/>
    </row>
    <row r="19" spans="1:249" s="206" customFormat="1">
      <c r="A19" s="202"/>
      <c r="B19" s="220"/>
      <c r="C19" s="249" t="s">
        <v>258</v>
      </c>
      <c r="D19" s="251">
        <f>Financials!$CR$22</f>
        <v>12.7</v>
      </c>
      <c r="E19" s="251">
        <v>12.7</v>
      </c>
      <c r="F19" s="252">
        <f>D19-E19</f>
        <v>0</v>
      </c>
      <c r="G19" s="246">
        <f>(D19-E19)*(1-D$24)/D$30</f>
        <v>0</v>
      </c>
      <c r="H19" s="356">
        <f>Financials!$DU$22</f>
        <v>50.8</v>
      </c>
      <c r="I19" s="251">
        <v>50.8</v>
      </c>
      <c r="J19" s="252">
        <f>H19-I19</f>
        <v>0</v>
      </c>
      <c r="K19" s="246">
        <f>(H19-I19)*(1-H$24)/H$30</f>
        <v>0</v>
      </c>
      <c r="L19" s="356">
        <f>Financials!$DV$22</f>
        <v>53.339999999999996</v>
      </c>
      <c r="M19" s="251">
        <v>53.339999999999996</v>
      </c>
      <c r="N19" s="252">
        <f>L19-M19</f>
        <v>0</v>
      </c>
      <c r="O19" s="248">
        <f>(L19-M19)*(1-L$24)/L$30</f>
        <v>0</v>
      </c>
      <c r="P19" s="235"/>
      <c r="Q19" s="205"/>
      <c r="R19" s="202"/>
      <c r="S19" s="202"/>
      <c r="T19" s="202"/>
      <c r="U19" s="202"/>
      <c r="V19" s="202"/>
      <c r="W19" s="202"/>
      <c r="X19" s="202"/>
      <c r="Y19" s="202"/>
      <c r="Z19" s="202"/>
      <c r="AA19" s="202"/>
      <c r="AB19" s="202"/>
      <c r="AC19" s="202"/>
      <c r="AD19" s="202"/>
      <c r="AE19" s="202"/>
      <c r="AF19" s="202"/>
      <c r="AG19" s="202"/>
      <c r="AH19" s="202"/>
      <c r="AI19" s="202"/>
      <c r="AJ19" s="202"/>
      <c r="AK19" s="202"/>
      <c r="AL19" s="202"/>
      <c r="AM19" s="202"/>
      <c r="AN19" s="202"/>
      <c r="AO19" s="202"/>
      <c r="AP19" s="202"/>
      <c r="AQ19" s="202"/>
      <c r="AR19" s="202"/>
      <c r="AS19" s="202"/>
      <c r="AT19" s="202"/>
      <c r="AU19" s="202"/>
      <c r="AV19" s="202"/>
      <c r="AW19" s="202"/>
      <c r="AX19" s="202"/>
      <c r="AY19" s="202"/>
      <c r="AZ19" s="202"/>
      <c r="BA19" s="202"/>
      <c r="BB19" s="202"/>
      <c r="BC19" s="202"/>
      <c r="BD19" s="202"/>
      <c r="BE19" s="202"/>
      <c r="BF19" s="202"/>
      <c r="BG19" s="202"/>
      <c r="BH19" s="202"/>
      <c r="BI19" s="202"/>
      <c r="BJ19" s="202"/>
      <c r="BK19" s="202"/>
      <c r="BL19" s="202"/>
      <c r="BM19" s="202"/>
      <c r="BN19" s="202"/>
      <c r="BO19" s="202"/>
      <c r="BP19" s="202"/>
      <c r="BQ19" s="202"/>
      <c r="BR19" s="202"/>
      <c r="BS19" s="202"/>
      <c r="BT19" s="202"/>
      <c r="BU19" s="202"/>
      <c r="BV19" s="202"/>
      <c r="BW19" s="202"/>
      <c r="BX19" s="202"/>
      <c r="BY19" s="202"/>
      <c r="BZ19" s="202"/>
      <c r="CA19" s="202"/>
      <c r="CB19" s="202"/>
      <c r="CC19" s="202"/>
      <c r="CD19" s="202"/>
      <c r="CE19" s="202"/>
      <c r="CF19" s="202"/>
      <c r="CG19" s="202"/>
      <c r="CH19" s="202"/>
      <c r="CI19" s="202"/>
      <c r="CJ19" s="202"/>
      <c r="CK19" s="202"/>
      <c r="CL19" s="202"/>
      <c r="CM19" s="202"/>
      <c r="CN19" s="202"/>
      <c r="CO19" s="202"/>
      <c r="CP19" s="202"/>
      <c r="CQ19" s="202"/>
      <c r="CR19" s="202"/>
      <c r="CS19" s="202"/>
      <c r="CT19" s="202"/>
      <c r="CU19" s="202"/>
      <c r="CV19" s="202"/>
      <c r="CW19" s="202"/>
      <c r="CX19" s="202"/>
      <c r="CY19" s="202"/>
      <c r="CZ19" s="202"/>
      <c r="DA19" s="202"/>
      <c r="DB19" s="202"/>
      <c r="DC19" s="202"/>
      <c r="DD19" s="202"/>
      <c r="DE19" s="202"/>
      <c r="DF19" s="202"/>
      <c r="DG19" s="202"/>
      <c r="DH19" s="202"/>
      <c r="DI19" s="202"/>
      <c r="DJ19" s="202"/>
      <c r="DK19" s="202"/>
      <c r="DL19" s="202"/>
      <c r="DM19" s="202"/>
      <c r="DN19" s="202"/>
      <c r="DO19" s="202"/>
      <c r="DP19" s="202"/>
      <c r="DQ19" s="202"/>
      <c r="DR19" s="202"/>
      <c r="DS19" s="202"/>
      <c r="DT19" s="202"/>
      <c r="DU19" s="202"/>
      <c r="DV19" s="202"/>
      <c r="DW19" s="202"/>
      <c r="DX19" s="202"/>
      <c r="DY19" s="202"/>
      <c r="DZ19" s="202"/>
      <c r="EA19" s="202"/>
      <c r="EB19" s="202"/>
      <c r="EC19" s="202"/>
      <c r="ED19" s="202"/>
      <c r="EE19" s="202"/>
      <c r="EF19" s="202"/>
      <c r="EG19" s="202"/>
      <c r="EH19" s="202"/>
      <c r="EI19" s="202"/>
      <c r="EJ19" s="202"/>
      <c r="EK19" s="202"/>
      <c r="EL19" s="202"/>
      <c r="EM19" s="202"/>
      <c r="EN19" s="202"/>
      <c r="EO19" s="202"/>
      <c r="EP19" s="202"/>
      <c r="EQ19" s="202"/>
      <c r="ER19" s="202"/>
      <c r="ES19" s="202"/>
      <c r="ET19" s="202"/>
      <c r="EU19" s="202"/>
      <c r="EV19" s="202"/>
      <c r="EW19" s="202"/>
      <c r="EX19" s="202"/>
      <c r="EY19" s="202"/>
      <c r="EZ19" s="202"/>
      <c r="FA19" s="202"/>
      <c r="FB19" s="202"/>
      <c r="FC19" s="202"/>
      <c r="FD19" s="202"/>
      <c r="FE19" s="202"/>
      <c r="FF19" s="202"/>
      <c r="FG19" s="202"/>
      <c r="FH19" s="202"/>
      <c r="FI19" s="202"/>
      <c r="FJ19" s="202"/>
      <c r="FK19" s="202"/>
      <c r="FL19" s="202"/>
      <c r="FM19" s="202"/>
      <c r="FN19" s="202"/>
      <c r="FO19" s="202"/>
      <c r="FP19" s="202"/>
      <c r="FQ19" s="202"/>
      <c r="FR19" s="202"/>
      <c r="FS19" s="202"/>
      <c r="FT19" s="202"/>
      <c r="FU19" s="202"/>
      <c r="FV19" s="202"/>
      <c r="FW19" s="202"/>
      <c r="FX19" s="202"/>
      <c r="FY19" s="202"/>
      <c r="FZ19" s="202"/>
      <c r="GA19" s="202"/>
      <c r="GB19" s="202"/>
      <c r="GC19" s="202"/>
      <c r="GD19" s="202"/>
      <c r="GE19" s="202"/>
      <c r="GF19" s="202"/>
      <c r="GG19" s="202"/>
      <c r="GH19" s="202"/>
      <c r="GI19" s="202"/>
      <c r="GJ19" s="202"/>
      <c r="GK19" s="202"/>
      <c r="GL19" s="202"/>
      <c r="GM19" s="202"/>
      <c r="GN19" s="202"/>
      <c r="GO19" s="202"/>
      <c r="GP19" s="202"/>
      <c r="GQ19" s="202"/>
      <c r="GR19" s="202"/>
      <c r="GS19" s="202"/>
      <c r="GT19" s="202"/>
      <c r="GU19" s="202"/>
      <c r="GV19" s="202"/>
      <c r="GW19" s="202"/>
      <c r="GX19" s="202"/>
      <c r="GY19" s="202"/>
      <c r="GZ19" s="202"/>
      <c r="HA19" s="202"/>
      <c r="HB19" s="202"/>
      <c r="HC19" s="202"/>
      <c r="HD19" s="202"/>
      <c r="HE19" s="202"/>
      <c r="HF19" s="202"/>
      <c r="HG19" s="202"/>
      <c r="HH19" s="202"/>
      <c r="HI19" s="202"/>
      <c r="HJ19" s="202"/>
      <c r="HK19" s="202"/>
      <c r="HL19" s="202"/>
      <c r="HM19" s="202"/>
      <c r="HN19" s="202"/>
      <c r="HO19" s="202"/>
      <c r="HP19" s="202"/>
      <c r="HQ19" s="202"/>
      <c r="HR19" s="202"/>
      <c r="HS19" s="202"/>
      <c r="HT19" s="202"/>
      <c r="HU19" s="202"/>
      <c r="HV19" s="202"/>
      <c r="HX19" s="207"/>
      <c r="HY19" s="207"/>
      <c r="HZ19" s="207"/>
      <c r="IA19" s="207"/>
      <c r="IB19" s="207"/>
      <c r="IC19" s="207"/>
      <c r="ID19" s="207"/>
      <c r="IE19" s="207"/>
      <c r="IF19" s="207"/>
      <c r="IG19" s="207"/>
      <c r="IH19" s="207"/>
      <c r="II19" s="207"/>
      <c r="IJ19" s="207"/>
      <c r="IK19" s="207"/>
      <c r="IL19" s="207"/>
      <c r="IM19" s="207"/>
      <c r="IN19" s="207"/>
      <c r="IO19" s="207"/>
    </row>
    <row r="20" spans="1:249" s="206" customFormat="1">
      <c r="A20" s="202"/>
      <c r="B20" s="220"/>
      <c r="C20" s="1127" t="s">
        <v>241</v>
      </c>
      <c r="D20" s="1126">
        <f>-Financials!$CR$23</f>
        <v>13.978952862093438</v>
      </c>
      <c r="E20" s="232">
        <v>13.978952862093438</v>
      </c>
      <c r="F20" s="233">
        <f>D20-E20</f>
        <v>0</v>
      </c>
      <c r="G20" s="254">
        <f>-(D20-E20)*(1-D$24)/D$30</f>
        <v>0</v>
      </c>
      <c r="H20" s="355">
        <f>-Financials!$DU$23</f>
        <v>55.915811448373752</v>
      </c>
      <c r="I20" s="232">
        <v>55.915811448373752</v>
      </c>
      <c r="J20" s="233">
        <f>H20-I20</f>
        <v>0</v>
      </c>
      <c r="K20" s="254">
        <f>-(H20-I20)*(1-H$24)/H$30</f>
        <v>0</v>
      </c>
      <c r="L20" s="355">
        <f>-Financials!$DV$23</f>
        <v>55.915811448373752</v>
      </c>
      <c r="M20" s="232">
        <v>55.915811448373752</v>
      </c>
      <c r="N20" s="233">
        <f>L20-M20</f>
        <v>0</v>
      </c>
      <c r="O20" s="1168">
        <f>-(L20-M20)*(1-L$24)/L$30</f>
        <v>0</v>
      </c>
      <c r="P20" s="235"/>
      <c r="Q20" s="205"/>
      <c r="R20" s="202"/>
      <c r="S20" s="202"/>
      <c r="T20" s="202"/>
      <c r="U20" s="202"/>
      <c r="V20" s="202"/>
      <c r="W20" s="202"/>
      <c r="X20" s="202"/>
      <c r="Y20" s="202"/>
      <c r="Z20" s="202"/>
      <c r="AA20" s="202"/>
      <c r="AB20" s="202"/>
      <c r="AC20" s="202"/>
      <c r="AD20" s="202"/>
      <c r="AE20" s="202"/>
      <c r="AF20" s="202"/>
      <c r="AG20" s="202"/>
      <c r="AH20" s="202"/>
      <c r="AI20" s="202"/>
      <c r="AJ20" s="202"/>
      <c r="AK20" s="202"/>
      <c r="AL20" s="202"/>
      <c r="AM20" s="202"/>
      <c r="AN20" s="202"/>
      <c r="AO20" s="202"/>
      <c r="AP20" s="202"/>
      <c r="AQ20" s="202"/>
      <c r="AR20" s="202"/>
      <c r="AS20" s="202"/>
      <c r="AT20" s="202"/>
      <c r="AU20" s="202"/>
      <c r="AV20" s="202"/>
      <c r="AW20" s="202"/>
      <c r="AX20" s="202"/>
      <c r="AY20" s="202"/>
      <c r="AZ20" s="202"/>
      <c r="BA20" s="202"/>
      <c r="BB20" s="202"/>
      <c r="BC20" s="202"/>
      <c r="BD20" s="202"/>
      <c r="BE20" s="202"/>
      <c r="BF20" s="202"/>
      <c r="BG20" s="202"/>
      <c r="BH20" s="202"/>
      <c r="BI20" s="202"/>
      <c r="BJ20" s="202"/>
      <c r="BK20" s="202"/>
      <c r="BL20" s="202"/>
      <c r="BM20" s="202"/>
      <c r="BN20" s="202"/>
      <c r="BO20" s="202"/>
      <c r="BP20" s="202"/>
      <c r="BQ20" s="202"/>
      <c r="BR20" s="202"/>
      <c r="BS20" s="202"/>
      <c r="BT20" s="202"/>
      <c r="BU20" s="202"/>
      <c r="BV20" s="202"/>
      <c r="BW20" s="202"/>
      <c r="BX20" s="202"/>
      <c r="BY20" s="202"/>
      <c r="BZ20" s="202"/>
      <c r="CA20" s="202"/>
      <c r="CB20" s="202"/>
      <c r="CC20" s="202"/>
      <c r="CD20" s="202"/>
      <c r="CE20" s="202"/>
      <c r="CF20" s="202"/>
      <c r="CG20" s="202"/>
      <c r="CH20" s="202"/>
      <c r="CI20" s="202"/>
      <c r="CJ20" s="202"/>
      <c r="CK20" s="202"/>
      <c r="CL20" s="202"/>
      <c r="CM20" s="202"/>
      <c r="CN20" s="202"/>
      <c r="CO20" s="202"/>
      <c r="CP20" s="202"/>
      <c r="CQ20" s="202"/>
      <c r="CR20" s="202"/>
      <c r="CS20" s="202"/>
      <c r="CT20" s="202"/>
      <c r="CU20" s="202"/>
      <c r="CV20" s="202"/>
      <c r="CW20" s="202"/>
      <c r="CX20" s="202"/>
      <c r="CY20" s="202"/>
      <c r="CZ20" s="202"/>
      <c r="DA20" s="202"/>
      <c r="DB20" s="202"/>
      <c r="DC20" s="202"/>
      <c r="DD20" s="202"/>
      <c r="DE20" s="202"/>
      <c r="DF20" s="202"/>
      <c r="DG20" s="202"/>
      <c r="DH20" s="202"/>
      <c r="DI20" s="202"/>
      <c r="DJ20" s="202"/>
      <c r="DK20" s="202"/>
      <c r="DL20" s="202"/>
      <c r="DM20" s="202"/>
      <c r="DN20" s="202"/>
      <c r="DO20" s="202"/>
      <c r="DP20" s="202"/>
      <c r="DQ20" s="202"/>
      <c r="DR20" s="202"/>
      <c r="DS20" s="202"/>
      <c r="DT20" s="202"/>
      <c r="DU20" s="202"/>
      <c r="DV20" s="202"/>
      <c r="DW20" s="202"/>
      <c r="DX20" s="202"/>
      <c r="DY20" s="202"/>
      <c r="DZ20" s="202"/>
      <c r="EA20" s="202"/>
      <c r="EB20" s="202"/>
      <c r="EC20" s="202"/>
      <c r="ED20" s="202"/>
      <c r="EE20" s="202"/>
      <c r="EF20" s="202"/>
      <c r="EG20" s="202"/>
      <c r="EH20" s="202"/>
      <c r="EI20" s="202"/>
      <c r="EJ20" s="202"/>
      <c r="EK20" s="202"/>
      <c r="EL20" s="202"/>
      <c r="EM20" s="202"/>
      <c r="EN20" s="202"/>
      <c r="EO20" s="202"/>
      <c r="EP20" s="202"/>
      <c r="EQ20" s="202"/>
      <c r="ER20" s="202"/>
      <c r="ES20" s="202"/>
      <c r="ET20" s="202"/>
      <c r="EU20" s="202"/>
      <c r="EV20" s="202"/>
      <c r="EW20" s="202"/>
      <c r="EX20" s="202"/>
      <c r="EY20" s="202"/>
      <c r="EZ20" s="202"/>
      <c r="FA20" s="202"/>
      <c r="FB20" s="202"/>
      <c r="FC20" s="202"/>
      <c r="FD20" s="202"/>
      <c r="FE20" s="202"/>
      <c r="FF20" s="202"/>
      <c r="FG20" s="202"/>
      <c r="FH20" s="202"/>
      <c r="FI20" s="202"/>
      <c r="FJ20" s="202"/>
      <c r="FK20" s="202"/>
      <c r="FL20" s="202"/>
      <c r="FM20" s="202"/>
      <c r="FN20" s="202"/>
      <c r="FO20" s="202"/>
      <c r="FP20" s="202"/>
      <c r="FQ20" s="202"/>
      <c r="FR20" s="202"/>
      <c r="FS20" s="202"/>
      <c r="FT20" s="202"/>
      <c r="FU20" s="202"/>
      <c r="FV20" s="202"/>
      <c r="FW20" s="202"/>
      <c r="FX20" s="202"/>
      <c r="FY20" s="202"/>
      <c r="FZ20" s="202"/>
      <c r="GA20" s="202"/>
      <c r="GB20" s="202"/>
      <c r="GC20" s="202"/>
      <c r="GD20" s="202"/>
      <c r="GE20" s="202"/>
      <c r="GF20" s="202"/>
      <c r="GG20" s="202"/>
      <c r="GH20" s="202"/>
      <c r="GI20" s="202"/>
      <c r="GJ20" s="202"/>
      <c r="GK20" s="202"/>
      <c r="GL20" s="202"/>
      <c r="GM20" s="202"/>
      <c r="GN20" s="202"/>
      <c r="GO20" s="202"/>
      <c r="GP20" s="202"/>
      <c r="GQ20" s="202"/>
      <c r="GR20" s="202"/>
      <c r="GS20" s="202"/>
      <c r="GT20" s="202"/>
      <c r="GU20" s="202"/>
      <c r="GV20" s="202"/>
      <c r="GW20" s="202"/>
      <c r="GX20" s="202"/>
      <c r="GY20" s="202"/>
      <c r="GZ20" s="202"/>
      <c r="HA20" s="202"/>
      <c r="HB20" s="202"/>
      <c r="HC20" s="202"/>
      <c r="HD20" s="202"/>
      <c r="HE20" s="202"/>
      <c r="HF20" s="202"/>
      <c r="HG20" s="202"/>
      <c r="HH20" s="202"/>
      <c r="HI20" s="202"/>
      <c r="HJ20" s="202"/>
      <c r="HK20" s="202"/>
      <c r="HL20" s="202"/>
      <c r="HM20" s="202"/>
      <c r="HN20" s="202"/>
      <c r="HO20" s="202"/>
      <c r="HP20" s="202"/>
      <c r="HQ20" s="202"/>
      <c r="HR20" s="202"/>
      <c r="HS20" s="202"/>
      <c r="HT20" s="202"/>
      <c r="HU20" s="202"/>
      <c r="HV20" s="202"/>
      <c r="HX20" s="207"/>
      <c r="HY20" s="207"/>
      <c r="HZ20" s="207"/>
      <c r="IA20" s="207"/>
      <c r="IB20" s="207"/>
      <c r="IC20" s="207"/>
      <c r="ID20" s="207"/>
      <c r="IE20" s="207"/>
      <c r="IF20" s="207"/>
      <c r="IG20" s="207"/>
      <c r="IH20" s="207"/>
      <c r="II20" s="207"/>
      <c r="IJ20" s="207"/>
      <c r="IK20" s="207"/>
      <c r="IL20" s="207"/>
      <c r="IM20" s="207"/>
      <c r="IN20" s="207"/>
      <c r="IO20" s="207"/>
    </row>
    <row r="21" spans="1:249" s="206" customFormat="1">
      <c r="A21" s="202"/>
      <c r="B21" s="220"/>
      <c r="C21" s="249" t="s">
        <v>257</v>
      </c>
      <c r="D21" s="250">
        <f>D16+D19-D20</f>
        <v>332.72405291921291</v>
      </c>
      <c r="E21" s="251">
        <v>330.9214312046189</v>
      </c>
      <c r="F21" s="252">
        <f>D21-E21</f>
        <v>1.8026217145940109</v>
      </c>
      <c r="G21" s="246">
        <f>(D21-E21)*(1-D$24)/D$30</f>
        <v>6.1961042904642195E-3</v>
      </c>
      <c r="H21" s="253">
        <f>H16+H19-H20</f>
        <v>1358.0398617202222</v>
      </c>
      <c r="I21" s="251">
        <v>1337.4014329806541</v>
      </c>
      <c r="J21" s="252">
        <f>H21-I21</f>
        <v>20.638428739568099</v>
      </c>
      <c r="K21" s="246">
        <f>(H21-I21)*(1-H$24)/H$30</f>
        <v>7.116873262955381E-2</v>
      </c>
      <c r="L21" s="253">
        <f>L16+L19-L20</f>
        <v>1400.3416378391985</v>
      </c>
      <c r="M21" s="251">
        <v>1373.3468359472995</v>
      </c>
      <c r="N21" s="252">
        <f>L21-M21</f>
        <v>26.994801891898987</v>
      </c>
      <c r="O21" s="248">
        <f>(L21-M21)*(1-L$24)/L$30</f>
        <v>9.3087795707481588E-2</v>
      </c>
      <c r="P21" s="235"/>
      <c r="Q21" s="205"/>
      <c r="R21" s="202"/>
      <c r="S21" s="202"/>
      <c r="T21" s="202"/>
      <c r="U21" s="202"/>
      <c r="V21" s="202"/>
      <c r="W21" s="202"/>
      <c r="X21" s="202"/>
      <c r="Y21" s="202"/>
      <c r="Z21" s="202"/>
      <c r="AA21" s="202"/>
      <c r="AB21" s="202"/>
      <c r="AC21" s="202"/>
      <c r="AD21" s="202"/>
      <c r="AE21" s="202"/>
      <c r="AF21" s="202"/>
      <c r="AG21" s="202"/>
      <c r="AH21" s="202"/>
      <c r="AI21" s="202"/>
      <c r="AJ21" s="202"/>
      <c r="AK21" s="202"/>
      <c r="AL21" s="202"/>
      <c r="AM21" s="202"/>
      <c r="AN21" s="202"/>
      <c r="AO21" s="202"/>
      <c r="AP21" s="202"/>
      <c r="AQ21" s="202"/>
      <c r="AR21" s="202"/>
      <c r="AS21" s="202"/>
      <c r="AT21" s="202"/>
      <c r="AU21" s="202"/>
      <c r="AV21" s="202"/>
      <c r="AW21" s="202"/>
      <c r="AX21" s="202"/>
      <c r="AY21" s="202"/>
      <c r="AZ21" s="202"/>
      <c r="BA21" s="202"/>
      <c r="BB21" s="202"/>
      <c r="BC21" s="202"/>
      <c r="BD21" s="202"/>
      <c r="BE21" s="202"/>
      <c r="BF21" s="202"/>
      <c r="BG21" s="202"/>
      <c r="BH21" s="202"/>
      <c r="BI21" s="202"/>
      <c r="BJ21" s="202"/>
      <c r="BK21" s="202"/>
      <c r="BL21" s="202"/>
      <c r="BM21" s="202"/>
      <c r="BN21" s="202"/>
      <c r="BO21" s="202"/>
      <c r="BP21" s="202"/>
      <c r="BQ21" s="202"/>
      <c r="BR21" s="202"/>
      <c r="BS21" s="202"/>
      <c r="BT21" s="202"/>
      <c r="BU21" s="202"/>
      <c r="BV21" s="202"/>
      <c r="BW21" s="202"/>
      <c r="BX21" s="202"/>
      <c r="BY21" s="202"/>
      <c r="BZ21" s="202"/>
      <c r="CA21" s="202"/>
      <c r="CB21" s="202"/>
      <c r="CC21" s="202"/>
      <c r="CD21" s="202"/>
      <c r="CE21" s="202"/>
      <c r="CF21" s="202"/>
      <c r="CG21" s="202"/>
      <c r="CH21" s="202"/>
      <c r="CI21" s="202"/>
      <c r="CJ21" s="202"/>
      <c r="CK21" s="202"/>
      <c r="CL21" s="202"/>
      <c r="CM21" s="202"/>
      <c r="CN21" s="202"/>
      <c r="CO21" s="202"/>
      <c r="CP21" s="202"/>
      <c r="CQ21" s="202"/>
      <c r="CR21" s="202"/>
      <c r="CS21" s="202"/>
      <c r="CT21" s="202"/>
      <c r="CU21" s="202"/>
      <c r="CV21" s="202"/>
      <c r="CW21" s="202"/>
      <c r="CX21" s="202"/>
      <c r="CY21" s="202"/>
      <c r="CZ21" s="202"/>
      <c r="DA21" s="202"/>
      <c r="DB21" s="202"/>
      <c r="DC21" s="202"/>
      <c r="DD21" s="202"/>
      <c r="DE21" s="202"/>
      <c r="DF21" s="202"/>
      <c r="DG21" s="202"/>
      <c r="DH21" s="202"/>
      <c r="DI21" s="202"/>
      <c r="DJ21" s="202"/>
      <c r="DK21" s="202"/>
      <c r="DL21" s="202"/>
      <c r="DM21" s="202"/>
      <c r="DN21" s="202"/>
      <c r="DO21" s="202"/>
      <c r="DP21" s="202"/>
      <c r="DQ21" s="202"/>
      <c r="DR21" s="202"/>
      <c r="DS21" s="202"/>
      <c r="DT21" s="202"/>
      <c r="DU21" s="202"/>
      <c r="DV21" s="202"/>
      <c r="DW21" s="202"/>
      <c r="DX21" s="202"/>
      <c r="DY21" s="202"/>
      <c r="DZ21" s="202"/>
      <c r="EA21" s="202"/>
      <c r="EB21" s="202"/>
      <c r="EC21" s="202"/>
      <c r="ED21" s="202"/>
      <c r="EE21" s="202"/>
      <c r="EF21" s="202"/>
      <c r="EG21" s="202"/>
      <c r="EH21" s="202"/>
      <c r="EI21" s="202"/>
      <c r="EJ21" s="202"/>
      <c r="EK21" s="202"/>
      <c r="EL21" s="202"/>
      <c r="EM21" s="202"/>
      <c r="EN21" s="202"/>
      <c r="EO21" s="202"/>
      <c r="EP21" s="202"/>
      <c r="EQ21" s="202"/>
      <c r="ER21" s="202"/>
      <c r="ES21" s="202"/>
      <c r="ET21" s="202"/>
      <c r="EU21" s="202"/>
      <c r="EV21" s="202"/>
      <c r="EW21" s="202"/>
      <c r="EX21" s="202"/>
      <c r="EY21" s="202"/>
      <c r="EZ21" s="202"/>
      <c r="FA21" s="202"/>
      <c r="FB21" s="202"/>
      <c r="FC21" s="202"/>
      <c r="FD21" s="202"/>
      <c r="FE21" s="202"/>
      <c r="FF21" s="202"/>
      <c r="FG21" s="202"/>
      <c r="FH21" s="202"/>
      <c r="FI21" s="202"/>
      <c r="FJ21" s="202"/>
      <c r="FK21" s="202"/>
      <c r="FL21" s="202"/>
      <c r="FM21" s="202"/>
      <c r="FN21" s="202"/>
      <c r="FO21" s="202"/>
      <c r="FP21" s="202"/>
      <c r="FQ21" s="202"/>
      <c r="FR21" s="202"/>
      <c r="FS21" s="202"/>
      <c r="FT21" s="202"/>
      <c r="FU21" s="202"/>
      <c r="FV21" s="202"/>
      <c r="FW21" s="202"/>
      <c r="FX21" s="202"/>
      <c r="FY21" s="202"/>
      <c r="FZ21" s="202"/>
      <c r="GA21" s="202"/>
      <c r="GB21" s="202"/>
      <c r="GC21" s="202"/>
      <c r="GD21" s="202"/>
      <c r="GE21" s="202"/>
      <c r="GF21" s="202"/>
      <c r="GG21" s="202"/>
      <c r="GH21" s="202"/>
      <c r="GI21" s="202"/>
      <c r="GJ21" s="202"/>
      <c r="GK21" s="202"/>
      <c r="GL21" s="202"/>
      <c r="GM21" s="202"/>
      <c r="GN21" s="202"/>
      <c r="GO21" s="202"/>
      <c r="GP21" s="202"/>
      <c r="GQ21" s="202"/>
      <c r="GR21" s="202"/>
      <c r="GS21" s="202"/>
      <c r="GT21" s="202"/>
      <c r="GU21" s="202"/>
      <c r="GV21" s="202"/>
      <c r="GW21" s="202"/>
      <c r="GX21" s="202"/>
      <c r="GY21" s="202"/>
      <c r="GZ21" s="202"/>
      <c r="HA21" s="202"/>
      <c r="HB21" s="202"/>
      <c r="HC21" s="202"/>
      <c r="HD21" s="202"/>
      <c r="HE21" s="202"/>
      <c r="HF21" s="202"/>
      <c r="HG21" s="202"/>
      <c r="HH21" s="202"/>
      <c r="HI21" s="202"/>
      <c r="HJ21" s="202"/>
      <c r="HK21" s="202"/>
      <c r="HL21" s="202"/>
      <c r="HM21" s="202"/>
      <c r="HN21" s="202"/>
      <c r="HO21" s="202"/>
      <c r="HP21" s="202"/>
      <c r="HQ21" s="202"/>
      <c r="HR21" s="202"/>
      <c r="HS21" s="202"/>
      <c r="HT21" s="202"/>
      <c r="HU21" s="202"/>
      <c r="HV21" s="202"/>
      <c r="HX21" s="207"/>
      <c r="HY21" s="207"/>
      <c r="HZ21" s="207"/>
      <c r="IA21" s="207"/>
      <c r="IB21" s="207"/>
      <c r="IC21" s="207"/>
      <c r="ID21" s="207"/>
      <c r="IE21" s="207"/>
      <c r="IF21" s="207"/>
      <c r="IG21" s="207"/>
      <c r="IH21" s="207"/>
      <c r="II21" s="207"/>
      <c r="IJ21" s="207"/>
      <c r="IK21" s="207"/>
      <c r="IL21" s="207"/>
      <c r="IM21" s="207"/>
      <c r="IN21" s="207"/>
      <c r="IO21" s="207"/>
    </row>
    <row r="22" spans="1:249" s="206" customFormat="1">
      <c r="A22" s="202"/>
      <c r="B22" s="220"/>
      <c r="C22" s="249"/>
      <c r="D22" s="250"/>
      <c r="E22" s="251"/>
      <c r="F22" s="250"/>
      <c r="G22" s="246"/>
      <c r="H22" s="253"/>
      <c r="I22" s="251"/>
      <c r="J22" s="250"/>
      <c r="K22" s="246"/>
      <c r="L22" s="253"/>
      <c r="M22" s="251"/>
      <c r="N22" s="250"/>
      <c r="O22" s="248"/>
      <c r="P22" s="235"/>
      <c r="Q22" s="205"/>
      <c r="R22" s="202"/>
      <c r="S22" s="202"/>
      <c r="T22" s="202"/>
      <c r="U22" s="202"/>
      <c r="V22" s="202"/>
      <c r="W22" s="202"/>
      <c r="X22" s="202"/>
      <c r="Y22" s="202"/>
      <c r="Z22" s="202"/>
      <c r="AA22" s="202"/>
      <c r="AB22" s="202"/>
      <c r="AC22" s="202"/>
      <c r="AD22" s="202"/>
      <c r="AE22" s="202"/>
      <c r="AF22" s="202"/>
      <c r="AG22" s="202"/>
      <c r="AH22" s="202"/>
      <c r="AI22" s="202"/>
      <c r="AJ22" s="202"/>
      <c r="AK22" s="202"/>
      <c r="AL22" s="202"/>
      <c r="AM22" s="202"/>
      <c r="AN22" s="202"/>
      <c r="AO22" s="202"/>
      <c r="AP22" s="202"/>
      <c r="AQ22" s="202"/>
      <c r="AR22" s="202"/>
      <c r="AS22" s="202"/>
      <c r="AT22" s="202"/>
      <c r="AU22" s="202"/>
      <c r="AV22" s="202"/>
      <c r="AW22" s="202"/>
      <c r="AX22" s="202"/>
      <c r="AY22" s="202"/>
      <c r="AZ22" s="202"/>
      <c r="BA22" s="202"/>
      <c r="BB22" s="202"/>
      <c r="BC22" s="202"/>
      <c r="BD22" s="202"/>
      <c r="BE22" s="202"/>
      <c r="BF22" s="202"/>
      <c r="BG22" s="202"/>
      <c r="BH22" s="202"/>
      <c r="BI22" s="202"/>
      <c r="BJ22" s="202"/>
      <c r="BK22" s="202"/>
      <c r="BL22" s="202"/>
      <c r="BM22" s="202"/>
      <c r="BN22" s="202"/>
      <c r="BO22" s="202"/>
      <c r="BP22" s="202"/>
      <c r="BQ22" s="202"/>
      <c r="BR22" s="202"/>
      <c r="BS22" s="202"/>
      <c r="BT22" s="202"/>
      <c r="BU22" s="202"/>
      <c r="BV22" s="202"/>
      <c r="BW22" s="202"/>
      <c r="BX22" s="202"/>
      <c r="BY22" s="202"/>
      <c r="BZ22" s="202"/>
      <c r="CA22" s="202"/>
      <c r="CB22" s="202"/>
      <c r="CC22" s="202"/>
      <c r="CD22" s="202"/>
      <c r="CE22" s="202"/>
      <c r="CF22" s="202"/>
      <c r="CG22" s="202"/>
      <c r="CH22" s="202"/>
      <c r="CI22" s="202"/>
      <c r="CJ22" s="202"/>
      <c r="CK22" s="202"/>
      <c r="CL22" s="202"/>
      <c r="CM22" s="202"/>
      <c r="CN22" s="202"/>
      <c r="CO22" s="202"/>
      <c r="CP22" s="202"/>
      <c r="CQ22" s="202"/>
      <c r="CR22" s="202"/>
      <c r="CS22" s="202"/>
      <c r="CT22" s="202"/>
      <c r="CU22" s="202"/>
      <c r="CV22" s="202"/>
      <c r="CW22" s="202"/>
      <c r="CX22" s="202"/>
      <c r="CY22" s="202"/>
      <c r="CZ22" s="202"/>
      <c r="DA22" s="202"/>
      <c r="DB22" s="202"/>
      <c r="DC22" s="202"/>
      <c r="DD22" s="202"/>
      <c r="DE22" s="202"/>
      <c r="DF22" s="202"/>
      <c r="DG22" s="202"/>
      <c r="DH22" s="202"/>
      <c r="DI22" s="202"/>
      <c r="DJ22" s="202"/>
      <c r="DK22" s="202"/>
      <c r="DL22" s="202"/>
      <c r="DM22" s="202"/>
      <c r="DN22" s="202"/>
      <c r="DO22" s="202"/>
      <c r="DP22" s="202"/>
      <c r="DQ22" s="202"/>
      <c r="DR22" s="202"/>
      <c r="DS22" s="202"/>
      <c r="DT22" s="202"/>
      <c r="DU22" s="202"/>
      <c r="DV22" s="202"/>
      <c r="DW22" s="202"/>
      <c r="DX22" s="202"/>
      <c r="DY22" s="202"/>
      <c r="DZ22" s="202"/>
      <c r="EA22" s="202"/>
      <c r="EB22" s="202"/>
      <c r="EC22" s="202"/>
      <c r="ED22" s="202"/>
      <c r="EE22" s="202"/>
      <c r="EF22" s="202"/>
      <c r="EG22" s="202"/>
      <c r="EH22" s="202"/>
      <c r="EI22" s="202"/>
      <c r="EJ22" s="202"/>
      <c r="EK22" s="202"/>
      <c r="EL22" s="202"/>
      <c r="EM22" s="202"/>
      <c r="EN22" s="202"/>
      <c r="EO22" s="202"/>
      <c r="EP22" s="202"/>
      <c r="EQ22" s="202"/>
      <c r="ER22" s="202"/>
      <c r="ES22" s="202"/>
      <c r="ET22" s="202"/>
      <c r="EU22" s="202"/>
      <c r="EV22" s="202"/>
      <c r="EW22" s="202"/>
      <c r="EX22" s="202"/>
      <c r="EY22" s="202"/>
      <c r="EZ22" s="202"/>
      <c r="FA22" s="202"/>
      <c r="FB22" s="202"/>
      <c r="FC22" s="202"/>
      <c r="FD22" s="202"/>
      <c r="FE22" s="202"/>
      <c r="FF22" s="202"/>
      <c r="FG22" s="202"/>
      <c r="FH22" s="202"/>
      <c r="FI22" s="202"/>
      <c r="FJ22" s="202"/>
      <c r="FK22" s="202"/>
      <c r="FL22" s="202"/>
      <c r="FM22" s="202"/>
      <c r="FN22" s="202"/>
      <c r="FO22" s="202"/>
      <c r="FP22" s="202"/>
      <c r="FQ22" s="202"/>
      <c r="FR22" s="202"/>
      <c r="FS22" s="202"/>
      <c r="FT22" s="202"/>
      <c r="FU22" s="202"/>
      <c r="FV22" s="202"/>
      <c r="FW22" s="202"/>
      <c r="FX22" s="202"/>
      <c r="FY22" s="202"/>
      <c r="FZ22" s="202"/>
      <c r="GA22" s="202"/>
      <c r="GB22" s="202"/>
      <c r="GC22" s="202"/>
      <c r="GD22" s="202"/>
      <c r="GE22" s="202"/>
      <c r="GF22" s="202"/>
      <c r="GG22" s="202"/>
      <c r="GH22" s="202"/>
      <c r="GI22" s="202"/>
      <c r="GJ22" s="202"/>
      <c r="GK22" s="202"/>
      <c r="GL22" s="202"/>
      <c r="GM22" s="202"/>
      <c r="GN22" s="202"/>
      <c r="GO22" s="202"/>
      <c r="GP22" s="202"/>
      <c r="GQ22" s="202"/>
      <c r="GR22" s="202"/>
      <c r="GS22" s="202"/>
      <c r="GT22" s="202"/>
      <c r="GU22" s="202"/>
      <c r="GV22" s="202"/>
      <c r="GW22" s="202"/>
      <c r="GX22" s="202"/>
      <c r="GY22" s="202"/>
      <c r="GZ22" s="202"/>
      <c r="HA22" s="202"/>
      <c r="HB22" s="202"/>
      <c r="HC22" s="202"/>
      <c r="HD22" s="202"/>
      <c r="HE22" s="202"/>
      <c r="HF22" s="202"/>
      <c r="HG22" s="202"/>
      <c r="HH22" s="202"/>
      <c r="HI22" s="202"/>
      <c r="HJ22" s="202"/>
      <c r="HK22" s="202"/>
      <c r="HL22" s="202"/>
      <c r="HM22" s="202"/>
      <c r="HN22" s="202"/>
      <c r="HO22" s="202"/>
      <c r="HP22" s="202"/>
      <c r="HQ22" s="202"/>
      <c r="HR22" s="202"/>
      <c r="HS22" s="202"/>
      <c r="HT22" s="202"/>
      <c r="HU22" s="202"/>
      <c r="HV22" s="202"/>
      <c r="HX22" s="207"/>
      <c r="HY22" s="207"/>
      <c r="HZ22" s="207"/>
      <c r="IA22" s="207"/>
      <c r="IB22" s="207"/>
      <c r="IC22" s="207"/>
      <c r="ID22" s="207"/>
      <c r="IE22" s="207"/>
      <c r="IF22" s="207"/>
      <c r="IG22" s="207"/>
      <c r="IH22" s="207"/>
      <c r="II22" s="207"/>
      <c r="IJ22" s="207"/>
      <c r="IK22" s="207"/>
      <c r="IL22" s="207"/>
      <c r="IM22" s="207"/>
      <c r="IN22" s="207"/>
      <c r="IO22" s="207"/>
    </row>
    <row r="23" spans="1:249" s="206" customFormat="1">
      <c r="A23" s="202"/>
      <c r="B23" s="220"/>
      <c r="C23" s="249" t="s">
        <v>230</v>
      </c>
      <c r="D23" s="251">
        <f>-Financials!$CR$27</f>
        <v>93.162734817379686</v>
      </c>
      <c r="E23" s="251">
        <v>92.658000737293349</v>
      </c>
      <c r="F23" s="252">
        <f>D23-E23</f>
        <v>0.50473408008633669</v>
      </c>
      <c r="G23" s="246">
        <f>G28-G30-G25-G21</f>
        <v>-8.6736173798840355E-17</v>
      </c>
      <c r="H23" s="356">
        <f>-Financials!$DU$27</f>
        <v>380.25116128166178</v>
      </c>
      <c r="I23" s="251">
        <v>374.47240123458334</v>
      </c>
      <c r="J23" s="252">
        <f>H23-I23</f>
        <v>5.7787600470784355</v>
      </c>
      <c r="K23" s="246">
        <f>K28-K30-K25-K21</f>
        <v>3.3306690738754696E-15</v>
      </c>
      <c r="L23" s="356">
        <f>-Financials!$DV$27</f>
        <v>392.09565859497519</v>
      </c>
      <c r="M23" s="251">
        <v>384.53711406524377</v>
      </c>
      <c r="N23" s="252">
        <f>L23-M23</f>
        <v>7.5585445297314209</v>
      </c>
      <c r="O23" s="248">
        <f>O28-O30-O25-O21</f>
        <v>1.124100812432971E-15</v>
      </c>
      <c r="P23" s="235"/>
      <c r="Q23" s="205"/>
      <c r="R23" s="202"/>
      <c r="S23" s="202"/>
      <c r="T23" s="202"/>
      <c r="U23" s="202"/>
      <c r="V23" s="202"/>
      <c r="W23" s="202"/>
      <c r="X23" s="202"/>
      <c r="Y23" s="202"/>
      <c r="Z23" s="202"/>
      <c r="AA23" s="202"/>
      <c r="AB23" s="202"/>
      <c r="AC23" s="202"/>
      <c r="AD23" s="202"/>
      <c r="AE23" s="202"/>
      <c r="AF23" s="202"/>
      <c r="AG23" s="202"/>
      <c r="AH23" s="202"/>
      <c r="AI23" s="202"/>
      <c r="AJ23" s="202"/>
      <c r="AK23" s="202"/>
      <c r="AL23" s="202"/>
      <c r="AM23" s="202"/>
      <c r="AN23" s="202"/>
      <c r="AO23" s="202"/>
      <c r="AP23" s="202"/>
      <c r="AQ23" s="202"/>
      <c r="AR23" s="202"/>
      <c r="AS23" s="202"/>
      <c r="AT23" s="202"/>
      <c r="AU23" s="202"/>
      <c r="AV23" s="202"/>
      <c r="AW23" s="202"/>
      <c r="AX23" s="202"/>
      <c r="AY23" s="202"/>
      <c r="AZ23" s="202"/>
      <c r="BA23" s="202"/>
      <c r="BB23" s="202"/>
      <c r="BC23" s="202"/>
      <c r="BD23" s="202"/>
      <c r="BE23" s="202"/>
      <c r="BF23" s="202"/>
      <c r="BG23" s="202"/>
      <c r="BH23" s="202"/>
      <c r="BI23" s="202"/>
      <c r="BJ23" s="202"/>
      <c r="BK23" s="202"/>
      <c r="BL23" s="202"/>
      <c r="BM23" s="202"/>
      <c r="BN23" s="202"/>
      <c r="BO23" s="202"/>
      <c r="BP23" s="202"/>
      <c r="BQ23" s="202"/>
      <c r="BR23" s="202"/>
      <c r="BS23" s="202"/>
      <c r="BT23" s="202"/>
      <c r="BU23" s="202"/>
      <c r="BV23" s="202"/>
      <c r="BW23" s="202"/>
      <c r="BX23" s="202"/>
      <c r="BY23" s="202"/>
      <c r="BZ23" s="202"/>
      <c r="CA23" s="202"/>
      <c r="CB23" s="202"/>
      <c r="CC23" s="202"/>
      <c r="CD23" s="202"/>
      <c r="CE23" s="202"/>
      <c r="CF23" s="202"/>
      <c r="CG23" s="202"/>
      <c r="CH23" s="202"/>
      <c r="CI23" s="202"/>
      <c r="CJ23" s="202"/>
      <c r="CK23" s="202"/>
      <c r="CL23" s="202"/>
      <c r="CM23" s="202"/>
      <c r="CN23" s="202"/>
      <c r="CO23" s="202"/>
      <c r="CP23" s="202"/>
      <c r="CQ23" s="202"/>
      <c r="CR23" s="202"/>
      <c r="CS23" s="202"/>
      <c r="CT23" s="202"/>
      <c r="CU23" s="202"/>
      <c r="CV23" s="202"/>
      <c r="CW23" s="202"/>
      <c r="CX23" s="202"/>
      <c r="CY23" s="202"/>
      <c r="CZ23" s="202"/>
      <c r="DA23" s="202"/>
      <c r="DB23" s="202"/>
      <c r="DC23" s="202"/>
      <c r="DD23" s="202"/>
      <c r="DE23" s="202"/>
      <c r="DF23" s="202"/>
      <c r="DG23" s="202"/>
      <c r="DH23" s="202"/>
      <c r="DI23" s="202"/>
      <c r="DJ23" s="202"/>
      <c r="DK23" s="202"/>
      <c r="DL23" s="202"/>
      <c r="DM23" s="202"/>
      <c r="DN23" s="202"/>
      <c r="DO23" s="202"/>
      <c r="DP23" s="202"/>
      <c r="DQ23" s="202"/>
      <c r="DR23" s="202"/>
      <c r="DS23" s="202"/>
      <c r="DT23" s="202"/>
      <c r="DU23" s="202"/>
      <c r="DV23" s="202"/>
      <c r="DW23" s="202"/>
      <c r="DX23" s="202"/>
      <c r="DY23" s="202"/>
      <c r="DZ23" s="202"/>
      <c r="EA23" s="202"/>
      <c r="EB23" s="202"/>
      <c r="EC23" s="202"/>
      <c r="ED23" s="202"/>
      <c r="EE23" s="202"/>
      <c r="EF23" s="202"/>
      <c r="EG23" s="202"/>
      <c r="EH23" s="202"/>
      <c r="EI23" s="202"/>
      <c r="EJ23" s="202"/>
      <c r="EK23" s="202"/>
      <c r="EL23" s="202"/>
      <c r="EM23" s="202"/>
      <c r="EN23" s="202"/>
      <c r="EO23" s="202"/>
      <c r="EP23" s="202"/>
      <c r="EQ23" s="202"/>
      <c r="ER23" s="202"/>
      <c r="ES23" s="202"/>
      <c r="ET23" s="202"/>
      <c r="EU23" s="202"/>
      <c r="EV23" s="202"/>
      <c r="EW23" s="202"/>
      <c r="EX23" s="202"/>
      <c r="EY23" s="202"/>
      <c r="EZ23" s="202"/>
      <c r="FA23" s="202"/>
      <c r="FB23" s="202"/>
      <c r="FC23" s="202"/>
      <c r="FD23" s="202"/>
      <c r="FE23" s="202"/>
      <c r="FF23" s="202"/>
      <c r="FG23" s="202"/>
      <c r="FH23" s="202"/>
      <c r="FI23" s="202"/>
      <c r="FJ23" s="202"/>
      <c r="FK23" s="202"/>
      <c r="FL23" s="202"/>
      <c r="FM23" s="202"/>
      <c r="FN23" s="202"/>
      <c r="FO23" s="202"/>
      <c r="FP23" s="202"/>
      <c r="FQ23" s="202"/>
      <c r="FR23" s="202"/>
      <c r="FS23" s="202"/>
      <c r="FT23" s="202"/>
      <c r="FU23" s="202"/>
      <c r="FV23" s="202"/>
      <c r="FW23" s="202"/>
      <c r="FX23" s="202"/>
      <c r="FY23" s="202"/>
      <c r="FZ23" s="202"/>
      <c r="GA23" s="202"/>
      <c r="GB23" s="202"/>
      <c r="GC23" s="202"/>
      <c r="GD23" s="202"/>
      <c r="GE23" s="202"/>
      <c r="GF23" s="202"/>
      <c r="GG23" s="202"/>
      <c r="GH23" s="202"/>
      <c r="GI23" s="202"/>
      <c r="GJ23" s="202"/>
      <c r="GK23" s="202"/>
      <c r="GL23" s="202"/>
      <c r="GM23" s="202"/>
      <c r="GN23" s="202"/>
      <c r="GO23" s="202"/>
      <c r="GP23" s="202"/>
      <c r="GQ23" s="202"/>
      <c r="GR23" s="202"/>
      <c r="GS23" s="202"/>
      <c r="GT23" s="202"/>
      <c r="GU23" s="202"/>
      <c r="GV23" s="202"/>
      <c r="GW23" s="202"/>
      <c r="GX23" s="202"/>
      <c r="GY23" s="202"/>
      <c r="GZ23" s="202"/>
      <c r="HA23" s="202"/>
      <c r="HB23" s="202"/>
      <c r="HC23" s="202"/>
      <c r="HD23" s="202"/>
      <c r="HE23" s="202"/>
      <c r="HF23" s="202"/>
      <c r="HG23" s="202"/>
      <c r="HH23" s="202"/>
      <c r="HI23" s="202"/>
      <c r="HJ23" s="202"/>
      <c r="HK23" s="202"/>
      <c r="HL23" s="202"/>
      <c r="HM23" s="202"/>
      <c r="HN23" s="202"/>
      <c r="HO23" s="202"/>
      <c r="HP23" s="202"/>
      <c r="HQ23" s="202"/>
      <c r="HR23" s="202"/>
      <c r="HS23" s="202"/>
      <c r="HT23" s="202"/>
      <c r="HU23" s="202"/>
      <c r="HV23" s="202"/>
      <c r="HX23" s="207"/>
      <c r="HY23" s="207"/>
      <c r="HZ23" s="207"/>
      <c r="IA23" s="207"/>
      <c r="IB23" s="207"/>
      <c r="IC23" s="207"/>
      <c r="ID23" s="207"/>
      <c r="IE23" s="207"/>
      <c r="IF23" s="207"/>
      <c r="IG23" s="207"/>
      <c r="IH23" s="207"/>
      <c r="II23" s="207"/>
      <c r="IJ23" s="207"/>
      <c r="IK23" s="207"/>
      <c r="IL23" s="207"/>
      <c r="IM23" s="207"/>
      <c r="IN23" s="207"/>
      <c r="IO23" s="207"/>
    </row>
    <row r="24" spans="1:249" s="206" customFormat="1">
      <c r="A24" s="202"/>
      <c r="B24" s="220"/>
      <c r="C24" s="255" t="s">
        <v>242</v>
      </c>
      <c r="D24" s="241">
        <f>D23/D21</f>
        <v>0.28000000000000019</v>
      </c>
      <c r="E24" s="344">
        <v>0.28000000000000019</v>
      </c>
      <c r="F24" s="241">
        <f>D24-E24</f>
        <v>0</v>
      </c>
      <c r="G24" s="242"/>
      <c r="H24" s="243">
        <f>H23/H21</f>
        <v>0.27999999999999969</v>
      </c>
      <c r="I24" s="344">
        <v>0.28000000000000014</v>
      </c>
      <c r="J24" s="241">
        <f>H24-I24</f>
        <v>-4.4408920985006262E-16</v>
      </c>
      <c r="K24" s="242"/>
      <c r="L24" s="243">
        <f>L23/L21</f>
        <v>0.27999999999999975</v>
      </c>
      <c r="M24" s="344">
        <v>0.27999999999999992</v>
      </c>
      <c r="N24" s="241">
        <f>L24-M24</f>
        <v>0</v>
      </c>
      <c r="O24" s="1167"/>
      <c r="P24" s="235"/>
      <c r="Q24" s="205"/>
      <c r="R24" s="202"/>
      <c r="S24" s="202"/>
      <c r="T24" s="202"/>
      <c r="U24" s="202"/>
      <c r="V24" s="202"/>
      <c r="W24" s="202"/>
      <c r="X24" s="202"/>
      <c r="Y24" s="202"/>
      <c r="Z24" s="202"/>
      <c r="AA24" s="202"/>
      <c r="AB24" s="202"/>
      <c r="AC24" s="202"/>
      <c r="AD24" s="202"/>
      <c r="AE24" s="202"/>
      <c r="AF24" s="202"/>
      <c r="AG24" s="202"/>
      <c r="AH24" s="202"/>
      <c r="AI24" s="202"/>
      <c r="AJ24" s="202"/>
      <c r="AK24" s="202"/>
      <c r="AL24" s="202"/>
      <c r="AM24" s="202"/>
      <c r="AN24" s="202"/>
      <c r="AO24" s="202"/>
      <c r="AP24" s="202"/>
      <c r="AQ24" s="202"/>
      <c r="AR24" s="202"/>
      <c r="AS24" s="202"/>
      <c r="AT24" s="202"/>
      <c r="AU24" s="202"/>
      <c r="AV24" s="202"/>
      <c r="AW24" s="202"/>
      <c r="AX24" s="202"/>
      <c r="AY24" s="202"/>
      <c r="AZ24" s="202"/>
      <c r="BA24" s="202"/>
      <c r="BB24" s="202"/>
      <c r="BC24" s="202"/>
      <c r="BD24" s="202"/>
      <c r="BE24" s="202"/>
      <c r="BF24" s="202"/>
      <c r="BG24" s="202"/>
      <c r="BH24" s="202"/>
      <c r="BI24" s="202"/>
      <c r="BJ24" s="202"/>
      <c r="BK24" s="202"/>
      <c r="BL24" s="202"/>
      <c r="BM24" s="202"/>
      <c r="BN24" s="202"/>
      <c r="BO24" s="202"/>
      <c r="BP24" s="202"/>
      <c r="BQ24" s="202"/>
      <c r="BR24" s="202"/>
      <c r="BS24" s="202"/>
      <c r="BT24" s="202"/>
      <c r="BU24" s="202"/>
      <c r="BV24" s="202"/>
      <c r="BW24" s="202"/>
      <c r="BX24" s="202"/>
      <c r="BY24" s="202"/>
      <c r="BZ24" s="202"/>
      <c r="CA24" s="202"/>
      <c r="CB24" s="202"/>
      <c r="CC24" s="202"/>
      <c r="CD24" s="202"/>
      <c r="CE24" s="202"/>
      <c r="CF24" s="202"/>
      <c r="CG24" s="202"/>
      <c r="CH24" s="202"/>
      <c r="CI24" s="202"/>
      <c r="CJ24" s="202"/>
      <c r="CK24" s="202"/>
      <c r="CL24" s="202"/>
      <c r="CM24" s="202"/>
      <c r="CN24" s="202"/>
      <c r="CO24" s="202"/>
      <c r="CP24" s="202"/>
      <c r="CQ24" s="202"/>
      <c r="CR24" s="202"/>
      <c r="CS24" s="202"/>
      <c r="CT24" s="202"/>
      <c r="CU24" s="202"/>
      <c r="CV24" s="202"/>
      <c r="CW24" s="202"/>
      <c r="CX24" s="202"/>
      <c r="CY24" s="202"/>
      <c r="CZ24" s="202"/>
      <c r="DA24" s="202"/>
      <c r="DB24" s="202"/>
      <c r="DC24" s="202"/>
      <c r="DD24" s="202"/>
      <c r="DE24" s="202"/>
      <c r="DF24" s="202"/>
      <c r="DG24" s="202"/>
      <c r="DH24" s="202"/>
      <c r="DI24" s="202"/>
      <c r="DJ24" s="202"/>
      <c r="DK24" s="202"/>
      <c r="DL24" s="202"/>
      <c r="DM24" s="202"/>
      <c r="DN24" s="202"/>
      <c r="DO24" s="202"/>
      <c r="DP24" s="202"/>
      <c r="DQ24" s="202"/>
      <c r="DR24" s="202"/>
      <c r="DS24" s="202"/>
      <c r="DT24" s="202"/>
      <c r="DU24" s="202"/>
      <c r="DV24" s="202"/>
      <c r="DW24" s="202"/>
      <c r="DX24" s="202"/>
      <c r="DY24" s="202"/>
      <c r="DZ24" s="202"/>
      <c r="EA24" s="202"/>
      <c r="EB24" s="202"/>
      <c r="EC24" s="202"/>
      <c r="ED24" s="202"/>
      <c r="EE24" s="202"/>
      <c r="EF24" s="202"/>
      <c r="EG24" s="202"/>
      <c r="EH24" s="202"/>
      <c r="EI24" s="202"/>
      <c r="EJ24" s="202"/>
      <c r="EK24" s="202"/>
      <c r="EL24" s="202"/>
      <c r="EM24" s="202"/>
      <c r="EN24" s="202"/>
      <c r="EO24" s="202"/>
      <c r="EP24" s="202"/>
      <c r="EQ24" s="202"/>
      <c r="ER24" s="202"/>
      <c r="ES24" s="202"/>
      <c r="ET24" s="202"/>
      <c r="EU24" s="202"/>
      <c r="EV24" s="202"/>
      <c r="EW24" s="202"/>
      <c r="EX24" s="202"/>
      <c r="EY24" s="202"/>
      <c r="EZ24" s="202"/>
      <c r="FA24" s="202"/>
      <c r="FB24" s="202"/>
      <c r="FC24" s="202"/>
      <c r="FD24" s="202"/>
      <c r="FE24" s="202"/>
      <c r="FF24" s="202"/>
      <c r="FG24" s="202"/>
      <c r="FH24" s="202"/>
      <c r="FI24" s="202"/>
      <c r="FJ24" s="202"/>
      <c r="FK24" s="202"/>
      <c r="FL24" s="202"/>
      <c r="FM24" s="202"/>
      <c r="FN24" s="202"/>
      <c r="FO24" s="202"/>
      <c r="FP24" s="202"/>
      <c r="FQ24" s="202"/>
      <c r="FR24" s="202"/>
      <c r="FS24" s="202"/>
      <c r="FT24" s="202"/>
      <c r="FU24" s="202"/>
      <c r="FV24" s="202"/>
      <c r="FW24" s="202"/>
      <c r="FX24" s="202"/>
      <c r="FY24" s="202"/>
      <c r="FZ24" s="202"/>
      <c r="GA24" s="202"/>
      <c r="GB24" s="202"/>
      <c r="GC24" s="202"/>
      <c r="GD24" s="202"/>
      <c r="GE24" s="202"/>
      <c r="GF24" s="202"/>
      <c r="GG24" s="202"/>
      <c r="GH24" s="202"/>
      <c r="GI24" s="202"/>
      <c r="GJ24" s="202"/>
      <c r="GK24" s="202"/>
      <c r="GL24" s="202"/>
      <c r="GM24" s="202"/>
      <c r="GN24" s="202"/>
      <c r="GO24" s="202"/>
      <c r="GP24" s="202"/>
      <c r="GQ24" s="202"/>
      <c r="GR24" s="202"/>
      <c r="GS24" s="202"/>
      <c r="GT24" s="202"/>
      <c r="GU24" s="202"/>
      <c r="GV24" s="202"/>
      <c r="GW24" s="202"/>
      <c r="GX24" s="202"/>
      <c r="GY24" s="202"/>
      <c r="GZ24" s="202"/>
      <c r="HA24" s="202"/>
      <c r="HB24" s="202"/>
      <c r="HC24" s="202"/>
      <c r="HD24" s="202"/>
      <c r="HE24" s="202"/>
      <c r="HF24" s="202"/>
      <c r="HG24" s="202"/>
      <c r="HH24" s="202"/>
      <c r="HI24" s="202"/>
      <c r="HJ24" s="202"/>
      <c r="HK24" s="202"/>
      <c r="HL24" s="202"/>
      <c r="HM24" s="202"/>
      <c r="HN24" s="202"/>
      <c r="HO24" s="202"/>
      <c r="HP24" s="202"/>
      <c r="HQ24" s="202"/>
      <c r="HR24" s="202"/>
      <c r="HS24" s="202"/>
      <c r="HT24" s="202"/>
      <c r="HU24" s="202"/>
      <c r="HV24" s="202"/>
      <c r="HX24" s="207"/>
      <c r="HY24" s="207"/>
      <c r="HZ24" s="207"/>
      <c r="IA24" s="207"/>
      <c r="IB24" s="207"/>
      <c r="IC24" s="207"/>
      <c r="ID24" s="207"/>
      <c r="IE24" s="207"/>
      <c r="IF24" s="207"/>
      <c r="IG24" s="207"/>
      <c r="IH24" s="207"/>
      <c r="II24" s="207"/>
      <c r="IJ24" s="207"/>
      <c r="IK24" s="207"/>
      <c r="IL24" s="207"/>
      <c r="IM24" s="207"/>
      <c r="IN24" s="207"/>
      <c r="IO24" s="207"/>
    </row>
    <row r="25" spans="1:249" s="206" customFormat="1">
      <c r="A25" s="204"/>
      <c r="B25" s="220"/>
      <c r="C25" s="249" t="s">
        <v>245</v>
      </c>
      <c r="D25" s="251">
        <f>-Financials!$CR$29</f>
        <v>14.2</v>
      </c>
      <c r="E25" s="251">
        <v>14.2</v>
      </c>
      <c r="F25" s="252">
        <f>D25-E25</f>
        <v>0</v>
      </c>
      <c r="G25" s="254">
        <f>(D25-E25)/D$30</f>
        <v>0</v>
      </c>
      <c r="H25" s="356">
        <f>-Financials!$DU$29</f>
        <v>56.8</v>
      </c>
      <c r="I25" s="251">
        <v>56.8</v>
      </c>
      <c r="J25" s="252">
        <f>H25-I25</f>
        <v>0</v>
      </c>
      <c r="K25" s="254">
        <f>(H25-I25)/H$30</f>
        <v>0</v>
      </c>
      <c r="L25" s="356">
        <f>-Financials!$DV$29</f>
        <v>59.64</v>
      </c>
      <c r="M25" s="251">
        <v>59.64</v>
      </c>
      <c r="N25" s="252">
        <f>L25-M25</f>
        <v>0</v>
      </c>
      <c r="O25" s="1168">
        <f>(L25-M25)/L$30</f>
        <v>0</v>
      </c>
      <c r="P25" s="235"/>
      <c r="Q25" s="205"/>
      <c r="R25" s="204"/>
      <c r="S25" s="204"/>
      <c r="T25" s="204"/>
      <c r="U25" s="204"/>
      <c r="V25" s="204"/>
      <c r="W25" s="204"/>
      <c r="X25" s="204"/>
      <c r="Y25" s="204"/>
      <c r="Z25" s="204"/>
      <c r="AA25" s="204"/>
      <c r="AB25" s="204"/>
      <c r="AC25" s="204"/>
      <c r="AD25" s="204"/>
      <c r="AE25" s="204"/>
      <c r="AF25" s="204"/>
      <c r="AG25" s="204"/>
      <c r="AH25" s="204"/>
      <c r="AI25" s="204"/>
      <c r="AJ25" s="204"/>
      <c r="AK25" s="204"/>
      <c r="AL25" s="204"/>
      <c r="AM25" s="204"/>
      <c r="AN25" s="204"/>
      <c r="AO25" s="204"/>
      <c r="AP25" s="204"/>
      <c r="AQ25" s="204"/>
      <c r="AR25" s="204"/>
      <c r="AS25" s="204"/>
      <c r="AT25" s="204"/>
      <c r="AU25" s="204"/>
      <c r="AV25" s="204"/>
      <c r="AW25" s="204"/>
      <c r="AX25" s="204"/>
      <c r="AY25" s="204"/>
      <c r="AZ25" s="204"/>
      <c r="BA25" s="204"/>
      <c r="BB25" s="204"/>
      <c r="BC25" s="204"/>
      <c r="BD25" s="204"/>
      <c r="BE25" s="204"/>
      <c r="BF25" s="204"/>
      <c r="BG25" s="204"/>
      <c r="BH25" s="204"/>
      <c r="BI25" s="204"/>
      <c r="BJ25" s="204"/>
      <c r="BK25" s="204"/>
      <c r="BL25" s="204"/>
      <c r="BM25" s="204"/>
      <c r="BN25" s="204"/>
      <c r="BO25" s="204"/>
      <c r="BP25" s="204"/>
      <c r="BQ25" s="204"/>
      <c r="BR25" s="204"/>
      <c r="BS25" s="204"/>
      <c r="BT25" s="204"/>
      <c r="BU25" s="204"/>
      <c r="BV25" s="204"/>
      <c r="BW25" s="204"/>
      <c r="BX25" s="204"/>
      <c r="BY25" s="204"/>
      <c r="BZ25" s="204"/>
      <c r="CA25" s="204"/>
      <c r="CB25" s="204"/>
      <c r="CC25" s="204"/>
      <c r="CD25" s="204"/>
      <c r="CE25" s="204"/>
      <c r="CF25" s="204"/>
      <c r="CG25" s="204"/>
      <c r="CH25" s="204"/>
      <c r="CI25" s="204"/>
      <c r="CJ25" s="204"/>
      <c r="CK25" s="204"/>
      <c r="CL25" s="204"/>
      <c r="CM25" s="204"/>
      <c r="CN25" s="204"/>
      <c r="CO25" s="204"/>
      <c r="CP25" s="204"/>
      <c r="CQ25" s="204"/>
      <c r="CR25" s="204"/>
      <c r="CS25" s="204"/>
      <c r="CT25" s="204"/>
      <c r="CU25" s="204"/>
      <c r="CV25" s="204"/>
      <c r="CW25" s="204"/>
      <c r="CX25" s="204"/>
      <c r="CY25" s="204"/>
      <c r="CZ25" s="204"/>
      <c r="DA25" s="204"/>
      <c r="DB25" s="204"/>
      <c r="DC25" s="204"/>
      <c r="DD25" s="204"/>
      <c r="DE25" s="204"/>
      <c r="DF25" s="204"/>
      <c r="DG25" s="204"/>
      <c r="DH25" s="204"/>
      <c r="DI25" s="204"/>
      <c r="DJ25" s="204"/>
      <c r="DK25" s="204"/>
      <c r="DL25" s="204"/>
      <c r="DM25" s="204"/>
      <c r="DN25" s="204"/>
      <c r="DO25" s="204"/>
      <c r="DP25" s="204"/>
      <c r="DQ25" s="204"/>
      <c r="DR25" s="204"/>
      <c r="DS25" s="204"/>
      <c r="DT25" s="204"/>
      <c r="DU25" s="204"/>
      <c r="DV25" s="204"/>
      <c r="DW25" s="204"/>
      <c r="DX25" s="204"/>
      <c r="DY25" s="204"/>
      <c r="DZ25" s="204"/>
      <c r="EA25" s="204"/>
      <c r="EB25" s="204"/>
      <c r="EC25" s="204"/>
      <c r="ED25" s="204"/>
      <c r="EE25" s="204"/>
      <c r="EF25" s="204"/>
      <c r="EG25" s="204"/>
      <c r="EH25" s="204"/>
      <c r="EI25" s="204"/>
      <c r="EJ25" s="204"/>
      <c r="EK25" s="204"/>
      <c r="EL25" s="204"/>
      <c r="EM25" s="204"/>
      <c r="EN25" s="204"/>
      <c r="EO25" s="204"/>
      <c r="EP25" s="204"/>
      <c r="EQ25" s="204"/>
      <c r="ER25" s="204"/>
      <c r="ES25" s="204"/>
      <c r="ET25" s="204"/>
      <c r="EU25" s="204"/>
      <c r="EV25" s="204"/>
      <c r="EW25" s="204"/>
      <c r="EX25" s="204"/>
      <c r="EY25" s="204"/>
      <c r="EZ25" s="204"/>
      <c r="FA25" s="204"/>
      <c r="FB25" s="204"/>
      <c r="FC25" s="204"/>
      <c r="FD25" s="204"/>
      <c r="FE25" s="204"/>
      <c r="FF25" s="204"/>
      <c r="FG25" s="204"/>
      <c r="FH25" s="204"/>
      <c r="FI25" s="204"/>
      <c r="FJ25" s="204"/>
      <c r="FK25" s="204"/>
      <c r="FL25" s="204"/>
      <c r="FM25" s="204"/>
      <c r="FN25" s="204"/>
      <c r="FO25" s="204"/>
      <c r="FP25" s="204"/>
      <c r="FQ25" s="204"/>
      <c r="FR25" s="204"/>
      <c r="FS25" s="204"/>
      <c r="FT25" s="204"/>
      <c r="FU25" s="204"/>
      <c r="FV25" s="204"/>
      <c r="FW25" s="204"/>
      <c r="FX25" s="204"/>
      <c r="FY25" s="204"/>
      <c r="FZ25" s="204"/>
      <c r="GA25" s="204"/>
      <c r="GB25" s="204"/>
      <c r="GC25" s="204"/>
      <c r="GD25" s="204"/>
      <c r="GE25" s="204"/>
      <c r="GF25" s="204"/>
      <c r="GG25" s="204"/>
      <c r="GH25" s="204"/>
      <c r="GI25" s="204"/>
      <c r="GJ25" s="204"/>
      <c r="GK25" s="204"/>
      <c r="GL25" s="204"/>
      <c r="GM25" s="204"/>
      <c r="GN25" s="204"/>
      <c r="GO25" s="204"/>
      <c r="GP25" s="204"/>
      <c r="GQ25" s="204"/>
      <c r="GR25" s="204"/>
      <c r="GS25" s="204"/>
      <c r="GT25" s="204"/>
      <c r="GU25" s="204"/>
      <c r="GV25" s="204"/>
      <c r="GW25" s="204"/>
      <c r="GX25" s="204"/>
      <c r="GY25" s="204"/>
      <c r="GZ25" s="204"/>
      <c r="HA25" s="204"/>
      <c r="HB25" s="204"/>
      <c r="HC25" s="204"/>
      <c r="HD25" s="204"/>
      <c r="HE25" s="204"/>
      <c r="HF25" s="204"/>
      <c r="HG25" s="204"/>
      <c r="HH25" s="204"/>
      <c r="HI25" s="204"/>
      <c r="HJ25" s="204"/>
      <c r="HK25" s="204"/>
      <c r="HL25" s="204"/>
      <c r="HM25" s="204"/>
      <c r="HN25" s="204"/>
      <c r="HO25" s="204"/>
      <c r="HP25" s="204"/>
      <c r="HQ25" s="204"/>
      <c r="HR25" s="204"/>
      <c r="HS25" s="204"/>
      <c r="HT25" s="204"/>
      <c r="HU25" s="204"/>
      <c r="HV25" s="204"/>
      <c r="HX25" s="207"/>
      <c r="HY25" s="207"/>
      <c r="HZ25" s="207"/>
      <c r="IA25" s="207"/>
      <c r="IB25" s="207"/>
      <c r="IC25" s="207"/>
      <c r="ID25" s="207"/>
      <c r="IE25" s="207"/>
      <c r="IF25" s="207"/>
      <c r="IG25" s="207"/>
      <c r="IH25" s="207"/>
      <c r="II25" s="207"/>
      <c r="IJ25" s="207"/>
      <c r="IK25" s="207"/>
      <c r="IL25" s="207"/>
      <c r="IM25" s="207"/>
      <c r="IN25" s="207"/>
      <c r="IO25" s="207"/>
    </row>
    <row r="26" spans="1:249" s="206" customFormat="1">
      <c r="A26" s="204"/>
      <c r="B26" s="220"/>
      <c r="C26" s="256" t="s">
        <v>259</v>
      </c>
      <c r="D26" s="257">
        <f>D21-D23-D25</f>
        <v>225.36131810183323</v>
      </c>
      <c r="E26" s="345">
        <v>224.06343046732556</v>
      </c>
      <c r="F26" s="258">
        <f>D26-E26</f>
        <v>1.2978876345076742</v>
      </c>
      <c r="G26" s="237"/>
      <c r="H26" s="259">
        <f>H21-H23-H25</f>
        <v>920.9887004385605</v>
      </c>
      <c r="I26" s="345">
        <v>906.12903174607084</v>
      </c>
      <c r="J26" s="258">
        <f>H26-I26</f>
        <v>14.859668692489663</v>
      </c>
      <c r="K26" s="237"/>
      <c r="L26" s="259">
        <f>L21-L23-L25</f>
        <v>948.60597924422325</v>
      </c>
      <c r="M26" s="345">
        <v>929.1697218820558</v>
      </c>
      <c r="N26" s="258">
        <f>L26-M26</f>
        <v>19.436257362167453</v>
      </c>
      <c r="O26" s="238"/>
      <c r="P26" s="231"/>
      <c r="Q26" s="205"/>
      <c r="R26" s="204"/>
      <c r="S26" s="204"/>
      <c r="T26" s="204"/>
      <c r="U26" s="204"/>
      <c r="V26" s="204"/>
      <c r="W26" s="204"/>
      <c r="X26" s="204"/>
      <c r="Y26" s="204"/>
      <c r="Z26" s="204"/>
      <c r="AA26" s="204"/>
      <c r="AB26" s="204"/>
      <c r="AC26" s="204"/>
      <c r="AD26" s="204"/>
      <c r="AE26" s="204"/>
      <c r="AF26" s="204"/>
      <c r="AG26" s="204"/>
      <c r="AH26" s="204"/>
      <c r="AI26" s="204"/>
      <c r="AJ26" s="204"/>
      <c r="AK26" s="204"/>
      <c r="AL26" s="204"/>
      <c r="AM26" s="204"/>
      <c r="AN26" s="204"/>
      <c r="AO26" s="204"/>
      <c r="AP26" s="204"/>
      <c r="AQ26" s="204"/>
      <c r="AR26" s="204"/>
      <c r="AS26" s="204"/>
      <c r="AT26" s="204"/>
      <c r="AU26" s="204"/>
      <c r="AV26" s="204"/>
      <c r="AW26" s="204"/>
      <c r="AX26" s="204"/>
      <c r="AY26" s="204"/>
      <c r="AZ26" s="204"/>
      <c r="BA26" s="204"/>
      <c r="BB26" s="204"/>
      <c r="BC26" s="204"/>
      <c r="BD26" s="204"/>
      <c r="BE26" s="204"/>
      <c r="BF26" s="204"/>
      <c r="BG26" s="204"/>
      <c r="BH26" s="204"/>
      <c r="BI26" s="204"/>
      <c r="BJ26" s="204"/>
      <c r="BK26" s="204"/>
      <c r="BL26" s="204"/>
      <c r="BM26" s="204"/>
      <c r="BN26" s="204"/>
      <c r="BO26" s="204"/>
      <c r="BP26" s="204"/>
      <c r="BQ26" s="204"/>
      <c r="BR26" s="204"/>
      <c r="BS26" s="204"/>
      <c r="BT26" s="204"/>
      <c r="BU26" s="204"/>
      <c r="BV26" s="204"/>
      <c r="BW26" s="204"/>
      <c r="BX26" s="204"/>
      <c r="BY26" s="204"/>
      <c r="BZ26" s="204"/>
      <c r="CA26" s="204"/>
      <c r="CB26" s="204"/>
      <c r="CC26" s="204"/>
      <c r="CD26" s="204"/>
      <c r="CE26" s="204"/>
      <c r="CF26" s="204"/>
      <c r="CG26" s="204"/>
      <c r="CH26" s="204"/>
      <c r="CI26" s="204"/>
      <c r="CJ26" s="204"/>
      <c r="CK26" s="204"/>
      <c r="CL26" s="204"/>
      <c r="CM26" s="204"/>
      <c r="CN26" s="204"/>
      <c r="CO26" s="204"/>
      <c r="CP26" s="204"/>
      <c r="CQ26" s="204"/>
      <c r="CR26" s="204"/>
      <c r="CS26" s="204"/>
      <c r="CT26" s="204"/>
      <c r="CU26" s="204"/>
      <c r="CV26" s="204"/>
      <c r="CW26" s="204"/>
      <c r="CX26" s="204"/>
      <c r="CY26" s="204"/>
      <c r="CZ26" s="204"/>
      <c r="DA26" s="204"/>
      <c r="DB26" s="204"/>
      <c r="DC26" s="204"/>
      <c r="DD26" s="204"/>
      <c r="DE26" s="204"/>
      <c r="DF26" s="204"/>
      <c r="DG26" s="204"/>
      <c r="DH26" s="204"/>
      <c r="DI26" s="204"/>
      <c r="DJ26" s="204"/>
      <c r="DK26" s="204"/>
      <c r="DL26" s="204"/>
      <c r="DM26" s="204"/>
      <c r="DN26" s="204"/>
      <c r="DO26" s="204"/>
      <c r="DP26" s="204"/>
      <c r="DQ26" s="204"/>
      <c r="DR26" s="204"/>
      <c r="DS26" s="204"/>
      <c r="DT26" s="204"/>
      <c r="DU26" s="204"/>
      <c r="DV26" s="204"/>
      <c r="DW26" s="204"/>
      <c r="DX26" s="204"/>
      <c r="DY26" s="204"/>
      <c r="DZ26" s="204"/>
      <c r="EA26" s="204"/>
      <c r="EB26" s="204"/>
      <c r="EC26" s="204"/>
      <c r="ED26" s="204"/>
      <c r="EE26" s="204"/>
      <c r="EF26" s="204"/>
      <c r="EG26" s="204"/>
      <c r="EH26" s="204"/>
      <c r="EI26" s="204"/>
      <c r="EJ26" s="204"/>
      <c r="EK26" s="204"/>
      <c r="EL26" s="204"/>
      <c r="EM26" s="204"/>
      <c r="EN26" s="204"/>
      <c r="EO26" s="204"/>
      <c r="EP26" s="204"/>
      <c r="EQ26" s="204"/>
      <c r="ER26" s="204"/>
      <c r="ES26" s="204"/>
      <c r="ET26" s="204"/>
      <c r="EU26" s="204"/>
      <c r="EV26" s="204"/>
      <c r="EW26" s="204"/>
      <c r="EX26" s="204"/>
      <c r="EY26" s="204"/>
      <c r="EZ26" s="204"/>
      <c r="FA26" s="204"/>
      <c r="FB26" s="204"/>
      <c r="FC26" s="204"/>
      <c r="FD26" s="204"/>
      <c r="FE26" s="204"/>
      <c r="FF26" s="204"/>
      <c r="FG26" s="204"/>
      <c r="FH26" s="204"/>
      <c r="FI26" s="204"/>
      <c r="FJ26" s="204"/>
      <c r="FK26" s="204"/>
      <c r="FL26" s="204"/>
      <c r="FM26" s="204"/>
      <c r="FN26" s="204"/>
      <c r="FO26" s="204"/>
      <c r="FP26" s="204"/>
      <c r="FQ26" s="204"/>
      <c r="FR26" s="204"/>
      <c r="FS26" s="204"/>
      <c r="FT26" s="204"/>
      <c r="FU26" s="204"/>
      <c r="FV26" s="204"/>
      <c r="FW26" s="204"/>
      <c r="FX26" s="204"/>
      <c r="FY26" s="204"/>
      <c r="FZ26" s="204"/>
      <c r="GA26" s="204"/>
      <c r="GB26" s="204"/>
      <c r="GC26" s="204"/>
      <c r="GD26" s="204"/>
      <c r="GE26" s="204"/>
      <c r="GF26" s="204"/>
      <c r="GG26" s="204"/>
      <c r="GH26" s="204"/>
      <c r="GI26" s="204"/>
      <c r="GJ26" s="204"/>
      <c r="GK26" s="204"/>
      <c r="GL26" s="204"/>
      <c r="GM26" s="204"/>
      <c r="GN26" s="204"/>
      <c r="GO26" s="204"/>
      <c r="GP26" s="204"/>
      <c r="GQ26" s="204"/>
      <c r="GR26" s="204"/>
      <c r="GS26" s="204"/>
      <c r="GT26" s="204"/>
      <c r="GU26" s="204"/>
      <c r="GV26" s="204"/>
      <c r="GW26" s="204"/>
      <c r="GX26" s="204"/>
      <c r="GY26" s="204"/>
      <c r="GZ26" s="204"/>
      <c r="HA26" s="204"/>
      <c r="HB26" s="204"/>
      <c r="HC26" s="204"/>
      <c r="HD26" s="204"/>
      <c r="HE26" s="204"/>
      <c r="HF26" s="204"/>
      <c r="HG26" s="204"/>
      <c r="HH26" s="204"/>
      <c r="HI26" s="204"/>
      <c r="HJ26" s="204"/>
      <c r="HK26" s="204"/>
      <c r="HL26" s="204"/>
      <c r="HM26" s="204"/>
      <c r="HN26" s="204"/>
      <c r="HO26" s="204"/>
      <c r="HP26" s="204"/>
      <c r="HQ26" s="204"/>
      <c r="HR26" s="204"/>
      <c r="HS26" s="204"/>
      <c r="HT26" s="204"/>
      <c r="HU26" s="204"/>
      <c r="HV26" s="204"/>
      <c r="HX26" s="207"/>
      <c r="HY26" s="207"/>
      <c r="HZ26" s="207"/>
      <c r="IA26" s="207"/>
      <c r="IB26" s="207"/>
      <c r="IC26" s="207"/>
      <c r="ID26" s="207"/>
      <c r="IE26" s="207"/>
      <c r="IF26" s="207"/>
      <c r="IG26" s="207"/>
      <c r="IH26" s="207"/>
      <c r="II26" s="207"/>
      <c r="IJ26" s="207"/>
      <c r="IK26" s="207"/>
      <c r="IL26" s="207"/>
      <c r="IM26" s="207"/>
      <c r="IN26" s="207"/>
      <c r="IO26" s="207"/>
    </row>
    <row r="27" spans="1:249" s="206" customFormat="1">
      <c r="A27" s="204"/>
      <c r="B27" s="220"/>
      <c r="C27" s="244"/>
      <c r="D27" s="245"/>
      <c r="E27" s="260"/>
      <c r="F27" s="245"/>
      <c r="G27" s="246"/>
      <c r="H27" s="247"/>
      <c r="I27" s="260"/>
      <c r="J27" s="245"/>
      <c r="K27" s="246"/>
      <c r="L27" s="247"/>
      <c r="M27" s="260"/>
      <c r="N27" s="245"/>
      <c r="O27" s="248"/>
      <c r="P27" s="235"/>
      <c r="Q27" s="261"/>
      <c r="R27" s="204"/>
      <c r="S27" s="204"/>
      <c r="T27" s="204"/>
      <c r="U27" s="204"/>
      <c r="V27" s="204"/>
      <c r="W27" s="204"/>
      <c r="X27" s="204"/>
      <c r="Y27" s="204"/>
      <c r="Z27" s="204"/>
      <c r="AA27" s="204"/>
      <c r="AB27" s="204"/>
      <c r="AC27" s="204"/>
      <c r="AD27" s="204"/>
      <c r="AE27" s="204"/>
      <c r="AF27" s="204"/>
      <c r="AG27" s="204"/>
      <c r="AH27" s="204"/>
      <c r="AI27" s="204"/>
      <c r="AJ27" s="204"/>
      <c r="AK27" s="204"/>
      <c r="AL27" s="204"/>
      <c r="AM27" s="204"/>
      <c r="AN27" s="204"/>
      <c r="AO27" s="204"/>
      <c r="AP27" s="204"/>
      <c r="AQ27" s="204"/>
      <c r="AR27" s="204"/>
      <c r="AS27" s="204"/>
      <c r="AT27" s="204"/>
      <c r="AU27" s="204"/>
      <c r="AV27" s="204"/>
      <c r="AW27" s="204"/>
      <c r="AX27" s="204"/>
      <c r="AY27" s="204"/>
      <c r="AZ27" s="204"/>
      <c r="BA27" s="204"/>
      <c r="BB27" s="204"/>
      <c r="BC27" s="204"/>
      <c r="BD27" s="204"/>
      <c r="BE27" s="204"/>
      <c r="BF27" s="204"/>
      <c r="BG27" s="204"/>
      <c r="BH27" s="204"/>
      <c r="BI27" s="204"/>
      <c r="BJ27" s="204"/>
      <c r="BK27" s="204"/>
      <c r="BL27" s="204"/>
      <c r="BM27" s="204"/>
      <c r="BN27" s="204"/>
      <c r="BO27" s="204"/>
      <c r="BP27" s="204"/>
      <c r="BQ27" s="204"/>
      <c r="BR27" s="204"/>
      <c r="BS27" s="204"/>
      <c r="BT27" s="204"/>
      <c r="BU27" s="204"/>
      <c r="BV27" s="204"/>
      <c r="BW27" s="204"/>
      <c r="BX27" s="204"/>
      <c r="BY27" s="204"/>
      <c r="BZ27" s="204"/>
      <c r="CA27" s="204"/>
      <c r="CB27" s="204"/>
      <c r="CC27" s="204"/>
      <c r="CD27" s="204"/>
      <c r="CE27" s="204"/>
      <c r="CF27" s="204"/>
      <c r="CG27" s="204"/>
      <c r="CH27" s="204"/>
      <c r="CI27" s="204"/>
      <c r="CJ27" s="204"/>
      <c r="CK27" s="204"/>
      <c r="CL27" s="204"/>
      <c r="CM27" s="204"/>
      <c r="CN27" s="204"/>
      <c r="CO27" s="204"/>
      <c r="CP27" s="204"/>
      <c r="CQ27" s="204"/>
      <c r="CR27" s="204"/>
      <c r="CS27" s="204"/>
      <c r="CT27" s="204"/>
      <c r="CU27" s="204"/>
      <c r="CV27" s="204"/>
      <c r="CW27" s="204"/>
      <c r="CX27" s="204"/>
      <c r="CY27" s="204"/>
      <c r="CZ27" s="204"/>
      <c r="DA27" s="204"/>
      <c r="DB27" s="204"/>
      <c r="DC27" s="204"/>
      <c r="DD27" s="204"/>
      <c r="DE27" s="204"/>
      <c r="DF27" s="204"/>
      <c r="DG27" s="204"/>
      <c r="DH27" s="204"/>
      <c r="DI27" s="204"/>
      <c r="DJ27" s="204"/>
      <c r="DK27" s="204"/>
      <c r="DL27" s="204"/>
      <c r="DM27" s="204"/>
      <c r="DN27" s="204"/>
      <c r="DO27" s="204"/>
      <c r="DP27" s="204"/>
      <c r="DQ27" s="204"/>
      <c r="DR27" s="204"/>
      <c r="DS27" s="204"/>
      <c r="DT27" s="204"/>
      <c r="DU27" s="204"/>
      <c r="DV27" s="204"/>
      <c r="DW27" s="204"/>
      <c r="DX27" s="204"/>
      <c r="DY27" s="204"/>
      <c r="DZ27" s="204"/>
      <c r="EA27" s="204"/>
      <c r="EB27" s="204"/>
      <c r="EC27" s="204"/>
      <c r="ED27" s="204"/>
      <c r="EE27" s="204"/>
      <c r="EF27" s="204"/>
      <c r="EG27" s="204"/>
      <c r="EH27" s="204"/>
      <c r="EI27" s="204"/>
      <c r="EJ27" s="204"/>
      <c r="EK27" s="204"/>
      <c r="EL27" s="204"/>
      <c r="EM27" s="204"/>
      <c r="EN27" s="204"/>
      <c r="EO27" s="204"/>
      <c r="EP27" s="204"/>
      <c r="EQ27" s="204"/>
      <c r="ER27" s="204"/>
      <c r="ES27" s="204"/>
      <c r="ET27" s="204"/>
      <c r="EU27" s="204"/>
      <c r="EV27" s="204"/>
      <c r="EW27" s="204"/>
      <c r="EX27" s="204"/>
      <c r="EY27" s="204"/>
      <c r="EZ27" s="204"/>
      <c r="FA27" s="204"/>
      <c r="FB27" s="204"/>
      <c r="FC27" s="204"/>
      <c r="FD27" s="204"/>
      <c r="FE27" s="204"/>
      <c r="FF27" s="204"/>
      <c r="FG27" s="204"/>
      <c r="FH27" s="204"/>
      <c r="FI27" s="204"/>
      <c r="FJ27" s="204"/>
      <c r="FK27" s="204"/>
      <c r="FL27" s="204"/>
      <c r="FM27" s="204"/>
      <c r="FN27" s="204"/>
      <c r="FO27" s="204"/>
      <c r="FP27" s="204"/>
      <c r="FQ27" s="204"/>
      <c r="FR27" s="204"/>
      <c r="FS27" s="204"/>
      <c r="FT27" s="204"/>
      <c r="FU27" s="204"/>
      <c r="FV27" s="204"/>
      <c r="FW27" s="204"/>
      <c r="FX27" s="204"/>
      <c r="FY27" s="204"/>
      <c r="FZ27" s="204"/>
      <c r="GA27" s="204"/>
      <c r="GB27" s="204"/>
      <c r="GC27" s="204"/>
      <c r="GD27" s="204"/>
      <c r="GE27" s="204"/>
      <c r="GF27" s="204"/>
      <c r="GG27" s="204"/>
      <c r="GH27" s="204"/>
      <c r="GI27" s="204"/>
      <c r="GJ27" s="204"/>
      <c r="GK27" s="204"/>
      <c r="GL27" s="204"/>
      <c r="GM27" s="204"/>
      <c r="GN27" s="204"/>
      <c r="GO27" s="204"/>
      <c r="GP27" s="204"/>
      <c r="GQ27" s="204"/>
      <c r="GR27" s="204"/>
      <c r="GS27" s="204"/>
      <c r="GT27" s="204"/>
      <c r="GU27" s="204"/>
      <c r="GV27" s="204"/>
      <c r="GW27" s="204"/>
      <c r="GX27" s="204"/>
      <c r="GY27" s="204"/>
      <c r="GZ27" s="204"/>
      <c r="HA27" s="204"/>
      <c r="HB27" s="204"/>
      <c r="HC27" s="204"/>
      <c r="HD27" s="204"/>
      <c r="HE27" s="204"/>
      <c r="HF27" s="204"/>
      <c r="HG27" s="204"/>
      <c r="HH27" s="204"/>
      <c r="HI27" s="204"/>
      <c r="HJ27" s="204"/>
      <c r="HK27" s="204"/>
      <c r="HL27" s="204"/>
      <c r="HM27" s="204"/>
      <c r="HN27" s="204"/>
      <c r="HO27" s="204"/>
      <c r="HP27" s="204"/>
      <c r="HQ27" s="204"/>
      <c r="HR27" s="204"/>
      <c r="HS27" s="204"/>
      <c r="HT27" s="204"/>
      <c r="HU27" s="204"/>
      <c r="HV27" s="204"/>
      <c r="HX27" s="207"/>
      <c r="HY27" s="207"/>
      <c r="HZ27" s="207"/>
      <c r="IA27" s="207"/>
      <c r="IB27" s="207"/>
      <c r="IC27" s="207"/>
      <c r="ID27" s="207"/>
      <c r="IE27" s="207"/>
      <c r="IF27" s="207"/>
      <c r="IG27" s="207"/>
      <c r="IH27" s="207"/>
      <c r="II27" s="207"/>
      <c r="IJ27" s="207"/>
      <c r="IK27" s="207"/>
      <c r="IL27" s="207"/>
      <c r="IM27" s="207"/>
      <c r="IN27" s="207"/>
      <c r="IO27" s="207"/>
    </row>
    <row r="28" spans="1:249" s="206" customFormat="1">
      <c r="A28" s="202"/>
      <c r="B28" s="262"/>
      <c r="C28" s="263" t="s">
        <v>249</v>
      </c>
      <c r="D28" s="264">
        <f>D26/D30</f>
        <v>1.0758729745700262</v>
      </c>
      <c r="E28" s="346">
        <v>1.069676870279562</v>
      </c>
      <c r="F28" s="238">
        <f>D28-E28</f>
        <v>6.1961042904641328E-3</v>
      </c>
      <c r="G28" s="237">
        <f>D28-E28</f>
        <v>6.1961042904641328E-3</v>
      </c>
      <c r="H28" s="265">
        <f>H26/H30</f>
        <v>4.4109730797351352</v>
      </c>
      <c r="I28" s="346">
        <v>4.3398043471055781</v>
      </c>
      <c r="J28" s="238">
        <f>H28-I28</f>
        <v>7.1168732629557141E-2</v>
      </c>
      <c r="K28" s="237">
        <f>H28-I28</f>
        <v>7.1168732629557141E-2</v>
      </c>
      <c r="L28" s="265">
        <f>L26/L30</f>
        <v>4.5432429689197793</v>
      </c>
      <c r="M28" s="346">
        <v>4.4501551732122966</v>
      </c>
      <c r="N28" s="238">
        <f>L28-M28</f>
        <v>9.3087795707482712E-2</v>
      </c>
      <c r="O28" s="238">
        <f>L28-M28</f>
        <v>9.3087795707482712E-2</v>
      </c>
      <c r="P28" s="231"/>
      <c r="Q28" s="205"/>
      <c r="R28" s="202"/>
      <c r="S28" s="202"/>
      <c r="T28" s="202"/>
      <c r="U28" s="202"/>
      <c r="V28" s="202"/>
      <c r="W28" s="202"/>
      <c r="X28" s="202"/>
      <c r="Y28" s="202"/>
      <c r="Z28" s="202"/>
      <c r="AA28" s="202"/>
      <c r="AB28" s="202"/>
      <c r="AC28" s="202"/>
      <c r="AD28" s="202"/>
      <c r="AE28" s="202"/>
      <c r="AF28" s="202"/>
      <c r="AG28" s="202"/>
      <c r="AH28" s="202"/>
      <c r="AI28" s="202"/>
      <c r="AJ28" s="202"/>
      <c r="AK28" s="202"/>
      <c r="AL28" s="202"/>
      <c r="AM28" s="202"/>
      <c r="AN28" s="202"/>
      <c r="AO28" s="202"/>
      <c r="AP28" s="202"/>
      <c r="AQ28" s="202"/>
      <c r="AR28" s="202"/>
      <c r="AS28" s="202"/>
      <c r="AT28" s="202"/>
      <c r="AU28" s="202"/>
      <c r="AV28" s="202"/>
      <c r="AW28" s="202"/>
      <c r="AX28" s="202"/>
      <c r="AY28" s="202"/>
      <c r="AZ28" s="202"/>
      <c r="BA28" s="202"/>
      <c r="BB28" s="202"/>
      <c r="BC28" s="202"/>
      <c r="BD28" s="202"/>
      <c r="BE28" s="202"/>
      <c r="BF28" s="202"/>
      <c r="BG28" s="202"/>
      <c r="BH28" s="202"/>
      <c r="BI28" s="202"/>
      <c r="BJ28" s="202"/>
      <c r="BK28" s="202"/>
      <c r="BL28" s="202"/>
      <c r="BM28" s="202"/>
      <c r="BN28" s="202"/>
      <c r="BO28" s="202"/>
      <c r="BP28" s="202"/>
      <c r="BQ28" s="202"/>
      <c r="BR28" s="202"/>
      <c r="BS28" s="202"/>
      <c r="BT28" s="202"/>
      <c r="BU28" s="202"/>
      <c r="BV28" s="202"/>
      <c r="BW28" s="202"/>
      <c r="BX28" s="202"/>
      <c r="BY28" s="202"/>
      <c r="BZ28" s="202"/>
      <c r="CA28" s="202"/>
      <c r="CB28" s="202"/>
      <c r="CC28" s="202"/>
      <c r="CD28" s="202"/>
      <c r="CE28" s="202"/>
      <c r="CF28" s="202"/>
      <c r="CG28" s="202"/>
      <c r="CH28" s="202"/>
      <c r="CI28" s="202"/>
      <c r="CJ28" s="202"/>
      <c r="CK28" s="202"/>
      <c r="CL28" s="202"/>
      <c r="CM28" s="202"/>
      <c r="CN28" s="202"/>
      <c r="CO28" s="202"/>
      <c r="CP28" s="202"/>
      <c r="CQ28" s="202"/>
      <c r="CR28" s="202"/>
      <c r="CS28" s="202"/>
      <c r="CT28" s="202"/>
      <c r="CU28" s="202"/>
      <c r="CV28" s="202"/>
      <c r="CW28" s="202"/>
      <c r="CX28" s="202"/>
      <c r="CY28" s="202"/>
      <c r="CZ28" s="202"/>
      <c r="DA28" s="202"/>
      <c r="DB28" s="202"/>
      <c r="DC28" s="202"/>
      <c r="DD28" s="202"/>
      <c r="DE28" s="202"/>
      <c r="DF28" s="202"/>
      <c r="DG28" s="202"/>
      <c r="DH28" s="202"/>
      <c r="DI28" s="202"/>
      <c r="DJ28" s="202"/>
      <c r="DK28" s="202"/>
      <c r="DL28" s="202"/>
      <c r="DM28" s="202"/>
      <c r="DN28" s="202"/>
      <c r="DO28" s="202"/>
      <c r="DP28" s="202"/>
      <c r="DQ28" s="202"/>
      <c r="DR28" s="202"/>
      <c r="DS28" s="202"/>
      <c r="DT28" s="202"/>
      <c r="DU28" s="202"/>
      <c r="DV28" s="202"/>
      <c r="DW28" s="202"/>
      <c r="DX28" s="202"/>
      <c r="DY28" s="202"/>
      <c r="DZ28" s="202"/>
      <c r="EA28" s="202"/>
      <c r="EB28" s="202"/>
      <c r="EC28" s="202"/>
      <c r="ED28" s="202"/>
      <c r="EE28" s="202"/>
      <c r="EF28" s="202"/>
      <c r="EG28" s="202"/>
      <c r="EH28" s="202"/>
      <c r="EI28" s="202"/>
      <c r="EJ28" s="202"/>
      <c r="EK28" s="202"/>
      <c r="EL28" s="202"/>
      <c r="EM28" s="202"/>
      <c r="EN28" s="202"/>
      <c r="EO28" s="202"/>
      <c r="EP28" s="202"/>
      <c r="EQ28" s="202"/>
      <c r="ER28" s="202"/>
      <c r="ES28" s="202"/>
      <c r="ET28" s="202"/>
      <c r="EU28" s="202"/>
      <c r="EV28" s="202"/>
      <c r="EW28" s="202"/>
      <c r="EX28" s="202"/>
      <c r="EY28" s="202"/>
      <c r="EZ28" s="202"/>
      <c r="FA28" s="202"/>
      <c r="FB28" s="202"/>
      <c r="FC28" s="202"/>
      <c r="FD28" s="202"/>
      <c r="FE28" s="202"/>
      <c r="FF28" s="202"/>
      <c r="FG28" s="202"/>
      <c r="FH28" s="202"/>
      <c r="FI28" s="202"/>
      <c r="FJ28" s="202"/>
      <c r="FK28" s="202"/>
      <c r="FL28" s="202"/>
      <c r="FM28" s="202"/>
      <c r="FN28" s="202"/>
      <c r="FO28" s="202"/>
      <c r="FP28" s="202"/>
      <c r="FQ28" s="202"/>
      <c r="FR28" s="202"/>
      <c r="FS28" s="202"/>
      <c r="FT28" s="202"/>
      <c r="FU28" s="202"/>
      <c r="FV28" s="202"/>
      <c r="FW28" s="202"/>
      <c r="FX28" s="202"/>
      <c r="FY28" s="202"/>
      <c r="FZ28" s="202"/>
      <c r="GA28" s="202"/>
      <c r="GB28" s="202"/>
      <c r="GC28" s="202"/>
      <c r="GD28" s="202"/>
      <c r="GE28" s="202"/>
      <c r="GF28" s="202"/>
      <c r="GG28" s="202"/>
      <c r="GH28" s="202"/>
      <c r="GI28" s="202"/>
      <c r="GJ28" s="202"/>
      <c r="GK28" s="202"/>
      <c r="GL28" s="202"/>
      <c r="GM28" s="202"/>
      <c r="GN28" s="202"/>
      <c r="GO28" s="202"/>
      <c r="GP28" s="202"/>
      <c r="GQ28" s="202"/>
      <c r="GR28" s="202"/>
      <c r="GS28" s="202"/>
      <c r="GT28" s="202"/>
      <c r="GU28" s="202"/>
      <c r="GV28" s="202"/>
      <c r="GW28" s="202"/>
      <c r="GX28" s="202"/>
      <c r="GY28" s="202"/>
      <c r="GZ28" s="202"/>
      <c r="HA28" s="202"/>
      <c r="HB28" s="202"/>
      <c r="HC28" s="202"/>
      <c r="HD28" s="202"/>
      <c r="HE28" s="202"/>
      <c r="HF28" s="202"/>
      <c r="HG28" s="202"/>
      <c r="HH28" s="202"/>
      <c r="HI28" s="202"/>
      <c r="HJ28" s="202"/>
      <c r="HK28" s="202"/>
      <c r="HL28" s="202"/>
      <c r="HM28" s="202"/>
      <c r="HN28" s="202"/>
      <c r="HO28" s="202"/>
      <c r="HP28" s="202"/>
      <c r="HQ28" s="202"/>
      <c r="HR28" s="202"/>
      <c r="HS28" s="202"/>
      <c r="HT28" s="202"/>
      <c r="HU28" s="202"/>
      <c r="HV28" s="202"/>
      <c r="HX28" s="207"/>
      <c r="HY28" s="207"/>
      <c r="HZ28" s="207"/>
      <c r="IA28" s="207"/>
      <c r="IB28" s="207"/>
      <c r="IC28" s="207"/>
      <c r="ID28" s="207"/>
      <c r="IE28" s="207"/>
      <c r="IF28" s="207"/>
      <c r="IG28" s="207"/>
      <c r="IH28" s="207"/>
      <c r="II28" s="207"/>
      <c r="IJ28" s="207"/>
      <c r="IK28" s="207"/>
      <c r="IL28" s="207"/>
      <c r="IM28" s="207"/>
      <c r="IN28" s="207"/>
      <c r="IO28" s="207"/>
    </row>
    <row r="29" spans="1:249" s="206" customFormat="1">
      <c r="A29" s="202"/>
      <c r="B29" s="220"/>
      <c r="C29" s="244"/>
      <c r="D29" s="244"/>
      <c r="E29" s="266"/>
      <c r="F29" s="244"/>
      <c r="G29" s="267"/>
      <c r="H29" s="268"/>
      <c r="I29" s="266"/>
      <c r="J29" s="244"/>
      <c r="K29" s="267"/>
      <c r="L29" s="268"/>
      <c r="M29" s="266"/>
      <c r="N29" s="244"/>
      <c r="O29" s="269"/>
      <c r="P29" s="270"/>
      <c r="Q29" s="205"/>
      <c r="R29" s="202"/>
      <c r="S29" s="202"/>
      <c r="T29" s="202"/>
      <c r="U29" s="202"/>
      <c r="V29" s="202"/>
      <c r="W29" s="202"/>
      <c r="X29" s="202"/>
      <c r="Y29" s="202"/>
      <c r="Z29" s="202"/>
      <c r="AA29" s="202"/>
      <c r="AB29" s="202"/>
      <c r="AC29" s="202"/>
      <c r="AD29" s="202"/>
      <c r="AE29" s="202"/>
      <c r="AF29" s="202"/>
      <c r="AG29" s="202"/>
      <c r="AH29" s="202"/>
      <c r="AI29" s="202"/>
      <c r="AJ29" s="202"/>
      <c r="AK29" s="202"/>
      <c r="AL29" s="202"/>
      <c r="AM29" s="202"/>
      <c r="AN29" s="202"/>
      <c r="AO29" s="202"/>
      <c r="AP29" s="202"/>
      <c r="AQ29" s="202"/>
      <c r="AR29" s="202"/>
      <c r="AS29" s="202"/>
      <c r="AT29" s="202"/>
      <c r="AU29" s="202"/>
      <c r="AV29" s="202"/>
      <c r="AW29" s="202"/>
      <c r="AX29" s="202"/>
      <c r="AY29" s="202"/>
      <c r="AZ29" s="202"/>
      <c r="BA29" s="202"/>
      <c r="BB29" s="202"/>
      <c r="BC29" s="202"/>
      <c r="BD29" s="202"/>
      <c r="BE29" s="202"/>
      <c r="BF29" s="202"/>
      <c r="BG29" s="202"/>
      <c r="BH29" s="202"/>
      <c r="BI29" s="202"/>
      <c r="BJ29" s="202"/>
      <c r="BK29" s="202"/>
      <c r="BL29" s="202"/>
      <c r="BM29" s="202"/>
      <c r="BN29" s="202"/>
      <c r="BO29" s="202"/>
      <c r="BP29" s="202"/>
      <c r="BQ29" s="202"/>
      <c r="BR29" s="202"/>
      <c r="BS29" s="202"/>
      <c r="BT29" s="202"/>
      <c r="BU29" s="202"/>
      <c r="BV29" s="202"/>
      <c r="BW29" s="202"/>
      <c r="BX29" s="202"/>
      <c r="BY29" s="202"/>
      <c r="BZ29" s="202"/>
      <c r="CA29" s="202"/>
      <c r="CB29" s="202"/>
      <c r="CC29" s="202"/>
      <c r="CD29" s="202"/>
      <c r="CE29" s="202"/>
      <c r="CF29" s="202"/>
      <c r="CG29" s="202"/>
      <c r="CH29" s="202"/>
      <c r="CI29" s="202"/>
      <c r="CJ29" s="202"/>
      <c r="CK29" s="202"/>
      <c r="CL29" s="202"/>
      <c r="CM29" s="202"/>
      <c r="CN29" s="202"/>
      <c r="CO29" s="202"/>
      <c r="CP29" s="202"/>
      <c r="CQ29" s="202"/>
      <c r="CR29" s="202"/>
      <c r="CS29" s="202"/>
      <c r="CT29" s="202"/>
      <c r="CU29" s="202"/>
      <c r="CV29" s="202"/>
      <c r="CW29" s="202"/>
      <c r="CX29" s="202"/>
      <c r="CY29" s="202"/>
      <c r="CZ29" s="202"/>
      <c r="DA29" s="202"/>
      <c r="DB29" s="202"/>
      <c r="DC29" s="202"/>
      <c r="DD29" s="202"/>
      <c r="DE29" s="202"/>
      <c r="DF29" s="202"/>
      <c r="DG29" s="202"/>
      <c r="DH29" s="202"/>
      <c r="DI29" s="202"/>
      <c r="DJ29" s="202"/>
      <c r="DK29" s="202"/>
      <c r="DL29" s="202"/>
      <c r="DM29" s="202"/>
      <c r="DN29" s="202"/>
      <c r="DO29" s="202"/>
      <c r="DP29" s="202"/>
      <c r="DQ29" s="202"/>
      <c r="DR29" s="202"/>
      <c r="DS29" s="202"/>
      <c r="DT29" s="202"/>
      <c r="DU29" s="202"/>
      <c r="DV29" s="202"/>
      <c r="DW29" s="202"/>
      <c r="DX29" s="202"/>
      <c r="DY29" s="202"/>
      <c r="DZ29" s="202"/>
      <c r="EA29" s="202"/>
      <c r="EB29" s="202"/>
      <c r="EC29" s="202"/>
      <c r="ED29" s="202"/>
      <c r="EE29" s="202"/>
      <c r="EF29" s="202"/>
      <c r="EG29" s="202"/>
      <c r="EH29" s="202"/>
      <c r="EI29" s="202"/>
      <c r="EJ29" s="202"/>
      <c r="EK29" s="202"/>
      <c r="EL29" s="202"/>
      <c r="EM29" s="202"/>
      <c r="EN29" s="202"/>
      <c r="EO29" s="202"/>
      <c r="EP29" s="202"/>
      <c r="EQ29" s="202"/>
      <c r="ER29" s="202"/>
      <c r="ES29" s="202"/>
      <c r="ET29" s="202"/>
      <c r="EU29" s="202"/>
      <c r="EV29" s="202"/>
      <c r="EW29" s="202"/>
      <c r="EX29" s="202"/>
      <c r="EY29" s="202"/>
      <c r="EZ29" s="202"/>
      <c r="FA29" s="202"/>
      <c r="FB29" s="202"/>
      <c r="FC29" s="202"/>
      <c r="FD29" s="202"/>
      <c r="FE29" s="202"/>
      <c r="FF29" s="202"/>
      <c r="FG29" s="202"/>
      <c r="FH29" s="202"/>
      <c r="FI29" s="202"/>
      <c r="FJ29" s="202"/>
      <c r="FK29" s="202"/>
      <c r="FL29" s="202"/>
      <c r="FM29" s="202"/>
      <c r="FN29" s="202"/>
      <c r="FO29" s="202"/>
      <c r="FP29" s="202"/>
      <c r="FQ29" s="202"/>
      <c r="FR29" s="202"/>
      <c r="FS29" s="202"/>
      <c r="FT29" s="202"/>
      <c r="FU29" s="202"/>
      <c r="FV29" s="202"/>
      <c r="FW29" s="202"/>
      <c r="FX29" s="202"/>
      <c r="FY29" s="202"/>
      <c r="FZ29" s="202"/>
      <c r="GA29" s="202"/>
      <c r="GB29" s="202"/>
      <c r="GC29" s="202"/>
      <c r="GD29" s="202"/>
      <c r="GE29" s="202"/>
      <c r="GF29" s="202"/>
      <c r="GG29" s="202"/>
      <c r="GH29" s="202"/>
      <c r="GI29" s="202"/>
      <c r="GJ29" s="202"/>
      <c r="GK29" s="202"/>
      <c r="GL29" s="202"/>
      <c r="GM29" s="202"/>
      <c r="GN29" s="202"/>
      <c r="GO29" s="202"/>
      <c r="GP29" s="202"/>
      <c r="GQ29" s="202"/>
      <c r="GR29" s="202"/>
      <c r="GS29" s="202"/>
      <c r="GT29" s="202"/>
      <c r="GU29" s="202"/>
      <c r="GV29" s="202"/>
      <c r="GW29" s="202"/>
      <c r="GX29" s="202"/>
      <c r="GY29" s="202"/>
      <c r="GZ29" s="202"/>
      <c r="HA29" s="202"/>
      <c r="HB29" s="202"/>
      <c r="HC29" s="202"/>
      <c r="HD29" s="202"/>
      <c r="HE29" s="202"/>
      <c r="HF29" s="202"/>
      <c r="HG29" s="202"/>
      <c r="HH29" s="202"/>
      <c r="HI29" s="202"/>
      <c r="HJ29" s="202"/>
      <c r="HK29" s="202"/>
      <c r="HL29" s="202"/>
      <c r="HM29" s="202"/>
      <c r="HN29" s="202"/>
      <c r="HO29" s="202"/>
      <c r="HP29" s="202"/>
      <c r="HQ29" s="202"/>
      <c r="HR29" s="202"/>
      <c r="HS29" s="202"/>
      <c r="HT29" s="202"/>
      <c r="HU29" s="202"/>
      <c r="HV29" s="202"/>
      <c r="HX29" s="207"/>
      <c r="HY29" s="207"/>
      <c r="HZ29" s="207"/>
      <c r="IA29" s="207"/>
      <c r="IB29" s="207"/>
      <c r="IC29" s="207"/>
      <c r="ID29" s="207"/>
      <c r="IE29" s="207"/>
      <c r="IF29" s="207"/>
      <c r="IG29" s="207"/>
      <c r="IH29" s="207"/>
      <c r="II29" s="207"/>
      <c r="IJ29" s="207"/>
      <c r="IK29" s="207"/>
      <c r="IL29" s="207"/>
      <c r="IM29" s="207"/>
      <c r="IN29" s="207"/>
      <c r="IO29" s="207"/>
    </row>
    <row r="30" spans="1:249" s="206" customFormat="1">
      <c r="A30" s="202"/>
      <c r="B30" s="220"/>
      <c r="C30" s="249" t="s">
        <v>243</v>
      </c>
      <c r="D30" s="251">
        <f>Financials!$CR$40</f>
        <v>209.46833262718502</v>
      </c>
      <c r="E30" s="251">
        <v>209.46833262718502</v>
      </c>
      <c r="F30" s="252">
        <f>D30-E30</f>
        <v>0</v>
      </c>
      <c r="G30" s="246">
        <f>D26/D30-D26/E30</f>
        <v>0</v>
      </c>
      <c r="H30" s="356">
        <f>Financials!$DU$40</f>
        <v>208.79490393395531</v>
      </c>
      <c r="I30" s="251">
        <v>208.79490393395531</v>
      </c>
      <c r="J30" s="252">
        <f>H30-I30</f>
        <v>0</v>
      </c>
      <c r="K30" s="246">
        <f>H26/H30-H26/I30</f>
        <v>0</v>
      </c>
      <c r="L30" s="356">
        <f>Financials!$DV$40</f>
        <v>208.79490393395531</v>
      </c>
      <c r="M30" s="251">
        <v>208.79490393395531</v>
      </c>
      <c r="N30" s="252">
        <f>L30-M30</f>
        <v>0</v>
      </c>
      <c r="O30" s="248">
        <f>L26/L30-L26/M30</f>
        <v>0</v>
      </c>
      <c r="P30" s="235"/>
      <c r="Q30" s="205"/>
      <c r="R30" s="202"/>
      <c r="S30" s="202"/>
      <c r="T30" s="202"/>
      <c r="U30" s="202"/>
      <c r="V30" s="202"/>
      <c r="W30" s="202"/>
      <c r="X30" s="202"/>
      <c r="Y30" s="202"/>
      <c r="Z30" s="202"/>
      <c r="AA30" s="202"/>
      <c r="AB30" s="202"/>
      <c r="AC30" s="202"/>
      <c r="AD30" s="202"/>
      <c r="AE30" s="202"/>
      <c r="AF30" s="202"/>
      <c r="AG30" s="202"/>
      <c r="AH30" s="202"/>
      <c r="AI30" s="202"/>
      <c r="AJ30" s="202"/>
      <c r="AK30" s="202"/>
      <c r="AL30" s="202"/>
      <c r="AM30" s="202"/>
      <c r="AN30" s="202"/>
      <c r="AO30" s="202"/>
      <c r="AP30" s="202"/>
      <c r="AQ30" s="202"/>
      <c r="AR30" s="202"/>
      <c r="AS30" s="202"/>
      <c r="AT30" s="202"/>
      <c r="AU30" s="202"/>
      <c r="AV30" s="202"/>
      <c r="AW30" s="202"/>
      <c r="AX30" s="202"/>
      <c r="AY30" s="202"/>
      <c r="AZ30" s="202"/>
      <c r="BA30" s="202"/>
      <c r="BB30" s="202"/>
      <c r="BC30" s="202"/>
      <c r="BD30" s="202"/>
      <c r="BE30" s="202"/>
      <c r="BF30" s="202"/>
      <c r="BG30" s="202"/>
      <c r="BH30" s="202"/>
      <c r="BI30" s="202"/>
      <c r="BJ30" s="202"/>
      <c r="BK30" s="202"/>
      <c r="BL30" s="202"/>
      <c r="BM30" s="202"/>
      <c r="BN30" s="202"/>
      <c r="BO30" s="202"/>
      <c r="BP30" s="202"/>
      <c r="BQ30" s="202"/>
      <c r="BR30" s="202"/>
      <c r="BS30" s="202"/>
      <c r="BT30" s="202"/>
      <c r="BU30" s="202"/>
      <c r="BV30" s="202"/>
      <c r="BW30" s="202"/>
      <c r="BX30" s="202"/>
      <c r="BY30" s="202"/>
      <c r="BZ30" s="202"/>
      <c r="CA30" s="202"/>
      <c r="CB30" s="202"/>
      <c r="CC30" s="202"/>
      <c r="CD30" s="202"/>
      <c r="CE30" s="202"/>
      <c r="CF30" s="202"/>
      <c r="CG30" s="202"/>
      <c r="CH30" s="202"/>
      <c r="CI30" s="202"/>
      <c r="CJ30" s="202"/>
      <c r="CK30" s="202"/>
      <c r="CL30" s="202"/>
      <c r="CM30" s="202"/>
      <c r="CN30" s="202"/>
      <c r="CO30" s="202"/>
      <c r="CP30" s="202"/>
      <c r="CQ30" s="202"/>
      <c r="CR30" s="202"/>
      <c r="CS30" s="202"/>
      <c r="CT30" s="202"/>
      <c r="CU30" s="202"/>
      <c r="CV30" s="202"/>
      <c r="CW30" s="202"/>
      <c r="CX30" s="202"/>
      <c r="CY30" s="202"/>
      <c r="CZ30" s="202"/>
      <c r="DA30" s="202"/>
      <c r="DB30" s="202"/>
      <c r="DC30" s="202"/>
      <c r="DD30" s="202"/>
      <c r="DE30" s="202"/>
      <c r="DF30" s="202"/>
      <c r="DG30" s="202"/>
      <c r="DH30" s="202"/>
      <c r="DI30" s="202"/>
      <c r="DJ30" s="202"/>
      <c r="DK30" s="202"/>
      <c r="DL30" s="202"/>
      <c r="DM30" s="202"/>
      <c r="DN30" s="202"/>
      <c r="DO30" s="202"/>
      <c r="DP30" s="202"/>
      <c r="DQ30" s="202"/>
      <c r="DR30" s="202"/>
      <c r="DS30" s="202"/>
      <c r="DT30" s="202"/>
      <c r="DU30" s="202"/>
      <c r="DV30" s="202"/>
      <c r="DW30" s="202"/>
      <c r="DX30" s="202"/>
      <c r="DY30" s="202"/>
      <c r="DZ30" s="202"/>
      <c r="EA30" s="202"/>
      <c r="EB30" s="202"/>
      <c r="EC30" s="202"/>
      <c r="ED30" s="202"/>
      <c r="EE30" s="202"/>
      <c r="EF30" s="202"/>
      <c r="EG30" s="202"/>
      <c r="EH30" s="202"/>
      <c r="EI30" s="202"/>
      <c r="EJ30" s="202"/>
      <c r="EK30" s="202"/>
      <c r="EL30" s="202"/>
      <c r="EM30" s="202"/>
      <c r="EN30" s="202"/>
      <c r="EO30" s="202"/>
      <c r="EP30" s="202"/>
      <c r="EQ30" s="202"/>
      <c r="ER30" s="202"/>
      <c r="ES30" s="202"/>
      <c r="ET30" s="202"/>
      <c r="EU30" s="202"/>
      <c r="EV30" s="202"/>
      <c r="EW30" s="202"/>
      <c r="EX30" s="202"/>
      <c r="EY30" s="202"/>
      <c r="EZ30" s="202"/>
      <c r="FA30" s="202"/>
      <c r="FB30" s="202"/>
      <c r="FC30" s="202"/>
      <c r="FD30" s="202"/>
      <c r="FE30" s="202"/>
      <c r="FF30" s="202"/>
      <c r="FG30" s="202"/>
      <c r="FH30" s="202"/>
      <c r="FI30" s="202"/>
      <c r="FJ30" s="202"/>
      <c r="FK30" s="202"/>
      <c r="FL30" s="202"/>
      <c r="FM30" s="202"/>
      <c r="FN30" s="202"/>
      <c r="FO30" s="202"/>
      <c r="FP30" s="202"/>
      <c r="FQ30" s="202"/>
      <c r="FR30" s="202"/>
      <c r="FS30" s="202"/>
      <c r="FT30" s="202"/>
      <c r="FU30" s="202"/>
      <c r="FV30" s="202"/>
      <c r="FW30" s="202"/>
      <c r="FX30" s="202"/>
      <c r="FY30" s="202"/>
      <c r="FZ30" s="202"/>
      <c r="GA30" s="202"/>
      <c r="GB30" s="202"/>
      <c r="GC30" s="202"/>
      <c r="GD30" s="202"/>
      <c r="GE30" s="202"/>
      <c r="GF30" s="202"/>
      <c r="GG30" s="202"/>
      <c r="GH30" s="202"/>
      <c r="GI30" s="202"/>
      <c r="GJ30" s="202"/>
      <c r="GK30" s="202"/>
      <c r="GL30" s="202"/>
      <c r="GM30" s="202"/>
      <c r="GN30" s="202"/>
      <c r="GO30" s="202"/>
      <c r="GP30" s="202"/>
      <c r="GQ30" s="202"/>
      <c r="GR30" s="202"/>
      <c r="GS30" s="202"/>
      <c r="GT30" s="202"/>
      <c r="GU30" s="202"/>
      <c r="GV30" s="202"/>
      <c r="GW30" s="202"/>
      <c r="GX30" s="202"/>
      <c r="GY30" s="202"/>
      <c r="GZ30" s="202"/>
      <c r="HA30" s="202"/>
      <c r="HB30" s="202"/>
      <c r="HC30" s="202"/>
      <c r="HD30" s="202"/>
      <c r="HE30" s="202"/>
      <c r="HF30" s="202"/>
      <c r="HG30" s="202"/>
      <c r="HH30" s="202"/>
      <c r="HI30" s="202"/>
      <c r="HJ30" s="202"/>
      <c r="HK30" s="202"/>
      <c r="HL30" s="202"/>
      <c r="HM30" s="202"/>
      <c r="HN30" s="202"/>
      <c r="HO30" s="202"/>
      <c r="HP30" s="202"/>
      <c r="HQ30" s="202"/>
      <c r="HR30" s="202"/>
      <c r="HS30" s="202"/>
      <c r="HT30" s="202"/>
      <c r="HU30" s="202"/>
      <c r="HV30" s="202"/>
      <c r="HX30" s="207"/>
      <c r="HY30" s="207"/>
      <c r="HZ30" s="207"/>
      <c r="IA30" s="207"/>
      <c r="IB30" s="207"/>
      <c r="IC30" s="207"/>
      <c r="ID30" s="207"/>
      <c r="IE30" s="207"/>
      <c r="IF30" s="207"/>
      <c r="IG30" s="207"/>
      <c r="IH30" s="207"/>
      <c r="II30" s="207"/>
      <c r="IJ30" s="207"/>
      <c r="IK30" s="207"/>
      <c r="IL30" s="207"/>
      <c r="IM30" s="207"/>
      <c r="IN30" s="207"/>
      <c r="IO30" s="207"/>
    </row>
    <row r="31" spans="1:249" s="206" customFormat="1">
      <c r="A31" s="202"/>
      <c r="B31" s="220"/>
      <c r="C31" s="244"/>
      <c r="D31" s="244"/>
      <c r="E31" s="266"/>
      <c r="F31" s="244"/>
      <c r="G31" s="267"/>
      <c r="H31" s="268"/>
      <c r="I31" s="266"/>
      <c r="J31" s="244"/>
      <c r="K31" s="267"/>
      <c r="L31" s="268"/>
      <c r="M31" s="266"/>
      <c r="N31" s="244"/>
      <c r="O31" s="269"/>
      <c r="P31" s="270"/>
      <c r="Q31" s="205"/>
      <c r="R31" s="202"/>
      <c r="S31" s="202"/>
      <c r="T31" s="202"/>
      <c r="U31" s="202"/>
      <c r="V31" s="202"/>
      <c r="W31" s="202"/>
      <c r="X31" s="202"/>
      <c r="Y31" s="202"/>
      <c r="Z31" s="202"/>
      <c r="AA31" s="202"/>
      <c r="AB31" s="202"/>
      <c r="AC31" s="202"/>
      <c r="AD31" s="202"/>
      <c r="AE31" s="202"/>
      <c r="AF31" s="202"/>
      <c r="AG31" s="202"/>
      <c r="AH31" s="202"/>
      <c r="AI31" s="202"/>
      <c r="AJ31" s="202"/>
      <c r="AK31" s="202"/>
      <c r="AL31" s="202"/>
      <c r="AM31" s="202"/>
      <c r="AN31" s="202"/>
      <c r="AO31" s="202"/>
      <c r="AP31" s="202"/>
      <c r="AQ31" s="202"/>
      <c r="AR31" s="202"/>
      <c r="AS31" s="202"/>
      <c r="AT31" s="202"/>
      <c r="AU31" s="202"/>
      <c r="AV31" s="202"/>
      <c r="AW31" s="202"/>
      <c r="AX31" s="202"/>
      <c r="AY31" s="202"/>
      <c r="AZ31" s="202"/>
      <c r="BA31" s="202"/>
      <c r="BB31" s="202"/>
      <c r="BC31" s="202"/>
      <c r="BD31" s="202"/>
      <c r="BE31" s="202"/>
      <c r="BF31" s="202"/>
      <c r="BG31" s="202"/>
      <c r="BH31" s="202"/>
      <c r="BI31" s="202"/>
      <c r="BJ31" s="202"/>
      <c r="BK31" s="202"/>
      <c r="BL31" s="202"/>
      <c r="BM31" s="202"/>
      <c r="BN31" s="202"/>
      <c r="BO31" s="202"/>
      <c r="BP31" s="202"/>
      <c r="BQ31" s="202"/>
      <c r="BR31" s="202"/>
      <c r="BS31" s="202"/>
      <c r="BT31" s="202"/>
      <c r="BU31" s="202"/>
      <c r="BV31" s="202"/>
      <c r="BW31" s="202"/>
      <c r="BX31" s="202"/>
      <c r="BY31" s="202"/>
      <c r="BZ31" s="202"/>
      <c r="CA31" s="202"/>
      <c r="CB31" s="202"/>
      <c r="CC31" s="202"/>
      <c r="CD31" s="202"/>
      <c r="CE31" s="202"/>
      <c r="CF31" s="202"/>
      <c r="CG31" s="202"/>
      <c r="CH31" s="202"/>
      <c r="CI31" s="202"/>
      <c r="CJ31" s="202"/>
      <c r="CK31" s="202"/>
      <c r="CL31" s="202"/>
      <c r="CM31" s="202"/>
      <c r="CN31" s="202"/>
      <c r="CO31" s="202"/>
      <c r="CP31" s="202"/>
      <c r="CQ31" s="202"/>
      <c r="CR31" s="202"/>
      <c r="CS31" s="202"/>
      <c r="CT31" s="202"/>
      <c r="CU31" s="202"/>
      <c r="CV31" s="202"/>
      <c r="CW31" s="202"/>
      <c r="CX31" s="202"/>
      <c r="CY31" s="202"/>
      <c r="CZ31" s="202"/>
      <c r="DA31" s="202"/>
      <c r="DB31" s="202"/>
      <c r="DC31" s="202"/>
      <c r="DD31" s="202"/>
      <c r="DE31" s="202"/>
      <c r="DF31" s="202"/>
      <c r="DG31" s="202"/>
      <c r="DH31" s="202"/>
      <c r="DI31" s="202"/>
      <c r="DJ31" s="202"/>
      <c r="DK31" s="202"/>
      <c r="DL31" s="202"/>
      <c r="DM31" s="202"/>
      <c r="DN31" s="202"/>
      <c r="DO31" s="202"/>
      <c r="DP31" s="202"/>
      <c r="DQ31" s="202"/>
      <c r="DR31" s="202"/>
      <c r="DS31" s="202"/>
      <c r="DT31" s="202"/>
      <c r="DU31" s="202"/>
      <c r="DV31" s="202"/>
      <c r="DW31" s="202"/>
      <c r="DX31" s="202"/>
      <c r="DY31" s="202"/>
      <c r="DZ31" s="202"/>
      <c r="EA31" s="202"/>
      <c r="EB31" s="202"/>
      <c r="EC31" s="202"/>
      <c r="ED31" s="202"/>
      <c r="EE31" s="202"/>
      <c r="EF31" s="202"/>
      <c r="EG31" s="202"/>
      <c r="EH31" s="202"/>
      <c r="EI31" s="202"/>
      <c r="EJ31" s="202"/>
      <c r="EK31" s="202"/>
      <c r="EL31" s="202"/>
      <c r="EM31" s="202"/>
      <c r="EN31" s="202"/>
      <c r="EO31" s="202"/>
      <c r="EP31" s="202"/>
      <c r="EQ31" s="202"/>
      <c r="ER31" s="202"/>
      <c r="ES31" s="202"/>
      <c r="ET31" s="202"/>
      <c r="EU31" s="202"/>
      <c r="EV31" s="202"/>
      <c r="EW31" s="202"/>
      <c r="EX31" s="202"/>
      <c r="EY31" s="202"/>
      <c r="EZ31" s="202"/>
      <c r="FA31" s="202"/>
      <c r="FB31" s="202"/>
      <c r="FC31" s="202"/>
      <c r="FD31" s="202"/>
      <c r="FE31" s="202"/>
      <c r="FF31" s="202"/>
      <c r="FG31" s="202"/>
      <c r="FH31" s="202"/>
      <c r="FI31" s="202"/>
      <c r="FJ31" s="202"/>
      <c r="FK31" s="202"/>
      <c r="FL31" s="202"/>
      <c r="FM31" s="202"/>
      <c r="FN31" s="202"/>
      <c r="FO31" s="202"/>
      <c r="FP31" s="202"/>
      <c r="FQ31" s="202"/>
      <c r="FR31" s="202"/>
      <c r="FS31" s="202"/>
      <c r="FT31" s="202"/>
      <c r="FU31" s="202"/>
      <c r="FV31" s="202"/>
      <c r="FW31" s="202"/>
      <c r="FX31" s="202"/>
      <c r="FY31" s="202"/>
      <c r="FZ31" s="202"/>
      <c r="GA31" s="202"/>
      <c r="GB31" s="202"/>
      <c r="GC31" s="202"/>
      <c r="GD31" s="202"/>
      <c r="GE31" s="202"/>
      <c r="GF31" s="202"/>
      <c r="GG31" s="202"/>
      <c r="GH31" s="202"/>
      <c r="GI31" s="202"/>
      <c r="GJ31" s="202"/>
      <c r="GK31" s="202"/>
      <c r="GL31" s="202"/>
      <c r="GM31" s="202"/>
      <c r="GN31" s="202"/>
      <c r="GO31" s="202"/>
      <c r="GP31" s="202"/>
      <c r="GQ31" s="202"/>
      <c r="GR31" s="202"/>
      <c r="GS31" s="202"/>
      <c r="GT31" s="202"/>
      <c r="GU31" s="202"/>
      <c r="GV31" s="202"/>
      <c r="GW31" s="202"/>
      <c r="GX31" s="202"/>
      <c r="GY31" s="202"/>
      <c r="GZ31" s="202"/>
      <c r="HA31" s="202"/>
      <c r="HB31" s="202"/>
      <c r="HC31" s="202"/>
      <c r="HD31" s="202"/>
      <c r="HE31" s="202"/>
      <c r="HF31" s="202"/>
      <c r="HG31" s="202"/>
      <c r="HH31" s="202"/>
      <c r="HI31" s="202"/>
      <c r="HJ31" s="202"/>
      <c r="HK31" s="202"/>
      <c r="HL31" s="202"/>
      <c r="HM31" s="202"/>
      <c r="HN31" s="202"/>
      <c r="HO31" s="202"/>
      <c r="HP31" s="202"/>
      <c r="HQ31" s="202"/>
      <c r="HR31" s="202"/>
      <c r="HS31" s="202"/>
      <c r="HT31" s="202"/>
      <c r="HU31" s="202"/>
      <c r="HV31" s="202"/>
      <c r="HX31" s="207"/>
      <c r="HY31" s="207"/>
      <c r="HZ31" s="207"/>
      <c r="IA31" s="207"/>
      <c r="IB31" s="207"/>
      <c r="IC31" s="207"/>
      <c r="ID31" s="207"/>
      <c r="IE31" s="207"/>
      <c r="IF31" s="207"/>
      <c r="IG31" s="207"/>
      <c r="IH31" s="207"/>
      <c r="II31" s="207"/>
      <c r="IJ31" s="207"/>
      <c r="IK31" s="207"/>
      <c r="IL31" s="207"/>
      <c r="IM31" s="207"/>
      <c r="IN31" s="207"/>
      <c r="IO31" s="207"/>
    </row>
    <row r="32" spans="1:249" s="205" customFormat="1">
      <c r="A32" s="202"/>
      <c r="B32" s="220"/>
      <c r="C32" s="249" t="s">
        <v>204</v>
      </c>
      <c r="D32" s="251">
        <f>Financials!$CR$176</f>
        <v>-98.880221735946634</v>
      </c>
      <c r="E32" s="251">
        <v>-98.92071274646284</v>
      </c>
      <c r="F32" s="252">
        <f>D32-E32</f>
        <v>4.0491010516205961E-2</v>
      </c>
      <c r="G32" s="246"/>
      <c r="H32" s="356">
        <f>Financials!$DU$176</f>
        <v>594.37326969127889</v>
      </c>
      <c r="I32" s="251">
        <v>591.6862276887739</v>
      </c>
      <c r="J32" s="252">
        <f>H32-I32</f>
        <v>2.6870420025049953</v>
      </c>
      <c r="K32" s="246"/>
      <c r="L32" s="356">
        <f>Financials!$DV$176</f>
        <v>823.8612164108124</v>
      </c>
      <c r="M32" s="251">
        <v>809.74337109080841</v>
      </c>
      <c r="N32" s="252">
        <f>L32-M32</f>
        <v>14.117845320003994</v>
      </c>
      <c r="O32" s="248"/>
      <c r="P32" s="235"/>
      <c r="R32" s="202"/>
      <c r="S32" s="202"/>
      <c r="T32" s="202"/>
      <c r="U32" s="202"/>
      <c r="V32" s="202"/>
      <c r="W32" s="202"/>
      <c r="X32" s="202"/>
      <c r="Y32" s="202"/>
      <c r="Z32" s="202"/>
      <c r="AA32" s="202"/>
      <c r="AB32" s="202"/>
      <c r="AC32" s="202"/>
      <c r="AD32" s="202"/>
      <c r="AE32" s="202"/>
      <c r="AF32" s="202"/>
      <c r="AG32" s="202"/>
      <c r="AH32" s="202"/>
      <c r="AI32" s="202"/>
      <c r="AJ32" s="202"/>
      <c r="AK32" s="202"/>
      <c r="AL32" s="202"/>
      <c r="AM32" s="202"/>
      <c r="AN32" s="202"/>
      <c r="AO32" s="202"/>
      <c r="AP32" s="202"/>
      <c r="AQ32" s="202"/>
      <c r="AR32" s="202"/>
      <c r="AS32" s="202"/>
      <c r="AT32" s="202"/>
      <c r="AU32" s="202"/>
      <c r="AV32" s="202"/>
      <c r="AW32" s="202"/>
      <c r="AX32" s="202"/>
      <c r="AY32" s="202"/>
      <c r="AZ32" s="202"/>
      <c r="BA32" s="202"/>
      <c r="BB32" s="202"/>
      <c r="BC32" s="202"/>
      <c r="BD32" s="202"/>
      <c r="BE32" s="202"/>
      <c r="BF32" s="202"/>
      <c r="BG32" s="202"/>
      <c r="BH32" s="202"/>
      <c r="BI32" s="202"/>
      <c r="BJ32" s="202"/>
      <c r="BK32" s="202"/>
      <c r="BL32" s="202"/>
      <c r="BM32" s="202"/>
      <c r="BN32" s="202"/>
      <c r="BO32" s="202"/>
      <c r="BP32" s="202"/>
      <c r="BQ32" s="202"/>
      <c r="BR32" s="202"/>
      <c r="BS32" s="202"/>
      <c r="BT32" s="202"/>
      <c r="BU32" s="202"/>
      <c r="BV32" s="202"/>
      <c r="BW32" s="202"/>
      <c r="BX32" s="202"/>
      <c r="BY32" s="202"/>
      <c r="BZ32" s="202"/>
      <c r="CA32" s="202"/>
      <c r="CB32" s="202"/>
      <c r="CC32" s="202"/>
      <c r="CD32" s="202"/>
      <c r="CE32" s="202"/>
      <c r="CF32" s="202"/>
      <c r="CG32" s="202"/>
      <c r="CH32" s="202"/>
      <c r="CI32" s="202"/>
      <c r="CJ32" s="202"/>
      <c r="CK32" s="202"/>
      <c r="CL32" s="202"/>
      <c r="CM32" s="202"/>
      <c r="CN32" s="202"/>
      <c r="CO32" s="202"/>
      <c r="CP32" s="202"/>
      <c r="CQ32" s="202"/>
      <c r="CR32" s="202"/>
      <c r="CS32" s="202"/>
      <c r="CT32" s="202"/>
      <c r="CU32" s="202"/>
      <c r="CV32" s="202"/>
      <c r="CW32" s="202"/>
      <c r="CX32" s="202"/>
      <c r="CY32" s="202"/>
      <c r="CZ32" s="202"/>
      <c r="DA32" s="202"/>
      <c r="DB32" s="202"/>
      <c r="DC32" s="202"/>
      <c r="DD32" s="202"/>
      <c r="DE32" s="202"/>
      <c r="DF32" s="202"/>
      <c r="DG32" s="202"/>
      <c r="DH32" s="202"/>
      <c r="DI32" s="202"/>
      <c r="DJ32" s="202"/>
      <c r="DK32" s="202"/>
      <c r="DL32" s="202"/>
      <c r="DM32" s="202"/>
      <c r="DN32" s="202"/>
      <c r="DO32" s="202"/>
      <c r="DP32" s="202"/>
      <c r="DQ32" s="202"/>
      <c r="DR32" s="202"/>
      <c r="DS32" s="202"/>
      <c r="DT32" s="202"/>
      <c r="DU32" s="202"/>
      <c r="DV32" s="202"/>
      <c r="DW32" s="202"/>
      <c r="DX32" s="202"/>
      <c r="DY32" s="202"/>
      <c r="DZ32" s="202"/>
      <c r="EA32" s="202"/>
      <c r="EB32" s="202"/>
      <c r="EC32" s="202"/>
      <c r="ED32" s="202"/>
      <c r="EE32" s="202"/>
      <c r="EF32" s="202"/>
      <c r="EG32" s="202"/>
      <c r="EH32" s="202"/>
      <c r="EI32" s="202"/>
      <c r="EJ32" s="202"/>
      <c r="EK32" s="202"/>
      <c r="EL32" s="202"/>
      <c r="EM32" s="202"/>
      <c r="EN32" s="202"/>
      <c r="EO32" s="202"/>
      <c r="EP32" s="202"/>
      <c r="EQ32" s="202"/>
      <c r="ER32" s="202"/>
      <c r="ES32" s="202"/>
      <c r="ET32" s="202"/>
      <c r="EU32" s="202"/>
      <c r="EV32" s="202"/>
      <c r="EW32" s="202"/>
      <c r="EX32" s="202"/>
      <c r="EY32" s="202"/>
      <c r="EZ32" s="202"/>
      <c r="FA32" s="202"/>
      <c r="FB32" s="202"/>
      <c r="FC32" s="202"/>
      <c r="FD32" s="202"/>
      <c r="FE32" s="202"/>
      <c r="FF32" s="202"/>
      <c r="FG32" s="202"/>
      <c r="FH32" s="202"/>
      <c r="FI32" s="202"/>
      <c r="FJ32" s="202"/>
      <c r="FK32" s="202"/>
      <c r="FL32" s="202"/>
      <c r="FM32" s="202"/>
      <c r="FN32" s="202"/>
      <c r="FO32" s="202"/>
      <c r="FP32" s="202"/>
      <c r="FQ32" s="202"/>
      <c r="FR32" s="202"/>
      <c r="FS32" s="202"/>
      <c r="FT32" s="202"/>
      <c r="FU32" s="202"/>
      <c r="FV32" s="202"/>
      <c r="FW32" s="202"/>
      <c r="FX32" s="202"/>
      <c r="FY32" s="202"/>
      <c r="FZ32" s="202"/>
      <c r="GA32" s="202"/>
      <c r="GB32" s="202"/>
      <c r="GC32" s="202"/>
      <c r="GD32" s="202"/>
      <c r="GE32" s="202"/>
      <c r="GF32" s="202"/>
      <c r="GG32" s="202"/>
      <c r="GH32" s="202"/>
      <c r="GI32" s="202"/>
      <c r="GJ32" s="202"/>
      <c r="GK32" s="202"/>
      <c r="GL32" s="202"/>
      <c r="GM32" s="202"/>
      <c r="GN32" s="202"/>
      <c r="GO32" s="202"/>
      <c r="GP32" s="202"/>
      <c r="GQ32" s="202"/>
      <c r="GR32" s="202"/>
      <c r="GS32" s="202"/>
      <c r="GT32" s="202"/>
      <c r="GU32" s="202"/>
      <c r="GV32" s="202"/>
      <c r="GW32" s="202"/>
      <c r="GX32" s="202"/>
      <c r="GY32" s="202"/>
      <c r="GZ32" s="202"/>
      <c r="HA32" s="202"/>
      <c r="HB32" s="202"/>
      <c r="HC32" s="202"/>
      <c r="HD32" s="202"/>
      <c r="HE32" s="202"/>
      <c r="HF32" s="202"/>
      <c r="HG32" s="202"/>
      <c r="HH32" s="202"/>
      <c r="HI32" s="202"/>
      <c r="HJ32" s="202"/>
      <c r="HK32" s="202"/>
      <c r="HL32" s="202"/>
      <c r="HM32" s="202"/>
      <c r="HN32" s="202"/>
      <c r="HO32" s="202"/>
      <c r="HP32" s="202"/>
      <c r="HQ32" s="202"/>
      <c r="HR32" s="202"/>
      <c r="HS32" s="202"/>
      <c r="HT32" s="202"/>
      <c r="HU32" s="202"/>
      <c r="HV32" s="202"/>
      <c r="HW32" s="206"/>
      <c r="HX32" s="207"/>
      <c r="HY32" s="207"/>
      <c r="HZ32" s="207"/>
      <c r="IA32" s="207"/>
      <c r="IB32" s="207"/>
      <c r="IC32" s="207"/>
      <c r="ID32" s="207"/>
      <c r="IE32" s="207"/>
      <c r="IF32" s="207"/>
      <c r="IG32" s="207"/>
      <c r="IH32" s="207"/>
      <c r="II32" s="207"/>
      <c r="IJ32" s="207"/>
      <c r="IK32" s="207"/>
      <c r="IL32" s="207"/>
      <c r="IM32" s="207"/>
      <c r="IN32" s="207"/>
      <c r="IO32" s="207"/>
    </row>
    <row r="33" spans="1:249" s="205" customFormat="1">
      <c r="A33" s="202"/>
      <c r="B33" s="220"/>
      <c r="C33" s="249" t="s">
        <v>106</v>
      </c>
      <c r="D33" s="251">
        <f>-Financials!$CR$152</f>
        <v>146.68150177493652</v>
      </c>
      <c r="E33" s="251">
        <v>145.87339995349961</v>
      </c>
      <c r="F33" s="252">
        <f>D33-E33</f>
        <v>0.80810182143690668</v>
      </c>
      <c r="G33" s="246"/>
      <c r="H33" s="356">
        <f>-Financials!$DU$152</f>
        <v>623.13213104845249</v>
      </c>
      <c r="I33" s="251">
        <v>613.81103155911069</v>
      </c>
      <c r="J33" s="252">
        <f>H33-I33</f>
        <v>9.3210994893418047</v>
      </c>
      <c r="K33" s="246"/>
      <c r="L33" s="356">
        <f>-Financials!$DV$152</f>
        <v>685.36980752402019</v>
      </c>
      <c r="M33" s="251">
        <v>672.51699864421801</v>
      </c>
      <c r="N33" s="252">
        <f>L33-M33</f>
        <v>12.852808879802183</v>
      </c>
      <c r="O33" s="248"/>
      <c r="P33" s="235"/>
      <c r="R33" s="202"/>
      <c r="S33" s="202"/>
      <c r="T33" s="202"/>
      <c r="U33" s="202"/>
      <c r="V33" s="202"/>
      <c r="W33" s="202"/>
      <c r="X33" s="202"/>
      <c r="Y33" s="202"/>
      <c r="Z33" s="202"/>
      <c r="AA33" s="202"/>
      <c r="AB33" s="202"/>
      <c r="AC33" s="202"/>
      <c r="AD33" s="202"/>
      <c r="AE33" s="202"/>
      <c r="AF33" s="202"/>
      <c r="AG33" s="202"/>
      <c r="AH33" s="202"/>
      <c r="AI33" s="202"/>
      <c r="AJ33" s="202"/>
      <c r="AK33" s="202"/>
      <c r="AL33" s="202"/>
      <c r="AM33" s="202"/>
      <c r="AN33" s="202"/>
      <c r="AO33" s="202"/>
      <c r="AP33" s="202"/>
      <c r="AQ33" s="202"/>
      <c r="AR33" s="202"/>
      <c r="AS33" s="202"/>
      <c r="AT33" s="202"/>
      <c r="AU33" s="202"/>
      <c r="AV33" s="202"/>
      <c r="AW33" s="202"/>
      <c r="AX33" s="202"/>
      <c r="AY33" s="202"/>
      <c r="AZ33" s="202"/>
      <c r="BA33" s="202"/>
      <c r="BB33" s="202"/>
      <c r="BC33" s="202"/>
      <c r="BD33" s="202"/>
      <c r="BE33" s="202"/>
      <c r="BF33" s="202"/>
      <c r="BG33" s="202"/>
      <c r="BH33" s="202"/>
      <c r="BI33" s="202"/>
      <c r="BJ33" s="202"/>
      <c r="BK33" s="202"/>
      <c r="BL33" s="202"/>
      <c r="BM33" s="202"/>
      <c r="BN33" s="202"/>
      <c r="BO33" s="202"/>
      <c r="BP33" s="202"/>
      <c r="BQ33" s="202"/>
      <c r="BR33" s="202"/>
      <c r="BS33" s="202"/>
      <c r="BT33" s="202"/>
      <c r="BU33" s="202"/>
      <c r="BV33" s="202"/>
      <c r="BW33" s="202"/>
      <c r="BX33" s="202"/>
      <c r="BY33" s="202"/>
      <c r="BZ33" s="202"/>
      <c r="CA33" s="202"/>
      <c r="CB33" s="202"/>
      <c r="CC33" s="202"/>
      <c r="CD33" s="202"/>
      <c r="CE33" s="202"/>
      <c r="CF33" s="202"/>
      <c r="CG33" s="202"/>
      <c r="CH33" s="202"/>
      <c r="CI33" s="202"/>
      <c r="CJ33" s="202"/>
      <c r="CK33" s="202"/>
      <c r="CL33" s="202"/>
      <c r="CM33" s="202"/>
      <c r="CN33" s="202"/>
      <c r="CO33" s="202"/>
      <c r="CP33" s="202"/>
      <c r="CQ33" s="202"/>
      <c r="CR33" s="202"/>
      <c r="CS33" s="202"/>
      <c r="CT33" s="202"/>
      <c r="CU33" s="202"/>
      <c r="CV33" s="202"/>
      <c r="CW33" s="202"/>
      <c r="CX33" s="202"/>
      <c r="CY33" s="202"/>
      <c r="CZ33" s="202"/>
      <c r="DA33" s="202"/>
      <c r="DB33" s="202"/>
      <c r="DC33" s="202"/>
      <c r="DD33" s="202"/>
      <c r="DE33" s="202"/>
      <c r="DF33" s="202"/>
      <c r="DG33" s="202"/>
      <c r="DH33" s="202"/>
      <c r="DI33" s="202"/>
      <c r="DJ33" s="202"/>
      <c r="DK33" s="202"/>
      <c r="DL33" s="202"/>
      <c r="DM33" s="202"/>
      <c r="DN33" s="202"/>
      <c r="DO33" s="202"/>
      <c r="DP33" s="202"/>
      <c r="DQ33" s="202"/>
      <c r="DR33" s="202"/>
      <c r="DS33" s="202"/>
      <c r="DT33" s="202"/>
      <c r="DU33" s="202"/>
      <c r="DV33" s="202"/>
      <c r="DW33" s="202"/>
      <c r="DX33" s="202"/>
      <c r="DY33" s="202"/>
      <c r="DZ33" s="202"/>
      <c r="EA33" s="202"/>
      <c r="EB33" s="202"/>
      <c r="EC33" s="202"/>
      <c r="ED33" s="202"/>
      <c r="EE33" s="202"/>
      <c r="EF33" s="202"/>
      <c r="EG33" s="202"/>
      <c r="EH33" s="202"/>
      <c r="EI33" s="202"/>
      <c r="EJ33" s="202"/>
      <c r="EK33" s="202"/>
      <c r="EL33" s="202"/>
      <c r="EM33" s="202"/>
      <c r="EN33" s="202"/>
      <c r="EO33" s="202"/>
      <c r="EP33" s="202"/>
      <c r="EQ33" s="202"/>
      <c r="ER33" s="202"/>
      <c r="ES33" s="202"/>
      <c r="ET33" s="202"/>
      <c r="EU33" s="202"/>
      <c r="EV33" s="202"/>
      <c r="EW33" s="202"/>
      <c r="EX33" s="202"/>
      <c r="EY33" s="202"/>
      <c r="EZ33" s="202"/>
      <c r="FA33" s="202"/>
      <c r="FB33" s="202"/>
      <c r="FC33" s="202"/>
      <c r="FD33" s="202"/>
      <c r="FE33" s="202"/>
      <c r="FF33" s="202"/>
      <c r="FG33" s="202"/>
      <c r="FH33" s="202"/>
      <c r="FI33" s="202"/>
      <c r="FJ33" s="202"/>
      <c r="FK33" s="202"/>
      <c r="FL33" s="202"/>
      <c r="FM33" s="202"/>
      <c r="FN33" s="202"/>
      <c r="FO33" s="202"/>
      <c r="FP33" s="202"/>
      <c r="FQ33" s="202"/>
      <c r="FR33" s="202"/>
      <c r="FS33" s="202"/>
      <c r="FT33" s="202"/>
      <c r="FU33" s="202"/>
      <c r="FV33" s="202"/>
      <c r="FW33" s="202"/>
      <c r="FX33" s="202"/>
      <c r="FY33" s="202"/>
      <c r="FZ33" s="202"/>
      <c r="GA33" s="202"/>
      <c r="GB33" s="202"/>
      <c r="GC33" s="202"/>
      <c r="GD33" s="202"/>
      <c r="GE33" s="202"/>
      <c r="GF33" s="202"/>
      <c r="GG33" s="202"/>
      <c r="GH33" s="202"/>
      <c r="GI33" s="202"/>
      <c r="GJ33" s="202"/>
      <c r="GK33" s="202"/>
      <c r="GL33" s="202"/>
      <c r="GM33" s="202"/>
      <c r="GN33" s="202"/>
      <c r="GO33" s="202"/>
      <c r="GP33" s="202"/>
      <c r="GQ33" s="202"/>
      <c r="GR33" s="202"/>
      <c r="GS33" s="202"/>
      <c r="GT33" s="202"/>
      <c r="GU33" s="202"/>
      <c r="GV33" s="202"/>
      <c r="GW33" s="202"/>
      <c r="GX33" s="202"/>
      <c r="GY33" s="202"/>
      <c r="GZ33" s="202"/>
      <c r="HA33" s="202"/>
      <c r="HB33" s="202"/>
      <c r="HC33" s="202"/>
      <c r="HD33" s="202"/>
      <c r="HE33" s="202"/>
      <c r="HF33" s="202"/>
      <c r="HG33" s="202"/>
      <c r="HH33" s="202"/>
      <c r="HI33" s="202"/>
      <c r="HJ33" s="202"/>
      <c r="HK33" s="202"/>
      <c r="HL33" s="202"/>
      <c r="HM33" s="202"/>
      <c r="HN33" s="202"/>
      <c r="HO33" s="202"/>
      <c r="HP33" s="202"/>
      <c r="HQ33" s="202"/>
      <c r="HR33" s="202"/>
      <c r="HS33" s="202"/>
      <c r="HT33" s="202"/>
      <c r="HU33" s="202"/>
      <c r="HV33" s="202"/>
      <c r="HW33" s="206"/>
      <c r="HX33" s="207"/>
      <c r="HY33" s="207"/>
      <c r="HZ33" s="207"/>
      <c r="IA33" s="207"/>
      <c r="IB33" s="207"/>
      <c r="IC33" s="207"/>
      <c r="ID33" s="207"/>
      <c r="IE33" s="207"/>
      <c r="IF33" s="207"/>
      <c r="IG33" s="207"/>
      <c r="IH33" s="207"/>
      <c r="II33" s="207"/>
      <c r="IJ33" s="207"/>
      <c r="IK33" s="207"/>
      <c r="IL33" s="207"/>
      <c r="IM33" s="207"/>
      <c r="IN33" s="207"/>
      <c r="IO33" s="207"/>
    </row>
    <row r="34" spans="1:249" s="205" customFormat="1" ht="15.75" thickBot="1">
      <c r="A34" s="202"/>
      <c r="B34" s="271"/>
      <c r="C34" s="272"/>
      <c r="D34" s="272"/>
      <c r="E34" s="347"/>
      <c r="F34" s="272"/>
      <c r="G34" s="272"/>
      <c r="H34" s="272"/>
      <c r="I34" s="347"/>
      <c r="J34" s="272"/>
      <c r="K34" s="272"/>
      <c r="L34" s="272"/>
      <c r="M34" s="347"/>
      <c r="N34" s="272"/>
      <c r="O34" s="272"/>
      <c r="P34" s="273"/>
      <c r="R34" s="202"/>
      <c r="S34" s="202"/>
      <c r="T34" s="202"/>
      <c r="U34" s="202"/>
      <c r="V34" s="202"/>
      <c r="W34" s="202"/>
      <c r="X34" s="202"/>
      <c r="Y34" s="202"/>
      <c r="Z34" s="202"/>
      <c r="AA34" s="202"/>
      <c r="AB34" s="202"/>
      <c r="AC34" s="202"/>
      <c r="AD34" s="202"/>
      <c r="AE34" s="202"/>
      <c r="AF34" s="202"/>
      <c r="AG34" s="202"/>
      <c r="AH34" s="202"/>
      <c r="AI34" s="202"/>
      <c r="AJ34" s="202"/>
      <c r="AK34" s="202"/>
      <c r="AL34" s="202"/>
      <c r="AM34" s="202"/>
      <c r="AN34" s="202"/>
      <c r="AO34" s="202"/>
      <c r="AP34" s="202"/>
      <c r="AQ34" s="202"/>
      <c r="AR34" s="202"/>
      <c r="AS34" s="202"/>
      <c r="AT34" s="202"/>
      <c r="AU34" s="202"/>
      <c r="AV34" s="202"/>
      <c r="AW34" s="202"/>
      <c r="AX34" s="202"/>
      <c r="AY34" s="202"/>
      <c r="AZ34" s="202"/>
      <c r="BA34" s="202"/>
      <c r="BB34" s="202"/>
      <c r="BC34" s="202"/>
      <c r="BD34" s="202"/>
      <c r="BE34" s="202"/>
      <c r="BF34" s="202"/>
      <c r="BG34" s="202"/>
      <c r="BH34" s="202"/>
      <c r="BI34" s="202"/>
      <c r="BJ34" s="202"/>
      <c r="BK34" s="202"/>
      <c r="BL34" s="202"/>
      <c r="BM34" s="202"/>
      <c r="BN34" s="202"/>
      <c r="BO34" s="202"/>
      <c r="BP34" s="202"/>
      <c r="BQ34" s="202"/>
      <c r="BR34" s="202"/>
      <c r="BS34" s="202"/>
      <c r="BT34" s="202"/>
      <c r="BU34" s="202"/>
      <c r="BV34" s="202"/>
      <c r="BW34" s="202"/>
      <c r="BX34" s="202"/>
      <c r="BY34" s="202"/>
      <c r="BZ34" s="202"/>
      <c r="CA34" s="202"/>
      <c r="CB34" s="202"/>
      <c r="CC34" s="202"/>
      <c r="CD34" s="202"/>
      <c r="CE34" s="202"/>
      <c r="CF34" s="202"/>
      <c r="CG34" s="202"/>
      <c r="CH34" s="202"/>
      <c r="CI34" s="202"/>
      <c r="CJ34" s="202"/>
      <c r="CK34" s="202"/>
      <c r="CL34" s="202"/>
      <c r="CM34" s="202"/>
      <c r="CN34" s="202"/>
      <c r="CO34" s="202"/>
      <c r="CP34" s="202"/>
      <c r="CQ34" s="202"/>
      <c r="CR34" s="202"/>
      <c r="CS34" s="202"/>
      <c r="CT34" s="202"/>
      <c r="CU34" s="202"/>
      <c r="CV34" s="202"/>
      <c r="CW34" s="202"/>
      <c r="CX34" s="202"/>
      <c r="CY34" s="202"/>
      <c r="CZ34" s="202"/>
      <c r="DA34" s="202"/>
      <c r="DB34" s="202"/>
      <c r="DC34" s="202"/>
      <c r="DD34" s="202"/>
      <c r="DE34" s="202"/>
      <c r="DF34" s="202"/>
      <c r="DG34" s="202"/>
      <c r="DH34" s="202"/>
      <c r="DI34" s="202"/>
      <c r="DJ34" s="202"/>
      <c r="DK34" s="202"/>
      <c r="DL34" s="202"/>
      <c r="DM34" s="202"/>
      <c r="DN34" s="202"/>
      <c r="DO34" s="202"/>
      <c r="DP34" s="202"/>
      <c r="DQ34" s="202"/>
      <c r="DR34" s="202"/>
      <c r="DS34" s="202"/>
      <c r="DT34" s="202"/>
      <c r="DU34" s="202"/>
      <c r="DV34" s="202"/>
      <c r="DW34" s="202"/>
      <c r="DX34" s="202"/>
      <c r="DY34" s="202"/>
      <c r="DZ34" s="202"/>
      <c r="EA34" s="202"/>
      <c r="EB34" s="202"/>
      <c r="EC34" s="202"/>
      <c r="ED34" s="202"/>
      <c r="EE34" s="202"/>
      <c r="EF34" s="202"/>
      <c r="EG34" s="202"/>
      <c r="EH34" s="202"/>
      <c r="EI34" s="202"/>
      <c r="EJ34" s="202"/>
      <c r="EK34" s="202"/>
      <c r="EL34" s="202"/>
      <c r="EM34" s="202"/>
      <c r="EN34" s="202"/>
      <c r="EO34" s="202"/>
      <c r="EP34" s="202"/>
      <c r="EQ34" s="202"/>
      <c r="ER34" s="202"/>
      <c r="ES34" s="202"/>
      <c r="ET34" s="202"/>
      <c r="EU34" s="202"/>
      <c r="EV34" s="202"/>
      <c r="EW34" s="202"/>
      <c r="EX34" s="202"/>
      <c r="EY34" s="202"/>
      <c r="EZ34" s="202"/>
      <c r="FA34" s="202"/>
      <c r="FB34" s="202"/>
      <c r="FC34" s="202"/>
      <c r="FD34" s="202"/>
      <c r="FE34" s="202"/>
      <c r="FF34" s="202"/>
      <c r="FG34" s="202"/>
      <c r="FH34" s="202"/>
      <c r="FI34" s="202"/>
      <c r="FJ34" s="202"/>
      <c r="FK34" s="202"/>
      <c r="FL34" s="202"/>
      <c r="FM34" s="202"/>
      <c r="FN34" s="202"/>
      <c r="FO34" s="202"/>
      <c r="FP34" s="202"/>
      <c r="FQ34" s="202"/>
      <c r="FR34" s="202"/>
      <c r="FS34" s="202"/>
      <c r="FT34" s="202"/>
      <c r="FU34" s="202"/>
      <c r="FV34" s="202"/>
      <c r="FW34" s="202"/>
      <c r="FX34" s="202"/>
      <c r="FY34" s="202"/>
      <c r="FZ34" s="202"/>
      <c r="GA34" s="202"/>
      <c r="GB34" s="202"/>
      <c r="GC34" s="202"/>
      <c r="GD34" s="202"/>
      <c r="GE34" s="202"/>
      <c r="GF34" s="202"/>
      <c r="GG34" s="202"/>
      <c r="GH34" s="202"/>
      <c r="GI34" s="202"/>
      <c r="GJ34" s="202"/>
      <c r="GK34" s="202"/>
      <c r="GL34" s="202"/>
      <c r="GM34" s="202"/>
      <c r="GN34" s="202"/>
      <c r="GO34" s="202"/>
      <c r="GP34" s="202"/>
      <c r="GQ34" s="202"/>
      <c r="GR34" s="202"/>
      <c r="GS34" s="202"/>
      <c r="GT34" s="202"/>
      <c r="GU34" s="202"/>
      <c r="GV34" s="202"/>
      <c r="GW34" s="202"/>
      <c r="GX34" s="202"/>
      <c r="GY34" s="202"/>
      <c r="GZ34" s="202"/>
      <c r="HA34" s="202"/>
      <c r="HB34" s="202"/>
      <c r="HC34" s="202"/>
      <c r="HD34" s="202"/>
      <c r="HE34" s="202"/>
      <c r="HF34" s="202"/>
      <c r="HG34" s="202"/>
      <c r="HH34" s="202"/>
      <c r="HI34" s="202"/>
      <c r="HJ34" s="202"/>
      <c r="HK34" s="202"/>
      <c r="HL34" s="202"/>
      <c r="HM34" s="202"/>
      <c r="HN34" s="202"/>
      <c r="HO34" s="202"/>
      <c r="HP34" s="202"/>
      <c r="HQ34" s="202"/>
      <c r="HR34" s="202"/>
      <c r="HS34" s="202"/>
      <c r="HT34" s="202"/>
      <c r="HU34" s="202"/>
      <c r="HV34" s="202"/>
      <c r="HW34" s="206"/>
      <c r="HX34" s="207"/>
      <c r="HY34" s="207"/>
      <c r="HZ34" s="207"/>
      <c r="IA34" s="207"/>
      <c r="IB34" s="207"/>
      <c r="IC34" s="207"/>
      <c r="ID34" s="207"/>
      <c r="IE34" s="207"/>
      <c r="IF34" s="207"/>
      <c r="IG34" s="207"/>
      <c r="IH34" s="207"/>
      <c r="II34" s="207"/>
      <c r="IJ34" s="207"/>
      <c r="IK34" s="207"/>
      <c r="IL34" s="207"/>
      <c r="IM34" s="207"/>
      <c r="IN34" s="207"/>
      <c r="IO34" s="207"/>
    </row>
    <row r="35" spans="1:249" s="205" customFormat="1" ht="15.75" thickBot="1">
      <c r="A35" s="202"/>
      <c r="B35" s="202"/>
      <c r="C35" s="204"/>
      <c r="D35" s="204"/>
      <c r="E35" s="348"/>
      <c r="F35" s="204"/>
      <c r="G35" s="204"/>
      <c r="H35" s="204"/>
      <c r="I35" s="348"/>
      <c r="J35" s="204"/>
      <c r="K35" s="204"/>
      <c r="L35" s="204"/>
      <c r="M35" s="348"/>
      <c r="N35" s="204"/>
      <c r="O35" s="204"/>
      <c r="P35" s="204"/>
      <c r="R35" s="202"/>
      <c r="S35" s="202"/>
      <c r="T35" s="202"/>
      <c r="U35" s="202"/>
      <c r="V35" s="202"/>
      <c r="W35" s="202"/>
      <c r="X35" s="202"/>
      <c r="Y35" s="202"/>
      <c r="Z35" s="202"/>
      <c r="AA35" s="202"/>
      <c r="AB35" s="202"/>
      <c r="AC35" s="202"/>
      <c r="AD35" s="202"/>
      <c r="AE35" s="202"/>
      <c r="AF35" s="202"/>
      <c r="AG35" s="202"/>
      <c r="AH35" s="202"/>
      <c r="AI35" s="202"/>
      <c r="AJ35" s="202"/>
      <c r="AK35" s="202"/>
      <c r="AL35" s="202"/>
      <c r="AM35" s="202"/>
      <c r="AN35" s="202"/>
      <c r="AO35" s="202"/>
      <c r="AP35" s="202"/>
      <c r="AQ35" s="202"/>
      <c r="AR35" s="202"/>
      <c r="AS35" s="202"/>
      <c r="AT35" s="202"/>
      <c r="AU35" s="202"/>
      <c r="AV35" s="202"/>
      <c r="AW35" s="202"/>
      <c r="AX35" s="202"/>
      <c r="AY35" s="202"/>
      <c r="AZ35" s="202"/>
      <c r="BA35" s="202"/>
      <c r="BB35" s="202"/>
      <c r="BC35" s="202"/>
      <c r="BD35" s="202"/>
      <c r="BE35" s="202"/>
      <c r="BF35" s="202"/>
      <c r="BG35" s="202"/>
      <c r="BH35" s="202"/>
      <c r="BI35" s="202"/>
      <c r="BJ35" s="202"/>
      <c r="BK35" s="202"/>
      <c r="BL35" s="202"/>
      <c r="BM35" s="202"/>
      <c r="BN35" s="202"/>
      <c r="BO35" s="202"/>
      <c r="BP35" s="202"/>
      <c r="BQ35" s="202"/>
      <c r="BR35" s="202"/>
      <c r="BS35" s="202"/>
      <c r="BT35" s="202"/>
      <c r="BU35" s="202"/>
      <c r="BV35" s="202"/>
      <c r="BW35" s="202"/>
      <c r="BX35" s="202"/>
      <c r="BY35" s="202"/>
      <c r="BZ35" s="202"/>
      <c r="CA35" s="202"/>
      <c r="CB35" s="202"/>
      <c r="CC35" s="202"/>
      <c r="CD35" s="202"/>
      <c r="CE35" s="202"/>
      <c r="CF35" s="202"/>
      <c r="CG35" s="202"/>
      <c r="CH35" s="202"/>
      <c r="CI35" s="202"/>
      <c r="CJ35" s="202"/>
      <c r="CK35" s="202"/>
      <c r="CL35" s="202"/>
      <c r="CM35" s="202"/>
      <c r="CN35" s="202"/>
      <c r="CO35" s="202"/>
      <c r="CP35" s="202"/>
      <c r="CQ35" s="202"/>
      <c r="CR35" s="202"/>
      <c r="CS35" s="202"/>
      <c r="CT35" s="202"/>
      <c r="CU35" s="202"/>
      <c r="CV35" s="202"/>
      <c r="CW35" s="202"/>
      <c r="CX35" s="202"/>
      <c r="CY35" s="202"/>
      <c r="CZ35" s="202"/>
      <c r="DA35" s="202"/>
      <c r="DB35" s="202"/>
      <c r="DC35" s="202"/>
      <c r="DD35" s="202"/>
      <c r="DE35" s="202"/>
      <c r="DF35" s="202"/>
      <c r="DG35" s="202"/>
      <c r="DH35" s="202"/>
      <c r="DI35" s="202"/>
      <c r="DJ35" s="202"/>
      <c r="DK35" s="202"/>
      <c r="DL35" s="202"/>
      <c r="DM35" s="202"/>
      <c r="DN35" s="202"/>
      <c r="DO35" s="202"/>
      <c r="DP35" s="202"/>
      <c r="DQ35" s="202"/>
      <c r="DR35" s="202"/>
      <c r="DS35" s="202"/>
      <c r="DT35" s="202"/>
      <c r="DU35" s="202"/>
      <c r="DV35" s="202"/>
      <c r="DW35" s="202"/>
      <c r="DX35" s="202"/>
      <c r="DY35" s="202"/>
      <c r="DZ35" s="202"/>
      <c r="EA35" s="202"/>
      <c r="EB35" s="202"/>
      <c r="EC35" s="202"/>
      <c r="ED35" s="202"/>
      <c r="EE35" s="202"/>
      <c r="EF35" s="202"/>
      <c r="EG35" s="202"/>
      <c r="EH35" s="202"/>
      <c r="EI35" s="202"/>
      <c r="EJ35" s="202"/>
      <c r="EK35" s="202"/>
      <c r="EL35" s="202"/>
      <c r="EM35" s="202"/>
      <c r="EN35" s="202"/>
      <c r="EO35" s="202"/>
      <c r="EP35" s="202"/>
      <c r="EQ35" s="202"/>
      <c r="ER35" s="202"/>
      <c r="ES35" s="202"/>
      <c r="ET35" s="202"/>
      <c r="EU35" s="202"/>
      <c r="EV35" s="202"/>
      <c r="EW35" s="202"/>
      <c r="EX35" s="202"/>
      <c r="EY35" s="202"/>
      <c r="EZ35" s="202"/>
      <c r="FA35" s="202"/>
      <c r="FB35" s="202"/>
      <c r="FC35" s="202"/>
      <c r="FD35" s="202"/>
      <c r="FE35" s="202"/>
      <c r="FF35" s="202"/>
      <c r="FG35" s="202"/>
      <c r="FH35" s="202"/>
      <c r="FI35" s="202"/>
      <c r="FJ35" s="202"/>
      <c r="FK35" s="202"/>
      <c r="FL35" s="202"/>
      <c r="FM35" s="202"/>
      <c r="FN35" s="202"/>
      <c r="FO35" s="202"/>
      <c r="FP35" s="202"/>
      <c r="FQ35" s="202"/>
      <c r="FR35" s="202"/>
      <c r="FS35" s="202"/>
      <c r="FT35" s="202"/>
      <c r="FU35" s="202"/>
      <c r="FV35" s="202"/>
      <c r="FW35" s="202"/>
      <c r="FX35" s="202"/>
      <c r="FY35" s="202"/>
      <c r="FZ35" s="202"/>
      <c r="GA35" s="202"/>
      <c r="GB35" s="202"/>
      <c r="GC35" s="202"/>
      <c r="GD35" s="202"/>
      <c r="GE35" s="202"/>
      <c r="GF35" s="202"/>
      <c r="GG35" s="202"/>
      <c r="GH35" s="202"/>
      <c r="GI35" s="202"/>
      <c r="GJ35" s="202"/>
      <c r="GK35" s="202"/>
      <c r="GL35" s="202"/>
      <c r="GM35" s="202"/>
      <c r="GN35" s="202"/>
      <c r="GO35" s="202"/>
      <c r="GP35" s="202"/>
      <c r="GQ35" s="202"/>
      <c r="GR35" s="202"/>
      <c r="GS35" s="202"/>
      <c r="GT35" s="202"/>
      <c r="GU35" s="202"/>
      <c r="GV35" s="202"/>
      <c r="GW35" s="202"/>
      <c r="GX35" s="202"/>
      <c r="GY35" s="202"/>
      <c r="GZ35" s="202"/>
      <c r="HA35" s="202"/>
      <c r="HB35" s="202"/>
      <c r="HC35" s="202"/>
      <c r="HD35" s="202"/>
      <c r="HE35" s="202"/>
      <c r="HF35" s="202"/>
      <c r="HG35" s="202"/>
      <c r="HH35" s="202"/>
      <c r="HI35" s="202"/>
      <c r="HJ35" s="202"/>
      <c r="HK35" s="202"/>
      <c r="HL35" s="202"/>
      <c r="HM35" s="202"/>
      <c r="HN35" s="202"/>
      <c r="HO35" s="202"/>
      <c r="HP35" s="202"/>
      <c r="HQ35" s="202"/>
      <c r="HR35" s="202"/>
      <c r="HS35" s="202"/>
      <c r="HT35" s="202"/>
      <c r="HU35" s="202"/>
      <c r="HV35" s="202"/>
      <c r="HW35" s="206"/>
      <c r="HX35" s="207"/>
      <c r="HY35" s="207"/>
      <c r="HZ35" s="207"/>
      <c r="IA35" s="207"/>
      <c r="IB35" s="207"/>
      <c r="IC35" s="207"/>
      <c r="ID35" s="207"/>
      <c r="IE35" s="207"/>
      <c r="IF35" s="207"/>
      <c r="IG35" s="207"/>
      <c r="IH35" s="207"/>
      <c r="II35" s="207"/>
      <c r="IJ35" s="207"/>
      <c r="IK35" s="207"/>
      <c r="IL35" s="207"/>
      <c r="IM35" s="207"/>
      <c r="IN35" s="207"/>
      <c r="IO35" s="207"/>
    </row>
    <row r="36" spans="1:249" s="205" customFormat="1">
      <c r="A36" s="202"/>
      <c r="B36" s="274"/>
      <c r="C36" s="275"/>
      <c r="D36" s="275"/>
      <c r="E36" s="349"/>
      <c r="F36" s="275"/>
      <c r="G36" s="275"/>
      <c r="H36" s="275"/>
      <c r="I36" s="349"/>
      <c r="J36" s="275"/>
      <c r="K36" s="275"/>
      <c r="L36" s="275"/>
      <c r="M36" s="349"/>
      <c r="N36" s="275"/>
      <c r="O36" s="275"/>
      <c r="P36" s="276"/>
      <c r="R36" s="202"/>
      <c r="S36" s="202"/>
      <c r="T36" s="202"/>
      <c r="U36" s="202"/>
      <c r="V36" s="202"/>
      <c r="W36" s="202"/>
      <c r="X36" s="202"/>
      <c r="Y36" s="202"/>
      <c r="Z36" s="202"/>
      <c r="AA36" s="202"/>
      <c r="AB36" s="202"/>
      <c r="AC36" s="202"/>
      <c r="AD36" s="202"/>
      <c r="AE36" s="202"/>
      <c r="AF36" s="202"/>
      <c r="AG36" s="202"/>
      <c r="AH36" s="202"/>
      <c r="AI36" s="202"/>
      <c r="AJ36" s="202"/>
      <c r="AK36" s="202"/>
      <c r="AL36" s="202"/>
      <c r="AM36" s="202"/>
      <c r="AN36" s="202"/>
      <c r="AO36" s="202"/>
      <c r="AP36" s="202"/>
      <c r="AQ36" s="202"/>
      <c r="AR36" s="202"/>
      <c r="AS36" s="202"/>
      <c r="AT36" s="202"/>
      <c r="AU36" s="202"/>
      <c r="AV36" s="202"/>
      <c r="AW36" s="202"/>
      <c r="AX36" s="202"/>
      <c r="AY36" s="202"/>
      <c r="AZ36" s="202"/>
      <c r="BA36" s="202"/>
      <c r="BB36" s="202"/>
      <c r="BC36" s="202"/>
      <c r="BD36" s="202"/>
      <c r="BE36" s="202"/>
      <c r="BF36" s="202"/>
      <c r="BG36" s="202"/>
      <c r="BH36" s="202"/>
      <c r="BI36" s="202"/>
      <c r="BJ36" s="202"/>
      <c r="BK36" s="202"/>
      <c r="BL36" s="202"/>
      <c r="BM36" s="202"/>
      <c r="BN36" s="202"/>
      <c r="BO36" s="202"/>
      <c r="BP36" s="202"/>
      <c r="BQ36" s="202"/>
      <c r="BR36" s="202"/>
      <c r="BS36" s="202"/>
      <c r="BT36" s="202"/>
      <c r="BU36" s="202"/>
      <c r="BV36" s="202"/>
      <c r="BW36" s="202"/>
      <c r="BX36" s="202"/>
      <c r="BY36" s="202"/>
      <c r="BZ36" s="202"/>
      <c r="CA36" s="202"/>
      <c r="CB36" s="202"/>
      <c r="CC36" s="202"/>
      <c r="CD36" s="202"/>
      <c r="CE36" s="202"/>
      <c r="CF36" s="202"/>
      <c r="CG36" s="202"/>
      <c r="CH36" s="202"/>
      <c r="CI36" s="202"/>
      <c r="CJ36" s="202"/>
      <c r="CK36" s="202"/>
      <c r="CL36" s="202"/>
      <c r="CM36" s="202"/>
      <c r="CN36" s="202"/>
      <c r="CO36" s="202"/>
      <c r="CP36" s="202"/>
      <c r="CQ36" s="202"/>
      <c r="CR36" s="202"/>
      <c r="CS36" s="202"/>
      <c r="CT36" s="202"/>
      <c r="CU36" s="202"/>
      <c r="CV36" s="202"/>
      <c r="CW36" s="202"/>
      <c r="CX36" s="202"/>
      <c r="CY36" s="202"/>
      <c r="CZ36" s="202"/>
      <c r="DA36" s="202"/>
      <c r="DB36" s="202"/>
      <c r="DC36" s="202"/>
      <c r="DD36" s="202"/>
      <c r="DE36" s="202"/>
      <c r="DF36" s="202"/>
      <c r="DG36" s="202"/>
      <c r="DH36" s="202"/>
      <c r="DI36" s="202"/>
      <c r="DJ36" s="202"/>
      <c r="DK36" s="202"/>
      <c r="DL36" s="202"/>
      <c r="DM36" s="202"/>
      <c r="DN36" s="202"/>
      <c r="DO36" s="202"/>
      <c r="DP36" s="202"/>
      <c r="DQ36" s="202"/>
      <c r="DR36" s="202"/>
      <c r="DS36" s="202"/>
      <c r="DT36" s="202"/>
      <c r="DU36" s="202"/>
      <c r="DV36" s="202"/>
      <c r="DW36" s="202"/>
      <c r="DX36" s="202"/>
      <c r="DY36" s="202"/>
      <c r="DZ36" s="202"/>
      <c r="EA36" s="202"/>
      <c r="EB36" s="202"/>
      <c r="EC36" s="202"/>
      <c r="ED36" s="202"/>
      <c r="EE36" s="202"/>
      <c r="EF36" s="202"/>
      <c r="EG36" s="202"/>
      <c r="EH36" s="202"/>
      <c r="EI36" s="202"/>
      <c r="EJ36" s="202"/>
      <c r="EK36" s="202"/>
      <c r="EL36" s="202"/>
      <c r="EM36" s="202"/>
      <c r="EN36" s="202"/>
      <c r="EO36" s="202"/>
      <c r="EP36" s="202"/>
      <c r="EQ36" s="202"/>
      <c r="ER36" s="202"/>
      <c r="ES36" s="202"/>
      <c r="ET36" s="202"/>
      <c r="EU36" s="202"/>
      <c r="EV36" s="202"/>
      <c r="EW36" s="202"/>
      <c r="EX36" s="202"/>
      <c r="EY36" s="202"/>
      <c r="EZ36" s="202"/>
      <c r="FA36" s="202"/>
      <c r="FB36" s="202"/>
      <c r="FC36" s="202"/>
      <c r="FD36" s="202"/>
      <c r="FE36" s="202"/>
      <c r="FF36" s="202"/>
      <c r="FG36" s="202"/>
      <c r="FH36" s="202"/>
      <c r="FI36" s="202"/>
      <c r="FJ36" s="202"/>
      <c r="FK36" s="202"/>
      <c r="FL36" s="202"/>
      <c r="FM36" s="202"/>
      <c r="FN36" s="202"/>
      <c r="FO36" s="202"/>
      <c r="FP36" s="202"/>
      <c r="FQ36" s="202"/>
      <c r="FR36" s="202"/>
      <c r="FS36" s="202"/>
      <c r="FT36" s="202"/>
      <c r="FU36" s="202"/>
      <c r="FV36" s="202"/>
      <c r="FW36" s="202"/>
      <c r="FX36" s="202"/>
      <c r="FY36" s="202"/>
      <c r="FZ36" s="202"/>
      <c r="GA36" s="202"/>
      <c r="GB36" s="202"/>
      <c r="GC36" s="202"/>
      <c r="GD36" s="202"/>
      <c r="GE36" s="202"/>
      <c r="GF36" s="202"/>
      <c r="GG36" s="202"/>
      <c r="GH36" s="202"/>
      <c r="GI36" s="202"/>
      <c r="GJ36" s="202"/>
      <c r="GK36" s="202"/>
      <c r="GL36" s="202"/>
      <c r="GM36" s="202"/>
      <c r="GN36" s="202"/>
      <c r="GO36" s="202"/>
      <c r="GP36" s="202"/>
      <c r="GQ36" s="202"/>
      <c r="GR36" s="202"/>
      <c r="GS36" s="202"/>
      <c r="GT36" s="202"/>
      <c r="GU36" s="202"/>
      <c r="GV36" s="202"/>
      <c r="GW36" s="202"/>
      <c r="GX36" s="202"/>
      <c r="GY36" s="202"/>
      <c r="GZ36" s="202"/>
      <c r="HA36" s="202"/>
      <c r="HB36" s="202"/>
      <c r="HC36" s="202"/>
      <c r="HD36" s="202"/>
      <c r="HE36" s="202"/>
      <c r="HF36" s="202"/>
      <c r="HG36" s="202"/>
      <c r="HH36" s="202"/>
      <c r="HI36" s="202"/>
      <c r="HJ36" s="202"/>
      <c r="HK36" s="202"/>
      <c r="HL36" s="202"/>
      <c r="HM36" s="202"/>
      <c r="HN36" s="202"/>
      <c r="HO36" s="202"/>
      <c r="HP36" s="202"/>
      <c r="HQ36" s="202"/>
      <c r="HR36" s="202"/>
      <c r="HS36" s="202"/>
      <c r="HT36" s="202"/>
      <c r="HU36" s="202"/>
      <c r="HV36" s="202"/>
      <c r="HW36" s="206"/>
      <c r="HX36" s="207"/>
      <c r="HY36" s="207"/>
      <c r="HZ36" s="207"/>
      <c r="IA36" s="207"/>
      <c r="IB36" s="207"/>
      <c r="IC36" s="207"/>
      <c r="ID36" s="207"/>
      <c r="IE36" s="207"/>
      <c r="IF36" s="207"/>
      <c r="IG36" s="207"/>
      <c r="IH36" s="207"/>
      <c r="II36" s="207"/>
      <c r="IJ36" s="207"/>
      <c r="IK36" s="207"/>
      <c r="IL36" s="207"/>
      <c r="IM36" s="207"/>
      <c r="IN36" s="207"/>
      <c r="IO36" s="207"/>
    </row>
    <row r="37" spans="1:249" s="205" customFormat="1">
      <c r="A37" s="202"/>
      <c r="B37" s="277"/>
      <c r="C37" s="278" t="s">
        <v>210</v>
      </c>
      <c r="D37" s="1207" t="str">
        <f t="shared" ref="D37:N37" si="0">D6</f>
        <v>1Q18e</v>
      </c>
      <c r="E37" s="1146" t="str">
        <f t="shared" si="0"/>
        <v>Old</v>
      </c>
      <c r="F37" s="1146" t="str">
        <f t="shared" si="0"/>
        <v>∆</v>
      </c>
      <c r="G37" s="214"/>
      <c r="H37" s="215" t="str">
        <f t="shared" ref="H37" si="1">H6</f>
        <v>2018e</v>
      </c>
      <c r="I37" s="122" t="str">
        <f t="shared" si="0"/>
        <v>Old</v>
      </c>
      <c r="J37" s="122" t="str">
        <f t="shared" si="0"/>
        <v>∆</v>
      </c>
      <c r="K37" s="214"/>
      <c r="L37" s="215" t="str">
        <f t="shared" si="0"/>
        <v>2019e</v>
      </c>
      <c r="M37" s="122" t="str">
        <f t="shared" si="0"/>
        <v>Old</v>
      </c>
      <c r="N37" s="122" t="str">
        <f t="shared" si="0"/>
        <v>∆</v>
      </c>
      <c r="O37" s="1146"/>
      <c r="P37" s="279"/>
      <c r="R37" s="202"/>
      <c r="S37" s="202"/>
      <c r="T37" s="202"/>
      <c r="U37" s="202"/>
      <c r="V37" s="202"/>
      <c r="W37" s="202"/>
      <c r="X37" s="202"/>
      <c r="Y37" s="202"/>
      <c r="Z37" s="202"/>
      <c r="AA37" s="202"/>
      <c r="AB37" s="202"/>
      <c r="AC37" s="202"/>
      <c r="AD37" s="202"/>
      <c r="AE37" s="202"/>
      <c r="AF37" s="202"/>
      <c r="AG37" s="202"/>
      <c r="AH37" s="202"/>
      <c r="AI37" s="202"/>
      <c r="AJ37" s="202"/>
      <c r="AK37" s="202"/>
      <c r="AL37" s="202"/>
      <c r="AM37" s="202"/>
      <c r="AN37" s="202"/>
      <c r="AO37" s="202"/>
      <c r="AP37" s="202"/>
      <c r="AQ37" s="202"/>
      <c r="AR37" s="202"/>
      <c r="AS37" s="202"/>
      <c r="AT37" s="202"/>
      <c r="AU37" s="202"/>
      <c r="AV37" s="202"/>
      <c r="AW37" s="202"/>
      <c r="AX37" s="202"/>
      <c r="AY37" s="202"/>
      <c r="AZ37" s="202"/>
      <c r="BA37" s="202"/>
      <c r="BB37" s="202"/>
      <c r="BC37" s="202"/>
      <c r="BD37" s="202"/>
      <c r="BE37" s="202"/>
      <c r="BF37" s="202"/>
      <c r="BG37" s="202"/>
      <c r="BH37" s="202"/>
      <c r="BI37" s="202"/>
      <c r="BJ37" s="202"/>
      <c r="BK37" s="202"/>
      <c r="BL37" s="202"/>
      <c r="BM37" s="202"/>
      <c r="BN37" s="202"/>
      <c r="BO37" s="202"/>
      <c r="BP37" s="202"/>
      <c r="BQ37" s="202"/>
      <c r="BR37" s="202"/>
      <c r="BS37" s="202"/>
      <c r="BT37" s="202"/>
      <c r="BU37" s="202"/>
      <c r="BV37" s="202"/>
      <c r="BW37" s="202"/>
      <c r="BX37" s="202"/>
      <c r="BY37" s="202"/>
      <c r="BZ37" s="202"/>
      <c r="CA37" s="202"/>
      <c r="CB37" s="202"/>
      <c r="CC37" s="202"/>
      <c r="CD37" s="202"/>
      <c r="CE37" s="202"/>
      <c r="CF37" s="202"/>
      <c r="CG37" s="202"/>
      <c r="CH37" s="202"/>
      <c r="CI37" s="202"/>
      <c r="CJ37" s="202"/>
      <c r="CK37" s="202"/>
      <c r="CL37" s="202"/>
      <c r="CM37" s="202"/>
      <c r="CN37" s="202"/>
      <c r="CO37" s="202"/>
      <c r="CP37" s="202"/>
      <c r="CQ37" s="202"/>
      <c r="CR37" s="202"/>
      <c r="CS37" s="202"/>
      <c r="CT37" s="202"/>
      <c r="CU37" s="202"/>
      <c r="CV37" s="202"/>
      <c r="CW37" s="202"/>
      <c r="CX37" s="202"/>
      <c r="CY37" s="202"/>
      <c r="CZ37" s="202"/>
      <c r="DA37" s="202"/>
      <c r="DB37" s="202"/>
      <c r="DC37" s="202"/>
      <c r="DD37" s="202"/>
      <c r="DE37" s="202"/>
      <c r="DF37" s="202"/>
      <c r="DG37" s="202"/>
      <c r="DH37" s="202"/>
      <c r="DI37" s="202"/>
      <c r="DJ37" s="202"/>
      <c r="DK37" s="202"/>
      <c r="DL37" s="202"/>
      <c r="DM37" s="202"/>
      <c r="DN37" s="202"/>
      <c r="DO37" s="202"/>
      <c r="DP37" s="202"/>
      <c r="DQ37" s="202"/>
      <c r="DR37" s="202"/>
      <c r="DS37" s="202"/>
      <c r="DT37" s="202"/>
      <c r="DU37" s="202"/>
      <c r="DV37" s="202"/>
      <c r="DW37" s="202"/>
      <c r="DX37" s="202"/>
      <c r="DY37" s="202"/>
      <c r="DZ37" s="202"/>
      <c r="EA37" s="202"/>
      <c r="EB37" s="202"/>
      <c r="EC37" s="202"/>
      <c r="ED37" s="202"/>
      <c r="EE37" s="202"/>
      <c r="EF37" s="202"/>
      <c r="EG37" s="202"/>
      <c r="EH37" s="202"/>
      <c r="EI37" s="202"/>
      <c r="EJ37" s="202"/>
      <c r="EK37" s="202"/>
      <c r="EL37" s="202"/>
      <c r="EM37" s="202"/>
      <c r="EN37" s="202"/>
      <c r="EO37" s="202"/>
      <c r="EP37" s="202"/>
      <c r="EQ37" s="202"/>
      <c r="ER37" s="202"/>
      <c r="ES37" s="202"/>
      <c r="ET37" s="202"/>
      <c r="EU37" s="202"/>
      <c r="EV37" s="202"/>
      <c r="EW37" s="202"/>
      <c r="EX37" s="202"/>
      <c r="EY37" s="202"/>
      <c r="EZ37" s="202"/>
      <c r="FA37" s="202"/>
      <c r="FB37" s="202"/>
      <c r="FC37" s="202"/>
      <c r="FD37" s="202"/>
      <c r="FE37" s="202"/>
      <c r="FF37" s="202"/>
      <c r="FG37" s="202"/>
      <c r="FH37" s="202"/>
      <c r="FI37" s="202"/>
      <c r="FJ37" s="202"/>
      <c r="FK37" s="202"/>
      <c r="FL37" s="202"/>
      <c r="FM37" s="202"/>
      <c r="FN37" s="202"/>
      <c r="FO37" s="202"/>
      <c r="FP37" s="202"/>
      <c r="FQ37" s="202"/>
      <c r="FR37" s="202"/>
      <c r="FS37" s="202"/>
      <c r="FT37" s="202"/>
      <c r="FU37" s="202"/>
      <c r="FV37" s="202"/>
      <c r="FW37" s="202"/>
      <c r="FX37" s="202"/>
      <c r="FY37" s="202"/>
      <c r="FZ37" s="202"/>
      <c r="GA37" s="202"/>
      <c r="GB37" s="202"/>
      <c r="GC37" s="202"/>
      <c r="GD37" s="202"/>
      <c r="GE37" s="202"/>
      <c r="GF37" s="202"/>
      <c r="GG37" s="202"/>
      <c r="GH37" s="202"/>
      <c r="GI37" s="202"/>
      <c r="GJ37" s="202"/>
      <c r="GK37" s="202"/>
      <c r="GL37" s="202"/>
      <c r="GM37" s="202"/>
      <c r="GN37" s="202"/>
      <c r="GO37" s="202"/>
      <c r="GP37" s="202"/>
      <c r="GQ37" s="202"/>
      <c r="GR37" s="202"/>
      <c r="GS37" s="202"/>
      <c r="GT37" s="202"/>
      <c r="GU37" s="202"/>
      <c r="GV37" s="202"/>
      <c r="GW37" s="202"/>
      <c r="GX37" s="202"/>
      <c r="GY37" s="202"/>
      <c r="GZ37" s="202"/>
      <c r="HA37" s="202"/>
      <c r="HB37" s="202"/>
      <c r="HC37" s="202"/>
      <c r="HD37" s="202"/>
      <c r="HE37" s="202"/>
      <c r="HF37" s="202"/>
      <c r="HG37" s="202"/>
      <c r="HH37" s="202"/>
      <c r="HI37" s="202"/>
      <c r="HJ37" s="202"/>
      <c r="HK37" s="202"/>
      <c r="HL37" s="202"/>
      <c r="HM37" s="202"/>
      <c r="HN37" s="202"/>
      <c r="HO37" s="202"/>
      <c r="HP37" s="202"/>
      <c r="HQ37" s="202"/>
      <c r="HR37" s="202"/>
      <c r="HS37" s="202"/>
      <c r="HT37" s="202"/>
      <c r="HU37" s="202"/>
      <c r="HV37" s="202"/>
      <c r="HW37" s="206"/>
      <c r="HX37" s="207"/>
      <c r="HY37" s="207"/>
      <c r="HZ37" s="207"/>
      <c r="IA37" s="207"/>
      <c r="IB37" s="207"/>
      <c r="IC37" s="207"/>
      <c r="ID37" s="207"/>
      <c r="IE37" s="207"/>
      <c r="IF37" s="207"/>
      <c r="IG37" s="207"/>
      <c r="IH37" s="207"/>
      <c r="II37" s="207"/>
      <c r="IJ37" s="207"/>
      <c r="IK37" s="207"/>
      <c r="IL37" s="207"/>
      <c r="IM37" s="207"/>
      <c r="IN37" s="207"/>
      <c r="IO37" s="207"/>
    </row>
    <row r="38" spans="1:249" s="205" customFormat="1">
      <c r="A38" s="202"/>
      <c r="B38" s="280"/>
      <c r="C38" s="261"/>
      <c r="D38" s="261"/>
      <c r="E38" s="350"/>
      <c r="F38" s="261"/>
      <c r="G38" s="281"/>
      <c r="H38" s="282"/>
      <c r="I38" s="350"/>
      <c r="J38" s="261"/>
      <c r="K38" s="281"/>
      <c r="L38" s="282"/>
      <c r="M38" s="350"/>
      <c r="N38" s="261"/>
      <c r="O38" s="261"/>
      <c r="P38" s="283"/>
      <c r="Q38" s="261"/>
      <c r="R38" s="202"/>
      <c r="S38" s="202"/>
      <c r="T38" s="202"/>
      <c r="U38" s="202"/>
      <c r="V38" s="202"/>
      <c r="W38" s="202"/>
      <c r="X38" s="202"/>
      <c r="Y38" s="202"/>
      <c r="Z38" s="202"/>
      <c r="AA38" s="202"/>
      <c r="AB38" s="202"/>
      <c r="AC38" s="202"/>
      <c r="AD38" s="202"/>
      <c r="AE38" s="202"/>
      <c r="AF38" s="202"/>
      <c r="AG38" s="202"/>
      <c r="AH38" s="202"/>
      <c r="AI38" s="202"/>
      <c r="AJ38" s="202"/>
      <c r="AK38" s="202"/>
      <c r="AL38" s="202"/>
      <c r="AM38" s="202"/>
      <c r="AN38" s="202"/>
      <c r="AO38" s="202"/>
      <c r="AP38" s="202"/>
      <c r="AQ38" s="202"/>
      <c r="AR38" s="202"/>
      <c r="AS38" s="202"/>
      <c r="AT38" s="202"/>
      <c r="AU38" s="202"/>
      <c r="AV38" s="202"/>
      <c r="AW38" s="202"/>
      <c r="AX38" s="202"/>
      <c r="AY38" s="202"/>
      <c r="AZ38" s="202"/>
      <c r="BA38" s="202"/>
      <c r="BB38" s="202"/>
      <c r="BC38" s="202"/>
      <c r="BD38" s="202"/>
      <c r="BE38" s="202"/>
      <c r="BF38" s="202"/>
      <c r="BG38" s="202"/>
      <c r="BH38" s="202"/>
      <c r="BI38" s="202"/>
      <c r="BJ38" s="202"/>
      <c r="BK38" s="202"/>
      <c r="BL38" s="202"/>
      <c r="BM38" s="202"/>
      <c r="BN38" s="202"/>
      <c r="BO38" s="202"/>
      <c r="BP38" s="202"/>
      <c r="BQ38" s="202"/>
      <c r="BR38" s="202"/>
      <c r="BS38" s="202"/>
      <c r="BT38" s="202"/>
      <c r="BU38" s="202"/>
      <c r="BV38" s="202"/>
      <c r="BW38" s="202"/>
      <c r="BX38" s="202"/>
      <c r="BY38" s="202"/>
      <c r="BZ38" s="202"/>
      <c r="CA38" s="202"/>
      <c r="CB38" s="202"/>
      <c r="CC38" s="202"/>
      <c r="CD38" s="202"/>
      <c r="CE38" s="202"/>
      <c r="CF38" s="202"/>
      <c r="CG38" s="202"/>
      <c r="CH38" s="202"/>
      <c r="CI38" s="202"/>
      <c r="CJ38" s="202"/>
      <c r="CK38" s="202"/>
      <c r="CL38" s="202"/>
      <c r="CM38" s="202"/>
      <c r="CN38" s="202"/>
      <c r="CO38" s="202"/>
      <c r="CP38" s="202"/>
      <c r="CQ38" s="202"/>
      <c r="CR38" s="202"/>
      <c r="CS38" s="202"/>
      <c r="CT38" s="202"/>
      <c r="CU38" s="202"/>
      <c r="CV38" s="202"/>
      <c r="CW38" s="202"/>
      <c r="CX38" s="202"/>
      <c r="CY38" s="202"/>
      <c r="CZ38" s="202"/>
      <c r="DA38" s="202"/>
      <c r="DB38" s="202"/>
      <c r="DC38" s="202"/>
      <c r="DD38" s="202"/>
      <c r="DE38" s="202"/>
      <c r="DF38" s="202"/>
      <c r="DG38" s="202"/>
      <c r="DH38" s="202"/>
      <c r="DI38" s="202"/>
      <c r="DJ38" s="202"/>
      <c r="DK38" s="202"/>
      <c r="DL38" s="202"/>
      <c r="DM38" s="202"/>
      <c r="DN38" s="202"/>
      <c r="DO38" s="202"/>
      <c r="DP38" s="202"/>
      <c r="DQ38" s="202"/>
      <c r="DR38" s="202"/>
      <c r="DS38" s="202"/>
      <c r="DT38" s="202"/>
      <c r="DU38" s="202"/>
      <c r="DV38" s="202"/>
      <c r="DW38" s="202"/>
      <c r="DX38" s="202"/>
      <c r="DY38" s="202"/>
      <c r="DZ38" s="202"/>
      <c r="EA38" s="202"/>
      <c r="EB38" s="202"/>
      <c r="EC38" s="202"/>
      <c r="ED38" s="202"/>
      <c r="EE38" s="202"/>
      <c r="EF38" s="202"/>
      <c r="EG38" s="202"/>
      <c r="EH38" s="202"/>
      <c r="EI38" s="202"/>
      <c r="EJ38" s="202"/>
      <c r="EK38" s="202"/>
      <c r="EL38" s="202"/>
      <c r="EM38" s="202"/>
      <c r="EN38" s="202"/>
      <c r="EO38" s="202"/>
      <c r="EP38" s="202"/>
      <c r="EQ38" s="202"/>
      <c r="ER38" s="202"/>
      <c r="ES38" s="202"/>
      <c r="ET38" s="202"/>
      <c r="EU38" s="202"/>
      <c r="EV38" s="202"/>
      <c r="EW38" s="202"/>
      <c r="EX38" s="202"/>
      <c r="EY38" s="202"/>
      <c r="EZ38" s="202"/>
      <c r="FA38" s="202"/>
      <c r="FB38" s="202"/>
      <c r="FC38" s="202"/>
      <c r="FD38" s="202"/>
      <c r="FE38" s="202"/>
      <c r="FF38" s="202"/>
      <c r="FG38" s="202"/>
      <c r="FH38" s="202"/>
      <c r="FI38" s="202"/>
      <c r="FJ38" s="202"/>
      <c r="FK38" s="202"/>
      <c r="FL38" s="202"/>
      <c r="FM38" s="202"/>
      <c r="FN38" s="202"/>
      <c r="FO38" s="202"/>
      <c r="FP38" s="202"/>
      <c r="FQ38" s="202"/>
      <c r="FR38" s="202"/>
      <c r="FS38" s="202"/>
      <c r="FT38" s="202"/>
      <c r="FU38" s="202"/>
      <c r="FV38" s="202"/>
      <c r="FW38" s="202"/>
      <c r="FX38" s="202"/>
      <c r="FY38" s="202"/>
      <c r="FZ38" s="202"/>
      <c r="GA38" s="202"/>
      <c r="GB38" s="202"/>
      <c r="GC38" s="202"/>
      <c r="GD38" s="202"/>
      <c r="GE38" s="202"/>
      <c r="GF38" s="202"/>
      <c r="GG38" s="202"/>
      <c r="GH38" s="202"/>
      <c r="GI38" s="202"/>
      <c r="GJ38" s="202"/>
      <c r="GK38" s="202"/>
      <c r="GL38" s="202"/>
      <c r="GM38" s="202"/>
      <c r="GN38" s="202"/>
      <c r="GO38" s="202"/>
      <c r="GP38" s="202"/>
      <c r="GQ38" s="202"/>
      <c r="GR38" s="202"/>
      <c r="GS38" s="202"/>
      <c r="GT38" s="202"/>
      <c r="GU38" s="202"/>
      <c r="GV38" s="202"/>
      <c r="GW38" s="202"/>
      <c r="GX38" s="202"/>
      <c r="GY38" s="202"/>
      <c r="GZ38" s="202"/>
      <c r="HA38" s="202"/>
      <c r="HB38" s="202"/>
      <c r="HC38" s="202"/>
      <c r="HD38" s="202"/>
      <c r="HE38" s="202"/>
      <c r="HF38" s="202"/>
      <c r="HG38" s="202"/>
      <c r="HH38" s="202"/>
      <c r="HI38" s="202"/>
      <c r="HJ38" s="202"/>
      <c r="HK38" s="202"/>
      <c r="HL38" s="202"/>
      <c r="HM38" s="202"/>
      <c r="HN38" s="202"/>
      <c r="HO38" s="202"/>
      <c r="HP38" s="202"/>
      <c r="HQ38" s="202"/>
      <c r="HR38" s="202"/>
      <c r="HS38" s="202"/>
      <c r="HT38" s="202"/>
      <c r="HU38" s="202"/>
      <c r="HV38" s="202"/>
      <c r="HW38" s="206"/>
      <c r="HX38" s="207"/>
      <c r="HY38" s="207"/>
      <c r="HZ38" s="207"/>
      <c r="IA38" s="207"/>
      <c r="IB38" s="207"/>
      <c r="IC38" s="207"/>
      <c r="ID38" s="207"/>
      <c r="IE38" s="207"/>
      <c r="IF38" s="207"/>
      <c r="IG38" s="207"/>
      <c r="IH38" s="207"/>
      <c r="II38" s="207"/>
      <c r="IJ38" s="207"/>
      <c r="IK38" s="207"/>
      <c r="IL38" s="207"/>
      <c r="IM38" s="207"/>
      <c r="IN38" s="207"/>
      <c r="IO38" s="207"/>
    </row>
    <row r="39" spans="1:249" s="205" customFormat="1">
      <c r="A39" s="202"/>
      <c r="B39" s="280"/>
      <c r="C39" s="284" t="s">
        <v>115</v>
      </c>
      <c r="D39" s="285"/>
      <c r="E39" s="351"/>
      <c r="F39" s="285"/>
      <c r="G39" s="286"/>
      <c r="H39" s="287"/>
      <c r="I39" s="351"/>
      <c r="J39" s="285"/>
      <c r="K39" s="286"/>
      <c r="L39" s="287"/>
      <c r="M39" s="351"/>
      <c r="N39" s="285"/>
      <c r="O39" s="285"/>
      <c r="P39" s="283"/>
      <c r="R39" s="202"/>
      <c r="S39" s="202"/>
      <c r="T39" s="202"/>
      <c r="U39" s="202"/>
      <c r="V39" s="202"/>
      <c r="W39" s="202"/>
      <c r="X39" s="202"/>
      <c r="Y39" s="202"/>
      <c r="Z39" s="202"/>
      <c r="AA39" s="202"/>
      <c r="AB39" s="202"/>
      <c r="AC39" s="202"/>
      <c r="AD39" s="202"/>
      <c r="AE39" s="202"/>
      <c r="AF39" s="202"/>
      <c r="AG39" s="202"/>
      <c r="AH39" s="202"/>
      <c r="AI39" s="202"/>
      <c r="AJ39" s="202"/>
      <c r="AK39" s="202"/>
      <c r="AL39" s="202"/>
      <c r="AM39" s="202"/>
      <c r="AN39" s="202"/>
      <c r="AO39" s="202"/>
      <c r="AP39" s="202"/>
      <c r="AQ39" s="202"/>
      <c r="AR39" s="202"/>
      <c r="AS39" s="202"/>
      <c r="AT39" s="202"/>
      <c r="AU39" s="202"/>
      <c r="AV39" s="202"/>
      <c r="AW39" s="202"/>
      <c r="AX39" s="202"/>
      <c r="AY39" s="202"/>
      <c r="AZ39" s="202"/>
      <c r="BA39" s="202"/>
      <c r="BB39" s="202"/>
      <c r="BC39" s="202"/>
      <c r="BD39" s="202"/>
      <c r="BE39" s="202"/>
      <c r="BF39" s="202"/>
      <c r="BG39" s="202"/>
      <c r="BH39" s="202"/>
      <c r="BI39" s="202"/>
      <c r="BJ39" s="202"/>
      <c r="BK39" s="202"/>
      <c r="BL39" s="202"/>
      <c r="BM39" s="202"/>
      <c r="BN39" s="202"/>
      <c r="BO39" s="202"/>
      <c r="BP39" s="202"/>
      <c r="BQ39" s="202"/>
      <c r="BR39" s="202"/>
      <c r="BS39" s="202"/>
      <c r="BT39" s="202"/>
      <c r="BU39" s="202"/>
      <c r="BV39" s="202"/>
      <c r="BW39" s="202"/>
      <c r="BX39" s="202"/>
      <c r="BY39" s="202"/>
      <c r="BZ39" s="202"/>
      <c r="CA39" s="202"/>
      <c r="CB39" s="202"/>
      <c r="CC39" s="202"/>
      <c r="CD39" s="202"/>
      <c r="CE39" s="202"/>
      <c r="CF39" s="202"/>
      <c r="CG39" s="202"/>
      <c r="CH39" s="202"/>
      <c r="CI39" s="202"/>
      <c r="CJ39" s="202"/>
      <c r="CK39" s="202"/>
      <c r="CL39" s="202"/>
      <c r="CM39" s="202"/>
      <c r="CN39" s="202"/>
      <c r="CO39" s="202"/>
      <c r="CP39" s="202"/>
      <c r="CQ39" s="202"/>
      <c r="CR39" s="202"/>
      <c r="CS39" s="202"/>
      <c r="CT39" s="202"/>
      <c r="CU39" s="202"/>
      <c r="CV39" s="202"/>
      <c r="CW39" s="202"/>
      <c r="CX39" s="202"/>
      <c r="CY39" s="202"/>
      <c r="CZ39" s="202"/>
      <c r="DA39" s="202"/>
      <c r="DB39" s="202"/>
      <c r="DC39" s="202"/>
      <c r="DD39" s="202"/>
      <c r="DE39" s="202"/>
      <c r="DF39" s="202"/>
      <c r="DG39" s="202"/>
      <c r="DH39" s="202"/>
      <c r="DI39" s="202"/>
      <c r="DJ39" s="202"/>
      <c r="DK39" s="202"/>
      <c r="DL39" s="202"/>
      <c r="DM39" s="202"/>
      <c r="DN39" s="202"/>
      <c r="DO39" s="202"/>
      <c r="DP39" s="202"/>
      <c r="DQ39" s="202"/>
      <c r="DR39" s="202"/>
      <c r="DS39" s="202"/>
      <c r="DT39" s="202"/>
      <c r="DU39" s="202"/>
      <c r="DV39" s="202"/>
      <c r="DW39" s="202"/>
      <c r="DX39" s="202"/>
      <c r="DY39" s="202"/>
      <c r="DZ39" s="202"/>
      <c r="EA39" s="202"/>
      <c r="EB39" s="202"/>
      <c r="EC39" s="202"/>
      <c r="ED39" s="202"/>
      <c r="EE39" s="202"/>
      <c r="EF39" s="202"/>
      <c r="EG39" s="202"/>
      <c r="EH39" s="202"/>
      <c r="EI39" s="202"/>
      <c r="EJ39" s="202"/>
      <c r="EK39" s="202"/>
      <c r="EL39" s="202"/>
      <c r="EM39" s="202"/>
      <c r="EN39" s="202"/>
      <c r="EO39" s="202"/>
      <c r="EP39" s="202"/>
      <c r="EQ39" s="202"/>
      <c r="ER39" s="202"/>
      <c r="ES39" s="202"/>
      <c r="ET39" s="202"/>
      <c r="EU39" s="202"/>
      <c r="EV39" s="202"/>
      <c r="EW39" s="202"/>
      <c r="EX39" s="202"/>
      <c r="EY39" s="202"/>
      <c r="EZ39" s="202"/>
      <c r="FA39" s="202"/>
      <c r="FB39" s="202"/>
      <c r="FC39" s="202"/>
      <c r="FD39" s="202"/>
      <c r="FE39" s="202"/>
      <c r="FF39" s="202"/>
      <c r="FG39" s="202"/>
      <c r="FH39" s="202"/>
      <c r="FI39" s="202"/>
      <c r="FJ39" s="202"/>
      <c r="FK39" s="202"/>
      <c r="FL39" s="202"/>
      <c r="FM39" s="202"/>
      <c r="FN39" s="202"/>
      <c r="FO39" s="202"/>
      <c r="FP39" s="202"/>
      <c r="FQ39" s="202"/>
      <c r="FR39" s="202"/>
      <c r="FS39" s="202"/>
      <c r="FT39" s="202"/>
      <c r="FU39" s="202"/>
      <c r="FV39" s="202"/>
      <c r="FW39" s="202"/>
      <c r="FX39" s="202"/>
      <c r="FY39" s="202"/>
      <c r="FZ39" s="202"/>
      <c r="GA39" s="202"/>
      <c r="GB39" s="202"/>
      <c r="GC39" s="202"/>
      <c r="GD39" s="202"/>
      <c r="GE39" s="202"/>
      <c r="GF39" s="202"/>
      <c r="GG39" s="202"/>
      <c r="GH39" s="202"/>
      <c r="GI39" s="202"/>
      <c r="GJ39" s="202"/>
      <c r="GK39" s="202"/>
      <c r="GL39" s="202"/>
      <c r="GM39" s="202"/>
      <c r="GN39" s="202"/>
      <c r="GO39" s="202"/>
      <c r="GP39" s="202"/>
      <c r="GQ39" s="202"/>
      <c r="GR39" s="202"/>
      <c r="GS39" s="202"/>
      <c r="GT39" s="202"/>
      <c r="GU39" s="202"/>
      <c r="GV39" s="202"/>
      <c r="GW39" s="202"/>
      <c r="GX39" s="202"/>
      <c r="GY39" s="202"/>
      <c r="GZ39" s="202"/>
      <c r="HA39" s="202"/>
      <c r="HB39" s="202"/>
      <c r="HC39" s="202"/>
      <c r="HD39" s="202"/>
      <c r="HE39" s="202"/>
      <c r="HF39" s="202"/>
      <c r="HG39" s="202"/>
      <c r="HH39" s="202"/>
      <c r="HI39" s="202"/>
      <c r="HJ39" s="202"/>
      <c r="HK39" s="202"/>
      <c r="HL39" s="202"/>
      <c r="HM39" s="202"/>
      <c r="HN39" s="202"/>
      <c r="HO39" s="202"/>
      <c r="HP39" s="202"/>
      <c r="HQ39" s="202"/>
      <c r="HR39" s="202"/>
      <c r="HS39" s="202"/>
      <c r="HT39" s="202"/>
      <c r="HU39" s="202"/>
      <c r="HV39" s="202"/>
      <c r="HW39" s="206"/>
      <c r="HX39" s="207"/>
      <c r="HY39" s="207"/>
      <c r="HZ39" s="207"/>
      <c r="IA39" s="207"/>
      <c r="IB39" s="207"/>
      <c r="IC39" s="207"/>
      <c r="ID39" s="207"/>
      <c r="IE39" s="207"/>
      <c r="IF39" s="207"/>
      <c r="IG39" s="207"/>
      <c r="IH39" s="207"/>
      <c r="II39" s="207"/>
      <c r="IJ39" s="207"/>
      <c r="IK39" s="207"/>
      <c r="IL39" s="207"/>
      <c r="IM39" s="207"/>
      <c r="IN39" s="207"/>
      <c r="IO39" s="207"/>
    </row>
    <row r="40" spans="1:249" s="205" customFormat="1">
      <c r="A40" s="202"/>
      <c r="B40" s="280"/>
      <c r="C40" s="288" t="s">
        <v>80</v>
      </c>
      <c r="D40" s="289">
        <f>Segments!$CR$44</f>
        <v>1602.4808145994705</v>
      </c>
      <c r="E40" s="289">
        <v>1596.2105767962767</v>
      </c>
      <c r="F40" s="290">
        <f>D40-E40</f>
        <v>6.2702378031938224</v>
      </c>
      <c r="G40" s="291"/>
      <c r="H40" s="357">
        <f>Segments!$DU$44</f>
        <v>6450.9772136359907</v>
      </c>
      <c r="I40" s="289">
        <v>6363.5441016795439</v>
      </c>
      <c r="J40" s="290">
        <f>H40-I40</f>
        <v>87.433111956446737</v>
      </c>
      <c r="K40" s="291"/>
      <c r="L40" s="357">
        <f>Segments!$DV$44</f>
        <v>6757.6575733607269</v>
      </c>
      <c r="M40" s="289">
        <v>6639.2965018504628</v>
      </c>
      <c r="N40" s="290">
        <f>L40-M40</f>
        <v>118.36107151026408</v>
      </c>
      <c r="O40" s="292"/>
      <c r="P40" s="283"/>
      <c r="R40" s="202"/>
      <c r="S40" s="202"/>
      <c r="T40" s="202"/>
      <c r="U40" s="202"/>
      <c r="V40" s="202"/>
      <c r="W40" s="202"/>
      <c r="X40" s="202"/>
      <c r="Y40" s="202"/>
      <c r="Z40" s="202"/>
      <c r="AA40" s="202"/>
      <c r="AB40" s="202"/>
      <c r="AC40" s="202"/>
      <c r="AD40" s="202"/>
      <c r="AE40" s="202"/>
      <c r="AF40" s="202"/>
      <c r="AG40" s="202"/>
      <c r="AH40" s="202"/>
      <c r="AI40" s="202"/>
      <c r="AJ40" s="202"/>
      <c r="AK40" s="202"/>
      <c r="AL40" s="202"/>
      <c r="AM40" s="202"/>
      <c r="AN40" s="202"/>
      <c r="AO40" s="202"/>
      <c r="AP40" s="202"/>
      <c r="AQ40" s="202"/>
      <c r="AR40" s="202"/>
      <c r="AS40" s="202"/>
      <c r="AT40" s="202"/>
      <c r="AU40" s="202"/>
      <c r="AV40" s="202"/>
      <c r="AW40" s="202"/>
      <c r="AX40" s="202"/>
      <c r="AY40" s="202"/>
      <c r="AZ40" s="202"/>
      <c r="BA40" s="202"/>
      <c r="BB40" s="202"/>
      <c r="BC40" s="202"/>
      <c r="BD40" s="202"/>
      <c r="BE40" s="202"/>
      <c r="BF40" s="202"/>
      <c r="BG40" s="202"/>
      <c r="BH40" s="202"/>
      <c r="BI40" s="202"/>
      <c r="BJ40" s="202"/>
      <c r="BK40" s="202"/>
      <c r="BL40" s="202"/>
      <c r="BM40" s="202"/>
      <c r="BN40" s="202"/>
      <c r="BO40" s="202"/>
      <c r="BP40" s="202"/>
      <c r="BQ40" s="202"/>
      <c r="BR40" s="202"/>
      <c r="BS40" s="202"/>
      <c r="BT40" s="202"/>
      <c r="BU40" s="202"/>
      <c r="BV40" s="202"/>
      <c r="BW40" s="202"/>
      <c r="BX40" s="202"/>
      <c r="BY40" s="202"/>
      <c r="BZ40" s="202"/>
      <c r="CA40" s="202"/>
      <c r="CB40" s="202"/>
      <c r="CC40" s="202"/>
      <c r="CD40" s="202"/>
      <c r="CE40" s="202"/>
      <c r="CF40" s="202"/>
      <c r="CG40" s="202"/>
      <c r="CH40" s="202"/>
      <c r="CI40" s="202"/>
      <c r="CJ40" s="202"/>
      <c r="CK40" s="202"/>
      <c r="CL40" s="202"/>
      <c r="CM40" s="202"/>
      <c r="CN40" s="202"/>
      <c r="CO40" s="202"/>
      <c r="CP40" s="202"/>
      <c r="CQ40" s="202"/>
      <c r="CR40" s="202"/>
      <c r="CS40" s="202"/>
      <c r="CT40" s="202"/>
      <c r="CU40" s="202"/>
      <c r="CV40" s="202"/>
      <c r="CW40" s="202"/>
      <c r="CX40" s="202"/>
      <c r="CY40" s="202"/>
      <c r="CZ40" s="202"/>
      <c r="DA40" s="202"/>
      <c r="DB40" s="202"/>
      <c r="DC40" s="202"/>
      <c r="DD40" s="202"/>
      <c r="DE40" s="202"/>
      <c r="DF40" s="202"/>
      <c r="DG40" s="202"/>
      <c r="DH40" s="202"/>
      <c r="DI40" s="202"/>
      <c r="DJ40" s="202"/>
      <c r="DK40" s="202"/>
      <c r="DL40" s="202"/>
      <c r="DM40" s="202"/>
      <c r="DN40" s="202"/>
      <c r="DO40" s="202"/>
      <c r="DP40" s="202"/>
      <c r="DQ40" s="202"/>
      <c r="DR40" s="202"/>
      <c r="DS40" s="202"/>
      <c r="DT40" s="202"/>
      <c r="DU40" s="202"/>
      <c r="DV40" s="202"/>
      <c r="DW40" s="202"/>
      <c r="DX40" s="202"/>
      <c r="DY40" s="202"/>
      <c r="DZ40" s="202"/>
      <c r="EA40" s="202"/>
      <c r="EB40" s="202"/>
      <c r="EC40" s="202"/>
      <c r="ED40" s="202"/>
      <c r="EE40" s="202"/>
      <c r="EF40" s="202"/>
      <c r="EG40" s="202"/>
      <c r="EH40" s="202"/>
      <c r="EI40" s="202"/>
      <c r="EJ40" s="202"/>
      <c r="EK40" s="202"/>
      <c r="EL40" s="202"/>
      <c r="EM40" s="202"/>
      <c r="EN40" s="202"/>
      <c r="EO40" s="202"/>
      <c r="EP40" s="202"/>
      <c r="EQ40" s="202"/>
      <c r="ER40" s="202"/>
      <c r="ES40" s="202"/>
      <c r="ET40" s="202"/>
      <c r="EU40" s="202"/>
      <c r="EV40" s="202"/>
      <c r="EW40" s="202"/>
      <c r="EX40" s="202"/>
      <c r="EY40" s="202"/>
      <c r="EZ40" s="202"/>
      <c r="FA40" s="202"/>
      <c r="FB40" s="202"/>
      <c r="FC40" s="202"/>
      <c r="FD40" s="202"/>
      <c r="FE40" s="202"/>
      <c r="FF40" s="202"/>
      <c r="FG40" s="202"/>
      <c r="FH40" s="202"/>
      <c r="FI40" s="202"/>
      <c r="FJ40" s="202"/>
      <c r="FK40" s="202"/>
      <c r="FL40" s="202"/>
      <c r="FM40" s="202"/>
      <c r="FN40" s="202"/>
      <c r="FO40" s="202"/>
      <c r="FP40" s="202"/>
      <c r="FQ40" s="202"/>
      <c r="FR40" s="202"/>
      <c r="FS40" s="202"/>
      <c r="FT40" s="202"/>
      <c r="FU40" s="202"/>
      <c r="FV40" s="202"/>
      <c r="FW40" s="202"/>
      <c r="FX40" s="202"/>
      <c r="FY40" s="202"/>
      <c r="FZ40" s="202"/>
      <c r="GA40" s="202"/>
      <c r="GB40" s="202"/>
      <c r="GC40" s="202"/>
      <c r="GD40" s="202"/>
      <c r="GE40" s="202"/>
      <c r="GF40" s="202"/>
      <c r="GG40" s="202"/>
      <c r="GH40" s="202"/>
      <c r="GI40" s="202"/>
      <c r="GJ40" s="202"/>
      <c r="GK40" s="202"/>
      <c r="GL40" s="202"/>
      <c r="GM40" s="202"/>
      <c r="GN40" s="202"/>
      <c r="GO40" s="202"/>
      <c r="GP40" s="202"/>
      <c r="GQ40" s="202"/>
      <c r="GR40" s="202"/>
      <c r="GS40" s="202"/>
      <c r="GT40" s="202"/>
      <c r="GU40" s="202"/>
      <c r="GV40" s="202"/>
      <c r="GW40" s="202"/>
      <c r="GX40" s="202"/>
      <c r="GY40" s="202"/>
      <c r="GZ40" s="202"/>
      <c r="HA40" s="202"/>
      <c r="HB40" s="202"/>
      <c r="HC40" s="202"/>
      <c r="HD40" s="202"/>
      <c r="HE40" s="202"/>
      <c r="HF40" s="202"/>
      <c r="HG40" s="202"/>
      <c r="HH40" s="202"/>
      <c r="HI40" s="202"/>
      <c r="HJ40" s="202"/>
      <c r="HK40" s="202"/>
      <c r="HL40" s="202"/>
      <c r="HM40" s="202"/>
      <c r="HN40" s="202"/>
      <c r="HO40" s="202"/>
      <c r="HP40" s="202"/>
      <c r="HQ40" s="202"/>
      <c r="HR40" s="202"/>
      <c r="HS40" s="202"/>
      <c r="HT40" s="202"/>
      <c r="HU40" s="202"/>
      <c r="HV40" s="202"/>
      <c r="HW40" s="206"/>
      <c r="HX40" s="207"/>
      <c r="HY40" s="207"/>
      <c r="HZ40" s="207"/>
      <c r="IA40" s="207"/>
      <c r="IB40" s="207"/>
      <c r="IC40" s="207"/>
      <c r="ID40" s="207"/>
      <c r="IE40" s="207"/>
      <c r="IF40" s="207"/>
      <c r="IG40" s="207"/>
      <c r="IH40" s="207"/>
      <c r="II40" s="207"/>
      <c r="IJ40" s="207"/>
      <c r="IK40" s="207"/>
      <c r="IL40" s="207"/>
      <c r="IM40" s="207"/>
      <c r="IN40" s="207"/>
      <c r="IO40" s="207"/>
    </row>
    <row r="41" spans="1:249" s="205" customFormat="1">
      <c r="A41" s="202"/>
      <c r="B41" s="280"/>
      <c r="C41" s="288" t="s">
        <v>81</v>
      </c>
      <c r="D41" s="289">
        <f>Segments!$CR$53</f>
        <v>1078.9946329564332</v>
      </c>
      <c r="E41" s="289">
        <v>1070.4920114209417</v>
      </c>
      <c r="F41" s="290">
        <f>D41-E41</f>
        <v>8.5026215354914711</v>
      </c>
      <c r="G41" s="291"/>
      <c r="H41" s="357">
        <f>Segments!$DU$53</f>
        <v>4428.3535533344366</v>
      </c>
      <c r="I41" s="289">
        <v>4354.6323794591008</v>
      </c>
      <c r="J41" s="290">
        <f>H41-I41</f>
        <v>73.721173875335808</v>
      </c>
      <c r="K41" s="291"/>
      <c r="L41" s="357">
        <f>Segments!$DV$53</f>
        <v>4727.4451721943196</v>
      </c>
      <c r="M41" s="289">
        <v>4630.4249576704215</v>
      </c>
      <c r="N41" s="290">
        <f>L41-M41</f>
        <v>97.020214523898176</v>
      </c>
      <c r="O41" s="292"/>
      <c r="P41" s="283"/>
      <c r="R41" s="202"/>
      <c r="S41" s="202"/>
      <c r="T41" s="202"/>
      <c r="U41" s="202"/>
      <c r="V41" s="202"/>
      <c r="W41" s="202"/>
      <c r="X41" s="202"/>
      <c r="Y41" s="202"/>
      <c r="Z41" s="202"/>
      <c r="AA41" s="202"/>
      <c r="AB41" s="202"/>
      <c r="AC41" s="202"/>
      <c r="AD41" s="202"/>
      <c r="AE41" s="202"/>
      <c r="AF41" s="202"/>
      <c r="AG41" s="202"/>
      <c r="AH41" s="202"/>
      <c r="AI41" s="202"/>
      <c r="AJ41" s="202"/>
      <c r="AK41" s="202"/>
      <c r="AL41" s="202"/>
      <c r="AM41" s="202"/>
      <c r="AN41" s="202"/>
      <c r="AO41" s="202"/>
      <c r="AP41" s="202"/>
      <c r="AQ41" s="202"/>
      <c r="AR41" s="202"/>
      <c r="AS41" s="202"/>
      <c r="AT41" s="202"/>
      <c r="AU41" s="202"/>
      <c r="AV41" s="202"/>
      <c r="AW41" s="202"/>
      <c r="AX41" s="202"/>
      <c r="AY41" s="202"/>
      <c r="AZ41" s="202"/>
      <c r="BA41" s="202"/>
      <c r="BB41" s="202"/>
      <c r="BC41" s="202"/>
      <c r="BD41" s="202"/>
      <c r="BE41" s="202"/>
      <c r="BF41" s="202"/>
      <c r="BG41" s="202"/>
      <c r="BH41" s="202"/>
      <c r="BI41" s="202"/>
      <c r="BJ41" s="202"/>
      <c r="BK41" s="202"/>
      <c r="BL41" s="202"/>
      <c r="BM41" s="202"/>
      <c r="BN41" s="202"/>
      <c r="BO41" s="202"/>
      <c r="BP41" s="202"/>
      <c r="BQ41" s="202"/>
      <c r="BR41" s="202"/>
      <c r="BS41" s="202"/>
      <c r="BT41" s="202"/>
      <c r="BU41" s="202"/>
      <c r="BV41" s="202"/>
      <c r="BW41" s="202"/>
      <c r="BX41" s="202"/>
      <c r="BY41" s="202"/>
      <c r="BZ41" s="202"/>
      <c r="CA41" s="202"/>
      <c r="CB41" s="202"/>
      <c r="CC41" s="202"/>
      <c r="CD41" s="202"/>
      <c r="CE41" s="202"/>
      <c r="CF41" s="202"/>
      <c r="CG41" s="202"/>
      <c r="CH41" s="202"/>
      <c r="CI41" s="202"/>
      <c r="CJ41" s="202"/>
      <c r="CK41" s="202"/>
      <c r="CL41" s="202"/>
      <c r="CM41" s="202"/>
      <c r="CN41" s="202"/>
      <c r="CO41" s="202"/>
      <c r="CP41" s="202"/>
      <c r="CQ41" s="202"/>
      <c r="CR41" s="202"/>
      <c r="CS41" s="202"/>
      <c r="CT41" s="202"/>
      <c r="CU41" s="202"/>
      <c r="CV41" s="202"/>
      <c r="CW41" s="202"/>
      <c r="CX41" s="202"/>
      <c r="CY41" s="202"/>
      <c r="CZ41" s="202"/>
      <c r="DA41" s="202"/>
      <c r="DB41" s="202"/>
      <c r="DC41" s="202"/>
      <c r="DD41" s="202"/>
      <c r="DE41" s="202"/>
      <c r="DF41" s="202"/>
      <c r="DG41" s="202"/>
      <c r="DH41" s="202"/>
      <c r="DI41" s="202"/>
      <c r="DJ41" s="202"/>
      <c r="DK41" s="202"/>
      <c r="DL41" s="202"/>
      <c r="DM41" s="202"/>
      <c r="DN41" s="202"/>
      <c r="DO41" s="202"/>
      <c r="DP41" s="202"/>
      <c r="DQ41" s="202"/>
      <c r="DR41" s="202"/>
      <c r="DS41" s="202"/>
      <c r="DT41" s="202"/>
      <c r="DU41" s="202"/>
      <c r="DV41" s="202"/>
      <c r="DW41" s="202"/>
      <c r="DX41" s="202"/>
      <c r="DY41" s="202"/>
      <c r="DZ41" s="202"/>
      <c r="EA41" s="202"/>
      <c r="EB41" s="202"/>
      <c r="EC41" s="202"/>
      <c r="ED41" s="202"/>
      <c r="EE41" s="202"/>
      <c r="EF41" s="202"/>
      <c r="EG41" s="202"/>
      <c r="EH41" s="202"/>
      <c r="EI41" s="202"/>
      <c r="EJ41" s="202"/>
      <c r="EK41" s="202"/>
      <c r="EL41" s="202"/>
      <c r="EM41" s="202"/>
      <c r="EN41" s="202"/>
      <c r="EO41" s="202"/>
      <c r="EP41" s="202"/>
      <c r="EQ41" s="202"/>
      <c r="ER41" s="202"/>
      <c r="ES41" s="202"/>
      <c r="ET41" s="202"/>
      <c r="EU41" s="202"/>
      <c r="EV41" s="202"/>
      <c r="EW41" s="202"/>
      <c r="EX41" s="202"/>
      <c r="EY41" s="202"/>
      <c r="EZ41" s="202"/>
      <c r="FA41" s="202"/>
      <c r="FB41" s="202"/>
      <c r="FC41" s="202"/>
      <c r="FD41" s="202"/>
      <c r="FE41" s="202"/>
      <c r="FF41" s="202"/>
      <c r="FG41" s="202"/>
      <c r="FH41" s="202"/>
      <c r="FI41" s="202"/>
      <c r="FJ41" s="202"/>
      <c r="FK41" s="202"/>
      <c r="FL41" s="202"/>
      <c r="FM41" s="202"/>
      <c r="FN41" s="202"/>
      <c r="FO41" s="202"/>
      <c r="FP41" s="202"/>
      <c r="FQ41" s="202"/>
      <c r="FR41" s="202"/>
      <c r="FS41" s="202"/>
      <c r="FT41" s="202"/>
      <c r="FU41" s="202"/>
      <c r="FV41" s="202"/>
      <c r="FW41" s="202"/>
      <c r="FX41" s="202"/>
      <c r="FY41" s="202"/>
      <c r="FZ41" s="202"/>
      <c r="GA41" s="202"/>
      <c r="GB41" s="202"/>
      <c r="GC41" s="202"/>
      <c r="GD41" s="202"/>
      <c r="GE41" s="202"/>
      <c r="GF41" s="202"/>
      <c r="GG41" s="202"/>
      <c r="GH41" s="202"/>
      <c r="GI41" s="202"/>
      <c r="GJ41" s="202"/>
      <c r="GK41" s="202"/>
      <c r="GL41" s="202"/>
      <c r="GM41" s="202"/>
      <c r="GN41" s="202"/>
      <c r="GO41" s="202"/>
      <c r="GP41" s="202"/>
      <c r="GQ41" s="202"/>
      <c r="GR41" s="202"/>
      <c r="GS41" s="202"/>
      <c r="GT41" s="202"/>
      <c r="GU41" s="202"/>
      <c r="GV41" s="202"/>
      <c r="GW41" s="202"/>
      <c r="GX41" s="202"/>
      <c r="GY41" s="202"/>
      <c r="GZ41" s="202"/>
      <c r="HA41" s="202"/>
      <c r="HB41" s="202"/>
      <c r="HC41" s="202"/>
      <c r="HD41" s="202"/>
      <c r="HE41" s="202"/>
      <c r="HF41" s="202"/>
      <c r="HG41" s="202"/>
      <c r="HH41" s="202"/>
      <c r="HI41" s="202"/>
      <c r="HJ41" s="202"/>
      <c r="HK41" s="202"/>
      <c r="HL41" s="202"/>
      <c r="HM41" s="202"/>
      <c r="HN41" s="202"/>
      <c r="HO41" s="202"/>
      <c r="HP41" s="202"/>
      <c r="HQ41" s="202"/>
      <c r="HR41" s="202"/>
      <c r="HS41" s="202"/>
      <c r="HT41" s="202"/>
      <c r="HU41" s="202"/>
      <c r="HV41" s="202"/>
      <c r="HW41" s="206"/>
      <c r="HX41" s="207"/>
      <c r="HY41" s="207"/>
      <c r="HZ41" s="207"/>
      <c r="IA41" s="207"/>
      <c r="IB41" s="207"/>
      <c r="IC41" s="207"/>
      <c r="ID41" s="207"/>
      <c r="IE41" s="207"/>
      <c r="IF41" s="207"/>
      <c r="IG41" s="207"/>
      <c r="IH41" s="207"/>
      <c r="II41" s="207"/>
      <c r="IJ41" s="207"/>
      <c r="IK41" s="207"/>
      <c r="IL41" s="207"/>
      <c r="IM41" s="207"/>
      <c r="IN41" s="207"/>
      <c r="IO41" s="207"/>
    </row>
    <row r="42" spans="1:249" s="205" customFormat="1">
      <c r="A42" s="202"/>
      <c r="B42" s="280"/>
      <c r="C42" s="293"/>
      <c r="D42" s="285"/>
      <c r="E42" s="351"/>
      <c r="F42" s="285"/>
      <c r="G42" s="291"/>
      <c r="H42" s="287"/>
      <c r="I42" s="351"/>
      <c r="J42" s="285"/>
      <c r="K42" s="291"/>
      <c r="L42" s="287"/>
      <c r="M42" s="351"/>
      <c r="N42" s="285"/>
      <c r="O42" s="292"/>
      <c r="P42" s="283"/>
      <c r="R42" s="202"/>
      <c r="S42" s="202"/>
      <c r="T42" s="202"/>
      <c r="U42" s="202"/>
      <c r="V42" s="202"/>
      <c r="W42" s="202"/>
      <c r="X42" s="202"/>
      <c r="Y42" s="202"/>
      <c r="Z42" s="202"/>
      <c r="AA42" s="202"/>
      <c r="AB42" s="202"/>
      <c r="AC42" s="202"/>
      <c r="AD42" s="202"/>
      <c r="AE42" s="202"/>
      <c r="AF42" s="202"/>
      <c r="AG42" s="202"/>
      <c r="AH42" s="202"/>
      <c r="AI42" s="202"/>
      <c r="AJ42" s="202"/>
      <c r="AK42" s="202"/>
      <c r="AL42" s="202"/>
      <c r="AM42" s="202"/>
      <c r="AN42" s="202"/>
      <c r="AO42" s="202"/>
      <c r="AP42" s="202"/>
      <c r="AQ42" s="202"/>
      <c r="AR42" s="202"/>
      <c r="AS42" s="202"/>
      <c r="AT42" s="202"/>
      <c r="AU42" s="202"/>
      <c r="AV42" s="202"/>
      <c r="AW42" s="202"/>
      <c r="AX42" s="202"/>
      <c r="AY42" s="202"/>
      <c r="AZ42" s="202"/>
      <c r="BA42" s="202"/>
      <c r="BB42" s="202"/>
      <c r="BC42" s="202"/>
      <c r="BD42" s="202"/>
      <c r="BE42" s="202"/>
      <c r="BF42" s="202"/>
      <c r="BG42" s="202"/>
      <c r="BH42" s="202"/>
      <c r="BI42" s="202"/>
      <c r="BJ42" s="202"/>
      <c r="BK42" s="202"/>
      <c r="BL42" s="202"/>
      <c r="BM42" s="202"/>
      <c r="BN42" s="202"/>
      <c r="BO42" s="202"/>
      <c r="BP42" s="202"/>
      <c r="BQ42" s="202"/>
      <c r="BR42" s="202"/>
      <c r="BS42" s="202"/>
      <c r="BT42" s="202"/>
      <c r="BU42" s="202"/>
      <c r="BV42" s="202"/>
      <c r="BW42" s="202"/>
      <c r="BX42" s="202"/>
      <c r="BY42" s="202"/>
      <c r="BZ42" s="202"/>
      <c r="CA42" s="202"/>
      <c r="CB42" s="202"/>
      <c r="CC42" s="202"/>
      <c r="CD42" s="202"/>
      <c r="CE42" s="202"/>
      <c r="CF42" s="202"/>
      <c r="CG42" s="202"/>
      <c r="CH42" s="202"/>
      <c r="CI42" s="202"/>
      <c r="CJ42" s="202"/>
      <c r="CK42" s="202"/>
      <c r="CL42" s="202"/>
      <c r="CM42" s="202"/>
      <c r="CN42" s="202"/>
      <c r="CO42" s="202"/>
      <c r="CP42" s="202"/>
      <c r="CQ42" s="202"/>
      <c r="CR42" s="202"/>
      <c r="CS42" s="202"/>
      <c r="CT42" s="202"/>
      <c r="CU42" s="202"/>
      <c r="CV42" s="202"/>
      <c r="CW42" s="202"/>
      <c r="CX42" s="202"/>
      <c r="CY42" s="202"/>
      <c r="CZ42" s="202"/>
      <c r="DA42" s="202"/>
      <c r="DB42" s="202"/>
      <c r="DC42" s="202"/>
      <c r="DD42" s="202"/>
      <c r="DE42" s="202"/>
      <c r="DF42" s="202"/>
      <c r="DG42" s="202"/>
      <c r="DH42" s="202"/>
      <c r="DI42" s="202"/>
      <c r="DJ42" s="202"/>
      <c r="DK42" s="202"/>
      <c r="DL42" s="202"/>
      <c r="DM42" s="202"/>
      <c r="DN42" s="202"/>
      <c r="DO42" s="202"/>
      <c r="DP42" s="202"/>
      <c r="DQ42" s="202"/>
      <c r="DR42" s="202"/>
      <c r="DS42" s="202"/>
      <c r="DT42" s="202"/>
      <c r="DU42" s="202"/>
      <c r="DV42" s="202"/>
      <c r="DW42" s="202"/>
      <c r="DX42" s="202"/>
      <c r="DY42" s="202"/>
      <c r="DZ42" s="202"/>
      <c r="EA42" s="202"/>
      <c r="EB42" s="202"/>
      <c r="EC42" s="202"/>
      <c r="ED42" s="202"/>
      <c r="EE42" s="202"/>
      <c r="EF42" s="202"/>
      <c r="EG42" s="202"/>
      <c r="EH42" s="202"/>
      <c r="EI42" s="202"/>
      <c r="EJ42" s="202"/>
      <c r="EK42" s="202"/>
      <c r="EL42" s="202"/>
      <c r="EM42" s="202"/>
      <c r="EN42" s="202"/>
      <c r="EO42" s="202"/>
      <c r="EP42" s="202"/>
      <c r="EQ42" s="202"/>
      <c r="ER42" s="202"/>
      <c r="ES42" s="202"/>
      <c r="ET42" s="202"/>
      <c r="EU42" s="202"/>
      <c r="EV42" s="202"/>
      <c r="EW42" s="202"/>
      <c r="EX42" s="202"/>
      <c r="EY42" s="202"/>
      <c r="EZ42" s="202"/>
      <c r="FA42" s="202"/>
      <c r="FB42" s="202"/>
      <c r="FC42" s="202"/>
      <c r="FD42" s="202"/>
      <c r="FE42" s="202"/>
      <c r="FF42" s="202"/>
      <c r="FG42" s="202"/>
      <c r="FH42" s="202"/>
      <c r="FI42" s="202"/>
      <c r="FJ42" s="202"/>
      <c r="FK42" s="202"/>
      <c r="FL42" s="202"/>
      <c r="FM42" s="202"/>
      <c r="FN42" s="202"/>
      <c r="FO42" s="202"/>
      <c r="FP42" s="202"/>
      <c r="FQ42" s="202"/>
      <c r="FR42" s="202"/>
      <c r="FS42" s="202"/>
      <c r="FT42" s="202"/>
      <c r="FU42" s="202"/>
      <c r="FV42" s="202"/>
      <c r="FW42" s="202"/>
      <c r="FX42" s="202"/>
      <c r="FY42" s="202"/>
      <c r="FZ42" s="202"/>
      <c r="GA42" s="202"/>
      <c r="GB42" s="202"/>
      <c r="GC42" s="202"/>
      <c r="GD42" s="202"/>
      <c r="GE42" s="202"/>
      <c r="GF42" s="202"/>
      <c r="GG42" s="202"/>
      <c r="GH42" s="202"/>
      <c r="GI42" s="202"/>
      <c r="GJ42" s="202"/>
      <c r="GK42" s="202"/>
      <c r="GL42" s="202"/>
      <c r="GM42" s="202"/>
      <c r="GN42" s="202"/>
      <c r="GO42" s="202"/>
      <c r="GP42" s="202"/>
      <c r="GQ42" s="202"/>
      <c r="GR42" s="202"/>
      <c r="GS42" s="202"/>
      <c r="GT42" s="202"/>
      <c r="GU42" s="202"/>
      <c r="GV42" s="202"/>
      <c r="GW42" s="202"/>
      <c r="GX42" s="202"/>
      <c r="GY42" s="202"/>
      <c r="GZ42" s="202"/>
      <c r="HA42" s="202"/>
      <c r="HB42" s="202"/>
      <c r="HC42" s="202"/>
      <c r="HD42" s="202"/>
      <c r="HE42" s="202"/>
      <c r="HF42" s="202"/>
      <c r="HG42" s="202"/>
      <c r="HH42" s="202"/>
      <c r="HI42" s="202"/>
      <c r="HJ42" s="202"/>
      <c r="HK42" s="202"/>
      <c r="HL42" s="202"/>
      <c r="HM42" s="202"/>
      <c r="HN42" s="202"/>
      <c r="HO42" s="202"/>
      <c r="HP42" s="202"/>
      <c r="HQ42" s="202"/>
      <c r="HR42" s="202"/>
      <c r="HS42" s="202"/>
      <c r="HT42" s="202"/>
      <c r="HU42" s="202"/>
      <c r="HV42" s="202"/>
      <c r="HW42" s="206"/>
      <c r="HX42" s="207"/>
      <c r="HY42" s="207"/>
      <c r="HZ42" s="207"/>
      <c r="IA42" s="207"/>
      <c r="IB42" s="207"/>
      <c r="IC42" s="207"/>
      <c r="ID42" s="207"/>
      <c r="IE42" s="207"/>
      <c r="IF42" s="207"/>
      <c r="IG42" s="207"/>
      <c r="IH42" s="207"/>
      <c r="II42" s="207"/>
      <c r="IJ42" s="207"/>
      <c r="IK42" s="207"/>
      <c r="IL42" s="207"/>
      <c r="IM42" s="207"/>
      <c r="IN42" s="207"/>
      <c r="IO42" s="207"/>
    </row>
    <row r="43" spans="1:249" s="205" customFormat="1">
      <c r="A43" s="202"/>
      <c r="B43" s="280"/>
      <c r="C43" s="294" t="s">
        <v>85</v>
      </c>
      <c r="D43" s="295"/>
      <c r="E43" s="352"/>
      <c r="F43" s="295"/>
      <c r="G43" s="291"/>
      <c r="H43" s="296"/>
      <c r="I43" s="352"/>
      <c r="J43" s="295"/>
      <c r="K43" s="291"/>
      <c r="L43" s="296"/>
      <c r="M43" s="352"/>
      <c r="N43" s="295"/>
      <c r="O43" s="292"/>
      <c r="P43" s="283"/>
      <c r="R43" s="202"/>
      <c r="S43" s="202"/>
      <c r="T43" s="202"/>
      <c r="U43" s="202"/>
      <c r="V43" s="202"/>
      <c r="W43" s="202"/>
      <c r="X43" s="202"/>
      <c r="Y43" s="202"/>
      <c r="Z43" s="202"/>
      <c r="AA43" s="202"/>
      <c r="AB43" s="202"/>
      <c r="AC43" s="202"/>
      <c r="AD43" s="202"/>
      <c r="AE43" s="202"/>
      <c r="AF43" s="202"/>
      <c r="AG43" s="202"/>
      <c r="AH43" s="202"/>
      <c r="AI43" s="202"/>
      <c r="AJ43" s="202"/>
      <c r="AK43" s="202"/>
      <c r="AL43" s="202"/>
      <c r="AM43" s="202"/>
      <c r="AN43" s="202"/>
      <c r="AO43" s="202"/>
      <c r="AP43" s="202"/>
      <c r="AQ43" s="202"/>
      <c r="AR43" s="202"/>
      <c r="AS43" s="202"/>
      <c r="AT43" s="202"/>
      <c r="AU43" s="202"/>
      <c r="AV43" s="202"/>
      <c r="AW43" s="202"/>
      <c r="AX43" s="202"/>
      <c r="AY43" s="202"/>
      <c r="AZ43" s="202"/>
      <c r="BA43" s="202"/>
      <c r="BB43" s="202"/>
      <c r="BC43" s="202"/>
      <c r="BD43" s="202"/>
      <c r="BE43" s="202"/>
      <c r="BF43" s="202"/>
      <c r="BG43" s="202"/>
      <c r="BH43" s="202"/>
      <c r="BI43" s="202"/>
      <c r="BJ43" s="202"/>
      <c r="BK43" s="202"/>
      <c r="BL43" s="202"/>
      <c r="BM43" s="202"/>
      <c r="BN43" s="202"/>
      <c r="BO43" s="202"/>
      <c r="BP43" s="202"/>
      <c r="BQ43" s="202"/>
      <c r="BR43" s="202"/>
      <c r="BS43" s="202"/>
      <c r="BT43" s="202"/>
      <c r="BU43" s="202"/>
      <c r="BV43" s="202"/>
      <c r="BW43" s="202"/>
      <c r="BX43" s="202"/>
      <c r="BY43" s="202"/>
      <c r="BZ43" s="202"/>
      <c r="CA43" s="202"/>
      <c r="CB43" s="202"/>
      <c r="CC43" s="202"/>
      <c r="CD43" s="202"/>
      <c r="CE43" s="202"/>
      <c r="CF43" s="202"/>
      <c r="CG43" s="202"/>
      <c r="CH43" s="202"/>
      <c r="CI43" s="202"/>
      <c r="CJ43" s="202"/>
      <c r="CK43" s="202"/>
      <c r="CL43" s="202"/>
      <c r="CM43" s="202"/>
      <c r="CN43" s="202"/>
      <c r="CO43" s="202"/>
      <c r="CP43" s="202"/>
      <c r="CQ43" s="202"/>
      <c r="CR43" s="202"/>
      <c r="CS43" s="202"/>
      <c r="CT43" s="202"/>
      <c r="CU43" s="202"/>
      <c r="CV43" s="202"/>
      <c r="CW43" s="202"/>
      <c r="CX43" s="202"/>
      <c r="CY43" s="202"/>
      <c r="CZ43" s="202"/>
      <c r="DA43" s="202"/>
      <c r="DB43" s="202"/>
      <c r="DC43" s="202"/>
      <c r="DD43" s="202"/>
      <c r="DE43" s="202"/>
      <c r="DF43" s="202"/>
      <c r="DG43" s="202"/>
      <c r="DH43" s="202"/>
      <c r="DI43" s="202"/>
      <c r="DJ43" s="202"/>
      <c r="DK43" s="202"/>
      <c r="DL43" s="202"/>
      <c r="DM43" s="202"/>
      <c r="DN43" s="202"/>
      <c r="DO43" s="202"/>
      <c r="DP43" s="202"/>
      <c r="DQ43" s="202"/>
      <c r="DR43" s="202"/>
      <c r="DS43" s="202"/>
      <c r="DT43" s="202"/>
      <c r="DU43" s="202"/>
      <c r="DV43" s="202"/>
      <c r="DW43" s="202"/>
      <c r="DX43" s="202"/>
      <c r="DY43" s="202"/>
      <c r="DZ43" s="202"/>
      <c r="EA43" s="202"/>
      <c r="EB43" s="202"/>
      <c r="EC43" s="202"/>
      <c r="ED43" s="202"/>
      <c r="EE43" s="202"/>
      <c r="EF43" s="202"/>
      <c r="EG43" s="202"/>
      <c r="EH43" s="202"/>
      <c r="EI43" s="202"/>
      <c r="EJ43" s="202"/>
      <c r="EK43" s="202"/>
      <c r="EL43" s="202"/>
      <c r="EM43" s="202"/>
      <c r="EN43" s="202"/>
      <c r="EO43" s="202"/>
      <c r="EP43" s="202"/>
      <c r="EQ43" s="202"/>
      <c r="ER43" s="202"/>
      <c r="ES43" s="202"/>
      <c r="ET43" s="202"/>
      <c r="EU43" s="202"/>
      <c r="EV43" s="202"/>
      <c r="EW43" s="202"/>
      <c r="EX43" s="202"/>
      <c r="EY43" s="202"/>
      <c r="EZ43" s="202"/>
      <c r="FA43" s="202"/>
      <c r="FB43" s="202"/>
      <c r="FC43" s="202"/>
      <c r="FD43" s="202"/>
      <c r="FE43" s="202"/>
      <c r="FF43" s="202"/>
      <c r="FG43" s="202"/>
      <c r="FH43" s="202"/>
      <c r="FI43" s="202"/>
      <c r="FJ43" s="202"/>
      <c r="FK43" s="202"/>
      <c r="FL43" s="202"/>
      <c r="FM43" s="202"/>
      <c r="FN43" s="202"/>
      <c r="FO43" s="202"/>
      <c r="FP43" s="202"/>
      <c r="FQ43" s="202"/>
      <c r="FR43" s="202"/>
      <c r="FS43" s="202"/>
      <c r="FT43" s="202"/>
      <c r="FU43" s="202"/>
      <c r="FV43" s="202"/>
      <c r="FW43" s="202"/>
      <c r="FX43" s="202"/>
      <c r="FY43" s="202"/>
      <c r="FZ43" s="202"/>
      <c r="GA43" s="202"/>
      <c r="GB43" s="202"/>
      <c r="GC43" s="202"/>
      <c r="GD43" s="202"/>
      <c r="GE43" s="202"/>
      <c r="GF43" s="202"/>
      <c r="GG43" s="202"/>
      <c r="GH43" s="202"/>
      <c r="GI43" s="202"/>
      <c r="GJ43" s="202"/>
      <c r="GK43" s="202"/>
      <c r="GL43" s="202"/>
      <c r="GM43" s="202"/>
      <c r="GN43" s="202"/>
      <c r="GO43" s="202"/>
      <c r="GP43" s="202"/>
      <c r="GQ43" s="202"/>
      <c r="GR43" s="202"/>
      <c r="GS43" s="202"/>
      <c r="GT43" s="202"/>
      <c r="GU43" s="202"/>
      <c r="GV43" s="202"/>
      <c r="GW43" s="202"/>
      <c r="GX43" s="202"/>
      <c r="GY43" s="202"/>
      <c r="GZ43" s="202"/>
      <c r="HA43" s="202"/>
      <c r="HB43" s="202"/>
      <c r="HC43" s="202"/>
      <c r="HD43" s="202"/>
      <c r="HE43" s="202"/>
      <c r="HF43" s="202"/>
      <c r="HG43" s="202"/>
      <c r="HH43" s="202"/>
      <c r="HI43" s="202"/>
      <c r="HJ43" s="202"/>
      <c r="HK43" s="202"/>
      <c r="HL43" s="202"/>
      <c r="HM43" s="202"/>
      <c r="HN43" s="202"/>
      <c r="HO43" s="202"/>
      <c r="HP43" s="202"/>
      <c r="HQ43" s="202"/>
      <c r="HR43" s="202"/>
      <c r="HS43" s="202"/>
      <c r="HT43" s="202"/>
      <c r="HU43" s="202"/>
      <c r="HV43" s="202"/>
      <c r="HW43" s="206"/>
      <c r="HX43" s="207"/>
      <c r="HY43" s="207"/>
      <c r="HZ43" s="207"/>
      <c r="IA43" s="207"/>
      <c r="IB43" s="207"/>
      <c r="IC43" s="207"/>
      <c r="ID43" s="207"/>
      <c r="IE43" s="207"/>
      <c r="IF43" s="207"/>
      <c r="IG43" s="207"/>
      <c r="IH43" s="207"/>
      <c r="II43" s="207"/>
      <c r="IJ43" s="207"/>
      <c r="IK43" s="207"/>
      <c r="IL43" s="207"/>
      <c r="IM43" s="207"/>
      <c r="IN43" s="207"/>
      <c r="IO43" s="207"/>
    </row>
    <row r="44" spans="1:249" s="205" customFormat="1">
      <c r="A44" s="202"/>
      <c r="B44" s="280"/>
      <c r="C44" s="288" t="s">
        <v>80</v>
      </c>
      <c r="D44" s="289">
        <f>Segments!$CR$79</f>
        <v>264.40933440891263</v>
      </c>
      <c r="E44" s="289">
        <v>263.37474517138565</v>
      </c>
      <c r="F44" s="290">
        <f>D44-E44</f>
        <v>1.0345892375269727</v>
      </c>
      <c r="G44" s="291"/>
      <c r="H44" s="357">
        <f>Segments!$DU$79</f>
        <v>1058.3886532697898</v>
      </c>
      <c r="I44" s="289">
        <v>1044.0905829583994</v>
      </c>
      <c r="J44" s="290">
        <f>H44-I44</f>
        <v>14.298070311390347</v>
      </c>
      <c r="K44" s="291"/>
      <c r="L44" s="357">
        <f>Segments!$DV$79</f>
        <v>1088.4316252762289</v>
      </c>
      <c r="M44" s="289">
        <v>1069.4164255062872</v>
      </c>
      <c r="N44" s="290">
        <f>L44-M44</f>
        <v>19.015199769941773</v>
      </c>
      <c r="O44" s="292"/>
      <c r="P44" s="283"/>
      <c r="R44" s="202"/>
      <c r="S44" s="202"/>
      <c r="T44" s="202"/>
      <c r="U44" s="202"/>
      <c r="V44" s="202"/>
      <c r="W44" s="202"/>
      <c r="X44" s="202"/>
      <c r="Y44" s="202"/>
      <c r="Z44" s="202"/>
      <c r="AA44" s="202"/>
      <c r="AB44" s="202"/>
      <c r="AC44" s="202"/>
      <c r="AD44" s="202"/>
      <c r="AE44" s="202"/>
      <c r="AF44" s="202"/>
      <c r="AG44" s="202"/>
      <c r="AH44" s="202"/>
      <c r="AI44" s="202"/>
      <c r="AJ44" s="202"/>
      <c r="AK44" s="202"/>
      <c r="AL44" s="202"/>
      <c r="AM44" s="202"/>
      <c r="AN44" s="202"/>
      <c r="AO44" s="202"/>
      <c r="AP44" s="202"/>
      <c r="AQ44" s="202"/>
      <c r="AR44" s="202"/>
      <c r="AS44" s="202"/>
      <c r="AT44" s="202"/>
      <c r="AU44" s="202"/>
      <c r="AV44" s="202"/>
      <c r="AW44" s="202"/>
      <c r="AX44" s="202"/>
      <c r="AY44" s="202"/>
      <c r="AZ44" s="202"/>
      <c r="BA44" s="202"/>
      <c r="BB44" s="202"/>
      <c r="BC44" s="202"/>
      <c r="BD44" s="202"/>
      <c r="BE44" s="202"/>
      <c r="BF44" s="202"/>
      <c r="BG44" s="202"/>
      <c r="BH44" s="202"/>
      <c r="BI44" s="202"/>
      <c r="BJ44" s="202"/>
      <c r="BK44" s="202"/>
      <c r="BL44" s="202"/>
      <c r="BM44" s="202"/>
      <c r="BN44" s="202"/>
      <c r="BO44" s="202"/>
      <c r="BP44" s="202"/>
      <c r="BQ44" s="202"/>
      <c r="BR44" s="202"/>
      <c r="BS44" s="202"/>
      <c r="BT44" s="202"/>
      <c r="BU44" s="202"/>
      <c r="BV44" s="202"/>
      <c r="BW44" s="202"/>
      <c r="BX44" s="202"/>
      <c r="BY44" s="202"/>
      <c r="BZ44" s="202"/>
      <c r="CA44" s="202"/>
      <c r="CB44" s="202"/>
      <c r="CC44" s="202"/>
      <c r="CD44" s="202"/>
      <c r="CE44" s="202"/>
      <c r="CF44" s="202"/>
      <c r="CG44" s="202"/>
      <c r="CH44" s="202"/>
      <c r="CI44" s="202"/>
      <c r="CJ44" s="202"/>
      <c r="CK44" s="202"/>
      <c r="CL44" s="202"/>
      <c r="CM44" s="202"/>
      <c r="CN44" s="202"/>
      <c r="CO44" s="202"/>
      <c r="CP44" s="202"/>
      <c r="CQ44" s="202"/>
      <c r="CR44" s="202"/>
      <c r="CS44" s="202"/>
      <c r="CT44" s="202"/>
      <c r="CU44" s="202"/>
      <c r="CV44" s="202"/>
      <c r="CW44" s="202"/>
      <c r="CX44" s="202"/>
      <c r="CY44" s="202"/>
      <c r="CZ44" s="202"/>
      <c r="DA44" s="202"/>
      <c r="DB44" s="202"/>
      <c r="DC44" s="202"/>
      <c r="DD44" s="202"/>
      <c r="DE44" s="202"/>
      <c r="DF44" s="202"/>
      <c r="DG44" s="202"/>
      <c r="DH44" s="202"/>
      <c r="DI44" s="202"/>
      <c r="DJ44" s="202"/>
      <c r="DK44" s="202"/>
      <c r="DL44" s="202"/>
      <c r="DM44" s="202"/>
      <c r="DN44" s="202"/>
      <c r="DO44" s="202"/>
      <c r="DP44" s="202"/>
      <c r="DQ44" s="202"/>
      <c r="DR44" s="202"/>
      <c r="DS44" s="202"/>
      <c r="DT44" s="202"/>
      <c r="DU44" s="202"/>
      <c r="DV44" s="202"/>
      <c r="DW44" s="202"/>
      <c r="DX44" s="202"/>
      <c r="DY44" s="202"/>
      <c r="DZ44" s="202"/>
      <c r="EA44" s="202"/>
      <c r="EB44" s="202"/>
      <c r="EC44" s="202"/>
      <c r="ED44" s="202"/>
      <c r="EE44" s="202"/>
      <c r="EF44" s="202"/>
      <c r="EG44" s="202"/>
      <c r="EH44" s="202"/>
      <c r="EI44" s="202"/>
      <c r="EJ44" s="202"/>
      <c r="EK44" s="202"/>
      <c r="EL44" s="202"/>
      <c r="EM44" s="202"/>
      <c r="EN44" s="202"/>
      <c r="EO44" s="202"/>
      <c r="EP44" s="202"/>
      <c r="EQ44" s="202"/>
      <c r="ER44" s="202"/>
      <c r="ES44" s="202"/>
      <c r="ET44" s="202"/>
      <c r="EU44" s="202"/>
      <c r="EV44" s="202"/>
      <c r="EW44" s="202"/>
      <c r="EX44" s="202"/>
      <c r="EY44" s="202"/>
      <c r="EZ44" s="202"/>
      <c r="FA44" s="202"/>
      <c r="FB44" s="202"/>
      <c r="FC44" s="202"/>
      <c r="FD44" s="202"/>
      <c r="FE44" s="202"/>
      <c r="FF44" s="202"/>
      <c r="FG44" s="202"/>
      <c r="FH44" s="202"/>
      <c r="FI44" s="202"/>
      <c r="FJ44" s="202"/>
      <c r="FK44" s="202"/>
      <c r="FL44" s="202"/>
      <c r="FM44" s="202"/>
      <c r="FN44" s="202"/>
      <c r="FO44" s="202"/>
      <c r="FP44" s="202"/>
      <c r="FQ44" s="202"/>
      <c r="FR44" s="202"/>
      <c r="FS44" s="202"/>
      <c r="FT44" s="202"/>
      <c r="FU44" s="202"/>
      <c r="FV44" s="202"/>
      <c r="FW44" s="202"/>
      <c r="FX44" s="202"/>
      <c r="FY44" s="202"/>
      <c r="FZ44" s="202"/>
      <c r="GA44" s="202"/>
      <c r="GB44" s="202"/>
      <c r="GC44" s="202"/>
      <c r="GD44" s="202"/>
      <c r="GE44" s="202"/>
      <c r="GF44" s="202"/>
      <c r="GG44" s="202"/>
      <c r="GH44" s="202"/>
      <c r="GI44" s="202"/>
      <c r="GJ44" s="202"/>
      <c r="GK44" s="202"/>
      <c r="GL44" s="202"/>
      <c r="GM44" s="202"/>
      <c r="GN44" s="202"/>
      <c r="GO44" s="202"/>
      <c r="GP44" s="202"/>
      <c r="GQ44" s="202"/>
      <c r="GR44" s="202"/>
      <c r="GS44" s="202"/>
      <c r="GT44" s="202"/>
      <c r="GU44" s="202"/>
      <c r="GV44" s="202"/>
      <c r="GW44" s="202"/>
      <c r="GX44" s="202"/>
      <c r="GY44" s="202"/>
      <c r="GZ44" s="202"/>
      <c r="HA44" s="202"/>
      <c r="HB44" s="202"/>
      <c r="HC44" s="202"/>
      <c r="HD44" s="202"/>
      <c r="HE44" s="202"/>
      <c r="HF44" s="202"/>
      <c r="HG44" s="202"/>
      <c r="HH44" s="202"/>
      <c r="HI44" s="202"/>
      <c r="HJ44" s="202"/>
      <c r="HK44" s="202"/>
      <c r="HL44" s="202"/>
      <c r="HM44" s="202"/>
      <c r="HN44" s="202"/>
      <c r="HO44" s="202"/>
      <c r="HP44" s="202"/>
      <c r="HQ44" s="202"/>
      <c r="HR44" s="202"/>
      <c r="HS44" s="202"/>
      <c r="HT44" s="202"/>
      <c r="HU44" s="202"/>
      <c r="HV44" s="202"/>
      <c r="HW44" s="206"/>
      <c r="HX44" s="207"/>
      <c r="HY44" s="207"/>
      <c r="HZ44" s="207"/>
      <c r="IA44" s="207"/>
      <c r="IB44" s="207"/>
      <c r="IC44" s="207"/>
      <c r="ID44" s="207"/>
      <c r="IE44" s="207"/>
      <c r="IF44" s="207"/>
      <c r="IG44" s="207"/>
      <c r="IH44" s="207"/>
      <c r="II44" s="207"/>
      <c r="IJ44" s="207"/>
      <c r="IK44" s="207"/>
      <c r="IL44" s="207"/>
      <c r="IM44" s="207"/>
      <c r="IN44" s="207"/>
      <c r="IO44" s="207"/>
    </row>
    <row r="45" spans="1:249" s="205" customFormat="1">
      <c r="A45" s="202"/>
      <c r="B45" s="280"/>
      <c r="C45" s="297" t="s">
        <v>240</v>
      </c>
      <c r="D45" s="292">
        <f>D44/D40</f>
        <v>0.16500000000000001</v>
      </c>
      <c r="E45" s="353">
        <v>0.16500000000000001</v>
      </c>
      <c r="F45" s="292">
        <f>D45-E45</f>
        <v>0</v>
      </c>
      <c r="G45" s="291"/>
      <c r="H45" s="298">
        <f>H44/H40</f>
        <v>0.1640664070294004</v>
      </c>
      <c r="I45" s="353">
        <v>0.16407375611380304</v>
      </c>
      <c r="J45" s="292">
        <f>H45-I45</f>
        <v>-7.3490844026413704E-6</v>
      </c>
      <c r="K45" s="291"/>
      <c r="L45" s="298">
        <f>L44/L40</f>
        <v>0.16106640702940039</v>
      </c>
      <c r="M45" s="353">
        <v>0.16107375611380303</v>
      </c>
      <c r="N45" s="292">
        <f>L45-M45</f>
        <v>-7.3490844026413704E-6</v>
      </c>
      <c r="O45" s="292"/>
      <c r="P45" s="283"/>
      <c r="R45" s="202"/>
      <c r="S45" s="202"/>
      <c r="T45" s="202"/>
      <c r="U45" s="202"/>
      <c r="V45" s="202"/>
      <c r="W45" s="202"/>
      <c r="X45" s="202"/>
      <c r="Y45" s="202"/>
      <c r="Z45" s="202"/>
      <c r="AA45" s="202"/>
      <c r="AB45" s="202"/>
      <c r="AC45" s="202"/>
      <c r="AD45" s="202"/>
      <c r="AE45" s="202"/>
      <c r="AF45" s="202"/>
      <c r="AG45" s="202"/>
      <c r="AH45" s="202"/>
      <c r="AI45" s="202"/>
      <c r="AJ45" s="202"/>
      <c r="AK45" s="202"/>
      <c r="AL45" s="202"/>
      <c r="AM45" s="202"/>
      <c r="AN45" s="202"/>
      <c r="AO45" s="202"/>
      <c r="AP45" s="202"/>
      <c r="AQ45" s="202"/>
      <c r="AR45" s="202"/>
      <c r="AS45" s="202"/>
      <c r="AT45" s="202"/>
      <c r="AU45" s="202"/>
      <c r="AV45" s="202"/>
      <c r="AW45" s="202"/>
      <c r="AX45" s="202"/>
      <c r="AY45" s="202"/>
      <c r="AZ45" s="202"/>
      <c r="BA45" s="202"/>
      <c r="BB45" s="202"/>
      <c r="BC45" s="202"/>
      <c r="BD45" s="202"/>
      <c r="BE45" s="202"/>
      <c r="BF45" s="202"/>
      <c r="BG45" s="202"/>
      <c r="BH45" s="202"/>
      <c r="BI45" s="202"/>
      <c r="BJ45" s="202"/>
      <c r="BK45" s="202"/>
      <c r="BL45" s="202"/>
      <c r="BM45" s="202"/>
      <c r="BN45" s="202"/>
      <c r="BO45" s="202"/>
      <c r="BP45" s="202"/>
      <c r="BQ45" s="202"/>
      <c r="BR45" s="202"/>
      <c r="BS45" s="202"/>
      <c r="BT45" s="202"/>
      <c r="BU45" s="202"/>
      <c r="BV45" s="202"/>
      <c r="BW45" s="202"/>
      <c r="BX45" s="202"/>
      <c r="BY45" s="202"/>
      <c r="BZ45" s="202"/>
      <c r="CA45" s="202"/>
      <c r="CB45" s="202"/>
      <c r="CC45" s="202"/>
      <c r="CD45" s="202"/>
      <c r="CE45" s="202"/>
      <c r="CF45" s="202"/>
      <c r="CG45" s="202"/>
      <c r="CH45" s="202"/>
      <c r="CI45" s="202"/>
      <c r="CJ45" s="202"/>
      <c r="CK45" s="202"/>
      <c r="CL45" s="202"/>
      <c r="CM45" s="202"/>
      <c r="CN45" s="202"/>
      <c r="CO45" s="202"/>
      <c r="CP45" s="202"/>
      <c r="CQ45" s="202"/>
      <c r="CR45" s="202"/>
      <c r="CS45" s="202"/>
      <c r="CT45" s="202"/>
      <c r="CU45" s="202"/>
      <c r="CV45" s="202"/>
      <c r="CW45" s="202"/>
      <c r="CX45" s="202"/>
      <c r="CY45" s="202"/>
      <c r="CZ45" s="202"/>
      <c r="DA45" s="202"/>
      <c r="DB45" s="202"/>
      <c r="DC45" s="202"/>
      <c r="DD45" s="202"/>
      <c r="DE45" s="202"/>
      <c r="DF45" s="202"/>
      <c r="DG45" s="202"/>
      <c r="DH45" s="202"/>
      <c r="DI45" s="202"/>
      <c r="DJ45" s="202"/>
      <c r="DK45" s="202"/>
      <c r="DL45" s="202"/>
      <c r="DM45" s="202"/>
      <c r="DN45" s="202"/>
      <c r="DO45" s="202"/>
      <c r="DP45" s="202"/>
      <c r="DQ45" s="202"/>
      <c r="DR45" s="202"/>
      <c r="DS45" s="202"/>
      <c r="DT45" s="202"/>
      <c r="DU45" s="202"/>
      <c r="DV45" s="202"/>
      <c r="DW45" s="202"/>
      <c r="DX45" s="202"/>
      <c r="DY45" s="202"/>
      <c r="DZ45" s="202"/>
      <c r="EA45" s="202"/>
      <c r="EB45" s="202"/>
      <c r="EC45" s="202"/>
      <c r="ED45" s="202"/>
      <c r="EE45" s="202"/>
      <c r="EF45" s="202"/>
      <c r="EG45" s="202"/>
      <c r="EH45" s="202"/>
      <c r="EI45" s="202"/>
      <c r="EJ45" s="202"/>
      <c r="EK45" s="202"/>
      <c r="EL45" s="202"/>
      <c r="EM45" s="202"/>
      <c r="EN45" s="202"/>
      <c r="EO45" s="202"/>
      <c r="EP45" s="202"/>
      <c r="EQ45" s="202"/>
      <c r="ER45" s="202"/>
      <c r="ES45" s="202"/>
      <c r="ET45" s="202"/>
      <c r="EU45" s="202"/>
      <c r="EV45" s="202"/>
      <c r="EW45" s="202"/>
      <c r="EX45" s="202"/>
      <c r="EY45" s="202"/>
      <c r="EZ45" s="202"/>
      <c r="FA45" s="202"/>
      <c r="FB45" s="202"/>
      <c r="FC45" s="202"/>
      <c r="FD45" s="202"/>
      <c r="FE45" s="202"/>
      <c r="FF45" s="202"/>
      <c r="FG45" s="202"/>
      <c r="FH45" s="202"/>
      <c r="FI45" s="202"/>
      <c r="FJ45" s="202"/>
      <c r="FK45" s="202"/>
      <c r="FL45" s="202"/>
      <c r="FM45" s="202"/>
      <c r="FN45" s="202"/>
      <c r="FO45" s="202"/>
      <c r="FP45" s="202"/>
      <c r="FQ45" s="202"/>
      <c r="FR45" s="202"/>
      <c r="FS45" s="202"/>
      <c r="FT45" s="202"/>
      <c r="FU45" s="202"/>
      <c r="FV45" s="202"/>
      <c r="FW45" s="202"/>
      <c r="FX45" s="202"/>
      <c r="FY45" s="202"/>
      <c r="FZ45" s="202"/>
      <c r="GA45" s="202"/>
      <c r="GB45" s="202"/>
      <c r="GC45" s="202"/>
      <c r="GD45" s="202"/>
      <c r="GE45" s="202"/>
      <c r="GF45" s="202"/>
      <c r="GG45" s="202"/>
      <c r="GH45" s="202"/>
      <c r="GI45" s="202"/>
      <c r="GJ45" s="202"/>
      <c r="GK45" s="202"/>
      <c r="GL45" s="202"/>
      <c r="GM45" s="202"/>
      <c r="GN45" s="202"/>
      <c r="GO45" s="202"/>
      <c r="GP45" s="202"/>
      <c r="GQ45" s="202"/>
      <c r="GR45" s="202"/>
      <c r="GS45" s="202"/>
      <c r="GT45" s="202"/>
      <c r="GU45" s="202"/>
      <c r="GV45" s="202"/>
      <c r="GW45" s="202"/>
      <c r="GX45" s="202"/>
      <c r="GY45" s="202"/>
      <c r="GZ45" s="202"/>
      <c r="HA45" s="202"/>
      <c r="HB45" s="202"/>
      <c r="HC45" s="202"/>
      <c r="HD45" s="202"/>
      <c r="HE45" s="202"/>
      <c r="HF45" s="202"/>
      <c r="HG45" s="202"/>
      <c r="HH45" s="202"/>
      <c r="HI45" s="202"/>
      <c r="HJ45" s="202"/>
      <c r="HK45" s="202"/>
      <c r="HL45" s="202"/>
      <c r="HM45" s="202"/>
      <c r="HN45" s="202"/>
      <c r="HO45" s="202"/>
      <c r="HP45" s="202"/>
      <c r="HQ45" s="202"/>
      <c r="HR45" s="202"/>
      <c r="HS45" s="202"/>
      <c r="HT45" s="202"/>
      <c r="HU45" s="202"/>
      <c r="HV45" s="202"/>
      <c r="HW45" s="206"/>
      <c r="HX45" s="207"/>
      <c r="HY45" s="207"/>
      <c r="HZ45" s="207"/>
      <c r="IA45" s="207"/>
      <c r="IB45" s="207"/>
      <c r="IC45" s="207"/>
      <c r="ID45" s="207"/>
      <c r="IE45" s="207"/>
      <c r="IF45" s="207"/>
      <c r="IG45" s="207"/>
      <c r="IH45" s="207"/>
      <c r="II45" s="207"/>
      <c r="IJ45" s="207"/>
      <c r="IK45" s="207"/>
      <c r="IL45" s="207"/>
      <c r="IM45" s="207"/>
      <c r="IN45" s="207"/>
      <c r="IO45" s="207"/>
    </row>
    <row r="46" spans="1:249" s="205" customFormat="1">
      <c r="A46" s="202"/>
      <c r="B46" s="280"/>
      <c r="C46" s="288" t="s">
        <v>81</v>
      </c>
      <c r="D46" s="289">
        <f>Segments!$CR$90</f>
        <v>132.71633985364127</v>
      </c>
      <c r="E46" s="289">
        <v>131.67051740477584</v>
      </c>
      <c r="F46" s="290">
        <f>D46-E46</f>
        <v>1.0458224488654366</v>
      </c>
      <c r="G46" s="291"/>
      <c r="H46" s="357">
        <f>Segments!$DU$90</f>
        <v>560.14278398450097</v>
      </c>
      <c r="I46" s="289">
        <v>550.77206809538552</v>
      </c>
      <c r="J46" s="290">
        <f>H46-I46</f>
        <v>9.370715889115445</v>
      </c>
      <c r="K46" s="291"/>
      <c r="L46" s="357">
        <f>Segments!$DV$90</f>
        <v>583.79257050534147</v>
      </c>
      <c r="M46" s="289">
        <v>571.76292228183695</v>
      </c>
      <c r="N46" s="290">
        <f>L46-M46</f>
        <v>12.029648223504523</v>
      </c>
      <c r="O46" s="292"/>
      <c r="P46" s="283"/>
      <c r="R46" s="202"/>
      <c r="S46" s="202"/>
      <c r="T46" s="202"/>
      <c r="U46" s="202"/>
      <c r="V46" s="202"/>
      <c r="W46" s="202"/>
      <c r="X46" s="202"/>
      <c r="Y46" s="202"/>
      <c r="Z46" s="202"/>
      <c r="AA46" s="202"/>
      <c r="AB46" s="202"/>
      <c r="AC46" s="202"/>
      <c r="AD46" s="202"/>
      <c r="AE46" s="202"/>
      <c r="AF46" s="202"/>
      <c r="AG46" s="202"/>
      <c r="AH46" s="202"/>
      <c r="AI46" s="202"/>
      <c r="AJ46" s="202"/>
      <c r="AK46" s="202"/>
      <c r="AL46" s="202"/>
      <c r="AM46" s="202"/>
      <c r="AN46" s="202"/>
      <c r="AO46" s="202"/>
      <c r="AP46" s="202"/>
      <c r="AQ46" s="202"/>
      <c r="AR46" s="202"/>
      <c r="AS46" s="202"/>
      <c r="AT46" s="202"/>
      <c r="AU46" s="202"/>
      <c r="AV46" s="202"/>
      <c r="AW46" s="202"/>
      <c r="AX46" s="202"/>
      <c r="AY46" s="202"/>
      <c r="AZ46" s="202"/>
      <c r="BA46" s="202"/>
      <c r="BB46" s="202"/>
      <c r="BC46" s="202"/>
      <c r="BD46" s="202"/>
      <c r="BE46" s="202"/>
      <c r="BF46" s="202"/>
      <c r="BG46" s="202"/>
      <c r="BH46" s="202"/>
      <c r="BI46" s="202"/>
      <c r="BJ46" s="202"/>
      <c r="BK46" s="202"/>
      <c r="BL46" s="202"/>
      <c r="BM46" s="202"/>
      <c r="BN46" s="202"/>
      <c r="BO46" s="202"/>
      <c r="BP46" s="202"/>
      <c r="BQ46" s="202"/>
      <c r="BR46" s="202"/>
      <c r="BS46" s="202"/>
      <c r="BT46" s="202"/>
      <c r="BU46" s="202"/>
      <c r="BV46" s="202"/>
      <c r="BW46" s="202"/>
      <c r="BX46" s="202"/>
      <c r="BY46" s="202"/>
      <c r="BZ46" s="202"/>
      <c r="CA46" s="202"/>
      <c r="CB46" s="202"/>
      <c r="CC46" s="202"/>
      <c r="CD46" s="202"/>
      <c r="CE46" s="202"/>
      <c r="CF46" s="202"/>
      <c r="CG46" s="202"/>
      <c r="CH46" s="202"/>
      <c r="CI46" s="202"/>
      <c r="CJ46" s="202"/>
      <c r="CK46" s="202"/>
      <c r="CL46" s="202"/>
      <c r="CM46" s="202"/>
      <c r="CN46" s="202"/>
      <c r="CO46" s="202"/>
      <c r="CP46" s="202"/>
      <c r="CQ46" s="202"/>
      <c r="CR46" s="202"/>
      <c r="CS46" s="202"/>
      <c r="CT46" s="202"/>
      <c r="CU46" s="202"/>
      <c r="CV46" s="202"/>
      <c r="CW46" s="202"/>
      <c r="CX46" s="202"/>
      <c r="CY46" s="202"/>
      <c r="CZ46" s="202"/>
      <c r="DA46" s="202"/>
      <c r="DB46" s="202"/>
      <c r="DC46" s="202"/>
      <c r="DD46" s="202"/>
      <c r="DE46" s="202"/>
      <c r="DF46" s="202"/>
      <c r="DG46" s="202"/>
      <c r="DH46" s="202"/>
      <c r="DI46" s="202"/>
      <c r="DJ46" s="202"/>
      <c r="DK46" s="202"/>
      <c r="DL46" s="202"/>
      <c r="DM46" s="202"/>
      <c r="DN46" s="202"/>
      <c r="DO46" s="202"/>
      <c r="DP46" s="202"/>
      <c r="DQ46" s="202"/>
      <c r="DR46" s="202"/>
      <c r="DS46" s="202"/>
      <c r="DT46" s="202"/>
      <c r="DU46" s="202"/>
      <c r="DV46" s="202"/>
      <c r="DW46" s="202"/>
      <c r="DX46" s="202"/>
      <c r="DY46" s="202"/>
      <c r="DZ46" s="202"/>
      <c r="EA46" s="202"/>
      <c r="EB46" s="202"/>
      <c r="EC46" s="202"/>
      <c r="ED46" s="202"/>
      <c r="EE46" s="202"/>
      <c r="EF46" s="202"/>
      <c r="EG46" s="202"/>
      <c r="EH46" s="202"/>
      <c r="EI46" s="202"/>
      <c r="EJ46" s="202"/>
      <c r="EK46" s="202"/>
      <c r="EL46" s="202"/>
      <c r="EM46" s="202"/>
      <c r="EN46" s="202"/>
      <c r="EO46" s="202"/>
      <c r="EP46" s="202"/>
      <c r="EQ46" s="202"/>
      <c r="ER46" s="202"/>
      <c r="ES46" s="202"/>
      <c r="ET46" s="202"/>
      <c r="EU46" s="202"/>
      <c r="EV46" s="202"/>
      <c r="EW46" s="202"/>
      <c r="EX46" s="202"/>
      <c r="EY46" s="202"/>
      <c r="EZ46" s="202"/>
      <c r="FA46" s="202"/>
      <c r="FB46" s="202"/>
      <c r="FC46" s="202"/>
      <c r="FD46" s="202"/>
      <c r="FE46" s="202"/>
      <c r="FF46" s="202"/>
      <c r="FG46" s="202"/>
      <c r="FH46" s="202"/>
      <c r="FI46" s="202"/>
      <c r="FJ46" s="202"/>
      <c r="FK46" s="202"/>
      <c r="FL46" s="202"/>
      <c r="FM46" s="202"/>
      <c r="FN46" s="202"/>
      <c r="FO46" s="202"/>
      <c r="FP46" s="202"/>
      <c r="FQ46" s="202"/>
      <c r="FR46" s="202"/>
      <c r="FS46" s="202"/>
      <c r="FT46" s="202"/>
      <c r="FU46" s="202"/>
      <c r="FV46" s="202"/>
      <c r="FW46" s="202"/>
      <c r="FX46" s="202"/>
      <c r="FY46" s="202"/>
      <c r="FZ46" s="202"/>
      <c r="GA46" s="202"/>
      <c r="GB46" s="202"/>
      <c r="GC46" s="202"/>
      <c r="GD46" s="202"/>
      <c r="GE46" s="202"/>
      <c r="GF46" s="202"/>
      <c r="GG46" s="202"/>
      <c r="GH46" s="202"/>
      <c r="GI46" s="202"/>
      <c r="GJ46" s="202"/>
      <c r="GK46" s="202"/>
      <c r="GL46" s="202"/>
      <c r="GM46" s="202"/>
      <c r="GN46" s="202"/>
      <c r="GO46" s="202"/>
      <c r="GP46" s="202"/>
      <c r="GQ46" s="202"/>
      <c r="GR46" s="202"/>
      <c r="GS46" s="202"/>
      <c r="GT46" s="202"/>
      <c r="GU46" s="202"/>
      <c r="GV46" s="202"/>
      <c r="GW46" s="202"/>
      <c r="GX46" s="202"/>
      <c r="GY46" s="202"/>
      <c r="GZ46" s="202"/>
      <c r="HA46" s="202"/>
      <c r="HB46" s="202"/>
      <c r="HC46" s="202"/>
      <c r="HD46" s="202"/>
      <c r="HE46" s="202"/>
      <c r="HF46" s="202"/>
      <c r="HG46" s="202"/>
      <c r="HH46" s="202"/>
      <c r="HI46" s="202"/>
      <c r="HJ46" s="202"/>
      <c r="HK46" s="202"/>
      <c r="HL46" s="202"/>
      <c r="HM46" s="202"/>
      <c r="HN46" s="202"/>
      <c r="HO46" s="202"/>
      <c r="HP46" s="202"/>
      <c r="HQ46" s="202"/>
      <c r="HR46" s="202"/>
      <c r="HS46" s="202"/>
      <c r="HT46" s="202"/>
      <c r="HU46" s="202"/>
      <c r="HV46" s="202"/>
      <c r="HW46" s="206"/>
      <c r="HX46" s="207"/>
      <c r="HY46" s="207"/>
      <c r="HZ46" s="207"/>
      <c r="IA46" s="207"/>
      <c r="IB46" s="207"/>
      <c r="IC46" s="207"/>
      <c r="ID46" s="207"/>
      <c r="IE46" s="207"/>
      <c r="IF46" s="207"/>
      <c r="IG46" s="207"/>
      <c r="IH46" s="207"/>
      <c r="II46" s="207"/>
      <c r="IJ46" s="207"/>
      <c r="IK46" s="207"/>
      <c r="IL46" s="207"/>
      <c r="IM46" s="207"/>
      <c r="IN46" s="207"/>
      <c r="IO46" s="207"/>
    </row>
    <row r="47" spans="1:249" s="205" customFormat="1">
      <c r="A47" s="202"/>
      <c r="B47" s="280"/>
      <c r="C47" s="297" t="s">
        <v>240</v>
      </c>
      <c r="D47" s="292">
        <f>D46/D41</f>
        <v>0.123</v>
      </c>
      <c r="E47" s="353">
        <v>0.12300000000000001</v>
      </c>
      <c r="F47" s="292">
        <f>D47-E47</f>
        <v>0</v>
      </c>
      <c r="G47" s="291"/>
      <c r="H47" s="298">
        <f>H46/H41</f>
        <v>0.12649007746066884</v>
      </c>
      <c r="I47" s="353">
        <v>0.12647957855027897</v>
      </c>
      <c r="J47" s="292">
        <f>H47-I47</f>
        <v>1.0498910389872274E-5</v>
      </c>
      <c r="K47" s="291"/>
      <c r="L47" s="298">
        <f>L46/L41</f>
        <v>0.12349007746066884</v>
      </c>
      <c r="M47" s="353">
        <v>0.12347957855027897</v>
      </c>
      <c r="N47" s="292">
        <f>L47-M47</f>
        <v>1.0498910389872274E-5</v>
      </c>
      <c r="O47" s="292"/>
      <c r="P47" s="283"/>
      <c r="R47" s="202"/>
      <c r="S47" s="202"/>
      <c r="T47" s="202"/>
      <c r="U47" s="202"/>
      <c r="V47" s="202"/>
      <c r="W47" s="202"/>
      <c r="X47" s="202"/>
      <c r="Y47" s="202"/>
      <c r="Z47" s="202"/>
      <c r="AA47" s="202"/>
      <c r="AB47" s="202"/>
      <c r="AC47" s="202"/>
      <c r="AD47" s="202"/>
      <c r="AE47" s="202"/>
      <c r="AF47" s="202"/>
      <c r="AG47" s="202"/>
      <c r="AH47" s="202"/>
      <c r="AI47" s="202"/>
      <c r="AJ47" s="202"/>
      <c r="AK47" s="202"/>
      <c r="AL47" s="202"/>
      <c r="AM47" s="202"/>
      <c r="AN47" s="202"/>
      <c r="AO47" s="202"/>
      <c r="AP47" s="202"/>
      <c r="AQ47" s="202"/>
      <c r="AR47" s="202"/>
      <c r="AS47" s="202"/>
      <c r="AT47" s="202"/>
      <c r="AU47" s="202"/>
      <c r="AV47" s="202"/>
      <c r="AW47" s="202"/>
      <c r="AX47" s="202"/>
      <c r="AY47" s="202"/>
      <c r="AZ47" s="202"/>
      <c r="BA47" s="202"/>
      <c r="BB47" s="202"/>
      <c r="BC47" s="202"/>
      <c r="BD47" s="202"/>
      <c r="BE47" s="202"/>
      <c r="BF47" s="202"/>
      <c r="BG47" s="202"/>
      <c r="BH47" s="202"/>
      <c r="BI47" s="202"/>
      <c r="BJ47" s="202"/>
      <c r="BK47" s="202"/>
      <c r="BL47" s="202"/>
      <c r="BM47" s="202"/>
      <c r="BN47" s="202"/>
      <c r="BO47" s="202"/>
      <c r="BP47" s="202"/>
      <c r="BQ47" s="202"/>
      <c r="BR47" s="202"/>
      <c r="BS47" s="202"/>
      <c r="BT47" s="202"/>
      <c r="BU47" s="202"/>
      <c r="BV47" s="202"/>
      <c r="BW47" s="202"/>
      <c r="BX47" s="202"/>
      <c r="BY47" s="202"/>
      <c r="BZ47" s="202"/>
      <c r="CA47" s="202"/>
      <c r="CB47" s="202"/>
      <c r="CC47" s="202"/>
      <c r="CD47" s="202"/>
      <c r="CE47" s="202"/>
      <c r="CF47" s="202"/>
      <c r="CG47" s="202"/>
      <c r="CH47" s="202"/>
      <c r="CI47" s="202"/>
      <c r="CJ47" s="202"/>
      <c r="CK47" s="202"/>
      <c r="CL47" s="202"/>
      <c r="CM47" s="202"/>
      <c r="CN47" s="202"/>
      <c r="CO47" s="202"/>
      <c r="CP47" s="202"/>
      <c r="CQ47" s="202"/>
      <c r="CR47" s="202"/>
      <c r="CS47" s="202"/>
      <c r="CT47" s="202"/>
      <c r="CU47" s="202"/>
      <c r="CV47" s="202"/>
      <c r="CW47" s="202"/>
      <c r="CX47" s="202"/>
      <c r="CY47" s="202"/>
      <c r="CZ47" s="202"/>
      <c r="DA47" s="202"/>
      <c r="DB47" s="202"/>
      <c r="DC47" s="202"/>
      <c r="DD47" s="202"/>
      <c r="DE47" s="202"/>
      <c r="DF47" s="202"/>
      <c r="DG47" s="202"/>
      <c r="DH47" s="202"/>
      <c r="DI47" s="202"/>
      <c r="DJ47" s="202"/>
      <c r="DK47" s="202"/>
      <c r="DL47" s="202"/>
      <c r="DM47" s="202"/>
      <c r="DN47" s="202"/>
      <c r="DO47" s="202"/>
      <c r="DP47" s="202"/>
      <c r="DQ47" s="202"/>
      <c r="DR47" s="202"/>
      <c r="DS47" s="202"/>
      <c r="DT47" s="202"/>
      <c r="DU47" s="202"/>
      <c r="DV47" s="202"/>
      <c r="DW47" s="202"/>
      <c r="DX47" s="202"/>
      <c r="DY47" s="202"/>
      <c r="DZ47" s="202"/>
      <c r="EA47" s="202"/>
      <c r="EB47" s="202"/>
      <c r="EC47" s="202"/>
      <c r="ED47" s="202"/>
      <c r="EE47" s="202"/>
      <c r="EF47" s="202"/>
      <c r="EG47" s="202"/>
      <c r="EH47" s="202"/>
      <c r="EI47" s="202"/>
      <c r="EJ47" s="202"/>
      <c r="EK47" s="202"/>
      <c r="EL47" s="202"/>
      <c r="EM47" s="202"/>
      <c r="EN47" s="202"/>
      <c r="EO47" s="202"/>
      <c r="EP47" s="202"/>
      <c r="EQ47" s="202"/>
      <c r="ER47" s="202"/>
      <c r="ES47" s="202"/>
      <c r="ET47" s="202"/>
      <c r="EU47" s="202"/>
      <c r="EV47" s="202"/>
      <c r="EW47" s="202"/>
      <c r="EX47" s="202"/>
      <c r="EY47" s="202"/>
      <c r="EZ47" s="202"/>
      <c r="FA47" s="202"/>
      <c r="FB47" s="202"/>
      <c r="FC47" s="202"/>
      <c r="FD47" s="202"/>
      <c r="FE47" s="202"/>
      <c r="FF47" s="202"/>
      <c r="FG47" s="202"/>
      <c r="FH47" s="202"/>
      <c r="FI47" s="202"/>
      <c r="FJ47" s="202"/>
      <c r="FK47" s="202"/>
      <c r="FL47" s="202"/>
      <c r="FM47" s="202"/>
      <c r="FN47" s="202"/>
      <c r="FO47" s="202"/>
      <c r="FP47" s="202"/>
      <c r="FQ47" s="202"/>
      <c r="FR47" s="202"/>
      <c r="FS47" s="202"/>
      <c r="FT47" s="202"/>
      <c r="FU47" s="202"/>
      <c r="FV47" s="202"/>
      <c r="FW47" s="202"/>
      <c r="FX47" s="202"/>
      <c r="FY47" s="202"/>
      <c r="FZ47" s="202"/>
      <c r="GA47" s="202"/>
      <c r="GB47" s="202"/>
      <c r="GC47" s="202"/>
      <c r="GD47" s="202"/>
      <c r="GE47" s="202"/>
      <c r="GF47" s="202"/>
      <c r="GG47" s="202"/>
      <c r="GH47" s="202"/>
      <c r="GI47" s="202"/>
      <c r="GJ47" s="202"/>
      <c r="GK47" s="202"/>
      <c r="GL47" s="202"/>
      <c r="GM47" s="202"/>
      <c r="GN47" s="202"/>
      <c r="GO47" s="202"/>
      <c r="GP47" s="202"/>
      <c r="GQ47" s="202"/>
      <c r="GR47" s="202"/>
      <c r="GS47" s="202"/>
      <c r="GT47" s="202"/>
      <c r="GU47" s="202"/>
      <c r="GV47" s="202"/>
      <c r="GW47" s="202"/>
      <c r="GX47" s="202"/>
      <c r="GY47" s="202"/>
      <c r="GZ47" s="202"/>
      <c r="HA47" s="202"/>
      <c r="HB47" s="202"/>
      <c r="HC47" s="202"/>
      <c r="HD47" s="202"/>
      <c r="HE47" s="202"/>
      <c r="HF47" s="202"/>
      <c r="HG47" s="202"/>
      <c r="HH47" s="202"/>
      <c r="HI47" s="202"/>
      <c r="HJ47" s="202"/>
      <c r="HK47" s="202"/>
      <c r="HL47" s="202"/>
      <c r="HM47" s="202"/>
      <c r="HN47" s="202"/>
      <c r="HO47" s="202"/>
      <c r="HP47" s="202"/>
      <c r="HQ47" s="202"/>
      <c r="HR47" s="202"/>
      <c r="HS47" s="202"/>
      <c r="HT47" s="202"/>
      <c r="HU47" s="202"/>
      <c r="HV47" s="202"/>
      <c r="HW47" s="206"/>
      <c r="HX47" s="207"/>
      <c r="HY47" s="207"/>
      <c r="HZ47" s="207"/>
      <c r="IA47" s="207"/>
      <c r="IB47" s="207"/>
      <c r="IC47" s="207"/>
      <c r="ID47" s="207"/>
      <c r="IE47" s="207"/>
      <c r="IF47" s="207"/>
      <c r="IG47" s="207"/>
      <c r="IH47" s="207"/>
      <c r="II47" s="207"/>
      <c r="IJ47" s="207"/>
      <c r="IK47" s="207"/>
      <c r="IL47" s="207"/>
      <c r="IM47" s="207"/>
      <c r="IN47" s="207"/>
      <c r="IO47" s="207"/>
    </row>
    <row r="48" spans="1:249" s="205" customFormat="1" ht="15.75" thickBot="1">
      <c r="A48" s="202"/>
      <c r="B48" s="299"/>
      <c r="C48" s="300"/>
      <c r="D48" s="300"/>
      <c r="E48" s="300"/>
      <c r="F48" s="300"/>
      <c r="G48" s="300"/>
      <c r="H48" s="300"/>
      <c r="I48" s="300"/>
      <c r="J48" s="300"/>
      <c r="K48" s="300"/>
      <c r="L48" s="300"/>
      <c r="M48" s="300"/>
      <c r="N48" s="300"/>
      <c r="O48" s="300"/>
      <c r="P48" s="301"/>
      <c r="R48" s="202"/>
      <c r="S48" s="202"/>
      <c r="T48" s="202"/>
      <c r="U48" s="202"/>
      <c r="V48" s="202"/>
      <c r="W48" s="202"/>
      <c r="X48" s="202"/>
      <c r="Y48" s="202"/>
      <c r="Z48" s="202"/>
      <c r="AA48" s="202"/>
      <c r="AB48" s="202"/>
      <c r="AC48" s="202"/>
      <c r="AD48" s="202"/>
      <c r="AE48" s="202"/>
      <c r="AF48" s="202"/>
      <c r="AG48" s="202"/>
      <c r="AH48" s="202"/>
      <c r="AI48" s="202"/>
      <c r="AJ48" s="202"/>
      <c r="AK48" s="202"/>
      <c r="AL48" s="202"/>
      <c r="AM48" s="202"/>
      <c r="AN48" s="202"/>
      <c r="AO48" s="202"/>
      <c r="AP48" s="202"/>
      <c r="AQ48" s="202"/>
      <c r="AR48" s="202"/>
      <c r="AS48" s="202"/>
      <c r="AT48" s="202"/>
      <c r="AU48" s="202"/>
      <c r="AV48" s="202"/>
      <c r="AW48" s="202"/>
      <c r="AX48" s="202"/>
      <c r="AY48" s="202"/>
      <c r="AZ48" s="202"/>
      <c r="BA48" s="202"/>
      <c r="BB48" s="202"/>
      <c r="BC48" s="202"/>
      <c r="BD48" s="202"/>
      <c r="BE48" s="202"/>
      <c r="BF48" s="202"/>
      <c r="BG48" s="202"/>
      <c r="BH48" s="202"/>
      <c r="BI48" s="202"/>
      <c r="BJ48" s="202"/>
      <c r="BK48" s="202"/>
      <c r="BL48" s="202"/>
      <c r="BM48" s="202"/>
      <c r="BN48" s="202"/>
      <c r="BO48" s="202"/>
      <c r="BP48" s="202"/>
      <c r="BQ48" s="202"/>
      <c r="BR48" s="202"/>
      <c r="BS48" s="202"/>
      <c r="BT48" s="202"/>
      <c r="BU48" s="202"/>
      <c r="BV48" s="202"/>
      <c r="BW48" s="202"/>
      <c r="BX48" s="202"/>
      <c r="BY48" s="202"/>
      <c r="BZ48" s="202"/>
      <c r="CA48" s="202"/>
      <c r="CB48" s="202"/>
      <c r="CC48" s="202"/>
      <c r="CD48" s="202"/>
      <c r="CE48" s="202"/>
      <c r="CF48" s="202"/>
      <c r="CG48" s="202"/>
      <c r="CH48" s="202"/>
      <c r="CI48" s="202"/>
      <c r="CJ48" s="202"/>
      <c r="CK48" s="202"/>
      <c r="CL48" s="202"/>
      <c r="CM48" s="202"/>
      <c r="CN48" s="202"/>
      <c r="CO48" s="202"/>
      <c r="CP48" s="202"/>
      <c r="CQ48" s="202"/>
      <c r="CR48" s="202"/>
      <c r="CS48" s="202"/>
      <c r="CT48" s="202"/>
      <c r="CU48" s="202"/>
      <c r="CV48" s="202"/>
      <c r="CW48" s="202"/>
      <c r="CX48" s="202"/>
      <c r="CY48" s="202"/>
      <c r="CZ48" s="202"/>
      <c r="DA48" s="202"/>
      <c r="DB48" s="202"/>
      <c r="DC48" s="202"/>
      <c r="DD48" s="202"/>
      <c r="DE48" s="202"/>
      <c r="DF48" s="202"/>
      <c r="DG48" s="202"/>
      <c r="DH48" s="202"/>
      <c r="DI48" s="202"/>
      <c r="DJ48" s="202"/>
      <c r="DK48" s="202"/>
      <c r="DL48" s="202"/>
      <c r="DM48" s="202"/>
      <c r="DN48" s="202"/>
      <c r="DO48" s="202"/>
      <c r="DP48" s="202"/>
      <c r="DQ48" s="202"/>
      <c r="DR48" s="202"/>
      <c r="DS48" s="202"/>
      <c r="DT48" s="202"/>
      <c r="DU48" s="202"/>
      <c r="DV48" s="202"/>
      <c r="DW48" s="202"/>
      <c r="DX48" s="202"/>
      <c r="DY48" s="202"/>
      <c r="DZ48" s="202"/>
      <c r="EA48" s="202"/>
      <c r="EB48" s="202"/>
      <c r="EC48" s="202"/>
      <c r="ED48" s="202"/>
      <c r="EE48" s="202"/>
      <c r="EF48" s="202"/>
      <c r="EG48" s="202"/>
      <c r="EH48" s="202"/>
      <c r="EI48" s="202"/>
      <c r="EJ48" s="202"/>
      <c r="EK48" s="202"/>
      <c r="EL48" s="202"/>
      <c r="EM48" s="202"/>
      <c r="EN48" s="202"/>
      <c r="EO48" s="202"/>
      <c r="EP48" s="202"/>
      <c r="EQ48" s="202"/>
      <c r="ER48" s="202"/>
      <c r="ES48" s="202"/>
      <c r="ET48" s="202"/>
      <c r="EU48" s="202"/>
      <c r="EV48" s="202"/>
      <c r="EW48" s="202"/>
      <c r="EX48" s="202"/>
      <c r="EY48" s="202"/>
      <c r="EZ48" s="202"/>
      <c r="FA48" s="202"/>
      <c r="FB48" s="202"/>
      <c r="FC48" s="202"/>
      <c r="FD48" s="202"/>
      <c r="FE48" s="202"/>
      <c r="FF48" s="202"/>
      <c r="FG48" s="202"/>
      <c r="FH48" s="202"/>
      <c r="FI48" s="202"/>
      <c r="FJ48" s="202"/>
      <c r="FK48" s="202"/>
      <c r="FL48" s="202"/>
      <c r="FM48" s="202"/>
      <c r="FN48" s="202"/>
      <c r="FO48" s="202"/>
      <c r="FP48" s="202"/>
      <c r="FQ48" s="202"/>
      <c r="FR48" s="202"/>
      <c r="FS48" s="202"/>
      <c r="FT48" s="202"/>
      <c r="FU48" s="202"/>
      <c r="FV48" s="202"/>
      <c r="FW48" s="202"/>
      <c r="FX48" s="202"/>
      <c r="FY48" s="202"/>
      <c r="FZ48" s="202"/>
      <c r="GA48" s="202"/>
      <c r="GB48" s="202"/>
      <c r="GC48" s="202"/>
      <c r="GD48" s="202"/>
      <c r="GE48" s="202"/>
      <c r="GF48" s="202"/>
      <c r="GG48" s="202"/>
      <c r="GH48" s="202"/>
      <c r="GI48" s="202"/>
      <c r="GJ48" s="202"/>
      <c r="GK48" s="202"/>
      <c r="GL48" s="202"/>
      <c r="GM48" s="202"/>
      <c r="GN48" s="202"/>
      <c r="GO48" s="202"/>
      <c r="GP48" s="202"/>
      <c r="GQ48" s="202"/>
      <c r="GR48" s="202"/>
      <c r="GS48" s="202"/>
      <c r="GT48" s="202"/>
      <c r="GU48" s="202"/>
      <c r="GV48" s="202"/>
      <c r="GW48" s="202"/>
      <c r="GX48" s="202"/>
      <c r="GY48" s="202"/>
      <c r="GZ48" s="202"/>
      <c r="HA48" s="202"/>
      <c r="HB48" s="202"/>
      <c r="HC48" s="202"/>
      <c r="HD48" s="202"/>
      <c r="HE48" s="202"/>
      <c r="HF48" s="202"/>
      <c r="HG48" s="202"/>
      <c r="HH48" s="202"/>
      <c r="HI48" s="202"/>
      <c r="HJ48" s="202"/>
      <c r="HK48" s="202"/>
      <c r="HL48" s="202"/>
      <c r="HM48" s="202"/>
      <c r="HN48" s="202"/>
      <c r="HO48" s="202"/>
      <c r="HP48" s="202"/>
      <c r="HQ48" s="202"/>
      <c r="HR48" s="202"/>
      <c r="HS48" s="202"/>
      <c r="HT48" s="202"/>
      <c r="HU48" s="202"/>
      <c r="HV48" s="202"/>
      <c r="HW48" s="206"/>
      <c r="HX48" s="207"/>
      <c r="HY48" s="207"/>
      <c r="HZ48" s="207"/>
      <c r="IA48" s="207"/>
      <c r="IB48" s="207"/>
      <c r="IC48" s="207"/>
      <c r="ID48" s="207"/>
      <c r="IE48" s="207"/>
      <c r="IF48" s="207"/>
      <c r="IG48" s="207"/>
      <c r="IH48" s="207"/>
      <c r="II48" s="207"/>
      <c r="IJ48" s="207"/>
      <c r="IK48" s="207"/>
      <c r="IL48" s="207"/>
      <c r="IM48" s="207"/>
      <c r="IN48" s="207"/>
      <c r="IO48" s="207"/>
    </row>
    <row r="49" spans="1:249" s="205" customFormat="1">
      <c r="A49" s="202"/>
      <c r="B49" s="202"/>
      <c r="C49" s="204"/>
      <c r="D49" s="204"/>
      <c r="E49" s="204"/>
      <c r="F49" s="204"/>
      <c r="G49" s="204"/>
      <c r="H49" s="204"/>
      <c r="I49" s="204"/>
      <c r="J49" s="204"/>
      <c r="K49" s="204"/>
      <c r="L49" s="204"/>
      <c r="M49" s="204"/>
      <c r="N49" s="204"/>
      <c r="O49" s="204"/>
      <c r="P49" s="204"/>
      <c r="R49" s="202"/>
      <c r="S49" s="202"/>
      <c r="T49" s="202"/>
      <c r="U49" s="202"/>
      <c r="V49" s="202"/>
      <c r="W49" s="202"/>
      <c r="X49" s="202"/>
      <c r="Y49" s="202"/>
      <c r="Z49" s="202"/>
      <c r="AA49" s="202"/>
      <c r="AB49" s="202"/>
      <c r="AC49" s="202"/>
      <c r="AD49" s="202"/>
      <c r="AE49" s="202"/>
      <c r="AF49" s="202"/>
      <c r="AG49" s="202"/>
      <c r="AH49" s="202"/>
      <c r="AI49" s="202"/>
      <c r="AJ49" s="202"/>
      <c r="AK49" s="202"/>
      <c r="AL49" s="202"/>
      <c r="AM49" s="202"/>
      <c r="AN49" s="202"/>
      <c r="AO49" s="202"/>
      <c r="AP49" s="202"/>
      <c r="AQ49" s="202"/>
      <c r="AR49" s="202"/>
      <c r="AS49" s="202"/>
      <c r="AT49" s="202"/>
      <c r="AU49" s="202"/>
      <c r="AV49" s="202"/>
      <c r="AW49" s="202"/>
      <c r="AX49" s="202"/>
      <c r="AY49" s="202"/>
      <c r="AZ49" s="202"/>
      <c r="BA49" s="202"/>
      <c r="BB49" s="202"/>
      <c r="BC49" s="202"/>
      <c r="BD49" s="202"/>
      <c r="BE49" s="202"/>
      <c r="BF49" s="202"/>
      <c r="BG49" s="202"/>
      <c r="BH49" s="202"/>
      <c r="BI49" s="202"/>
      <c r="BJ49" s="202"/>
      <c r="BK49" s="202"/>
      <c r="BL49" s="202"/>
      <c r="BM49" s="202"/>
      <c r="BN49" s="202"/>
      <c r="BO49" s="202"/>
      <c r="BP49" s="202"/>
      <c r="BQ49" s="202"/>
      <c r="BR49" s="202"/>
      <c r="BS49" s="202"/>
      <c r="BT49" s="202"/>
      <c r="BU49" s="202"/>
      <c r="BV49" s="202"/>
      <c r="BW49" s="202"/>
      <c r="BX49" s="202"/>
      <c r="BY49" s="202"/>
      <c r="BZ49" s="202"/>
      <c r="CA49" s="202"/>
      <c r="CB49" s="202"/>
      <c r="CC49" s="202"/>
      <c r="CD49" s="202"/>
      <c r="CE49" s="202"/>
      <c r="CF49" s="202"/>
      <c r="CG49" s="202"/>
      <c r="CH49" s="202"/>
      <c r="CI49" s="202"/>
      <c r="CJ49" s="202"/>
      <c r="CK49" s="202"/>
      <c r="CL49" s="202"/>
      <c r="CM49" s="202"/>
      <c r="CN49" s="202"/>
      <c r="CO49" s="202"/>
      <c r="CP49" s="202"/>
      <c r="CQ49" s="202"/>
      <c r="CR49" s="202"/>
      <c r="CS49" s="202"/>
      <c r="CT49" s="202"/>
      <c r="CU49" s="202"/>
      <c r="CV49" s="202"/>
      <c r="CW49" s="202"/>
      <c r="CX49" s="202"/>
      <c r="CY49" s="202"/>
      <c r="CZ49" s="202"/>
      <c r="DA49" s="202"/>
      <c r="DB49" s="202"/>
      <c r="DC49" s="202"/>
      <c r="DD49" s="202"/>
      <c r="DE49" s="202"/>
      <c r="DF49" s="202"/>
      <c r="DG49" s="202"/>
      <c r="DH49" s="202"/>
      <c r="DI49" s="202"/>
      <c r="DJ49" s="202"/>
      <c r="DK49" s="202"/>
      <c r="DL49" s="202"/>
      <c r="DM49" s="202"/>
      <c r="DN49" s="202"/>
      <c r="DO49" s="202"/>
      <c r="DP49" s="202"/>
      <c r="DQ49" s="202"/>
      <c r="DR49" s="202"/>
      <c r="DS49" s="202"/>
      <c r="DT49" s="202"/>
      <c r="DU49" s="202"/>
      <c r="DV49" s="202"/>
      <c r="DW49" s="202"/>
      <c r="DX49" s="202"/>
      <c r="DY49" s="202"/>
      <c r="DZ49" s="202"/>
      <c r="EA49" s="202"/>
      <c r="EB49" s="202"/>
      <c r="EC49" s="202"/>
      <c r="ED49" s="202"/>
      <c r="EE49" s="202"/>
      <c r="EF49" s="202"/>
      <c r="EG49" s="202"/>
      <c r="EH49" s="202"/>
      <c r="EI49" s="202"/>
      <c r="EJ49" s="202"/>
      <c r="EK49" s="202"/>
      <c r="EL49" s="202"/>
      <c r="EM49" s="202"/>
      <c r="EN49" s="202"/>
      <c r="EO49" s="202"/>
      <c r="EP49" s="202"/>
      <c r="EQ49" s="202"/>
      <c r="ER49" s="202"/>
      <c r="ES49" s="202"/>
      <c r="ET49" s="202"/>
      <c r="EU49" s="202"/>
      <c r="EV49" s="202"/>
      <c r="EW49" s="202"/>
      <c r="EX49" s="202"/>
      <c r="EY49" s="202"/>
      <c r="EZ49" s="202"/>
      <c r="FA49" s="202"/>
      <c r="FB49" s="202"/>
      <c r="FC49" s="202"/>
      <c r="FD49" s="202"/>
      <c r="FE49" s="202"/>
      <c r="FF49" s="202"/>
      <c r="FG49" s="202"/>
      <c r="FH49" s="202"/>
      <c r="FI49" s="202"/>
      <c r="FJ49" s="202"/>
      <c r="FK49" s="202"/>
      <c r="FL49" s="202"/>
      <c r="FM49" s="202"/>
      <c r="FN49" s="202"/>
      <c r="FO49" s="202"/>
      <c r="FP49" s="202"/>
      <c r="FQ49" s="202"/>
      <c r="FR49" s="202"/>
      <c r="FS49" s="202"/>
      <c r="FT49" s="202"/>
      <c r="FU49" s="202"/>
      <c r="FV49" s="202"/>
      <c r="FW49" s="202"/>
      <c r="FX49" s="202"/>
      <c r="FY49" s="202"/>
      <c r="FZ49" s="202"/>
      <c r="GA49" s="202"/>
      <c r="GB49" s="202"/>
      <c r="GC49" s="202"/>
      <c r="GD49" s="202"/>
      <c r="GE49" s="202"/>
      <c r="GF49" s="202"/>
      <c r="GG49" s="202"/>
      <c r="GH49" s="202"/>
      <c r="GI49" s="202"/>
      <c r="GJ49" s="202"/>
      <c r="GK49" s="202"/>
      <c r="GL49" s="202"/>
      <c r="GM49" s="202"/>
      <c r="GN49" s="202"/>
      <c r="GO49" s="202"/>
      <c r="GP49" s="202"/>
      <c r="GQ49" s="202"/>
      <c r="GR49" s="202"/>
      <c r="GS49" s="202"/>
      <c r="GT49" s="202"/>
      <c r="GU49" s="202"/>
      <c r="GV49" s="202"/>
      <c r="GW49" s="202"/>
      <c r="GX49" s="202"/>
      <c r="GY49" s="202"/>
      <c r="GZ49" s="202"/>
      <c r="HA49" s="202"/>
      <c r="HB49" s="202"/>
      <c r="HC49" s="202"/>
      <c r="HD49" s="202"/>
      <c r="HE49" s="202"/>
      <c r="HF49" s="202"/>
      <c r="HG49" s="202"/>
      <c r="HH49" s="202"/>
      <c r="HI49" s="202"/>
      <c r="HJ49" s="202"/>
      <c r="HK49" s="202"/>
      <c r="HL49" s="202"/>
      <c r="HM49" s="202"/>
      <c r="HN49" s="202"/>
      <c r="HO49" s="202"/>
      <c r="HP49" s="202"/>
      <c r="HQ49" s="202"/>
      <c r="HR49" s="202"/>
      <c r="HS49" s="202"/>
      <c r="HT49" s="202"/>
      <c r="HU49" s="202"/>
      <c r="HV49" s="202"/>
      <c r="HW49" s="206"/>
      <c r="HX49" s="207"/>
      <c r="HY49" s="207"/>
      <c r="HZ49" s="207"/>
      <c r="IA49" s="207"/>
      <c r="IB49" s="207"/>
      <c r="IC49" s="207"/>
      <c r="ID49" s="207"/>
      <c r="IE49" s="207"/>
      <c r="IF49" s="207"/>
      <c r="IG49" s="207"/>
      <c r="IH49" s="207"/>
      <c r="II49" s="207"/>
      <c r="IJ49" s="207"/>
      <c r="IK49" s="207"/>
      <c r="IL49" s="207"/>
      <c r="IM49" s="207"/>
      <c r="IN49" s="207"/>
      <c r="IO49" s="207"/>
    </row>
    <row r="50" spans="1:249" s="205" customFormat="1">
      <c r="A50" s="202"/>
      <c r="B50" s="202"/>
      <c r="C50" s="204"/>
      <c r="D50" s="204"/>
      <c r="E50" s="204"/>
      <c r="F50" s="204"/>
      <c r="G50" s="204"/>
      <c r="H50" s="204"/>
      <c r="I50" s="204"/>
      <c r="J50" s="204"/>
      <c r="K50" s="204"/>
      <c r="L50" s="204"/>
      <c r="M50" s="204"/>
      <c r="N50" s="204"/>
      <c r="O50" s="204"/>
      <c r="P50" s="204"/>
      <c r="R50" s="202"/>
      <c r="S50" s="202"/>
      <c r="T50" s="202"/>
      <c r="U50" s="202"/>
      <c r="V50" s="202"/>
      <c r="W50" s="202"/>
      <c r="X50" s="202"/>
      <c r="Y50" s="202"/>
      <c r="Z50" s="202"/>
      <c r="AA50" s="202"/>
      <c r="AB50" s="202"/>
      <c r="AC50" s="202"/>
      <c r="AD50" s="202"/>
      <c r="AE50" s="202"/>
      <c r="AF50" s="202"/>
      <c r="AG50" s="202"/>
      <c r="AH50" s="202"/>
      <c r="AI50" s="202"/>
      <c r="AJ50" s="202"/>
      <c r="AK50" s="202"/>
      <c r="AL50" s="202"/>
      <c r="AM50" s="202"/>
      <c r="AN50" s="202"/>
      <c r="AO50" s="202"/>
      <c r="AP50" s="202"/>
      <c r="AQ50" s="202"/>
      <c r="AR50" s="202"/>
      <c r="AS50" s="202"/>
      <c r="AT50" s="202"/>
      <c r="AU50" s="202"/>
      <c r="AV50" s="202"/>
      <c r="AW50" s="202"/>
      <c r="AX50" s="202"/>
      <c r="AY50" s="202"/>
      <c r="AZ50" s="202"/>
      <c r="BA50" s="202"/>
      <c r="BB50" s="202"/>
      <c r="BC50" s="202"/>
      <c r="BD50" s="202"/>
      <c r="BE50" s="202"/>
      <c r="BF50" s="202"/>
      <c r="BG50" s="202"/>
      <c r="BH50" s="202"/>
      <c r="BI50" s="202"/>
      <c r="BJ50" s="202"/>
      <c r="BK50" s="202"/>
      <c r="BL50" s="202"/>
      <c r="BM50" s="202"/>
      <c r="BN50" s="202"/>
      <c r="BO50" s="202"/>
      <c r="BP50" s="202"/>
      <c r="BQ50" s="202"/>
      <c r="BR50" s="202"/>
      <c r="BS50" s="202"/>
      <c r="BT50" s="202"/>
      <c r="BU50" s="202"/>
      <c r="BV50" s="202"/>
      <c r="BW50" s="202"/>
      <c r="BX50" s="202"/>
      <c r="BY50" s="202"/>
      <c r="BZ50" s="202"/>
      <c r="CA50" s="202"/>
      <c r="CB50" s="202"/>
      <c r="CC50" s="202"/>
      <c r="CD50" s="202"/>
      <c r="CE50" s="202"/>
      <c r="CF50" s="202"/>
      <c r="CG50" s="202"/>
      <c r="CH50" s="202"/>
      <c r="CI50" s="202"/>
      <c r="CJ50" s="202"/>
      <c r="CK50" s="202"/>
      <c r="CL50" s="202"/>
      <c r="CM50" s="202"/>
      <c r="CN50" s="202"/>
      <c r="CO50" s="202"/>
      <c r="CP50" s="202"/>
      <c r="CQ50" s="202"/>
      <c r="CR50" s="202"/>
      <c r="CS50" s="202"/>
      <c r="CT50" s="202"/>
      <c r="CU50" s="202"/>
      <c r="CV50" s="202"/>
      <c r="CW50" s="202"/>
      <c r="CX50" s="202"/>
      <c r="CY50" s="202"/>
      <c r="CZ50" s="202"/>
      <c r="DA50" s="202"/>
      <c r="DB50" s="202"/>
      <c r="DC50" s="202"/>
      <c r="DD50" s="202"/>
      <c r="DE50" s="202"/>
      <c r="DF50" s="202"/>
      <c r="DG50" s="202"/>
      <c r="DH50" s="202"/>
      <c r="DI50" s="202"/>
      <c r="DJ50" s="202"/>
      <c r="DK50" s="202"/>
      <c r="DL50" s="202"/>
      <c r="DM50" s="202"/>
      <c r="DN50" s="202"/>
      <c r="DO50" s="202"/>
      <c r="DP50" s="202"/>
      <c r="DQ50" s="202"/>
      <c r="DR50" s="202"/>
      <c r="DS50" s="202"/>
      <c r="DT50" s="202"/>
      <c r="DU50" s="202"/>
      <c r="DV50" s="202"/>
      <c r="DW50" s="202"/>
      <c r="DX50" s="202"/>
      <c r="DY50" s="202"/>
      <c r="DZ50" s="202"/>
      <c r="EA50" s="202"/>
      <c r="EB50" s="202"/>
      <c r="EC50" s="202"/>
      <c r="ED50" s="202"/>
      <c r="EE50" s="202"/>
      <c r="EF50" s="202"/>
      <c r="EG50" s="202"/>
      <c r="EH50" s="202"/>
      <c r="EI50" s="202"/>
      <c r="EJ50" s="202"/>
      <c r="EK50" s="202"/>
      <c r="EL50" s="202"/>
      <c r="EM50" s="202"/>
      <c r="EN50" s="202"/>
      <c r="EO50" s="202"/>
      <c r="EP50" s="202"/>
      <c r="EQ50" s="202"/>
      <c r="ER50" s="202"/>
      <c r="ES50" s="202"/>
      <c r="ET50" s="202"/>
      <c r="EU50" s="202"/>
      <c r="EV50" s="202"/>
      <c r="EW50" s="202"/>
      <c r="EX50" s="202"/>
      <c r="EY50" s="202"/>
      <c r="EZ50" s="202"/>
      <c r="FA50" s="202"/>
      <c r="FB50" s="202"/>
      <c r="FC50" s="202"/>
      <c r="FD50" s="202"/>
      <c r="FE50" s="202"/>
      <c r="FF50" s="202"/>
      <c r="FG50" s="202"/>
      <c r="FH50" s="202"/>
      <c r="FI50" s="202"/>
      <c r="FJ50" s="202"/>
      <c r="FK50" s="202"/>
      <c r="FL50" s="202"/>
      <c r="FM50" s="202"/>
      <c r="FN50" s="202"/>
      <c r="FO50" s="202"/>
      <c r="FP50" s="202"/>
      <c r="FQ50" s="202"/>
      <c r="FR50" s="202"/>
      <c r="FS50" s="202"/>
      <c r="FT50" s="202"/>
      <c r="FU50" s="202"/>
      <c r="FV50" s="202"/>
      <c r="FW50" s="202"/>
      <c r="FX50" s="202"/>
      <c r="FY50" s="202"/>
      <c r="FZ50" s="202"/>
      <c r="GA50" s="202"/>
      <c r="GB50" s="202"/>
      <c r="GC50" s="202"/>
      <c r="GD50" s="202"/>
      <c r="GE50" s="202"/>
      <c r="GF50" s="202"/>
      <c r="GG50" s="202"/>
      <c r="GH50" s="202"/>
      <c r="GI50" s="202"/>
      <c r="GJ50" s="202"/>
      <c r="GK50" s="202"/>
      <c r="GL50" s="202"/>
      <c r="GM50" s="202"/>
      <c r="GN50" s="202"/>
      <c r="GO50" s="202"/>
      <c r="GP50" s="202"/>
      <c r="GQ50" s="202"/>
      <c r="GR50" s="202"/>
      <c r="GS50" s="202"/>
      <c r="GT50" s="202"/>
      <c r="GU50" s="202"/>
      <c r="GV50" s="202"/>
      <c r="GW50" s="202"/>
      <c r="GX50" s="202"/>
      <c r="GY50" s="202"/>
      <c r="GZ50" s="202"/>
      <c r="HA50" s="202"/>
      <c r="HB50" s="202"/>
      <c r="HC50" s="202"/>
      <c r="HD50" s="202"/>
      <c r="HE50" s="202"/>
      <c r="HF50" s="202"/>
      <c r="HG50" s="202"/>
      <c r="HH50" s="202"/>
      <c r="HI50" s="202"/>
      <c r="HJ50" s="202"/>
      <c r="HK50" s="202"/>
      <c r="HL50" s="202"/>
      <c r="HM50" s="202"/>
      <c r="HN50" s="202"/>
      <c r="HO50" s="202"/>
      <c r="HP50" s="202"/>
      <c r="HQ50" s="202"/>
      <c r="HR50" s="202"/>
      <c r="HS50" s="202"/>
      <c r="HT50" s="202"/>
      <c r="HU50" s="202"/>
      <c r="HV50" s="202"/>
      <c r="HW50" s="206"/>
      <c r="HX50" s="207"/>
      <c r="HY50" s="207"/>
      <c r="HZ50" s="207"/>
      <c r="IA50" s="207"/>
      <c r="IB50" s="207"/>
      <c r="IC50" s="207"/>
      <c r="ID50" s="207"/>
      <c r="IE50" s="207"/>
      <c r="IF50" s="207"/>
      <c r="IG50" s="207"/>
      <c r="IH50" s="207"/>
      <c r="II50" s="207"/>
      <c r="IJ50" s="207"/>
      <c r="IK50" s="207"/>
      <c r="IL50" s="207"/>
      <c r="IM50" s="207"/>
      <c r="IN50" s="207"/>
      <c r="IO50" s="207"/>
    </row>
  </sheetData>
  <conditionalFormatting sqref="J11 J14 J17 J24 J45 J47">
    <cfRule type="cellIs" dxfId="49" priority="15" stopIfTrue="1" operator="lessThan">
      <formula>0</formula>
    </cfRule>
  </conditionalFormatting>
  <conditionalFormatting sqref="N11 N14 N17 N24 N45 N47">
    <cfRule type="cellIs" dxfId="48" priority="14" stopIfTrue="1" operator="lessThan">
      <formula>0</formula>
    </cfRule>
  </conditionalFormatting>
  <conditionalFormatting sqref="K1:K9 K38:K65536 K31:K36">
    <cfRule type="cellIs" dxfId="47" priority="11" stopIfTrue="1" operator="lessThan">
      <formula>0</formula>
    </cfRule>
  </conditionalFormatting>
  <conditionalFormatting sqref="K37">
    <cfRule type="cellIs" dxfId="46" priority="10" stopIfTrue="1" operator="lessThan">
      <formula>0</formula>
    </cfRule>
  </conditionalFormatting>
  <conditionalFormatting sqref="O1:O9 O38:O65536 O31:O36">
    <cfRule type="cellIs" dxfId="45" priority="9" stopIfTrue="1" operator="lessThan">
      <formula>0</formula>
    </cfRule>
  </conditionalFormatting>
  <conditionalFormatting sqref="O37">
    <cfRule type="cellIs" dxfId="44" priority="8" stopIfTrue="1" operator="lessThan">
      <formula>0</formula>
    </cfRule>
  </conditionalFormatting>
  <conditionalFormatting sqref="K10:K30">
    <cfRule type="cellIs" dxfId="43" priority="6" stopIfTrue="1" operator="lessThan">
      <formula>0</formula>
    </cfRule>
  </conditionalFormatting>
  <conditionalFormatting sqref="O10:O30">
    <cfRule type="cellIs" dxfId="42" priority="5" stopIfTrue="1" operator="lessThan">
      <formula>0</formula>
    </cfRule>
  </conditionalFormatting>
  <conditionalFormatting sqref="F11 F14 F17 F24 F45 F47">
    <cfRule type="cellIs" dxfId="41" priority="4" stopIfTrue="1" operator="lessThan">
      <formula>0</formula>
    </cfRule>
  </conditionalFormatting>
  <conditionalFormatting sqref="G1:G9 G38:G65536 G31:G36">
    <cfRule type="cellIs" dxfId="40" priority="3" stopIfTrue="1" operator="lessThan">
      <formula>0</formula>
    </cfRule>
  </conditionalFormatting>
  <conditionalFormatting sqref="G37">
    <cfRule type="cellIs" dxfId="39" priority="2" stopIfTrue="1" operator="lessThan">
      <formula>0</formula>
    </cfRule>
  </conditionalFormatting>
  <conditionalFormatting sqref="G10:G30">
    <cfRule type="cellIs" dxfId="38" priority="1" stopIfTrue="1" operator="lessThan">
      <formula>0</formula>
    </cfRule>
  </conditionalFormatting>
  <pageMargins left="0" right="0" top="0" bottom="0" header="0" footer="0"/>
  <pageSetup scale="84" orientation="landscape"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B2:AC76"/>
  <sheetViews>
    <sheetView topLeftCell="B51" zoomScale="85" zoomScaleNormal="85" workbookViewId="0">
      <selection activeCell="V73" sqref="V73"/>
    </sheetView>
  </sheetViews>
  <sheetFormatPr defaultRowHeight="15"/>
  <cols>
    <col min="1" max="1" width="3.5703125" style="304" customWidth="1"/>
    <col min="2" max="2" width="38.85546875" style="304" customWidth="1"/>
    <col min="3" max="18" width="10.42578125" style="303" customWidth="1"/>
    <col min="19" max="19" width="10.42578125" style="304" customWidth="1"/>
    <col min="20" max="23" width="10.42578125" style="303" customWidth="1"/>
    <col min="24" max="24" width="3.5703125" style="304" customWidth="1"/>
    <col min="25" max="28" width="10.42578125" style="303" customWidth="1"/>
    <col min="29" max="29" width="3.5703125" style="304" customWidth="1"/>
    <col min="30" max="16384" width="9.140625" style="304"/>
  </cols>
  <sheetData>
    <row r="2" spans="2:29">
      <c r="B2" s="3" t="s">
        <v>244</v>
      </c>
    </row>
    <row r="3" spans="2:29">
      <c r="B3" s="302" t="s">
        <v>282</v>
      </c>
    </row>
    <row r="5" spans="2:29">
      <c r="B5" s="305" t="s">
        <v>283</v>
      </c>
      <c r="C5" s="306"/>
      <c r="D5" s="306"/>
      <c r="E5" s="306"/>
      <c r="F5" s="306"/>
      <c r="G5" s="306"/>
      <c r="H5" s="306"/>
      <c r="I5" s="306"/>
      <c r="J5" s="306"/>
      <c r="K5" s="306"/>
      <c r="L5" s="306"/>
      <c r="M5" s="306"/>
      <c r="N5" s="306"/>
      <c r="O5" s="306"/>
      <c r="P5" s="306"/>
      <c r="Q5" s="306"/>
      <c r="R5" s="306"/>
      <c r="T5" s="307" t="s">
        <v>474</v>
      </c>
      <c r="U5" s="306"/>
      <c r="V5" s="306"/>
      <c r="W5" s="306"/>
      <c r="Y5" s="307" t="s">
        <v>475</v>
      </c>
      <c r="Z5" s="306"/>
      <c r="AA5" s="306"/>
      <c r="AB5" s="306"/>
    </row>
    <row r="6" spans="2:29" ht="15.75" thickBot="1"/>
    <row r="7" spans="2:29" s="302" customFormat="1">
      <c r="B7" s="308"/>
      <c r="C7" s="309">
        <v>2018</v>
      </c>
      <c r="D7" s="1226" t="s">
        <v>469</v>
      </c>
      <c r="E7" s="1227"/>
      <c r="F7" s="1228"/>
      <c r="G7" s="310" t="s">
        <v>250</v>
      </c>
      <c r="H7" s="1229" t="s">
        <v>468</v>
      </c>
      <c r="I7" s="1230"/>
      <c r="J7" s="1231"/>
      <c r="K7" s="310" t="s">
        <v>250</v>
      </c>
      <c r="L7" s="1226" t="s">
        <v>467</v>
      </c>
      <c r="M7" s="1227"/>
      <c r="N7" s="1228"/>
      <c r="O7" s="310" t="s">
        <v>250</v>
      </c>
      <c r="P7" s="1226" t="s">
        <v>260</v>
      </c>
      <c r="Q7" s="1227"/>
      <c r="R7" s="1228"/>
      <c r="S7" s="304"/>
      <c r="T7" s="311" t="s">
        <v>284</v>
      </c>
      <c r="U7" s="312" t="s">
        <v>285</v>
      </c>
      <c r="V7" s="313" t="s">
        <v>286</v>
      </c>
      <c r="W7" s="313" t="s">
        <v>287</v>
      </c>
      <c r="X7" s="304"/>
      <c r="Y7" s="311" t="s">
        <v>284</v>
      </c>
      <c r="Z7" s="312" t="s">
        <v>285</v>
      </c>
      <c r="AA7" s="313" t="s">
        <v>286</v>
      </c>
      <c r="AB7" s="313" t="s">
        <v>287</v>
      </c>
      <c r="AC7" s="304"/>
    </row>
    <row r="8" spans="2:29" s="323" customFormat="1">
      <c r="B8" s="314" t="s">
        <v>115</v>
      </c>
      <c r="C8" s="315"/>
      <c r="D8" s="316"/>
      <c r="E8" s="322"/>
      <c r="F8" s="317"/>
      <c r="G8" s="318"/>
      <c r="H8" s="316"/>
      <c r="I8" s="322"/>
      <c r="J8" s="317"/>
      <c r="K8" s="318"/>
      <c r="L8" s="316"/>
      <c r="M8" s="322"/>
      <c r="N8" s="317"/>
      <c r="O8" s="318"/>
      <c r="P8" s="316">
        <f>9799+650-147+170+45</f>
        <v>10517</v>
      </c>
      <c r="Q8" s="322">
        <f>AVERAGE(P8,R8)</f>
        <v>10606</v>
      </c>
      <c r="R8" s="317">
        <f>9799+730-49+170+45</f>
        <v>10695</v>
      </c>
      <c r="S8" s="319"/>
      <c r="T8" s="320">
        <f>MEDIAN(T21,T34,T40,T47,T54)</f>
        <v>1.9880000000002838</v>
      </c>
      <c r="U8" s="321">
        <f>MEDIAN(U21,U34,U54)</f>
        <v>-33.928000000000793</v>
      </c>
      <c r="V8" s="322">
        <f>MEDIAN(V21,V34,V54)</f>
        <v>5</v>
      </c>
      <c r="W8" s="322">
        <f>MEDIAN(W21,W54)</f>
        <v>412.18599999999924</v>
      </c>
      <c r="X8" s="319"/>
      <c r="Y8" s="1198">
        <f>MEDIAN(Y21,Y34,Y40,Y47,Y54)</f>
        <v>2.6739794894478473E-4</v>
      </c>
      <c r="Z8" s="1199">
        <f>MEDIAN(Z21,Z34,Z54)</f>
        <v>-3.7889187853495142E-3</v>
      </c>
      <c r="AA8" s="1200">
        <f>MEDIAN(AA21,AA34,AA54)</f>
        <v>5.5151114052503863E-4</v>
      </c>
      <c r="AB8" s="1200">
        <f>MEDIAN(AB21,AB54)</f>
        <v>4.5727196839466112E-2</v>
      </c>
      <c r="AC8" s="319"/>
    </row>
    <row r="9" spans="2:29" s="340" customFormat="1">
      <c r="B9" s="333" t="s">
        <v>251</v>
      </c>
      <c r="C9" s="334"/>
      <c r="D9" s="758"/>
      <c r="E9" s="336"/>
      <c r="F9" s="759"/>
      <c r="G9" s="334"/>
      <c r="H9" s="758"/>
      <c r="I9" s="336"/>
      <c r="J9" s="759"/>
      <c r="K9" s="334"/>
      <c r="L9" s="758"/>
      <c r="M9" s="336"/>
      <c r="N9" s="759"/>
      <c r="O9" s="334"/>
      <c r="P9" s="758">
        <v>0.05</v>
      </c>
      <c r="Q9" s="336">
        <f t="shared" ref="Q9:Q14" si="0">AVERAGE(P9,R9)</f>
        <v>6.0000000000000005E-2</v>
      </c>
      <c r="R9" s="759">
        <v>7.0000000000000007E-2</v>
      </c>
      <c r="S9" s="319"/>
      <c r="T9" s="338"/>
      <c r="U9" s="339"/>
      <c r="V9" s="336"/>
      <c r="W9" s="336"/>
      <c r="X9" s="319"/>
      <c r="Y9" s="1201"/>
      <c r="Z9" s="1202"/>
      <c r="AA9" s="1203"/>
      <c r="AB9" s="1203"/>
      <c r="AC9" s="319"/>
    </row>
    <row r="10" spans="2:29" s="323" customFormat="1">
      <c r="B10" s="324" t="s">
        <v>85</v>
      </c>
      <c r="C10" s="325"/>
      <c r="D10" s="326"/>
      <c r="E10" s="332"/>
      <c r="F10" s="328"/>
      <c r="G10" s="329"/>
      <c r="H10" s="326"/>
      <c r="I10" s="332"/>
      <c r="J10" s="328"/>
      <c r="K10" s="329"/>
      <c r="L10" s="326"/>
      <c r="M10" s="332"/>
      <c r="N10" s="328"/>
      <c r="O10" s="329"/>
      <c r="P10" s="326">
        <v>1320</v>
      </c>
      <c r="Q10" s="332">
        <f t="shared" si="0"/>
        <v>1336.5</v>
      </c>
      <c r="R10" s="328">
        <v>1353</v>
      </c>
      <c r="S10" s="319"/>
      <c r="T10" s="330">
        <f>MEDIAN(T23,T35,T42,T49,T56)</f>
        <v>8.1999999999989086</v>
      </c>
      <c r="U10" s="331">
        <f t="shared" ref="U10:V12" si="1">MEDIAN(U23,U35,U56)</f>
        <v>14.001640000000862</v>
      </c>
      <c r="V10" s="332">
        <f t="shared" si="1"/>
        <v>51.354280000000813</v>
      </c>
      <c r="W10" s="332">
        <f>MEDIAN(W23,W56)</f>
        <v>63.527139999999861</v>
      </c>
      <c r="X10" s="319"/>
      <c r="Y10" s="1201">
        <f>MEDIAN(Y23,Y35,Y42,Y49,Y56)</f>
        <v>6.7740603056579167E-3</v>
      </c>
      <c r="Z10" s="1202">
        <f>MEDIAN(Z23,Z35,Z56)</f>
        <v>1.56187532304732E-2</v>
      </c>
      <c r="AA10" s="1203">
        <f>MEDIAN(AA23,AA35,AA56)</f>
        <v>5.9776090327450231E-2</v>
      </c>
      <c r="AB10" s="1203">
        <f>MEDIAN(AB23,AB56)</f>
        <v>6.3002655837390426E-2</v>
      </c>
      <c r="AC10" s="319"/>
    </row>
    <row r="11" spans="2:29" s="340" customFormat="1">
      <c r="B11" s="333" t="s">
        <v>240</v>
      </c>
      <c r="C11" s="334"/>
      <c r="D11" s="758"/>
      <c r="E11" s="336"/>
      <c r="F11" s="759"/>
      <c r="G11" s="334"/>
      <c r="H11" s="758"/>
      <c r="I11" s="336"/>
      <c r="J11" s="759"/>
      <c r="K11" s="334"/>
      <c r="L11" s="758"/>
      <c r="M11" s="336"/>
      <c r="N11" s="759"/>
      <c r="O11" s="334"/>
      <c r="P11" s="758">
        <v>0.126</v>
      </c>
      <c r="Q11" s="336">
        <f t="shared" si="0"/>
        <v>0.1265</v>
      </c>
      <c r="R11" s="759">
        <v>0.127</v>
      </c>
      <c r="S11" s="319"/>
      <c r="T11" s="338">
        <f>MEDIAN(T24,T36,T43,T50,T57)</f>
        <v>-1.1416891016050035E-4</v>
      </c>
      <c r="U11" s="339">
        <f t="shared" si="1"/>
        <v>3.8910634326978777E-4</v>
      </c>
      <c r="V11" s="336">
        <f t="shared" si="1"/>
        <v>-2.4335367320253709E-4</v>
      </c>
      <c r="W11" s="336">
        <f>MEDIAN(W24,W57)</f>
        <v>2.148151710987492E-3</v>
      </c>
      <c r="X11" s="319"/>
      <c r="Y11" s="1201"/>
      <c r="Z11" s="1202"/>
      <c r="AA11" s="1203"/>
      <c r="AB11" s="1203"/>
      <c r="AC11" s="319"/>
    </row>
    <row r="12" spans="2:29" s="711" customFormat="1">
      <c r="B12" s="706" t="s">
        <v>387</v>
      </c>
      <c r="C12" s="707"/>
      <c r="D12" s="708"/>
      <c r="E12" s="710"/>
      <c r="F12" s="709"/>
      <c r="G12" s="787"/>
      <c r="H12" s="708"/>
      <c r="I12" s="710"/>
      <c r="J12" s="709"/>
      <c r="K12" s="787"/>
      <c r="L12" s="708"/>
      <c r="M12" s="710"/>
      <c r="N12" s="709"/>
      <c r="O12" s="787"/>
      <c r="P12" s="708">
        <v>4.25</v>
      </c>
      <c r="Q12" s="710">
        <f t="shared" si="0"/>
        <v>4.3</v>
      </c>
      <c r="R12" s="709">
        <v>4.3499999999999996</v>
      </c>
      <c r="T12" s="712">
        <f>MEDIAN(T25,T37,T44,T51,T58)</f>
        <v>7.1797074249452031E-2</v>
      </c>
      <c r="U12" s="713">
        <f t="shared" si="1"/>
        <v>0.22158412154040041</v>
      </c>
      <c r="V12" s="710">
        <f t="shared" si="1"/>
        <v>0.34658412154040041</v>
      </c>
      <c r="W12" s="710">
        <f>MEDIAN(W25,W58)</f>
        <v>0.48615545642566649</v>
      </c>
      <c r="Y12" s="1201">
        <f>MEDIAN(Y25,Y37,Y44,Y51,Y58)</f>
        <v>2.0048199356125642E-2</v>
      </c>
      <c r="Z12" s="1202">
        <f>MEDIAN(Z25,Z37,Z58)</f>
        <v>5.4927267819348709E-2</v>
      </c>
      <c r="AA12" s="1203">
        <f>MEDIAN(AA25,AA37,AA58)</f>
        <v>8.975977194545906E-2</v>
      </c>
      <c r="AB12" s="1203">
        <f>MEDIAN(AB25,AB58)</f>
        <v>0.11790696266984715</v>
      </c>
    </row>
    <row r="13" spans="2:29" s="323" customFormat="1">
      <c r="B13" s="324" t="s">
        <v>204</v>
      </c>
      <c r="C13" s="325"/>
      <c r="D13" s="326"/>
      <c r="E13" s="332"/>
      <c r="F13" s="328"/>
      <c r="G13" s="329"/>
      <c r="H13" s="326"/>
      <c r="I13" s="332"/>
      <c r="J13" s="328"/>
      <c r="K13" s="329"/>
      <c r="L13" s="326"/>
      <c r="M13" s="332"/>
      <c r="N13" s="328"/>
      <c r="O13" s="329"/>
      <c r="P13" s="326">
        <v>525</v>
      </c>
      <c r="Q13" s="332">
        <f t="shared" si="0"/>
        <v>550</v>
      </c>
      <c r="R13" s="328">
        <v>575</v>
      </c>
      <c r="S13" s="319"/>
      <c r="T13" s="330"/>
      <c r="U13" s="331"/>
      <c r="V13" s="332"/>
      <c r="W13" s="332"/>
      <c r="X13" s="319"/>
      <c r="Y13" s="330"/>
      <c r="Z13" s="331"/>
      <c r="AA13" s="332"/>
      <c r="AB13" s="332"/>
      <c r="AC13" s="319"/>
    </row>
    <row r="14" spans="2:29" s="323" customFormat="1">
      <c r="B14" s="324" t="s">
        <v>106</v>
      </c>
      <c r="C14" s="325"/>
      <c r="D14" s="326"/>
      <c r="E14" s="332"/>
      <c r="F14" s="328"/>
      <c r="G14" s="329"/>
      <c r="H14" s="326"/>
      <c r="I14" s="332"/>
      <c r="J14" s="328"/>
      <c r="K14" s="329"/>
      <c r="L14" s="326"/>
      <c r="M14" s="332"/>
      <c r="N14" s="328"/>
      <c r="O14" s="329"/>
      <c r="P14" s="326">
        <v>575</v>
      </c>
      <c r="Q14" s="332">
        <f t="shared" si="0"/>
        <v>600</v>
      </c>
      <c r="R14" s="328">
        <v>625</v>
      </c>
      <c r="S14" s="319"/>
      <c r="T14" s="330"/>
      <c r="U14" s="331"/>
      <c r="V14" s="332"/>
      <c r="W14" s="332"/>
      <c r="X14" s="319"/>
      <c r="Y14" s="330"/>
      <c r="Z14" s="331"/>
      <c r="AA14" s="332"/>
      <c r="AB14" s="332"/>
      <c r="AC14" s="319"/>
    </row>
    <row r="15" spans="2:29" s="323" customFormat="1">
      <c r="B15" s="324" t="s">
        <v>263</v>
      </c>
      <c r="C15" s="325"/>
      <c r="D15" s="326"/>
      <c r="E15" s="327"/>
      <c r="F15" s="328"/>
      <c r="G15" s="329"/>
      <c r="H15" s="326"/>
      <c r="I15" s="327"/>
      <c r="J15" s="328"/>
      <c r="K15" s="329"/>
      <c r="L15" s="326"/>
      <c r="M15" s="327"/>
      <c r="N15" s="328"/>
      <c r="O15" s="329"/>
      <c r="P15" s="326"/>
      <c r="Q15" s="327">
        <v>100</v>
      </c>
      <c r="R15" s="328"/>
      <c r="S15" s="319"/>
      <c r="T15" s="330"/>
      <c r="U15" s="331"/>
      <c r="V15" s="332"/>
      <c r="W15" s="332"/>
      <c r="X15" s="319"/>
      <c r="Y15" s="330"/>
      <c r="Z15" s="331"/>
      <c r="AA15" s="332"/>
      <c r="AB15" s="332"/>
      <c r="AC15" s="319"/>
    </row>
    <row r="16" spans="2:29" s="340" customFormat="1">
      <c r="B16" s="333" t="s">
        <v>264</v>
      </c>
      <c r="C16" s="341"/>
      <c r="D16" s="335"/>
      <c r="E16" s="342"/>
      <c r="F16" s="337"/>
      <c r="G16" s="334"/>
      <c r="H16" s="335"/>
      <c r="I16" s="342"/>
      <c r="J16" s="337"/>
      <c r="K16" s="334"/>
      <c r="L16" s="335"/>
      <c r="M16" s="342"/>
      <c r="N16" s="337"/>
      <c r="O16" s="334"/>
      <c r="P16" s="335"/>
      <c r="Q16" s="342">
        <v>0.04</v>
      </c>
      <c r="R16" s="337"/>
      <c r="S16" s="319"/>
      <c r="T16" s="338"/>
      <c r="U16" s="339"/>
      <c r="V16" s="336"/>
      <c r="W16" s="336"/>
      <c r="X16" s="319"/>
      <c r="Y16" s="338"/>
      <c r="Z16" s="339"/>
      <c r="AA16" s="336"/>
      <c r="AB16" s="336"/>
      <c r="AC16" s="319"/>
    </row>
    <row r="17" spans="2:29" s="340" customFormat="1">
      <c r="B17" s="333" t="s">
        <v>242</v>
      </c>
      <c r="C17" s="341"/>
      <c r="D17" s="335"/>
      <c r="E17" s="342"/>
      <c r="F17" s="337"/>
      <c r="G17" s="334"/>
      <c r="H17" s="335"/>
      <c r="I17" s="342"/>
      <c r="J17" s="337"/>
      <c r="K17" s="334"/>
      <c r="L17" s="335"/>
      <c r="M17" s="342"/>
      <c r="N17" s="337"/>
      <c r="O17" s="334"/>
      <c r="P17" s="335"/>
      <c r="Q17" s="342">
        <v>0.28000000000000003</v>
      </c>
      <c r="R17" s="337"/>
      <c r="S17" s="319"/>
      <c r="T17" s="338"/>
      <c r="U17" s="339"/>
      <c r="V17" s="336"/>
      <c r="W17" s="336"/>
      <c r="X17" s="319"/>
      <c r="Y17" s="338"/>
      <c r="Z17" s="339"/>
      <c r="AA17" s="336"/>
      <c r="AB17" s="336"/>
      <c r="AC17" s="319"/>
    </row>
    <row r="18" spans="2:29" s="754" customFormat="1" ht="15.75" thickBot="1">
      <c r="B18" s="749" t="s">
        <v>388</v>
      </c>
      <c r="C18" s="750"/>
      <c r="D18" s="751"/>
      <c r="E18" s="752"/>
      <c r="F18" s="753"/>
      <c r="G18" s="788"/>
      <c r="H18" s="751"/>
      <c r="I18" s="752"/>
      <c r="J18" s="753"/>
      <c r="K18" s="788"/>
      <c r="L18" s="751"/>
      <c r="M18" s="752"/>
      <c r="N18" s="753"/>
      <c r="O18" s="788"/>
      <c r="P18" s="751"/>
      <c r="Q18" s="752">
        <v>1.18</v>
      </c>
      <c r="R18" s="753"/>
      <c r="T18" s="755"/>
      <c r="U18" s="756"/>
      <c r="V18" s="757"/>
      <c r="W18" s="757"/>
      <c r="Y18" s="755"/>
      <c r="Z18" s="756"/>
      <c r="AA18" s="757"/>
      <c r="AB18" s="757"/>
    </row>
    <row r="19" spans="2:29" ht="15.75" thickBot="1"/>
    <row r="20" spans="2:29" s="302" customFormat="1">
      <c r="B20" s="308"/>
      <c r="C20" s="309">
        <v>2017</v>
      </c>
      <c r="D20" s="1226" t="s">
        <v>254</v>
      </c>
      <c r="E20" s="1227"/>
      <c r="F20" s="1228"/>
      <c r="G20" s="310" t="s">
        <v>250</v>
      </c>
      <c r="H20" s="1229" t="s">
        <v>233</v>
      </c>
      <c r="I20" s="1230"/>
      <c r="J20" s="1231"/>
      <c r="K20" s="310" t="s">
        <v>250</v>
      </c>
      <c r="L20" s="1226" t="s">
        <v>228</v>
      </c>
      <c r="M20" s="1227"/>
      <c r="N20" s="1228"/>
      <c r="O20" s="310" t="s">
        <v>250</v>
      </c>
      <c r="P20" s="1226" t="s">
        <v>227</v>
      </c>
      <c r="Q20" s="1227"/>
      <c r="R20" s="1228"/>
      <c r="S20" s="304"/>
      <c r="T20" s="311" t="s">
        <v>284</v>
      </c>
      <c r="U20" s="312" t="s">
        <v>285</v>
      </c>
      <c r="V20" s="313" t="s">
        <v>286</v>
      </c>
      <c r="W20" s="313" t="s">
        <v>287</v>
      </c>
      <c r="X20" s="304"/>
      <c r="Y20" s="311" t="s">
        <v>284</v>
      </c>
      <c r="Z20" s="312" t="s">
        <v>285</v>
      </c>
      <c r="AA20" s="313" t="s">
        <v>286</v>
      </c>
      <c r="AB20" s="313" t="s">
        <v>287</v>
      </c>
      <c r="AC20" s="304"/>
    </row>
    <row r="21" spans="2:29" s="323" customFormat="1">
      <c r="B21" s="314" t="s">
        <v>115</v>
      </c>
      <c r="C21" s="315">
        <f>Financials!$DT$9</f>
        <v>9799.2999999999993</v>
      </c>
      <c r="D21" s="316">
        <v>9670</v>
      </c>
      <c r="E21" s="322">
        <f>AVERAGE(D21,F21)</f>
        <v>9685</v>
      </c>
      <c r="F21" s="317">
        <v>9700</v>
      </c>
      <c r="G21" s="318">
        <f>E21-I21</f>
        <v>354</v>
      </c>
      <c r="H21" s="316">
        <f>8816+690-125-100</f>
        <v>9281</v>
      </c>
      <c r="I21" s="322">
        <f>AVERAGE(H21,J21)</f>
        <v>9331</v>
      </c>
      <c r="J21" s="317">
        <f>8816+740-75-100</f>
        <v>9381</v>
      </c>
      <c r="K21" s="318">
        <f>I21-M21</f>
        <v>400</v>
      </c>
      <c r="L21" s="316">
        <f>8816+410-100-310</f>
        <v>8816</v>
      </c>
      <c r="M21" s="322">
        <f>AVERAGE(L21,N21)</f>
        <v>8931</v>
      </c>
      <c r="N21" s="317">
        <f>8816+590-50-310</f>
        <v>9046</v>
      </c>
      <c r="O21" s="318">
        <f>M21-Q21</f>
        <v>-10</v>
      </c>
      <c r="P21" s="316">
        <f>8836+410-100-320</f>
        <v>8826</v>
      </c>
      <c r="Q21" s="322">
        <f>AVERAGE(P21,R21)</f>
        <v>8941</v>
      </c>
      <c r="R21" s="317">
        <f>8836+590-50-320</f>
        <v>9056</v>
      </c>
      <c r="S21" s="319"/>
      <c r="T21" s="320">
        <f>$C21-E21</f>
        <v>114.29999999999927</v>
      </c>
      <c r="U21" s="321">
        <f>$C21-I21</f>
        <v>468.29999999999927</v>
      </c>
      <c r="V21" s="322">
        <f>$C21-M21</f>
        <v>868.29999999999927</v>
      </c>
      <c r="W21" s="322">
        <f>$C21-Q21</f>
        <v>858.29999999999927</v>
      </c>
      <c r="X21" s="319"/>
      <c r="Y21" s="1198">
        <f>T21/E21</f>
        <v>1.1801755291688103E-2</v>
      </c>
      <c r="Z21" s="1199">
        <f>U21/I21</f>
        <v>5.0187546886721605E-2</v>
      </c>
      <c r="AA21" s="1200">
        <f>V21/M21</f>
        <v>9.7223155301757846E-2</v>
      </c>
      <c r="AB21" s="1200">
        <f>W21/Q21</f>
        <v>9.5995973604742116E-2</v>
      </c>
      <c r="AC21" s="319"/>
    </row>
    <row r="22" spans="2:29" s="340" customFormat="1">
      <c r="B22" s="333" t="s">
        <v>251</v>
      </c>
      <c r="C22" s="334"/>
      <c r="D22" s="758">
        <v>0.09</v>
      </c>
      <c r="E22" s="336">
        <f t="shared" ref="E22:E27" si="2">AVERAGE(D22,F22)</f>
        <v>9.2499999999999999E-2</v>
      </c>
      <c r="F22" s="759">
        <v>9.5000000000000001E-2</v>
      </c>
      <c r="G22" s="334">
        <f t="shared" ref="G22:G31" si="3">E22-I22</f>
        <v>2.2499999999999992E-2</v>
      </c>
      <c r="H22" s="758">
        <v>6.5000000000000002E-2</v>
      </c>
      <c r="I22" s="336">
        <f t="shared" ref="I22:I27" si="4">AVERAGE(H22,J22)</f>
        <v>7.0000000000000007E-2</v>
      </c>
      <c r="J22" s="759">
        <v>7.4999999999999997E-2</v>
      </c>
      <c r="K22" s="334">
        <f t="shared" ref="K22:K31" si="5">I22-M22</f>
        <v>2.2500000000000006E-2</v>
      </c>
      <c r="L22" s="758">
        <v>3.5000000000000003E-2</v>
      </c>
      <c r="M22" s="336">
        <f t="shared" ref="M22:M27" si="6">AVERAGE(L22,N22)</f>
        <v>4.7500000000000001E-2</v>
      </c>
      <c r="N22" s="759">
        <v>0.06</v>
      </c>
      <c r="O22" s="334">
        <f t="shared" ref="O22:O31" si="7">M22-Q22</f>
        <v>0</v>
      </c>
      <c r="P22" s="758">
        <v>3.5000000000000003E-2</v>
      </c>
      <c r="Q22" s="336">
        <f t="shared" ref="Q22:Q27" si="8">AVERAGE(P22,R22)</f>
        <v>4.7500000000000001E-2</v>
      </c>
      <c r="R22" s="759">
        <v>0.06</v>
      </c>
      <c r="S22" s="319"/>
      <c r="T22" s="338"/>
      <c r="U22" s="339"/>
      <c r="V22" s="336"/>
      <c r="W22" s="336"/>
      <c r="X22" s="319"/>
      <c r="Y22" s="338"/>
      <c r="Z22" s="339"/>
      <c r="AA22" s="336"/>
      <c r="AB22" s="336"/>
      <c r="AC22" s="319"/>
    </row>
    <row r="23" spans="2:29" s="323" customFormat="1">
      <c r="B23" s="324" t="s">
        <v>85</v>
      </c>
      <c r="C23" s="325">
        <f>Financials!$DT$18</f>
        <v>1218.6999999999989</v>
      </c>
      <c r="D23" s="326">
        <v>1208</v>
      </c>
      <c r="E23" s="332">
        <f t="shared" si="2"/>
        <v>1210.5</v>
      </c>
      <c r="F23" s="328">
        <v>1213</v>
      </c>
      <c r="G23" s="329">
        <f t="shared" si="3"/>
        <v>31</v>
      </c>
      <c r="H23" s="326">
        <v>1168</v>
      </c>
      <c r="I23" s="332">
        <f t="shared" si="4"/>
        <v>1179.5</v>
      </c>
      <c r="J23" s="328">
        <v>1191</v>
      </c>
      <c r="K23" s="329">
        <f t="shared" si="5"/>
        <v>37</v>
      </c>
      <c r="L23" s="326">
        <v>1123</v>
      </c>
      <c r="M23" s="332">
        <f t="shared" si="6"/>
        <v>1142.5</v>
      </c>
      <c r="N23" s="328">
        <v>1162</v>
      </c>
      <c r="O23" s="329">
        <f t="shared" si="7"/>
        <v>-0.5</v>
      </c>
      <c r="P23" s="326">
        <v>1123</v>
      </c>
      <c r="Q23" s="332">
        <f t="shared" si="8"/>
        <v>1143</v>
      </c>
      <c r="R23" s="328">
        <v>1163</v>
      </c>
      <c r="S23" s="319"/>
      <c r="T23" s="330">
        <f>$C23-E23</f>
        <v>8.1999999999989086</v>
      </c>
      <c r="U23" s="331">
        <f>$C23-I23</f>
        <v>39.199999999998909</v>
      </c>
      <c r="V23" s="332">
        <f>$C23-M23</f>
        <v>76.199999999998909</v>
      </c>
      <c r="W23" s="332">
        <f>$C23-Q23</f>
        <v>75.699999999998909</v>
      </c>
      <c r="X23" s="319"/>
      <c r="Y23" s="1201">
        <f t="shared" ref="Y23" si="9">T23/E23</f>
        <v>6.7740603056579167E-3</v>
      </c>
      <c r="Z23" s="1202">
        <f t="shared" ref="Z23" si="10">U23/I23</f>
        <v>3.3234421364984237E-2</v>
      </c>
      <c r="AA23" s="1203">
        <f t="shared" ref="AA23" si="11">V23/M23</f>
        <v>6.6695842450764903E-2</v>
      </c>
      <c r="AB23" s="1203">
        <f t="shared" ref="AB23" si="12">W23/Q23</f>
        <v>6.6229221347330627E-2</v>
      </c>
      <c r="AC23" s="319"/>
    </row>
    <row r="24" spans="2:29" s="340" customFormat="1">
      <c r="B24" s="333" t="s">
        <v>240</v>
      </c>
      <c r="C24" s="334">
        <f>C23/C21</f>
        <v>0.12436602614472451</v>
      </c>
      <c r="D24" s="758">
        <v>0.125</v>
      </c>
      <c r="E24" s="336">
        <f t="shared" si="2"/>
        <v>0.1255</v>
      </c>
      <c r="F24" s="759">
        <v>0.126</v>
      </c>
      <c r="G24" s="334">
        <f t="shared" si="3"/>
        <v>-1.0000000000000009E-3</v>
      </c>
      <c r="H24" s="758">
        <v>0.126</v>
      </c>
      <c r="I24" s="336">
        <f t="shared" si="4"/>
        <v>0.1265</v>
      </c>
      <c r="J24" s="759">
        <v>0.127</v>
      </c>
      <c r="K24" s="334">
        <f t="shared" si="5"/>
        <v>-1.0000000000000009E-3</v>
      </c>
      <c r="L24" s="758">
        <v>0.127</v>
      </c>
      <c r="M24" s="336">
        <f t="shared" si="6"/>
        <v>0.1275</v>
      </c>
      <c r="N24" s="759">
        <v>0.128</v>
      </c>
      <c r="O24" s="334">
        <f t="shared" si="7"/>
        <v>0</v>
      </c>
      <c r="P24" s="758">
        <v>0.127</v>
      </c>
      <c r="Q24" s="336">
        <f t="shared" si="8"/>
        <v>0.1275</v>
      </c>
      <c r="R24" s="759">
        <v>0.128</v>
      </c>
      <c r="S24" s="319"/>
      <c r="T24" s="338">
        <f>$C24-E24</f>
        <v>-1.1339738552754858E-3</v>
      </c>
      <c r="U24" s="339">
        <f>$C24-I24</f>
        <v>-2.1339738552754867E-3</v>
      </c>
      <c r="V24" s="336">
        <f>$C24-M24</f>
        <v>-3.1339738552754876E-3</v>
      </c>
      <c r="W24" s="336">
        <f>$C24-Q24</f>
        <v>-3.1339738552754876E-3</v>
      </c>
      <c r="X24" s="319"/>
      <c r="Y24" s="338"/>
      <c r="Z24" s="339"/>
      <c r="AA24" s="336"/>
      <c r="AB24" s="336"/>
      <c r="AC24" s="319"/>
    </row>
    <row r="25" spans="2:29" s="711" customFormat="1">
      <c r="B25" s="706" t="s">
        <v>387</v>
      </c>
      <c r="C25" s="707">
        <f>Financials!$DT$44</f>
        <v>3.8965841215404002</v>
      </c>
      <c r="D25" s="708">
        <v>3.81</v>
      </c>
      <c r="E25" s="710">
        <f t="shared" si="2"/>
        <v>3.8200000000000003</v>
      </c>
      <c r="F25" s="709">
        <v>3.83</v>
      </c>
      <c r="G25" s="787">
        <f t="shared" si="3"/>
        <v>0.14500000000000046</v>
      </c>
      <c r="H25" s="708">
        <v>3.65</v>
      </c>
      <c r="I25" s="710">
        <f t="shared" si="4"/>
        <v>3.6749999999999998</v>
      </c>
      <c r="J25" s="709">
        <v>3.7</v>
      </c>
      <c r="K25" s="787">
        <f t="shared" si="5"/>
        <v>0.125</v>
      </c>
      <c r="L25" s="708">
        <v>3.5</v>
      </c>
      <c r="M25" s="710">
        <f t="shared" si="6"/>
        <v>3.55</v>
      </c>
      <c r="N25" s="709">
        <v>3.6</v>
      </c>
      <c r="O25" s="787">
        <f t="shared" si="7"/>
        <v>0.14999999999999947</v>
      </c>
      <c r="P25" s="708">
        <v>3.35</v>
      </c>
      <c r="Q25" s="710">
        <f t="shared" si="8"/>
        <v>3.4000000000000004</v>
      </c>
      <c r="R25" s="709">
        <v>3.45</v>
      </c>
      <c r="T25" s="712">
        <f>$C25-E25</f>
        <v>7.6584121540399952E-2</v>
      </c>
      <c r="U25" s="713">
        <f>$C25-I25</f>
        <v>0.22158412154040041</v>
      </c>
      <c r="V25" s="710">
        <f>$C25-M25</f>
        <v>0.34658412154040041</v>
      </c>
      <c r="W25" s="710">
        <f>$C25-Q25</f>
        <v>0.49658412154039988</v>
      </c>
      <c r="Y25" s="1201">
        <f t="shared" ref="Y25" si="13">T25/E25</f>
        <v>2.0048199356125642E-2</v>
      </c>
      <c r="Z25" s="1202">
        <f t="shared" ref="Z25" si="14">U25/I25</f>
        <v>6.029499905861236E-2</v>
      </c>
      <c r="AA25" s="1203">
        <f t="shared" ref="AA25" si="15">V25/M25</f>
        <v>9.7629330011380397E-2</v>
      </c>
      <c r="AB25" s="1203">
        <f t="shared" ref="AB25" si="16">W25/Q25</f>
        <v>0.14605415339423525</v>
      </c>
    </row>
    <row r="26" spans="2:29" s="323" customFormat="1">
      <c r="B26" s="324" t="s">
        <v>204</v>
      </c>
      <c r="C26" s="325">
        <f>Financials!DT176</f>
        <v>620.30000000000018</v>
      </c>
      <c r="D26" s="326">
        <v>450</v>
      </c>
      <c r="E26" s="332">
        <f t="shared" si="2"/>
        <v>475</v>
      </c>
      <c r="F26" s="328">
        <v>500</v>
      </c>
      <c r="G26" s="329">
        <f t="shared" si="3"/>
        <v>0</v>
      </c>
      <c r="H26" s="326">
        <v>450</v>
      </c>
      <c r="I26" s="332">
        <f t="shared" si="4"/>
        <v>475</v>
      </c>
      <c r="J26" s="328">
        <v>500</v>
      </c>
      <c r="K26" s="329">
        <f t="shared" si="5"/>
        <v>0</v>
      </c>
      <c r="L26" s="326">
        <v>450</v>
      </c>
      <c r="M26" s="332">
        <f t="shared" si="6"/>
        <v>475</v>
      </c>
      <c r="N26" s="328">
        <v>500</v>
      </c>
      <c r="O26" s="329">
        <f t="shared" si="7"/>
        <v>0</v>
      </c>
      <c r="P26" s="326">
        <v>450</v>
      </c>
      <c r="Q26" s="332">
        <f t="shared" si="8"/>
        <v>475</v>
      </c>
      <c r="R26" s="328">
        <v>500</v>
      </c>
      <c r="S26" s="319"/>
      <c r="T26" s="330"/>
      <c r="U26" s="331"/>
      <c r="V26" s="332"/>
      <c r="W26" s="332"/>
      <c r="X26" s="319"/>
      <c r="Y26" s="330"/>
      <c r="Z26" s="331"/>
      <c r="AA26" s="332"/>
      <c r="AB26" s="332"/>
      <c r="AC26" s="319"/>
    </row>
    <row r="27" spans="2:29" s="323" customFormat="1">
      <c r="B27" s="324" t="s">
        <v>106</v>
      </c>
      <c r="C27" s="325">
        <f>-Financials!DT152</f>
        <v>560</v>
      </c>
      <c r="D27" s="326">
        <v>525</v>
      </c>
      <c r="E27" s="332">
        <f t="shared" si="2"/>
        <v>550</v>
      </c>
      <c r="F27" s="328">
        <v>575</v>
      </c>
      <c r="G27" s="329">
        <f t="shared" si="3"/>
        <v>25</v>
      </c>
      <c r="H27" s="326">
        <v>500</v>
      </c>
      <c r="I27" s="332">
        <f t="shared" si="4"/>
        <v>525</v>
      </c>
      <c r="J27" s="328">
        <v>550</v>
      </c>
      <c r="K27" s="329">
        <f t="shared" si="5"/>
        <v>25</v>
      </c>
      <c r="L27" s="326">
        <v>475</v>
      </c>
      <c r="M27" s="332">
        <f t="shared" si="6"/>
        <v>500</v>
      </c>
      <c r="N27" s="328">
        <v>525</v>
      </c>
      <c r="O27" s="329">
        <f t="shared" si="7"/>
        <v>0</v>
      </c>
      <c r="P27" s="326">
        <v>475</v>
      </c>
      <c r="Q27" s="332">
        <f t="shared" si="8"/>
        <v>500</v>
      </c>
      <c r="R27" s="328">
        <v>525</v>
      </c>
      <c r="S27" s="319"/>
      <c r="T27" s="330"/>
      <c r="U27" s="331"/>
      <c r="V27" s="332"/>
      <c r="W27" s="332"/>
      <c r="X27" s="319"/>
      <c r="Y27" s="330"/>
      <c r="Z27" s="331"/>
      <c r="AA27" s="332"/>
      <c r="AB27" s="332"/>
      <c r="AC27" s="319"/>
    </row>
    <row r="28" spans="2:29" s="323" customFormat="1">
      <c r="B28" s="324" t="s">
        <v>263</v>
      </c>
      <c r="C28" s="325">
        <f>-Financials!DT163</f>
        <v>100</v>
      </c>
      <c r="D28" s="326"/>
      <c r="E28" s="327">
        <v>100</v>
      </c>
      <c r="F28" s="328"/>
      <c r="G28" s="329">
        <f t="shared" si="3"/>
        <v>0</v>
      </c>
      <c r="H28" s="326"/>
      <c r="I28" s="327">
        <v>100</v>
      </c>
      <c r="J28" s="328"/>
      <c r="K28" s="329">
        <f t="shared" si="5"/>
        <v>0</v>
      </c>
      <c r="L28" s="326"/>
      <c r="M28" s="327">
        <v>100</v>
      </c>
      <c r="N28" s="328"/>
      <c r="O28" s="329">
        <f t="shared" si="7"/>
        <v>0</v>
      </c>
      <c r="P28" s="326"/>
      <c r="Q28" s="327">
        <v>100</v>
      </c>
      <c r="R28" s="328"/>
      <c r="S28" s="319"/>
      <c r="T28" s="330"/>
      <c r="U28" s="331"/>
      <c r="V28" s="332"/>
      <c r="W28" s="332"/>
      <c r="X28" s="319"/>
      <c r="Y28" s="330"/>
      <c r="Z28" s="331"/>
      <c r="AA28" s="332"/>
      <c r="AB28" s="332"/>
      <c r="AC28" s="319"/>
    </row>
    <row r="29" spans="2:29" s="340" customFormat="1">
      <c r="B29" s="333" t="s">
        <v>264</v>
      </c>
      <c r="C29" s="341">
        <f>Financials!DT48</f>
        <v>4.0137969038604802E-2</v>
      </c>
      <c r="D29" s="335"/>
      <c r="E29" s="342">
        <v>0.04</v>
      </c>
      <c r="F29" s="337"/>
      <c r="G29" s="334">
        <f t="shared" si="3"/>
        <v>0</v>
      </c>
      <c r="H29" s="335"/>
      <c r="I29" s="342">
        <v>0.04</v>
      </c>
      <c r="J29" s="337"/>
      <c r="K29" s="334">
        <f t="shared" si="5"/>
        <v>0</v>
      </c>
      <c r="L29" s="335"/>
      <c r="M29" s="342">
        <v>0.04</v>
      </c>
      <c r="N29" s="337"/>
      <c r="O29" s="334">
        <f t="shared" si="7"/>
        <v>0</v>
      </c>
      <c r="P29" s="335"/>
      <c r="Q29" s="342">
        <v>0.04</v>
      </c>
      <c r="R29" s="337"/>
      <c r="S29" s="319"/>
      <c r="T29" s="338"/>
      <c r="U29" s="339"/>
      <c r="V29" s="336"/>
      <c r="W29" s="336"/>
      <c r="X29" s="319"/>
      <c r="Y29" s="338"/>
      <c r="Z29" s="339"/>
      <c r="AA29" s="336"/>
      <c r="AB29" s="336"/>
      <c r="AC29" s="319"/>
    </row>
    <row r="30" spans="2:29" s="340" customFormat="1">
      <c r="B30" s="333" t="s">
        <v>242</v>
      </c>
      <c r="C30" s="341">
        <f>Financials!DT28</f>
        <v>0.28145103717225384</v>
      </c>
      <c r="D30" s="335"/>
      <c r="E30" s="342">
        <v>0.28999999999999998</v>
      </c>
      <c r="F30" s="337"/>
      <c r="G30" s="334">
        <f t="shared" si="3"/>
        <v>0</v>
      </c>
      <c r="H30" s="335"/>
      <c r="I30" s="342">
        <v>0.28999999999999998</v>
      </c>
      <c r="J30" s="337"/>
      <c r="K30" s="334">
        <f t="shared" si="5"/>
        <v>0</v>
      </c>
      <c r="L30" s="335"/>
      <c r="M30" s="342">
        <v>0.28999999999999998</v>
      </c>
      <c r="N30" s="337"/>
      <c r="O30" s="334">
        <f t="shared" si="7"/>
        <v>-3.0000000000000027E-2</v>
      </c>
      <c r="P30" s="335"/>
      <c r="Q30" s="342">
        <v>0.32</v>
      </c>
      <c r="R30" s="337"/>
      <c r="S30" s="319"/>
      <c r="T30" s="338"/>
      <c r="U30" s="339"/>
      <c r="V30" s="336"/>
      <c r="W30" s="336"/>
      <c r="X30" s="319"/>
      <c r="Y30" s="338"/>
      <c r="Z30" s="339"/>
      <c r="AA30" s="336"/>
      <c r="AB30" s="336"/>
      <c r="AC30" s="319"/>
    </row>
    <row r="31" spans="2:29" s="754" customFormat="1" ht="15.75" thickBot="1">
      <c r="B31" s="749" t="s">
        <v>388</v>
      </c>
      <c r="C31" s="750">
        <f>Segments!DT69</f>
        <v>1.1294249999999999</v>
      </c>
      <c r="D31" s="751"/>
      <c r="E31" s="752">
        <v>1.125</v>
      </c>
      <c r="F31" s="753"/>
      <c r="G31" s="788">
        <f t="shared" si="3"/>
        <v>2.4999999999999911E-2</v>
      </c>
      <c r="H31" s="751"/>
      <c r="I31" s="752">
        <v>1.1000000000000001</v>
      </c>
      <c r="J31" s="753"/>
      <c r="K31" s="788">
        <f t="shared" si="5"/>
        <v>5.0000000000000044E-2</v>
      </c>
      <c r="L31" s="751"/>
      <c r="M31" s="752">
        <v>1.05</v>
      </c>
      <c r="N31" s="753"/>
      <c r="O31" s="788">
        <f t="shared" si="7"/>
        <v>0</v>
      </c>
      <c r="P31" s="751"/>
      <c r="Q31" s="752">
        <v>1.05</v>
      </c>
      <c r="R31" s="753"/>
      <c r="T31" s="755"/>
      <c r="U31" s="756"/>
      <c r="V31" s="757"/>
      <c r="W31" s="757"/>
      <c r="Y31" s="755"/>
      <c r="Z31" s="756"/>
      <c r="AA31" s="757"/>
      <c r="AB31" s="757"/>
    </row>
    <row r="32" spans="2:29" ht="15.75" thickBot="1"/>
    <row r="33" spans="2:29" s="302" customFormat="1">
      <c r="B33" s="308"/>
      <c r="C33" s="309">
        <v>2016</v>
      </c>
      <c r="D33" s="1226" t="s">
        <v>226</v>
      </c>
      <c r="E33" s="1227"/>
      <c r="F33" s="1228"/>
      <c r="G33" s="310" t="s">
        <v>250</v>
      </c>
      <c r="H33" s="1226" t="s">
        <v>225</v>
      </c>
      <c r="I33" s="1227"/>
      <c r="J33" s="1228"/>
      <c r="K33" s="310" t="s">
        <v>250</v>
      </c>
      <c r="L33" s="1226" t="s">
        <v>224</v>
      </c>
      <c r="M33" s="1227"/>
      <c r="N33" s="1228"/>
      <c r="O33" s="310" t="s">
        <v>250</v>
      </c>
      <c r="P33" s="1226" t="s">
        <v>223</v>
      </c>
      <c r="Q33" s="1227"/>
      <c r="R33" s="1228"/>
      <c r="S33" s="304"/>
      <c r="T33" s="311" t="s">
        <v>226</v>
      </c>
      <c r="U33" s="309" t="s">
        <v>225</v>
      </c>
      <c r="V33" s="313" t="s">
        <v>224</v>
      </c>
      <c r="W33" s="313" t="s">
        <v>223</v>
      </c>
      <c r="X33" s="304"/>
      <c r="Y33" s="311" t="s">
        <v>226</v>
      </c>
      <c r="Z33" s="309" t="s">
        <v>225</v>
      </c>
      <c r="AA33" s="313" t="s">
        <v>224</v>
      </c>
      <c r="AB33" s="313" t="s">
        <v>223</v>
      </c>
      <c r="AC33" s="304"/>
    </row>
    <row r="34" spans="2:29" s="323" customFormat="1">
      <c r="B34" s="314" t="s">
        <v>115</v>
      </c>
      <c r="C34" s="315">
        <f>Financials!$DS$9</f>
        <v>9071</v>
      </c>
      <c r="D34" s="316">
        <v>9070</v>
      </c>
      <c r="E34" s="322">
        <f>AVERAGE(D34,F34)</f>
        <v>9104.5</v>
      </c>
      <c r="F34" s="317">
        <v>9139</v>
      </c>
      <c r="G34" s="320">
        <f>E34-I34</f>
        <v>-1</v>
      </c>
      <c r="H34" s="316">
        <v>8958</v>
      </c>
      <c r="I34" s="322">
        <f>AVERAGE(H34,J34)</f>
        <v>9105.5</v>
      </c>
      <c r="J34" s="317">
        <v>9253</v>
      </c>
      <c r="K34" s="320">
        <f>I34-M34</f>
        <v>39.5</v>
      </c>
      <c r="L34" s="316">
        <v>8879</v>
      </c>
      <c r="M34" s="322">
        <f>AVERAGE(L34,N34)</f>
        <v>9066</v>
      </c>
      <c r="N34" s="317">
        <v>9253</v>
      </c>
      <c r="O34" s="320">
        <f>M34-Q34</f>
        <v>-215</v>
      </c>
      <c r="P34" s="316">
        <v>8887</v>
      </c>
      <c r="Q34" s="322">
        <v>9281</v>
      </c>
      <c r="R34" s="317">
        <v>9253</v>
      </c>
      <c r="S34" s="319"/>
      <c r="T34" s="320">
        <f>$C34-E34</f>
        <v>-33.5</v>
      </c>
      <c r="U34" s="773">
        <f>$C34-I34</f>
        <v>-34.5</v>
      </c>
      <c r="V34" s="783">
        <f>$C34-M34</f>
        <v>5</v>
      </c>
      <c r="W34" s="783">
        <f>$C34-Q34</f>
        <v>-210</v>
      </c>
      <c r="X34" s="319"/>
      <c r="Y34" s="1198">
        <f>T34/E34</f>
        <v>-3.6794991487725851E-3</v>
      </c>
      <c r="Z34" s="1199">
        <f>U34/I34</f>
        <v>-3.7889187853495142E-3</v>
      </c>
      <c r="AA34" s="1200">
        <f>V34/M34</f>
        <v>5.5151114052503863E-4</v>
      </c>
      <c r="AB34" s="1200">
        <f>W34/Q34</f>
        <v>-2.2626872104299107E-2</v>
      </c>
      <c r="AC34" s="319"/>
    </row>
    <row r="35" spans="2:29" s="323" customFormat="1">
      <c r="B35" s="324" t="s">
        <v>85</v>
      </c>
      <c r="C35" s="325">
        <f>Financials!$DS$18</f>
        <v>1112.2000000000005</v>
      </c>
      <c r="D35" s="326">
        <v>1106</v>
      </c>
      <c r="E35" s="332">
        <f t="shared" ref="E35:E37" si="17">AVERAGE(D35,F35)</f>
        <v>1112</v>
      </c>
      <c r="F35" s="328">
        <v>1118</v>
      </c>
      <c r="G35" s="330">
        <f>E35-I35</f>
        <v>-1</v>
      </c>
      <c r="H35" s="326">
        <v>1088</v>
      </c>
      <c r="I35" s="332">
        <f t="shared" ref="I35:I37" si="18">AVERAGE(H35,J35)</f>
        <v>1113</v>
      </c>
      <c r="J35" s="328">
        <v>1138</v>
      </c>
      <c r="K35" s="330">
        <f>I35-M35</f>
        <v>-1</v>
      </c>
      <c r="L35" s="326">
        <v>1081</v>
      </c>
      <c r="M35" s="332">
        <f t="shared" ref="M35:M37" si="19">AVERAGE(L35,N35)</f>
        <v>1114</v>
      </c>
      <c r="N35" s="328">
        <v>1147</v>
      </c>
      <c r="O35" s="330">
        <f>M35-Q35</f>
        <v>8</v>
      </c>
      <c r="P35" s="326">
        <v>1073</v>
      </c>
      <c r="Q35" s="332">
        <f t="shared" ref="Q35:Q37" si="20">AVERAGE(P35,R35)</f>
        <v>1106</v>
      </c>
      <c r="R35" s="328">
        <v>1139</v>
      </c>
      <c r="S35" s="319"/>
      <c r="T35" s="330">
        <f>$C35-E35</f>
        <v>0.20000000000050022</v>
      </c>
      <c r="U35" s="775">
        <f t="shared" ref="U35:U37" si="21">$C35-I35</f>
        <v>-0.79999999999949978</v>
      </c>
      <c r="V35" s="784">
        <f t="shared" ref="V35:V37" si="22">$C35-M35</f>
        <v>-1.7999999999994998</v>
      </c>
      <c r="W35" s="784">
        <f t="shared" ref="W35:W37" si="23">$C35-Q35</f>
        <v>6.2000000000005002</v>
      </c>
      <c r="X35" s="319"/>
      <c r="Y35" s="1201">
        <f t="shared" ref="Y35" si="24">T35/E35</f>
        <v>1.7985611510836351E-4</v>
      </c>
      <c r="Z35" s="1202">
        <f t="shared" ref="Z35" si="25">U35/I35</f>
        <v>-7.187780772681939E-4</v>
      </c>
      <c r="AA35" s="1203">
        <f t="shared" ref="AA35" si="26">V35/M35</f>
        <v>-1.615798922800269E-3</v>
      </c>
      <c r="AB35" s="1203">
        <f t="shared" ref="AB35" si="27">W35/Q35</f>
        <v>5.6057866184452982E-3</v>
      </c>
      <c r="AC35" s="319"/>
    </row>
    <row r="36" spans="2:29" s="340" customFormat="1">
      <c r="B36" s="333" t="s">
        <v>240</v>
      </c>
      <c r="C36" s="334">
        <f>C35/C34</f>
        <v>0.12261051703230079</v>
      </c>
      <c r="D36" s="335">
        <f>D35/D34</f>
        <v>0.12194046306504962</v>
      </c>
      <c r="E36" s="336">
        <f t="shared" si="17"/>
        <v>0.12213666112000703</v>
      </c>
      <c r="F36" s="337">
        <f>F35/F34</f>
        <v>0.12233285917496443</v>
      </c>
      <c r="G36" s="338">
        <f>E36-I36</f>
        <v>-8.474956902397579E-5</v>
      </c>
      <c r="H36" s="335">
        <f>H35/H34</f>
        <v>0.12145568207189104</v>
      </c>
      <c r="I36" s="336">
        <f t="shared" si="18"/>
        <v>0.122221410689031</v>
      </c>
      <c r="J36" s="337">
        <f>J35/J34</f>
        <v>0.12298713930617097</v>
      </c>
      <c r="K36" s="338">
        <f>I36-M36</f>
        <v>-6.3246001647232486E-4</v>
      </c>
      <c r="L36" s="335">
        <f>L35/L34</f>
        <v>0.12174794458835454</v>
      </c>
      <c r="M36" s="336">
        <f t="shared" si="19"/>
        <v>0.12285387070550333</v>
      </c>
      <c r="N36" s="337">
        <f>N35/N34</f>
        <v>0.12395979682265211</v>
      </c>
      <c r="O36" s="338">
        <f>M36-Q36</f>
        <v>9.3718609455825663E-4</v>
      </c>
      <c r="P36" s="335">
        <f>P35/P34</f>
        <v>0.12073815685833239</v>
      </c>
      <c r="Q36" s="336">
        <f t="shared" si="20"/>
        <v>0.12191668461094507</v>
      </c>
      <c r="R36" s="337">
        <f>R35/R34</f>
        <v>0.12309521236355776</v>
      </c>
      <c r="S36" s="319"/>
      <c r="T36" s="338">
        <f>$C36-E36</f>
        <v>4.7385591229376356E-4</v>
      </c>
      <c r="U36" s="335">
        <f t="shared" si="21"/>
        <v>3.8910634326978777E-4</v>
      </c>
      <c r="V36" s="785">
        <f t="shared" si="22"/>
        <v>-2.4335367320253709E-4</v>
      </c>
      <c r="W36" s="785">
        <f t="shared" si="23"/>
        <v>6.9383242135571954E-4</v>
      </c>
      <c r="X36" s="319"/>
      <c r="Y36" s="338"/>
      <c r="Z36" s="335"/>
      <c r="AA36" s="785"/>
      <c r="AB36" s="785"/>
      <c r="AC36" s="319"/>
    </row>
    <row r="37" spans="2:29" s="711" customFormat="1" ht="15.75" thickBot="1">
      <c r="B37" s="772" t="s">
        <v>387</v>
      </c>
      <c r="C37" s="714">
        <f>Financials!$DS$44</f>
        <v>3.2647694438210833</v>
      </c>
      <c r="D37" s="715">
        <v>3.24</v>
      </c>
      <c r="E37" s="771">
        <f t="shared" si="17"/>
        <v>3.26</v>
      </c>
      <c r="F37" s="716">
        <v>3.28</v>
      </c>
      <c r="G37" s="789">
        <f>E37-I37</f>
        <v>1.9999999999999574E-2</v>
      </c>
      <c r="H37" s="715">
        <v>3.16</v>
      </c>
      <c r="I37" s="771">
        <f t="shared" si="18"/>
        <v>3.24</v>
      </c>
      <c r="J37" s="716">
        <v>3.32</v>
      </c>
      <c r="K37" s="789">
        <f>I37-M37</f>
        <v>2.5000000000000355E-2</v>
      </c>
      <c r="L37" s="715">
        <v>3.11</v>
      </c>
      <c r="M37" s="771">
        <f t="shared" si="19"/>
        <v>3.2149999999999999</v>
      </c>
      <c r="N37" s="716">
        <v>3.32</v>
      </c>
      <c r="O37" s="789">
        <f>M37-Q37</f>
        <v>0</v>
      </c>
      <c r="P37" s="715">
        <v>3.11</v>
      </c>
      <c r="Q37" s="771">
        <f t="shared" si="20"/>
        <v>3.2149999999999999</v>
      </c>
      <c r="R37" s="716">
        <v>3.32</v>
      </c>
      <c r="T37" s="717">
        <f>$C37-E37</f>
        <v>4.7694438210834633E-3</v>
      </c>
      <c r="U37" s="782">
        <f t="shared" si="21"/>
        <v>2.4769443821083037E-2</v>
      </c>
      <c r="V37" s="786">
        <f t="shared" si="22"/>
        <v>4.9769443821083392E-2</v>
      </c>
      <c r="W37" s="786">
        <f t="shared" si="23"/>
        <v>4.9769443821083392E-2</v>
      </c>
      <c r="Y37" s="1204">
        <f t="shared" ref="Y37" si="28">T37/E37</f>
        <v>1.4630195770194674E-3</v>
      </c>
      <c r="Z37" s="1205">
        <f t="shared" ref="Z37" si="29">U37/I37</f>
        <v>7.6448900682355046E-3</v>
      </c>
      <c r="AA37" s="1206">
        <f t="shared" ref="AA37" si="30">V37/M37</f>
        <v>1.5480386880585815E-2</v>
      </c>
      <c r="AB37" s="1206">
        <f t="shared" ref="AB37" si="31">W37/Q37</f>
        <v>1.5480386880585815E-2</v>
      </c>
    </row>
    <row r="38" spans="2:29" ht="15.75" thickBot="1"/>
    <row r="39" spans="2:29" s="302" customFormat="1">
      <c r="B39" s="308"/>
      <c r="C39" s="309">
        <v>2015</v>
      </c>
      <c r="D39" s="1226" t="s">
        <v>222</v>
      </c>
      <c r="E39" s="1227"/>
      <c r="F39" s="1228"/>
      <c r="G39" s="310" t="s">
        <v>250</v>
      </c>
      <c r="H39" s="1229" t="s">
        <v>221</v>
      </c>
      <c r="I39" s="1230"/>
      <c r="J39" s="1231"/>
      <c r="K39" s="310" t="s">
        <v>250</v>
      </c>
      <c r="L39" s="1226" t="s">
        <v>220</v>
      </c>
      <c r="M39" s="1227"/>
      <c r="N39" s="1228"/>
      <c r="O39" s="310" t="s">
        <v>250</v>
      </c>
      <c r="P39" s="1226" t="s">
        <v>219</v>
      </c>
      <c r="Q39" s="1227"/>
      <c r="R39" s="1228"/>
      <c r="S39" s="304"/>
      <c r="T39" s="311" t="s">
        <v>222</v>
      </c>
      <c r="U39" s="309" t="s">
        <v>221</v>
      </c>
      <c r="V39" s="313" t="s">
        <v>220</v>
      </c>
      <c r="W39" s="313" t="s">
        <v>219</v>
      </c>
      <c r="X39" s="304"/>
      <c r="Y39" s="311" t="s">
        <v>222</v>
      </c>
      <c r="Z39" s="309" t="s">
        <v>221</v>
      </c>
      <c r="AA39" s="313" t="s">
        <v>220</v>
      </c>
      <c r="AB39" s="313" t="s">
        <v>219</v>
      </c>
      <c r="AC39" s="304"/>
    </row>
    <row r="40" spans="2:29" s="323" customFormat="1">
      <c r="B40" s="314" t="s">
        <v>115</v>
      </c>
      <c r="C40" s="315">
        <f>Financials!$DR$9</f>
        <v>8023.2000000000007</v>
      </c>
      <c r="D40" s="773">
        <f>$C$47*(1+D41)</f>
        <v>7806.7939999999999</v>
      </c>
      <c r="E40" s="322">
        <f>$C$47*(1+E41)</f>
        <v>7848.3194999999996</v>
      </c>
      <c r="F40" s="774">
        <f>$C$47*(1+F41)</f>
        <v>7889.8450000000003</v>
      </c>
      <c r="G40" s="320">
        <f>E40-I40</f>
        <v>-124.57650000000012</v>
      </c>
      <c r="H40" s="773">
        <f>$C$47*(1+H41)</f>
        <v>7848.3194999999996</v>
      </c>
      <c r="I40" s="322">
        <f>$C$47*(1+I41)</f>
        <v>7972.8959999999997</v>
      </c>
      <c r="J40" s="774">
        <f>$C$47*(1+J41)</f>
        <v>8097.4724999999999</v>
      </c>
      <c r="K40" s="320">
        <f>I40-M40</f>
        <v>-166.10200000000077</v>
      </c>
      <c r="L40" s="773">
        <f>$C$47*(1+L41)</f>
        <v>7972.8959999999997</v>
      </c>
      <c r="M40" s="322">
        <f>$C$47*(1+M41)</f>
        <v>8138.9980000000005</v>
      </c>
      <c r="N40" s="774">
        <f>$C$47*(1+N41)</f>
        <v>8305.1</v>
      </c>
      <c r="O40" s="320">
        <f>M40-Q40</f>
        <v>-498.30599999999959</v>
      </c>
      <c r="P40" s="773">
        <f>$C$47*(1+P41)</f>
        <v>8471.2020000000011</v>
      </c>
      <c r="Q40" s="322">
        <f>$C$47*(1+Q41)</f>
        <v>8637.3040000000001</v>
      </c>
      <c r="R40" s="774">
        <f>$C$47*(1+R41)</f>
        <v>8803.4060000000009</v>
      </c>
      <c r="S40" s="319"/>
      <c r="T40" s="320">
        <f>$C40-E40</f>
        <v>174.88050000000112</v>
      </c>
      <c r="U40" s="321">
        <f>$C40-I40</f>
        <v>50.304000000000997</v>
      </c>
      <c r="V40" s="322">
        <f>$C40-M40</f>
        <v>-115.79799999999977</v>
      </c>
      <c r="W40" s="322">
        <f>$C40-Q40</f>
        <v>-614.10399999999936</v>
      </c>
      <c r="X40" s="319"/>
      <c r="Y40" s="1198">
        <f>T40/E40</f>
        <v>2.2282540867506875E-2</v>
      </c>
      <c r="Z40" s="1199">
        <f>U40/I40</f>
        <v>6.3093761664520642E-3</v>
      </c>
      <c r="AA40" s="1200">
        <f>V40/M40</f>
        <v>-1.4227549877761337E-2</v>
      </c>
      <c r="AB40" s="1200">
        <f>W40/Q40</f>
        <v>-7.1099037384813518E-2</v>
      </c>
      <c r="AC40" s="319"/>
    </row>
    <row r="41" spans="2:29" s="340" customFormat="1">
      <c r="B41" s="333" t="s">
        <v>251</v>
      </c>
      <c r="C41" s="341">
        <f>Financials!$DR$10</f>
        <v>-3.3942998880206132E-2</v>
      </c>
      <c r="D41" s="758">
        <v>-0.06</v>
      </c>
      <c r="E41" s="336">
        <f>AVERAGE(D41,F41)</f>
        <v>-5.5E-2</v>
      </c>
      <c r="F41" s="759">
        <v>-0.05</v>
      </c>
      <c r="G41" s="338">
        <f>E41-I41</f>
        <v>-1.4999999999999999E-2</v>
      </c>
      <c r="H41" s="758">
        <v>-5.5E-2</v>
      </c>
      <c r="I41" s="336">
        <f>AVERAGE(H41,J41)</f>
        <v>-0.04</v>
      </c>
      <c r="J41" s="759">
        <v>-2.5000000000000001E-2</v>
      </c>
      <c r="K41" s="338">
        <f>I41-M41</f>
        <v>-0.02</v>
      </c>
      <c r="L41" s="758">
        <v>-0.04</v>
      </c>
      <c r="M41" s="336">
        <f>AVERAGE(L41,N41)</f>
        <v>-0.02</v>
      </c>
      <c r="N41" s="759">
        <v>0</v>
      </c>
      <c r="O41" s="338">
        <f>M41-Q41</f>
        <v>-0.06</v>
      </c>
      <c r="P41" s="758">
        <v>0.02</v>
      </c>
      <c r="Q41" s="336">
        <f>AVERAGE(P41,R41)</f>
        <v>0.04</v>
      </c>
      <c r="R41" s="759">
        <v>0.06</v>
      </c>
      <c r="S41" s="319"/>
      <c r="T41" s="338">
        <f t="shared" ref="T41:T44" si="32">$C41-E41</f>
        <v>2.1057001119793868E-2</v>
      </c>
      <c r="U41" s="339">
        <f t="shared" ref="U41:U44" si="33">$C41-I41</f>
        <v>6.0570011197938686E-3</v>
      </c>
      <c r="V41" s="336">
        <f t="shared" ref="V41:V44" si="34">$C41-M41</f>
        <v>-1.3942998880206132E-2</v>
      </c>
      <c r="W41" s="336">
        <f>$C41-Q41</f>
        <v>-7.394299888020614E-2</v>
      </c>
      <c r="X41" s="319"/>
      <c r="Y41" s="1201"/>
      <c r="Z41" s="1202"/>
      <c r="AA41" s="1203"/>
      <c r="AB41" s="1203"/>
      <c r="AC41" s="319"/>
    </row>
    <row r="42" spans="2:29" s="323" customFormat="1">
      <c r="B42" s="324" t="s">
        <v>85</v>
      </c>
      <c r="C42" s="325">
        <f>Financials!$DR$18</f>
        <v>1042.1000000000004</v>
      </c>
      <c r="D42" s="775">
        <f>D40*$E$43</f>
        <v>1014.8832200000001</v>
      </c>
      <c r="E42" s="332">
        <f t="shared" ref="E42:F42" si="35">E40*$E$43</f>
        <v>1020.281535</v>
      </c>
      <c r="F42" s="776">
        <f t="shared" si="35"/>
        <v>1025.67985</v>
      </c>
      <c r="G42" s="330">
        <f>E42-I42</f>
        <v>-16.194945000000075</v>
      </c>
      <c r="H42" s="775">
        <f>H40*$I$43</f>
        <v>1020.281535</v>
      </c>
      <c r="I42" s="332">
        <f t="shared" ref="I42:J42" si="36">I40*$I$43</f>
        <v>1036.47648</v>
      </c>
      <c r="J42" s="776">
        <f t="shared" si="36"/>
        <v>1052.671425</v>
      </c>
      <c r="K42" s="330">
        <f>I42-M42</f>
        <v>-21.5932600000001</v>
      </c>
      <c r="L42" s="775">
        <f>L40*$M$43</f>
        <v>1036.47648</v>
      </c>
      <c r="M42" s="332">
        <f t="shared" ref="M42:N42" si="37">M40*$M$43</f>
        <v>1058.0697400000001</v>
      </c>
      <c r="N42" s="776">
        <f t="shared" si="37"/>
        <v>1079.663</v>
      </c>
      <c r="O42" s="330">
        <f>M42-Q42</f>
        <v>-64.779779999999846</v>
      </c>
      <c r="P42" s="775">
        <f>P40*$Q$43</f>
        <v>1101.2562600000001</v>
      </c>
      <c r="Q42" s="332">
        <f t="shared" ref="Q42:R42" si="38">Q40*$Q$43</f>
        <v>1122.84952</v>
      </c>
      <c r="R42" s="776">
        <f t="shared" si="38"/>
        <v>1144.4427800000001</v>
      </c>
      <c r="S42" s="319"/>
      <c r="T42" s="330">
        <f t="shared" si="32"/>
        <v>21.818465000000401</v>
      </c>
      <c r="U42" s="331">
        <f t="shared" si="33"/>
        <v>5.623520000000326</v>
      </c>
      <c r="V42" s="332">
        <f t="shared" si="34"/>
        <v>-15.969739999999774</v>
      </c>
      <c r="W42" s="332">
        <f>$C42-Q42</f>
        <v>-80.74951999999962</v>
      </c>
      <c r="X42" s="319"/>
      <c r="Y42" s="1201">
        <f t="shared" ref="Y42" si="39">T42/E42</f>
        <v>2.1384749455453392E-2</v>
      </c>
      <c r="Z42" s="1202">
        <f t="shared" ref="Z42" si="40">U42/I42</f>
        <v>5.4256127452118599E-3</v>
      </c>
      <c r="AA42" s="1203">
        <f t="shared" ref="AA42" si="41">V42/M42</f>
        <v>-1.5093277310812964E-2</v>
      </c>
      <c r="AB42" s="1203">
        <f t="shared" ref="AB42" si="42">W42/Q42</f>
        <v>-7.1914819004419775E-2</v>
      </c>
      <c r="AC42" s="319"/>
    </row>
    <row r="43" spans="2:29" s="340" customFormat="1">
      <c r="B43" s="333" t="s">
        <v>240</v>
      </c>
      <c r="C43" s="341">
        <f>Financials!$DR$19</f>
        <v>0.1298858310898395</v>
      </c>
      <c r="D43" s="335"/>
      <c r="E43" s="342">
        <v>0.13</v>
      </c>
      <c r="F43" s="337"/>
      <c r="G43" s="338">
        <f>E43-I43</f>
        <v>0</v>
      </c>
      <c r="H43" s="335"/>
      <c r="I43" s="342">
        <v>0.13</v>
      </c>
      <c r="J43" s="337"/>
      <c r="K43" s="338">
        <f>I43-M43</f>
        <v>0</v>
      </c>
      <c r="L43" s="335"/>
      <c r="M43" s="342">
        <v>0.13</v>
      </c>
      <c r="N43" s="337"/>
      <c r="O43" s="338">
        <f>M43-Q43</f>
        <v>0</v>
      </c>
      <c r="P43" s="335"/>
      <c r="Q43" s="342">
        <v>0.13</v>
      </c>
      <c r="R43" s="337"/>
      <c r="S43" s="319"/>
      <c r="T43" s="338">
        <f t="shared" si="32"/>
        <v>-1.1416891016050035E-4</v>
      </c>
      <c r="U43" s="339">
        <f t="shared" si="33"/>
        <v>-1.1416891016050035E-4</v>
      </c>
      <c r="V43" s="336">
        <f t="shared" si="34"/>
        <v>-1.1416891016050035E-4</v>
      </c>
      <c r="W43" s="336">
        <f>$C43-Q43</f>
        <v>-1.1416891016050035E-4</v>
      </c>
      <c r="X43" s="319"/>
      <c r="Y43" s="1201"/>
      <c r="Z43" s="1202"/>
      <c r="AA43" s="1203"/>
      <c r="AB43" s="1203"/>
      <c r="AC43" s="319"/>
    </row>
    <row r="44" spans="2:29" s="711" customFormat="1" ht="15.75" thickBot="1">
      <c r="B44" s="772" t="s">
        <v>387</v>
      </c>
      <c r="C44" s="781">
        <f>Financials!$DR$44</f>
        <v>3.0467970742494521</v>
      </c>
      <c r="D44" s="715">
        <v>2.95</v>
      </c>
      <c r="E44" s="771">
        <f>AVERAGE(D44,F44)</f>
        <v>2.9750000000000001</v>
      </c>
      <c r="F44" s="716">
        <v>3</v>
      </c>
      <c r="G44" s="789">
        <f>E44-I44</f>
        <v>-5.0000000000000266E-2</v>
      </c>
      <c r="H44" s="715">
        <v>2.95</v>
      </c>
      <c r="I44" s="771">
        <f>AVERAGE(H44,J44)</f>
        <v>3.0250000000000004</v>
      </c>
      <c r="J44" s="716">
        <v>3.1</v>
      </c>
      <c r="K44" s="789">
        <f>I44-M44</f>
        <v>-0.17499999999999982</v>
      </c>
      <c r="L44" s="715">
        <v>3.1</v>
      </c>
      <c r="M44" s="771">
        <f>AVERAGE(L44,N44)</f>
        <v>3.2</v>
      </c>
      <c r="N44" s="716">
        <v>3.3</v>
      </c>
      <c r="O44" s="789">
        <f>M44-Q44</f>
        <v>-0.25</v>
      </c>
      <c r="P44" s="715">
        <v>3.35</v>
      </c>
      <c r="Q44" s="771">
        <f>AVERAGE(P44,R44)</f>
        <v>3.45</v>
      </c>
      <c r="R44" s="716">
        <v>3.55</v>
      </c>
      <c r="T44" s="717">
        <f t="shared" si="32"/>
        <v>7.1797074249452031E-2</v>
      </c>
      <c r="U44" s="780">
        <f t="shared" si="33"/>
        <v>2.1797074249451764E-2</v>
      </c>
      <c r="V44" s="718">
        <f t="shared" si="34"/>
        <v>-0.15320292575054806</v>
      </c>
      <c r="W44" s="718">
        <f>$C44-Q44</f>
        <v>-0.40320292575054806</v>
      </c>
      <c r="Y44" s="1204">
        <f t="shared" ref="Y44" si="43">T44/E44</f>
        <v>2.4133470335950261E-2</v>
      </c>
      <c r="Z44" s="1205">
        <f t="shared" ref="Z44" si="44">U44/I44</f>
        <v>7.2056443799840535E-3</v>
      </c>
      <c r="AA44" s="1206">
        <f t="shared" ref="AA44" si="45">V44/M44</f>
        <v>-4.7875914297046268E-2</v>
      </c>
      <c r="AB44" s="1206">
        <f t="shared" ref="AB44" si="46">W44/Q44</f>
        <v>-0.11687041326102841</v>
      </c>
    </row>
    <row r="45" spans="2:29" ht="15.75" thickBot="1"/>
    <row r="46" spans="2:29" s="302" customFormat="1">
      <c r="B46" s="308"/>
      <c r="C46" s="309">
        <v>2014</v>
      </c>
      <c r="D46" s="1226" t="s">
        <v>218</v>
      </c>
      <c r="E46" s="1227"/>
      <c r="F46" s="1228"/>
      <c r="G46" s="310" t="s">
        <v>250</v>
      </c>
      <c r="H46" s="1229" t="s">
        <v>217</v>
      </c>
      <c r="I46" s="1230"/>
      <c r="J46" s="1231"/>
      <c r="K46" s="310" t="s">
        <v>250</v>
      </c>
      <c r="L46" s="1226" t="s">
        <v>216</v>
      </c>
      <c r="M46" s="1227"/>
      <c r="N46" s="1228"/>
      <c r="O46" s="310" t="s">
        <v>250</v>
      </c>
      <c r="P46" s="1226" t="s">
        <v>215</v>
      </c>
      <c r="Q46" s="1227"/>
      <c r="R46" s="1228"/>
      <c r="S46" s="304"/>
      <c r="T46" s="311" t="s">
        <v>218</v>
      </c>
      <c r="U46" s="309" t="s">
        <v>217</v>
      </c>
      <c r="V46" s="313" t="s">
        <v>216</v>
      </c>
      <c r="W46" s="313" t="s">
        <v>215</v>
      </c>
      <c r="X46" s="304"/>
      <c r="Y46" s="311" t="s">
        <v>218</v>
      </c>
      <c r="Z46" s="309" t="s">
        <v>217</v>
      </c>
      <c r="AA46" s="313" t="s">
        <v>216</v>
      </c>
      <c r="AB46" s="313" t="s">
        <v>215</v>
      </c>
      <c r="AC46" s="304"/>
    </row>
    <row r="47" spans="2:29" s="323" customFormat="1">
      <c r="B47" s="314" t="s">
        <v>115</v>
      </c>
      <c r="C47" s="315">
        <f>Financials!$DQ$9</f>
        <v>8305.1</v>
      </c>
      <c r="D47" s="773">
        <f>$C$54*(1+D48)</f>
        <v>8328.992000000002</v>
      </c>
      <c r="E47" s="322">
        <f>$C$54*(1+E48)</f>
        <v>8366.1750000000011</v>
      </c>
      <c r="F47" s="774">
        <f>$C$54*(1+F48)</f>
        <v>8403.3580000000002</v>
      </c>
      <c r="G47" s="320">
        <f>E47-I47</f>
        <v>-111.54900000000089</v>
      </c>
      <c r="H47" s="773">
        <f>$C$54*(1+H48)</f>
        <v>8403.3580000000002</v>
      </c>
      <c r="I47" s="322">
        <f>$C$54*(1+I48)</f>
        <v>8477.724000000002</v>
      </c>
      <c r="J47" s="774">
        <f>$C$54*(1+J48)</f>
        <v>8552.09</v>
      </c>
      <c r="K47" s="320">
        <f>I47-M47</f>
        <v>37.183000000000902</v>
      </c>
      <c r="L47" s="773">
        <f>$C$54*(1+L48)</f>
        <v>8328.992000000002</v>
      </c>
      <c r="M47" s="322">
        <f>$C$54*(1+M48)</f>
        <v>8440.5410000000011</v>
      </c>
      <c r="N47" s="774">
        <f>$C$54*(1+N48)</f>
        <v>8552.09</v>
      </c>
      <c r="O47" s="320">
        <f>M47-Q47</f>
        <v>334.64699999999993</v>
      </c>
      <c r="P47" s="773">
        <f>$C$54*(1+P48)</f>
        <v>7957.1620000000012</v>
      </c>
      <c r="Q47" s="322">
        <f>$C$54*(1+Q48)</f>
        <v>8105.8940000000011</v>
      </c>
      <c r="R47" s="774">
        <f>$C$54*(1+R48)</f>
        <v>8254.626000000002</v>
      </c>
      <c r="S47" s="319"/>
      <c r="T47" s="320">
        <f>$C47-E47</f>
        <v>-61.075000000000728</v>
      </c>
      <c r="U47" s="321">
        <f>$C47-I47</f>
        <v>-172.62400000000162</v>
      </c>
      <c r="V47" s="322">
        <f>$C47-M47</f>
        <v>-135.44100000000071</v>
      </c>
      <c r="W47" s="322">
        <f>$C47-Q47</f>
        <v>199.20599999999922</v>
      </c>
      <c r="X47" s="319"/>
      <c r="Y47" s="1198">
        <f>T47/E47</f>
        <v>-7.3002297943804331E-3</v>
      </c>
      <c r="Z47" s="1199">
        <f>U47/I47</f>
        <v>-2.0362068876033423E-2</v>
      </c>
      <c r="AA47" s="1200">
        <f>V47/M47</f>
        <v>-1.6046483276368269E-2</v>
      </c>
      <c r="AB47" s="1200">
        <f>W47/Q47</f>
        <v>2.4575450900295413E-2</v>
      </c>
      <c r="AC47" s="319"/>
    </row>
    <row r="48" spans="2:29" s="340" customFormat="1">
      <c r="B48" s="333" t="s">
        <v>251</v>
      </c>
      <c r="C48" s="341">
        <f>Financials!$DQ$10</f>
        <v>0.11678724148132202</v>
      </c>
      <c r="D48" s="758">
        <v>0.12</v>
      </c>
      <c r="E48" s="336">
        <f>AVERAGE(D48,F48)</f>
        <v>0.125</v>
      </c>
      <c r="F48" s="759">
        <v>0.13</v>
      </c>
      <c r="G48" s="338">
        <f>E48-I48</f>
        <v>-1.5000000000000013E-2</v>
      </c>
      <c r="H48" s="758">
        <v>0.13</v>
      </c>
      <c r="I48" s="336">
        <f>AVERAGE(H48,J48)</f>
        <v>0.14000000000000001</v>
      </c>
      <c r="J48" s="759">
        <v>0.15</v>
      </c>
      <c r="K48" s="338">
        <f>I48-M48</f>
        <v>5.0000000000000044E-3</v>
      </c>
      <c r="L48" s="758">
        <v>0.12</v>
      </c>
      <c r="M48" s="336">
        <f>AVERAGE(L48,N48)</f>
        <v>0.13500000000000001</v>
      </c>
      <c r="N48" s="759">
        <v>0.15</v>
      </c>
      <c r="O48" s="338">
        <f>M48-Q48</f>
        <v>4.5000000000000012E-2</v>
      </c>
      <c r="P48" s="758">
        <v>7.0000000000000007E-2</v>
      </c>
      <c r="Q48" s="336">
        <f>AVERAGE(P48,R48)</f>
        <v>0.09</v>
      </c>
      <c r="R48" s="759">
        <v>0.11</v>
      </c>
      <c r="S48" s="319"/>
      <c r="T48" s="338">
        <f t="shared" ref="T48:T51" si="47">$C48-E48</f>
        <v>-8.2127585186779761E-3</v>
      </c>
      <c r="U48" s="339">
        <f t="shared" ref="U48:U51" si="48">$C48-I48</f>
        <v>-2.3212758518677989E-2</v>
      </c>
      <c r="V48" s="336">
        <f t="shared" ref="V48:V51" si="49">$C48-M48</f>
        <v>-1.8212758518677985E-2</v>
      </c>
      <c r="W48" s="336">
        <f>$C48-Q48</f>
        <v>2.6787241481322027E-2</v>
      </c>
      <c r="X48" s="319"/>
      <c r="Y48" s="1201"/>
      <c r="Z48" s="1202"/>
      <c r="AA48" s="1203"/>
      <c r="AB48" s="1203"/>
      <c r="AC48" s="319"/>
    </row>
    <row r="49" spans="2:29" s="323" customFormat="1">
      <c r="B49" s="324" t="s">
        <v>85</v>
      </c>
      <c r="C49" s="325">
        <f>Financials!$DQ$18</f>
        <v>1057.1891999999996</v>
      </c>
      <c r="D49" s="775">
        <f>D47*$E$50</f>
        <v>1082.7689600000003</v>
      </c>
      <c r="E49" s="332">
        <f t="shared" ref="E49:F49" si="50">E47*$E$50</f>
        <v>1087.6027500000002</v>
      </c>
      <c r="F49" s="776">
        <f t="shared" si="50"/>
        <v>1092.4365400000002</v>
      </c>
      <c r="G49" s="330">
        <f>E49-I49</f>
        <v>-14.501369999999952</v>
      </c>
      <c r="H49" s="775">
        <f>H47*$I$50</f>
        <v>1092.4365400000002</v>
      </c>
      <c r="I49" s="332">
        <f t="shared" ref="I49:J49" si="51">I47*$I$50</f>
        <v>1102.1041200000002</v>
      </c>
      <c r="J49" s="776">
        <f t="shared" si="51"/>
        <v>1111.7717</v>
      </c>
      <c r="K49" s="330">
        <f>I49-M49</f>
        <v>47.036495000000059</v>
      </c>
      <c r="L49" s="775">
        <f>L47*$M$50</f>
        <v>1041.1240000000003</v>
      </c>
      <c r="M49" s="332">
        <f t="shared" ref="M49:N49" si="52">M47*$M$50</f>
        <v>1055.0676250000001</v>
      </c>
      <c r="N49" s="776">
        <f t="shared" si="52"/>
        <v>1069.01125</v>
      </c>
      <c r="O49" s="330">
        <f>M49-Q49</f>
        <v>41.830874999999992</v>
      </c>
      <c r="P49" s="775">
        <f>P47*$Q$50</f>
        <v>994.64525000000015</v>
      </c>
      <c r="Q49" s="332">
        <f t="shared" ref="Q49:R49" si="53">Q47*$Q$50</f>
        <v>1013.2367500000001</v>
      </c>
      <c r="R49" s="776">
        <f t="shared" si="53"/>
        <v>1031.8282500000003</v>
      </c>
      <c r="S49" s="319"/>
      <c r="T49" s="330">
        <f t="shared" si="47"/>
        <v>-30.413550000000669</v>
      </c>
      <c r="U49" s="331">
        <f t="shared" si="48"/>
        <v>-44.91492000000062</v>
      </c>
      <c r="V49" s="332">
        <f t="shared" si="49"/>
        <v>2.1215749999994387</v>
      </c>
      <c r="W49" s="332">
        <f>$C49-Q49</f>
        <v>43.95244999999943</v>
      </c>
      <c r="X49" s="319"/>
      <c r="Y49" s="1201">
        <f t="shared" ref="Y49" si="54">T49/E49</f>
        <v>-2.7963840657814317E-2</v>
      </c>
      <c r="Z49" s="1202">
        <f t="shared" ref="Z49" si="55">U49/I49</f>
        <v>-4.0753790122843032E-2</v>
      </c>
      <c r="AA49" s="1203">
        <f t="shared" ref="AA49" si="56">V49/M49</f>
        <v>2.0108426699183743E-3</v>
      </c>
      <c r="AB49" s="1203">
        <f t="shared" ref="AB49" si="57">W49/Q49</f>
        <v>4.3378262780144346E-2</v>
      </c>
      <c r="AC49" s="319"/>
    </row>
    <row r="50" spans="2:29" s="340" customFormat="1">
      <c r="B50" s="333" t="s">
        <v>240</v>
      </c>
      <c r="C50" s="341">
        <f>Financials!$DQ$19</f>
        <v>0.12729397599065628</v>
      </c>
      <c r="D50" s="335"/>
      <c r="E50" s="342">
        <v>0.13</v>
      </c>
      <c r="F50" s="337"/>
      <c r="G50" s="338">
        <f>E50-I50</f>
        <v>0</v>
      </c>
      <c r="H50" s="335"/>
      <c r="I50" s="342">
        <v>0.13</v>
      </c>
      <c r="J50" s="337"/>
      <c r="K50" s="338">
        <f>I50-M50</f>
        <v>5.0000000000000044E-3</v>
      </c>
      <c r="L50" s="335"/>
      <c r="M50" s="342">
        <v>0.125</v>
      </c>
      <c r="N50" s="337"/>
      <c r="O50" s="338">
        <f>M50-Q50</f>
        <v>0</v>
      </c>
      <c r="P50" s="335"/>
      <c r="Q50" s="342">
        <v>0.125</v>
      </c>
      <c r="R50" s="337"/>
      <c r="S50" s="319"/>
      <c r="T50" s="338">
        <f t="shared" si="47"/>
        <v>-2.7060240093437216E-3</v>
      </c>
      <c r="U50" s="339">
        <f t="shared" si="48"/>
        <v>-2.7060240093437216E-3</v>
      </c>
      <c r="V50" s="336">
        <f t="shared" si="49"/>
        <v>2.2939759906562829E-3</v>
      </c>
      <c r="W50" s="336">
        <f>$C50-Q50</f>
        <v>2.2939759906562829E-3</v>
      </c>
      <c r="X50" s="319"/>
      <c r="Y50" s="1201"/>
      <c r="Z50" s="1202"/>
      <c r="AA50" s="1203"/>
      <c r="AB50" s="1203"/>
      <c r="AC50" s="319"/>
    </row>
    <row r="51" spans="2:29" s="711" customFormat="1" ht="15.75" thickBot="1">
      <c r="B51" s="772" t="s">
        <v>387</v>
      </c>
      <c r="C51" s="781">
        <f>Financials!$DQ$44</f>
        <v>3.2532340253584779</v>
      </c>
      <c r="D51" s="715">
        <v>3.23</v>
      </c>
      <c r="E51" s="771">
        <f>AVERAGE(D51,F51)</f>
        <v>3.2549999999999999</v>
      </c>
      <c r="F51" s="716">
        <v>3.28</v>
      </c>
      <c r="G51" s="789">
        <f>E51-I51</f>
        <v>-4.4999999999999929E-2</v>
      </c>
      <c r="H51" s="715">
        <v>3.25</v>
      </c>
      <c r="I51" s="771">
        <f>AVERAGE(H51,J51)</f>
        <v>3.3</v>
      </c>
      <c r="J51" s="716">
        <v>3.35</v>
      </c>
      <c r="K51" s="789">
        <f>I51-M51</f>
        <v>7.5000000000000178E-2</v>
      </c>
      <c r="L51" s="715">
        <v>3.15</v>
      </c>
      <c r="M51" s="771">
        <f>AVERAGE(L51,N51)</f>
        <v>3.2249999999999996</v>
      </c>
      <c r="N51" s="716">
        <v>3.3</v>
      </c>
      <c r="O51" s="789">
        <f>M51-Q51</f>
        <v>4.9999999999999822E-2</v>
      </c>
      <c r="P51" s="715">
        <v>3.1</v>
      </c>
      <c r="Q51" s="771">
        <f>AVERAGE(P51,R51)</f>
        <v>3.1749999999999998</v>
      </c>
      <c r="R51" s="716">
        <v>3.25</v>
      </c>
      <c r="T51" s="717">
        <f t="shared" si="47"/>
        <v>-1.7659746415219502E-3</v>
      </c>
      <c r="U51" s="780">
        <f t="shared" si="48"/>
        <v>-4.6765974641521879E-2</v>
      </c>
      <c r="V51" s="718">
        <f t="shared" si="49"/>
        <v>2.8234025358478299E-2</v>
      </c>
      <c r="W51" s="718">
        <f>$C51-Q51</f>
        <v>7.8234025358478121E-2</v>
      </c>
      <c r="Y51" s="1204">
        <f t="shared" ref="Y51" si="58">T51/E51</f>
        <v>-5.4254213257202771E-4</v>
      </c>
      <c r="Z51" s="1205">
        <f t="shared" ref="Z51" si="59">U51/I51</f>
        <v>-1.4171507467127843E-2</v>
      </c>
      <c r="AA51" s="1206">
        <f t="shared" ref="AA51" si="60">V51/M51</f>
        <v>8.7547365452645895E-3</v>
      </c>
      <c r="AB51" s="1206">
        <f t="shared" ref="AB51" si="61">W51/Q51</f>
        <v>2.4640637908182085E-2</v>
      </c>
    </row>
    <row r="52" spans="2:29" ht="15.75" thickBot="1"/>
    <row r="53" spans="2:29" s="302" customFormat="1">
      <c r="B53" s="308"/>
      <c r="C53" s="309">
        <v>2013</v>
      </c>
      <c r="D53" s="1226" t="s">
        <v>214</v>
      </c>
      <c r="E53" s="1227"/>
      <c r="F53" s="1228"/>
      <c r="G53" s="310" t="s">
        <v>250</v>
      </c>
      <c r="H53" s="1229" t="s">
        <v>213</v>
      </c>
      <c r="I53" s="1230"/>
      <c r="J53" s="1231"/>
      <c r="K53" s="310" t="s">
        <v>250</v>
      </c>
      <c r="L53" s="1226" t="s">
        <v>212</v>
      </c>
      <c r="M53" s="1227"/>
      <c r="N53" s="1228"/>
      <c r="O53" s="310" t="s">
        <v>250</v>
      </c>
      <c r="P53" s="1226" t="s">
        <v>211</v>
      </c>
      <c r="Q53" s="1227"/>
      <c r="R53" s="1228"/>
      <c r="S53" s="304"/>
      <c r="T53" s="311" t="s">
        <v>214</v>
      </c>
      <c r="U53" s="309" t="s">
        <v>213</v>
      </c>
      <c r="V53" s="313" t="s">
        <v>212</v>
      </c>
      <c r="W53" s="313" t="s">
        <v>211</v>
      </c>
      <c r="X53" s="304"/>
      <c r="Y53" s="311" t="s">
        <v>214</v>
      </c>
      <c r="Z53" s="309" t="s">
        <v>213</v>
      </c>
      <c r="AA53" s="313" t="s">
        <v>212</v>
      </c>
      <c r="AB53" s="313" t="s">
        <v>211</v>
      </c>
      <c r="AC53" s="304"/>
    </row>
    <row r="54" spans="2:29" s="323" customFormat="1">
      <c r="B54" s="314" t="s">
        <v>115</v>
      </c>
      <c r="C54" s="315">
        <f>Financials!$DP$9</f>
        <v>7436.6</v>
      </c>
      <c r="D54" s="777">
        <f>Financials!$DO$9*(1+Guidance!D55)</f>
        <v>7398.6960000000008</v>
      </c>
      <c r="E54" s="778">
        <f>Financials!$DO$9*(1+Guidance!E55)</f>
        <v>7434.6120000000001</v>
      </c>
      <c r="F54" s="779">
        <f>Financials!$DO$9*(1+Guidance!F55)</f>
        <v>7470.5280000000012</v>
      </c>
      <c r="G54" s="320">
        <f>E54-I54</f>
        <v>-35.916000000001077</v>
      </c>
      <c r="H54" s="777">
        <f>Financials!$DO$9*(1+Guidance!H55)</f>
        <v>7398.6960000000008</v>
      </c>
      <c r="I54" s="778">
        <f>Financials!$DO$9*(1+Guidance!I55)</f>
        <v>7470.5280000000012</v>
      </c>
      <c r="J54" s="779">
        <f>Financials!$DO$9*(1+Guidance!J55)</f>
        <v>7542.3600000000015</v>
      </c>
      <c r="K54" s="320">
        <f>I54-M54</f>
        <v>0</v>
      </c>
      <c r="L54" s="777">
        <f>Financials!$DO$9*(1+Guidance!L55)</f>
        <v>7326.8640000000005</v>
      </c>
      <c r="M54" s="778">
        <f>Financials!$DO$9*(1+Guidance!M55)</f>
        <v>7470.5280000000012</v>
      </c>
      <c r="N54" s="779">
        <f>Financials!$DO$9*(1+Guidance!N55)</f>
        <v>7614.1920000000009</v>
      </c>
      <c r="O54" s="320">
        <f>M54-Q54</f>
        <v>0</v>
      </c>
      <c r="P54" s="777">
        <f>Financials!$DO$9*(1+Guidance!P55)</f>
        <v>7326.8640000000005</v>
      </c>
      <c r="Q54" s="778">
        <f>Financials!$DO$9*(1+Guidance!Q55)</f>
        <v>7470.5280000000012</v>
      </c>
      <c r="R54" s="779">
        <f>Financials!$DO$9*(1+Guidance!R55)</f>
        <v>7614.1920000000009</v>
      </c>
      <c r="S54" s="319"/>
      <c r="T54" s="320">
        <f>$C54-E54</f>
        <v>1.9880000000002838</v>
      </c>
      <c r="U54" s="321">
        <f>$C54-I54</f>
        <v>-33.928000000000793</v>
      </c>
      <c r="V54" s="322">
        <f>$C54-M54</f>
        <v>-33.928000000000793</v>
      </c>
      <c r="W54" s="322">
        <f>$C54-Q54</f>
        <v>-33.928000000000793</v>
      </c>
      <c r="X54" s="319"/>
      <c r="Y54" s="1198">
        <f>T54/E54</f>
        <v>2.6739794894478473E-4</v>
      </c>
      <c r="Z54" s="1199">
        <f>U54/I54</f>
        <v>-4.5415799258099005E-3</v>
      </c>
      <c r="AA54" s="1200">
        <f>V54/M54</f>
        <v>-4.5415799258099005E-3</v>
      </c>
      <c r="AB54" s="1200">
        <f>W54/Q54</f>
        <v>-4.5415799258099005E-3</v>
      </c>
      <c r="AC54" s="319"/>
    </row>
    <row r="55" spans="2:29" s="340" customFormat="1">
      <c r="B55" s="333" t="s">
        <v>251</v>
      </c>
      <c r="C55" s="341">
        <f>Financials!$DP$10</f>
        <v>3.52767568771577E-2</v>
      </c>
      <c r="D55" s="758">
        <v>0.03</v>
      </c>
      <c r="E55" s="336">
        <f>AVERAGE(D55,F55)</f>
        <v>3.5000000000000003E-2</v>
      </c>
      <c r="F55" s="759">
        <v>0.04</v>
      </c>
      <c r="G55" s="338">
        <f>E55-I55</f>
        <v>-4.9999999999999975E-3</v>
      </c>
      <c r="H55" s="758">
        <v>0.03</v>
      </c>
      <c r="I55" s="336">
        <f>AVERAGE(H55,J55)</f>
        <v>0.04</v>
      </c>
      <c r="J55" s="759">
        <v>0.05</v>
      </c>
      <c r="K55" s="338">
        <f>I55-M55</f>
        <v>0</v>
      </c>
      <c r="L55" s="758">
        <v>0.02</v>
      </c>
      <c r="M55" s="336">
        <f>AVERAGE(L55,N55)</f>
        <v>0.04</v>
      </c>
      <c r="N55" s="759">
        <v>0.06</v>
      </c>
      <c r="O55" s="338">
        <f>M55-Q55</f>
        <v>0</v>
      </c>
      <c r="P55" s="758">
        <v>0.02</v>
      </c>
      <c r="Q55" s="336">
        <f>AVERAGE(P55,R55)</f>
        <v>0.04</v>
      </c>
      <c r="R55" s="759">
        <v>0.06</v>
      </c>
      <c r="S55" s="319"/>
      <c r="T55" s="338">
        <f t="shared" ref="T55:T58" si="62">$C55-E55</f>
        <v>2.767568771576967E-4</v>
      </c>
      <c r="U55" s="339">
        <f t="shared" ref="U55:U58" si="63">$C55-I55</f>
        <v>-4.7232431228423008E-3</v>
      </c>
      <c r="V55" s="336">
        <f t="shared" ref="V55:V58" si="64">$C55-M55</f>
        <v>-4.7232431228423008E-3</v>
      </c>
      <c r="W55" s="336">
        <f>$C55-Q55</f>
        <v>-4.7232431228423008E-3</v>
      </c>
      <c r="X55" s="319"/>
      <c r="Y55" s="1201"/>
      <c r="Z55" s="1202"/>
      <c r="AA55" s="1203"/>
      <c r="AB55" s="1203"/>
      <c r="AC55" s="319"/>
    </row>
    <row r="56" spans="2:29" s="323" customFormat="1">
      <c r="B56" s="324" t="s">
        <v>85</v>
      </c>
      <c r="C56" s="325">
        <f>Financials!$DP$18</f>
        <v>910.46500000000094</v>
      </c>
      <c r="D56" s="775">
        <f>D54*$E$57</f>
        <v>887.84352000000001</v>
      </c>
      <c r="E56" s="332">
        <f t="shared" ref="E56:F56" si="65">E54*$E$57</f>
        <v>892.15343999999993</v>
      </c>
      <c r="F56" s="776">
        <f t="shared" si="65"/>
        <v>896.46336000000008</v>
      </c>
      <c r="G56" s="330">
        <f>E56-I56</f>
        <v>-4.3099200000001474</v>
      </c>
      <c r="H56" s="775">
        <f>H54*$I$57</f>
        <v>887.84352000000001</v>
      </c>
      <c r="I56" s="332">
        <f t="shared" ref="I56:J56" si="66">I54*$I$57</f>
        <v>896.46336000000008</v>
      </c>
      <c r="J56" s="776">
        <f t="shared" si="66"/>
        <v>905.08320000000015</v>
      </c>
      <c r="K56" s="330">
        <f>I56-M56</f>
        <v>37.352639999999951</v>
      </c>
      <c r="L56" s="775">
        <f>L54*$M$57</f>
        <v>842.58936000000006</v>
      </c>
      <c r="M56" s="332">
        <f t="shared" ref="M56:N56" si="67">M54*$M$57</f>
        <v>859.11072000000013</v>
      </c>
      <c r="N56" s="776">
        <f t="shared" si="67"/>
        <v>875.63208000000009</v>
      </c>
      <c r="O56" s="330">
        <f>M56-Q56</f>
        <v>0</v>
      </c>
      <c r="P56" s="775">
        <f>P54*$Q$57</f>
        <v>842.58936000000006</v>
      </c>
      <c r="Q56" s="332">
        <f t="shared" ref="Q56:R56" si="68">Q54*$Q$57</f>
        <v>859.11072000000013</v>
      </c>
      <c r="R56" s="776">
        <f t="shared" si="68"/>
        <v>875.63208000000009</v>
      </c>
      <c r="S56" s="319"/>
      <c r="T56" s="330">
        <f t="shared" si="62"/>
        <v>18.311560000001009</v>
      </c>
      <c r="U56" s="331">
        <f t="shared" si="63"/>
        <v>14.001640000000862</v>
      </c>
      <c r="V56" s="332">
        <f t="shared" si="64"/>
        <v>51.354280000000813</v>
      </c>
      <c r="W56" s="332">
        <f>$C56-Q56</f>
        <v>51.354280000000813</v>
      </c>
      <c r="X56" s="319"/>
      <c r="Y56" s="1201">
        <f t="shared" ref="Y56:Y58" si="69">T56/E56</f>
        <v>2.052512401902638E-2</v>
      </c>
      <c r="Z56" s="1202">
        <f t="shared" ref="Z56:Z58" si="70">U56/I56</f>
        <v>1.56187532304732E-2</v>
      </c>
      <c r="AA56" s="1203">
        <f t="shared" ref="AA56:AA58" si="71">V56/M56</f>
        <v>5.9776090327450231E-2</v>
      </c>
      <c r="AB56" s="1203">
        <f t="shared" ref="AB56:AB58" si="72">W56/Q56</f>
        <v>5.9776090327450231E-2</v>
      </c>
      <c r="AC56" s="319"/>
    </row>
    <row r="57" spans="2:29" s="340" customFormat="1">
      <c r="B57" s="333" t="s">
        <v>240</v>
      </c>
      <c r="C57" s="341">
        <f>Financials!$DP$19</f>
        <v>0.12243027727725048</v>
      </c>
      <c r="D57" s="335"/>
      <c r="E57" s="342">
        <v>0.12</v>
      </c>
      <c r="F57" s="337"/>
      <c r="G57" s="338">
        <f>E57-I57</f>
        <v>0</v>
      </c>
      <c r="H57" s="335"/>
      <c r="I57" s="342">
        <v>0.12</v>
      </c>
      <c r="J57" s="337"/>
      <c r="K57" s="338">
        <f>I57-M57</f>
        <v>4.9999999999999906E-3</v>
      </c>
      <c r="L57" s="335"/>
      <c r="M57" s="342">
        <v>0.115</v>
      </c>
      <c r="N57" s="337"/>
      <c r="O57" s="338">
        <f>M57-Q57</f>
        <v>0</v>
      </c>
      <c r="P57" s="335"/>
      <c r="Q57" s="342">
        <v>0.115</v>
      </c>
      <c r="R57" s="337"/>
      <c r="S57" s="319"/>
      <c r="T57" s="338">
        <f t="shared" si="62"/>
        <v>2.430277277250481E-3</v>
      </c>
      <c r="U57" s="339">
        <f t="shared" si="63"/>
        <v>2.430277277250481E-3</v>
      </c>
      <c r="V57" s="336">
        <f t="shared" si="64"/>
        <v>7.4302772772504716E-3</v>
      </c>
      <c r="W57" s="336">
        <f>$C57-Q57</f>
        <v>7.4302772772504716E-3</v>
      </c>
      <c r="X57" s="319"/>
      <c r="Y57" s="1201"/>
      <c r="Z57" s="1202"/>
      <c r="AA57" s="1203"/>
      <c r="AB57" s="1203"/>
      <c r="AC57" s="319"/>
    </row>
    <row r="58" spans="2:29" s="711" customFormat="1" ht="15.75" thickBot="1">
      <c r="B58" s="772" t="s">
        <v>387</v>
      </c>
      <c r="C58" s="781">
        <f>Financials!$DP$44*2</f>
        <v>5.7757267913109338</v>
      </c>
      <c r="D58" s="715">
        <v>5.55</v>
      </c>
      <c r="E58" s="771">
        <f>AVERAGE(D58,F58)</f>
        <v>5.6</v>
      </c>
      <c r="F58" s="716">
        <v>5.65</v>
      </c>
      <c r="G58" s="789">
        <f>E58-I58</f>
        <v>0.125</v>
      </c>
      <c r="H58" s="715">
        <v>5.4</v>
      </c>
      <c r="I58" s="771">
        <f>AVERAGE(H58,J58)</f>
        <v>5.4749999999999996</v>
      </c>
      <c r="J58" s="716">
        <v>5.55</v>
      </c>
      <c r="K58" s="789">
        <f>I58-M58</f>
        <v>0.17499999999999893</v>
      </c>
      <c r="L58" s="715">
        <v>5.15</v>
      </c>
      <c r="M58" s="771">
        <f>AVERAGE(L58,N58)</f>
        <v>5.3000000000000007</v>
      </c>
      <c r="N58" s="716">
        <v>5.45</v>
      </c>
      <c r="O58" s="789">
        <f>M58-Q58</f>
        <v>0</v>
      </c>
      <c r="P58" s="715">
        <v>5.15</v>
      </c>
      <c r="Q58" s="771">
        <f>AVERAGE(P58,R58)</f>
        <v>5.3000000000000007</v>
      </c>
      <c r="R58" s="716">
        <v>5.45</v>
      </c>
      <c r="T58" s="717">
        <f t="shared" si="62"/>
        <v>0.17572679131093416</v>
      </c>
      <c r="U58" s="780">
        <f t="shared" si="63"/>
        <v>0.30072679131093416</v>
      </c>
      <c r="V58" s="718">
        <f t="shared" si="64"/>
        <v>0.47572679131093309</v>
      </c>
      <c r="W58" s="718">
        <f>$C58-Q58</f>
        <v>0.47572679131093309</v>
      </c>
      <c r="Y58" s="1204">
        <f t="shared" si="69"/>
        <v>3.1379784162666818E-2</v>
      </c>
      <c r="Z58" s="1205">
        <f t="shared" si="70"/>
        <v>5.4927267819348709E-2</v>
      </c>
      <c r="AA58" s="1206">
        <f t="shared" si="71"/>
        <v>8.975977194545906E-2</v>
      </c>
      <c r="AB58" s="1206">
        <f t="shared" si="72"/>
        <v>8.975977194545906E-2</v>
      </c>
    </row>
    <row r="60" spans="2:29" s="124" customFormat="1">
      <c r="B60" s="719" t="s">
        <v>389</v>
      </c>
      <c r="C60" s="720"/>
      <c r="D60" s="720"/>
      <c r="E60" s="720"/>
      <c r="F60" s="720"/>
      <c r="G60" s="720"/>
      <c r="H60" s="720"/>
      <c r="I60" s="720"/>
      <c r="J60" s="720"/>
      <c r="K60" s="720"/>
      <c r="L60" s="720"/>
      <c r="M60" s="720"/>
      <c r="N60" s="720"/>
      <c r="O60" s="720"/>
      <c r="P60" s="720"/>
      <c r="Q60" s="720"/>
      <c r="R60" s="720"/>
      <c r="S60" s="720"/>
      <c r="T60" s="720"/>
      <c r="U60" s="720"/>
      <c r="V60" s="720"/>
      <c r="X60" s="131"/>
      <c r="Y60" s="131"/>
      <c r="Z60" s="131"/>
      <c r="AA60" s="131"/>
      <c r="AB60" s="131"/>
      <c r="AC60" s="131"/>
    </row>
    <row r="61" spans="2:29" s="124" customFormat="1" ht="15.75" thickBot="1">
      <c r="C61" s="721"/>
      <c r="D61" s="721"/>
      <c r="E61" s="721"/>
      <c r="F61" s="721"/>
      <c r="G61" s="721"/>
      <c r="H61" s="721"/>
      <c r="I61" s="721"/>
      <c r="J61" s="721"/>
      <c r="K61" s="721"/>
      <c r="L61" s="721"/>
      <c r="M61" s="721"/>
      <c r="N61" s="721"/>
      <c r="O61" s="721"/>
      <c r="P61" s="721"/>
      <c r="Q61" s="721"/>
      <c r="R61" s="721"/>
      <c r="S61" s="721"/>
      <c r="T61" s="721"/>
      <c r="U61" s="721"/>
      <c r="V61" s="721"/>
      <c r="X61" s="131"/>
      <c r="Y61" s="131"/>
      <c r="Z61" s="131"/>
      <c r="AA61" s="131"/>
      <c r="AB61" s="131"/>
      <c r="AC61" s="131"/>
    </row>
    <row r="62" spans="2:29" s="131" customFormat="1">
      <c r="B62" s="722"/>
      <c r="C62" s="723" t="s">
        <v>470</v>
      </c>
      <c r="D62" s="1223" t="s">
        <v>390</v>
      </c>
      <c r="E62" s="1224"/>
      <c r="F62" s="1225"/>
      <c r="G62" s="724" t="s">
        <v>391</v>
      </c>
      <c r="H62" s="723" t="s">
        <v>469</v>
      </c>
      <c r="I62" s="1223" t="s">
        <v>390</v>
      </c>
      <c r="J62" s="1224"/>
      <c r="K62" s="1225"/>
      <c r="L62" s="724" t="s">
        <v>391</v>
      </c>
      <c r="M62" s="723" t="s">
        <v>468</v>
      </c>
      <c r="N62" s="1223" t="s">
        <v>390</v>
      </c>
      <c r="O62" s="1224"/>
      <c r="P62" s="1225"/>
      <c r="Q62" s="724" t="s">
        <v>391</v>
      </c>
      <c r="R62" s="723" t="s">
        <v>467</v>
      </c>
      <c r="S62" s="1220" t="s">
        <v>390</v>
      </c>
      <c r="T62" s="1221"/>
      <c r="U62" s="1222"/>
      <c r="V62" s="724" t="s">
        <v>391</v>
      </c>
    </row>
    <row r="63" spans="2:29" s="359" customFormat="1">
      <c r="B63" s="725" t="s">
        <v>115</v>
      </c>
      <c r="C63" s="744"/>
      <c r="D63" s="729"/>
      <c r="E63" s="727"/>
      <c r="F63" s="730"/>
      <c r="G63" s="728"/>
      <c r="H63" s="744"/>
      <c r="I63" s="729"/>
      <c r="J63" s="727"/>
      <c r="K63" s="730"/>
      <c r="L63" s="728"/>
      <c r="M63" s="744"/>
      <c r="N63" s="729"/>
      <c r="O63" s="727"/>
      <c r="P63" s="730"/>
      <c r="Q63" s="728"/>
      <c r="R63" s="744"/>
      <c r="S63" s="729">
        <v>2590</v>
      </c>
      <c r="T63" s="727">
        <f>AVERAGE(S63,U63)</f>
        <v>2620</v>
      </c>
      <c r="U63" s="730">
        <v>2650</v>
      </c>
      <c r="V63" s="728"/>
    </row>
    <row r="64" spans="2:29" s="359" customFormat="1">
      <c r="B64" s="731" t="s">
        <v>251</v>
      </c>
      <c r="C64" s="732"/>
      <c r="D64" s="735"/>
      <c r="E64" s="733"/>
      <c r="F64" s="736"/>
      <c r="G64" s="734"/>
      <c r="H64" s="732"/>
      <c r="I64" s="735"/>
      <c r="J64" s="733"/>
      <c r="K64" s="736"/>
      <c r="L64" s="734"/>
      <c r="M64" s="737"/>
      <c r="N64" s="735"/>
      <c r="O64" s="733"/>
      <c r="P64" s="736"/>
      <c r="Q64" s="734"/>
      <c r="R64" s="737"/>
      <c r="S64" s="735">
        <v>0.03</v>
      </c>
      <c r="T64" s="733">
        <f>AVERAGE(S64,U64)</f>
        <v>4.2499999999999996E-2</v>
      </c>
      <c r="U64" s="736">
        <v>5.5E-2</v>
      </c>
      <c r="V64" s="734"/>
    </row>
    <row r="65" spans="2:29" s="359" customFormat="1" ht="15.75" thickBot="1">
      <c r="B65" s="738" t="s">
        <v>387</v>
      </c>
      <c r="C65" s="1179"/>
      <c r="D65" s="742"/>
      <c r="E65" s="740"/>
      <c r="F65" s="743"/>
      <c r="G65" s="741"/>
      <c r="H65" s="1179"/>
      <c r="I65" s="742"/>
      <c r="J65" s="740"/>
      <c r="K65" s="743"/>
      <c r="L65" s="741"/>
      <c r="M65" s="1179"/>
      <c r="N65" s="742"/>
      <c r="O65" s="740"/>
      <c r="P65" s="743"/>
      <c r="Q65" s="741"/>
      <c r="R65" s="1179"/>
      <c r="S65" s="742">
        <v>0.99</v>
      </c>
      <c r="T65" s="740">
        <f>AVERAGE(S65,U65)</f>
        <v>1.01</v>
      </c>
      <c r="U65" s="743">
        <v>1.03</v>
      </c>
      <c r="V65" s="741"/>
    </row>
    <row r="66" spans="2:29" s="131" customFormat="1" ht="15.75" thickBot="1">
      <c r="C66" s="721"/>
      <c r="D66" s="721"/>
      <c r="E66" s="721"/>
      <c r="F66" s="721"/>
      <c r="G66" s="721"/>
      <c r="H66" s="721"/>
      <c r="I66" s="721"/>
      <c r="J66" s="721"/>
      <c r="K66" s="721"/>
      <c r="L66" s="721"/>
      <c r="M66" s="721"/>
      <c r="N66" s="721"/>
      <c r="O66" s="721"/>
      <c r="P66" s="721"/>
      <c r="Q66" s="721"/>
      <c r="R66" s="721"/>
      <c r="S66" s="721"/>
      <c r="T66" s="721"/>
      <c r="U66" s="721"/>
      <c r="V66" s="721"/>
    </row>
    <row r="67" spans="2:29" s="124" customFormat="1">
      <c r="B67" s="722"/>
      <c r="C67" s="723" t="s">
        <v>260</v>
      </c>
      <c r="D67" s="1223" t="s">
        <v>390</v>
      </c>
      <c r="E67" s="1224"/>
      <c r="F67" s="1225"/>
      <c r="G67" s="724" t="s">
        <v>391</v>
      </c>
      <c r="H67" s="723" t="s">
        <v>254</v>
      </c>
      <c r="I67" s="1223" t="s">
        <v>390</v>
      </c>
      <c r="J67" s="1224"/>
      <c r="K67" s="1225"/>
      <c r="L67" s="724" t="s">
        <v>391</v>
      </c>
      <c r="M67" s="723" t="s">
        <v>233</v>
      </c>
      <c r="N67" s="1223" t="s">
        <v>390</v>
      </c>
      <c r="O67" s="1224"/>
      <c r="P67" s="1225"/>
      <c r="Q67" s="724" t="s">
        <v>391</v>
      </c>
      <c r="R67" s="723" t="s">
        <v>228</v>
      </c>
      <c r="S67" s="1220" t="s">
        <v>390</v>
      </c>
      <c r="T67" s="1221"/>
      <c r="U67" s="1222"/>
      <c r="V67" s="724" t="s">
        <v>391</v>
      </c>
      <c r="X67" s="131"/>
      <c r="Y67" s="131"/>
      <c r="Z67" s="131"/>
      <c r="AA67" s="131"/>
      <c r="AB67" s="131"/>
      <c r="AC67" s="131"/>
    </row>
    <row r="68" spans="2:29" s="359" customFormat="1">
      <c r="B68" s="725" t="s">
        <v>115</v>
      </c>
      <c r="C68" s="790">
        <f>Financials!$CQ$9</f>
        <v>2586.4</v>
      </c>
      <c r="D68" s="729">
        <f>2239+151-34+15+85</f>
        <v>2456</v>
      </c>
      <c r="E68" s="727">
        <f>AVERAGE(D68,F68)</f>
        <v>2471</v>
      </c>
      <c r="F68" s="730">
        <f>2239+181-34+15+85</f>
        <v>2486</v>
      </c>
      <c r="G68" s="728">
        <f>C68-E68</f>
        <v>115.40000000000009</v>
      </c>
      <c r="H68" s="790">
        <f>Financials!$CP$9</f>
        <v>2416.1999999999998</v>
      </c>
      <c r="I68" s="729">
        <f>2146+100-32-36</f>
        <v>2178</v>
      </c>
      <c r="J68" s="727">
        <f>AVERAGE(I68,K68)</f>
        <v>2208.5</v>
      </c>
      <c r="K68" s="730">
        <f>2146+150-21-36</f>
        <v>2239</v>
      </c>
      <c r="L68" s="728">
        <f>H68-J68</f>
        <v>207.69999999999982</v>
      </c>
      <c r="M68" s="790">
        <f>Financials!$CO$9</f>
        <v>2389.6999999999998</v>
      </c>
      <c r="N68" s="729">
        <f>2250+140-75-115</f>
        <v>2200</v>
      </c>
      <c r="O68" s="727">
        <f>AVERAGE(N68,P68)</f>
        <v>2240</v>
      </c>
      <c r="P68" s="730">
        <f>2250+190-45-115</f>
        <v>2280</v>
      </c>
      <c r="Q68" s="728">
        <f>M68-O68</f>
        <v>149.69999999999982</v>
      </c>
      <c r="R68" s="790">
        <f>Financials!$CN$9</f>
        <v>2407</v>
      </c>
      <c r="S68" s="729">
        <f>2200+100-40-60</f>
        <v>2200</v>
      </c>
      <c r="T68" s="727">
        <f>AVERAGE(S68,U68)</f>
        <v>2240</v>
      </c>
      <c r="U68" s="730">
        <f>2200+150-10-60</f>
        <v>2280</v>
      </c>
      <c r="V68" s="728">
        <f>R68-T68</f>
        <v>167</v>
      </c>
    </row>
    <row r="69" spans="2:29" s="359" customFormat="1">
      <c r="B69" s="731" t="s">
        <v>251</v>
      </c>
      <c r="C69" s="732"/>
      <c r="D69" s="735">
        <v>0.05</v>
      </c>
      <c r="E69" s="733">
        <f>AVERAGE(D69,F69)</f>
        <v>5.7500000000000002E-2</v>
      </c>
      <c r="F69" s="736">
        <v>6.5000000000000002E-2</v>
      </c>
      <c r="G69" s="734"/>
      <c r="H69" s="732"/>
      <c r="I69" s="735">
        <v>0.03</v>
      </c>
      <c r="J69" s="733">
        <f>AVERAGE(I69,K69)</f>
        <v>4.4999999999999998E-2</v>
      </c>
      <c r="K69" s="736">
        <v>0.06</v>
      </c>
      <c r="L69" s="734"/>
      <c r="M69" s="737"/>
      <c r="N69" s="735">
        <v>0.03</v>
      </c>
      <c r="O69" s="733">
        <f>AVERAGE(N69,P69)</f>
        <v>4.7500000000000001E-2</v>
      </c>
      <c r="P69" s="736">
        <v>6.5000000000000002E-2</v>
      </c>
      <c r="Q69" s="734"/>
      <c r="R69" s="737"/>
      <c r="S69" s="735">
        <v>2.5000000000000001E-2</v>
      </c>
      <c r="T69" s="733">
        <f>AVERAGE(S69,U69)</f>
        <v>4.4999999999999998E-2</v>
      </c>
      <c r="U69" s="736">
        <v>6.5000000000000002E-2</v>
      </c>
      <c r="V69" s="734"/>
    </row>
    <row r="70" spans="2:29" s="359" customFormat="1" ht="15.75" thickBot="1">
      <c r="B70" s="738" t="s">
        <v>387</v>
      </c>
      <c r="C70" s="791">
        <f>Financials!$CQ$44</f>
        <v>1.0712446351931331</v>
      </c>
      <c r="D70" s="742">
        <v>0.99</v>
      </c>
      <c r="E70" s="740">
        <f>AVERAGE(D70,F70)</f>
        <v>1</v>
      </c>
      <c r="F70" s="743">
        <v>1.01</v>
      </c>
      <c r="G70" s="741">
        <f>C70-E70</f>
        <v>7.1244635193133066E-2</v>
      </c>
      <c r="H70" s="791">
        <f>Financials!$CP$44</f>
        <v>0.95240392772009197</v>
      </c>
      <c r="I70" s="742">
        <v>0.84</v>
      </c>
      <c r="J70" s="740">
        <f>AVERAGE(I70,K70)</f>
        <v>0.85499999999999998</v>
      </c>
      <c r="K70" s="743">
        <v>0.87</v>
      </c>
      <c r="L70" s="741">
        <f>H70-J70</f>
        <v>9.7403927720091987E-2</v>
      </c>
      <c r="M70" s="791">
        <f>Financials!$CO$44</f>
        <v>0.96246834186061792</v>
      </c>
      <c r="N70" s="742">
        <v>0.87</v>
      </c>
      <c r="O70" s="740">
        <f>AVERAGE(N70,P70)</f>
        <v>0.89</v>
      </c>
      <c r="P70" s="743">
        <v>0.91</v>
      </c>
      <c r="Q70" s="741">
        <f>M70-O70</f>
        <v>7.2468341860617902E-2</v>
      </c>
      <c r="R70" s="791">
        <f>Financials!$CN$44</f>
        <v>0.91146044968808293</v>
      </c>
      <c r="S70" s="742">
        <v>0.81</v>
      </c>
      <c r="T70" s="740">
        <f>AVERAGE(S70,U70)</f>
        <v>0.83000000000000007</v>
      </c>
      <c r="U70" s="743">
        <v>0.85</v>
      </c>
      <c r="V70" s="741">
        <f>R70-T70</f>
        <v>8.1460449688082859E-2</v>
      </c>
    </row>
    <row r="71" spans="2:29" s="124" customFormat="1" ht="15.75" thickBot="1">
      <c r="C71" s="721"/>
      <c r="D71" s="721"/>
      <c r="E71" s="721"/>
      <c r="F71" s="721"/>
      <c r="G71" s="721"/>
      <c r="H71" s="721"/>
      <c r="I71" s="721"/>
      <c r="J71" s="721"/>
      <c r="K71" s="721"/>
      <c r="L71" s="721"/>
      <c r="M71" s="721"/>
      <c r="N71" s="721"/>
      <c r="O71" s="721"/>
      <c r="P71" s="721"/>
      <c r="Q71" s="721"/>
      <c r="R71" s="721"/>
      <c r="S71" s="721"/>
      <c r="T71" s="721"/>
      <c r="U71" s="721"/>
      <c r="V71" s="721"/>
      <c r="X71" s="131"/>
      <c r="Y71" s="131"/>
      <c r="Z71" s="131"/>
      <c r="AA71" s="131"/>
      <c r="AB71" s="131"/>
      <c r="AC71" s="131"/>
    </row>
    <row r="72" spans="2:29" s="124" customFormat="1">
      <c r="B72" s="722"/>
      <c r="C72" s="723" t="s">
        <v>227</v>
      </c>
      <c r="D72" s="1223" t="s">
        <v>390</v>
      </c>
      <c r="E72" s="1224"/>
      <c r="F72" s="1225"/>
      <c r="G72" s="724" t="s">
        <v>391</v>
      </c>
      <c r="H72" s="723" t="s">
        <v>226</v>
      </c>
      <c r="I72" s="1223" t="s">
        <v>390</v>
      </c>
      <c r="J72" s="1224"/>
      <c r="K72" s="1225"/>
      <c r="L72" s="724" t="s">
        <v>391</v>
      </c>
      <c r="M72" s="723" t="s">
        <v>225</v>
      </c>
      <c r="N72" s="1223" t="s">
        <v>390</v>
      </c>
      <c r="O72" s="1224"/>
      <c r="P72" s="1225"/>
      <c r="Q72" s="724" t="s">
        <v>391</v>
      </c>
      <c r="R72" s="723" t="s">
        <v>224</v>
      </c>
      <c r="S72" s="1220" t="s">
        <v>390</v>
      </c>
      <c r="T72" s="1221"/>
      <c r="U72" s="1222"/>
      <c r="V72" s="724" t="s">
        <v>391</v>
      </c>
      <c r="X72" s="131"/>
      <c r="Y72" s="131"/>
      <c r="Z72" s="131"/>
      <c r="AA72" s="131"/>
      <c r="AB72" s="131"/>
      <c r="AC72" s="131"/>
    </row>
    <row r="73" spans="2:29" s="359" customFormat="1">
      <c r="B73" s="725" t="s">
        <v>115</v>
      </c>
      <c r="C73" s="726">
        <f>Financials!$CM$9</f>
        <v>2259</v>
      </c>
      <c r="D73" s="729">
        <v>2258</v>
      </c>
      <c r="E73" s="727">
        <f>AVERAGE(D73,F73)</f>
        <v>2292.5</v>
      </c>
      <c r="F73" s="730">
        <v>2327</v>
      </c>
      <c r="G73" s="728">
        <f>C73-E73</f>
        <v>-33.5</v>
      </c>
      <c r="H73" s="726">
        <f>Financials!$CL$9</f>
        <v>2214.1999999999998</v>
      </c>
      <c r="I73" s="729">
        <v>2129</v>
      </c>
      <c r="J73" s="727">
        <f>AVERAGE(I73,K73)</f>
        <v>2202.5</v>
      </c>
      <c r="K73" s="730">
        <v>2276</v>
      </c>
      <c r="L73" s="728">
        <f>H73-J73</f>
        <v>11.699999999999818</v>
      </c>
      <c r="M73" s="744">
        <f>Financials!$CK$9</f>
        <v>2329.1999999999998</v>
      </c>
      <c r="N73" s="729">
        <v>2247</v>
      </c>
      <c r="O73" s="727">
        <f>AVERAGE(N73,P73)</f>
        <v>2302</v>
      </c>
      <c r="P73" s="730">
        <v>2357</v>
      </c>
      <c r="Q73" s="728">
        <f>M73-O73</f>
        <v>27.199999999999818</v>
      </c>
      <c r="R73" s="1139">
        <f>Financials!$CJ$9</f>
        <v>2268.6</v>
      </c>
      <c r="S73" s="729">
        <v>2149</v>
      </c>
      <c r="T73" s="727">
        <f>AVERAGE(S73,U73)</f>
        <v>2198.5</v>
      </c>
      <c r="U73" s="730">
        <v>2248</v>
      </c>
      <c r="V73" s="728">
        <f>R73-T73</f>
        <v>70.099999999999909</v>
      </c>
    </row>
    <row r="74" spans="2:29" s="359" customFormat="1" ht="15.75" thickBot="1">
      <c r="B74" s="738" t="s">
        <v>387</v>
      </c>
      <c r="C74" s="739">
        <f>Financials!$CM$44</f>
        <v>0.84962174940898383</v>
      </c>
      <c r="D74" s="742">
        <v>0.82</v>
      </c>
      <c r="E74" s="740">
        <f>AVERAGE(D74,F74)</f>
        <v>0.84</v>
      </c>
      <c r="F74" s="743">
        <v>0.86</v>
      </c>
      <c r="G74" s="741">
        <f>C74-E74</f>
        <v>9.6217494089838596E-3</v>
      </c>
      <c r="H74" s="739">
        <f>Financials!$CL$44</f>
        <v>0.77764986012742876</v>
      </c>
      <c r="I74" s="742">
        <v>0.74</v>
      </c>
      <c r="J74" s="740">
        <f>AVERAGE(I74,K74)</f>
        <v>0.77500000000000002</v>
      </c>
      <c r="K74" s="743">
        <v>0.81</v>
      </c>
      <c r="L74" s="741">
        <f>H74-J74</f>
        <v>2.6498601274287381E-3</v>
      </c>
      <c r="M74" s="791">
        <f>Financials!$CK$44</f>
        <v>0.83955266935286532</v>
      </c>
      <c r="N74" s="742">
        <v>0.78</v>
      </c>
      <c r="O74" s="740">
        <f>AVERAGE(N74,P74)</f>
        <v>0.80499999999999994</v>
      </c>
      <c r="P74" s="743">
        <v>0.83</v>
      </c>
      <c r="Q74" s="741">
        <f>M74-O74</f>
        <v>3.4552669352865384E-2</v>
      </c>
      <c r="R74" s="1140">
        <f>Financials!$CJ$44</f>
        <v>0.79834479596515351</v>
      </c>
      <c r="S74" s="742">
        <v>0.75</v>
      </c>
      <c r="T74" s="740">
        <f>AVERAGE(S74,U74)</f>
        <v>0.77</v>
      </c>
      <c r="U74" s="743">
        <v>0.79</v>
      </c>
      <c r="V74" s="741">
        <f>R74-T74</f>
        <v>2.8344795965153491E-2</v>
      </c>
    </row>
    <row r="75" spans="2:29">
      <c r="X75" s="303"/>
    </row>
    <row r="76" spans="2:29">
      <c r="X76" s="303"/>
    </row>
  </sheetData>
  <mergeCells count="36">
    <mergeCell ref="D20:F20"/>
    <mergeCell ref="H20:J20"/>
    <mergeCell ref="L20:N20"/>
    <mergeCell ref="P20:R20"/>
    <mergeCell ref="D33:F33"/>
    <mergeCell ref="H33:J33"/>
    <mergeCell ref="L33:N33"/>
    <mergeCell ref="P33:R33"/>
    <mergeCell ref="D7:F7"/>
    <mergeCell ref="H7:J7"/>
    <mergeCell ref="L7:N7"/>
    <mergeCell ref="P7:R7"/>
    <mergeCell ref="D53:F53"/>
    <mergeCell ref="H53:J53"/>
    <mergeCell ref="L53:N53"/>
    <mergeCell ref="P53:R53"/>
    <mergeCell ref="D39:F39"/>
    <mergeCell ref="H39:J39"/>
    <mergeCell ref="L39:N39"/>
    <mergeCell ref="P39:R39"/>
    <mergeCell ref="D46:F46"/>
    <mergeCell ref="H46:J46"/>
    <mergeCell ref="L46:N46"/>
    <mergeCell ref="P46:R46"/>
    <mergeCell ref="S72:U72"/>
    <mergeCell ref="S67:U67"/>
    <mergeCell ref="S62:U62"/>
    <mergeCell ref="D62:F62"/>
    <mergeCell ref="I62:K62"/>
    <mergeCell ref="N62:P62"/>
    <mergeCell ref="D67:F67"/>
    <mergeCell ref="I67:K67"/>
    <mergeCell ref="N67:P67"/>
    <mergeCell ref="D72:F72"/>
    <mergeCell ref="I72:K72"/>
    <mergeCell ref="N72:P72"/>
  </mergeCells>
  <conditionalFormatting sqref="V68 V70 Q70 V74 Q74">
    <cfRule type="cellIs" dxfId="37" priority="61" stopIfTrue="1" operator="lessThan">
      <formula>0</formula>
    </cfRule>
  </conditionalFormatting>
  <conditionalFormatting sqref="Q68">
    <cfRule type="cellIs" dxfId="36" priority="60" stopIfTrue="1" operator="lessThan">
      <formula>0</formula>
    </cfRule>
  </conditionalFormatting>
  <conditionalFormatting sqref="V69">
    <cfRule type="cellIs" dxfId="35" priority="59" stopIfTrue="1" operator="lessThan">
      <formula>0</formula>
    </cfRule>
  </conditionalFormatting>
  <conditionalFormatting sqref="Q69">
    <cfRule type="cellIs" dxfId="34" priority="58" stopIfTrue="1" operator="lessThan">
      <formula>0</formula>
    </cfRule>
  </conditionalFormatting>
  <conditionalFormatting sqref="V73">
    <cfRule type="cellIs" dxfId="33" priority="57" stopIfTrue="1" operator="lessThan">
      <formula>0</formula>
    </cfRule>
  </conditionalFormatting>
  <conditionalFormatting sqref="Q73">
    <cfRule type="cellIs" dxfId="32" priority="56" stopIfTrue="1" operator="lessThan">
      <formula>0</formula>
    </cfRule>
  </conditionalFormatting>
  <conditionalFormatting sqref="G29:G30 G24 G22">
    <cfRule type="cellIs" dxfId="31" priority="41" operator="lessThan">
      <formula>0</formula>
    </cfRule>
  </conditionalFormatting>
  <conditionalFormatting sqref="K29:K30 K24 K22">
    <cfRule type="cellIs" dxfId="30" priority="40" operator="lessThan">
      <formula>0</formula>
    </cfRule>
  </conditionalFormatting>
  <conditionalFormatting sqref="O29:O30 O24 O22">
    <cfRule type="cellIs" dxfId="29" priority="39" operator="lessThan">
      <formula>0</formula>
    </cfRule>
  </conditionalFormatting>
  <conditionalFormatting sqref="G55">
    <cfRule type="cellIs" dxfId="28" priority="14" operator="lessThan">
      <formula>0</formula>
    </cfRule>
  </conditionalFormatting>
  <conditionalFormatting sqref="G36">
    <cfRule type="cellIs" dxfId="27" priority="37" operator="lessThan">
      <formula>0</formula>
    </cfRule>
  </conditionalFormatting>
  <conditionalFormatting sqref="K36">
    <cfRule type="cellIs" dxfId="26" priority="36" operator="lessThan">
      <formula>0</formula>
    </cfRule>
  </conditionalFormatting>
  <conditionalFormatting sqref="O36">
    <cfRule type="cellIs" dxfId="25" priority="35" operator="lessThan">
      <formula>0</formula>
    </cfRule>
  </conditionalFormatting>
  <conditionalFormatting sqref="G43">
    <cfRule type="cellIs" dxfId="24" priority="34" operator="lessThan">
      <formula>0</formula>
    </cfRule>
  </conditionalFormatting>
  <conditionalFormatting sqref="G41">
    <cfRule type="cellIs" dxfId="23" priority="32" operator="lessThan">
      <formula>0</formula>
    </cfRule>
  </conditionalFormatting>
  <conditionalFormatting sqref="K43">
    <cfRule type="cellIs" dxfId="22" priority="31" operator="lessThan">
      <formula>0</formula>
    </cfRule>
  </conditionalFormatting>
  <conditionalFormatting sqref="K41">
    <cfRule type="cellIs" dxfId="21" priority="30" operator="lessThan">
      <formula>0</formula>
    </cfRule>
  </conditionalFormatting>
  <conditionalFormatting sqref="O43">
    <cfRule type="cellIs" dxfId="20" priority="29" operator="lessThan">
      <formula>0</formula>
    </cfRule>
  </conditionalFormatting>
  <conditionalFormatting sqref="O41">
    <cfRule type="cellIs" dxfId="19" priority="28" operator="lessThan">
      <formula>0</formula>
    </cfRule>
  </conditionalFormatting>
  <conditionalFormatting sqref="G50">
    <cfRule type="cellIs" dxfId="18" priority="27" operator="lessThan">
      <formula>0</formula>
    </cfRule>
  </conditionalFormatting>
  <conditionalFormatting sqref="G48">
    <cfRule type="cellIs" dxfId="17" priority="26" operator="lessThan">
      <formula>0</formula>
    </cfRule>
  </conditionalFormatting>
  <conditionalFormatting sqref="K50">
    <cfRule type="cellIs" dxfId="16" priority="25" operator="lessThan">
      <formula>0</formula>
    </cfRule>
  </conditionalFormatting>
  <conditionalFormatting sqref="K48">
    <cfRule type="cellIs" dxfId="15" priority="24" operator="lessThan">
      <formula>0</formula>
    </cfRule>
  </conditionalFormatting>
  <conditionalFormatting sqref="O50">
    <cfRule type="cellIs" dxfId="14" priority="23" operator="lessThan">
      <formula>0</formula>
    </cfRule>
  </conditionalFormatting>
  <conditionalFormatting sqref="O48">
    <cfRule type="cellIs" dxfId="13" priority="22" operator="lessThan">
      <formula>0</formula>
    </cfRule>
  </conditionalFormatting>
  <conditionalFormatting sqref="O57">
    <cfRule type="cellIs" dxfId="12" priority="21" operator="lessThan">
      <formula>0</formula>
    </cfRule>
  </conditionalFormatting>
  <conditionalFormatting sqref="O55">
    <cfRule type="cellIs" dxfId="11" priority="20" operator="lessThan">
      <formula>0</formula>
    </cfRule>
  </conditionalFormatting>
  <conditionalFormatting sqref="K57">
    <cfRule type="cellIs" dxfId="10" priority="19" operator="lessThan">
      <formula>0</formula>
    </cfRule>
  </conditionalFormatting>
  <conditionalFormatting sqref="K55">
    <cfRule type="cellIs" dxfId="9" priority="18" operator="lessThan">
      <formula>0</formula>
    </cfRule>
  </conditionalFormatting>
  <conditionalFormatting sqref="G57">
    <cfRule type="cellIs" dxfId="8" priority="15" operator="lessThan">
      <formula>0</formula>
    </cfRule>
  </conditionalFormatting>
  <conditionalFormatting sqref="V63 V65 Q65">
    <cfRule type="cellIs" dxfId="7" priority="13" stopIfTrue="1" operator="lessThan">
      <formula>0</formula>
    </cfRule>
  </conditionalFormatting>
  <conditionalFormatting sqref="Q63">
    <cfRule type="cellIs" dxfId="6" priority="12" stopIfTrue="1" operator="lessThan">
      <formula>0</formula>
    </cfRule>
  </conditionalFormatting>
  <conditionalFormatting sqref="V64">
    <cfRule type="cellIs" dxfId="5" priority="11" stopIfTrue="1" operator="lessThan">
      <formula>0</formula>
    </cfRule>
  </conditionalFormatting>
  <conditionalFormatting sqref="Q64">
    <cfRule type="cellIs" dxfId="4" priority="10" stopIfTrue="1" operator="lessThan">
      <formula>0</formula>
    </cfRule>
  </conditionalFormatting>
  <conditionalFormatting sqref="G16:G17 G11 G9">
    <cfRule type="cellIs" dxfId="3" priority="9" operator="lessThan">
      <formula>0</formula>
    </cfRule>
  </conditionalFormatting>
  <conditionalFormatting sqref="K16:K17 K11 K9">
    <cfRule type="cellIs" dxfId="2" priority="8" operator="lessThan">
      <formula>0</formula>
    </cfRule>
  </conditionalFormatting>
  <conditionalFormatting sqref="O16:O17 O11 O9">
    <cfRule type="cellIs" dxfId="1" priority="7" operator="lessThan">
      <formula>0</formula>
    </cfRule>
  </conditionalFormatting>
  <conditionalFormatting sqref="Y1:AB1048576">
    <cfRule type="cellIs" dxfId="0" priority="1" operator="lessThan">
      <formula>0</formula>
    </cfRule>
  </conditionalFormatting>
  <pageMargins left="0.7" right="0.7" top="0.75" bottom="0.75" header="0.3" footer="0.3"/>
  <pageSetup scale="40" orientation="landscape" r:id="rId1"/>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B2:L15"/>
  <sheetViews>
    <sheetView zoomScale="85" zoomScaleNormal="85" workbookViewId="0">
      <selection activeCell="L10" sqref="L10"/>
    </sheetView>
  </sheetViews>
  <sheetFormatPr defaultRowHeight="15"/>
  <cols>
    <col min="1" max="1" width="3.140625" style="202" customWidth="1"/>
    <col min="2" max="2" width="38.85546875" style="202" bestFit="1" customWidth="1"/>
    <col min="3" max="4" width="10.28515625" style="1102" customWidth="1"/>
    <col min="5" max="5" width="10.28515625" style="1100" customWidth="1"/>
    <col min="6" max="7" width="10.28515625" style="1101" customWidth="1"/>
    <col min="8" max="8" width="3.140625" style="202" customWidth="1"/>
    <col min="9" max="12" width="10.28515625" style="1101" customWidth="1"/>
    <col min="13" max="13" width="3.140625" style="202" customWidth="1"/>
    <col min="14" max="256" width="9.140625" style="202"/>
    <col min="257" max="257" width="3.140625" style="202" customWidth="1"/>
    <col min="258" max="258" width="38.85546875" style="202" bestFit="1" customWidth="1"/>
    <col min="259" max="263" width="10.28515625" style="202" customWidth="1"/>
    <col min="264" max="264" width="3.140625" style="202" customWidth="1"/>
    <col min="265" max="268" width="10.28515625" style="202" customWidth="1"/>
    <col min="269" max="269" width="3.140625" style="202" customWidth="1"/>
    <col min="270" max="512" width="9.140625" style="202"/>
    <col min="513" max="513" width="3.140625" style="202" customWidth="1"/>
    <col min="514" max="514" width="38.85546875" style="202" bestFit="1" customWidth="1"/>
    <col min="515" max="519" width="10.28515625" style="202" customWidth="1"/>
    <col min="520" max="520" width="3.140625" style="202" customWidth="1"/>
    <col min="521" max="524" width="10.28515625" style="202" customWidth="1"/>
    <col min="525" max="525" width="3.140625" style="202" customWidth="1"/>
    <col min="526" max="768" width="9.140625" style="202"/>
    <col min="769" max="769" width="3.140625" style="202" customWidth="1"/>
    <col min="770" max="770" width="38.85546875" style="202" bestFit="1" customWidth="1"/>
    <col min="771" max="775" width="10.28515625" style="202" customWidth="1"/>
    <col min="776" max="776" width="3.140625" style="202" customWidth="1"/>
    <col min="777" max="780" width="10.28515625" style="202" customWidth="1"/>
    <col min="781" max="781" width="3.140625" style="202" customWidth="1"/>
    <col min="782" max="1024" width="9.140625" style="202"/>
    <col min="1025" max="1025" width="3.140625" style="202" customWidth="1"/>
    <col min="1026" max="1026" width="38.85546875" style="202" bestFit="1" customWidth="1"/>
    <col min="1027" max="1031" width="10.28515625" style="202" customWidth="1"/>
    <col min="1032" max="1032" width="3.140625" style="202" customWidth="1"/>
    <col min="1033" max="1036" width="10.28515625" style="202" customWidth="1"/>
    <col min="1037" max="1037" width="3.140625" style="202" customWidth="1"/>
    <col min="1038" max="1280" width="9.140625" style="202"/>
    <col min="1281" max="1281" width="3.140625" style="202" customWidth="1"/>
    <col min="1282" max="1282" width="38.85546875" style="202" bestFit="1" customWidth="1"/>
    <col min="1283" max="1287" width="10.28515625" style="202" customWidth="1"/>
    <col min="1288" max="1288" width="3.140625" style="202" customWidth="1"/>
    <col min="1289" max="1292" width="10.28515625" style="202" customWidth="1"/>
    <col min="1293" max="1293" width="3.140625" style="202" customWidth="1"/>
    <col min="1294" max="1536" width="9.140625" style="202"/>
    <col min="1537" max="1537" width="3.140625" style="202" customWidth="1"/>
    <col min="1538" max="1538" width="38.85546875" style="202" bestFit="1" customWidth="1"/>
    <col min="1539" max="1543" width="10.28515625" style="202" customWidth="1"/>
    <col min="1544" max="1544" width="3.140625" style="202" customWidth="1"/>
    <col min="1545" max="1548" width="10.28515625" style="202" customWidth="1"/>
    <col min="1549" max="1549" width="3.140625" style="202" customWidth="1"/>
    <col min="1550" max="1792" width="9.140625" style="202"/>
    <col min="1793" max="1793" width="3.140625" style="202" customWidth="1"/>
    <col min="1794" max="1794" width="38.85546875" style="202" bestFit="1" customWidth="1"/>
    <col min="1795" max="1799" width="10.28515625" style="202" customWidth="1"/>
    <col min="1800" max="1800" width="3.140625" style="202" customWidth="1"/>
    <col min="1801" max="1804" width="10.28515625" style="202" customWidth="1"/>
    <col min="1805" max="1805" width="3.140625" style="202" customWidth="1"/>
    <col min="1806" max="2048" width="9.140625" style="202"/>
    <col min="2049" max="2049" width="3.140625" style="202" customWidth="1"/>
    <col min="2050" max="2050" width="38.85546875" style="202" bestFit="1" customWidth="1"/>
    <col min="2051" max="2055" width="10.28515625" style="202" customWidth="1"/>
    <col min="2056" max="2056" width="3.140625" style="202" customWidth="1"/>
    <col min="2057" max="2060" width="10.28515625" style="202" customWidth="1"/>
    <col min="2061" max="2061" width="3.140625" style="202" customWidth="1"/>
    <col min="2062" max="2304" width="9.140625" style="202"/>
    <col min="2305" max="2305" width="3.140625" style="202" customWidth="1"/>
    <col min="2306" max="2306" width="38.85546875" style="202" bestFit="1" customWidth="1"/>
    <col min="2307" max="2311" width="10.28515625" style="202" customWidth="1"/>
    <col min="2312" max="2312" width="3.140625" style="202" customWidth="1"/>
    <col min="2313" max="2316" width="10.28515625" style="202" customWidth="1"/>
    <col min="2317" max="2317" width="3.140625" style="202" customWidth="1"/>
    <col min="2318" max="2560" width="9.140625" style="202"/>
    <col min="2561" max="2561" width="3.140625" style="202" customWidth="1"/>
    <col min="2562" max="2562" width="38.85546875" style="202" bestFit="1" customWidth="1"/>
    <col min="2563" max="2567" width="10.28515625" style="202" customWidth="1"/>
    <col min="2568" max="2568" width="3.140625" style="202" customWidth="1"/>
    <col min="2569" max="2572" width="10.28515625" style="202" customWidth="1"/>
    <col min="2573" max="2573" width="3.140625" style="202" customWidth="1"/>
    <col min="2574" max="2816" width="9.140625" style="202"/>
    <col min="2817" max="2817" width="3.140625" style="202" customWidth="1"/>
    <col min="2818" max="2818" width="38.85546875" style="202" bestFit="1" customWidth="1"/>
    <col min="2819" max="2823" width="10.28515625" style="202" customWidth="1"/>
    <col min="2824" max="2824" width="3.140625" style="202" customWidth="1"/>
    <col min="2825" max="2828" width="10.28515625" style="202" customWidth="1"/>
    <col min="2829" max="2829" width="3.140625" style="202" customWidth="1"/>
    <col min="2830" max="3072" width="9.140625" style="202"/>
    <col min="3073" max="3073" width="3.140625" style="202" customWidth="1"/>
    <col min="3074" max="3074" width="38.85546875" style="202" bestFit="1" customWidth="1"/>
    <col min="3075" max="3079" width="10.28515625" style="202" customWidth="1"/>
    <col min="3080" max="3080" width="3.140625" style="202" customWidth="1"/>
    <col min="3081" max="3084" width="10.28515625" style="202" customWidth="1"/>
    <col min="3085" max="3085" width="3.140625" style="202" customWidth="1"/>
    <col min="3086" max="3328" width="9.140625" style="202"/>
    <col min="3329" max="3329" width="3.140625" style="202" customWidth="1"/>
    <col min="3330" max="3330" width="38.85546875" style="202" bestFit="1" customWidth="1"/>
    <col min="3331" max="3335" width="10.28515625" style="202" customWidth="1"/>
    <col min="3336" max="3336" width="3.140625" style="202" customWidth="1"/>
    <col min="3337" max="3340" width="10.28515625" style="202" customWidth="1"/>
    <col min="3341" max="3341" width="3.140625" style="202" customWidth="1"/>
    <col min="3342" max="3584" width="9.140625" style="202"/>
    <col min="3585" max="3585" width="3.140625" style="202" customWidth="1"/>
    <col min="3586" max="3586" width="38.85546875" style="202" bestFit="1" customWidth="1"/>
    <col min="3587" max="3591" width="10.28515625" style="202" customWidth="1"/>
    <col min="3592" max="3592" width="3.140625" style="202" customWidth="1"/>
    <col min="3593" max="3596" width="10.28515625" style="202" customWidth="1"/>
    <col min="3597" max="3597" width="3.140625" style="202" customWidth="1"/>
    <col min="3598" max="3840" width="9.140625" style="202"/>
    <col min="3841" max="3841" width="3.140625" style="202" customWidth="1"/>
    <col min="3842" max="3842" width="38.85546875" style="202" bestFit="1" customWidth="1"/>
    <col min="3843" max="3847" width="10.28515625" style="202" customWidth="1"/>
    <col min="3848" max="3848" width="3.140625" style="202" customWidth="1"/>
    <col min="3849" max="3852" width="10.28515625" style="202" customWidth="1"/>
    <col min="3853" max="3853" width="3.140625" style="202" customWidth="1"/>
    <col min="3854" max="4096" width="9.140625" style="202"/>
    <col min="4097" max="4097" width="3.140625" style="202" customWidth="1"/>
    <col min="4098" max="4098" width="38.85546875" style="202" bestFit="1" customWidth="1"/>
    <col min="4099" max="4103" width="10.28515625" style="202" customWidth="1"/>
    <col min="4104" max="4104" width="3.140625" style="202" customWidth="1"/>
    <col min="4105" max="4108" width="10.28515625" style="202" customWidth="1"/>
    <col min="4109" max="4109" width="3.140625" style="202" customWidth="1"/>
    <col min="4110" max="4352" width="9.140625" style="202"/>
    <col min="4353" max="4353" width="3.140625" style="202" customWidth="1"/>
    <col min="4354" max="4354" width="38.85546875" style="202" bestFit="1" customWidth="1"/>
    <col min="4355" max="4359" width="10.28515625" style="202" customWidth="1"/>
    <col min="4360" max="4360" width="3.140625" style="202" customWidth="1"/>
    <col min="4361" max="4364" width="10.28515625" style="202" customWidth="1"/>
    <col min="4365" max="4365" width="3.140625" style="202" customWidth="1"/>
    <col min="4366" max="4608" width="9.140625" style="202"/>
    <col min="4609" max="4609" width="3.140625" style="202" customWidth="1"/>
    <col min="4610" max="4610" width="38.85546875" style="202" bestFit="1" customWidth="1"/>
    <col min="4611" max="4615" width="10.28515625" style="202" customWidth="1"/>
    <col min="4616" max="4616" width="3.140625" style="202" customWidth="1"/>
    <col min="4617" max="4620" width="10.28515625" style="202" customWidth="1"/>
    <col min="4621" max="4621" width="3.140625" style="202" customWidth="1"/>
    <col min="4622" max="4864" width="9.140625" style="202"/>
    <col min="4865" max="4865" width="3.140625" style="202" customWidth="1"/>
    <col min="4866" max="4866" width="38.85546875" style="202" bestFit="1" customWidth="1"/>
    <col min="4867" max="4871" width="10.28515625" style="202" customWidth="1"/>
    <col min="4872" max="4872" width="3.140625" style="202" customWidth="1"/>
    <col min="4873" max="4876" width="10.28515625" style="202" customWidth="1"/>
    <col min="4877" max="4877" width="3.140625" style="202" customWidth="1"/>
    <col min="4878" max="5120" width="9.140625" style="202"/>
    <col min="5121" max="5121" width="3.140625" style="202" customWidth="1"/>
    <col min="5122" max="5122" width="38.85546875" style="202" bestFit="1" customWidth="1"/>
    <col min="5123" max="5127" width="10.28515625" style="202" customWidth="1"/>
    <col min="5128" max="5128" width="3.140625" style="202" customWidth="1"/>
    <col min="5129" max="5132" width="10.28515625" style="202" customWidth="1"/>
    <col min="5133" max="5133" width="3.140625" style="202" customWidth="1"/>
    <col min="5134" max="5376" width="9.140625" style="202"/>
    <col min="5377" max="5377" width="3.140625" style="202" customWidth="1"/>
    <col min="5378" max="5378" width="38.85546875" style="202" bestFit="1" customWidth="1"/>
    <col min="5379" max="5383" width="10.28515625" style="202" customWidth="1"/>
    <col min="5384" max="5384" width="3.140625" style="202" customWidth="1"/>
    <col min="5385" max="5388" width="10.28515625" style="202" customWidth="1"/>
    <col min="5389" max="5389" width="3.140625" style="202" customWidth="1"/>
    <col min="5390" max="5632" width="9.140625" style="202"/>
    <col min="5633" max="5633" width="3.140625" style="202" customWidth="1"/>
    <col min="5634" max="5634" width="38.85546875" style="202" bestFit="1" customWidth="1"/>
    <col min="5635" max="5639" width="10.28515625" style="202" customWidth="1"/>
    <col min="5640" max="5640" width="3.140625" style="202" customWidth="1"/>
    <col min="5641" max="5644" width="10.28515625" style="202" customWidth="1"/>
    <col min="5645" max="5645" width="3.140625" style="202" customWidth="1"/>
    <col min="5646" max="5888" width="9.140625" style="202"/>
    <col min="5889" max="5889" width="3.140625" style="202" customWidth="1"/>
    <col min="5890" max="5890" width="38.85546875" style="202" bestFit="1" customWidth="1"/>
    <col min="5891" max="5895" width="10.28515625" style="202" customWidth="1"/>
    <col min="5896" max="5896" width="3.140625" style="202" customWidth="1"/>
    <col min="5897" max="5900" width="10.28515625" style="202" customWidth="1"/>
    <col min="5901" max="5901" width="3.140625" style="202" customWidth="1"/>
    <col min="5902" max="6144" width="9.140625" style="202"/>
    <col min="6145" max="6145" width="3.140625" style="202" customWidth="1"/>
    <col min="6146" max="6146" width="38.85546875" style="202" bestFit="1" customWidth="1"/>
    <col min="6147" max="6151" width="10.28515625" style="202" customWidth="1"/>
    <col min="6152" max="6152" width="3.140625" style="202" customWidth="1"/>
    <col min="6153" max="6156" width="10.28515625" style="202" customWidth="1"/>
    <col min="6157" max="6157" width="3.140625" style="202" customWidth="1"/>
    <col min="6158" max="6400" width="9.140625" style="202"/>
    <col min="6401" max="6401" width="3.140625" style="202" customWidth="1"/>
    <col min="6402" max="6402" width="38.85546875" style="202" bestFit="1" customWidth="1"/>
    <col min="6403" max="6407" width="10.28515625" style="202" customWidth="1"/>
    <col min="6408" max="6408" width="3.140625" style="202" customWidth="1"/>
    <col min="6409" max="6412" width="10.28515625" style="202" customWidth="1"/>
    <col min="6413" max="6413" width="3.140625" style="202" customWidth="1"/>
    <col min="6414" max="6656" width="9.140625" style="202"/>
    <col min="6657" max="6657" width="3.140625" style="202" customWidth="1"/>
    <col min="6658" max="6658" width="38.85546875" style="202" bestFit="1" customWidth="1"/>
    <col min="6659" max="6663" width="10.28515625" style="202" customWidth="1"/>
    <col min="6664" max="6664" width="3.140625" style="202" customWidth="1"/>
    <col min="6665" max="6668" width="10.28515625" style="202" customWidth="1"/>
    <col min="6669" max="6669" width="3.140625" style="202" customWidth="1"/>
    <col min="6670" max="6912" width="9.140625" style="202"/>
    <col min="6913" max="6913" width="3.140625" style="202" customWidth="1"/>
    <col min="6914" max="6914" width="38.85546875" style="202" bestFit="1" customWidth="1"/>
    <col min="6915" max="6919" width="10.28515625" style="202" customWidth="1"/>
    <col min="6920" max="6920" width="3.140625" style="202" customWidth="1"/>
    <col min="6921" max="6924" width="10.28515625" style="202" customWidth="1"/>
    <col min="6925" max="6925" width="3.140625" style="202" customWidth="1"/>
    <col min="6926" max="7168" width="9.140625" style="202"/>
    <col min="7169" max="7169" width="3.140625" style="202" customWidth="1"/>
    <col min="7170" max="7170" width="38.85546875" style="202" bestFit="1" customWidth="1"/>
    <col min="7171" max="7175" width="10.28515625" style="202" customWidth="1"/>
    <col min="7176" max="7176" width="3.140625" style="202" customWidth="1"/>
    <col min="7177" max="7180" width="10.28515625" style="202" customWidth="1"/>
    <col min="7181" max="7181" width="3.140625" style="202" customWidth="1"/>
    <col min="7182" max="7424" width="9.140625" style="202"/>
    <col min="7425" max="7425" width="3.140625" style="202" customWidth="1"/>
    <col min="7426" max="7426" width="38.85546875" style="202" bestFit="1" customWidth="1"/>
    <col min="7427" max="7431" width="10.28515625" style="202" customWidth="1"/>
    <col min="7432" max="7432" width="3.140625" style="202" customWidth="1"/>
    <col min="7433" max="7436" width="10.28515625" style="202" customWidth="1"/>
    <col min="7437" max="7437" width="3.140625" style="202" customWidth="1"/>
    <col min="7438" max="7680" width="9.140625" style="202"/>
    <col min="7681" max="7681" width="3.140625" style="202" customWidth="1"/>
    <col min="7682" max="7682" width="38.85546875" style="202" bestFit="1" customWidth="1"/>
    <col min="7683" max="7687" width="10.28515625" style="202" customWidth="1"/>
    <col min="7688" max="7688" width="3.140625" style="202" customWidth="1"/>
    <col min="7689" max="7692" width="10.28515625" style="202" customWidth="1"/>
    <col min="7693" max="7693" width="3.140625" style="202" customWidth="1"/>
    <col min="7694" max="7936" width="9.140625" style="202"/>
    <col min="7937" max="7937" width="3.140625" style="202" customWidth="1"/>
    <col min="7938" max="7938" width="38.85546875" style="202" bestFit="1" customWidth="1"/>
    <col min="7939" max="7943" width="10.28515625" style="202" customWidth="1"/>
    <col min="7944" max="7944" width="3.140625" style="202" customWidth="1"/>
    <col min="7945" max="7948" width="10.28515625" style="202" customWidth="1"/>
    <col min="7949" max="7949" width="3.140625" style="202" customWidth="1"/>
    <col min="7950" max="8192" width="9.140625" style="202"/>
    <col min="8193" max="8193" width="3.140625" style="202" customWidth="1"/>
    <col min="8194" max="8194" width="38.85546875" style="202" bestFit="1" customWidth="1"/>
    <col min="8195" max="8199" width="10.28515625" style="202" customWidth="1"/>
    <col min="8200" max="8200" width="3.140625" style="202" customWidth="1"/>
    <col min="8201" max="8204" width="10.28515625" style="202" customWidth="1"/>
    <col min="8205" max="8205" width="3.140625" style="202" customWidth="1"/>
    <col min="8206" max="8448" width="9.140625" style="202"/>
    <col min="8449" max="8449" width="3.140625" style="202" customWidth="1"/>
    <col min="8450" max="8450" width="38.85546875" style="202" bestFit="1" customWidth="1"/>
    <col min="8451" max="8455" width="10.28515625" style="202" customWidth="1"/>
    <col min="8456" max="8456" width="3.140625" style="202" customWidth="1"/>
    <col min="8457" max="8460" width="10.28515625" style="202" customWidth="1"/>
    <col min="8461" max="8461" width="3.140625" style="202" customWidth="1"/>
    <col min="8462" max="8704" width="9.140625" style="202"/>
    <col min="8705" max="8705" width="3.140625" style="202" customWidth="1"/>
    <col min="8706" max="8706" width="38.85546875" style="202" bestFit="1" customWidth="1"/>
    <col min="8707" max="8711" width="10.28515625" style="202" customWidth="1"/>
    <col min="8712" max="8712" width="3.140625" style="202" customWidth="1"/>
    <col min="8713" max="8716" width="10.28515625" style="202" customWidth="1"/>
    <col min="8717" max="8717" width="3.140625" style="202" customWidth="1"/>
    <col min="8718" max="8960" width="9.140625" style="202"/>
    <col min="8961" max="8961" width="3.140625" style="202" customWidth="1"/>
    <col min="8962" max="8962" width="38.85546875" style="202" bestFit="1" customWidth="1"/>
    <col min="8963" max="8967" width="10.28515625" style="202" customWidth="1"/>
    <col min="8968" max="8968" width="3.140625" style="202" customWidth="1"/>
    <col min="8969" max="8972" width="10.28515625" style="202" customWidth="1"/>
    <col min="8973" max="8973" width="3.140625" style="202" customWidth="1"/>
    <col min="8974" max="9216" width="9.140625" style="202"/>
    <col min="9217" max="9217" width="3.140625" style="202" customWidth="1"/>
    <col min="9218" max="9218" width="38.85546875" style="202" bestFit="1" customWidth="1"/>
    <col min="9219" max="9223" width="10.28515625" style="202" customWidth="1"/>
    <col min="9224" max="9224" width="3.140625" style="202" customWidth="1"/>
    <col min="9225" max="9228" width="10.28515625" style="202" customWidth="1"/>
    <col min="9229" max="9229" width="3.140625" style="202" customWidth="1"/>
    <col min="9230" max="9472" width="9.140625" style="202"/>
    <col min="9473" max="9473" width="3.140625" style="202" customWidth="1"/>
    <col min="9474" max="9474" width="38.85546875" style="202" bestFit="1" customWidth="1"/>
    <col min="9475" max="9479" width="10.28515625" style="202" customWidth="1"/>
    <col min="9480" max="9480" width="3.140625" style="202" customWidth="1"/>
    <col min="9481" max="9484" width="10.28515625" style="202" customWidth="1"/>
    <col min="9485" max="9485" width="3.140625" style="202" customWidth="1"/>
    <col min="9486" max="9728" width="9.140625" style="202"/>
    <col min="9729" max="9729" width="3.140625" style="202" customWidth="1"/>
    <col min="9730" max="9730" width="38.85546875" style="202" bestFit="1" customWidth="1"/>
    <col min="9731" max="9735" width="10.28515625" style="202" customWidth="1"/>
    <col min="9736" max="9736" width="3.140625" style="202" customWidth="1"/>
    <col min="9737" max="9740" width="10.28515625" style="202" customWidth="1"/>
    <col min="9741" max="9741" width="3.140625" style="202" customWidth="1"/>
    <col min="9742" max="9984" width="9.140625" style="202"/>
    <col min="9985" max="9985" width="3.140625" style="202" customWidth="1"/>
    <col min="9986" max="9986" width="38.85546875" style="202" bestFit="1" customWidth="1"/>
    <col min="9987" max="9991" width="10.28515625" style="202" customWidth="1"/>
    <col min="9992" max="9992" width="3.140625" style="202" customWidth="1"/>
    <col min="9993" max="9996" width="10.28515625" style="202" customWidth="1"/>
    <col min="9997" max="9997" width="3.140625" style="202" customWidth="1"/>
    <col min="9998" max="10240" width="9.140625" style="202"/>
    <col min="10241" max="10241" width="3.140625" style="202" customWidth="1"/>
    <col min="10242" max="10242" width="38.85546875" style="202" bestFit="1" customWidth="1"/>
    <col min="10243" max="10247" width="10.28515625" style="202" customWidth="1"/>
    <col min="10248" max="10248" width="3.140625" style="202" customWidth="1"/>
    <col min="10249" max="10252" width="10.28515625" style="202" customWidth="1"/>
    <col min="10253" max="10253" width="3.140625" style="202" customWidth="1"/>
    <col min="10254" max="10496" width="9.140625" style="202"/>
    <col min="10497" max="10497" width="3.140625" style="202" customWidth="1"/>
    <col min="10498" max="10498" width="38.85546875" style="202" bestFit="1" customWidth="1"/>
    <col min="10499" max="10503" width="10.28515625" style="202" customWidth="1"/>
    <col min="10504" max="10504" width="3.140625" style="202" customWidth="1"/>
    <col min="10505" max="10508" width="10.28515625" style="202" customWidth="1"/>
    <col min="10509" max="10509" width="3.140625" style="202" customWidth="1"/>
    <col min="10510" max="10752" width="9.140625" style="202"/>
    <col min="10753" max="10753" width="3.140625" style="202" customWidth="1"/>
    <col min="10754" max="10754" width="38.85546875" style="202" bestFit="1" customWidth="1"/>
    <col min="10755" max="10759" width="10.28515625" style="202" customWidth="1"/>
    <col min="10760" max="10760" width="3.140625" style="202" customWidth="1"/>
    <col min="10761" max="10764" width="10.28515625" style="202" customWidth="1"/>
    <col min="10765" max="10765" width="3.140625" style="202" customWidth="1"/>
    <col min="10766" max="11008" width="9.140625" style="202"/>
    <col min="11009" max="11009" width="3.140625" style="202" customWidth="1"/>
    <col min="11010" max="11010" width="38.85546875" style="202" bestFit="1" customWidth="1"/>
    <col min="11011" max="11015" width="10.28515625" style="202" customWidth="1"/>
    <col min="11016" max="11016" width="3.140625" style="202" customWidth="1"/>
    <col min="11017" max="11020" width="10.28515625" style="202" customWidth="1"/>
    <col min="11021" max="11021" width="3.140625" style="202" customWidth="1"/>
    <col min="11022" max="11264" width="9.140625" style="202"/>
    <col min="11265" max="11265" width="3.140625" style="202" customWidth="1"/>
    <col min="11266" max="11266" width="38.85546875" style="202" bestFit="1" customWidth="1"/>
    <col min="11267" max="11271" width="10.28515625" style="202" customWidth="1"/>
    <col min="11272" max="11272" width="3.140625" style="202" customWidth="1"/>
    <col min="11273" max="11276" width="10.28515625" style="202" customWidth="1"/>
    <col min="11277" max="11277" width="3.140625" style="202" customWidth="1"/>
    <col min="11278" max="11520" width="9.140625" style="202"/>
    <col min="11521" max="11521" width="3.140625" style="202" customWidth="1"/>
    <col min="11522" max="11522" width="38.85546875" style="202" bestFit="1" customWidth="1"/>
    <col min="11523" max="11527" width="10.28515625" style="202" customWidth="1"/>
    <col min="11528" max="11528" width="3.140625" style="202" customWidth="1"/>
    <col min="11529" max="11532" width="10.28515625" style="202" customWidth="1"/>
    <col min="11533" max="11533" width="3.140625" style="202" customWidth="1"/>
    <col min="11534" max="11776" width="9.140625" style="202"/>
    <col min="11777" max="11777" width="3.140625" style="202" customWidth="1"/>
    <col min="11778" max="11778" width="38.85546875" style="202" bestFit="1" customWidth="1"/>
    <col min="11779" max="11783" width="10.28515625" style="202" customWidth="1"/>
    <col min="11784" max="11784" width="3.140625" style="202" customWidth="1"/>
    <col min="11785" max="11788" width="10.28515625" style="202" customWidth="1"/>
    <col min="11789" max="11789" width="3.140625" style="202" customWidth="1"/>
    <col min="11790" max="12032" width="9.140625" style="202"/>
    <col min="12033" max="12033" width="3.140625" style="202" customWidth="1"/>
    <col min="12034" max="12034" width="38.85546875" style="202" bestFit="1" customWidth="1"/>
    <col min="12035" max="12039" width="10.28515625" style="202" customWidth="1"/>
    <col min="12040" max="12040" width="3.140625" style="202" customWidth="1"/>
    <col min="12041" max="12044" width="10.28515625" style="202" customWidth="1"/>
    <col min="12045" max="12045" width="3.140625" style="202" customWidth="1"/>
    <col min="12046" max="12288" width="9.140625" style="202"/>
    <col min="12289" max="12289" width="3.140625" style="202" customWidth="1"/>
    <col min="12290" max="12290" width="38.85546875" style="202" bestFit="1" customWidth="1"/>
    <col min="12291" max="12295" width="10.28515625" style="202" customWidth="1"/>
    <col min="12296" max="12296" width="3.140625" style="202" customWidth="1"/>
    <col min="12297" max="12300" width="10.28515625" style="202" customWidth="1"/>
    <col min="12301" max="12301" width="3.140625" style="202" customWidth="1"/>
    <col min="12302" max="12544" width="9.140625" style="202"/>
    <col min="12545" max="12545" width="3.140625" style="202" customWidth="1"/>
    <col min="12546" max="12546" width="38.85546875" style="202" bestFit="1" customWidth="1"/>
    <col min="12547" max="12551" width="10.28515625" style="202" customWidth="1"/>
    <col min="12552" max="12552" width="3.140625" style="202" customWidth="1"/>
    <col min="12553" max="12556" width="10.28515625" style="202" customWidth="1"/>
    <col min="12557" max="12557" width="3.140625" style="202" customWidth="1"/>
    <col min="12558" max="12800" width="9.140625" style="202"/>
    <col min="12801" max="12801" width="3.140625" style="202" customWidth="1"/>
    <col min="12802" max="12802" width="38.85546875" style="202" bestFit="1" customWidth="1"/>
    <col min="12803" max="12807" width="10.28515625" style="202" customWidth="1"/>
    <col min="12808" max="12808" width="3.140625" style="202" customWidth="1"/>
    <col min="12809" max="12812" width="10.28515625" style="202" customWidth="1"/>
    <col min="12813" max="12813" width="3.140625" style="202" customWidth="1"/>
    <col min="12814" max="13056" width="9.140625" style="202"/>
    <col min="13057" max="13057" width="3.140625" style="202" customWidth="1"/>
    <col min="13058" max="13058" width="38.85546875" style="202" bestFit="1" customWidth="1"/>
    <col min="13059" max="13063" width="10.28515625" style="202" customWidth="1"/>
    <col min="13064" max="13064" width="3.140625" style="202" customWidth="1"/>
    <col min="13065" max="13068" width="10.28515625" style="202" customWidth="1"/>
    <col min="13069" max="13069" width="3.140625" style="202" customWidth="1"/>
    <col min="13070" max="13312" width="9.140625" style="202"/>
    <col min="13313" max="13313" width="3.140625" style="202" customWidth="1"/>
    <col min="13314" max="13314" width="38.85546875" style="202" bestFit="1" customWidth="1"/>
    <col min="13315" max="13319" width="10.28515625" style="202" customWidth="1"/>
    <col min="13320" max="13320" width="3.140625" style="202" customWidth="1"/>
    <col min="13321" max="13324" width="10.28515625" style="202" customWidth="1"/>
    <col min="13325" max="13325" width="3.140625" style="202" customWidth="1"/>
    <col min="13326" max="13568" width="9.140625" style="202"/>
    <col min="13569" max="13569" width="3.140625" style="202" customWidth="1"/>
    <col min="13570" max="13570" width="38.85546875" style="202" bestFit="1" customWidth="1"/>
    <col min="13571" max="13575" width="10.28515625" style="202" customWidth="1"/>
    <col min="13576" max="13576" width="3.140625" style="202" customWidth="1"/>
    <col min="13577" max="13580" width="10.28515625" style="202" customWidth="1"/>
    <col min="13581" max="13581" width="3.140625" style="202" customWidth="1"/>
    <col min="13582" max="13824" width="9.140625" style="202"/>
    <col min="13825" max="13825" width="3.140625" style="202" customWidth="1"/>
    <col min="13826" max="13826" width="38.85546875" style="202" bestFit="1" customWidth="1"/>
    <col min="13827" max="13831" width="10.28515625" style="202" customWidth="1"/>
    <col min="13832" max="13832" width="3.140625" style="202" customWidth="1"/>
    <col min="13833" max="13836" width="10.28515625" style="202" customWidth="1"/>
    <col min="13837" max="13837" width="3.140625" style="202" customWidth="1"/>
    <col min="13838" max="14080" width="9.140625" style="202"/>
    <col min="14081" max="14081" width="3.140625" style="202" customWidth="1"/>
    <col min="14082" max="14082" width="38.85546875" style="202" bestFit="1" customWidth="1"/>
    <col min="14083" max="14087" width="10.28515625" style="202" customWidth="1"/>
    <col min="14088" max="14088" width="3.140625" style="202" customWidth="1"/>
    <col min="14089" max="14092" width="10.28515625" style="202" customWidth="1"/>
    <col min="14093" max="14093" width="3.140625" style="202" customWidth="1"/>
    <col min="14094" max="14336" width="9.140625" style="202"/>
    <col min="14337" max="14337" width="3.140625" style="202" customWidth="1"/>
    <col min="14338" max="14338" width="38.85546875" style="202" bestFit="1" customWidth="1"/>
    <col min="14339" max="14343" width="10.28515625" style="202" customWidth="1"/>
    <col min="14344" max="14344" width="3.140625" style="202" customWidth="1"/>
    <col min="14345" max="14348" width="10.28515625" style="202" customWidth="1"/>
    <col min="14349" max="14349" width="3.140625" style="202" customWidth="1"/>
    <col min="14350" max="14592" width="9.140625" style="202"/>
    <col min="14593" max="14593" width="3.140625" style="202" customWidth="1"/>
    <col min="14594" max="14594" width="38.85546875" style="202" bestFit="1" customWidth="1"/>
    <col min="14595" max="14599" width="10.28515625" style="202" customWidth="1"/>
    <col min="14600" max="14600" width="3.140625" style="202" customWidth="1"/>
    <col min="14601" max="14604" width="10.28515625" style="202" customWidth="1"/>
    <col min="14605" max="14605" width="3.140625" style="202" customWidth="1"/>
    <col min="14606" max="14848" width="9.140625" style="202"/>
    <col min="14849" max="14849" width="3.140625" style="202" customWidth="1"/>
    <col min="14850" max="14850" width="38.85546875" style="202" bestFit="1" customWidth="1"/>
    <col min="14851" max="14855" width="10.28515625" style="202" customWidth="1"/>
    <col min="14856" max="14856" width="3.140625" style="202" customWidth="1"/>
    <col min="14857" max="14860" width="10.28515625" style="202" customWidth="1"/>
    <col min="14861" max="14861" width="3.140625" style="202" customWidth="1"/>
    <col min="14862" max="15104" width="9.140625" style="202"/>
    <col min="15105" max="15105" width="3.140625" style="202" customWidth="1"/>
    <col min="15106" max="15106" width="38.85546875" style="202" bestFit="1" customWidth="1"/>
    <col min="15107" max="15111" width="10.28515625" style="202" customWidth="1"/>
    <col min="15112" max="15112" width="3.140625" style="202" customWidth="1"/>
    <col min="15113" max="15116" width="10.28515625" style="202" customWidth="1"/>
    <col min="15117" max="15117" width="3.140625" style="202" customWidth="1"/>
    <col min="15118" max="15360" width="9.140625" style="202"/>
    <col min="15361" max="15361" width="3.140625" style="202" customWidth="1"/>
    <col min="15362" max="15362" width="38.85546875" style="202" bestFit="1" customWidth="1"/>
    <col min="15363" max="15367" width="10.28515625" style="202" customWidth="1"/>
    <col min="15368" max="15368" width="3.140625" style="202" customWidth="1"/>
    <col min="15369" max="15372" width="10.28515625" style="202" customWidth="1"/>
    <col min="15373" max="15373" width="3.140625" style="202" customWidth="1"/>
    <col min="15374" max="15616" width="9.140625" style="202"/>
    <col min="15617" max="15617" width="3.140625" style="202" customWidth="1"/>
    <col min="15618" max="15618" width="38.85546875" style="202" bestFit="1" customWidth="1"/>
    <col min="15619" max="15623" width="10.28515625" style="202" customWidth="1"/>
    <col min="15624" max="15624" width="3.140625" style="202" customWidth="1"/>
    <col min="15625" max="15628" width="10.28515625" style="202" customWidth="1"/>
    <col min="15629" max="15629" width="3.140625" style="202" customWidth="1"/>
    <col min="15630" max="15872" width="9.140625" style="202"/>
    <col min="15873" max="15873" width="3.140625" style="202" customWidth="1"/>
    <col min="15874" max="15874" width="38.85546875" style="202" bestFit="1" customWidth="1"/>
    <col min="15875" max="15879" width="10.28515625" style="202" customWidth="1"/>
    <col min="15880" max="15880" width="3.140625" style="202" customWidth="1"/>
    <col min="15881" max="15884" width="10.28515625" style="202" customWidth="1"/>
    <col min="15885" max="15885" width="3.140625" style="202" customWidth="1"/>
    <col min="15886" max="16128" width="9.140625" style="202"/>
    <col min="16129" max="16129" width="3.140625" style="202" customWidth="1"/>
    <col min="16130" max="16130" width="38.85546875" style="202" bestFit="1" customWidth="1"/>
    <col min="16131" max="16135" width="10.28515625" style="202" customWidth="1"/>
    <col min="16136" max="16136" width="3.140625" style="202" customWidth="1"/>
    <col min="16137" max="16140" width="10.28515625" style="202" customWidth="1"/>
    <col min="16141" max="16141" width="3.140625" style="202" customWidth="1"/>
    <col min="16142" max="16384" width="9.140625" style="202"/>
  </cols>
  <sheetData>
    <row r="2" spans="2:12">
      <c r="B2" s="3" t="s">
        <v>244</v>
      </c>
      <c r="C2" s="1099"/>
      <c r="D2" s="1099"/>
    </row>
    <row r="3" spans="2:12">
      <c r="B3" s="203" t="s">
        <v>444</v>
      </c>
      <c r="C3" s="1099"/>
      <c r="D3" s="1099"/>
    </row>
    <row r="5" spans="2:12" s="1103" customFormat="1" ht="15.75" thickBot="1">
      <c r="B5" s="1104" t="s">
        <v>334</v>
      </c>
      <c r="C5" s="1104" t="s">
        <v>174</v>
      </c>
      <c r="D5" s="1104" t="s">
        <v>445</v>
      </c>
      <c r="E5" s="1105" t="s">
        <v>256</v>
      </c>
      <c r="F5" s="1106" t="s">
        <v>177</v>
      </c>
      <c r="G5" s="1106" t="s">
        <v>446</v>
      </c>
      <c r="H5" s="202"/>
      <c r="I5" s="1106" t="s">
        <v>286</v>
      </c>
      <c r="J5" s="1106" t="s">
        <v>285</v>
      </c>
      <c r="K5" s="1106" t="s">
        <v>284</v>
      </c>
      <c r="L5" s="1106" t="s">
        <v>287</v>
      </c>
    </row>
    <row r="7" spans="2:12">
      <c r="B7" s="202" t="s">
        <v>448</v>
      </c>
      <c r="C7" s="1107">
        <v>43009</v>
      </c>
      <c r="D7" s="1102">
        <v>2019</v>
      </c>
      <c r="E7" s="1108">
        <v>0.08</v>
      </c>
      <c r="F7" s="1109">
        <v>137.80000000000001</v>
      </c>
      <c r="G7" s="1101">
        <f>E7*F7</f>
        <v>11.024000000000001</v>
      </c>
      <c r="J7" s="1101">
        <f>$G7/2</f>
        <v>5.5120000000000005</v>
      </c>
      <c r="L7" s="1101">
        <f>$G7/2</f>
        <v>5.5120000000000005</v>
      </c>
    </row>
    <row r="8" spans="2:12">
      <c r="B8" s="202" t="s">
        <v>449</v>
      </c>
      <c r="C8" s="1107">
        <v>42993</v>
      </c>
      <c r="D8" s="1102">
        <v>2020</v>
      </c>
      <c r="E8" s="1108">
        <v>4.6249999999999999E-2</v>
      </c>
      <c r="F8" s="1109">
        <v>251.6</v>
      </c>
      <c r="G8" s="1101">
        <f t="shared" ref="G8:G13" si="0">E8*F8</f>
        <v>11.6365</v>
      </c>
      <c r="I8" s="1101">
        <f>$G8/2</f>
        <v>5.8182499999999999</v>
      </c>
      <c r="K8" s="1101">
        <f>$G8/2</f>
        <v>5.8182499999999999</v>
      </c>
    </row>
    <row r="9" spans="2:12">
      <c r="B9" s="202" t="s">
        <v>450</v>
      </c>
      <c r="C9" s="1107">
        <v>43046</v>
      </c>
      <c r="D9" s="1102">
        <v>2022</v>
      </c>
      <c r="E9" s="1108">
        <v>1.7999999999999999E-2</v>
      </c>
      <c r="F9" s="1109">
        <v>585.9</v>
      </c>
      <c r="G9" s="1101">
        <f t="shared" si="0"/>
        <v>10.546199999999999</v>
      </c>
      <c r="L9" s="1101">
        <f>$G9</f>
        <v>10.546199999999999</v>
      </c>
    </row>
    <row r="10" spans="2:12">
      <c r="B10" s="202" t="s">
        <v>451</v>
      </c>
      <c r="C10" s="1107">
        <v>42809</v>
      </c>
      <c r="D10" s="1102">
        <v>2025</v>
      </c>
      <c r="E10" s="1108">
        <v>3.3750000000000002E-2</v>
      </c>
      <c r="F10" s="1109">
        <v>495.9</v>
      </c>
      <c r="G10" s="1101">
        <f t="shared" si="0"/>
        <v>16.736625</v>
      </c>
      <c r="I10" s="1101">
        <f>$G10/2</f>
        <v>8.3683125</v>
      </c>
      <c r="K10" s="1101">
        <f>$G10/2</f>
        <v>8.3683125</v>
      </c>
    </row>
    <row r="11" spans="2:12">
      <c r="B11" s="202" t="s">
        <v>452</v>
      </c>
      <c r="C11" s="1107">
        <v>42781</v>
      </c>
      <c r="D11" s="1102">
        <v>2029</v>
      </c>
      <c r="E11" s="1108">
        <v>7.1249999999999994E-2</v>
      </c>
      <c r="F11" s="1109">
        <v>118.9</v>
      </c>
      <c r="G11" s="1101">
        <f t="shared" si="0"/>
        <v>8.4716249999999995</v>
      </c>
      <c r="I11" s="1101">
        <f>$G11/2</f>
        <v>4.2358124999999998</v>
      </c>
      <c r="K11" s="1101">
        <f>$G11/2</f>
        <v>4.2358124999999998</v>
      </c>
    </row>
    <row r="12" spans="2:12">
      <c r="B12" s="202" t="s">
        <v>453</v>
      </c>
      <c r="C12" s="1107">
        <v>42809</v>
      </c>
      <c r="D12" s="1102">
        <v>2045</v>
      </c>
      <c r="E12" s="1108">
        <v>4.3749999999999997E-2</v>
      </c>
      <c r="F12" s="1109">
        <v>493.5</v>
      </c>
      <c r="G12" s="1101">
        <f t="shared" si="0"/>
        <v>21.590624999999999</v>
      </c>
      <c r="I12" s="1101">
        <f>$G12/2</f>
        <v>10.7953125</v>
      </c>
      <c r="K12" s="1101">
        <f>$G12/2</f>
        <v>10.7953125</v>
      </c>
    </row>
    <row r="13" spans="2:12">
      <c r="B13" s="202" t="s">
        <v>454</v>
      </c>
      <c r="C13" s="1107"/>
      <c r="E13" s="1100">
        <f>SUM(G7:G12)/SUM(F7:F12)</f>
        <v>3.8397761086580925E-2</v>
      </c>
      <c r="F13" s="1109">
        <v>29.1</v>
      </c>
      <c r="G13" s="1101">
        <f t="shared" si="0"/>
        <v>1.1173748476195049</v>
      </c>
      <c r="I13" s="1101">
        <f>$G13/4</f>
        <v>0.27934371190487622</v>
      </c>
      <c r="J13" s="1101">
        <f>$G13/4</f>
        <v>0.27934371190487622</v>
      </c>
      <c r="K13" s="1101">
        <f>$G13/4</f>
        <v>0.27934371190487622</v>
      </c>
      <c r="L13" s="1101">
        <f>$G13/4</f>
        <v>0.27934371190487622</v>
      </c>
    </row>
    <row r="15" spans="2:12" s="1103" customFormat="1" ht="15.75" thickBot="1">
      <c r="B15" s="1110" t="s">
        <v>447</v>
      </c>
      <c r="C15" s="1111"/>
      <c r="D15" s="1111"/>
      <c r="E15" s="1112">
        <f>G15/F15</f>
        <v>3.8397761086580925E-2</v>
      </c>
      <c r="F15" s="1113">
        <f>SUM(F6:F14)</f>
        <v>2112.6999999999998</v>
      </c>
      <c r="G15" s="1113">
        <f>SUM(G6:G14)</f>
        <v>81.122949847619509</v>
      </c>
      <c r="I15" s="1113">
        <f>SUM(I6:I14)</f>
        <v>29.497031211904879</v>
      </c>
      <c r="J15" s="1113">
        <f>SUM(J6:J14)</f>
        <v>5.7913437119048767</v>
      </c>
      <c r="K15" s="1113">
        <f>SUM(K6:K14)</f>
        <v>29.497031211904879</v>
      </c>
      <c r="L15" s="1113">
        <f>SUM(L6:L14)</f>
        <v>16.337543711904875</v>
      </c>
    </row>
  </sheetData>
  <pageMargins left="0.7" right="0.7" top="0.75" bottom="0.75" header="0.3" footer="0.3"/>
  <pageSetup scale="86" orientation="landscape" r:id="rId1"/>
  <legacy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D43"/>
  <sheetViews>
    <sheetView workbookViewId="0">
      <selection activeCell="B42" sqref="B42"/>
    </sheetView>
  </sheetViews>
  <sheetFormatPr defaultRowHeight="12.75"/>
  <cols>
    <col min="1" max="1" width="29.5703125" style="1" bestFit="1" customWidth="1"/>
    <col min="2" max="2" width="19.85546875" style="1253" customWidth="1"/>
    <col min="3" max="3" width="12" style="1" bestFit="1" customWidth="1"/>
    <col min="4" max="256" width="9.140625" style="1"/>
    <col min="257" max="257" width="29.5703125" style="1" bestFit="1" customWidth="1"/>
    <col min="258" max="258" width="19.85546875" style="1" customWidth="1"/>
    <col min="259" max="259" width="12" style="1" bestFit="1" customWidth="1"/>
    <col min="260" max="512" width="9.140625" style="1"/>
    <col min="513" max="513" width="29.5703125" style="1" bestFit="1" customWidth="1"/>
    <col min="514" max="514" width="19.85546875" style="1" customWidth="1"/>
    <col min="515" max="515" width="12" style="1" bestFit="1" customWidth="1"/>
    <col min="516" max="768" width="9.140625" style="1"/>
    <col min="769" max="769" width="29.5703125" style="1" bestFit="1" customWidth="1"/>
    <col min="770" max="770" width="19.85546875" style="1" customWidth="1"/>
    <col min="771" max="771" width="12" style="1" bestFit="1" customWidth="1"/>
    <col min="772" max="1024" width="9.140625" style="1"/>
    <col min="1025" max="1025" width="29.5703125" style="1" bestFit="1" customWidth="1"/>
    <col min="1026" max="1026" width="19.85546875" style="1" customWidth="1"/>
    <col min="1027" max="1027" width="12" style="1" bestFit="1" customWidth="1"/>
    <col min="1028" max="1280" width="9.140625" style="1"/>
    <col min="1281" max="1281" width="29.5703125" style="1" bestFit="1" customWidth="1"/>
    <col min="1282" max="1282" width="19.85546875" style="1" customWidth="1"/>
    <col min="1283" max="1283" width="12" style="1" bestFit="1" customWidth="1"/>
    <col min="1284" max="1536" width="9.140625" style="1"/>
    <col min="1537" max="1537" width="29.5703125" style="1" bestFit="1" customWidth="1"/>
    <col min="1538" max="1538" width="19.85546875" style="1" customWidth="1"/>
    <col min="1539" max="1539" width="12" style="1" bestFit="1" customWidth="1"/>
    <col min="1540" max="1792" width="9.140625" style="1"/>
    <col min="1793" max="1793" width="29.5703125" style="1" bestFit="1" customWidth="1"/>
    <col min="1794" max="1794" width="19.85546875" style="1" customWidth="1"/>
    <col min="1795" max="1795" width="12" style="1" bestFit="1" customWidth="1"/>
    <col min="1796" max="2048" width="9.140625" style="1"/>
    <col min="2049" max="2049" width="29.5703125" style="1" bestFit="1" customWidth="1"/>
    <col min="2050" max="2050" width="19.85546875" style="1" customWidth="1"/>
    <col min="2051" max="2051" width="12" style="1" bestFit="1" customWidth="1"/>
    <col min="2052" max="2304" width="9.140625" style="1"/>
    <col min="2305" max="2305" width="29.5703125" style="1" bestFit="1" customWidth="1"/>
    <col min="2306" max="2306" width="19.85546875" style="1" customWidth="1"/>
    <col min="2307" max="2307" width="12" style="1" bestFit="1" customWidth="1"/>
    <col min="2308" max="2560" width="9.140625" style="1"/>
    <col min="2561" max="2561" width="29.5703125" style="1" bestFit="1" customWidth="1"/>
    <col min="2562" max="2562" width="19.85546875" style="1" customWidth="1"/>
    <col min="2563" max="2563" width="12" style="1" bestFit="1" customWidth="1"/>
    <col min="2564" max="2816" width="9.140625" style="1"/>
    <col min="2817" max="2817" width="29.5703125" style="1" bestFit="1" customWidth="1"/>
    <col min="2818" max="2818" width="19.85546875" style="1" customWidth="1"/>
    <col min="2819" max="2819" width="12" style="1" bestFit="1" customWidth="1"/>
    <col min="2820" max="3072" width="9.140625" style="1"/>
    <col min="3073" max="3073" width="29.5703125" style="1" bestFit="1" customWidth="1"/>
    <col min="3074" max="3074" width="19.85546875" style="1" customWidth="1"/>
    <col min="3075" max="3075" width="12" style="1" bestFit="1" customWidth="1"/>
    <col min="3076" max="3328" width="9.140625" style="1"/>
    <col min="3329" max="3329" width="29.5703125" style="1" bestFit="1" customWidth="1"/>
    <col min="3330" max="3330" width="19.85546875" style="1" customWidth="1"/>
    <col min="3331" max="3331" width="12" style="1" bestFit="1" customWidth="1"/>
    <col min="3332" max="3584" width="9.140625" style="1"/>
    <col min="3585" max="3585" width="29.5703125" style="1" bestFit="1" customWidth="1"/>
    <col min="3586" max="3586" width="19.85546875" style="1" customWidth="1"/>
    <col min="3587" max="3587" width="12" style="1" bestFit="1" customWidth="1"/>
    <col min="3588" max="3840" width="9.140625" style="1"/>
    <col min="3841" max="3841" width="29.5703125" style="1" bestFit="1" customWidth="1"/>
    <col min="3842" max="3842" width="19.85546875" style="1" customWidth="1"/>
    <col min="3843" max="3843" width="12" style="1" bestFit="1" customWidth="1"/>
    <col min="3844" max="4096" width="9.140625" style="1"/>
    <col min="4097" max="4097" width="29.5703125" style="1" bestFit="1" customWidth="1"/>
    <col min="4098" max="4098" width="19.85546875" style="1" customWidth="1"/>
    <col min="4099" max="4099" width="12" style="1" bestFit="1" customWidth="1"/>
    <col min="4100" max="4352" width="9.140625" style="1"/>
    <col min="4353" max="4353" width="29.5703125" style="1" bestFit="1" customWidth="1"/>
    <col min="4354" max="4354" width="19.85546875" style="1" customWidth="1"/>
    <col min="4355" max="4355" width="12" style="1" bestFit="1" customWidth="1"/>
    <col min="4356" max="4608" width="9.140625" style="1"/>
    <col min="4609" max="4609" width="29.5703125" style="1" bestFit="1" customWidth="1"/>
    <col min="4610" max="4610" width="19.85546875" style="1" customWidth="1"/>
    <col min="4611" max="4611" width="12" style="1" bestFit="1" customWidth="1"/>
    <col min="4612" max="4864" width="9.140625" style="1"/>
    <col min="4865" max="4865" width="29.5703125" style="1" bestFit="1" customWidth="1"/>
    <col min="4866" max="4866" width="19.85546875" style="1" customWidth="1"/>
    <col min="4867" max="4867" width="12" style="1" bestFit="1" customWidth="1"/>
    <col min="4868" max="5120" width="9.140625" style="1"/>
    <col min="5121" max="5121" width="29.5703125" style="1" bestFit="1" customWidth="1"/>
    <col min="5122" max="5122" width="19.85546875" style="1" customWidth="1"/>
    <col min="5123" max="5123" width="12" style="1" bestFit="1" customWidth="1"/>
    <col min="5124" max="5376" width="9.140625" style="1"/>
    <col min="5377" max="5377" width="29.5703125" style="1" bestFit="1" customWidth="1"/>
    <col min="5378" max="5378" width="19.85546875" style="1" customWidth="1"/>
    <col min="5379" max="5379" width="12" style="1" bestFit="1" customWidth="1"/>
    <col min="5380" max="5632" width="9.140625" style="1"/>
    <col min="5633" max="5633" width="29.5703125" style="1" bestFit="1" customWidth="1"/>
    <col min="5634" max="5634" width="19.85546875" style="1" customWidth="1"/>
    <col min="5635" max="5635" width="12" style="1" bestFit="1" customWidth="1"/>
    <col min="5636" max="5888" width="9.140625" style="1"/>
    <col min="5889" max="5889" width="29.5703125" style="1" bestFit="1" customWidth="1"/>
    <col min="5890" max="5890" width="19.85546875" style="1" customWidth="1"/>
    <col min="5891" max="5891" width="12" style="1" bestFit="1" customWidth="1"/>
    <col min="5892" max="6144" width="9.140625" style="1"/>
    <col min="6145" max="6145" width="29.5703125" style="1" bestFit="1" customWidth="1"/>
    <col min="6146" max="6146" width="19.85546875" style="1" customWidth="1"/>
    <col min="6147" max="6147" width="12" style="1" bestFit="1" customWidth="1"/>
    <col min="6148" max="6400" width="9.140625" style="1"/>
    <col min="6401" max="6401" width="29.5703125" style="1" bestFit="1" customWidth="1"/>
    <col min="6402" max="6402" width="19.85546875" style="1" customWidth="1"/>
    <col min="6403" max="6403" width="12" style="1" bestFit="1" customWidth="1"/>
    <col min="6404" max="6656" width="9.140625" style="1"/>
    <col min="6657" max="6657" width="29.5703125" style="1" bestFit="1" customWidth="1"/>
    <col min="6658" max="6658" width="19.85546875" style="1" customWidth="1"/>
    <col min="6659" max="6659" width="12" style="1" bestFit="1" customWidth="1"/>
    <col min="6660" max="6912" width="9.140625" style="1"/>
    <col min="6913" max="6913" width="29.5703125" style="1" bestFit="1" customWidth="1"/>
    <col min="6914" max="6914" width="19.85546875" style="1" customWidth="1"/>
    <col min="6915" max="6915" width="12" style="1" bestFit="1" customWidth="1"/>
    <col min="6916" max="7168" width="9.140625" style="1"/>
    <col min="7169" max="7169" width="29.5703125" style="1" bestFit="1" customWidth="1"/>
    <col min="7170" max="7170" width="19.85546875" style="1" customWidth="1"/>
    <col min="7171" max="7171" width="12" style="1" bestFit="1" customWidth="1"/>
    <col min="7172" max="7424" width="9.140625" style="1"/>
    <col min="7425" max="7425" width="29.5703125" style="1" bestFit="1" customWidth="1"/>
    <col min="7426" max="7426" width="19.85546875" style="1" customWidth="1"/>
    <col min="7427" max="7427" width="12" style="1" bestFit="1" customWidth="1"/>
    <col min="7428" max="7680" width="9.140625" style="1"/>
    <col min="7681" max="7681" width="29.5703125" style="1" bestFit="1" customWidth="1"/>
    <col min="7682" max="7682" width="19.85546875" style="1" customWidth="1"/>
    <col min="7683" max="7683" width="12" style="1" bestFit="1" customWidth="1"/>
    <col min="7684" max="7936" width="9.140625" style="1"/>
    <col min="7937" max="7937" width="29.5703125" style="1" bestFit="1" customWidth="1"/>
    <col min="7938" max="7938" width="19.85546875" style="1" customWidth="1"/>
    <col min="7939" max="7939" width="12" style="1" bestFit="1" customWidth="1"/>
    <col min="7940" max="8192" width="9.140625" style="1"/>
    <col min="8193" max="8193" width="29.5703125" style="1" bestFit="1" customWidth="1"/>
    <col min="8194" max="8194" width="19.85546875" style="1" customWidth="1"/>
    <col min="8195" max="8195" width="12" style="1" bestFit="1" customWidth="1"/>
    <col min="8196" max="8448" width="9.140625" style="1"/>
    <col min="8449" max="8449" width="29.5703125" style="1" bestFit="1" customWidth="1"/>
    <col min="8450" max="8450" width="19.85546875" style="1" customWidth="1"/>
    <col min="8451" max="8451" width="12" style="1" bestFit="1" customWidth="1"/>
    <col min="8452" max="8704" width="9.140625" style="1"/>
    <col min="8705" max="8705" width="29.5703125" style="1" bestFit="1" customWidth="1"/>
    <col min="8706" max="8706" width="19.85546875" style="1" customWidth="1"/>
    <col min="8707" max="8707" width="12" style="1" bestFit="1" customWidth="1"/>
    <col min="8708" max="8960" width="9.140625" style="1"/>
    <col min="8961" max="8961" width="29.5703125" style="1" bestFit="1" customWidth="1"/>
    <col min="8962" max="8962" width="19.85546875" style="1" customWidth="1"/>
    <col min="8963" max="8963" width="12" style="1" bestFit="1" customWidth="1"/>
    <col min="8964" max="9216" width="9.140625" style="1"/>
    <col min="9217" max="9217" width="29.5703125" style="1" bestFit="1" customWidth="1"/>
    <col min="9218" max="9218" width="19.85546875" style="1" customWidth="1"/>
    <col min="9219" max="9219" width="12" style="1" bestFit="1" customWidth="1"/>
    <col min="9220" max="9472" width="9.140625" style="1"/>
    <col min="9473" max="9473" width="29.5703125" style="1" bestFit="1" customWidth="1"/>
    <col min="9474" max="9474" width="19.85546875" style="1" customWidth="1"/>
    <col min="9475" max="9475" width="12" style="1" bestFit="1" customWidth="1"/>
    <col min="9476" max="9728" width="9.140625" style="1"/>
    <col min="9729" max="9729" width="29.5703125" style="1" bestFit="1" customWidth="1"/>
    <col min="9730" max="9730" width="19.85546875" style="1" customWidth="1"/>
    <col min="9731" max="9731" width="12" style="1" bestFit="1" customWidth="1"/>
    <col min="9732" max="9984" width="9.140625" style="1"/>
    <col min="9985" max="9985" width="29.5703125" style="1" bestFit="1" customWidth="1"/>
    <col min="9986" max="9986" width="19.85546875" style="1" customWidth="1"/>
    <col min="9987" max="9987" width="12" style="1" bestFit="1" customWidth="1"/>
    <col min="9988" max="10240" width="9.140625" style="1"/>
    <col min="10241" max="10241" width="29.5703125" style="1" bestFit="1" customWidth="1"/>
    <col min="10242" max="10242" width="19.85546875" style="1" customWidth="1"/>
    <col min="10243" max="10243" width="12" style="1" bestFit="1" customWidth="1"/>
    <col min="10244" max="10496" width="9.140625" style="1"/>
    <col min="10497" max="10497" width="29.5703125" style="1" bestFit="1" customWidth="1"/>
    <col min="10498" max="10498" width="19.85546875" style="1" customWidth="1"/>
    <col min="10499" max="10499" width="12" style="1" bestFit="1" customWidth="1"/>
    <col min="10500" max="10752" width="9.140625" style="1"/>
    <col min="10753" max="10753" width="29.5703125" style="1" bestFit="1" customWidth="1"/>
    <col min="10754" max="10754" width="19.85546875" style="1" customWidth="1"/>
    <col min="10755" max="10755" width="12" style="1" bestFit="1" customWidth="1"/>
    <col min="10756" max="11008" width="9.140625" style="1"/>
    <col min="11009" max="11009" width="29.5703125" style="1" bestFit="1" customWidth="1"/>
    <col min="11010" max="11010" width="19.85546875" style="1" customWidth="1"/>
    <col min="11011" max="11011" width="12" style="1" bestFit="1" customWidth="1"/>
    <col min="11012" max="11264" width="9.140625" style="1"/>
    <col min="11265" max="11265" width="29.5703125" style="1" bestFit="1" customWidth="1"/>
    <col min="11266" max="11266" width="19.85546875" style="1" customWidth="1"/>
    <col min="11267" max="11267" width="12" style="1" bestFit="1" customWidth="1"/>
    <col min="11268" max="11520" width="9.140625" style="1"/>
    <col min="11521" max="11521" width="29.5703125" style="1" bestFit="1" customWidth="1"/>
    <col min="11522" max="11522" width="19.85546875" style="1" customWidth="1"/>
    <col min="11523" max="11523" width="12" style="1" bestFit="1" customWidth="1"/>
    <col min="11524" max="11776" width="9.140625" style="1"/>
    <col min="11777" max="11777" width="29.5703125" style="1" bestFit="1" customWidth="1"/>
    <col min="11778" max="11778" width="19.85546875" style="1" customWidth="1"/>
    <col min="11779" max="11779" width="12" style="1" bestFit="1" customWidth="1"/>
    <col min="11780" max="12032" width="9.140625" style="1"/>
    <col min="12033" max="12033" width="29.5703125" style="1" bestFit="1" customWidth="1"/>
    <col min="12034" max="12034" width="19.85546875" style="1" customWidth="1"/>
    <col min="12035" max="12035" width="12" style="1" bestFit="1" customWidth="1"/>
    <col min="12036" max="12288" width="9.140625" style="1"/>
    <col min="12289" max="12289" width="29.5703125" style="1" bestFit="1" customWidth="1"/>
    <col min="12290" max="12290" width="19.85546875" style="1" customWidth="1"/>
    <col min="12291" max="12291" width="12" style="1" bestFit="1" customWidth="1"/>
    <col min="12292" max="12544" width="9.140625" style="1"/>
    <col min="12545" max="12545" width="29.5703125" style="1" bestFit="1" customWidth="1"/>
    <col min="12546" max="12546" width="19.85546875" style="1" customWidth="1"/>
    <col min="12547" max="12547" width="12" style="1" bestFit="1" customWidth="1"/>
    <col min="12548" max="12800" width="9.140625" style="1"/>
    <col min="12801" max="12801" width="29.5703125" style="1" bestFit="1" customWidth="1"/>
    <col min="12802" max="12802" width="19.85546875" style="1" customWidth="1"/>
    <col min="12803" max="12803" width="12" style="1" bestFit="1" customWidth="1"/>
    <col min="12804" max="13056" width="9.140625" style="1"/>
    <col min="13057" max="13057" width="29.5703125" style="1" bestFit="1" customWidth="1"/>
    <col min="13058" max="13058" width="19.85546875" style="1" customWidth="1"/>
    <col min="13059" max="13059" width="12" style="1" bestFit="1" customWidth="1"/>
    <col min="13060" max="13312" width="9.140625" style="1"/>
    <col min="13313" max="13313" width="29.5703125" style="1" bestFit="1" customWidth="1"/>
    <col min="13314" max="13314" width="19.85546875" style="1" customWidth="1"/>
    <col min="13315" max="13315" width="12" style="1" bestFit="1" customWidth="1"/>
    <col min="13316" max="13568" width="9.140625" style="1"/>
    <col min="13569" max="13569" width="29.5703125" style="1" bestFit="1" customWidth="1"/>
    <col min="13570" max="13570" width="19.85546875" style="1" customWidth="1"/>
    <col min="13571" max="13571" width="12" style="1" bestFit="1" customWidth="1"/>
    <col min="13572" max="13824" width="9.140625" style="1"/>
    <col min="13825" max="13825" width="29.5703125" style="1" bestFit="1" customWidth="1"/>
    <col min="13826" max="13826" width="19.85546875" style="1" customWidth="1"/>
    <col min="13827" max="13827" width="12" style="1" bestFit="1" customWidth="1"/>
    <col min="13828" max="14080" width="9.140625" style="1"/>
    <col min="14081" max="14081" width="29.5703125" style="1" bestFit="1" customWidth="1"/>
    <col min="14082" max="14082" width="19.85546875" style="1" customWidth="1"/>
    <col min="14083" max="14083" width="12" style="1" bestFit="1" customWidth="1"/>
    <col min="14084" max="14336" width="9.140625" style="1"/>
    <col min="14337" max="14337" width="29.5703125" style="1" bestFit="1" customWidth="1"/>
    <col min="14338" max="14338" width="19.85546875" style="1" customWidth="1"/>
    <col min="14339" max="14339" width="12" style="1" bestFit="1" customWidth="1"/>
    <col min="14340" max="14592" width="9.140625" style="1"/>
    <col min="14593" max="14593" width="29.5703125" style="1" bestFit="1" customWidth="1"/>
    <col min="14594" max="14594" width="19.85546875" style="1" customWidth="1"/>
    <col min="14595" max="14595" width="12" style="1" bestFit="1" customWidth="1"/>
    <col min="14596" max="14848" width="9.140625" style="1"/>
    <col min="14849" max="14849" width="29.5703125" style="1" bestFit="1" customWidth="1"/>
    <col min="14850" max="14850" width="19.85546875" style="1" customWidth="1"/>
    <col min="14851" max="14851" width="12" style="1" bestFit="1" customWidth="1"/>
    <col min="14852" max="15104" width="9.140625" style="1"/>
    <col min="15105" max="15105" width="29.5703125" style="1" bestFit="1" customWidth="1"/>
    <col min="15106" max="15106" width="19.85546875" style="1" customWidth="1"/>
    <col min="15107" max="15107" width="12" style="1" bestFit="1" customWidth="1"/>
    <col min="15108" max="15360" width="9.140625" style="1"/>
    <col min="15361" max="15361" width="29.5703125" style="1" bestFit="1" customWidth="1"/>
    <col min="15362" max="15362" width="19.85546875" style="1" customWidth="1"/>
    <col min="15363" max="15363" width="12" style="1" bestFit="1" customWidth="1"/>
    <col min="15364" max="15616" width="9.140625" style="1"/>
    <col min="15617" max="15617" width="29.5703125" style="1" bestFit="1" customWidth="1"/>
    <col min="15618" max="15618" width="19.85546875" style="1" customWidth="1"/>
    <col min="15619" max="15619" width="12" style="1" bestFit="1" customWidth="1"/>
    <col min="15620" max="15872" width="9.140625" style="1"/>
    <col min="15873" max="15873" width="29.5703125" style="1" bestFit="1" customWidth="1"/>
    <col min="15874" max="15874" width="19.85546875" style="1" customWidth="1"/>
    <col min="15875" max="15875" width="12" style="1" bestFit="1" customWidth="1"/>
    <col min="15876" max="16128" width="9.140625" style="1"/>
    <col min="16129" max="16129" width="29.5703125" style="1" bestFit="1" customWidth="1"/>
    <col min="16130" max="16130" width="19.85546875" style="1" customWidth="1"/>
    <col min="16131" max="16131" width="12" style="1" bestFit="1" customWidth="1"/>
    <col min="16132" max="16384" width="9.140625" style="1"/>
  </cols>
  <sheetData>
    <row r="1" spans="1:2">
      <c r="A1" s="1" t="s">
        <v>775</v>
      </c>
      <c r="B1" s="1252">
        <v>6.1</v>
      </c>
    </row>
    <row r="2" spans="1:2">
      <c r="A2" s="1" t="s">
        <v>776</v>
      </c>
      <c r="B2" s="1256">
        <v>43200.79582175926</v>
      </c>
    </row>
    <row r="3" spans="1:2">
      <c r="A3" s="1" t="s">
        <v>777</v>
      </c>
      <c r="B3" s="1253" t="s">
        <v>476</v>
      </c>
    </row>
    <row r="4" spans="1:2">
      <c r="A4" s="1" t="s">
        <v>778</v>
      </c>
      <c r="B4" s="1253" t="s">
        <v>779</v>
      </c>
    </row>
    <row r="5" spans="1:2">
      <c r="A5" s="1" t="s">
        <v>780</v>
      </c>
      <c r="B5" s="1253" t="s">
        <v>781</v>
      </c>
    </row>
    <row r="6" spans="1:2">
      <c r="A6" s="1" t="s">
        <v>782</v>
      </c>
    </row>
    <row r="7" spans="1:2">
      <c r="A7" s="1" t="s">
        <v>783</v>
      </c>
      <c r="B7" s="1253" t="s">
        <v>120</v>
      </c>
    </row>
    <row r="8" spans="1:2">
      <c r="A8" s="1" t="s">
        <v>784</v>
      </c>
      <c r="B8" s="1253" t="s">
        <v>785</v>
      </c>
    </row>
    <row r="9" spans="1:2">
      <c r="A9" s="1" t="s">
        <v>786</v>
      </c>
      <c r="B9" s="1253" t="s">
        <v>823</v>
      </c>
    </row>
    <row r="10" spans="1:2">
      <c r="A10" s="1" t="s">
        <v>787</v>
      </c>
    </row>
    <row r="11" spans="1:2">
      <c r="A11" s="1" t="s">
        <v>788</v>
      </c>
    </row>
    <row r="12" spans="1:2">
      <c r="A12" s="1" t="s">
        <v>789</v>
      </c>
    </row>
    <row r="13" spans="1:2">
      <c r="A13" s="1" t="s">
        <v>790</v>
      </c>
    </row>
    <row r="14" spans="1:2">
      <c r="A14" s="1" t="s">
        <v>791</v>
      </c>
    </row>
    <row r="15" spans="1:2">
      <c r="A15" s="1" t="s">
        <v>792</v>
      </c>
    </row>
    <row r="16" spans="1:2">
      <c r="A16" s="1" t="s">
        <v>793</v>
      </c>
    </row>
    <row r="17" spans="1:4">
      <c r="A17" s="1" t="s">
        <v>794</v>
      </c>
      <c r="B17" s="1253" t="s">
        <v>824</v>
      </c>
    </row>
    <row r="18" spans="1:4">
      <c r="A18" s="1" t="s">
        <v>795</v>
      </c>
      <c r="B18" s="1253" t="s">
        <v>827</v>
      </c>
    </row>
    <row r="19" spans="1:4">
      <c r="A19" s="1" t="s">
        <v>796</v>
      </c>
      <c r="B19" s="1253" t="s">
        <v>119</v>
      </c>
    </row>
    <row r="20" spans="1:4">
      <c r="A20" s="1" t="s">
        <v>797</v>
      </c>
      <c r="B20" s="1254">
        <v>99724106</v>
      </c>
    </row>
    <row r="21" spans="1:4">
      <c r="A21" s="1" t="s">
        <v>798</v>
      </c>
      <c r="B21" s="1253" t="s">
        <v>119</v>
      </c>
    </row>
    <row r="22" spans="1:4">
      <c r="A22" s="1" t="s">
        <v>799</v>
      </c>
      <c r="B22" s="1254">
        <v>2111955</v>
      </c>
    </row>
    <row r="23" spans="1:4">
      <c r="A23" s="1" t="s">
        <v>175</v>
      </c>
      <c r="B23" s="1252">
        <v>53</v>
      </c>
    </row>
    <row r="24" spans="1:4">
      <c r="A24" s="1" t="s">
        <v>173</v>
      </c>
      <c r="B24" s="1253" t="s">
        <v>118</v>
      </c>
      <c r="D24" s="1" t="s">
        <v>79</v>
      </c>
    </row>
    <row r="25" spans="1:4">
      <c r="A25" s="1" t="s">
        <v>800</v>
      </c>
      <c r="B25" s="1253" t="s">
        <v>828</v>
      </c>
    </row>
    <row r="26" spans="1:4">
      <c r="A26" s="1" t="s">
        <v>801</v>
      </c>
      <c r="B26" s="1253">
        <v>0</v>
      </c>
    </row>
    <row r="27" spans="1:4">
      <c r="A27" s="1" t="s">
        <v>802</v>
      </c>
      <c r="B27" s="1253" t="s">
        <v>803</v>
      </c>
    </row>
    <row r="28" spans="1:4">
      <c r="A28" s="1" t="s">
        <v>804</v>
      </c>
      <c r="B28" s="1253" t="s">
        <v>805</v>
      </c>
    </row>
    <row r="29" spans="1:4">
      <c r="A29" s="1" t="s">
        <v>806</v>
      </c>
    </row>
    <row r="30" spans="1:4">
      <c r="A30" s="1" t="s">
        <v>807</v>
      </c>
    </row>
    <row r="31" spans="1:4">
      <c r="A31" s="1" t="s">
        <v>808</v>
      </c>
    </row>
    <row r="32" spans="1:4">
      <c r="A32" s="1" t="s">
        <v>809</v>
      </c>
      <c r="B32" s="1252"/>
    </row>
    <row r="33" spans="1:2">
      <c r="A33" s="1" t="s">
        <v>810</v>
      </c>
      <c r="B33" s="1252"/>
    </row>
    <row r="34" spans="1:2">
      <c r="A34" s="1" t="s">
        <v>811</v>
      </c>
      <c r="B34" s="1252"/>
    </row>
    <row r="35" spans="1:2">
      <c r="A35" s="1" t="s">
        <v>812</v>
      </c>
      <c r="B35" s="1253">
        <v>1000000</v>
      </c>
    </row>
    <row r="36" spans="1:2">
      <c r="A36" s="1" t="s">
        <v>813</v>
      </c>
      <c r="B36" s="1253" t="s">
        <v>825</v>
      </c>
    </row>
    <row r="37" spans="1:2">
      <c r="A37" s="1" t="s">
        <v>814</v>
      </c>
      <c r="B37" s="1253" t="s">
        <v>815</v>
      </c>
    </row>
    <row r="38" spans="1:2">
      <c r="A38" s="1" t="s">
        <v>816</v>
      </c>
      <c r="B38" s="1253" t="s">
        <v>817</v>
      </c>
    </row>
    <row r="39" spans="1:2">
      <c r="A39" s="1" t="s">
        <v>818</v>
      </c>
      <c r="B39" s="1253" t="s">
        <v>826</v>
      </c>
    </row>
    <row r="40" spans="1:2">
      <c r="A40" s="1" t="s">
        <v>819</v>
      </c>
      <c r="B40" s="1253">
        <v>1500000223</v>
      </c>
    </row>
    <row r="41" spans="1:2">
      <c r="A41" s="1" t="s">
        <v>820</v>
      </c>
      <c r="B41" s="1253">
        <v>1</v>
      </c>
    </row>
    <row r="42" spans="1:2">
      <c r="A42" s="1255" t="s">
        <v>821</v>
      </c>
    </row>
    <row r="43" spans="1:2">
      <c r="A43" s="1" t="s">
        <v>822</v>
      </c>
    </row>
  </sheetData>
  <pageMargins left="0.75" right="0.75" top="1" bottom="1" header="0.5" footer="0.5"/>
  <pageSetup orientation="portrait"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A13"/>
  <sheetViews>
    <sheetView workbookViewId="0">
      <selection activeCell="E11" sqref="E11"/>
    </sheetView>
  </sheetViews>
  <sheetFormatPr defaultRowHeight="12.75"/>
  <cols>
    <col min="1" max="1" width="28.5703125" style="1" bestFit="1" customWidth="1"/>
    <col min="2" max="256" width="9.140625" style="1"/>
    <col min="257" max="257" width="28.5703125" style="1" bestFit="1" customWidth="1"/>
    <col min="258" max="512" width="9.140625" style="1"/>
    <col min="513" max="513" width="28.5703125" style="1" bestFit="1" customWidth="1"/>
    <col min="514" max="768" width="9.140625" style="1"/>
    <col min="769" max="769" width="28.5703125" style="1" bestFit="1" customWidth="1"/>
    <col min="770" max="1024" width="9.140625" style="1"/>
    <col min="1025" max="1025" width="28.5703125" style="1" bestFit="1" customWidth="1"/>
    <col min="1026" max="1280" width="9.140625" style="1"/>
    <col min="1281" max="1281" width="28.5703125" style="1" bestFit="1" customWidth="1"/>
    <col min="1282" max="1536" width="9.140625" style="1"/>
    <col min="1537" max="1537" width="28.5703125" style="1" bestFit="1" customWidth="1"/>
    <col min="1538" max="1792" width="9.140625" style="1"/>
    <col min="1793" max="1793" width="28.5703125" style="1" bestFit="1" customWidth="1"/>
    <col min="1794" max="2048" width="9.140625" style="1"/>
    <col min="2049" max="2049" width="28.5703125" style="1" bestFit="1" customWidth="1"/>
    <col min="2050" max="2304" width="9.140625" style="1"/>
    <col min="2305" max="2305" width="28.5703125" style="1" bestFit="1" customWidth="1"/>
    <col min="2306" max="2560" width="9.140625" style="1"/>
    <col min="2561" max="2561" width="28.5703125" style="1" bestFit="1" customWidth="1"/>
    <col min="2562" max="2816" width="9.140625" style="1"/>
    <col min="2817" max="2817" width="28.5703125" style="1" bestFit="1" customWidth="1"/>
    <col min="2818" max="3072" width="9.140625" style="1"/>
    <col min="3073" max="3073" width="28.5703125" style="1" bestFit="1" customWidth="1"/>
    <col min="3074" max="3328" width="9.140625" style="1"/>
    <col min="3329" max="3329" width="28.5703125" style="1" bestFit="1" customWidth="1"/>
    <col min="3330" max="3584" width="9.140625" style="1"/>
    <col min="3585" max="3585" width="28.5703125" style="1" bestFit="1" customWidth="1"/>
    <col min="3586" max="3840" width="9.140625" style="1"/>
    <col min="3841" max="3841" width="28.5703125" style="1" bestFit="1" customWidth="1"/>
    <col min="3842" max="4096" width="9.140625" style="1"/>
    <col min="4097" max="4097" width="28.5703125" style="1" bestFit="1" customWidth="1"/>
    <col min="4098" max="4352" width="9.140625" style="1"/>
    <col min="4353" max="4353" width="28.5703125" style="1" bestFit="1" customWidth="1"/>
    <col min="4354" max="4608" width="9.140625" style="1"/>
    <col min="4609" max="4609" width="28.5703125" style="1" bestFit="1" customWidth="1"/>
    <col min="4610" max="4864" width="9.140625" style="1"/>
    <col min="4865" max="4865" width="28.5703125" style="1" bestFit="1" customWidth="1"/>
    <col min="4866" max="5120" width="9.140625" style="1"/>
    <col min="5121" max="5121" width="28.5703125" style="1" bestFit="1" customWidth="1"/>
    <col min="5122" max="5376" width="9.140625" style="1"/>
    <col min="5377" max="5377" width="28.5703125" style="1" bestFit="1" customWidth="1"/>
    <col min="5378" max="5632" width="9.140625" style="1"/>
    <col min="5633" max="5633" width="28.5703125" style="1" bestFit="1" customWidth="1"/>
    <col min="5634" max="5888" width="9.140625" style="1"/>
    <col min="5889" max="5889" width="28.5703125" style="1" bestFit="1" customWidth="1"/>
    <col min="5890" max="6144" width="9.140625" style="1"/>
    <col min="6145" max="6145" width="28.5703125" style="1" bestFit="1" customWidth="1"/>
    <col min="6146" max="6400" width="9.140625" style="1"/>
    <col min="6401" max="6401" width="28.5703125" style="1" bestFit="1" customWidth="1"/>
    <col min="6402" max="6656" width="9.140625" style="1"/>
    <col min="6657" max="6657" width="28.5703125" style="1" bestFit="1" customWidth="1"/>
    <col min="6658" max="6912" width="9.140625" style="1"/>
    <col min="6913" max="6913" width="28.5703125" style="1" bestFit="1" customWidth="1"/>
    <col min="6914" max="7168" width="9.140625" style="1"/>
    <col min="7169" max="7169" width="28.5703125" style="1" bestFit="1" customWidth="1"/>
    <col min="7170" max="7424" width="9.140625" style="1"/>
    <col min="7425" max="7425" width="28.5703125" style="1" bestFit="1" customWidth="1"/>
    <col min="7426" max="7680" width="9.140625" style="1"/>
    <col min="7681" max="7681" width="28.5703125" style="1" bestFit="1" customWidth="1"/>
    <col min="7682" max="7936" width="9.140625" style="1"/>
    <col min="7937" max="7937" width="28.5703125" style="1" bestFit="1" customWidth="1"/>
    <col min="7938" max="8192" width="9.140625" style="1"/>
    <col min="8193" max="8193" width="28.5703125" style="1" bestFit="1" customWidth="1"/>
    <col min="8194" max="8448" width="9.140625" style="1"/>
    <col min="8449" max="8449" width="28.5703125" style="1" bestFit="1" customWidth="1"/>
    <col min="8450" max="8704" width="9.140625" style="1"/>
    <col min="8705" max="8705" width="28.5703125" style="1" bestFit="1" customWidth="1"/>
    <col min="8706" max="8960" width="9.140625" style="1"/>
    <col min="8961" max="8961" width="28.5703125" style="1" bestFit="1" customWidth="1"/>
    <col min="8962" max="9216" width="9.140625" style="1"/>
    <col min="9217" max="9217" width="28.5703125" style="1" bestFit="1" customWidth="1"/>
    <col min="9218" max="9472" width="9.140625" style="1"/>
    <col min="9473" max="9473" width="28.5703125" style="1" bestFit="1" customWidth="1"/>
    <col min="9474" max="9728" width="9.140625" style="1"/>
    <col min="9729" max="9729" width="28.5703125" style="1" bestFit="1" customWidth="1"/>
    <col min="9730" max="9984" width="9.140625" style="1"/>
    <col min="9985" max="9985" width="28.5703125" style="1" bestFit="1" customWidth="1"/>
    <col min="9986" max="10240" width="9.140625" style="1"/>
    <col min="10241" max="10241" width="28.5703125" style="1" bestFit="1" customWidth="1"/>
    <col min="10242" max="10496" width="9.140625" style="1"/>
    <col min="10497" max="10497" width="28.5703125" style="1" bestFit="1" customWidth="1"/>
    <col min="10498" max="10752" width="9.140625" style="1"/>
    <col min="10753" max="10753" width="28.5703125" style="1" bestFit="1" customWidth="1"/>
    <col min="10754" max="11008" width="9.140625" style="1"/>
    <col min="11009" max="11009" width="28.5703125" style="1" bestFit="1" customWidth="1"/>
    <col min="11010" max="11264" width="9.140625" style="1"/>
    <col min="11265" max="11265" width="28.5703125" style="1" bestFit="1" customWidth="1"/>
    <col min="11266" max="11520" width="9.140625" style="1"/>
    <col min="11521" max="11521" width="28.5703125" style="1" bestFit="1" customWidth="1"/>
    <col min="11522" max="11776" width="9.140625" style="1"/>
    <col min="11777" max="11777" width="28.5703125" style="1" bestFit="1" customWidth="1"/>
    <col min="11778" max="12032" width="9.140625" style="1"/>
    <col min="12033" max="12033" width="28.5703125" style="1" bestFit="1" customWidth="1"/>
    <col min="12034" max="12288" width="9.140625" style="1"/>
    <col min="12289" max="12289" width="28.5703125" style="1" bestFit="1" customWidth="1"/>
    <col min="12290" max="12544" width="9.140625" style="1"/>
    <col min="12545" max="12545" width="28.5703125" style="1" bestFit="1" customWidth="1"/>
    <col min="12546" max="12800" width="9.140625" style="1"/>
    <col min="12801" max="12801" width="28.5703125" style="1" bestFit="1" customWidth="1"/>
    <col min="12802" max="13056" width="9.140625" style="1"/>
    <col min="13057" max="13057" width="28.5703125" style="1" bestFit="1" customWidth="1"/>
    <col min="13058" max="13312" width="9.140625" style="1"/>
    <col min="13313" max="13313" width="28.5703125" style="1" bestFit="1" customWidth="1"/>
    <col min="13314" max="13568" width="9.140625" style="1"/>
    <col min="13569" max="13569" width="28.5703125" style="1" bestFit="1" customWidth="1"/>
    <col min="13570" max="13824" width="9.140625" style="1"/>
    <col min="13825" max="13825" width="28.5703125" style="1" bestFit="1" customWidth="1"/>
    <col min="13826" max="14080" width="9.140625" style="1"/>
    <col min="14081" max="14081" width="28.5703125" style="1" bestFit="1" customWidth="1"/>
    <col min="14082" max="14336" width="9.140625" style="1"/>
    <col min="14337" max="14337" width="28.5703125" style="1" bestFit="1" customWidth="1"/>
    <col min="14338" max="14592" width="9.140625" style="1"/>
    <col min="14593" max="14593" width="28.5703125" style="1" bestFit="1" customWidth="1"/>
    <col min="14594" max="14848" width="9.140625" style="1"/>
    <col min="14849" max="14849" width="28.5703125" style="1" bestFit="1" customWidth="1"/>
    <col min="14850" max="15104" width="9.140625" style="1"/>
    <col min="15105" max="15105" width="28.5703125" style="1" bestFit="1" customWidth="1"/>
    <col min="15106" max="15360" width="9.140625" style="1"/>
    <col min="15361" max="15361" width="28.5703125" style="1" bestFit="1" customWidth="1"/>
    <col min="15362" max="15616" width="9.140625" style="1"/>
    <col min="15617" max="15617" width="28.5703125" style="1" bestFit="1" customWidth="1"/>
    <col min="15618" max="15872" width="9.140625" style="1"/>
    <col min="15873" max="15873" width="28.5703125" style="1" bestFit="1" customWidth="1"/>
    <col min="15874" max="16128" width="9.140625" style="1"/>
    <col min="16129" max="16129" width="28.5703125" style="1" bestFit="1" customWidth="1"/>
    <col min="16130" max="16384" width="9.140625" style="1"/>
  </cols>
  <sheetData>
    <row r="1" spans="1:1">
      <c r="A1" s="1257" t="s">
        <v>829</v>
      </c>
    </row>
    <row r="2" spans="1:1">
      <c r="A2" s="1257" t="s">
        <v>834</v>
      </c>
    </row>
    <row r="3" spans="1:1">
      <c r="A3" s="1257" t="s">
        <v>835</v>
      </c>
    </row>
    <row r="4" spans="1:1">
      <c r="A4" s="1257" t="s">
        <v>836</v>
      </c>
    </row>
    <row r="5" spans="1:1">
      <c r="A5" s="1257" t="s">
        <v>837</v>
      </c>
    </row>
    <row r="6" spans="1:1">
      <c r="A6" s="1257" t="s">
        <v>830</v>
      </c>
    </row>
    <row r="7" spans="1:1">
      <c r="A7" s="1257" t="s">
        <v>838</v>
      </c>
    </row>
    <row r="8" spans="1:1">
      <c r="A8" s="1257" t="s">
        <v>839</v>
      </c>
    </row>
    <row r="9" spans="1:1">
      <c r="A9" s="1257" t="s">
        <v>840</v>
      </c>
    </row>
    <row r="10" spans="1:1">
      <c r="A10" s="1257" t="s">
        <v>831</v>
      </c>
    </row>
    <row r="11" spans="1:1">
      <c r="A11" s="1257" t="s">
        <v>841</v>
      </c>
    </row>
    <row r="12" spans="1:1">
      <c r="A12" s="1257" t="s">
        <v>832</v>
      </c>
    </row>
    <row r="13" spans="1:1">
      <c r="A13" s="1257" t="s">
        <v>833</v>
      </c>
    </row>
  </sheetData>
  <pageMargins left="0.75" right="0.75" top="1" bottom="1" header="0.5" footer="0.5"/>
  <headerFooter alignWithMargins="0"/>
</worksheet>
</file>

<file path=customXml/_rels/item1.xml.rels><?xml version="1.0" encoding="UTF-8" standalone="yes"?>
<Relationships xmlns="http://schemas.openxmlformats.org/package/2006/relationships">
<Relationship Id="rId1" Target="itemProps1.xml" Type="http://schemas.openxmlformats.org/officeDocument/2006/relationships/customXmlProps"/>
</Relationships>

</file>

<file path=customXml/_rels/item2.xml.rels><?xml version="1.0" encoding="UTF-8" standalone="yes"?>
<Relationships xmlns="http://schemas.openxmlformats.org/package/2006/relationships">
<Relationship Id="rId1" Target="itemProps2.xml" Type="http://schemas.openxmlformats.org/officeDocument/2006/relationships/customXmlProps"/>
</Relationships>

</file>

<file path=customXml/item1.xml><?xml version="1.0" encoding="utf-8"?>
<lkmtd:Metadata xmlns:lkmtd="thomsonreuters.linking.metadatachange">
  <MetadataChanged>0</MetadataChanged>
</lkmtd:Metadata>
</file>

<file path=customXml/item2.xml><?xml version="1.0" encoding="utf-8"?>
<lk:Links xmlns:lk="thomsonreuters.linking.metadata">
  <Link>
    <GUID>b944a518-b46b-455a-a8a3-47771abda596</GUID>
    <SOURCE_ALTADDRESS>$B$9:$DC$47</SOURCE_ALTADDRESS>
    <SOURCETYPE>Table</SOURCETYPE>
    <SOURCE_OBJECTNAME>Linking_Range_27</SOURCE_OBJECTNAME>
    <OBJECTTYPE>Native</OBJECTTYPE>
    <SOURCE_SHEETCODE>Sheet7</SOURCE_SHEETCODE>
    <SOURCE_SHEETNAME>Financial Model</SOURCE_SHEETNAME>
    <SOURCEAPPLICATION>EXCEL_SOURCE</SOURCEAPPLICATION>
    <UPDATEDAT>10/30/2014 5:18:40 PM</UPDATEDAT>
    <SOURCE_ISOUTOFDATE>False</SOURCE_ISOUTOFDATE>
    <SOURCE_WORKBOOKNAME>BWA Model.xls</SOURCE_WORKBOOKNAME>
    <SOURCE_WORKBOOKPATH>\\MSAD\ROOT\NA\NY\LIB\ER\AUTOS\Valuation\Models</SOURCE_WORKBOOKPATH>
    <IMPORTEXPORTINBLACKANDWHITE>True</IMPORTEXPORTINBLACKANDWHITE>
    <IMPORTEXPORTTABLETEXTINBLACKANDWHITE>False</IMPORTEXPORTTABLETEXTINBLACKANDWHITE>
    <TABLEBACKGROUND>Existing</TABLEBACKGROUND>
    <HIDEGRIDLINES>True</HIDEGRIDLINES>
    <TARGETTYPE>Picture</TARGETTYPE>
    <TARGETAPPLICATION>METHODE_TARGET</TARGETAPPLICATION>
    <TARGET_BINARYFULLNAME>/MSResearch/Content/ExternalAssets/2014-08/Images/XYdzCvsoGUGY_k68Swyk-g--.png</TARGET_BINARYFULLNAME>
    <TARGET_STORYFULLNAME>/MSResearch/Content/ExternalAssets/2014-08/Sections/Linking_Range_27-034.xml</TARGET_STORYFULLNAME>
    <TARGET_UUID>81eb19ae-2100-11e4-9def-2558c24c165b</TARGET_UUID>
    <LINKSTATUS>Unknown</LINKSTATUS>
  </Link>
  <Link>
    <GUID>652977d2-4201-4d28-9007-fe4d63c75a34</GUID>
    <SOURCE_ALTADDRESS>$B$108:$DC$165</SOURCE_ALTADDRESS>
    <SOURCETYPE>Table</SOURCETYPE>
    <SOURCE_OBJECTNAME>Linking_Range_28</SOURCE_OBJECTNAME>
    <OBJECTTYPE>Native</OBJECTTYPE>
    <SOURCE_SHEETCODE>Sheet7</SOURCE_SHEETCODE>
    <SOURCE_SHEETNAME>Financial Model</SOURCE_SHEETNAME>
    <SOURCEAPPLICATION>EXCEL_SOURCE</SOURCEAPPLICATION>
    <UPDATEDAT>10/30/2014 5:18:41 PM</UPDATEDAT>
    <SOURCE_ISOUTOFDATE>False</SOURCE_ISOUTOFDATE>
    <SOURCE_WORKBOOKNAME>BWA Model.xls</SOURCE_WORKBOOKNAME>
    <SOURCE_WORKBOOKPATH>\\MSAD\ROOT\NA\NY\LIB\ER\AUTOS\Valuation\Models</SOURCE_WORKBOOKPATH>
    <IMPORTEXPORTINBLACKANDWHITE>True</IMPORTEXPORTINBLACKANDWHITE>
    <IMPORTEXPORTTABLETEXTINBLACKANDWHITE>False</IMPORTEXPORTTABLETEXTINBLACKANDWHITE>
    <TABLEBACKGROUND>Existing</TABLEBACKGROUND>
    <HIDEGRIDLINES>True</HIDEGRIDLINES>
    <TARGETTYPE>Picture</TARGETTYPE>
    <TARGETAPPLICATION>METHODE_TARGET</TARGETAPPLICATION>
    <TARGET_BINARYFULLNAME>/MSResearch/Content/ExternalAssets/2014-08/Images/GuqilPLmIk66LlsQIJ5Z9Q--.png</TARGET_BINARYFULLNAME>
    <TARGET_STORYFULLNAME>/MSResearch/Content/ExternalAssets/2014-08/Sections/Linking_Range_28-029.xml</TARGET_STORYFULLNAME>
    <TARGET_UUID>9dfd7812-2100-11e4-9def-2558c24c165b</TARGET_UUID>
    <LINKSTATUS>Unknown</LINKSTATUS>
  </Link>
  <Link>
    <GUID>1134b25a-b74e-4518-8ce7-1242519915a9</GUID>
    <SOURCE_ALTADDRESS>$B$167:$DC$222</SOURCE_ALTADDRESS>
    <SOURCETYPE>Table</SOURCETYPE>
    <SOURCE_OBJECTNAME>Linking_Range_26</SOURCE_OBJECTNAME>
    <OBJECTTYPE>Native</OBJECTTYPE>
    <SOURCE_SHEETCODE>Sheet7</SOURCE_SHEETCODE>
    <SOURCE_SHEETNAME>Financial Model</SOURCE_SHEETNAME>
    <SOURCEAPPLICATION>EXCEL_SOURCE</SOURCEAPPLICATION>
    <UPDATEDAT>10/30/2014 5:18:41 PM</UPDATEDAT>
    <SOURCE_ISOUTOFDATE>False</SOURCE_ISOUTOFDATE>
    <SOURCE_WORKBOOKNAME>BWA Model.xls</SOURCE_WORKBOOKNAME>
    <SOURCE_WORKBOOKPATH>\\MSAD\ROOT\NA\NY\LIB\ER\AUTOS\Valuation\Models</SOURCE_WORKBOOKPATH>
    <IMPORTEXPORTINBLACKANDWHITE>True</IMPORTEXPORTINBLACKANDWHITE>
    <IMPORTEXPORTTABLETEXTINBLACKANDWHITE>False</IMPORTEXPORTTABLETEXTINBLACKANDWHITE>
    <TABLEBACKGROUND>Existing</TABLEBACKGROUND>
    <HIDEGRIDLINES>True</HIDEGRIDLINES>
    <TARGETTYPE>Picture</TARGETTYPE>
    <TARGETAPPLICATION>METHODE_TARGET</TARGETAPPLICATION>
    <TARGET_BINARYFULLNAME>/MSResearch/Content/ExternalAssets/2014-08/Images/b9qQ5RsZs6aT9crgU6AEg--.png</TARGET_BINARYFULLNAME>
    <TARGET_STORYFULLNAME>/MSResearch/Content/ExternalAssets/2014-08/Sections/Linking_Range_26-034.xml</TARGET_STORYFULLNAME>
    <TARGET_UUID>bcb33f08-2100-11e4-9def-2558c24c165b</TARGET_UUID>
    <LINKSTATUS>Unknown</LINKSTATUS>
  </Link>
  <Link>
    <GUID>ec7d10ae-c67c-43f5-b32c-e9e66bbec735</GUID>
    <SOURCETYPE>Chart</SOURCETYPE>
    <SOURCE_OBJECTNAME>MWA_Risk_Reward</SOURCE_OBJECTNAME>
    <SOURCE_SHEETCODE>MWRSSData</SOURCE_SHEETCODE>
    <SOURCE_SHEETNAME>MWA RR</SOURCE_SHEETNAME>
    <OBJECTTYPE>Native</OBJECTTYPE>
    <SOURCEAPPLICATION>EXCEL_SOURCE</SOURCEAPPLICATION>
    <UPDATEDAT>2/12/2015 6:37:13 PM</UPDATEDAT>
    <SOURCE_ISOUTOFDATE>False</SOURCE_ISOUTOFDATE>
    <SOURCE_WORKBOOKNAME>BWA Model.xls</SOURCE_WORKBOOKNAME>
    <SOURCE_WORKBOOKPATH>\\MSAD\ROOT\NA\NY\LIB\ER\AUTOS\Valuation\Models</SOURCE_WORKBOOKPATH>
    <TRANSPARENTBACKGROUND>False</TRANSPARENTBACKGROUND>
    <TRANSPARENTPLOTAREA>False</TRANSPARENTPLOTAREA>
    <TARGETTYPE>Picture</TARGETTYPE>
    <TARGETAPPLICATION>METHODE_TARGET</TARGETAPPLICATION>
    <TABLEBACKGROUND>Existing</TABLEBACKGROUND>
    <TARGET_BINARYFULLNAME>/MSResearch/Content/ExternalAssets/2014-08/Images/BQRBThI6lEO9Xo-CBt_fXw--.png</TARGET_BINARYFULLNAME>
    <TARGET_STORYFULLNAME>/MSResearch/Content/ExternalAssets/2014-08/Sections/MWA_Risk_Reward-167.xml</TARGET_STORYFULLNAME>
    <TARGET_UUID>7b8c3f42-2101-11e4-9def-2558c24c165b</TARGET_UUID>
    <HIDEGRIDLINES>False</HIDEGRIDLINES>
    <LINKSTATUS>Unknown</LINKSTATUS>
  </Link>
  <Link>
    <GUID>9af756fc-5f22-4ee4-9936-c834d978a181</GUID>
    <SOURCE_ALTADDRESS>$B$9:$DJ$47</SOURCE_ALTADDRESS>
    <SOURCETYPE>Table</SOURCETYPE>
    <SOURCE_OBJECTNAME>Linking_Range_33</SOURCE_OBJECTNAME>
    <OBJECTTYPE>Native</OBJECTTYPE>
    <SOURCE_SHEETCODE>Sheet7</SOURCE_SHEETCODE>
    <SOURCE_SHEETNAME>Financial Model</SOURCE_SHEETNAME>
    <SOURCEAPPLICATION>EXCEL_SOURCE</SOURCEAPPLICATION>
    <UPDATEDAT>2/12/2015 6:43:26 PM</UPDATEDAT>
    <SOURCE_ISOUTOFDATE>False</SOURCE_ISOUTOFDATE>
    <SOURCE_WORKBOOKNAME>BWA Model.xls</SOURCE_WORKBOOKNAME>
    <SOURCE_WORKBOOKPATH>\\MSAD\ROOT\NA\NY\LIB\ER\AUTOS\Valuation\Models</SOURCE_WORKBOOKPATH>
    <IMPORTEXPORTINBLACKANDWHITE>False</IMPORTEXPORTINBLACKANDWHITE>
    <IMPORTEXPORTTABLETEXTINBLACKANDWHITE>False</IMPORTEXPORTTABLETEXTINBLACKANDWHITE>
    <TABLEBACKGROUND>Existing</TABLEBACKGROUND>
    <HIDEGRIDLINES>True</HIDEGRIDLINES>
    <TARGETTYPE>Picture</TARGETTYPE>
    <TARGETAPPLICATION>METHODE_TARGET</TARGETAPPLICATION>
    <TARGET_BINARYFULLNAME>/MSResearch/Content/ExternalAssets/2015-02/Images/ASXHUhRPOUmBFMig9qi_3g--.png</TARGET_BINARYFULLNAME>
    <TARGET_STORYFULLNAME>/MSResearch/Content/ExternalAssets/2015-02/Sections/20150212_064322_Linking_Range_33.xml</TARGET_STORYFULLNAME>
    <TARGET_UUID>edef2fd0-b310-11e4-9343-7c9184ca9b36</TARGET_UUID>
  </Link>
  <Link>
    <GUID>b70676ad-cfdb-469f-ad8f-960c25c43bb5</GUID>
    <SOURCE_ALTADDRESS>$B$108:$DJ$165</SOURCE_ALTADDRESS>
    <SOURCETYPE>Table</SOURCETYPE>
    <SOURCE_OBJECTNAME>Linking_Range_34</SOURCE_OBJECTNAME>
    <OBJECTTYPE>Native</OBJECTTYPE>
    <SOURCE_SHEETCODE>Sheet7</SOURCE_SHEETCODE>
    <SOURCE_SHEETNAME>Financial Model</SOURCE_SHEETNAME>
    <SOURCEAPPLICATION>EXCEL_SOURCE</SOURCEAPPLICATION>
    <UPDATEDAT>2/12/2015 6:44:25 PM</UPDATEDAT>
    <SOURCE_ISOUTOFDATE>False</SOURCE_ISOUTOFDATE>
    <SOURCE_WORKBOOKNAME>BWA Model.xls</SOURCE_WORKBOOKNAME>
    <SOURCE_WORKBOOKPATH>\\MSAD\ROOT\NA\NY\LIB\ER\AUTOS\Valuation\Models</SOURCE_WORKBOOKPATH>
    <IMPORTEXPORTINBLACKANDWHITE>False</IMPORTEXPORTINBLACKANDWHITE>
    <IMPORTEXPORTTABLETEXTINBLACKANDWHITE>False</IMPORTEXPORTTABLETEXTINBLACKANDWHITE>
    <TABLEBACKGROUND>Existing</TABLEBACKGROUND>
    <HIDEGRIDLINES>True</HIDEGRIDLINES>
    <TARGETTYPE>Picture</TARGETTYPE>
    <TARGETAPPLICATION>METHODE_TARGET</TARGETAPPLICATION>
    <TARGET_BINARYFULLNAME>/MSResearch/Content/ExternalAssets/2015-02/Images/RY6uAQT38UalMro7u3tnlw--.png</TARGET_BINARYFULLNAME>
    <TARGET_STORYFULLNAME>/MSResearch/Content/ExternalAssets/2015-02/Sections/20150212_064423_Linking_Range_34.xml</TARGET_STORYFULLNAME>
    <TARGET_UUID>129f62d2-b311-11e4-9343-7c9184ca9b36</TARGET_UUID>
  </Link>
  <Link>
    <GUID>1c482a61-13af-4406-b211-33ee7f1475ea</GUID>
    <SOURCE_ALTADDRESS>$B$167:$DJ$222</SOURCE_ALTADDRESS>
    <SOURCETYPE>Table</SOURCETYPE>
    <SOURCE_OBJECTNAME>Linking_Range_35</SOURCE_OBJECTNAME>
    <OBJECTTYPE>Native</OBJECTTYPE>
    <SOURCE_SHEETCODE>Sheet7</SOURCE_SHEETCODE>
    <SOURCE_SHEETNAME>Financial Model</SOURCE_SHEETNAME>
    <SOURCEAPPLICATION>EXCEL_SOURCE</SOURCEAPPLICATION>
    <UPDATEDAT>2/12/2015 6:44:53 PM</UPDATEDAT>
    <SOURCE_ISOUTOFDATE>False</SOURCE_ISOUTOFDATE>
    <SOURCE_WORKBOOKNAME>BWA Model.xls</SOURCE_WORKBOOKNAME>
    <SOURCE_WORKBOOKPATH>\\MSAD\ROOT\NA\NY\LIB\ER\AUTOS\Valuation\Models</SOURCE_WORKBOOKPATH>
    <IMPORTEXPORTINBLACKANDWHITE>False</IMPORTEXPORTINBLACKANDWHITE>
    <IMPORTEXPORTTABLETEXTINBLACKANDWHITE>False</IMPORTEXPORTTABLETEXTINBLACKANDWHITE>
    <TABLEBACKGROUND>Existing</TABLEBACKGROUND>
    <HIDEGRIDLINES>True</HIDEGRIDLINES>
    <TARGETTYPE>Picture</TARGETTYPE>
    <TARGETAPPLICATION>METHODE_TARGET</TARGETAPPLICATION>
    <TARGET_BINARYFULLNAME>/MSResearch/Content/ExternalAssets/2015-02/Images/g5GHGawVkWyMNw-tI_AOQ--.png</TARGET_BINARYFULLNAME>
    <TARGET_STORYFULLNAME>/MSResearch/Content/ExternalAssets/2015-02/Sections/20150212_064451_Linking_Range_35.xml</TARGET_STORYFULLNAME>
    <TARGET_UUID>22fa8396-b311-11e4-9343-7c9184ca9b36</TARGET_UUID>
  </Link>
  <Link>
    <GUID>76511302-4479-4082-99e0-3932b409c21c</GUID>
    <SOURCE_ALTADDRESS>$C$8:$P$42</SOURCE_ALTADDRESS>
    <SOURCETYPE>Table</SOURCETYPE>
    <SOURCE_OBJECTNAME>Linking_Range_29</SOURCE_OBJECTNAME>
    <OBJECTTYPE>Native</OBJECTTYPE>
    <SOURCE_SHEETCODE>Sheet11</SOURCE_SHEETCODE>
    <SOURCE_SHEETNAME>DCF Valuation</SOURCE_SHEETNAME>
    <SOURCEAPPLICATION>EXCEL_SOURCE</SOURCEAPPLICATION>
    <UPDATEDAT>2/12/2015 6:45:19 PM</UPDATEDAT>
    <SOURCE_ISOUTOFDATE>False</SOURCE_ISOUTOFDATE>
    <SOURCE_WORKBOOKNAME>BWA Model.xls</SOURCE_WORKBOOKNAME>
    <SOURCE_WORKBOOKPATH>\\MSAD\ROOT\NA\NY\LIB\ER\AUTOS\Valuation\Models</SOURCE_WORKBOOKPATH>
    <IMPORTEXPORTINBLACKANDWHITE>True</IMPORTEXPORTINBLACKANDWHITE>
    <IMPORTEXPORTTABLETEXTINBLACKANDWHITE>False</IMPORTEXPORTTABLETEXTINBLACKANDWHITE>
    <TABLEBACKGROUND>Existing</TABLEBACKGROUND>
    <HIDEGRIDLINES>True</HIDEGRIDLINES>
    <TARGETTYPE>Picture</TARGETTYPE>
    <TARGETAPPLICATION>METHODE_TARGET</TARGETAPPLICATION>
    <TARGET_BINARYFULLNAME>/MSResearch/Content/ExternalAssets/2014-08/Images/9Qj_kT253eCjtzbK-NJg--.png</TARGET_BINARYFULLNAME>
    <TARGET_STORYFULLNAME>/MSResearch/Content/ExternalAssets/2014-08/Sections/Linking_Range_29-030.xml</TARGET_STORYFULLNAME>
    <TARGET_UUID>d858453c-2100-11e4-9def-2558c24c165b</TARGET_UUID>
    <LINKSTATUS>Unknown</LINKSTATUS>
  </Link>
  <Link>
    <GUID>99b52afa-b442-4e41-8ff7-ca5d18ae8e9d</GUID>
    <SOURCE_ALTADDRESS>$B$2:$P$33</SOURCE_ALTADDRESS>
    <SOURCETYPE>Table</SOURCETYPE>
    <SOURCE_OBJECTNAME>Linking_Range_18</SOURCE_OBJECTNAME>
    <OBJECTTYPE>Native</OBJECTTYPE>
    <SOURCE_SHEETCODE>Sheet17</SOURCE_SHEETCODE>
    <SOURCE_SHEETNAME>Earnings Variance</SOURCE_SHEETNAME>
    <SOURCEAPPLICATION>EXCEL_SOURCE</SOURCEAPPLICATION>
    <UPDATEDAT>4/30/2015 8:23:13 AM</UPDATEDAT>
    <SOURCE_ISOUTOFDATE>False</SOURCE_ISOUTOFDATE>
    <SOURCE_WORKBOOKNAME>BWA Model.xls</SOURCE_WORKBOOKNAME>
    <SOURCE_WORKBOOKPATH>\\MSAD\ROOT\NA\NY\LIB\ER\AUTOS\Valuation\Models</SOURCE_WORKBOOKPATH>
    <IMPORTEXPORTINBLACKANDWHITE>False</IMPORTEXPORTINBLACKANDWHITE>
    <IMPORTEXPORTTABLETEXTINBLACKANDWHITE>False</IMPORTEXPORTTABLETEXTINBLACKANDWHITE>
    <TABLEBACKGROUND>Existing</TABLEBACKGROUND>
    <HIDEGRIDLINES>True</HIDEGRIDLINES>
    <TARGETTYPE>Picture</TARGETTYPE>
    <TARGETAPPLICATION>METHODE_TARGET</TARGETAPPLICATION>
    <TARGET_BINARYFULLNAME>/MSResearch/Content/ExternalAssets/2014-07/Images/PfY_uDbXcUKtwjSr34PXvA--.png</TARGET_BINARYFULLNAME>
    <TARGET_STORYFULLNAME>/MSResearch/Content/ExternalAssets/2014-07/Sections/Linking_Range_18-035.xml</TARGET_STORYFULLNAME>
    <TARGET_UUID>cd6bea50-188d-11e4-be2a-43d3d084eba9</TARGET_UUID>
    <LINKSTATUS>Unknown</LINKSTATUS>
    <TRANSPARENTBACKGROUND>False</TRANSPARENTBACKGROUND>
    <TRANSPARENTPLOTAREA>False</TRANSPARENTPLOTAREA>
    <EXTRACTSOURCEMODE>CopyToClipboard</EXTRACTSOURCEMODE>
  </Link>
</lk:Links>
</file>

<file path=customXml/itemProps1.xml><?xml version="1.0" encoding="utf-8"?>
<ds:datastoreItem xmlns:ds="http://schemas.openxmlformats.org/officeDocument/2006/customXml" ds:itemID="{569374A8-B7A0-40B0-B7D6-3652D47FE546}">
  <ds:schemaRefs>
    <ds:schemaRef ds:uri="thomsonreuters.linking.metadatachange"/>
  </ds:schemaRefs>
</ds:datastoreItem>
</file>

<file path=customXml/itemProps2.xml><?xml version="1.0" encoding="utf-8"?>
<ds:datastoreItem xmlns:ds="http://schemas.openxmlformats.org/officeDocument/2006/customXml" ds:itemID="{EA9FA18A-70C0-4B91-B00A-0F91F52014DA}">
  <ds:schemaRefs>
    <ds:schemaRef ds:uri="thomsonreuters.linking.metadata"/>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110</vt:i4>
      </vt:variant>
    </vt:vector>
  </HeadingPairs>
  <TitlesOfParts>
    <vt:vector size="121" baseType="lpstr">
      <vt:lpstr>ImportantDisclosures</vt:lpstr>
      <vt:lpstr>Valuation</vt:lpstr>
      <vt:lpstr>DCF</vt:lpstr>
      <vt:lpstr>Financials</vt:lpstr>
      <vt:lpstr>Segments</vt:lpstr>
      <vt:lpstr>Earnings</vt:lpstr>
      <vt:lpstr>Changes</vt:lpstr>
      <vt:lpstr>Guidance</vt:lpstr>
      <vt:lpstr>Debt</vt:lpstr>
      <vt:lpstr>IndexInformation</vt:lpstr>
      <vt:lpstr>ModPubIndex</vt:lpstr>
      <vt:lpstr>AdditionalInstructions</vt:lpstr>
      <vt:lpstr>ImportantDisclosures!Address</vt:lpstr>
      <vt:lpstr>ModPubIndex!ANA</vt:lpstr>
      <vt:lpstr>ImportantDisclosures!Authors</vt:lpstr>
      <vt:lpstr>IndexInformation!Authors</vt:lpstr>
      <vt:lpstr>ModPubIndex!BRO</vt:lpstr>
      <vt:lpstr>CopyrightStamp</vt:lpstr>
      <vt:lpstr>ModPubIndex!COU</vt:lpstr>
      <vt:lpstr>IndexInformation!CQEnd</vt:lpstr>
      <vt:lpstr>IndexInformation!Currency</vt:lpstr>
      <vt:lpstr>IndexInformation!CurrentStockPrice</vt:lpstr>
      <vt:lpstr>IndexInformation!CurrQtrEPS</vt:lpstr>
      <vt:lpstr>IndexInformation!CurrYearEPS</vt:lpstr>
      <vt:lpstr>IndexInformation!CurrYearTotalRevenue</vt:lpstr>
      <vt:lpstr>IndexInformation!CurrYearTotalRevenueActual</vt:lpstr>
      <vt:lpstr>IndexInformation!CUSIP</vt:lpstr>
      <vt:lpstr>IndexInformation!CYEnd</vt:lpstr>
      <vt:lpstr>ImportantDisclosures!Date</vt:lpstr>
      <vt:lpstr>IndexInformation!Deleted</vt:lpstr>
      <vt:lpstr>IndexInformation!Description</vt:lpstr>
      <vt:lpstr>IndexInformation!Discipline</vt:lpstr>
      <vt:lpstr>ModPubIndex!DISCIPLINE</vt:lpstr>
      <vt:lpstr>DisclosuresText</vt:lpstr>
      <vt:lpstr>IndexInformation!Distribution</vt:lpstr>
      <vt:lpstr>ModPubIndex!DOCDAT</vt:lpstr>
      <vt:lpstr>ModPubIndex!DOCTIME</vt:lpstr>
      <vt:lpstr>IndexInformation!DocType</vt:lpstr>
      <vt:lpstr>ModPubIndex!EMAIL_ALERT</vt:lpstr>
      <vt:lpstr>IndexInformation!EmailAlert</vt:lpstr>
      <vt:lpstr>IndexInformation!FiveYearGrowthRate</vt:lpstr>
      <vt:lpstr>IndexInformation!FollowingYearEPS</vt:lpstr>
      <vt:lpstr>IndexInformation!FollowingYearTotalRevenue</vt:lpstr>
      <vt:lpstr>IndexInformation!FollowingYearTotalRevenueActual</vt:lpstr>
      <vt:lpstr>ModPubIndex!HL</vt:lpstr>
      <vt:lpstr>ModPubIndex!IND</vt:lpstr>
      <vt:lpstr>ImportantDisclosures!Industry</vt:lpstr>
      <vt:lpstr>IndustryId</vt:lpstr>
      <vt:lpstr>ImportantDisclosures!IndustryRating</vt:lpstr>
      <vt:lpstr>IndexInformation!KeepVersions</vt:lpstr>
      <vt:lpstr>LanguageCode</vt:lpstr>
      <vt:lpstr>ImportantDisclosures!LastCell</vt:lpstr>
      <vt:lpstr>Linking_10</vt:lpstr>
      <vt:lpstr>Linking_11</vt:lpstr>
      <vt:lpstr>Linking_12</vt:lpstr>
      <vt:lpstr>Linking_14</vt:lpstr>
      <vt:lpstr>Linking_15</vt:lpstr>
      <vt:lpstr>Linking_16</vt:lpstr>
      <vt:lpstr>Linking_17</vt:lpstr>
      <vt:lpstr>Linking_2</vt:lpstr>
      <vt:lpstr>Earnings!Linking_6</vt:lpstr>
      <vt:lpstr>Linking_8</vt:lpstr>
      <vt:lpstr>Linking_9</vt:lpstr>
      <vt:lpstr>Earnings!Linking_Range_19</vt:lpstr>
      <vt:lpstr>Linking_Range_19</vt:lpstr>
      <vt:lpstr>Earnings!Linking_Range_20</vt:lpstr>
      <vt:lpstr>Linking_Range_20</vt:lpstr>
      <vt:lpstr>Earnings!Linking_Range_21</vt:lpstr>
      <vt:lpstr>Linking_Range_21</vt:lpstr>
      <vt:lpstr>Earnings!Linking_Range_22</vt:lpstr>
      <vt:lpstr>Linking_Range_23</vt:lpstr>
      <vt:lpstr>Linking_Range_24</vt:lpstr>
      <vt:lpstr>Linking_Range_25</vt:lpstr>
      <vt:lpstr>Linking_Range_26</vt:lpstr>
      <vt:lpstr>Earnings!Linking_Range_27</vt:lpstr>
      <vt:lpstr>Linking_Range_27</vt:lpstr>
      <vt:lpstr>Linking_Range_28</vt:lpstr>
      <vt:lpstr>Linking_Range_30</vt:lpstr>
      <vt:lpstr>Linking_Range_31</vt:lpstr>
      <vt:lpstr>Linking_Range_32</vt:lpstr>
      <vt:lpstr>Linking_Range_33</vt:lpstr>
      <vt:lpstr>Linking_Range_34</vt:lpstr>
      <vt:lpstr>Linking_Range_35</vt:lpstr>
      <vt:lpstr>IndexInformation!MacroVersion</vt:lpstr>
      <vt:lpstr>ImportantDisclosures!ModelPrice</vt:lpstr>
      <vt:lpstr>IndexInformation!Multiplier</vt:lpstr>
      <vt:lpstr>IndexInformation!NextYearEPS</vt:lpstr>
      <vt:lpstr>IndexInformation!NextYearTotalRevenue</vt:lpstr>
      <vt:lpstr>IndexInformation!NextYearTotalRevenueActual</vt:lpstr>
      <vt:lpstr>ObjectType</vt:lpstr>
      <vt:lpstr>ModPubIndex!PANA</vt:lpstr>
      <vt:lpstr>IndexInformation!PathName</vt:lpstr>
      <vt:lpstr>Changes!Print_Area</vt:lpstr>
      <vt:lpstr>DCF!Print_Area</vt:lpstr>
      <vt:lpstr>Debt!Print_Area</vt:lpstr>
      <vt:lpstr>Earnings!Print_Area</vt:lpstr>
      <vt:lpstr>Financials!Print_Area</vt:lpstr>
      <vt:lpstr>Guidance!Print_Area</vt:lpstr>
      <vt:lpstr>Segments!Print_Area</vt:lpstr>
      <vt:lpstr>Valuation!Print_Area</vt:lpstr>
      <vt:lpstr>Financials!Print_Titles</vt:lpstr>
      <vt:lpstr>Segments!Print_Titles</vt:lpstr>
      <vt:lpstr>ModPubIndex!PRODUCT</vt:lpstr>
      <vt:lpstr>ModPubIndex!PSYM</vt:lpstr>
      <vt:lpstr>IndexInformation!PublishDate</vt:lpstr>
      <vt:lpstr>IndexInformation!Rating</vt:lpstr>
      <vt:lpstr>ImportantDisclosures!RatingsDefined</vt:lpstr>
      <vt:lpstr>IndexInformation!ResearchTopic</vt:lpstr>
      <vt:lpstr>IndexInformation!RIC</vt:lpstr>
      <vt:lpstr>IndexInformation!SEDOL</vt:lpstr>
      <vt:lpstr>ImportantDisclosures!SourceDefined</vt:lpstr>
      <vt:lpstr>ImportantDisclosures!StockRating</vt:lpstr>
      <vt:lpstr>IndexInformation!SubjectCode</vt:lpstr>
      <vt:lpstr>SubmitterUserId</vt:lpstr>
      <vt:lpstr>ModPubIndex!SUPPRESSED</vt:lpstr>
      <vt:lpstr>ImportantDisclosures!TargetPrice</vt:lpstr>
      <vt:lpstr>TemplateRegion</vt:lpstr>
      <vt:lpstr>ImportantDisclosures!Ticker</vt:lpstr>
      <vt:lpstr>TickerRegion</vt:lpstr>
      <vt:lpstr>IndexInformation!Tickers</vt:lpstr>
      <vt:lpstr>IndexInformation!UpdateReason</vt:lpstr>
    </vt:vector>
  </TitlesOfParts>
  <Company>Morgan Stanley</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2012-03-06T09:02:41Z</dcterms:created>
  <dc:creator>rahsingh</dc:creator>
  <cp:lastModifiedBy>Sinkevicius, Armintas (Research)</cp:lastModifiedBy>
  <cp:lastPrinted>2018-04-04T21:32:56Z</cp:lastPrinted>
  <dcterms:modified xsi:type="dcterms:W3CDTF">2018-04-10T23:06:02Z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name="LinkingAutoNameNumberLinking_Range_" pid="2">
    <vt:lpwstr>35</vt:lpwstr>
  </property>
  <property fmtid="{D5CDD505-2E9C-101B-9397-08002B2CF9AE}" name="ERModPubTicket" pid="3">
    <vt:lpwstr>NA</vt:lpwstr>
  </property>
  <property fmtid="{D5CDD505-2E9C-101B-9397-08002B2CF9AE}" name="ERCompanyUploadState" pid="4">
    <vt:lpwstr>P</vt:lpwstr>
  </property>
  <property fmtid="{D5CDD505-2E9C-101B-9397-08002B2CF9AE}" name="ModelId" pid="5">
    <vt:lpwstr>760734</vt:lpwstr>
  </property>
  <property fmtid="{D5CDD505-2E9C-101B-9397-08002B2CF9AE}" name="ERModPubCompanyName" pid="6">
    <vt:lpwstr>BorgWarner Inc.</vt:lpwstr>
  </property>
  <property fmtid="{D5CDD505-2E9C-101B-9397-08002B2CF9AE}" name="MSDH34TAG" pid="7">
    <vt:lpwstr>.TEZUF76X5TAHATHESADREYAK-00-INB160+*94600-06=c25bae58/-3d13/-11e8/-b3f7/-7a79cfe26848,MD=20180410191225/-0400,ZZ=000Z-4b56.</vt:lpwstr>
  </property>
</Properties>
</file>